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fileSharing readOnlyRecommended="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bankofcanada-my.sharepoint.com/personal/evjo_bank-banque-canada_ca/Documents/Desktop/"/>
    </mc:Choice>
  </mc:AlternateContent>
  <xr:revisionPtr revIDLastSave="32" documentId="8_{74F4FE02-6BB2-4FEB-8ED5-B63F9CFA38BA}" xr6:coauthVersionLast="47" xr6:coauthVersionMax="47" xr10:uidLastSave="{3DF28D4D-0B5D-4586-989B-9D310452E5EC}"/>
  <bookViews>
    <workbookView xWindow="-110" yWindow="-110" windowWidth="19420" windowHeight="11500" activeTab="1" xr2:uid="{00000000-000D-0000-FFFF-FFFF00000000}"/>
  </bookViews>
  <sheets>
    <sheet name="2025 in progress" sheetId="1" r:id="rId1"/>
    <sheet name="DATA" sheetId="2" r:id="rId2"/>
  </sheets>
  <definedNames>
    <definedName name="_xlnm._FilterDatabase" localSheetId="0" hidden="1">'2025 in progress'!$B$67:$BI$1312</definedName>
    <definedName name="_xlnm._FilterDatabase" localSheetId="1" hidden="1">DATA!$A$1:$BH$722</definedName>
    <definedName name="CIQWBGuid" hidden="1">"2c809397-792e-40d1-ba6c-1014e1baeaa2"</definedName>
    <definedName name="CIQWBInfo" hidden="1">"{ ""CIQVersion"":""9.51.3510.3078"" }"</definedName>
    <definedName name="Country">#REF!</definedName>
    <definedName name="country_name">#REF!</definedName>
    <definedName name="data">#REF!</definedName>
    <definedName name="Interest_Data">#REF!</definedName>
    <definedName name="Interest_GEO">#REF!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"04/30/2015 14:46:04"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Principal_Data">#REF!</definedName>
    <definedName name="Principal_GEO">#REF!</definedName>
    <definedName name="year">#REF!</definedName>
    <definedName name="Year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D7" i="1" s="1"/>
  <c r="D23" i="1" s="1"/>
  <c r="D9" i="1"/>
  <c r="D10" i="1"/>
  <c r="D11" i="1"/>
  <c r="D12" i="1"/>
  <c r="D13" i="1"/>
  <c r="D14" i="1"/>
  <c r="D15" i="1"/>
  <c r="D16" i="1"/>
  <c r="D17" i="1"/>
  <c r="D18" i="1"/>
  <c r="E8" i="1"/>
  <c r="E9" i="1"/>
  <c r="E10" i="1"/>
  <c r="E11" i="1"/>
  <c r="E12" i="1"/>
  <c r="E13" i="1"/>
  <c r="E203" i="1"/>
  <c r="E14" i="1" s="1"/>
  <c r="E15" i="1"/>
  <c r="E16" i="1"/>
  <c r="E325" i="1"/>
  <c r="E17" i="1"/>
  <c r="E18" i="1"/>
  <c r="F8" i="1"/>
  <c r="F9" i="1"/>
  <c r="F10" i="1"/>
  <c r="F11" i="1"/>
  <c r="F12" i="1"/>
  <c r="F13" i="1"/>
  <c r="F14" i="1"/>
  <c r="F15" i="1"/>
  <c r="F324" i="1"/>
  <c r="F325" i="1"/>
  <c r="F17" i="1" s="1"/>
  <c r="F18" i="1"/>
  <c r="G8" i="1"/>
  <c r="G9" i="1"/>
  <c r="G10" i="1"/>
  <c r="G11" i="1"/>
  <c r="G12" i="1"/>
  <c r="G13" i="1"/>
  <c r="G14" i="1"/>
  <c r="G15" i="1"/>
  <c r="G325" i="1"/>
  <c r="G17" i="1" s="1"/>
  <c r="G18" i="1"/>
  <c r="H8" i="1"/>
  <c r="H9" i="1"/>
  <c r="H10" i="1"/>
  <c r="H11" i="1"/>
  <c r="H12" i="1"/>
  <c r="H13" i="1"/>
  <c r="H203" i="1"/>
  <c r="H14" i="1"/>
  <c r="H15" i="1"/>
  <c r="H325" i="1"/>
  <c r="H17" i="1"/>
  <c r="H18" i="1"/>
  <c r="I8" i="1"/>
  <c r="I9" i="1"/>
  <c r="I10" i="1"/>
  <c r="I11" i="1"/>
  <c r="I12" i="1"/>
  <c r="I13" i="1"/>
  <c r="I115" i="1"/>
  <c r="I553" i="1"/>
  <c r="I1285" i="1"/>
  <c r="I14" i="1"/>
  <c r="I15" i="1"/>
  <c r="I325" i="1"/>
  <c r="I17" i="1"/>
  <c r="I18" i="1"/>
  <c r="J8" i="1"/>
  <c r="J9" i="1"/>
  <c r="J10" i="1"/>
  <c r="J11" i="1"/>
  <c r="J12" i="1"/>
  <c r="J13" i="1"/>
  <c r="J14" i="1"/>
  <c r="J7" i="1" s="1"/>
  <c r="J15" i="1"/>
  <c r="J16" i="1"/>
  <c r="J17" i="1"/>
  <c r="J18" i="1"/>
  <c r="K8" i="1"/>
  <c r="K9" i="1"/>
  <c r="K10" i="1"/>
  <c r="K11" i="1"/>
  <c r="K12" i="1"/>
  <c r="K13" i="1"/>
  <c r="K14" i="1"/>
  <c r="K15" i="1"/>
  <c r="K16" i="1"/>
  <c r="K17" i="1"/>
  <c r="K18" i="1"/>
  <c r="L8" i="1"/>
  <c r="L9" i="1"/>
  <c r="L10" i="1"/>
  <c r="L11" i="1"/>
  <c r="L12" i="1"/>
  <c r="L13" i="1"/>
  <c r="L14" i="1"/>
  <c r="L15" i="1"/>
  <c r="L16" i="1"/>
  <c r="L17" i="1"/>
  <c r="L18" i="1"/>
  <c r="M8" i="1"/>
  <c r="M9" i="1"/>
  <c r="M10" i="1"/>
  <c r="M11" i="1"/>
  <c r="M12" i="1"/>
  <c r="M13" i="1"/>
  <c r="M14" i="1"/>
  <c r="M15" i="1"/>
  <c r="M16" i="1"/>
  <c r="M17" i="1"/>
  <c r="M18" i="1"/>
  <c r="N8" i="1"/>
  <c r="N9" i="1"/>
  <c r="N10" i="1"/>
  <c r="N11" i="1"/>
  <c r="N12" i="1"/>
  <c r="N13" i="1"/>
  <c r="N14" i="1"/>
  <c r="N922" i="1"/>
  <c r="N15" i="1" s="1"/>
  <c r="N931" i="1"/>
  <c r="N16" i="1"/>
  <c r="N17" i="1"/>
  <c r="N18" i="1"/>
  <c r="O8" i="1"/>
  <c r="O9" i="1"/>
  <c r="O10" i="1"/>
  <c r="O11" i="1"/>
  <c r="O12" i="1"/>
  <c r="O13" i="1"/>
  <c r="O1146" i="1"/>
  <c r="O14" i="1" s="1"/>
  <c r="O15" i="1"/>
  <c r="O16" i="1"/>
  <c r="O17" i="1"/>
  <c r="O18" i="1"/>
  <c r="P8" i="1"/>
  <c r="P7" i="1" s="1"/>
  <c r="P9" i="1"/>
  <c r="P10" i="1"/>
  <c r="P11" i="1"/>
  <c r="P12" i="1"/>
  <c r="P13" i="1"/>
  <c r="P1146" i="1"/>
  <c r="P14" i="1"/>
  <c r="P15" i="1"/>
  <c r="P16" i="1"/>
  <c r="P17" i="1"/>
  <c r="P18" i="1"/>
  <c r="Q8" i="1"/>
  <c r="Q9" i="1"/>
  <c r="Q10" i="1"/>
  <c r="Q11" i="1"/>
  <c r="Q12" i="1"/>
  <c r="Q13" i="1"/>
  <c r="Q1146" i="1"/>
  <c r="Q1277" i="1"/>
  <c r="Q15" i="1"/>
  <c r="Q16" i="1"/>
  <c r="Q17" i="1"/>
  <c r="Q18" i="1"/>
  <c r="R8" i="1"/>
  <c r="R9" i="1"/>
  <c r="R10" i="1"/>
  <c r="R11" i="1"/>
  <c r="R12" i="1"/>
  <c r="R13" i="1"/>
  <c r="R1146" i="1"/>
  <c r="R1277" i="1"/>
  <c r="R14" i="1"/>
  <c r="R15" i="1"/>
  <c r="R16" i="1"/>
  <c r="R17" i="1"/>
  <c r="R18" i="1"/>
  <c r="S8" i="1"/>
  <c r="S9" i="1"/>
  <c r="S10" i="1"/>
  <c r="S11" i="1"/>
  <c r="S12" i="1"/>
  <c r="S13" i="1"/>
  <c r="S1146" i="1"/>
  <c r="S1277" i="1"/>
  <c r="S14" i="1"/>
  <c r="S15" i="1"/>
  <c r="S16" i="1"/>
  <c r="S17" i="1"/>
  <c r="S18" i="1"/>
  <c r="T8" i="1"/>
  <c r="T9" i="1"/>
  <c r="T10" i="1"/>
  <c r="T11" i="1"/>
  <c r="T637" i="1"/>
  <c r="T12" i="1"/>
  <c r="T13" i="1"/>
  <c r="T1146" i="1"/>
  <c r="T1277" i="1"/>
  <c r="T14" i="1"/>
  <c r="T15" i="1"/>
  <c r="T16" i="1"/>
  <c r="T17" i="1"/>
  <c r="T18" i="1"/>
  <c r="U8" i="1"/>
  <c r="U9" i="1"/>
  <c r="U10" i="1"/>
  <c r="U11" i="1"/>
  <c r="U637" i="1"/>
  <c r="U12" i="1"/>
  <c r="U13" i="1"/>
  <c r="U417" i="1"/>
  <c r="U14" i="1" s="1"/>
  <c r="U1146" i="1"/>
  <c r="U15" i="1"/>
  <c r="U16" i="1"/>
  <c r="U17" i="1"/>
  <c r="U18" i="1"/>
  <c r="V8" i="1"/>
  <c r="V9" i="1"/>
  <c r="V10" i="1"/>
  <c r="V11" i="1"/>
  <c r="V637" i="1"/>
  <c r="V12" i="1" s="1"/>
  <c r="V13" i="1"/>
  <c r="V876" i="1"/>
  <c r="V1146" i="1"/>
  <c r="V1277" i="1"/>
  <c r="V14" i="1"/>
  <c r="V15" i="1"/>
  <c r="V16" i="1"/>
  <c r="V17" i="1"/>
  <c r="V18" i="1"/>
  <c r="V7" i="1"/>
  <c r="W8" i="1"/>
  <c r="W9" i="1"/>
  <c r="W10" i="1"/>
  <c r="W11" i="1"/>
  <c r="W637" i="1"/>
  <c r="W12" i="1"/>
  <c r="W13" i="1"/>
  <c r="W1146" i="1"/>
  <c r="W1277" i="1"/>
  <c r="W14" i="1" s="1"/>
  <c r="W544" i="1"/>
  <c r="W15" i="1" s="1"/>
  <c r="W7" i="1" s="1"/>
  <c r="W922" i="1"/>
  <c r="W16" i="1"/>
  <c r="W17" i="1"/>
  <c r="W18" i="1"/>
  <c r="X8" i="1"/>
  <c r="X9" i="1"/>
  <c r="X10" i="1"/>
  <c r="X11" i="1"/>
  <c r="X637" i="1"/>
  <c r="X12" i="1"/>
  <c r="X13" i="1"/>
  <c r="X1146" i="1"/>
  <c r="X14" i="1"/>
  <c r="X544" i="1"/>
  <c r="X15" i="1" s="1"/>
  <c r="X16" i="1"/>
  <c r="X17" i="1"/>
  <c r="X18" i="1"/>
  <c r="Y8" i="1"/>
  <c r="Y9" i="1"/>
  <c r="Y10" i="1"/>
  <c r="Y11" i="1"/>
  <c r="Y637" i="1"/>
  <c r="Y12" i="1" s="1"/>
  <c r="Y13" i="1"/>
  <c r="Y607" i="1"/>
  <c r="Y14" i="1" s="1"/>
  <c r="Y1146" i="1"/>
  <c r="Y181" i="1"/>
  <c r="Y15" i="1" s="1"/>
  <c r="Y16" i="1"/>
  <c r="Y325" i="1"/>
  <c r="Y17" i="1" s="1"/>
  <c r="Y18" i="1"/>
  <c r="Z431" i="1"/>
  <c r="Z8" i="1"/>
  <c r="Z9" i="1"/>
  <c r="Z10" i="1"/>
  <c r="Z11" i="1"/>
  <c r="Z637" i="1"/>
  <c r="Z12" i="1" s="1"/>
  <c r="Z226" i="1"/>
  <c r="Z13" i="1" s="1"/>
  <c r="Z607" i="1"/>
  <c r="Z14" i="1" s="1"/>
  <c r="Z1102" i="1"/>
  <c r="Z1146" i="1"/>
  <c r="Z15" i="1"/>
  <c r="Z16" i="1"/>
  <c r="Z325" i="1"/>
  <c r="Z17" i="1"/>
  <c r="Z18" i="1"/>
  <c r="AA8" i="1"/>
  <c r="AA9" i="1"/>
  <c r="AA10" i="1"/>
  <c r="AA11" i="1"/>
  <c r="AA637" i="1"/>
  <c r="AA226" i="1"/>
  <c r="AA13" i="1"/>
  <c r="AA310" i="1"/>
  <c r="AA607" i="1"/>
  <c r="AA603" i="1" s="1"/>
  <c r="AA1102" i="1"/>
  <c r="AA1096" i="1" s="1"/>
  <c r="AA1146" i="1"/>
  <c r="AA1142" i="1" s="1"/>
  <c r="AA67" i="1"/>
  <c r="AA76" i="1"/>
  <c r="AA84" i="1"/>
  <c r="AA103" i="1"/>
  <c r="AA111" i="1"/>
  <c r="AA138" i="1"/>
  <c r="AA144" i="1"/>
  <c r="AA160" i="1"/>
  <c r="AA165" i="1"/>
  <c r="AA172" i="1"/>
  <c r="AA175" i="1"/>
  <c r="AA195" i="1"/>
  <c r="AA200" i="1"/>
  <c r="AA209" i="1"/>
  <c r="AA217" i="1"/>
  <c r="AA224" i="1"/>
  <c r="AA231" i="1"/>
  <c r="AA240" i="1"/>
  <c r="AA249" i="1"/>
  <c r="AA258" i="1"/>
  <c r="AA268" i="1"/>
  <c r="AA278" i="1"/>
  <c r="AA285" i="1"/>
  <c r="AA291" i="1"/>
  <c r="AA296" i="1"/>
  <c r="AA325" i="1"/>
  <c r="AA316" i="1" s="1"/>
  <c r="AA329" i="1"/>
  <c r="AA332" i="1"/>
  <c r="AA340" i="1"/>
  <c r="AA358" i="1"/>
  <c r="AA371" i="1"/>
  <c r="AA375" i="1"/>
  <c r="AA378" i="1"/>
  <c r="AA383" i="1"/>
  <c r="AA385" i="1"/>
  <c r="AA393" i="1"/>
  <c r="AA403" i="1"/>
  <c r="AA413" i="1"/>
  <c r="AA421" i="1"/>
  <c r="AA430" i="1"/>
  <c r="AA445" i="1"/>
  <c r="AA454" i="1"/>
  <c r="AA459" i="1"/>
  <c r="AA468" i="1"/>
  <c r="AA485" i="1"/>
  <c r="AA495" i="1"/>
  <c r="AA502" i="1"/>
  <c r="AA510" i="1"/>
  <c r="AA520" i="1"/>
  <c r="AA529" i="1"/>
  <c r="AA538" i="1"/>
  <c r="AA548" i="1"/>
  <c r="AA557" i="1"/>
  <c r="AA569" i="1"/>
  <c r="AA572" i="1"/>
  <c r="AA576" i="1"/>
  <c r="AA583" i="1"/>
  <c r="AA590" i="1"/>
  <c r="AA600" i="1"/>
  <c r="AA614" i="1"/>
  <c r="AA628" i="1"/>
  <c r="AA654" i="1"/>
  <c r="AA665" i="1"/>
  <c r="AA674" i="1"/>
  <c r="AA689" i="1"/>
  <c r="AA681" i="1" s="1"/>
  <c r="AA693" i="1"/>
  <c r="AA711" i="1"/>
  <c r="AA720" i="1"/>
  <c r="AA731" i="1"/>
  <c r="AA738" i="1"/>
  <c r="AA750" i="1"/>
  <c r="AA758" i="1"/>
  <c r="AA763" i="1"/>
  <c r="AA793" i="1"/>
  <c r="AA800" i="1"/>
  <c r="AA810" i="1"/>
  <c r="AA822" i="1"/>
  <c r="AA829" i="1"/>
  <c r="AA836" i="1"/>
  <c r="AA838" i="1"/>
  <c r="AA852" i="1"/>
  <c r="AA862" i="1"/>
  <c r="AA872" i="1"/>
  <c r="AA886" i="1"/>
  <c r="AA897" i="1"/>
  <c r="AA904" i="1"/>
  <c r="AA915" i="1"/>
  <c r="AA927" i="1"/>
  <c r="AA935" i="1"/>
  <c r="AA950" i="1"/>
  <c r="AA960" i="1"/>
  <c r="AA969" i="1"/>
  <c r="AA977" i="1"/>
  <c r="AA983" i="1"/>
  <c r="AA989" i="1"/>
  <c r="AA996" i="1"/>
  <c r="AA1005" i="1"/>
  <c r="AA1025" i="1"/>
  <c r="AA1035" i="1"/>
  <c r="AA1059" i="1"/>
  <c r="AA1066" i="1"/>
  <c r="AA1086" i="1"/>
  <c r="AA1108" i="1"/>
  <c r="AA1120" i="1"/>
  <c r="AA1126" i="1"/>
  <c r="AA1152" i="1"/>
  <c r="AA1157" i="1"/>
  <c r="AA1167" i="1"/>
  <c r="AA1172" i="1"/>
  <c r="AA1177" i="1"/>
  <c r="AA1185" i="1"/>
  <c r="AA1201" i="1"/>
  <c r="AA1219" i="1"/>
  <c r="AA1222" i="1"/>
  <c r="AA1229" i="1"/>
  <c r="AA1244" i="1"/>
  <c r="AA1250" i="1"/>
  <c r="AA1261" i="1"/>
  <c r="AA1277" i="1"/>
  <c r="AA1274" i="1" s="1"/>
  <c r="AA1282" i="1"/>
  <c r="AA1291" i="1"/>
  <c r="AA1303" i="1"/>
  <c r="AA15" i="1"/>
  <c r="AA16" i="1"/>
  <c r="AA18" i="1"/>
  <c r="AB8" i="1"/>
  <c r="AB9" i="1"/>
  <c r="AB10" i="1"/>
  <c r="AB11" i="1"/>
  <c r="AB637" i="1"/>
  <c r="AB12" i="1"/>
  <c r="AB226" i="1"/>
  <c r="AB13" i="1" s="1"/>
  <c r="AB310" i="1"/>
  <c r="AB741" i="1"/>
  <c r="AB738" i="1" s="1"/>
  <c r="AB1071" i="1"/>
  <c r="AB1102" i="1"/>
  <c r="AB67" i="1"/>
  <c r="AB76" i="1"/>
  <c r="AB84" i="1"/>
  <c r="AB103" i="1"/>
  <c r="AB118" i="1"/>
  <c r="AB138" i="1"/>
  <c r="AB144" i="1"/>
  <c r="AB160" i="1"/>
  <c r="AB165" i="1"/>
  <c r="AB26" i="1" s="1"/>
  <c r="AB172" i="1"/>
  <c r="AB175" i="1"/>
  <c r="AB195" i="1"/>
  <c r="AB200" i="1"/>
  <c r="AB209" i="1"/>
  <c r="AB217" i="1"/>
  <c r="AB224" i="1"/>
  <c r="AB240" i="1"/>
  <c r="AB249" i="1"/>
  <c r="AB258" i="1"/>
  <c r="AB268" i="1"/>
  <c r="AB278" i="1"/>
  <c r="AB285" i="1"/>
  <c r="AB291" i="1"/>
  <c r="AB296" i="1"/>
  <c r="AB305" i="1"/>
  <c r="AB325" i="1"/>
  <c r="AB316" i="1" s="1"/>
  <c r="AB329" i="1"/>
  <c r="AB332" i="1"/>
  <c r="AB340" i="1"/>
  <c r="AB358" i="1"/>
  <c r="AB371" i="1"/>
  <c r="AB375" i="1"/>
  <c r="AB378" i="1"/>
  <c r="AB383" i="1"/>
  <c r="AB385" i="1"/>
  <c r="AB393" i="1"/>
  <c r="AB403" i="1"/>
  <c r="AB413" i="1"/>
  <c r="AB419" i="1"/>
  <c r="AB421" i="1"/>
  <c r="AB430" i="1"/>
  <c r="AB436" i="1"/>
  <c r="AB445" i="1"/>
  <c r="AB454" i="1"/>
  <c r="AB459" i="1"/>
  <c r="AB468" i="1"/>
  <c r="AB485" i="1"/>
  <c r="AB495" i="1"/>
  <c r="AB24" i="1" s="1"/>
  <c r="AB502" i="1"/>
  <c r="AB510" i="1"/>
  <c r="AB520" i="1"/>
  <c r="AB529" i="1"/>
  <c r="AB538" i="1"/>
  <c r="AB548" i="1"/>
  <c r="AB557" i="1"/>
  <c r="AB569" i="1"/>
  <c r="AB572" i="1"/>
  <c r="AB576" i="1"/>
  <c r="AB583" i="1"/>
  <c r="AB590" i="1"/>
  <c r="AB600" i="1"/>
  <c r="AB603" i="1"/>
  <c r="AB614" i="1"/>
  <c r="AB628" i="1"/>
  <c r="AB636" i="1"/>
  <c r="AB654" i="1"/>
  <c r="AB665" i="1"/>
  <c r="AB674" i="1"/>
  <c r="AB681" i="1"/>
  <c r="AB693" i="1"/>
  <c r="AB711" i="1"/>
  <c r="AB720" i="1"/>
  <c r="AB731" i="1"/>
  <c r="AB750" i="1"/>
  <c r="AB758" i="1"/>
  <c r="AB763" i="1"/>
  <c r="AB793" i="1"/>
  <c r="AB800" i="1"/>
  <c r="AB810" i="1"/>
  <c r="AB822" i="1"/>
  <c r="AB829" i="1"/>
  <c r="AB838" i="1"/>
  <c r="AB852" i="1"/>
  <c r="AB862" i="1"/>
  <c r="AB872" i="1"/>
  <c r="AB886" i="1"/>
  <c r="AB897" i="1"/>
  <c r="AB904" i="1"/>
  <c r="AB915" i="1"/>
  <c r="AB927" i="1"/>
  <c r="AB935" i="1"/>
  <c r="AB950" i="1"/>
  <c r="AB960" i="1"/>
  <c r="AB969" i="1"/>
  <c r="AB977" i="1"/>
  <c r="AB983" i="1"/>
  <c r="AB989" i="1"/>
  <c r="AB996" i="1"/>
  <c r="AB1005" i="1"/>
  <c r="AB1025" i="1"/>
  <c r="AB1035" i="1"/>
  <c r="AB1059" i="1"/>
  <c r="AB1066" i="1"/>
  <c r="AB1086" i="1"/>
  <c r="AB1096" i="1"/>
  <c r="AB1108" i="1"/>
  <c r="AB1120" i="1"/>
  <c r="AB1126" i="1"/>
  <c r="AB1146" i="1"/>
  <c r="AB1142" i="1" s="1"/>
  <c r="AB1152" i="1"/>
  <c r="AB1157" i="1"/>
  <c r="AB1167" i="1"/>
  <c r="AB1172" i="1"/>
  <c r="AB1177" i="1"/>
  <c r="AB1185" i="1"/>
  <c r="AB1201" i="1"/>
  <c r="AB1219" i="1"/>
  <c r="AB1222" i="1"/>
  <c r="AB1229" i="1"/>
  <c r="AB1244" i="1"/>
  <c r="AB1250" i="1"/>
  <c r="AB1261" i="1"/>
  <c r="AB1277" i="1"/>
  <c r="AB1274" i="1" s="1"/>
  <c r="AB1282" i="1"/>
  <c r="AB1291" i="1"/>
  <c r="AB1303" i="1"/>
  <c r="AB14" i="1"/>
  <c r="AB15" i="1"/>
  <c r="AB16" i="1"/>
  <c r="AB18" i="1"/>
  <c r="AC8" i="1"/>
  <c r="AC9" i="1"/>
  <c r="AC10" i="1"/>
  <c r="AC11" i="1"/>
  <c r="AC637" i="1"/>
  <c r="AC636" i="1" s="1"/>
  <c r="AC12" i="1"/>
  <c r="AC226" i="1"/>
  <c r="AC262" i="1"/>
  <c r="AC13" i="1" s="1"/>
  <c r="AC161" i="1"/>
  <c r="AC160" i="1" s="1"/>
  <c r="AC227" i="1"/>
  <c r="AC224" i="1" s="1"/>
  <c r="AC310" i="1"/>
  <c r="AC305" i="1" s="1"/>
  <c r="AC741" i="1"/>
  <c r="AC67" i="1"/>
  <c r="AC76" i="1"/>
  <c r="AC84" i="1"/>
  <c r="AC103" i="1"/>
  <c r="AC111" i="1"/>
  <c r="AC138" i="1"/>
  <c r="AC144" i="1"/>
  <c r="AC165" i="1"/>
  <c r="AC172" i="1"/>
  <c r="AC175" i="1"/>
  <c r="AC195" i="1"/>
  <c r="AC200" i="1"/>
  <c r="AC209" i="1"/>
  <c r="AC217" i="1"/>
  <c r="AC231" i="1"/>
  <c r="AC240" i="1"/>
  <c r="AC249" i="1"/>
  <c r="AC268" i="1"/>
  <c r="AC278" i="1"/>
  <c r="AC285" i="1"/>
  <c r="AC291" i="1"/>
  <c r="AC296" i="1"/>
  <c r="AC325" i="1"/>
  <c r="AC316" i="1"/>
  <c r="AC329" i="1"/>
  <c r="AC332" i="1"/>
  <c r="AC340" i="1"/>
  <c r="AC358" i="1"/>
  <c r="AC371" i="1"/>
  <c r="AC375" i="1"/>
  <c r="AC378" i="1"/>
  <c r="AC383" i="1"/>
  <c r="AC385" i="1"/>
  <c r="AC393" i="1"/>
  <c r="AC403" i="1"/>
  <c r="AC413" i="1"/>
  <c r="AC421" i="1"/>
  <c r="AC430" i="1"/>
  <c r="AC436" i="1"/>
  <c r="AC445" i="1"/>
  <c r="AC454" i="1"/>
  <c r="AC459" i="1"/>
  <c r="AC468" i="1"/>
  <c r="AC485" i="1"/>
  <c r="AC495" i="1"/>
  <c r="AC502" i="1"/>
  <c r="AC510" i="1"/>
  <c r="AC520" i="1"/>
  <c r="AC529" i="1"/>
  <c r="AC538" i="1"/>
  <c r="AC548" i="1"/>
  <c r="AC557" i="1"/>
  <c r="AC569" i="1"/>
  <c r="AC572" i="1"/>
  <c r="AC576" i="1"/>
  <c r="AC583" i="1"/>
  <c r="AC590" i="1"/>
  <c r="AC600" i="1"/>
  <c r="AC603" i="1"/>
  <c r="AC614" i="1"/>
  <c r="AC628" i="1"/>
  <c r="AC654" i="1"/>
  <c r="AC665" i="1"/>
  <c r="AC674" i="1"/>
  <c r="AC681" i="1"/>
  <c r="AC693" i="1"/>
  <c r="AC711" i="1"/>
  <c r="AC720" i="1"/>
  <c r="AC731" i="1"/>
  <c r="AC738" i="1"/>
  <c r="AC750" i="1"/>
  <c r="AC758" i="1"/>
  <c r="AC763" i="1"/>
  <c r="AC793" i="1"/>
  <c r="AC800" i="1"/>
  <c r="AC810" i="1"/>
  <c r="AC822" i="1"/>
  <c r="AC829" i="1"/>
  <c r="AC836" i="1"/>
  <c r="AC845" i="1"/>
  <c r="AC838" i="1"/>
  <c r="AC852" i="1"/>
  <c r="AC862" i="1"/>
  <c r="AC872" i="1"/>
  <c r="AC886" i="1"/>
  <c r="AC897" i="1"/>
  <c r="AC904" i="1"/>
  <c r="AC915" i="1"/>
  <c r="AC930" i="1"/>
  <c r="AC927" i="1"/>
  <c r="AC935" i="1"/>
  <c r="AC950" i="1"/>
  <c r="AC958" i="1"/>
  <c r="AC960" i="1"/>
  <c r="AC969" i="1"/>
  <c r="AC977" i="1"/>
  <c r="AC983" i="1"/>
  <c r="AC989" i="1"/>
  <c r="AC996" i="1"/>
  <c r="AC1008" i="1"/>
  <c r="AC1005" i="1"/>
  <c r="AC1025" i="1"/>
  <c r="AC1035" i="1"/>
  <c r="AC1059" i="1"/>
  <c r="AC1071" i="1"/>
  <c r="AC1066" i="1"/>
  <c r="AC1086" i="1"/>
  <c r="AC1102" i="1"/>
  <c r="AC1108" i="1"/>
  <c r="AC1120" i="1"/>
  <c r="AC1126" i="1"/>
  <c r="AC1146" i="1"/>
  <c r="AC1142" i="1"/>
  <c r="AC1152" i="1"/>
  <c r="AC1157" i="1"/>
  <c r="AC1167" i="1"/>
  <c r="AC1172" i="1"/>
  <c r="AC1177" i="1"/>
  <c r="AC1185" i="1"/>
  <c r="AC1201" i="1"/>
  <c r="AC1219" i="1"/>
  <c r="AC1222" i="1"/>
  <c r="AC1229" i="1"/>
  <c r="AC1244" i="1"/>
  <c r="AC1250" i="1"/>
  <c r="AC1261" i="1"/>
  <c r="AC1277" i="1"/>
  <c r="AC1274" i="1" s="1"/>
  <c r="AC1282" i="1"/>
  <c r="CR1282" i="1" s="1"/>
  <c r="AC1291" i="1"/>
  <c r="AC1303" i="1"/>
  <c r="AC15" i="1"/>
  <c r="AC16" i="1"/>
  <c r="AC17" i="1"/>
  <c r="AC18" i="1"/>
  <c r="AD8" i="1"/>
  <c r="AD9" i="1"/>
  <c r="AD10" i="1"/>
  <c r="AD11" i="1"/>
  <c r="AD637" i="1"/>
  <c r="AD636" i="1" s="1"/>
  <c r="AD219" i="1"/>
  <c r="AD226" i="1"/>
  <c r="AD262" i="1"/>
  <c r="AD13" i="1"/>
  <c r="AD220" i="1"/>
  <c r="AD227" i="1"/>
  <c r="AD244" i="1"/>
  <c r="AD301" i="1"/>
  <c r="AD296" i="1" s="1"/>
  <c r="AD67" i="1"/>
  <c r="AD76" i="1"/>
  <c r="AD84" i="1"/>
  <c r="AD103" i="1"/>
  <c r="AD118" i="1"/>
  <c r="AD138" i="1"/>
  <c r="AD144" i="1"/>
  <c r="AD160" i="1"/>
  <c r="AD165" i="1"/>
  <c r="AD172" i="1"/>
  <c r="AD175" i="1"/>
  <c r="AD195" i="1"/>
  <c r="AD200" i="1"/>
  <c r="AD209" i="1"/>
  <c r="AD217" i="1"/>
  <c r="AD231" i="1"/>
  <c r="AD240" i="1"/>
  <c r="AD249" i="1"/>
  <c r="AD258" i="1"/>
  <c r="AD268" i="1"/>
  <c r="AD278" i="1"/>
  <c r="AD285" i="1"/>
  <c r="AD291" i="1"/>
  <c r="AD310" i="1"/>
  <c r="AD305" i="1" s="1"/>
  <c r="AD325" i="1"/>
  <c r="AD316" i="1"/>
  <c r="AD329" i="1"/>
  <c r="AD332" i="1"/>
  <c r="AD340" i="1"/>
  <c r="AD358" i="1"/>
  <c r="AD371" i="1"/>
  <c r="AD375" i="1"/>
  <c r="AD378" i="1"/>
  <c r="AD383" i="1"/>
  <c r="AD385" i="1"/>
  <c r="AD393" i="1"/>
  <c r="AD403" i="1"/>
  <c r="AD417" i="1"/>
  <c r="AD413" i="1"/>
  <c r="AD421" i="1"/>
  <c r="AD430" i="1"/>
  <c r="AD436" i="1"/>
  <c r="AD445" i="1"/>
  <c r="AD454" i="1"/>
  <c r="AD459" i="1"/>
  <c r="AD468" i="1"/>
  <c r="AD485" i="1"/>
  <c r="AD495" i="1"/>
  <c r="AD502" i="1"/>
  <c r="AD510" i="1"/>
  <c r="AD520" i="1"/>
  <c r="AD529" i="1"/>
  <c r="AD538" i="1"/>
  <c r="AD548" i="1"/>
  <c r="AD557" i="1"/>
  <c r="AD569" i="1"/>
  <c r="AD572" i="1"/>
  <c r="AD576" i="1"/>
  <c r="AD583" i="1"/>
  <c r="AD590" i="1"/>
  <c r="AD600" i="1"/>
  <c r="AD603" i="1"/>
  <c r="AD614" i="1"/>
  <c r="AD628" i="1"/>
  <c r="AD654" i="1"/>
  <c r="AD665" i="1"/>
  <c r="AD674" i="1"/>
  <c r="AD687" i="1"/>
  <c r="AD681" i="1"/>
  <c r="AD693" i="1"/>
  <c r="AD711" i="1"/>
  <c r="AD720" i="1"/>
  <c r="AD731" i="1"/>
  <c r="AD738" i="1"/>
  <c r="AD750" i="1"/>
  <c r="AD758" i="1"/>
  <c r="AD763" i="1"/>
  <c r="AD793" i="1"/>
  <c r="AD800" i="1"/>
  <c r="AD814" i="1"/>
  <c r="AD810" i="1" s="1"/>
  <c r="AD822" i="1"/>
  <c r="AD829" i="1"/>
  <c r="AD836" i="1"/>
  <c r="AD845" i="1"/>
  <c r="AD838" i="1"/>
  <c r="AD852" i="1"/>
  <c r="AD862" i="1"/>
  <c r="AD872" i="1"/>
  <c r="AD886" i="1"/>
  <c r="AD897" i="1"/>
  <c r="AD904" i="1"/>
  <c r="AD921" i="1"/>
  <c r="AD915" i="1" s="1"/>
  <c r="AD930" i="1"/>
  <c r="AD927" i="1" s="1"/>
  <c r="AD935" i="1"/>
  <c r="AD950" i="1"/>
  <c r="AD958" i="1"/>
  <c r="AD960" i="1"/>
  <c r="AD969" i="1"/>
  <c r="AD977" i="1"/>
  <c r="AD983" i="1"/>
  <c r="AD989" i="1"/>
  <c r="AD996" i="1"/>
  <c r="AD1008" i="1"/>
  <c r="AD1005" i="1" s="1"/>
  <c r="AD1025" i="1"/>
  <c r="AD1035" i="1"/>
  <c r="AD1059" i="1"/>
  <c r="AD1071" i="1"/>
  <c r="AD1066" i="1" s="1"/>
  <c r="AD1086" i="1"/>
  <c r="AD1102" i="1"/>
  <c r="AD1096" i="1"/>
  <c r="AD1108" i="1"/>
  <c r="AD1120" i="1"/>
  <c r="AD1126" i="1"/>
  <c r="AD1146" i="1"/>
  <c r="AD1142" i="1"/>
  <c r="AD1152" i="1"/>
  <c r="AD1157" i="1"/>
  <c r="AD1167" i="1"/>
  <c r="AD1172" i="1"/>
  <c r="AD1177" i="1"/>
  <c r="AD1185" i="1"/>
  <c r="AD1201" i="1"/>
  <c r="AD1219" i="1"/>
  <c r="AD1222" i="1"/>
  <c r="AD1229" i="1"/>
  <c r="AD1244" i="1"/>
  <c r="AD1250" i="1"/>
  <c r="AD1261" i="1"/>
  <c r="AD1277" i="1"/>
  <c r="AD1274" i="1"/>
  <c r="AD1282" i="1"/>
  <c r="AD1291" i="1"/>
  <c r="AD1303" i="1"/>
  <c r="AD15" i="1"/>
  <c r="AD16" i="1"/>
  <c r="AD18" i="1"/>
  <c r="AE8" i="1"/>
  <c r="AE9" i="1"/>
  <c r="AE10" i="1"/>
  <c r="AE11" i="1"/>
  <c r="AE637" i="1"/>
  <c r="AE636" i="1" s="1"/>
  <c r="AE219" i="1"/>
  <c r="AE226" i="1"/>
  <c r="AE262" i="1"/>
  <c r="AE258" i="1" s="1"/>
  <c r="AE220" i="1"/>
  <c r="AE227" i="1"/>
  <c r="AE244" i="1"/>
  <c r="AE301" i="1"/>
  <c r="AE296" i="1" s="1"/>
  <c r="AE67" i="1"/>
  <c r="AE76" i="1"/>
  <c r="AE84" i="1"/>
  <c r="AE92" i="1"/>
  <c r="AE103" i="1"/>
  <c r="AE111" i="1"/>
  <c r="AE138" i="1"/>
  <c r="AE144" i="1"/>
  <c r="AE160" i="1"/>
  <c r="AE165" i="1"/>
  <c r="AE172" i="1"/>
  <c r="AE175" i="1"/>
  <c r="AE195" i="1"/>
  <c r="AE200" i="1"/>
  <c r="AE209" i="1"/>
  <c r="AE224" i="1"/>
  <c r="AE231" i="1"/>
  <c r="AE240" i="1"/>
  <c r="AE249" i="1"/>
  <c r="AE268" i="1"/>
  <c r="AE278" i="1"/>
  <c r="AE285" i="1"/>
  <c r="AE291" i="1"/>
  <c r="AE310" i="1"/>
  <c r="AE305" i="1"/>
  <c r="AE325" i="1"/>
  <c r="AE316" i="1" s="1"/>
  <c r="AE329" i="1"/>
  <c r="AE332" i="1"/>
  <c r="AE340" i="1"/>
  <c r="AE358" i="1"/>
  <c r="AE371" i="1"/>
  <c r="AE24" i="1" s="1"/>
  <c r="AE375" i="1"/>
  <c r="AE378" i="1"/>
  <c r="AE383" i="1"/>
  <c r="AE385" i="1"/>
  <c r="AE393" i="1"/>
  <c r="AE403" i="1"/>
  <c r="AE413" i="1"/>
  <c r="AE421" i="1"/>
  <c r="AE430" i="1"/>
  <c r="AE436" i="1"/>
  <c r="AE445" i="1"/>
  <c r="AE454" i="1"/>
  <c r="AE459" i="1"/>
  <c r="AE468" i="1"/>
  <c r="AE485" i="1"/>
  <c r="AE495" i="1"/>
  <c r="AE502" i="1"/>
  <c r="AE510" i="1"/>
  <c r="AE520" i="1"/>
  <c r="AE529" i="1"/>
  <c r="AE543" i="1"/>
  <c r="AE545" i="1"/>
  <c r="AE17" i="1" s="1"/>
  <c r="AE548" i="1"/>
  <c r="AE557" i="1"/>
  <c r="AE569" i="1"/>
  <c r="AE572" i="1"/>
  <c r="AE576" i="1"/>
  <c r="AE583" i="1"/>
  <c r="AE590" i="1"/>
  <c r="AE600" i="1"/>
  <c r="AE603" i="1"/>
  <c r="AE614" i="1"/>
  <c r="AE628" i="1"/>
  <c r="AE654" i="1"/>
  <c r="AE665" i="1"/>
  <c r="AE674" i="1"/>
  <c r="AE687" i="1"/>
  <c r="AE681" i="1"/>
  <c r="AE693" i="1"/>
  <c r="AE711" i="1"/>
  <c r="AE720" i="1"/>
  <c r="AE731" i="1"/>
  <c r="AE738" i="1"/>
  <c r="AE750" i="1"/>
  <c r="AE758" i="1"/>
  <c r="AE763" i="1"/>
  <c r="AE793" i="1"/>
  <c r="AE800" i="1"/>
  <c r="AE810" i="1"/>
  <c r="AE822" i="1"/>
  <c r="AE829" i="1"/>
  <c r="AE836" i="1"/>
  <c r="AE845" i="1"/>
  <c r="AE838" i="1"/>
  <c r="AE852" i="1"/>
  <c r="AE862" i="1"/>
  <c r="AE872" i="1"/>
  <c r="AE886" i="1"/>
  <c r="AE897" i="1"/>
  <c r="AE904" i="1"/>
  <c r="AE921" i="1"/>
  <c r="AE915" i="1" s="1"/>
  <c r="AE25" i="1" s="1"/>
  <c r="AE930" i="1"/>
  <c r="AE927" i="1" s="1"/>
  <c r="AE935" i="1"/>
  <c r="AE950" i="1"/>
  <c r="AE958" i="1"/>
  <c r="AE964" i="1"/>
  <c r="AE960" i="1" s="1"/>
  <c r="AE969" i="1"/>
  <c r="AE977" i="1"/>
  <c r="AE983" i="1"/>
  <c r="AE989" i="1"/>
  <c r="AE999" i="1"/>
  <c r="AE996" i="1" s="1"/>
  <c r="AE1008" i="1"/>
  <c r="AE1005" i="1" s="1"/>
  <c r="AE1025" i="1"/>
  <c r="AE1041" i="1"/>
  <c r="AE1035" i="1"/>
  <c r="AE1059" i="1"/>
  <c r="AE1066" i="1"/>
  <c r="AE1086" i="1"/>
  <c r="AE1102" i="1"/>
  <c r="AE1096" i="1"/>
  <c r="AE1108" i="1"/>
  <c r="AE1120" i="1"/>
  <c r="AE1126" i="1"/>
  <c r="AE1146" i="1"/>
  <c r="AE1142" i="1"/>
  <c r="AE1152" i="1"/>
  <c r="AE1157" i="1"/>
  <c r="AE1167" i="1"/>
  <c r="AE1172" i="1"/>
  <c r="AE1177" i="1"/>
  <c r="AE1185" i="1"/>
  <c r="AE1201" i="1"/>
  <c r="AE1219" i="1"/>
  <c r="AE1222" i="1"/>
  <c r="AE1229" i="1"/>
  <c r="AE1244" i="1"/>
  <c r="AE1250" i="1"/>
  <c r="AE1261" i="1"/>
  <c r="AE1277" i="1"/>
  <c r="AE1274" i="1"/>
  <c r="AE1282" i="1"/>
  <c r="AE1291" i="1"/>
  <c r="AE1303" i="1"/>
  <c r="AE15" i="1"/>
  <c r="AE16" i="1"/>
  <c r="AE18" i="1"/>
  <c r="AF8" i="1"/>
  <c r="AF9" i="1"/>
  <c r="AF10" i="1"/>
  <c r="AF11" i="1"/>
  <c r="AF637" i="1"/>
  <c r="AF12" i="1"/>
  <c r="AF219" i="1"/>
  <c r="AF220" i="1" s="1"/>
  <c r="AF262" i="1"/>
  <c r="AF244" i="1"/>
  <c r="AF240" i="1" s="1"/>
  <c r="AF273" i="1"/>
  <c r="AF301" i="1"/>
  <c r="AF67" i="1"/>
  <c r="AF76" i="1"/>
  <c r="AF84" i="1"/>
  <c r="AF92" i="1"/>
  <c r="AF103" i="1"/>
  <c r="AF111" i="1"/>
  <c r="AF138" i="1"/>
  <c r="AF144" i="1"/>
  <c r="AF160" i="1"/>
  <c r="AF165" i="1"/>
  <c r="AF172" i="1"/>
  <c r="AF175" i="1"/>
  <c r="AF195" i="1"/>
  <c r="AF200" i="1"/>
  <c r="AF209" i="1"/>
  <c r="AF217" i="1"/>
  <c r="AF224" i="1"/>
  <c r="AF231" i="1"/>
  <c r="AF249" i="1"/>
  <c r="AF268" i="1"/>
  <c r="AF282" i="1"/>
  <c r="AF278" i="1"/>
  <c r="AF285" i="1"/>
  <c r="AF291" i="1"/>
  <c r="AF296" i="1"/>
  <c r="AF310" i="1"/>
  <c r="AF305" i="1"/>
  <c r="AF316" i="1"/>
  <c r="AF329" i="1"/>
  <c r="AF332" i="1"/>
  <c r="AF340" i="1"/>
  <c r="AF358" i="1"/>
  <c r="AF371" i="1"/>
  <c r="AF375" i="1"/>
  <c r="AF378" i="1"/>
  <c r="AF383" i="1"/>
  <c r="AF385" i="1"/>
  <c r="AF393" i="1"/>
  <c r="AF403" i="1"/>
  <c r="AF413" i="1"/>
  <c r="AF421" i="1"/>
  <c r="AF430" i="1"/>
  <c r="AF445" i="1"/>
  <c r="AF454" i="1"/>
  <c r="AF459" i="1"/>
  <c r="AF468" i="1"/>
  <c r="AF485" i="1"/>
  <c r="AF495" i="1"/>
  <c r="AF502" i="1"/>
  <c r="AF510" i="1"/>
  <c r="AF520" i="1"/>
  <c r="AF529" i="1"/>
  <c r="AF543" i="1"/>
  <c r="AF538" i="1" s="1"/>
  <c r="AF548" i="1"/>
  <c r="AF557" i="1"/>
  <c r="AF569" i="1"/>
  <c r="AF572" i="1"/>
  <c r="AF576" i="1"/>
  <c r="AF583" i="1"/>
  <c r="AF590" i="1"/>
  <c r="AF600" i="1"/>
  <c r="AF603" i="1"/>
  <c r="AF614" i="1"/>
  <c r="AF628" i="1"/>
  <c r="AF636" i="1"/>
  <c r="AF654" i="1"/>
  <c r="AF665" i="1"/>
  <c r="AF674" i="1"/>
  <c r="AF687" i="1"/>
  <c r="AF681" i="1"/>
  <c r="AF693" i="1"/>
  <c r="AF711" i="1"/>
  <c r="AF720" i="1"/>
  <c r="AF731" i="1"/>
  <c r="AF738" i="1"/>
  <c r="AF750" i="1"/>
  <c r="AF758" i="1"/>
  <c r="AF763" i="1"/>
  <c r="AF793" i="1"/>
  <c r="AF800" i="1"/>
  <c r="AF810" i="1"/>
  <c r="AF822" i="1"/>
  <c r="AF829" i="1"/>
  <c r="AF836" i="1"/>
  <c r="AF845" i="1"/>
  <c r="AF838" i="1"/>
  <c r="AF852" i="1"/>
  <c r="AF862" i="1"/>
  <c r="AF872" i="1"/>
  <c r="AF891" i="1"/>
  <c r="AF886" i="1" s="1"/>
  <c r="AF897" i="1"/>
  <c r="AF902" i="1"/>
  <c r="AF904" i="1"/>
  <c r="AF921" i="1"/>
  <c r="AF915" i="1" s="1"/>
  <c r="AF930" i="1"/>
  <c r="AF927" i="1" s="1"/>
  <c r="AF935" i="1"/>
  <c r="AF950" i="1"/>
  <c r="AF958" i="1"/>
  <c r="AF964" i="1"/>
  <c r="AF960" i="1" s="1"/>
  <c r="AF969" i="1"/>
  <c r="AF977" i="1"/>
  <c r="AF983" i="1"/>
  <c r="AF989" i="1"/>
  <c r="AF999" i="1"/>
  <c r="AF996" i="1" s="1"/>
  <c r="AF1008" i="1"/>
  <c r="AF1005" i="1" s="1"/>
  <c r="AF1025" i="1"/>
  <c r="AF1041" i="1"/>
  <c r="AF1035" i="1" s="1"/>
  <c r="AF1059" i="1"/>
  <c r="AF1071" i="1"/>
  <c r="AF1066" i="1"/>
  <c r="AF1086" i="1"/>
  <c r="AF1102" i="1"/>
  <c r="AF1096" i="1"/>
  <c r="AF1108" i="1"/>
  <c r="AF1120" i="1"/>
  <c r="AF1126" i="1"/>
  <c r="AF1146" i="1"/>
  <c r="AF1142" i="1" s="1"/>
  <c r="AF1152" i="1"/>
  <c r="AF1157" i="1"/>
  <c r="AF1167" i="1"/>
  <c r="AF1172" i="1"/>
  <c r="AF1177" i="1"/>
  <c r="AF1185" i="1"/>
  <c r="AF1201" i="1"/>
  <c r="AF1219" i="1"/>
  <c r="AF1222" i="1"/>
  <c r="AF1229" i="1"/>
  <c r="AF1244" i="1"/>
  <c r="AF1250" i="1"/>
  <c r="AF1261" i="1"/>
  <c r="AF1277" i="1"/>
  <c r="AF1274" i="1"/>
  <c r="AF1282" i="1"/>
  <c r="AF1291" i="1"/>
  <c r="AF1303" i="1"/>
  <c r="AF15" i="1"/>
  <c r="AF16" i="1"/>
  <c r="AF17" i="1"/>
  <c r="AF18" i="1"/>
  <c r="AG8" i="1"/>
  <c r="AG9" i="1"/>
  <c r="AG10" i="1"/>
  <c r="AG11" i="1"/>
  <c r="AG202" i="1"/>
  <c r="AG12" i="1" s="1"/>
  <c r="AG637" i="1"/>
  <c r="AG219" i="1"/>
  <c r="AG220" i="1" s="1"/>
  <c r="AG217" i="1" s="1"/>
  <c r="AG226" i="1"/>
  <c r="AG224" i="1" s="1"/>
  <c r="AG262" i="1"/>
  <c r="AG1264" i="1"/>
  <c r="AG13" i="1"/>
  <c r="AG203" i="1"/>
  <c r="AG244" i="1"/>
  <c r="AG273" i="1"/>
  <c r="AG67" i="1"/>
  <c r="AG76" i="1"/>
  <c r="AG84" i="1"/>
  <c r="AG96" i="1"/>
  <c r="AG17" i="1" s="1"/>
  <c r="AG92" i="1"/>
  <c r="AG103" i="1"/>
  <c r="CV103" i="1" s="1"/>
  <c r="AG111" i="1"/>
  <c r="AG138" i="1"/>
  <c r="AG144" i="1"/>
  <c r="AG160" i="1"/>
  <c r="AG165" i="1"/>
  <c r="AG172" i="1"/>
  <c r="AG175" i="1"/>
  <c r="AG195" i="1"/>
  <c r="AG209" i="1"/>
  <c r="AG231" i="1"/>
  <c r="AG240" i="1"/>
  <c r="AG249" i="1"/>
  <c r="AG258" i="1"/>
  <c r="AG268" i="1"/>
  <c r="AG282" i="1"/>
  <c r="AG15" i="1" s="1"/>
  <c r="AG278" i="1"/>
  <c r="AG285" i="1"/>
  <c r="AG291" i="1"/>
  <c r="AG301" i="1"/>
  <c r="AG296" i="1" s="1"/>
  <c r="AG310" i="1"/>
  <c r="AG305" i="1" s="1"/>
  <c r="AG26" i="1" s="1"/>
  <c r="AG325" i="1"/>
  <c r="AG316" i="1" s="1"/>
  <c r="AG329" i="1"/>
  <c r="AG332" i="1"/>
  <c r="AG340" i="1"/>
  <c r="AG358" i="1"/>
  <c r="AG371" i="1"/>
  <c r="AG378" i="1"/>
  <c r="AG383" i="1"/>
  <c r="AG385" i="1"/>
  <c r="AG393" i="1"/>
  <c r="AG403" i="1"/>
  <c r="AG413" i="1"/>
  <c r="AG421" i="1"/>
  <c r="AG430" i="1"/>
  <c r="AG445" i="1"/>
  <c r="AG454" i="1"/>
  <c r="AG459" i="1"/>
  <c r="AG468" i="1"/>
  <c r="AG485" i="1"/>
  <c r="AG495" i="1"/>
  <c r="AG502" i="1"/>
  <c r="AG510" i="1"/>
  <c r="AG520" i="1"/>
  <c r="AG529" i="1"/>
  <c r="AG538" i="1"/>
  <c r="AG546" i="1"/>
  <c r="AG548" i="1"/>
  <c r="AG557" i="1"/>
  <c r="AG569" i="1"/>
  <c r="AG572" i="1"/>
  <c r="AG576" i="1"/>
  <c r="AG583" i="1"/>
  <c r="AG590" i="1"/>
  <c r="AG600" i="1"/>
  <c r="AG603" i="1"/>
  <c r="AG614" i="1"/>
  <c r="AG628" i="1"/>
  <c r="AG636" i="1"/>
  <c r="AG654" i="1"/>
  <c r="AG665" i="1"/>
  <c r="AG674" i="1"/>
  <c r="AG687" i="1"/>
  <c r="AG681" i="1"/>
  <c r="AG693" i="1"/>
  <c r="AG711" i="1"/>
  <c r="AG720" i="1"/>
  <c r="AG731" i="1"/>
  <c r="AG738" i="1"/>
  <c r="AG750" i="1"/>
  <c r="AG758" i="1"/>
  <c r="AG763" i="1"/>
  <c r="AG793" i="1"/>
  <c r="AG806" i="1"/>
  <c r="AG800" i="1"/>
  <c r="AG810" i="1"/>
  <c r="AG822" i="1"/>
  <c r="AG829" i="1"/>
  <c r="AG836" i="1"/>
  <c r="AG845" i="1"/>
  <c r="AG838" i="1"/>
  <c r="AG852" i="1"/>
  <c r="AG862" i="1"/>
  <c r="AG872" i="1"/>
  <c r="AG886" i="1"/>
  <c r="AG895" i="1"/>
  <c r="AG897" i="1"/>
  <c r="AG902" i="1"/>
  <c r="AG904" i="1"/>
  <c r="AG921" i="1"/>
  <c r="AG915" i="1" s="1"/>
  <c r="AG930" i="1"/>
  <c r="AG927" i="1" s="1"/>
  <c r="AG933" i="1"/>
  <c r="AG935" i="1"/>
  <c r="AG950" i="1"/>
  <c r="AG958" i="1"/>
  <c r="AG960" i="1"/>
  <c r="AG969" i="1"/>
  <c r="AG977" i="1"/>
  <c r="AG983" i="1"/>
  <c r="AG989" i="1"/>
  <c r="AG999" i="1"/>
  <c r="AG996" i="1"/>
  <c r="AG1008" i="1"/>
  <c r="AG1005" i="1" s="1"/>
  <c r="AG1025" i="1"/>
  <c r="AG1041" i="1"/>
  <c r="AG1043" i="1"/>
  <c r="AG1035" i="1"/>
  <c r="AG1059" i="1"/>
  <c r="AG1071" i="1"/>
  <c r="AG1066" i="1" s="1"/>
  <c r="AG1086" i="1"/>
  <c r="AG1102" i="1"/>
  <c r="AG1096" i="1"/>
  <c r="AG1108" i="1"/>
  <c r="AG1120" i="1"/>
  <c r="AG1126" i="1"/>
  <c r="AG1146" i="1"/>
  <c r="AG1142" i="1"/>
  <c r="AG1152" i="1"/>
  <c r="AG1157" i="1"/>
  <c r="AG1167" i="1"/>
  <c r="AG1172" i="1"/>
  <c r="AG1177" i="1"/>
  <c r="AG1185" i="1"/>
  <c r="AG1204" i="1"/>
  <c r="AG1201" i="1"/>
  <c r="AG1219" i="1"/>
  <c r="AG1222" i="1"/>
  <c r="AG1229" i="1"/>
  <c r="AG1244" i="1"/>
  <c r="AG1250" i="1"/>
  <c r="AG1261" i="1"/>
  <c r="AG1277" i="1"/>
  <c r="AG1274" i="1" s="1"/>
  <c r="AG1282" i="1"/>
  <c r="AG1291" i="1"/>
  <c r="AG1303" i="1"/>
  <c r="AG16" i="1"/>
  <c r="AG18" i="1"/>
  <c r="AH8" i="1"/>
  <c r="AH9" i="1"/>
  <c r="AH10" i="1"/>
  <c r="AH11" i="1"/>
  <c r="AH593" i="1"/>
  <c r="AH637" i="1"/>
  <c r="AH12" i="1" s="1"/>
  <c r="AH219" i="1"/>
  <c r="AH262" i="1"/>
  <c r="AH258" i="1" s="1"/>
  <c r="AH578" i="1"/>
  <c r="AH576" i="1" s="1"/>
  <c r="AH95" i="1"/>
  <c r="AH244" i="1"/>
  <c r="AH273" i="1"/>
  <c r="AH268" i="1" s="1"/>
  <c r="AH67" i="1"/>
  <c r="AH76" i="1"/>
  <c r="AH84" i="1"/>
  <c r="AH96" i="1"/>
  <c r="AH103" i="1"/>
  <c r="AH111" i="1"/>
  <c r="AH131" i="1"/>
  <c r="AH138" i="1"/>
  <c r="AH142" i="1"/>
  <c r="AH144" i="1"/>
  <c r="AH160" i="1"/>
  <c r="AH165" i="1"/>
  <c r="AH172" i="1"/>
  <c r="AH175" i="1"/>
  <c r="AH195" i="1"/>
  <c r="AH200" i="1"/>
  <c r="AH207" i="1"/>
  <c r="AH209" i="1"/>
  <c r="AH224" i="1"/>
  <c r="AH231" i="1"/>
  <c r="AH240" i="1"/>
  <c r="AH249" i="1"/>
  <c r="AH278" i="1"/>
  <c r="AH285" i="1"/>
  <c r="AH291" i="1"/>
  <c r="AH301" i="1"/>
  <c r="AH296" i="1"/>
  <c r="AH310" i="1"/>
  <c r="AH305" i="1"/>
  <c r="AH322" i="1"/>
  <c r="AH316" i="1" s="1"/>
  <c r="AH329" i="1"/>
  <c r="AH332" i="1"/>
  <c r="AH340" i="1"/>
  <c r="AH358" i="1"/>
  <c r="AH371" i="1"/>
  <c r="AH378" i="1"/>
  <c r="AH385" i="1"/>
  <c r="AH393" i="1"/>
  <c r="AH403" i="1"/>
  <c r="AH413" i="1"/>
  <c r="AH421" i="1"/>
  <c r="AH430" i="1"/>
  <c r="AH445" i="1"/>
  <c r="AH454" i="1"/>
  <c r="AH462" i="1"/>
  <c r="AH459" i="1"/>
  <c r="AH468" i="1"/>
  <c r="AH485" i="1"/>
  <c r="AH495" i="1"/>
  <c r="AH24" i="1" s="1"/>
  <c r="AH502" i="1"/>
  <c r="AH510" i="1"/>
  <c r="AH25" i="1" s="1"/>
  <c r="AH520" i="1"/>
  <c r="AH533" i="1"/>
  <c r="AH529" i="1" s="1"/>
  <c r="AH538" i="1"/>
  <c r="AH546" i="1"/>
  <c r="AH548" i="1"/>
  <c r="AH557" i="1"/>
  <c r="AH569" i="1"/>
  <c r="AH572" i="1"/>
  <c r="AH583" i="1"/>
  <c r="AH590" i="1"/>
  <c r="AH600" i="1"/>
  <c r="AH603" i="1"/>
  <c r="AH614" i="1"/>
  <c r="AH628" i="1"/>
  <c r="AH654" i="1"/>
  <c r="AH665" i="1"/>
  <c r="AH674" i="1"/>
  <c r="AH687" i="1"/>
  <c r="AH681" i="1"/>
  <c r="AH693" i="1"/>
  <c r="AH711" i="1"/>
  <c r="AH720" i="1"/>
  <c r="AH731" i="1"/>
  <c r="AH741" i="1"/>
  <c r="AH738" i="1"/>
  <c r="AH750" i="1"/>
  <c r="AH760" i="1"/>
  <c r="AH758" i="1"/>
  <c r="AH763" i="1"/>
  <c r="AH793" i="1"/>
  <c r="AH800" i="1"/>
  <c r="AH810" i="1"/>
  <c r="AH818" i="1"/>
  <c r="AH822" i="1"/>
  <c r="AH829" i="1"/>
  <c r="AH836" i="1"/>
  <c r="AH20" i="1" s="1"/>
  <c r="AH845" i="1"/>
  <c r="AH838" i="1" s="1"/>
  <c r="AH852" i="1"/>
  <c r="AH862" i="1"/>
  <c r="AH872" i="1"/>
  <c r="AH891" i="1"/>
  <c r="AH886" i="1"/>
  <c r="AH897" i="1"/>
  <c r="AH904" i="1"/>
  <c r="AH921" i="1"/>
  <c r="AH915" i="1" s="1"/>
  <c r="AH930" i="1"/>
  <c r="AH927" i="1"/>
  <c r="AH935" i="1"/>
  <c r="AH950" i="1"/>
  <c r="AH964" i="1"/>
  <c r="AH960" i="1" s="1"/>
  <c r="AH969" i="1"/>
  <c r="AH977" i="1"/>
  <c r="AH983" i="1"/>
  <c r="AH989" i="1"/>
  <c r="AH999" i="1"/>
  <c r="AH996" i="1"/>
  <c r="AH1005" i="1"/>
  <c r="AH1025" i="1"/>
  <c r="AH1041" i="1"/>
  <c r="AH1043" i="1"/>
  <c r="AH1035" i="1"/>
  <c r="AH1059" i="1"/>
  <c r="AH1066" i="1"/>
  <c r="AH1086" i="1"/>
  <c r="AH1102" i="1"/>
  <c r="AH1096" i="1"/>
  <c r="AH1108" i="1"/>
  <c r="AH1120" i="1"/>
  <c r="AH1126" i="1"/>
  <c r="AH1146" i="1"/>
  <c r="AH1142" i="1"/>
  <c r="AH1152" i="1"/>
  <c r="AH1157" i="1"/>
  <c r="AH1167" i="1"/>
  <c r="AH1172" i="1"/>
  <c r="AH1177" i="1"/>
  <c r="AH1185" i="1"/>
  <c r="AH1201" i="1"/>
  <c r="AH1219" i="1"/>
  <c r="AH1222" i="1"/>
  <c r="AH1229" i="1"/>
  <c r="AH1244" i="1"/>
  <c r="AH1250" i="1"/>
  <c r="AH1265" i="1"/>
  <c r="AH1261" i="1"/>
  <c r="AH1277" i="1"/>
  <c r="AH1274" i="1"/>
  <c r="AH1282" i="1"/>
  <c r="AH1297" i="1"/>
  <c r="AH1291" i="1" s="1"/>
  <c r="AH1303" i="1"/>
  <c r="AH15" i="1"/>
  <c r="AH16" i="1"/>
  <c r="AH18" i="1"/>
  <c r="AI8" i="1"/>
  <c r="AI9" i="1"/>
  <c r="AI10" i="1"/>
  <c r="AI11" i="1"/>
  <c r="AI637" i="1"/>
  <c r="AI219" i="1"/>
  <c r="AI262" i="1"/>
  <c r="AI258" i="1" s="1"/>
  <c r="AI13" i="1"/>
  <c r="AI95" i="1"/>
  <c r="AI220" i="1"/>
  <c r="AI273" i="1"/>
  <c r="AI268" i="1" s="1"/>
  <c r="AI301" i="1"/>
  <c r="AI296" i="1" s="1"/>
  <c r="AI67" i="1"/>
  <c r="AI76" i="1"/>
  <c r="AI84" i="1"/>
  <c r="AI90" i="1"/>
  <c r="AI96" i="1"/>
  <c r="AI92" i="1"/>
  <c r="AI103" i="1"/>
  <c r="AI111" i="1"/>
  <c r="AI122" i="1"/>
  <c r="AI131" i="1"/>
  <c r="AI138" i="1"/>
  <c r="AI142" i="1"/>
  <c r="AI144" i="1"/>
  <c r="AI151" i="1"/>
  <c r="AI160" i="1"/>
  <c r="AI165" i="1"/>
  <c r="AI172" i="1"/>
  <c r="AI175" i="1"/>
  <c r="AI195" i="1"/>
  <c r="AI200" i="1"/>
  <c r="AI207" i="1"/>
  <c r="AI209" i="1"/>
  <c r="AI221" i="1"/>
  <c r="AI217" i="1"/>
  <c r="AI224" i="1"/>
  <c r="AI231" i="1"/>
  <c r="AI240" i="1"/>
  <c r="AI249" i="1"/>
  <c r="AI278" i="1"/>
  <c r="AI285" i="1"/>
  <c r="AI291" i="1"/>
  <c r="AI310" i="1"/>
  <c r="AI305" i="1"/>
  <c r="AI322" i="1"/>
  <c r="AI316" i="1" s="1"/>
  <c r="AI26" i="1" s="1"/>
  <c r="AI329" i="1"/>
  <c r="AI335" i="1"/>
  <c r="AI332" i="1"/>
  <c r="AI340" i="1"/>
  <c r="AI358" i="1"/>
  <c r="AI371" i="1"/>
  <c r="AI378" i="1"/>
  <c r="AI385" i="1"/>
  <c r="AI393" i="1"/>
  <c r="AI403" i="1"/>
  <c r="AI413" i="1"/>
  <c r="AI421" i="1"/>
  <c r="AI430" i="1"/>
  <c r="AI448" i="1"/>
  <c r="AI445" i="1" s="1"/>
  <c r="AI454" i="1"/>
  <c r="AI459" i="1"/>
  <c r="AI468" i="1"/>
  <c r="AI478" i="1"/>
  <c r="AI485" i="1"/>
  <c r="AI495" i="1"/>
  <c r="AI502" i="1"/>
  <c r="AI510" i="1"/>
  <c r="AI520" i="1"/>
  <c r="AI533" i="1"/>
  <c r="AI529" i="1"/>
  <c r="AI538" i="1"/>
  <c r="AI546" i="1"/>
  <c r="AI548" i="1"/>
  <c r="AI564" i="1"/>
  <c r="AI557" i="1"/>
  <c r="AI569" i="1"/>
  <c r="AI572" i="1"/>
  <c r="AI576" i="1"/>
  <c r="AI583" i="1"/>
  <c r="AI590" i="1"/>
  <c r="AI600" i="1"/>
  <c r="AI603" i="1"/>
  <c r="AI614" i="1"/>
  <c r="AI622" i="1"/>
  <c r="AI628" i="1"/>
  <c r="AI647" i="1"/>
  <c r="AI654" i="1"/>
  <c r="AI662" i="1"/>
  <c r="AI665" i="1"/>
  <c r="AI674" i="1"/>
  <c r="AI687" i="1"/>
  <c r="AI681" i="1" s="1"/>
  <c r="AI693" i="1"/>
  <c r="AI711" i="1"/>
  <c r="AI720" i="1"/>
  <c r="AI729" i="1"/>
  <c r="AI731" i="1"/>
  <c r="AI741" i="1"/>
  <c r="AI738" i="1" s="1"/>
  <c r="AI750" i="1"/>
  <c r="AI760" i="1"/>
  <c r="AI758" i="1" s="1"/>
  <c r="AI763" i="1"/>
  <c r="AI774" i="1"/>
  <c r="AI793" i="1"/>
  <c r="AI806" i="1"/>
  <c r="AI800" i="1" s="1"/>
  <c r="AI814" i="1"/>
  <c r="AI810" i="1" s="1"/>
  <c r="AI818" i="1"/>
  <c r="AI822" i="1"/>
  <c r="AI829" i="1"/>
  <c r="AI836" i="1"/>
  <c r="AI845" i="1"/>
  <c r="AI838" i="1"/>
  <c r="AI852" i="1"/>
  <c r="AI862" i="1"/>
  <c r="AI872" i="1"/>
  <c r="AI891" i="1"/>
  <c r="AI886" i="1"/>
  <c r="AI897" i="1"/>
  <c r="AI904" i="1"/>
  <c r="AI915" i="1"/>
  <c r="AI930" i="1"/>
  <c r="AI927" i="1" s="1"/>
  <c r="AI935" i="1"/>
  <c r="AI950" i="1"/>
  <c r="AI964" i="1"/>
  <c r="AI960" i="1" s="1"/>
  <c r="AI969" i="1"/>
  <c r="AI977" i="1"/>
  <c r="AI983" i="1"/>
  <c r="AI989" i="1"/>
  <c r="AI999" i="1"/>
  <c r="AI996" i="1"/>
  <c r="AI1005" i="1"/>
  <c r="AI1025" i="1"/>
  <c r="AI1041" i="1"/>
  <c r="AI1043" i="1"/>
  <c r="AI1035" i="1"/>
  <c r="AI1059" i="1"/>
  <c r="AI1066" i="1"/>
  <c r="AI1086" i="1"/>
  <c r="AI1102" i="1"/>
  <c r="AI1096" i="1" s="1"/>
  <c r="AI1106" i="1"/>
  <c r="AI1108" i="1"/>
  <c r="AI1120" i="1"/>
  <c r="AI1126" i="1"/>
  <c r="AI1135" i="1"/>
  <c r="AI1146" i="1"/>
  <c r="AI1142" i="1" s="1"/>
  <c r="AI1152" i="1"/>
  <c r="AI1157" i="1"/>
  <c r="AI1167" i="1"/>
  <c r="AI1172" i="1"/>
  <c r="AI1177" i="1"/>
  <c r="AI1185" i="1"/>
  <c r="AI1192" i="1"/>
  <c r="AI1201" i="1"/>
  <c r="AI1209" i="1"/>
  <c r="AI1219" i="1"/>
  <c r="AI1222" i="1"/>
  <c r="AI1229" i="1"/>
  <c r="AI1238" i="1"/>
  <c r="AI1244" i="1"/>
  <c r="AI1250" i="1"/>
  <c r="AI1265" i="1"/>
  <c r="AI1261" i="1"/>
  <c r="AI1277" i="1"/>
  <c r="AI1274" i="1"/>
  <c r="AI1282" i="1"/>
  <c r="AI1297" i="1"/>
  <c r="AI1291" i="1"/>
  <c r="AI1303" i="1"/>
  <c r="AI15" i="1"/>
  <c r="AI16" i="1"/>
  <c r="AI18" i="1"/>
  <c r="AJ1014" i="1"/>
  <c r="AJ8" i="1" s="1"/>
  <c r="AJ9" i="1"/>
  <c r="AJ10" i="1"/>
  <c r="AJ11" i="1"/>
  <c r="AJ93" i="1"/>
  <c r="AJ92" i="1" s="1"/>
  <c r="AJ637" i="1"/>
  <c r="AJ636" i="1" s="1"/>
  <c r="AJ219" i="1"/>
  <c r="AJ13" i="1" s="1"/>
  <c r="AJ226" i="1"/>
  <c r="AJ227" i="1" s="1"/>
  <c r="AJ262" i="1"/>
  <c r="AJ380" i="1"/>
  <c r="AJ95" i="1"/>
  <c r="AJ273" i="1"/>
  <c r="AJ67" i="1"/>
  <c r="AJ76" i="1"/>
  <c r="AJ84" i="1"/>
  <c r="AJ90" i="1"/>
  <c r="AJ96" i="1"/>
  <c r="AJ103" i="1"/>
  <c r="AJ111" i="1"/>
  <c r="AJ126" i="1"/>
  <c r="AJ122" i="1"/>
  <c r="AJ129" i="1"/>
  <c r="AJ131" i="1"/>
  <c r="AJ138" i="1"/>
  <c r="AJ144" i="1"/>
  <c r="AJ151" i="1"/>
  <c r="AJ160" i="1"/>
  <c r="AJ165" i="1"/>
  <c r="AJ172" i="1"/>
  <c r="AJ175" i="1"/>
  <c r="AJ186" i="1"/>
  <c r="AJ195" i="1"/>
  <c r="AJ200" i="1"/>
  <c r="AJ207" i="1"/>
  <c r="AJ209" i="1"/>
  <c r="AJ231" i="1"/>
  <c r="AJ240" i="1"/>
  <c r="AJ249" i="1"/>
  <c r="AJ258" i="1"/>
  <c r="AJ268" i="1"/>
  <c r="AJ278" i="1"/>
  <c r="AJ285" i="1"/>
  <c r="AJ291" i="1"/>
  <c r="AJ301" i="1"/>
  <c r="AJ296" i="1"/>
  <c r="AJ310" i="1"/>
  <c r="AJ305" i="1"/>
  <c r="AJ316" i="1"/>
  <c r="AJ329" i="1"/>
  <c r="AJ335" i="1"/>
  <c r="AJ332" i="1"/>
  <c r="AJ340" i="1"/>
  <c r="AJ351" i="1"/>
  <c r="AJ358" i="1"/>
  <c r="AJ371" i="1"/>
  <c r="AJ378" i="1"/>
  <c r="AJ385" i="1"/>
  <c r="AJ393" i="1"/>
  <c r="AJ403" i="1"/>
  <c r="AJ417" i="1"/>
  <c r="AJ413" i="1" s="1"/>
  <c r="AJ421" i="1"/>
  <c r="AJ430" i="1"/>
  <c r="AJ448" i="1"/>
  <c r="AJ445" i="1"/>
  <c r="AJ454" i="1"/>
  <c r="AJ459" i="1"/>
  <c r="AJ468" i="1"/>
  <c r="AJ478" i="1"/>
  <c r="AJ485" i="1"/>
  <c r="AJ495" i="1"/>
  <c r="AJ502" i="1"/>
  <c r="AJ510" i="1"/>
  <c r="AJ520" i="1"/>
  <c r="AJ533" i="1"/>
  <c r="AJ529" i="1" s="1"/>
  <c r="AJ538" i="1"/>
  <c r="AJ546" i="1"/>
  <c r="AJ548" i="1"/>
  <c r="AJ557" i="1"/>
  <c r="AJ569" i="1"/>
  <c r="AJ572" i="1"/>
  <c r="AJ576" i="1"/>
  <c r="AJ583" i="1"/>
  <c r="AJ590" i="1"/>
  <c r="AJ600" i="1"/>
  <c r="AJ603" i="1"/>
  <c r="AJ614" i="1"/>
  <c r="AJ622" i="1"/>
  <c r="AJ631" i="1"/>
  <c r="AJ628" i="1"/>
  <c r="AJ647" i="1"/>
  <c r="AJ654" i="1"/>
  <c r="AJ662" i="1"/>
  <c r="AJ665" i="1"/>
  <c r="AJ674" i="1"/>
  <c r="AJ687" i="1"/>
  <c r="AJ681" i="1"/>
  <c r="AJ693" i="1"/>
  <c r="AJ698" i="1"/>
  <c r="AJ707" i="1"/>
  <c r="AJ708" i="1"/>
  <c r="AJ711" i="1"/>
  <c r="AJ720" i="1"/>
  <c r="AJ729" i="1"/>
  <c r="AJ731" i="1"/>
  <c r="AJ741" i="1"/>
  <c r="AJ738" i="1" s="1"/>
  <c r="AJ750" i="1"/>
  <c r="AJ760" i="1"/>
  <c r="AJ758" i="1" s="1"/>
  <c r="AJ763" i="1"/>
  <c r="AJ772" i="1"/>
  <c r="AJ774" i="1"/>
  <c r="AJ782" i="1"/>
  <c r="AJ793" i="1"/>
  <c r="AJ800" i="1"/>
  <c r="AJ814" i="1"/>
  <c r="AJ810" i="1" s="1"/>
  <c r="AJ818" i="1"/>
  <c r="AJ822" i="1"/>
  <c r="AJ829" i="1"/>
  <c r="AJ836" i="1"/>
  <c r="AJ845" i="1"/>
  <c r="AJ838" i="1"/>
  <c r="AJ856" i="1"/>
  <c r="AJ852" i="1" s="1"/>
  <c r="AJ862" i="1"/>
  <c r="AJ886" i="1"/>
  <c r="AJ879" i="1" s="1"/>
  <c r="AJ895" i="1"/>
  <c r="AJ897" i="1"/>
  <c r="AJ904" i="1"/>
  <c r="AJ924" i="1"/>
  <c r="AJ915" i="1" s="1"/>
  <c r="AJ927" i="1"/>
  <c r="AJ935" i="1"/>
  <c r="AJ950" i="1"/>
  <c r="AJ964" i="1"/>
  <c r="AJ960" i="1" s="1"/>
  <c r="AJ969" i="1"/>
  <c r="AJ977" i="1"/>
  <c r="AJ983" i="1"/>
  <c r="AJ989" i="1"/>
  <c r="AJ999" i="1"/>
  <c r="AJ996" i="1"/>
  <c r="AJ1005" i="1"/>
  <c r="AJ1018" i="1"/>
  <c r="AJ1019" i="1"/>
  <c r="AJ16" i="1" s="1"/>
  <c r="AJ1013" i="1"/>
  <c r="AJ1025" i="1"/>
  <c r="AJ1041" i="1"/>
  <c r="AJ1043" i="1"/>
  <c r="AJ1035" i="1" s="1"/>
  <c r="AJ1053" i="1"/>
  <c r="AJ1057" i="1"/>
  <c r="AJ1059" i="1"/>
  <c r="AJ1066" i="1"/>
  <c r="AJ1086" i="1"/>
  <c r="AJ1102" i="1"/>
  <c r="AJ1096" i="1"/>
  <c r="AJ1108" i="1"/>
  <c r="AJ1120" i="1"/>
  <c r="AJ1126" i="1"/>
  <c r="AJ1135" i="1"/>
  <c r="AJ1140" i="1"/>
  <c r="AJ1146" i="1"/>
  <c r="AJ1142" i="1"/>
  <c r="AJ1152" i="1"/>
  <c r="AJ1157" i="1"/>
  <c r="AJ1167" i="1"/>
  <c r="AJ1172" i="1"/>
  <c r="AJ1177" i="1"/>
  <c r="AJ1185" i="1"/>
  <c r="AJ1192" i="1"/>
  <c r="AJ1204" i="1"/>
  <c r="AJ1201" i="1"/>
  <c r="AJ1209" i="1"/>
  <c r="AJ1219" i="1"/>
  <c r="AJ1222" i="1"/>
  <c r="AJ1229" i="1"/>
  <c r="AJ1238" i="1"/>
  <c r="AJ1244" i="1"/>
  <c r="AJ1250" i="1"/>
  <c r="AJ1265" i="1"/>
  <c r="AJ1261" i="1"/>
  <c r="AJ1277" i="1"/>
  <c r="AJ1274" i="1"/>
  <c r="AJ1297" i="1"/>
  <c r="AJ1291" i="1"/>
  <c r="AJ1303" i="1"/>
  <c r="AK8" i="1"/>
  <c r="AK9" i="1"/>
  <c r="AK10" i="1"/>
  <c r="AK11" i="1"/>
  <c r="AK432" i="1"/>
  <c r="AK637" i="1"/>
  <c r="AK12" i="1"/>
  <c r="AK219" i="1"/>
  <c r="AK380" i="1"/>
  <c r="AK378" i="1" s="1"/>
  <c r="AK95" i="1"/>
  <c r="AK203" i="1"/>
  <c r="AK220" i="1"/>
  <c r="AK273" i="1"/>
  <c r="AK268" i="1" s="1"/>
  <c r="AK67" i="1"/>
  <c r="AK76" i="1"/>
  <c r="AK84" i="1"/>
  <c r="AK90" i="1"/>
  <c r="AK96" i="1"/>
  <c r="AK103" i="1"/>
  <c r="AK111" i="1"/>
  <c r="AK126" i="1"/>
  <c r="AK122" i="1"/>
  <c r="AK131" i="1"/>
  <c r="AK138" i="1"/>
  <c r="AK144" i="1"/>
  <c r="AK151" i="1"/>
  <c r="AK160" i="1"/>
  <c r="AK165" i="1"/>
  <c r="AK172" i="1"/>
  <c r="AK175" i="1"/>
  <c r="AK186" i="1"/>
  <c r="AK195" i="1"/>
  <c r="AK200" i="1"/>
  <c r="AK207" i="1"/>
  <c r="AK209" i="1"/>
  <c r="AK224" i="1"/>
  <c r="AK231" i="1"/>
  <c r="AK240" i="1"/>
  <c r="AK249" i="1"/>
  <c r="AK258" i="1"/>
  <c r="AK278" i="1"/>
  <c r="AK285" i="1"/>
  <c r="AK291" i="1"/>
  <c r="AK301" i="1"/>
  <c r="AK296" i="1"/>
  <c r="AK310" i="1"/>
  <c r="AK305" i="1"/>
  <c r="AK316" i="1"/>
  <c r="AK329" i="1"/>
  <c r="AK335" i="1"/>
  <c r="AK332" i="1"/>
  <c r="AK340" i="1"/>
  <c r="AK351" i="1"/>
  <c r="AK358" i="1"/>
  <c r="AK367" i="1"/>
  <c r="AK371" i="1"/>
  <c r="AK385" i="1"/>
  <c r="AK396" i="1"/>
  <c r="AK393" i="1"/>
  <c r="AK403" i="1"/>
  <c r="AK417" i="1"/>
  <c r="AK413" i="1"/>
  <c r="AK421" i="1"/>
  <c r="AK434" i="1"/>
  <c r="AK438" i="1"/>
  <c r="AK448" i="1"/>
  <c r="AK445" i="1"/>
  <c r="AK454" i="1"/>
  <c r="AK459" i="1"/>
  <c r="AK468" i="1"/>
  <c r="AK478" i="1"/>
  <c r="AK485" i="1"/>
  <c r="AK495" i="1"/>
  <c r="AK502" i="1"/>
  <c r="AK510" i="1"/>
  <c r="AK520" i="1"/>
  <c r="AK533" i="1"/>
  <c r="AK529" i="1"/>
  <c r="AK538" i="1"/>
  <c r="AK546" i="1"/>
  <c r="AK553" i="1"/>
  <c r="AK548" i="1"/>
  <c r="AK564" i="1"/>
  <c r="AK557" i="1" s="1"/>
  <c r="AK569" i="1"/>
  <c r="AK574" i="1"/>
  <c r="AK572" i="1" s="1"/>
  <c r="AK576" i="1"/>
  <c r="AK583" i="1"/>
  <c r="AK590" i="1"/>
  <c r="AK600" i="1"/>
  <c r="AK24" i="1" s="1"/>
  <c r="AK607" i="1"/>
  <c r="AK603" i="1" s="1"/>
  <c r="AK614" i="1"/>
  <c r="AK622" i="1"/>
  <c r="AK631" i="1"/>
  <c r="AK628" i="1" s="1"/>
  <c r="AK636" i="1"/>
  <c r="AK650" i="1"/>
  <c r="AK647" i="1"/>
  <c r="AK654" i="1"/>
  <c r="AK662" i="1"/>
  <c r="AK665" i="1"/>
  <c r="AK674" i="1"/>
  <c r="AK687" i="1"/>
  <c r="AK681" i="1"/>
  <c r="AK693" i="1"/>
  <c r="AK699" i="1"/>
  <c r="AK698" i="1"/>
  <c r="AK708" i="1"/>
  <c r="AK711" i="1"/>
  <c r="AK720" i="1"/>
  <c r="AK729" i="1"/>
  <c r="AK731" i="1"/>
  <c r="AK738" i="1"/>
  <c r="AK750" i="1"/>
  <c r="AK760" i="1"/>
  <c r="AK758" i="1" s="1"/>
  <c r="AK763" i="1"/>
  <c r="AK772" i="1"/>
  <c r="AK774" i="1"/>
  <c r="AK782" i="1"/>
  <c r="AK793" i="1"/>
  <c r="AK800" i="1"/>
  <c r="AK814" i="1"/>
  <c r="AK810" i="1"/>
  <c r="AK818" i="1"/>
  <c r="AK822" i="1"/>
  <c r="AK829" i="1"/>
  <c r="AK836" i="1"/>
  <c r="AK20" i="1" s="1"/>
  <c r="AK845" i="1"/>
  <c r="AK838" i="1"/>
  <c r="AK856" i="1"/>
  <c r="AK852" i="1" s="1"/>
  <c r="AK862" i="1"/>
  <c r="AK886" i="1"/>
  <c r="AK879" i="1"/>
  <c r="AK872" i="1" s="1"/>
  <c r="AK897" i="1"/>
  <c r="AK904" i="1"/>
  <c r="AK924" i="1"/>
  <c r="AK18" i="1" s="1"/>
  <c r="AK915" i="1"/>
  <c r="AK927" i="1"/>
  <c r="AK935" i="1"/>
  <c r="AK950" i="1"/>
  <c r="AK964" i="1"/>
  <c r="AK960" i="1" s="1"/>
  <c r="AK969" i="1"/>
  <c r="AK977" i="1"/>
  <c r="AK983" i="1"/>
  <c r="AK989" i="1"/>
  <c r="AK999" i="1"/>
  <c r="AK996" i="1"/>
  <c r="AK1005" i="1"/>
  <c r="AK1018" i="1"/>
  <c r="AK1013" i="1" s="1"/>
  <c r="AK1025" i="1"/>
  <c r="AK1041" i="1"/>
  <c r="AK1035" i="1"/>
  <c r="AK1046" i="1"/>
  <c r="AK1053" i="1"/>
  <c r="AK1059" i="1"/>
  <c r="AK1064" i="1"/>
  <c r="AK1066" i="1"/>
  <c r="AK1086" i="1"/>
  <c r="AK1102" i="1"/>
  <c r="AK1096" i="1" s="1"/>
  <c r="AK1108" i="1"/>
  <c r="AK1120" i="1"/>
  <c r="AK1126" i="1"/>
  <c r="AK1135" i="1"/>
  <c r="AK1140" i="1"/>
  <c r="AK1146" i="1"/>
  <c r="AK1142" i="1" s="1"/>
  <c r="AK1152" i="1"/>
  <c r="AK1157" i="1"/>
  <c r="AK1167" i="1"/>
  <c r="AK1172" i="1"/>
  <c r="AK1177" i="1"/>
  <c r="AK1185" i="1"/>
  <c r="AK1192" i="1"/>
  <c r="AK1204" i="1"/>
  <c r="AK1201" i="1" s="1"/>
  <c r="AK1209" i="1"/>
  <c r="AK1219" i="1"/>
  <c r="AK1222" i="1"/>
  <c r="AK1229" i="1"/>
  <c r="AK1238" i="1"/>
  <c r="AK1244" i="1"/>
  <c r="AK1248" i="1"/>
  <c r="AK1250" i="1"/>
  <c r="AK1265" i="1"/>
  <c r="AK1261" i="1"/>
  <c r="AK1277" i="1"/>
  <c r="AK1274" i="1"/>
  <c r="AK1297" i="1"/>
  <c r="AK1291" i="1"/>
  <c r="AK1303" i="1"/>
  <c r="AK15" i="1"/>
  <c r="AK16" i="1"/>
  <c r="AL8" i="1"/>
  <c r="AL9" i="1"/>
  <c r="AL10" i="1"/>
  <c r="AL11" i="1"/>
  <c r="AL93" i="1"/>
  <c r="AL12" i="1" s="1"/>
  <c r="AL637" i="1"/>
  <c r="AL219" i="1"/>
  <c r="AL380" i="1"/>
  <c r="AL79" i="1"/>
  <c r="AL76" i="1" s="1"/>
  <c r="AL95" i="1"/>
  <c r="AL211" i="1"/>
  <c r="AL273" i="1"/>
  <c r="AL67" i="1"/>
  <c r="AL84" i="1"/>
  <c r="AL90" i="1"/>
  <c r="AL96" i="1"/>
  <c r="AL92" i="1"/>
  <c r="AL103" i="1"/>
  <c r="AL111" i="1"/>
  <c r="AL126" i="1"/>
  <c r="AL122" i="1" s="1"/>
  <c r="AL129" i="1"/>
  <c r="AL131" i="1"/>
  <c r="AL138" i="1"/>
  <c r="AL144" i="1"/>
  <c r="AL151" i="1"/>
  <c r="AL160" i="1"/>
  <c r="AL165" i="1"/>
  <c r="AL172" i="1"/>
  <c r="AL175" i="1"/>
  <c r="AL186" i="1"/>
  <c r="AL195" i="1"/>
  <c r="AL200" i="1"/>
  <c r="AL207" i="1"/>
  <c r="AL209" i="1"/>
  <c r="AL224" i="1"/>
  <c r="AL231" i="1"/>
  <c r="AL240" i="1"/>
  <c r="AL249" i="1"/>
  <c r="AL258" i="1"/>
  <c r="AL268" i="1"/>
  <c r="AL278" i="1"/>
  <c r="AL285" i="1"/>
  <c r="AL291" i="1"/>
  <c r="AL301" i="1"/>
  <c r="AL296" i="1" s="1"/>
  <c r="AL310" i="1"/>
  <c r="AL305" i="1" s="1"/>
  <c r="AL316" i="1"/>
  <c r="AL329" i="1"/>
  <c r="AL332" i="1"/>
  <c r="AL340" i="1"/>
  <c r="AL351" i="1"/>
  <c r="AL355" i="1"/>
  <c r="AL18" i="1" s="1"/>
  <c r="AL358" i="1"/>
  <c r="AL367" i="1"/>
  <c r="AL371" i="1"/>
  <c r="AL378" i="1"/>
  <c r="AL385" i="1"/>
  <c r="AL396" i="1"/>
  <c r="AL393" i="1" s="1"/>
  <c r="AL403" i="1"/>
  <c r="AL417" i="1"/>
  <c r="AL413" i="1"/>
  <c r="AL421" i="1"/>
  <c r="AL430" i="1"/>
  <c r="AL438" i="1"/>
  <c r="AL448" i="1"/>
  <c r="AL445" i="1"/>
  <c r="AL454" i="1"/>
  <c r="AL459" i="1"/>
  <c r="AL468" i="1"/>
  <c r="AL478" i="1"/>
  <c r="AL485" i="1"/>
  <c r="AL495" i="1"/>
  <c r="AL502" i="1"/>
  <c r="AL510" i="1"/>
  <c r="AL524" i="1"/>
  <c r="AL520" i="1"/>
  <c r="AL533" i="1"/>
  <c r="AL529" i="1" s="1"/>
  <c r="AL543" i="1"/>
  <c r="AL538" i="1" s="1"/>
  <c r="AL553" i="1"/>
  <c r="AL548" i="1" s="1"/>
  <c r="AL557" i="1"/>
  <c r="AL569" i="1"/>
  <c r="AL572" i="1"/>
  <c r="AL576" i="1"/>
  <c r="AL583" i="1"/>
  <c r="AL590" i="1"/>
  <c r="AL600" i="1"/>
  <c r="AL603" i="1"/>
  <c r="AL614" i="1"/>
  <c r="AL622" i="1"/>
  <c r="AL628" i="1"/>
  <c r="AL636" i="1"/>
  <c r="AL650" i="1"/>
  <c r="AL647" i="1"/>
  <c r="AL654" i="1"/>
  <c r="AL662" i="1"/>
  <c r="AL665" i="1"/>
  <c r="AL674" i="1"/>
  <c r="AL687" i="1"/>
  <c r="AL681" i="1" s="1"/>
  <c r="AL693" i="1"/>
  <c r="AL698" i="1"/>
  <c r="AL700" i="1"/>
  <c r="AL702" i="1"/>
  <c r="AL711" i="1"/>
  <c r="AL720" i="1"/>
  <c r="AL729" i="1"/>
  <c r="AL731" i="1"/>
  <c r="AL738" i="1"/>
  <c r="AL750" i="1"/>
  <c r="AL758" i="1"/>
  <c r="AL763" i="1"/>
  <c r="AL772" i="1"/>
  <c r="AL774" i="1"/>
  <c r="AL782" i="1"/>
  <c r="AL793" i="1"/>
  <c r="AL800" i="1"/>
  <c r="AL814" i="1"/>
  <c r="AL810" i="1"/>
  <c r="AL818" i="1"/>
  <c r="AL822" i="1"/>
  <c r="AL829" i="1"/>
  <c r="AL836" i="1"/>
  <c r="AL838" i="1"/>
  <c r="AL856" i="1"/>
  <c r="AL852" i="1"/>
  <c r="AL862" i="1"/>
  <c r="AL886" i="1"/>
  <c r="AL879" i="1" s="1"/>
  <c r="AL872" i="1" s="1"/>
  <c r="AL897" i="1"/>
  <c r="AL904" i="1"/>
  <c r="AL921" i="1"/>
  <c r="AL924" i="1"/>
  <c r="AL915" i="1"/>
  <c r="AL927" i="1"/>
  <c r="AL935" i="1"/>
  <c r="AL950" i="1"/>
  <c r="AL964" i="1"/>
  <c r="AL960" i="1"/>
  <c r="AL969" i="1"/>
  <c r="AL977" i="1"/>
  <c r="AL983" i="1"/>
  <c r="AL989" i="1"/>
  <c r="AL999" i="1"/>
  <c r="AL996" i="1"/>
  <c r="AL1008" i="1"/>
  <c r="AL1005" i="1"/>
  <c r="AL1018" i="1"/>
  <c r="AL1025" i="1"/>
  <c r="AL1041" i="1"/>
  <c r="AL1035" i="1" s="1"/>
  <c r="DA1035" i="1" s="1"/>
  <c r="AL1046" i="1"/>
  <c r="AL1053" i="1"/>
  <c r="AL1059" i="1"/>
  <c r="AL1066" i="1"/>
  <c r="AL1086" i="1"/>
  <c r="AL1102" i="1"/>
  <c r="AL1096" i="1" s="1"/>
  <c r="AL1108" i="1"/>
  <c r="AL1120" i="1"/>
  <c r="AL1126" i="1"/>
  <c r="AL1135" i="1"/>
  <c r="AL1140" i="1"/>
  <c r="AL1146" i="1"/>
  <c r="AL1142" i="1"/>
  <c r="AL1152" i="1"/>
  <c r="AL1157" i="1"/>
  <c r="AL1167" i="1"/>
  <c r="AL1172" i="1"/>
  <c r="AL1177" i="1"/>
  <c r="AL1185" i="1"/>
  <c r="AL1192" i="1"/>
  <c r="AL1204" i="1"/>
  <c r="AL1201" i="1" s="1"/>
  <c r="AL1209" i="1"/>
  <c r="AL1219" i="1"/>
  <c r="AL1222" i="1"/>
  <c r="AL1229" i="1"/>
  <c r="AL1238" i="1"/>
  <c r="AL1244" i="1"/>
  <c r="AL1250" i="1"/>
  <c r="AL1265" i="1"/>
  <c r="AL1261" i="1" s="1"/>
  <c r="AL1277" i="1"/>
  <c r="AL1274" i="1"/>
  <c r="AL1297" i="1"/>
  <c r="AL1291" i="1" s="1"/>
  <c r="AL1303" i="1"/>
  <c r="AL15" i="1"/>
  <c r="AL16" i="1"/>
  <c r="AL17" i="1"/>
  <c r="AM8" i="1"/>
  <c r="AM9" i="1"/>
  <c r="AM10" i="1"/>
  <c r="AM11" i="1"/>
  <c r="AM93" i="1"/>
  <c r="AM637" i="1"/>
  <c r="BA1100" i="1"/>
  <c r="AZ1100" i="1"/>
  <c r="AY1100" i="1" s="1"/>
  <c r="AX1100" i="1" s="1"/>
  <c r="AW1100" i="1" s="1"/>
  <c r="AV1100" i="1" s="1"/>
  <c r="AU1100" i="1" s="1"/>
  <c r="AM219" i="1"/>
  <c r="AM220" i="1" s="1"/>
  <c r="AM226" i="1"/>
  <c r="AM380" i="1"/>
  <c r="AM79" i="1"/>
  <c r="AM95" i="1"/>
  <c r="AM67" i="1"/>
  <c r="AM76" i="1"/>
  <c r="AM84" i="1"/>
  <c r="AM90" i="1"/>
  <c r="AM96" i="1"/>
  <c r="AM92" i="1" s="1"/>
  <c r="AM103" i="1"/>
  <c r="AM111" i="1"/>
  <c r="AM126" i="1"/>
  <c r="AM122" i="1"/>
  <c r="AM129" i="1"/>
  <c r="AM131" i="1"/>
  <c r="AM138" i="1"/>
  <c r="AM142" i="1"/>
  <c r="AM20" i="1" s="1"/>
  <c r="AM144" i="1"/>
  <c r="AM151" i="1"/>
  <c r="AM158" i="1"/>
  <c r="AM160" i="1"/>
  <c r="AM165" i="1"/>
  <c r="AM172" i="1"/>
  <c r="AM175" i="1"/>
  <c r="AM186" i="1"/>
  <c r="AM195" i="1"/>
  <c r="AM200" i="1"/>
  <c r="AM209" i="1"/>
  <c r="AM231" i="1"/>
  <c r="AM240" i="1"/>
  <c r="AM249" i="1"/>
  <c r="AM263" i="1"/>
  <c r="AM258" i="1" s="1"/>
  <c r="AM273" i="1"/>
  <c r="AM268" i="1"/>
  <c r="AM278" i="1"/>
  <c r="AM286" i="1"/>
  <c r="AM285" i="1" s="1"/>
  <c r="AM25" i="1" s="1"/>
  <c r="AM291" i="1"/>
  <c r="AM301" i="1"/>
  <c r="AM296" i="1"/>
  <c r="AM310" i="1"/>
  <c r="AM305" i="1"/>
  <c r="AM322" i="1"/>
  <c r="AM316" i="1" s="1"/>
  <c r="AM329" i="1"/>
  <c r="AM332" i="1"/>
  <c r="AM340" i="1"/>
  <c r="AM351" i="1"/>
  <c r="AM358" i="1"/>
  <c r="AM367" i="1"/>
  <c r="AM371" i="1"/>
  <c r="AM378" i="1"/>
  <c r="AM385" i="1"/>
  <c r="AM396" i="1"/>
  <c r="AM393" i="1" s="1"/>
  <c r="AM403" i="1"/>
  <c r="AM413" i="1"/>
  <c r="AM421" i="1"/>
  <c r="AM434" i="1"/>
  <c r="AM430" i="1"/>
  <c r="AM438" i="1"/>
  <c r="AM448" i="1"/>
  <c r="AM445" i="1"/>
  <c r="AM454" i="1"/>
  <c r="AM459" i="1"/>
  <c r="AM468" i="1"/>
  <c r="AM478" i="1"/>
  <c r="AM485" i="1"/>
  <c r="AM495" i="1"/>
  <c r="AM502" i="1"/>
  <c r="AM510" i="1"/>
  <c r="AM524" i="1"/>
  <c r="AM520" i="1"/>
  <c r="AM529" i="1"/>
  <c r="AM543" i="1"/>
  <c r="AM538" i="1"/>
  <c r="AM548" i="1"/>
  <c r="AM564" i="1"/>
  <c r="AM557" i="1" s="1"/>
  <c r="AM569" i="1"/>
  <c r="AM572" i="1"/>
  <c r="AM576" i="1"/>
  <c r="AM583" i="1"/>
  <c r="AM590" i="1"/>
  <c r="AM600" i="1"/>
  <c r="AM603" i="1"/>
  <c r="AM617" i="1"/>
  <c r="AM614" i="1"/>
  <c r="AM622" i="1"/>
  <c r="AM631" i="1"/>
  <c r="AM628" i="1"/>
  <c r="AM636" i="1"/>
  <c r="AM650" i="1"/>
  <c r="AM647" i="1"/>
  <c r="AM654" i="1"/>
  <c r="AM662" i="1"/>
  <c r="AM665" i="1"/>
  <c r="AM674" i="1"/>
  <c r="AM687" i="1"/>
  <c r="AM681" i="1"/>
  <c r="AM693" i="1"/>
  <c r="AM698" i="1"/>
  <c r="AM700" i="1"/>
  <c r="AM702" i="1"/>
  <c r="AM711" i="1"/>
  <c r="AM720" i="1"/>
  <c r="AM729" i="1"/>
  <c r="AM731" i="1"/>
  <c r="AM741" i="1"/>
  <c r="AM738" i="1" s="1"/>
  <c r="AM753" i="1"/>
  <c r="AM750" i="1" s="1"/>
  <c r="AM758" i="1"/>
  <c r="AM763" i="1"/>
  <c r="AM772" i="1"/>
  <c r="AM774" i="1"/>
  <c r="AM782" i="1"/>
  <c r="AM793" i="1"/>
  <c r="AM800" i="1"/>
  <c r="AM814" i="1"/>
  <c r="AM810" i="1"/>
  <c r="AM818" i="1"/>
  <c r="AM822" i="1"/>
  <c r="AM829" i="1"/>
  <c r="AM836" i="1"/>
  <c r="AM838" i="1"/>
  <c r="AM856" i="1"/>
  <c r="AM852" i="1"/>
  <c r="AM865" i="1"/>
  <c r="AM862" i="1" s="1"/>
  <c r="AM886" i="1"/>
  <c r="AM879" i="1" s="1"/>
  <c r="AM872" i="1" s="1"/>
  <c r="AM897" i="1"/>
  <c r="AM904" i="1"/>
  <c r="AM921" i="1"/>
  <c r="AM915" i="1" s="1"/>
  <c r="AM924" i="1"/>
  <c r="AM927" i="1"/>
  <c r="AM935" i="1"/>
  <c r="AM950" i="1"/>
  <c r="AM964" i="1"/>
  <c r="AM960" i="1" s="1"/>
  <c r="AM969" i="1"/>
  <c r="AM977" i="1"/>
  <c r="AM983" i="1"/>
  <c r="AM989" i="1"/>
  <c r="AM999" i="1"/>
  <c r="AM996" i="1"/>
  <c r="AM1005" i="1"/>
  <c r="AM1018" i="1"/>
  <c r="AM1013" i="1"/>
  <c r="AM1025" i="1"/>
  <c r="AM1035" i="1"/>
  <c r="AM1046" i="1"/>
  <c r="AM1053" i="1"/>
  <c r="AM1059" i="1"/>
  <c r="AM1066" i="1"/>
  <c r="AM1086" i="1"/>
  <c r="AM1108" i="1"/>
  <c r="AM1120" i="1"/>
  <c r="AM1132" i="1"/>
  <c r="AM1126" i="1"/>
  <c r="AM1138" i="1"/>
  <c r="AM1135" i="1"/>
  <c r="AM1146" i="1"/>
  <c r="AM1142" i="1"/>
  <c r="AM1152" i="1"/>
  <c r="AM1155" i="1"/>
  <c r="AM1157" i="1"/>
  <c r="AM1167" i="1"/>
  <c r="AM1172" i="1"/>
  <c r="AM1177" i="1"/>
  <c r="AM1185" i="1"/>
  <c r="AM1192" i="1"/>
  <c r="AM1204" i="1"/>
  <c r="AM1201" i="1" s="1"/>
  <c r="AM1209" i="1"/>
  <c r="AM1219" i="1"/>
  <c r="AM1222" i="1"/>
  <c r="AM1229" i="1"/>
  <c r="AM1238" i="1"/>
  <c r="AM1244" i="1"/>
  <c r="AM1250" i="1"/>
  <c r="AM1259" i="1"/>
  <c r="AM1265" i="1"/>
  <c r="AM1261" i="1" s="1"/>
  <c r="AM1277" i="1"/>
  <c r="AM1274" i="1" s="1"/>
  <c r="AM1297" i="1"/>
  <c r="AM1291" i="1" s="1"/>
  <c r="AM1303" i="1"/>
  <c r="AM15" i="1"/>
  <c r="AM16" i="1"/>
  <c r="AM18" i="1"/>
  <c r="AN8" i="1"/>
  <c r="AN9" i="1"/>
  <c r="AN10" i="1"/>
  <c r="AN11" i="1"/>
  <c r="AN93" i="1"/>
  <c r="AN637" i="1"/>
  <c r="AN219" i="1"/>
  <c r="AN13" i="1" s="1"/>
  <c r="AN226" i="1"/>
  <c r="AN380" i="1"/>
  <c r="AN79" i="1"/>
  <c r="AN76" i="1" s="1"/>
  <c r="AN87" i="1"/>
  <c r="AN84" i="1" s="1"/>
  <c r="AN95" i="1"/>
  <c r="AN124" i="1"/>
  <c r="AN122" i="1" s="1"/>
  <c r="AN67" i="1"/>
  <c r="AN90" i="1"/>
  <c r="AN96" i="1"/>
  <c r="AN103" i="1"/>
  <c r="AN111" i="1"/>
  <c r="AN129" i="1"/>
  <c r="AN20" i="1" s="1"/>
  <c r="AN131" i="1"/>
  <c r="AN138" i="1"/>
  <c r="AN144" i="1"/>
  <c r="AN151" i="1"/>
  <c r="AN158" i="1"/>
  <c r="AN160" i="1"/>
  <c r="AN165" i="1"/>
  <c r="AN172" i="1"/>
  <c r="AN175" i="1"/>
  <c r="AN186" i="1"/>
  <c r="AN193" i="1"/>
  <c r="AN195" i="1"/>
  <c r="AN200" i="1"/>
  <c r="AN207" i="1"/>
  <c r="AN209" i="1"/>
  <c r="AN215" i="1"/>
  <c r="AN217" i="1"/>
  <c r="AN231" i="1"/>
  <c r="AN240" i="1"/>
  <c r="AN249" i="1"/>
  <c r="AN263" i="1"/>
  <c r="AN258" i="1"/>
  <c r="AN273" i="1"/>
  <c r="AN268" i="1" s="1"/>
  <c r="AN278" i="1"/>
  <c r="AN285" i="1"/>
  <c r="AN291" i="1"/>
  <c r="AN301" i="1"/>
  <c r="AN296" i="1"/>
  <c r="AN305" i="1"/>
  <c r="AN322" i="1"/>
  <c r="AN316" i="1" s="1"/>
  <c r="AN329" i="1"/>
  <c r="AN332" i="1"/>
  <c r="AN340" i="1"/>
  <c r="AN351" i="1"/>
  <c r="AN358" i="1"/>
  <c r="AN367" i="1"/>
  <c r="AN371" i="1"/>
  <c r="AN378" i="1"/>
  <c r="AN385" i="1"/>
  <c r="AN396" i="1"/>
  <c r="AN393" i="1"/>
  <c r="AN403" i="1"/>
  <c r="AN413" i="1"/>
  <c r="AN421" i="1"/>
  <c r="AN430" i="1"/>
  <c r="AN438" i="1"/>
  <c r="AN448" i="1"/>
  <c r="AN445" i="1" s="1"/>
  <c r="AN454" i="1"/>
  <c r="AN459" i="1"/>
  <c r="AN468" i="1"/>
  <c r="AN478" i="1"/>
  <c r="AN485" i="1"/>
  <c r="AN495" i="1"/>
  <c r="AN502" i="1"/>
  <c r="AN510" i="1"/>
  <c r="AN524" i="1"/>
  <c r="AN520" i="1" s="1"/>
  <c r="AN533" i="1"/>
  <c r="AN529" i="1"/>
  <c r="AN543" i="1"/>
  <c r="AN538" i="1"/>
  <c r="AN548" i="1"/>
  <c r="AN557" i="1"/>
  <c r="AN569" i="1"/>
  <c r="AN572" i="1"/>
  <c r="AN576" i="1"/>
  <c r="AN583" i="1"/>
  <c r="AN590" i="1"/>
  <c r="AN600" i="1"/>
  <c r="AN603" i="1"/>
  <c r="AN617" i="1"/>
  <c r="AN614" i="1"/>
  <c r="AN622" i="1"/>
  <c r="AN628" i="1"/>
  <c r="AN636" i="1"/>
  <c r="AN650" i="1"/>
  <c r="AN647" i="1" s="1"/>
  <c r="AN654" i="1"/>
  <c r="DC654" i="1" s="1"/>
  <c r="AN662" i="1"/>
  <c r="AN665" i="1"/>
  <c r="AN674" i="1"/>
  <c r="AN687" i="1"/>
  <c r="AN681" i="1" s="1"/>
  <c r="AN693" i="1"/>
  <c r="AN698" i="1"/>
  <c r="AN700" i="1"/>
  <c r="AN702" i="1"/>
  <c r="AN711" i="1"/>
  <c r="AN720" i="1"/>
  <c r="AN731" i="1"/>
  <c r="AN741" i="1"/>
  <c r="AN738" i="1"/>
  <c r="AN750" i="1"/>
  <c r="AN758" i="1"/>
  <c r="AN763" i="1"/>
  <c r="AN774" i="1"/>
  <c r="AN782" i="1"/>
  <c r="AN793" i="1"/>
  <c r="AN800" i="1"/>
  <c r="AN814" i="1"/>
  <c r="AN810" i="1"/>
  <c r="AN818" i="1"/>
  <c r="AN822" i="1"/>
  <c r="AN829" i="1"/>
  <c r="AN836" i="1"/>
  <c r="AN845" i="1"/>
  <c r="AN838" i="1" s="1"/>
  <c r="AN856" i="1"/>
  <c r="AN852" i="1" s="1"/>
  <c r="AN865" i="1"/>
  <c r="AN862" i="1"/>
  <c r="AN886" i="1"/>
  <c r="AN879" i="1" s="1"/>
  <c r="AN897" i="1"/>
  <c r="AN904" i="1"/>
  <c r="AN924" i="1"/>
  <c r="AN915" i="1"/>
  <c r="AN927" i="1"/>
  <c r="AN935" i="1"/>
  <c r="AN950" i="1"/>
  <c r="AN964" i="1"/>
  <c r="AN960" i="1" s="1"/>
  <c r="AN969" i="1"/>
  <c r="AN977" i="1"/>
  <c r="AN983" i="1"/>
  <c r="AN989" i="1"/>
  <c r="AN999" i="1"/>
  <c r="AN996" i="1" s="1"/>
  <c r="AN1005" i="1"/>
  <c r="AN1018" i="1"/>
  <c r="AN1013" i="1"/>
  <c r="AN1025" i="1"/>
  <c r="AN1041" i="1"/>
  <c r="AN1035" i="1"/>
  <c r="AN1046" i="1"/>
  <c r="AN1053" i="1"/>
  <c r="AN1059" i="1"/>
  <c r="AN1066" i="1"/>
  <c r="AN1086" i="1"/>
  <c r="AN1108" i="1"/>
  <c r="AN1120" i="1"/>
  <c r="AN1132" i="1"/>
  <c r="AN1126" i="1"/>
  <c r="AN1138" i="1"/>
  <c r="AN1135" i="1"/>
  <c r="AN1146" i="1"/>
  <c r="AN1149" i="1"/>
  <c r="AN1142" i="1"/>
  <c r="AN1152" i="1"/>
  <c r="AN1157" i="1"/>
  <c r="AN1167" i="1"/>
  <c r="AN1172" i="1"/>
  <c r="AN1177" i="1"/>
  <c r="AN1185" i="1"/>
  <c r="AN1194" i="1"/>
  <c r="AN1192" i="1"/>
  <c r="AN1204" i="1"/>
  <c r="AN1201" i="1" s="1"/>
  <c r="AN1209" i="1"/>
  <c r="AN1219" i="1"/>
  <c r="AN1222" i="1"/>
  <c r="AN1229" i="1"/>
  <c r="AN1238" i="1"/>
  <c r="AN1244" i="1"/>
  <c r="AN1250" i="1"/>
  <c r="AN1265" i="1"/>
  <c r="AN1261" i="1"/>
  <c r="AN1277" i="1"/>
  <c r="AN1274" i="1"/>
  <c r="AN1291" i="1"/>
  <c r="AN1303" i="1"/>
  <c r="AN15" i="1"/>
  <c r="AN16" i="1"/>
  <c r="AN18" i="1"/>
  <c r="AO8" i="1"/>
  <c r="AO9" i="1"/>
  <c r="AO10" i="1"/>
  <c r="AO11" i="1"/>
  <c r="AO343" i="1"/>
  <c r="AO637" i="1"/>
  <c r="AO636" i="1" s="1"/>
  <c r="AO219" i="1"/>
  <c r="AO226" i="1"/>
  <c r="AO380" i="1"/>
  <c r="AO378" i="1" s="1"/>
  <c r="AO1028" i="1"/>
  <c r="AO1029" i="1" s="1"/>
  <c r="AO13" i="1"/>
  <c r="AO79" i="1"/>
  <c r="AO87" i="1"/>
  <c r="AO95" i="1"/>
  <c r="AO220" i="1"/>
  <c r="AO67" i="1"/>
  <c r="AO76" i="1"/>
  <c r="AO84" i="1"/>
  <c r="AO90" i="1"/>
  <c r="AO20" i="1" s="1"/>
  <c r="AO96" i="1"/>
  <c r="AO92" i="1" s="1"/>
  <c r="AO103" i="1"/>
  <c r="AO111" i="1"/>
  <c r="AO126" i="1"/>
  <c r="AO122" i="1"/>
  <c r="AO129" i="1"/>
  <c r="AO131" i="1"/>
  <c r="AO138" i="1"/>
  <c r="AO144" i="1"/>
  <c r="AO151" i="1"/>
  <c r="AO158" i="1"/>
  <c r="AO160" i="1"/>
  <c r="AO165" i="1"/>
  <c r="AO172" i="1"/>
  <c r="AO175" i="1"/>
  <c r="AO186" i="1"/>
  <c r="AO195" i="1"/>
  <c r="AO200" i="1"/>
  <c r="AO209" i="1"/>
  <c r="AO217" i="1"/>
  <c r="AO227" i="1"/>
  <c r="AO224" i="1"/>
  <c r="AO231" i="1"/>
  <c r="AO244" i="1"/>
  <c r="AO240" i="1"/>
  <c r="AO254" i="1"/>
  <c r="AO249" i="1"/>
  <c r="AO263" i="1"/>
  <c r="AO258" i="1"/>
  <c r="AO273" i="1"/>
  <c r="AO268" i="1"/>
  <c r="AO278" i="1"/>
  <c r="AO285" i="1"/>
  <c r="AO291" i="1"/>
  <c r="AO301" i="1"/>
  <c r="AO296" i="1"/>
  <c r="AO310" i="1"/>
  <c r="AO305" i="1" s="1"/>
  <c r="AO322" i="1"/>
  <c r="AO329" i="1"/>
  <c r="AO332" i="1"/>
  <c r="AO25" i="1" s="1"/>
  <c r="AO340" i="1"/>
  <c r="AO351" i="1"/>
  <c r="AO358" i="1"/>
  <c r="AO367" i="1"/>
  <c r="AO371" i="1"/>
  <c r="AO385" i="1"/>
  <c r="AO396" i="1"/>
  <c r="AO393" i="1"/>
  <c r="AO403" i="1"/>
  <c r="AO413" i="1"/>
  <c r="AO419" i="1"/>
  <c r="AO421" i="1"/>
  <c r="AO430" i="1"/>
  <c r="AO438" i="1"/>
  <c r="AO448" i="1"/>
  <c r="AO445" i="1" s="1"/>
  <c r="AO454" i="1"/>
  <c r="AO459" i="1"/>
  <c r="AO468" i="1"/>
  <c r="AO478" i="1"/>
  <c r="AO485" i="1"/>
  <c r="AO495" i="1"/>
  <c r="AO502" i="1"/>
  <c r="AO510" i="1"/>
  <c r="AO524" i="1"/>
  <c r="AO520" i="1"/>
  <c r="AO529" i="1"/>
  <c r="AO543" i="1"/>
  <c r="AO538" i="1" s="1"/>
  <c r="AO548" i="1"/>
  <c r="AO557" i="1"/>
  <c r="AO569" i="1"/>
  <c r="AO572" i="1"/>
  <c r="AO576" i="1"/>
  <c r="AO583" i="1"/>
  <c r="AO590" i="1"/>
  <c r="AO600" i="1"/>
  <c r="AO24" i="1" s="1"/>
  <c r="AO603" i="1"/>
  <c r="AO617" i="1"/>
  <c r="AO614" i="1"/>
  <c r="AO622" i="1"/>
  <c r="AO631" i="1"/>
  <c r="AO628" i="1" s="1"/>
  <c r="AO647" i="1"/>
  <c r="AO654" i="1"/>
  <c r="AO662" i="1"/>
  <c r="AO665" i="1"/>
  <c r="AO674" i="1"/>
  <c r="AO687" i="1"/>
  <c r="AO681" i="1"/>
  <c r="AO693" i="1"/>
  <c r="AO698" i="1"/>
  <c r="AO700" i="1"/>
  <c r="AO702" i="1"/>
  <c r="AO711" i="1"/>
  <c r="AO720" i="1"/>
  <c r="AO731" i="1"/>
  <c r="AO741" i="1"/>
  <c r="AO738" i="1" s="1"/>
  <c r="AO750" i="1"/>
  <c r="AO758" i="1"/>
  <c r="AO763" i="1"/>
  <c r="AO774" i="1"/>
  <c r="AO782" i="1"/>
  <c r="AO793" i="1"/>
  <c r="AO800" i="1"/>
  <c r="AO814" i="1"/>
  <c r="AO810" i="1"/>
  <c r="AO819" i="1"/>
  <c r="AO818" i="1"/>
  <c r="AO822" i="1"/>
  <c r="AO829" i="1"/>
  <c r="AO834" i="1"/>
  <c r="AO836" i="1"/>
  <c r="AO845" i="1"/>
  <c r="AO838" i="1" s="1"/>
  <c r="AO856" i="1"/>
  <c r="AO852" i="1"/>
  <c r="AO862" i="1"/>
  <c r="AO886" i="1"/>
  <c r="AO879" i="1"/>
  <c r="AO872" i="1" s="1"/>
  <c r="AO897" i="1"/>
  <c r="AO908" i="1"/>
  <c r="AO904" i="1"/>
  <c r="AO921" i="1"/>
  <c r="AO924" i="1"/>
  <c r="AO915" i="1"/>
  <c r="AO927" i="1"/>
  <c r="AO935" i="1"/>
  <c r="AO950" i="1"/>
  <c r="AO964" i="1"/>
  <c r="AO960" i="1" s="1"/>
  <c r="AO969" i="1"/>
  <c r="AO977" i="1"/>
  <c r="AO983" i="1"/>
  <c r="AO989" i="1"/>
  <c r="AO999" i="1"/>
  <c r="AO996" i="1"/>
  <c r="AO1005" i="1"/>
  <c r="AO1018" i="1"/>
  <c r="AO1013" i="1" s="1"/>
  <c r="AO1023" i="1"/>
  <c r="AO1041" i="1"/>
  <c r="AO1035" i="1"/>
  <c r="AO1046" i="1"/>
  <c r="AO1053" i="1"/>
  <c r="AO1059" i="1"/>
  <c r="AO1066" i="1"/>
  <c r="AO1086" i="1"/>
  <c r="AO1108" i="1"/>
  <c r="AO1120" i="1"/>
  <c r="AO1132" i="1"/>
  <c r="AO1126" i="1" s="1"/>
  <c r="AO1138" i="1"/>
  <c r="AO1135" i="1" s="1"/>
  <c r="AO1146" i="1"/>
  <c r="AO1142" i="1" s="1"/>
  <c r="AO1149" i="1"/>
  <c r="AO1152" i="1"/>
  <c r="AO1157" i="1"/>
  <c r="AO1167" i="1"/>
  <c r="AO1172" i="1"/>
  <c r="AO1177" i="1"/>
  <c r="AO1185" i="1"/>
  <c r="AO1194" i="1"/>
  <c r="AO1192" i="1" s="1"/>
  <c r="AO1196" i="1"/>
  <c r="AO1204" i="1"/>
  <c r="AO1201" i="1" s="1"/>
  <c r="AO1209" i="1"/>
  <c r="AO1219" i="1"/>
  <c r="AO1222" i="1"/>
  <c r="AO1229" i="1"/>
  <c r="AO1238" i="1"/>
  <c r="AO1244" i="1"/>
  <c r="AO1248" i="1"/>
  <c r="AO1250" i="1"/>
  <c r="AO1265" i="1"/>
  <c r="AO1261" i="1" s="1"/>
  <c r="AO1277" i="1"/>
  <c r="AO1274" i="1"/>
  <c r="AO1297" i="1"/>
  <c r="AO1291" i="1" s="1"/>
  <c r="AO1303" i="1"/>
  <c r="AO15" i="1"/>
  <c r="AO16" i="1"/>
  <c r="AO17" i="1"/>
  <c r="AO18" i="1"/>
  <c r="AP8" i="1"/>
  <c r="AP9" i="1"/>
  <c r="AP10" i="1"/>
  <c r="AP11" i="1"/>
  <c r="AP637" i="1"/>
  <c r="AP636" i="1" s="1"/>
  <c r="AP219" i="1"/>
  <c r="AP226" i="1"/>
  <c r="AP380" i="1"/>
  <c r="AP1028" i="1"/>
  <c r="AP13" i="1"/>
  <c r="AP87" i="1"/>
  <c r="AP95" i="1"/>
  <c r="AP92" i="1" s="1"/>
  <c r="AP220" i="1"/>
  <c r="AP227" i="1"/>
  <c r="AP224" i="1" s="1"/>
  <c r="AP67" i="1"/>
  <c r="AP76" i="1"/>
  <c r="AP84" i="1"/>
  <c r="AP90" i="1"/>
  <c r="AP20" i="1" s="1"/>
  <c r="AP96" i="1"/>
  <c r="AP17" i="1" s="1"/>
  <c r="AP103" i="1"/>
  <c r="AP111" i="1"/>
  <c r="AP126" i="1"/>
  <c r="AP122" i="1" s="1"/>
  <c r="AP129" i="1"/>
  <c r="AP131" i="1"/>
  <c r="AP138" i="1"/>
  <c r="AP144" i="1"/>
  <c r="AP151" i="1"/>
  <c r="AP158" i="1"/>
  <c r="AP160" i="1"/>
  <c r="AP165" i="1"/>
  <c r="AP172" i="1"/>
  <c r="AP175" i="1"/>
  <c r="AP186" i="1"/>
  <c r="AP195" i="1"/>
  <c r="AP200" i="1"/>
  <c r="AP209" i="1"/>
  <c r="AP217" i="1"/>
  <c r="AP237" i="1"/>
  <c r="AP231" i="1" s="1"/>
  <c r="AP244" i="1"/>
  <c r="AP240" i="1" s="1"/>
  <c r="AP249" i="1"/>
  <c r="AP263" i="1"/>
  <c r="AP258" i="1"/>
  <c r="AP273" i="1"/>
  <c r="AP268" i="1"/>
  <c r="AP278" i="1"/>
  <c r="AP285" i="1"/>
  <c r="AP291" i="1"/>
  <c r="AP301" i="1"/>
  <c r="AP296" i="1"/>
  <c r="AP310" i="1"/>
  <c r="AP305" i="1" s="1"/>
  <c r="AP313" i="1"/>
  <c r="AP322" i="1"/>
  <c r="AP316" i="1" s="1"/>
  <c r="AP329" i="1"/>
  <c r="AP332" i="1"/>
  <c r="AP345" i="1"/>
  <c r="AP340" i="1"/>
  <c r="AP351" i="1"/>
  <c r="AP358" i="1"/>
  <c r="AP367" i="1"/>
  <c r="AP371" i="1"/>
  <c r="AP378" i="1"/>
  <c r="AP385" i="1"/>
  <c r="AP396" i="1"/>
  <c r="AP393" i="1"/>
  <c r="AP403" i="1"/>
  <c r="AP417" i="1"/>
  <c r="AP413" i="1"/>
  <c r="AP419" i="1"/>
  <c r="AP421" i="1"/>
  <c r="AP430" i="1"/>
  <c r="AP438" i="1"/>
  <c r="AP448" i="1"/>
  <c r="AP445" i="1" s="1"/>
  <c r="AP454" i="1"/>
  <c r="AP459" i="1"/>
  <c r="AP468" i="1"/>
  <c r="AP478" i="1"/>
  <c r="AP485" i="1"/>
  <c r="AP495" i="1"/>
  <c r="AP502" i="1"/>
  <c r="AP510" i="1"/>
  <c r="AP524" i="1"/>
  <c r="AP520" i="1"/>
  <c r="AP533" i="1"/>
  <c r="AP529" i="1" s="1"/>
  <c r="DE529" i="1" s="1"/>
  <c r="AP543" i="1"/>
  <c r="AP538" i="1"/>
  <c r="AP548" i="1"/>
  <c r="AP564" i="1"/>
  <c r="AP557" i="1"/>
  <c r="AP569" i="1"/>
  <c r="AP572" i="1"/>
  <c r="AP576" i="1"/>
  <c r="AP583" i="1"/>
  <c r="AP590" i="1"/>
  <c r="AP600" i="1"/>
  <c r="AP603" i="1"/>
  <c r="AP617" i="1"/>
  <c r="AP614" i="1" s="1"/>
  <c r="AP622" i="1"/>
  <c r="AP631" i="1"/>
  <c r="AP628" i="1"/>
  <c r="AP647" i="1"/>
  <c r="AP654" i="1"/>
  <c r="AP662" i="1"/>
  <c r="AP665" i="1"/>
  <c r="AP674" i="1"/>
  <c r="AP687" i="1"/>
  <c r="AP681" i="1"/>
  <c r="AP693" i="1"/>
  <c r="AP698" i="1"/>
  <c r="AP700" i="1"/>
  <c r="AP702" i="1"/>
  <c r="AP711" i="1"/>
  <c r="AP720" i="1"/>
  <c r="AP731" i="1"/>
  <c r="AP741" i="1"/>
  <c r="AP738" i="1" s="1"/>
  <c r="AP750" i="1"/>
  <c r="AP758" i="1"/>
  <c r="AP763" i="1"/>
  <c r="AP777" i="1"/>
  <c r="AP774" i="1"/>
  <c r="AP786" i="1"/>
  <c r="AP782" i="1" s="1"/>
  <c r="AP793" i="1"/>
  <c r="AP800" i="1"/>
  <c r="AP814" i="1"/>
  <c r="AP810" i="1" s="1"/>
  <c r="AP818" i="1"/>
  <c r="AP822" i="1"/>
  <c r="AP829" i="1"/>
  <c r="AP836" i="1"/>
  <c r="AP845" i="1"/>
  <c r="AP838" i="1" s="1"/>
  <c r="AP856" i="1"/>
  <c r="AP852" i="1"/>
  <c r="AP862" i="1"/>
  <c r="AP876" i="1"/>
  <c r="AP872" i="1" s="1"/>
  <c r="AP880" i="1"/>
  <c r="AP886" i="1"/>
  <c r="AP897" i="1"/>
  <c r="AP908" i="1"/>
  <c r="AP904" i="1" s="1"/>
  <c r="AP921" i="1"/>
  <c r="AP915" i="1" s="1"/>
  <c r="AP924" i="1"/>
  <c r="AP927" i="1"/>
  <c r="AP935" i="1"/>
  <c r="AP950" i="1"/>
  <c r="AP964" i="1"/>
  <c r="AP960" i="1" s="1"/>
  <c r="DE960" i="1" s="1"/>
  <c r="AP969" i="1"/>
  <c r="AP977" i="1"/>
  <c r="AP983" i="1"/>
  <c r="AP989" i="1"/>
  <c r="AP996" i="1"/>
  <c r="AP1005" i="1"/>
  <c r="AP1018" i="1"/>
  <c r="AP1013" i="1"/>
  <c r="AP1023" i="1"/>
  <c r="AP1029" i="1"/>
  <c r="AP1025" i="1" s="1"/>
  <c r="AP1041" i="1"/>
  <c r="AP1035" i="1"/>
  <c r="AP1046" i="1"/>
  <c r="AP1053" i="1"/>
  <c r="AP1059" i="1"/>
  <c r="AP1066" i="1"/>
  <c r="AP1086" i="1"/>
  <c r="AP1108" i="1"/>
  <c r="AP1120" i="1"/>
  <c r="AP1132" i="1"/>
  <c r="AP1126" i="1" s="1"/>
  <c r="AP1138" i="1"/>
  <c r="AP1135" i="1"/>
  <c r="AP1146" i="1"/>
  <c r="AP1149" i="1"/>
  <c r="AP1142" i="1"/>
  <c r="AP1152" i="1"/>
  <c r="AP1155" i="1"/>
  <c r="AP1157" i="1"/>
  <c r="AP1167" i="1"/>
  <c r="AP1172" i="1"/>
  <c r="AP1177" i="1"/>
  <c r="AP1185" i="1"/>
  <c r="AP1192" i="1"/>
  <c r="AP1196" i="1"/>
  <c r="AP1204" i="1"/>
  <c r="AP1201" i="1" s="1"/>
  <c r="AP1213" i="1"/>
  <c r="AP1209" i="1"/>
  <c r="AP1219" i="1"/>
  <c r="AP1222" i="1"/>
  <c r="AP1229" i="1"/>
  <c r="AP1238" i="1"/>
  <c r="AP1244" i="1"/>
  <c r="AP1250" i="1"/>
  <c r="AP1265" i="1"/>
  <c r="AP1261" i="1"/>
  <c r="AP1277" i="1"/>
  <c r="AP1274" i="1" s="1"/>
  <c r="AP1297" i="1"/>
  <c r="AP1291" i="1"/>
  <c r="AP1303" i="1"/>
  <c r="AP15" i="1"/>
  <c r="AP16" i="1"/>
  <c r="AP18" i="1"/>
  <c r="AQ8" i="1"/>
  <c r="AQ9" i="1"/>
  <c r="AQ10" i="1"/>
  <c r="AQ11" i="1"/>
  <c r="AQ343" i="1"/>
  <c r="AQ637" i="1"/>
  <c r="AQ219" i="1"/>
  <c r="AQ226" i="1"/>
  <c r="AQ13" i="1" s="1"/>
  <c r="AQ79" i="1"/>
  <c r="AQ95" i="1"/>
  <c r="AQ220" i="1"/>
  <c r="AQ227" i="1"/>
  <c r="AQ224" i="1" s="1"/>
  <c r="AQ67" i="1"/>
  <c r="AQ76" i="1"/>
  <c r="AQ88" i="1"/>
  <c r="AQ15" i="1" s="1"/>
  <c r="AQ84" i="1"/>
  <c r="AQ90" i="1"/>
  <c r="AQ96" i="1"/>
  <c r="AQ17" i="1" s="1"/>
  <c r="AQ108" i="1"/>
  <c r="AQ103" i="1"/>
  <c r="AQ111" i="1"/>
  <c r="AQ126" i="1"/>
  <c r="AQ122" i="1" s="1"/>
  <c r="AQ131" i="1"/>
  <c r="AQ138" i="1"/>
  <c r="AQ144" i="1"/>
  <c r="AQ151" i="1"/>
  <c r="AQ160" i="1"/>
  <c r="AQ165" i="1"/>
  <c r="AQ172" i="1"/>
  <c r="AQ175" i="1"/>
  <c r="AQ186" i="1"/>
  <c r="AQ195" i="1"/>
  <c r="AQ200" i="1"/>
  <c r="AQ209" i="1"/>
  <c r="AQ217" i="1"/>
  <c r="AQ231" i="1"/>
  <c r="AQ244" i="1"/>
  <c r="AQ240" i="1" s="1"/>
  <c r="AQ249" i="1"/>
  <c r="AQ263" i="1"/>
  <c r="AQ258" i="1" s="1"/>
  <c r="AQ273" i="1"/>
  <c r="AQ268" i="1"/>
  <c r="AQ278" i="1"/>
  <c r="AQ285" i="1"/>
  <c r="AQ291" i="1"/>
  <c r="AQ301" i="1"/>
  <c r="AQ296" i="1"/>
  <c r="AQ310" i="1"/>
  <c r="AQ305" i="1" s="1"/>
  <c r="AQ322" i="1"/>
  <c r="AQ316" i="1" s="1"/>
  <c r="AQ329" i="1"/>
  <c r="AQ332" i="1"/>
  <c r="AQ345" i="1"/>
  <c r="AQ340" i="1" s="1"/>
  <c r="AQ351" i="1"/>
  <c r="AQ358" i="1"/>
  <c r="AQ367" i="1"/>
  <c r="AQ371" i="1"/>
  <c r="AQ381" i="1"/>
  <c r="AQ378" i="1"/>
  <c r="AQ385" i="1"/>
  <c r="AQ393" i="1"/>
  <c r="AQ401" i="1"/>
  <c r="AQ403" i="1"/>
  <c r="AQ417" i="1"/>
  <c r="AQ413" i="1"/>
  <c r="AQ419" i="1"/>
  <c r="AQ421" i="1"/>
  <c r="AQ434" i="1"/>
  <c r="AQ430" i="1" s="1"/>
  <c r="AQ438" i="1"/>
  <c r="AQ448" i="1"/>
  <c r="AQ445" i="1"/>
  <c r="AQ454" i="1"/>
  <c r="AQ463" i="1"/>
  <c r="AQ16" i="1" s="1"/>
  <c r="AQ472" i="1"/>
  <c r="AQ468" i="1"/>
  <c r="AQ478" i="1"/>
  <c r="AQ485" i="1"/>
  <c r="AQ495" i="1"/>
  <c r="AQ502" i="1"/>
  <c r="AQ510" i="1"/>
  <c r="AQ524" i="1"/>
  <c r="AQ520" i="1"/>
  <c r="AQ533" i="1"/>
  <c r="AQ529" i="1" s="1"/>
  <c r="AQ538" i="1"/>
  <c r="AQ548" i="1"/>
  <c r="AQ557" i="1"/>
  <c r="AQ569" i="1"/>
  <c r="AQ572" i="1"/>
  <c r="AQ576" i="1"/>
  <c r="AQ583" i="1"/>
  <c r="AQ590" i="1"/>
  <c r="AQ600" i="1"/>
  <c r="AQ603" i="1"/>
  <c r="AQ614" i="1"/>
  <c r="AQ622" i="1"/>
  <c r="AQ631" i="1"/>
  <c r="AQ628" i="1"/>
  <c r="AQ636" i="1"/>
  <c r="AQ647" i="1"/>
  <c r="AQ654" i="1"/>
  <c r="AQ662" i="1"/>
  <c r="AQ665" i="1"/>
  <c r="AQ674" i="1"/>
  <c r="AQ687" i="1"/>
  <c r="AQ681" i="1"/>
  <c r="AQ693" i="1"/>
  <c r="AQ698" i="1"/>
  <c r="AQ702" i="1"/>
  <c r="AQ711" i="1"/>
  <c r="AQ720" i="1"/>
  <c r="AQ731" i="1"/>
  <c r="AQ741" i="1"/>
  <c r="AQ738" i="1" s="1"/>
  <c r="AQ753" i="1"/>
  <c r="AQ750" i="1" s="1"/>
  <c r="AQ758" i="1"/>
  <c r="AQ763" i="1"/>
  <c r="AQ774" i="1"/>
  <c r="AQ787" i="1"/>
  <c r="AQ793" i="1"/>
  <c r="AQ800" i="1"/>
  <c r="AQ814" i="1"/>
  <c r="AQ810" i="1"/>
  <c r="AQ818" i="1"/>
  <c r="AQ822" i="1"/>
  <c r="AQ829" i="1"/>
  <c r="AQ836" i="1"/>
  <c r="AQ845" i="1"/>
  <c r="AQ838" i="1"/>
  <c r="AQ856" i="1"/>
  <c r="AQ852" i="1" s="1"/>
  <c r="AQ862" i="1"/>
  <c r="AQ880" i="1"/>
  <c r="AQ872" i="1"/>
  <c r="AQ886" i="1"/>
  <c r="AQ897" i="1"/>
  <c r="AQ904" i="1"/>
  <c r="AQ921" i="1"/>
  <c r="AQ924" i="1"/>
  <c r="AQ915" i="1"/>
  <c r="AQ927" i="1"/>
  <c r="AQ935" i="1"/>
  <c r="AQ950" i="1"/>
  <c r="AQ964" i="1"/>
  <c r="AQ960" i="1" s="1"/>
  <c r="AQ969" i="1"/>
  <c r="AQ977" i="1"/>
  <c r="AQ983" i="1"/>
  <c r="AQ989" i="1"/>
  <c r="AQ996" i="1"/>
  <c r="AQ1005" i="1"/>
  <c r="AQ1018" i="1"/>
  <c r="AQ1013" i="1" s="1"/>
  <c r="AQ1023" i="1"/>
  <c r="AQ1025" i="1"/>
  <c r="AQ1041" i="1"/>
  <c r="AQ1035" i="1"/>
  <c r="AQ1046" i="1"/>
  <c r="AQ1053" i="1"/>
  <c r="AQ1059" i="1"/>
  <c r="AQ1066" i="1"/>
  <c r="AQ1086" i="1"/>
  <c r="AQ1113" i="1"/>
  <c r="AQ1108" i="1" s="1"/>
  <c r="AQ1120" i="1"/>
  <c r="AQ1132" i="1"/>
  <c r="AQ1126" i="1" s="1"/>
  <c r="AQ1138" i="1"/>
  <c r="AQ1135" i="1" s="1"/>
  <c r="AQ1146" i="1"/>
  <c r="AQ1142" i="1" s="1"/>
  <c r="AQ1149" i="1"/>
  <c r="AQ1152" i="1"/>
  <c r="AQ1157" i="1"/>
  <c r="AQ1167" i="1"/>
  <c r="AQ1172" i="1"/>
  <c r="AQ1177" i="1"/>
  <c r="AQ1185" i="1"/>
  <c r="AQ1194" i="1"/>
  <c r="AQ1192" i="1" s="1"/>
  <c r="AQ1204" i="1"/>
  <c r="AQ1201" i="1" s="1"/>
  <c r="AQ1209" i="1"/>
  <c r="AQ1219" i="1"/>
  <c r="AQ1222" i="1"/>
  <c r="AQ1229" i="1"/>
  <c r="AQ1236" i="1"/>
  <c r="AQ1238" i="1"/>
  <c r="AQ1244" i="1"/>
  <c r="AQ1250" i="1"/>
  <c r="AQ1265" i="1"/>
  <c r="AQ1261" i="1"/>
  <c r="AQ1277" i="1"/>
  <c r="AQ1274" i="1"/>
  <c r="AQ1291" i="1"/>
  <c r="AQ1303" i="1"/>
  <c r="AR8" i="1"/>
  <c r="AR9" i="1"/>
  <c r="AR10" i="1"/>
  <c r="AR11" i="1"/>
  <c r="AR343" i="1"/>
  <c r="AR637" i="1"/>
  <c r="AR219" i="1"/>
  <c r="AR226" i="1"/>
  <c r="AR1028" i="1"/>
  <c r="AR1137" i="1"/>
  <c r="AR13" i="1"/>
  <c r="AR79" i="1"/>
  <c r="AR95" i="1"/>
  <c r="AR168" i="1"/>
  <c r="AR220" i="1"/>
  <c r="AR217" i="1" s="1"/>
  <c r="AR67" i="1"/>
  <c r="AR88" i="1"/>
  <c r="AR15" i="1" s="1"/>
  <c r="AR84" i="1"/>
  <c r="AR90" i="1"/>
  <c r="AR96" i="1"/>
  <c r="AR92" i="1" s="1"/>
  <c r="AR108" i="1"/>
  <c r="AR16" i="1" s="1"/>
  <c r="AR111" i="1"/>
  <c r="AR126" i="1"/>
  <c r="AR122" i="1"/>
  <c r="AR131" i="1"/>
  <c r="AR138" i="1"/>
  <c r="AR144" i="1"/>
  <c r="AR151" i="1"/>
  <c r="AR158" i="1"/>
  <c r="AR160" i="1"/>
  <c r="AR165" i="1"/>
  <c r="AR172" i="1"/>
  <c r="AR175" i="1"/>
  <c r="AR186" i="1"/>
  <c r="AR195" i="1"/>
  <c r="AR200" i="1"/>
  <c r="AR209" i="1"/>
  <c r="AR215" i="1"/>
  <c r="AR227" i="1"/>
  <c r="AR224" i="1" s="1"/>
  <c r="AR231" i="1"/>
  <c r="AR240" i="1"/>
  <c r="AR249" i="1"/>
  <c r="AR263" i="1"/>
  <c r="AR258" i="1"/>
  <c r="AR273" i="1"/>
  <c r="AR268" i="1"/>
  <c r="AR278" i="1"/>
  <c r="AR285" i="1"/>
  <c r="AR291" i="1"/>
  <c r="AR301" i="1"/>
  <c r="AR296" i="1"/>
  <c r="AR310" i="1"/>
  <c r="AR305" i="1" s="1"/>
  <c r="AR322" i="1"/>
  <c r="AR316" i="1" s="1"/>
  <c r="AR329" i="1"/>
  <c r="AR332" i="1"/>
  <c r="AR345" i="1"/>
  <c r="AR340" i="1" s="1"/>
  <c r="AR351" i="1"/>
  <c r="AR358" i="1"/>
  <c r="AR367" i="1"/>
  <c r="AR371" i="1"/>
  <c r="AR381" i="1"/>
  <c r="AR378" i="1"/>
  <c r="AR385" i="1"/>
  <c r="AR396" i="1"/>
  <c r="AR393" i="1" s="1"/>
  <c r="AR403" i="1"/>
  <c r="AR417" i="1"/>
  <c r="AR413" i="1"/>
  <c r="AR419" i="1"/>
  <c r="AR421" i="1"/>
  <c r="AR434" i="1"/>
  <c r="AR435" i="1" a="1"/>
  <c r="AR435" i="1" s="1"/>
  <c r="AR438" i="1"/>
  <c r="AR448" i="1"/>
  <c r="AR445" i="1" s="1"/>
  <c r="AR454" i="1"/>
  <c r="AR462" i="1"/>
  <c r="AR459" i="1" s="1"/>
  <c r="AR463" i="1"/>
  <c r="AR468" i="1"/>
  <c r="AR478" i="1"/>
  <c r="AR485" i="1"/>
  <c r="AR495" i="1"/>
  <c r="AR502" i="1"/>
  <c r="AR510" i="1"/>
  <c r="AR524" i="1"/>
  <c r="AR520" i="1"/>
  <c r="AR533" i="1"/>
  <c r="AR529" i="1" s="1"/>
  <c r="AR543" i="1"/>
  <c r="AR538" i="1"/>
  <c r="AR548" i="1"/>
  <c r="AR564" i="1"/>
  <c r="AR557" i="1" s="1"/>
  <c r="AR569" i="1"/>
  <c r="AR572" i="1"/>
  <c r="AR576" i="1"/>
  <c r="AR583" i="1"/>
  <c r="AR590" i="1"/>
  <c r="AR600" i="1"/>
  <c r="AR603" i="1"/>
  <c r="AR617" i="1"/>
  <c r="AR614" i="1" s="1"/>
  <c r="AR622" i="1"/>
  <c r="AR628" i="1"/>
  <c r="AR636" i="1"/>
  <c r="AR647" i="1"/>
  <c r="AR654" i="1"/>
  <c r="AR662" i="1"/>
  <c r="AR665" i="1"/>
  <c r="AR674" i="1"/>
  <c r="AR687" i="1"/>
  <c r="AR681" i="1" s="1"/>
  <c r="AR693" i="1"/>
  <c r="AR698" i="1"/>
  <c r="AR702" i="1"/>
  <c r="AR714" i="1"/>
  <c r="AR711" i="1" s="1"/>
  <c r="AR720" i="1"/>
  <c r="AR731" i="1"/>
  <c r="AR741" i="1"/>
  <c r="AR738" i="1" s="1"/>
  <c r="AR753" i="1"/>
  <c r="AR750" i="1"/>
  <c r="AR758" i="1"/>
  <c r="AR763" i="1"/>
  <c r="AR777" i="1"/>
  <c r="AR774" i="1" s="1"/>
  <c r="AR787" i="1"/>
  <c r="AR793" i="1"/>
  <c r="AR800" i="1"/>
  <c r="AR814" i="1"/>
  <c r="AR810" i="1"/>
  <c r="AR818" i="1"/>
  <c r="AR822" i="1"/>
  <c r="AR829" i="1"/>
  <c r="AR836" i="1"/>
  <c r="AR845" i="1"/>
  <c r="AR838" i="1"/>
  <c r="AR856" i="1"/>
  <c r="AR852" i="1" s="1"/>
  <c r="AR862" i="1"/>
  <c r="AR876" i="1"/>
  <c r="AR872" i="1" s="1"/>
  <c r="AR886" i="1"/>
  <c r="AR897" i="1"/>
  <c r="AR908" i="1"/>
  <c r="AR904" i="1"/>
  <c r="AR921" i="1"/>
  <c r="AR915" i="1" s="1"/>
  <c r="AR924" i="1"/>
  <c r="AR927" i="1"/>
  <c r="AR935" i="1"/>
  <c r="AR950" i="1"/>
  <c r="AR964" i="1"/>
  <c r="AR960" i="1" s="1"/>
  <c r="AR969" i="1"/>
  <c r="AR977" i="1"/>
  <c r="AR985" i="1"/>
  <c r="AR983" i="1"/>
  <c r="AR989" i="1"/>
  <c r="AR999" i="1"/>
  <c r="AR996" i="1"/>
  <c r="AR1008" i="1"/>
  <c r="AR1005" i="1" s="1"/>
  <c r="AR1018" i="1"/>
  <c r="AR1013" i="1" s="1"/>
  <c r="AR1021" i="1"/>
  <c r="AR1025" i="1"/>
  <c r="AR1041" i="1"/>
  <c r="AR1035" i="1" s="1"/>
  <c r="AR1046" i="1"/>
  <c r="AR1053" i="1"/>
  <c r="AR1059" i="1"/>
  <c r="AR1064" i="1"/>
  <c r="AR1071" i="1"/>
  <c r="AR1066" i="1"/>
  <c r="AR1086" i="1"/>
  <c r="AR1108" i="1"/>
  <c r="AR1120" i="1"/>
  <c r="AR1132" i="1"/>
  <c r="AR1126" i="1" s="1"/>
  <c r="AR1138" i="1"/>
  <c r="AR1135" i="1"/>
  <c r="AR1146" i="1"/>
  <c r="AR1149" i="1"/>
  <c r="AR1142" i="1"/>
  <c r="AR1152" i="1"/>
  <c r="AR1157" i="1"/>
  <c r="AR1167" i="1"/>
  <c r="AR1172" i="1"/>
  <c r="AR1177" i="1"/>
  <c r="AR1185" i="1"/>
  <c r="AR1194" i="1"/>
  <c r="AR1192" i="1"/>
  <c r="AR1204" i="1"/>
  <c r="AR1201" i="1"/>
  <c r="AR1209" i="1"/>
  <c r="AR1219" i="1"/>
  <c r="AR1222" i="1"/>
  <c r="AR1229" i="1"/>
  <c r="AR1236" i="1"/>
  <c r="AR1238" i="1"/>
  <c r="AR1244" i="1"/>
  <c r="AR1250" i="1"/>
  <c r="AR1265" i="1"/>
  <c r="AR1261" i="1"/>
  <c r="AR1277" i="1"/>
  <c r="AR1274" i="1" s="1"/>
  <c r="AR1297" i="1"/>
  <c r="AR1291" i="1"/>
  <c r="AR1309" i="1"/>
  <c r="AR1312" i="1"/>
  <c r="AR1303" i="1" s="1"/>
  <c r="AS8" i="1"/>
  <c r="AS9" i="1"/>
  <c r="AS10" i="1"/>
  <c r="AS11" i="1"/>
  <c r="AS343" i="1"/>
  <c r="AS637" i="1"/>
  <c r="AS636" i="1" s="1"/>
  <c r="AS863" i="1"/>
  <c r="AS105" i="1"/>
  <c r="AS219" i="1"/>
  <c r="AS220" i="1" s="1"/>
  <c r="AS233" i="1"/>
  <c r="AS1028" i="1"/>
  <c r="AS79" i="1"/>
  <c r="AS76" i="1" s="1"/>
  <c r="AS95" i="1"/>
  <c r="AS168" i="1"/>
  <c r="AS165" i="1" s="1"/>
  <c r="AS67" i="1"/>
  <c r="AS88" i="1"/>
  <c r="AS84" i="1"/>
  <c r="AS90" i="1"/>
  <c r="AS96" i="1"/>
  <c r="AS17" i="1" s="1"/>
  <c r="AS92" i="1"/>
  <c r="AS108" i="1"/>
  <c r="AS111" i="1"/>
  <c r="AS126" i="1"/>
  <c r="AS122" i="1" s="1"/>
  <c r="AS131" i="1"/>
  <c r="AS138" i="1"/>
  <c r="AS144" i="1"/>
  <c r="AS151" i="1"/>
  <c r="AS160" i="1"/>
  <c r="AS172" i="1"/>
  <c r="AS175" i="1"/>
  <c r="AS186" i="1"/>
  <c r="AS195" i="1"/>
  <c r="AS200" i="1"/>
  <c r="AS209" i="1"/>
  <c r="AS215" i="1"/>
  <c r="AS227" i="1"/>
  <c r="AS224" i="1"/>
  <c r="AS240" i="1"/>
  <c r="AS249" i="1"/>
  <c r="AS263" i="1"/>
  <c r="AS258" i="1"/>
  <c r="AS273" i="1"/>
  <c r="AS268" i="1"/>
  <c r="AS278" i="1"/>
  <c r="AS285" i="1"/>
  <c r="AS291" i="1"/>
  <c r="AS301" i="1"/>
  <c r="AS296" i="1"/>
  <c r="AS310" i="1"/>
  <c r="AS305" i="1"/>
  <c r="AS322" i="1"/>
  <c r="AS316" i="1"/>
  <c r="AS329" i="1"/>
  <c r="AS332" i="1"/>
  <c r="AS340" i="1"/>
  <c r="AS351" i="1"/>
  <c r="AS358" i="1"/>
  <c r="AS367" i="1"/>
  <c r="AS371" i="1"/>
  <c r="AS381" i="1"/>
  <c r="AS378" i="1"/>
  <c r="AS385" i="1"/>
  <c r="AS396" i="1"/>
  <c r="AS393" i="1" s="1"/>
  <c r="AS401" i="1"/>
  <c r="AS403" i="1"/>
  <c r="AS413" i="1"/>
  <c r="AS419" i="1"/>
  <c r="AS421" i="1"/>
  <c r="AS434" i="1"/>
  <c r="AS438" i="1"/>
  <c r="AS448" i="1"/>
  <c r="AS445" i="1" s="1"/>
  <c r="AS454" i="1"/>
  <c r="AS462" i="1"/>
  <c r="AS459" i="1" s="1"/>
  <c r="AS463" i="1"/>
  <c r="AS468" i="1"/>
  <c r="AS478" i="1"/>
  <c r="AS485" i="1"/>
  <c r="AS495" i="1"/>
  <c r="AS502" i="1"/>
  <c r="AS510" i="1"/>
  <c r="AS520" i="1"/>
  <c r="AS533" i="1"/>
  <c r="AS529" i="1"/>
  <c r="AS543" i="1"/>
  <c r="AS538" i="1" s="1"/>
  <c r="AS548" i="1"/>
  <c r="AS564" i="1"/>
  <c r="AS557" i="1"/>
  <c r="AS569" i="1"/>
  <c r="AS572" i="1"/>
  <c r="AS576" i="1"/>
  <c r="AS583" i="1"/>
  <c r="AS590" i="1"/>
  <c r="AS600" i="1"/>
  <c r="AS603" i="1"/>
  <c r="AS617" i="1"/>
  <c r="AS614" i="1" s="1"/>
  <c r="AS622" i="1"/>
  <c r="AS628" i="1"/>
  <c r="AS647" i="1"/>
  <c r="AS654" i="1"/>
  <c r="AS662" i="1"/>
  <c r="AS665" i="1"/>
  <c r="AS674" i="1"/>
  <c r="AS687" i="1"/>
  <c r="AS681" i="1"/>
  <c r="AS693" i="1"/>
  <c r="AS698" i="1"/>
  <c r="AS706" i="1"/>
  <c r="AS702" i="1"/>
  <c r="AS714" i="1"/>
  <c r="AS711" i="1" s="1"/>
  <c r="AS720" i="1"/>
  <c r="AS731" i="1"/>
  <c r="AS741" i="1"/>
  <c r="AS738" i="1"/>
  <c r="AS753" i="1"/>
  <c r="AS750" i="1"/>
  <c r="AS758" i="1"/>
  <c r="AS763" i="1"/>
  <c r="AS777" i="1"/>
  <c r="AS774" i="1"/>
  <c r="AS787" i="1"/>
  <c r="AS793" i="1"/>
  <c r="AS800" i="1"/>
  <c r="AS814" i="1"/>
  <c r="AS810" i="1"/>
  <c r="AS818" i="1"/>
  <c r="AS822" i="1"/>
  <c r="AS829" i="1"/>
  <c r="AS836" i="1"/>
  <c r="AS845" i="1"/>
  <c r="AS838" i="1" s="1"/>
  <c r="AS856" i="1"/>
  <c r="AS852" i="1" s="1"/>
  <c r="AS872" i="1"/>
  <c r="AS886" i="1"/>
  <c r="AS897" i="1"/>
  <c r="AS904" i="1"/>
  <c r="AS921" i="1"/>
  <c r="AS915" i="1" s="1"/>
  <c r="AS924" i="1"/>
  <c r="AS927" i="1"/>
  <c r="AS935" i="1"/>
  <c r="AS950" i="1"/>
  <c r="AS964" i="1"/>
  <c r="AS960" i="1" s="1"/>
  <c r="AS969" i="1"/>
  <c r="AS977" i="1"/>
  <c r="AS985" i="1"/>
  <c r="AS983" i="1" s="1"/>
  <c r="AS989" i="1"/>
  <c r="AS996" i="1"/>
  <c r="AS1005" i="1"/>
  <c r="AS1018" i="1"/>
  <c r="AS1013" i="1" s="1"/>
  <c r="AS1021" i="1"/>
  <c r="AS1025" i="1"/>
  <c r="AS1035" i="1"/>
  <c r="AS1046" i="1"/>
  <c r="AS1053" i="1"/>
  <c r="AS1059" i="1"/>
  <c r="AS1064" i="1"/>
  <c r="AS20" i="1" s="1"/>
  <c r="AS1071" i="1"/>
  <c r="AS1066" i="1" s="1"/>
  <c r="AS1086" i="1"/>
  <c r="AS1108" i="1"/>
  <c r="AS1120" i="1"/>
  <c r="AS1132" i="1"/>
  <c r="AS1126" i="1" s="1"/>
  <c r="AS1138" i="1"/>
  <c r="AS1135" i="1" s="1"/>
  <c r="AS1146" i="1"/>
  <c r="AS1142" i="1" s="1"/>
  <c r="AS1149" i="1"/>
  <c r="AS1152" i="1"/>
  <c r="AS1162" i="1"/>
  <c r="AS1157" i="1"/>
  <c r="AS1167" i="1"/>
  <c r="AS1172" i="1"/>
  <c r="AS1177" i="1"/>
  <c r="AS1185" i="1"/>
  <c r="AS1194" i="1"/>
  <c r="AS1192" i="1"/>
  <c r="AS1204" i="1"/>
  <c r="AS1201" i="1" s="1"/>
  <c r="AS1209" i="1"/>
  <c r="AS1219" i="1"/>
  <c r="AS1222" i="1"/>
  <c r="AS1229" i="1"/>
  <c r="AS1236" i="1"/>
  <c r="AS1238" i="1"/>
  <c r="AS1244" i="1"/>
  <c r="AS1250" i="1"/>
  <c r="AS1265" i="1"/>
  <c r="AS1261" i="1"/>
  <c r="AS1277" i="1"/>
  <c r="AS1274" i="1" s="1"/>
  <c r="DH1274" i="1" s="1"/>
  <c r="AS1297" i="1"/>
  <c r="AS1291" i="1"/>
  <c r="AS1309" i="1"/>
  <c r="AS1303" i="1" s="1"/>
  <c r="AS15" i="1"/>
  <c r="AS16" i="1"/>
  <c r="AT8" i="1"/>
  <c r="AT9" i="1"/>
  <c r="AT10" i="1"/>
  <c r="AT11" i="1"/>
  <c r="AT637" i="1"/>
  <c r="AT636" i="1" s="1"/>
  <c r="AT139" i="1"/>
  <c r="AT219" i="1"/>
  <c r="AT251" i="1"/>
  <c r="AT783" i="1"/>
  <c r="AT13" i="1"/>
  <c r="AT95" i="1"/>
  <c r="AT92" i="1" s="1"/>
  <c r="AT168" i="1"/>
  <c r="AT220" i="1"/>
  <c r="AT252" i="1"/>
  <c r="AT67" i="1"/>
  <c r="AT76" i="1"/>
  <c r="AT88" i="1"/>
  <c r="AT90" i="1"/>
  <c r="AT96" i="1"/>
  <c r="AT108" i="1"/>
  <c r="AT103" i="1"/>
  <c r="AT111" i="1"/>
  <c r="AT126" i="1"/>
  <c r="AT122" i="1"/>
  <c r="AT131" i="1"/>
  <c r="AT138" i="1"/>
  <c r="AT144" i="1"/>
  <c r="AT151" i="1"/>
  <c r="AT160" i="1"/>
  <c r="AT165" i="1"/>
  <c r="AT172" i="1"/>
  <c r="AT175" i="1"/>
  <c r="AT186" i="1"/>
  <c r="AT195" i="1"/>
  <c r="AT200" i="1"/>
  <c r="AT209" i="1"/>
  <c r="AT224" i="1"/>
  <c r="AT231" i="1"/>
  <c r="AT240" i="1"/>
  <c r="AT263" i="1"/>
  <c r="AT258" i="1"/>
  <c r="AT273" i="1"/>
  <c r="AT268" i="1"/>
  <c r="AT278" i="1"/>
  <c r="AT285" i="1"/>
  <c r="AT291" i="1"/>
  <c r="AT301" i="1"/>
  <c r="AT296" i="1" s="1"/>
  <c r="AT310" i="1"/>
  <c r="AT305" i="1"/>
  <c r="AT316" i="1"/>
  <c r="AT329" i="1"/>
  <c r="AT332" i="1"/>
  <c r="AT340" i="1"/>
  <c r="AT351" i="1"/>
  <c r="AT358" i="1"/>
  <c r="AT367" i="1"/>
  <c r="AT371" i="1"/>
  <c r="AT378" i="1"/>
  <c r="AT385" i="1"/>
  <c r="AT396" i="1"/>
  <c r="AT393" i="1"/>
  <c r="AT401" i="1"/>
  <c r="AT20" i="1" s="1"/>
  <c r="AT403" i="1"/>
  <c r="AT413" i="1"/>
  <c r="AT419" i="1"/>
  <c r="AT421" i="1"/>
  <c r="AT434" i="1"/>
  <c r="AT430" i="1"/>
  <c r="AT438" i="1"/>
  <c r="AT448" i="1"/>
  <c r="AT445" i="1"/>
  <c r="AT454" i="1"/>
  <c r="AT462" i="1"/>
  <c r="AT459" i="1" s="1"/>
  <c r="AT463" i="1"/>
  <c r="AT472" i="1"/>
  <c r="AT468" i="1" s="1"/>
  <c r="AT478" i="1"/>
  <c r="AT489" i="1"/>
  <c r="AT485" i="1"/>
  <c r="AT495" i="1"/>
  <c r="AT502" i="1"/>
  <c r="AT510" i="1"/>
  <c r="AT520" i="1"/>
  <c r="AT533" i="1"/>
  <c r="AT529" i="1"/>
  <c r="AT543" i="1"/>
  <c r="AT538" i="1" s="1"/>
  <c r="AT548" i="1"/>
  <c r="AT564" i="1"/>
  <c r="AT557" i="1" s="1"/>
  <c r="AT569" i="1"/>
  <c r="AT572" i="1"/>
  <c r="AT576" i="1"/>
  <c r="AT583" i="1"/>
  <c r="AT590" i="1"/>
  <c r="AT600" i="1"/>
  <c r="AT607" i="1"/>
  <c r="AT603" i="1" s="1"/>
  <c r="AT614" i="1"/>
  <c r="AT622" i="1"/>
  <c r="AT631" i="1"/>
  <c r="AT628" i="1" s="1"/>
  <c r="AT647" i="1"/>
  <c r="AT654" i="1"/>
  <c r="AT662" i="1"/>
  <c r="AT665" i="1"/>
  <c r="AT674" i="1"/>
  <c r="AT687" i="1"/>
  <c r="AT681" i="1"/>
  <c r="AT693" i="1"/>
  <c r="AT698" i="1"/>
  <c r="AT702" i="1"/>
  <c r="AT711" i="1"/>
  <c r="AT720" i="1"/>
  <c r="AT731" i="1"/>
  <c r="AT741" i="1"/>
  <c r="AT738" i="1" s="1"/>
  <c r="AT753" i="1"/>
  <c r="AT750" i="1"/>
  <c r="AT758" i="1"/>
  <c r="AT763" i="1"/>
  <c r="AT774" i="1"/>
  <c r="AT784" i="1"/>
  <c r="AT782" i="1"/>
  <c r="AT793" i="1"/>
  <c r="AT800" i="1"/>
  <c r="AT814" i="1"/>
  <c r="AT810" i="1"/>
  <c r="DI810" i="1" s="1"/>
  <c r="AT818" i="1"/>
  <c r="AT822" i="1"/>
  <c r="AT829" i="1"/>
  <c r="AT836" i="1"/>
  <c r="AT845" i="1"/>
  <c r="AT838" i="1"/>
  <c r="AT852" i="1"/>
  <c r="AT872" i="1"/>
  <c r="AT886" i="1"/>
  <c r="AT897" i="1"/>
  <c r="AT912" i="1"/>
  <c r="AT904" i="1" s="1"/>
  <c r="AT921" i="1"/>
  <c r="AT924" i="1"/>
  <c r="AT915" i="1" s="1"/>
  <c r="AT927" i="1"/>
  <c r="AT935" i="1"/>
  <c r="AT950" i="1"/>
  <c r="AT964" i="1"/>
  <c r="AT960" i="1" s="1"/>
  <c r="AT969" i="1"/>
  <c r="AT977" i="1"/>
  <c r="AT985" i="1"/>
  <c r="AT983" i="1" s="1"/>
  <c r="AT989" i="1"/>
  <c r="AT996" i="1"/>
  <c r="AT1008" i="1"/>
  <c r="AT1005" i="1" s="1"/>
  <c r="AT1018" i="1"/>
  <c r="AT1021" i="1"/>
  <c r="AT1013" i="1"/>
  <c r="AT1025" i="1"/>
  <c r="AT1041" i="1"/>
  <c r="AT1035" i="1"/>
  <c r="AT1046" i="1"/>
  <c r="AT1053" i="1"/>
  <c r="AT1059" i="1"/>
  <c r="DI1059" i="1" s="1"/>
  <c r="AT1064" i="1"/>
  <c r="AT1071" i="1"/>
  <c r="AT1066" i="1"/>
  <c r="AT1086" i="1"/>
  <c r="AT1108" i="1"/>
  <c r="AT1120" i="1"/>
  <c r="AT1126" i="1"/>
  <c r="AT1138" i="1"/>
  <c r="AT1135" i="1" s="1"/>
  <c r="AT1149" i="1"/>
  <c r="AT1142" i="1"/>
  <c r="AT1152" i="1"/>
  <c r="AT1162" i="1"/>
  <c r="AT1157" i="1" s="1"/>
  <c r="AT1167" i="1"/>
  <c r="AT1172" i="1"/>
  <c r="AT1177" i="1"/>
  <c r="AT1185" i="1"/>
  <c r="AT1194" i="1"/>
  <c r="AT1192" i="1"/>
  <c r="AT1204" i="1"/>
  <c r="AT1201" i="1" s="1"/>
  <c r="AT1209" i="1"/>
  <c r="AT1219" i="1"/>
  <c r="AT1222" i="1"/>
  <c r="AT1229" i="1"/>
  <c r="AT1236" i="1"/>
  <c r="AT1238" i="1"/>
  <c r="AT1244" i="1"/>
  <c r="AT1248" i="1"/>
  <c r="AT1250" i="1"/>
  <c r="AT1265" i="1"/>
  <c r="AT1261" i="1"/>
  <c r="AT1277" i="1"/>
  <c r="AT1274" i="1"/>
  <c r="AT1297" i="1"/>
  <c r="AT1291" i="1"/>
  <c r="AT1309" i="1"/>
  <c r="AT1303" i="1" s="1"/>
  <c r="AT16" i="1"/>
  <c r="AT17" i="1"/>
  <c r="AT18" i="1"/>
  <c r="AU8" i="1"/>
  <c r="AU9" i="1"/>
  <c r="AU10" i="1"/>
  <c r="AU11" i="1"/>
  <c r="AU637" i="1"/>
  <c r="AU219" i="1"/>
  <c r="AU594" i="1"/>
  <c r="AU623" i="1"/>
  <c r="AU1028" i="1"/>
  <c r="AU13" i="1" s="1"/>
  <c r="AU95" i="1"/>
  <c r="AU124" i="1"/>
  <c r="AU168" i="1"/>
  <c r="AU220" i="1"/>
  <c r="AU67" i="1"/>
  <c r="AU76" i="1"/>
  <c r="AU88" i="1"/>
  <c r="AU15" i="1" s="1"/>
  <c r="AU84" i="1"/>
  <c r="AU90" i="1"/>
  <c r="AU96" i="1"/>
  <c r="AU108" i="1"/>
  <c r="AU103" i="1"/>
  <c r="AU111" i="1"/>
  <c r="AU120" i="1"/>
  <c r="AU122" i="1"/>
  <c r="AU129" i="1"/>
  <c r="AU131" i="1"/>
  <c r="AU138" i="1"/>
  <c r="AU144" i="1"/>
  <c r="AU151" i="1"/>
  <c r="AU160" i="1"/>
  <c r="AU165" i="1"/>
  <c r="AU172" i="1"/>
  <c r="AU175" i="1"/>
  <c r="AU186" i="1"/>
  <c r="AU195" i="1"/>
  <c r="AU200" i="1"/>
  <c r="AU209" i="1"/>
  <c r="AU215" i="1"/>
  <c r="AU224" i="1"/>
  <c r="AU231" i="1"/>
  <c r="AU240" i="1"/>
  <c r="AU247" i="1"/>
  <c r="AU249" i="1"/>
  <c r="AU263" i="1"/>
  <c r="AU258" i="1"/>
  <c r="AU273" i="1"/>
  <c r="AU268" i="1" s="1"/>
  <c r="AU278" i="1"/>
  <c r="AU285" i="1"/>
  <c r="AU291" i="1"/>
  <c r="AU301" i="1"/>
  <c r="AU296" i="1" s="1"/>
  <c r="AU310" i="1"/>
  <c r="AU305" i="1"/>
  <c r="AU316" i="1"/>
  <c r="AU329" i="1"/>
  <c r="AU332" i="1"/>
  <c r="AU345" i="1"/>
  <c r="AU340" i="1" s="1"/>
  <c r="AU351" i="1"/>
  <c r="AU358" i="1"/>
  <c r="AU367" i="1"/>
  <c r="AU371" i="1"/>
  <c r="AU378" i="1"/>
  <c r="AU385" i="1"/>
  <c r="AU393" i="1"/>
  <c r="AU401" i="1"/>
  <c r="AU403" i="1"/>
  <c r="AU413" i="1"/>
  <c r="AU419" i="1"/>
  <c r="AU421" i="1"/>
  <c r="AU434" i="1"/>
  <c r="AU430" i="1" s="1"/>
  <c r="AU438" i="1"/>
  <c r="AU448" i="1"/>
  <c r="AU445" i="1" s="1"/>
  <c r="AU454" i="1"/>
  <c r="AU462" i="1"/>
  <c r="AU459" i="1" s="1"/>
  <c r="AU463" i="1"/>
  <c r="AU472" i="1"/>
  <c r="AU468" i="1"/>
  <c r="AU478" i="1"/>
  <c r="AU489" i="1"/>
  <c r="AU485" i="1"/>
  <c r="AU495" i="1"/>
  <c r="AU502" i="1"/>
  <c r="AU510" i="1"/>
  <c r="AU520" i="1"/>
  <c r="AU529" i="1"/>
  <c r="AU543" i="1"/>
  <c r="AU538" i="1"/>
  <c r="AU548" i="1"/>
  <c r="AU564" i="1"/>
  <c r="AU557" i="1"/>
  <c r="AU569" i="1"/>
  <c r="AU572" i="1"/>
  <c r="AU576" i="1"/>
  <c r="AU583" i="1"/>
  <c r="AU595" i="1"/>
  <c r="AU590" i="1"/>
  <c r="AU600" i="1"/>
  <c r="AU607" i="1"/>
  <c r="AU603" i="1" s="1"/>
  <c r="AU614" i="1"/>
  <c r="AU620" i="1"/>
  <c r="AU622" i="1"/>
  <c r="AU631" i="1"/>
  <c r="AU628" i="1"/>
  <c r="AU636" i="1"/>
  <c r="AU647" i="1"/>
  <c r="AU654" i="1"/>
  <c r="AU662" i="1"/>
  <c r="AU665" i="1"/>
  <c r="AU674" i="1"/>
  <c r="AU687" i="1"/>
  <c r="AU681" i="1" s="1"/>
  <c r="AU693" i="1"/>
  <c r="AU698" i="1"/>
  <c r="AU702" i="1"/>
  <c r="AU711" i="1"/>
  <c r="AU720" i="1"/>
  <c r="AU731" i="1"/>
  <c r="AU738" i="1"/>
  <c r="AU753" i="1"/>
  <c r="AU750" i="1"/>
  <c r="AU758" i="1"/>
  <c r="AU763" i="1"/>
  <c r="AU774" i="1"/>
  <c r="AU784" i="1"/>
  <c r="AU782" i="1" s="1"/>
  <c r="AU789" i="1"/>
  <c r="AU793" i="1"/>
  <c r="AU800" i="1"/>
  <c r="AU814" i="1"/>
  <c r="AU810" i="1" s="1"/>
  <c r="AU818" i="1"/>
  <c r="AU822" i="1"/>
  <c r="AU829" i="1"/>
  <c r="AU836" i="1"/>
  <c r="AU845" i="1"/>
  <c r="AU838" i="1"/>
  <c r="AU856" i="1"/>
  <c r="AU852" i="1" s="1"/>
  <c r="AU872" i="1"/>
  <c r="AU886" i="1"/>
  <c r="AU897" i="1"/>
  <c r="AU908" i="1"/>
  <c r="AU904" i="1" s="1"/>
  <c r="AU921" i="1"/>
  <c r="AU915" i="1" s="1"/>
  <c r="AU924" i="1"/>
  <c r="AU18" i="1" s="1"/>
  <c r="AU927" i="1"/>
  <c r="AU935" i="1"/>
  <c r="AU950" i="1"/>
  <c r="AU964" i="1"/>
  <c r="AU960" i="1"/>
  <c r="AU969" i="1"/>
  <c r="AU977" i="1"/>
  <c r="AU985" i="1"/>
  <c r="AU983" i="1"/>
  <c r="AU989" i="1"/>
  <c r="AU996" i="1"/>
  <c r="AU1005" i="1"/>
  <c r="AU1018" i="1"/>
  <c r="AU1021" i="1"/>
  <c r="AU17" i="1" s="1"/>
  <c r="AU1013" i="1"/>
  <c r="AU1025" i="1"/>
  <c r="AU1041" i="1"/>
  <c r="AU1035" i="1"/>
  <c r="AU1046" i="1"/>
  <c r="AU1051" i="1"/>
  <c r="AU1053" i="1"/>
  <c r="AU1059" i="1"/>
  <c r="AU1064" i="1"/>
  <c r="AU1071" i="1"/>
  <c r="AU1066" i="1"/>
  <c r="AU1086" i="1"/>
  <c r="AU1108" i="1"/>
  <c r="AU1120" i="1"/>
  <c r="AU1126" i="1"/>
  <c r="AU1138" i="1"/>
  <c r="AU1135" i="1"/>
  <c r="AU1146" i="1"/>
  <c r="AU1142" i="1" s="1"/>
  <c r="AU1152" i="1"/>
  <c r="AU1162" i="1"/>
  <c r="AU1157" i="1"/>
  <c r="AU1167" i="1"/>
  <c r="AU1172" i="1"/>
  <c r="AU1177" i="1"/>
  <c r="AU1185" i="1"/>
  <c r="AU1194" i="1"/>
  <c r="AU1192" i="1" s="1"/>
  <c r="AU1204" i="1"/>
  <c r="AU1201" i="1" s="1"/>
  <c r="AU1209" i="1"/>
  <c r="AU1219" i="1"/>
  <c r="AU1222" i="1"/>
  <c r="AU1229" i="1"/>
  <c r="AU1236" i="1"/>
  <c r="AU1238" i="1"/>
  <c r="AU1244" i="1"/>
  <c r="AU1248" i="1"/>
  <c r="AU1258" i="1"/>
  <c r="AU1250" i="1" s="1"/>
  <c r="AU1265" i="1"/>
  <c r="AU1261" i="1"/>
  <c r="AU1277" i="1"/>
  <c r="AU1274" i="1"/>
  <c r="AU1280" i="1"/>
  <c r="AU1297" i="1"/>
  <c r="AU1291" i="1" s="1"/>
  <c r="AU1309" i="1"/>
  <c r="AU1303" i="1"/>
  <c r="AU16" i="1"/>
  <c r="AV1097" i="1"/>
  <c r="AV1096" i="1" s="1"/>
  <c r="AV8" i="1"/>
  <c r="AV9" i="1"/>
  <c r="AV10" i="1"/>
  <c r="AV11" i="1"/>
  <c r="AV637" i="1"/>
  <c r="AV636" i="1" s="1"/>
  <c r="AV219" i="1"/>
  <c r="AV220" i="1" s="1"/>
  <c r="AV594" i="1"/>
  <c r="AV595" i="1" s="1"/>
  <c r="AV1028" i="1"/>
  <c r="AV95" i="1"/>
  <c r="AV168" i="1"/>
  <c r="AV263" i="1"/>
  <c r="AV67" i="1"/>
  <c r="AV76" i="1"/>
  <c r="AV84" i="1"/>
  <c r="AV90" i="1"/>
  <c r="AV92" i="1"/>
  <c r="AV103" i="1"/>
  <c r="AV111" i="1"/>
  <c r="AV120" i="1"/>
  <c r="AV122" i="1"/>
  <c r="AV129" i="1"/>
  <c r="AV20" i="1" s="1"/>
  <c r="AV131" i="1"/>
  <c r="AV138" i="1"/>
  <c r="AV144" i="1"/>
  <c r="AV151" i="1"/>
  <c r="AV160" i="1"/>
  <c r="AV165" i="1"/>
  <c r="AV172" i="1"/>
  <c r="AV175" i="1"/>
  <c r="AV186" i="1"/>
  <c r="AV195" i="1"/>
  <c r="AV200" i="1"/>
  <c r="AV209" i="1"/>
  <c r="AV217" i="1"/>
  <c r="AV224" i="1"/>
  <c r="AV231" i="1"/>
  <c r="AV240" i="1"/>
  <c r="AV247" i="1"/>
  <c r="AV249" i="1"/>
  <c r="AV258" i="1"/>
  <c r="AV273" i="1"/>
  <c r="AV278" i="1"/>
  <c r="AV285" i="1"/>
  <c r="AV291" i="1"/>
  <c r="AV301" i="1"/>
  <c r="AV296" i="1" s="1"/>
  <c r="DK296" i="1" s="1"/>
  <c r="AV305" i="1"/>
  <c r="AV316" i="1"/>
  <c r="AV329" i="1"/>
  <c r="AV332" i="1"/>
  <c r="AV340" i="1"/>
  <c r="AV351" i="1"/>
  <c r="AV358" i="1"/>
  <c r="AV367" i="1"/>
  <c r="AV371" i="1"/>
  <c r="AV378" i="1"/>
  <c r="AV385" i="1"/>
  <c r="AV393" i="1"/>
  <c r="AV403" i="1"/>
  <c r="AV413" i="1"/>
  <c r="AV421" i="1"/>
  <c r="AV430" i="1"/>
  <c r="DK430" i="1" s="1"/>
  <c r="AV438" i="1"/>
  <c r="AV445" i="1"/>
  <c r="AV454" i="1"/>
  <c r="AV462" i="1"/>
  <c r="AV459" i="1" s="1"/>
  <c r="AV463" i="1"/>
  <c r="AV472" i="1"/>
  <c r="AV468" i="1"/>
  <c r="AV478" i="1"/>
  <c r="AV485" i="1"/>
  <c r="AV495" i="1"/>
  <c r="AV502" i="1"/>
  <c r="AV510" i="1"/>
  <c r="AV520" i="1"/>
  <c r="AV529" i="1"/>
  <c r="AV538" i="1"/>
  <c r="AV548" i="1"/>
  <c r="AV557" i="1"/>
  <c r="AV569" i="1"/>
  <c r="AV572" i="1"/>
  <c r="AV576" i="1"/>
  <c r="DK576" i="1" s="1"/>
  <c r="AV583" i="1"/>
  <c r="AV590" i="1"/>
  <c r="AV600" i="1"/>
  <c r="AV607" i="1"/>
  <c r="AV603" i="1" s="1"/>
  <c r="AV614" i="1"/>
  <c r="AV622" i="1"/>
  <c r="AV628" i="1"/>
  <c r="AV647" i="1"/>
  <c r="AV654" i="1"/>
  <c r="AV662" i="1"/>
  <c r="AV665" i="1"/>
  <c r="AV674" i="1"/>
  <c r="AV687" i="1"/>
  <c r="AV681" i="1" s="1"/>
  <c r="AV693" i="1"/>
  <c r="AV698" i="1"/>
  <c r="AV702" i="1"/>
  <c r="AV714" i="1"/>
  <c r="AV711" i="1" s="1"/>
  <c r="AV720" i="1"/>
  <c r="AV731" i="1"/>
  <c r="AV741" i="1"/>
  <c r="AV738" i="1" s="1"/>
  <c r="AV753" i="1"/>
  <c r="AV750" i="1"/>
  <c r="AV758" i="1"/>
  <c r="AV763" i="1"/>
  <c r="AV774" i="1"/>
  <c r="AV782" i="1"/>
  <c r="AV787" i="1"/>
  <c r="AV789" i="1"/>
  <c r="AV793" i="1"/>
  <c r="AV800" i="1"/>
  <c r="AV814" i="1"/>
  <c r="AV810" i="1" s="1"/>
  <c r="AV818" i="1"/>
  <c r="AV822" i="1"/>
  <c r="AV829" i="1"/>
  <c r="AV836" i="1"/>
  <c r="AV838" i="1"/>
  <c r="AV856" i="1"/>
  <c r="AV852" i="1"/>
  <c r="AV872" i="1"/>
  <c r="AV886" i="1"/>
  <c r="AV895" i="1"/>
  <c r="AV897" i="1"/>
  <c r="AV904" i="1"/>
  <c r="AV921" i="1"/>
  <c r="AV924" i="1"/>
  <c r="AV18" i="1" s="1"/>
  <c r="AV915" i="1"/>
  <c r="AV927" i="1"/>
  <c r="AV935" i="1"/>
  <c r="AV950" i="1"/>
  <c r="AV964" i="1"/>
  <c r="AV960" i="1" s="1"/>
  <c r="AV969" i="1"/>
  <c r="AV977" i="1"/>
  <c r="AV985" i="1"/>
  <c r="AV983" i="1"/>
  <c r="AV989" i="1"/>
  <c r="AV999" i="1"/>
  <c r="AV996" i="1" s="1"/>
  <c r="AV1005" i="1"/>
  <c r="AV1018" i="1"/>
  <c r="AV1013" i="1"/>
  <c r="AV1041" i="1"/>
  <c r="AV1035" i="1" s="1"/>
  <c r="AV1046" i="1"/>
  <c r="AV1051" i="1"/>
  <c r="AV1053" i="1"/>
  <c r="AV1059" i="1"/>
  <c r="AV1064" i="1"/>
  <c r="AV1071" i="1"/>
  <c r="AV1066" i="1"/>
  <c r="AV1075" i="1"/>
  <c r="AV1086" i="1"/>
  <c r="AV1102" i="1"/>
  <c r="AV1108" i="1"/>
  <c r="AV1120" i="1"/>
  <c r="AV1126" i="1"/>
  <c r="AV1138" i="1"/>
  <c r="AV1135" i="1"/>
  <c r="AV1140" i="1"/>
  <c r="AV1146" i="1"/>
  <c r="AV1148" i="1"/>
  <c r="AV1142" i="1"/>
  <c r="AV1152" i="1"/>
  <c r="AV1162" i="1"/>
  <c r="AV1157" i="1"/>
  <c r="AV1167" i="1"/>
  <c r="AV1172" i="1"/>
  <c r="AV1177" i="1"/>
  <c r="AV1185" i="1"/>
  <c r="AV1194" i="1"/>
  <c r="AV1192" i="1" s="1"/>
  <c r="AV1204" i="1"/>
  <c r="AV1201" i="1" s="1"/>
  <c r="AV1209" i="1"/>
  <c r="AV1219" i="1"/>
  <c r="AV1222" i="1"/>
  <c r="AV1229" i="1"/>
  <c r="AV1236" i="1"/>
  <c r="AV1238" i="1"/>
  <c r="AV1244" i="1"/>
  <c r="AV1250" i="1"/>
  <c r="AV1265" i="1"/>
  <c r="AV1261" i="1"/>
  <c r="AV1277" i="1"/>
  <c r="AV1274" i="1"/>
  <c r="AV1297" i="1"/>
  <c r="AV1291" i="1"/>
  <c r="AV1309" i="1"/>
  <c r="AV1303" i="1" s="1"/>
  <c r="AV15" i="1"/>
  <c r="AV16" i="1"/>
  <c r="AW1097" i="1"/>
  <c r="AW8" i="1"/>
  <c r="AW9" i="1"/>
  <c r="AW10" i="1"/>
  <c r="AW11" i="1"/>
  <c r="AW637" i="1"/>
  <c r="AW12" i="1"/>
  <c r="AW219" i="1"/>
  <c r="AW594" i="1"/>
  <c r="AW1070" i="1"/>
  <c r="AW1245" i="1"/>
  <c r="AW95" i="1"/>
  <c r="AW92" i="1" s="1"/>
  <c r="AW168" i="1"/>
  <c r="AW165" i="1" s="1"/>
  <c r="AW179" i="1"/>
  <c r="AW67" i="1"/>
  <c r="AW76" i="1"/>
  <c r="AW84" i="1"/>
  <c r="AW90" i="1"/>
  <c r="AW103" i="1"/>
  <c r="AW111" i="1"/>
  <c r="AW122" i="1"/>
  <c r="AW129" i="1"/>
  <c r="AW131" i="1"/>
  <c r="AW138" i="1"/>
  <c r="AW144" i="1"/>
  <c r="AW151" i="1"/>
  <c r="AW160" i="1"/>
  <c r="AW172" i="1"/>
  <c r="AW186" i="1"/>
  <c r="AW195" i="1"/>
  <c r="AW200" i="1"/>
  <c r="AW209" i="1"/>
  <c r="AW224" i="1"/>
  <c r="AW231" i="1"/>
  <c r="AW240" i="1"/>
  <c r="AW247" i="1"/>
  <c r="AW249" i="1"/>
  <c r="AW263" i="1"/>
  <c r="AW258" i="1" s="1"/>
  <c r="AW273" i="1"/>
  <c r="AW268" i="1" s="1"/>
  <c r="AW278" i="1"/>
  <c r="AW285" i="1"/>
  <c r="AW291" i="1"/>
  <c r="AW301" i="1"/>
  <c r="AW296" i="1" s="1"/>
  <c r="AW310" i="1"/>
  <c r="AW305" i="1"/>
  <c r="AW326" i="1"/>
  <c r="AW316" i="1"/>
  <c r="AW329" i="1"/>
  <c r="AW332" i="1"/>
  <c r="AW345" i="1"/>
  <c r="AW340" i="1" s="1"/>
  <c r="AW351" i="1"/>
  <c r="AW358" i="1"/>
  <c r="AW367" i="1"/>
  <c r="AW371" i="1"/>
  <c r="AW378" i="1"/>
  <c r="AW385" i="1"/>
  <c r="AW393" i="1"/>
  <c r="AW403" i="1"/>
  <c r="AW413" i="1"/>
  <c r="AW421" i="1"/>
  <c r="AW430" i="1"/>
  <c r="AW438" i="1"/>
  <c r="AW448" i="1"/>
  <c r="AW445" i="1" s="1"/>
  <c r="AW454" i="1"/>
  <c r="AW462" i="1"/>
  <c r="AW459" i="1"/>
  <c r="AW468" i="1"/>
  <c r="AW478" i="1"/>
  <c r="AW485" i="1"/>
  <c r="AW495" i="1"/>
  <c r="AW502" i="1"/>
  <c r="AW510" i="1"/>
  <c r="AW524" i="1"/>
  <c r="AW520" i="1" s="1"/>
  <c r="AW529" i="1"/>
  <c r="AW543" i="1"/>
  <c r="AW538" i="1" s="1"/>
  <c r="DL538" i="1" s="1"/>
  <c r="AW548" i="1"/>
  <c r="AW564" i="1"/>
  <c r="AW557" i="1" s="1"/>
  <c r="AW569" i="1"/>
  <c r="AW572" i="1"/>
  <c r="AW576" i="1"/>
  <c r="AW583" i="1"/>
  <c r="AW600" i="1"/>
  <c r="AW607" i="1"/>
  <c r="AW603" i="1" s="1"/>
  <c r="AW614" i="1"/>
  <c r="AW620" i="1"/>
  <c r="AW622" i="1"/>
  <c r="AW631" i="1"/>
  <c r="AW628" i="1" s="1"/>
  <c r="AW636" i="1"/>
  <c r="AW647" i="1"/>
  <c r="AW654" i="1"/>
  <c r="AW662" i="1"/>
  <c r="AW665" i="1"/>
  <c r="AW674" i="1"/>
  <c r="AW687" i="1"/>
  <c r="AW681" i="1" s="1"/>
  <c r="AW693" i="1"/>
  <c r="AW698" i="1"/>
  <c r="AW702" i="1"/>
  <c r="AW711" i="1"/>
  <c r="AW720" i="1"/>
  <c r="AW731" i="1"/>
  <c r="AW741" i="1"/>
  <c r="AW738" i="1"/>
  <c r="AW753" i="1"/>
  <c r="AW750" i="1"/>
  <c r="AW758" i="1"/>
  <c r="AW763" i="1"/>
  <c r="AW774" i="1"/>
  <c r="AW782" i="1"/>
  <c r="AW789" i="1"/>
  <c r="AW793" i="1"/>
  <c r="AW800" i="1"/>
  <c r="AW814" i="1"/>
  <c r="AW810" i="1" s="1"/>
  <c r="AW818" i="1"/>
  <c r="AW822" i="1"/>
  <c r="AW829" i="1"/>
  <c r="AW845" i="1"/>
  <c r="AW838" i="1" s="1"/>
  <c r="AW856" i="1"/>
  <c r="AW852" i="1"/>
  <c r="AW862" i="1"/>
  <c r="AW872" i="1"/>
  <c r="AW886" i="1"/>
  <c r="AW897" i="1"/>
  <c r="AW904" i="1"/>
  <c r="AW921" i="1"/>
  <c r="AW924" i="1"/>
  <c r="AW927" i="1"/>
  <c r="AW935" i="1"/>
  <c r="AW950" i="1"/>
  <c r="AW964" i="1"/>
  <c r="AW960" i="1" s="1"/>
  <c r="AW969" i="1"/>
  <c r="AW977" i="1"/>
  <c r="AW985" i="1"/>
  <c r="AW983" i="1" s="1"/>
  <c r="AW989" i="1"/>
  <c r="AW999" i="1"/>
  <c r="AW1002" i="1"/>
  <c r="AW996" i="1" s="1"/>
  <c r="AW1005" i="1"/>
  <c r="AW1018" i="1"/>
  <c r="AW1013" i="1"/>
  <c r="AW1025" i="1"/>
  <c r="AW1041" i="1"/>
  <c r="AW1035" i="1"/>
  <c r="AW1046" i="1"/>
  <c r="AW1053" i="1"/>
  <c r="AW1059" i="1"/>
  <c r="AW1071" i="1"/>
  <c r="AW1066" i="1"/>
  <c r="AW1075" i="1"/>
  <c r="AW1086" i="1"/>
  <c r="AW1096" i="1"/>
  <c r="AW1108" i="1"/>
  <c r="AW1120" i="1"/>
  <c r="AW1126" i="1"/>
  <c r="AW1138" i="1"/>
  <c r="AW1135" i="1"/>
  <c r="AW1146" i="1"/>
  <c r="AW1142" i="1"/>
  <c r="AW1152" i="1"/>
  <c r="AW1157" i="1"/>
  <c r="AW1167" i="1"/>
  <c r="AW1172" i="1"/>
  <c r="AW1177" i="1"/>
  <c r="AW1185" i="1"/>
  <c r="AW1192" i="1"/>
  <c r="AW1204" i="1"/>
  <c r="AW1201" i="1" s="1"/>
  <c r="AW1209" i="1"/>
  <c r="AW1219" i="1"/>
  <c r="AW24" i="1" s="1"/>
  <c r="AW1222" i="1"/>
  <c r="AW1229" i="1"/>
  <c r="AW1238" i="1"/>
  <c r="AW1246" i="1"/>
  <c r="AW1244" i="1" s="1"/>
  <c r="AW1250" i="1"/>
  <c r="AW1265" i="1"/>
  <c r="AW1261" i="1" s="1"/>
  <c r="AW1277" i="1"/>
  <c r="AW1274" i="1"/>
  <c r="AW1291" i="1"/>
  <c r="AW1309" i="1"/>
  <c r="AW1303" i="1" s="1"/>
  <c r="AW15" i="1"/>
  <c r="AW16" i="1"/>
  <c r="AW17" i="1"/>
  <c r="AX1097" i="1"/>
  <c r="AX1096" i="1" s="1"/>
  <c r="AX8" i="1"/>
  <c r="AX9" i="1"/>
  <c r="AX10" i="1"/>
  <c r="AX11" i="1"/>
  <c r="AX637" i="1"/>
  <c r="AX12" i="1" s="1"/>
  <c r="AX219" i="1"/>
  <c r="AX594" i="1"/>
  <c r="AX1028" i="1"/>
  <c r="AX1025" i="1" s="1"/>
  <c r="AX13" i="1"/>
  <c r="AX95" i="1"/>
  <c r="AX115" i="1"/>
  <c r="AX168" i="1"/>
  <c r="AX220" i="1"/>
  <c r="AX217" i="1" s="1"/>
  <c r="AX67" i="1"/>
  <c r="AX76" i="1"/>
  <c r="AX84" i="1"/>
  <c r="AX90" i="1"/>
  <c r="AX20" i="1" s="1"/>
  <c r="AX92" i="1"/>
  <c r="AX103" i="1"/>
  <c r="AX111" i="1"/>
  <c r="AX122" i="1"/>
  <c r="AX129" i="1"/>
  <c r="AX131" i="1"/>
  <c r="AX138" i="1"/>
  <c r="AX144" i="1"/>
  <c r="AX151" i="1"/>
  <c r="AX160" i="1"/>
  <c r="AX165" i="1"/>
  <c r="AX172" i="1"/>
  <c r="AX175" i="1"/>
  <c r="AX186" i="1"/>
  <c r="AX195" i="1"/>
  <c r="AX200" i="1"/>
  <c r="AX209" i="1"/>
  <c r="AX224" i="1"/>
  <c r="AX231" i="1"/>
  <c r="AX240" i="1"/>
  <c r="AX249" i="1"/>
  <c r="AX263" i="1"/>
  <c r="AX258" i="1"/>
  <c r="AX273" i="1"/>
  <c r="AX268" i="1" s="1"/>
  <c r="AX278" i="1"/>
  <c r="AX285" i="1"/>
  <c r="AX291" i="1"/>
  <c r="AX301" i="1"/>
  <c r="AX296" i="1"/>
  <c r="AX310" i="1"/>
  <c r="AX305" i="1" s="1"/>
  <c r="AX322" i="1"/>
  <c r="AX316" i="1" s="1"/>
  <c r="AX329" i="1"/>
  <c r="AX332" i="1"/>
  <c r="AX345" i="1"/>
  <c r="AX340" i="1" s="1"/>
  <c r="AX351" i="1"/>
  <c r="AX358" i="1"/>
  <c r="AX367" i="1"/>
  <c r="AX371" i="1"/>
  <c r="AX378" i="1"/>
  <c r="AX385" i="1"/>
  <c r="AX393" i="1"/>
  <c r="AX403" i="1"/>
  <c r="AX413" i="1"/>
  <c r="AX421" i="1"/>
  <c r="AX438" i="1"/>
  <c r="AX448" i="1"/>
  <c r="AX445" i="1" s="1"/>
  <c r="AX454" i="1"/>
  <c r="AX462" i="1"/>
  <c r="AX459" i="1"/>
  <c r="AX472" i="1"/>
  <c r="AX468" i="1"/>
  <c r="AX478" i="1"/>
  <c r="AX489" i="1"/>
  <c r="AX485" i="1"/>
  <c r="AX495" i="1"/>
  <c r="AX502" i="1"/>
  <c r="AX510" i="1"/>
  <c r="AX524" i="1"/>
  <c r="AX520" i="1"/>
  <c r="AX529" i="1"/>
  <c r="AX543" i="1"/>
  <c r="AX538" i="1"/>
  <c r="AX548" i="1"/>
  <c r="AX564" i="1"/>
  <c r="AX557" i="1"/>
  <c r="AX569" i="1"/>
  <c r="AX572" i="1"/>
  <c r="AX576" i="1"/>
  <c r="AX583" i="1"/>
  <c r="AX595" i="1"/>
  <c r="AX590" i="1"/>
  <c r="AX600" i="1"/>
  <c r="AX603" i="1"/>
  <c r="AX614" i="1"/>
  <c r="AX622" i="1"/>
  <c r="AX628" i="1"/>
  <c r="AX636" i="1"/>
  <c r="AX650" i="1"/>
  <c r="AX647" i="1"/>
  <c r="AX654" i="1"/>
  <c r="AX662" i="1"/>
  <c r="AX665" i="1"/>
  <c r="AX677" i="1"/>
  <c r="AX674" i="1"/>
  <c r="AX687" i="1"/>
  <c r="AX681" i="1" s="1"/>
  <c r="AX693" i="1"/>
  <c r="AX696" i="1"/>
  <c r="AX698" i="1"/>
  <c r="AX702" i="1"/>
  <c r="AX711" i="1"/>
  <c r="AX723" i="1"/>
  <c r="AX720" i="1" s="1"/>
  <c r="AX731" i="1"/>
  <c r="AX741" i="1"/>
  <c r="AX738" i="1"/>
  <c r="AX753" i="1"/>
  <c r="AX750" i="1"/>
  <c r="AX758" i="1"/>
  <c r="AX763" i="1"/>
  <c r="AX774" i="1"/>
  <c r="AX782" i="1"/>
  <c r="AX789" i="1"/>
  <c r="AX793" i="1"/>
  <c r="AX800" i="1"/>
  <c r="AX814" i="1"/>
  <c r="AX810" i="1"/>
  <c r="AX818" i="1"/>
  <c r="AX822" i="1"/>
  <c r="AX827" i="1"/>
  <c r="AX829" i="1"/>
  <c r="AX845" i="1"/>
  <c r="AX838" i="1" s="1"/>
  <c r="AX856" i="1"/>
  <c r="AX852" i="1"/>
  <c r="AX862" i="1"/>
  <c r="AX872" i="1"/>
  <c r="AX886" i="1"/>
  <c r="AX897" i="1"/>
  <c r="AX904" i="1"/>
  <c r="AX921" i="1"/>
  <c r="AX924" i="1"/>
  <c r="AX915" i="1" s="1"/>
  <c r="AX927" i="1"/>
  <c r="AX935" i="1"/>
  <c r="AX950" i="1"/>
  <c r="AX964" i="1"/>
  <c r="AX960" i="1" s="1"/>
  <c r="AX969" i="1"/>
  <c r="AX977" i="1"/>
  <c r="AX985" i="1"/>
  <c r="AX983" i="1"/>
  <c r="AX989" i="1"/>
  <c r="AX999" i="1"/>
  <c r="AX1002" i="1"/>
  <c r="AX996" i="1"/>
  <c r="AX1008" i="1"/>
  <c r="AX1005" i="1"/>
  <c r="AX1018" i="1"/>
  <c r="AX1013" i="1"/>
  <c r="AX1033" i="1"/>
  <c r="AX1041" i="1"/>
  <c r="AX1035" i="1"/>
  <c r="AX1046" i="1"/>
  <c r="AX1053" i="1"/>
  <c r="AX1059" i="1"/>
  <c r="AX1071" i="1"/>
  <c r="AX1066" i="1"/>
  <c r="AX1086" i="1"/>
  <c r="AX1108" i="1"/>
  <c r="AX1120" i="1"/>
  <c r="AX1138" i="1"/>
  <c r="AX1135" i="1" s="1"/>
  <c r="AX1146" i="1"/>
  <c r="AX1142" i="1"/>
  <c r="AX1152" i="1"/>
  <c r="AX1157" i="1"/>
  <c r="AX1169" i="1"/>
  <c r="AX1167" i="1" s="1"/>
  <c r="AX1172" i="1"/>
  <c r="AX1177" i="1"/>
  <c r="AX1185" i="1"/>
  <c r="AX1192" i="1"/>
  <c r="AX1204" i="1"/>
  <c r="AX1201" i="1"/>
  <c r="AX1209" i="1"/>
  <c r="AX1219" i="1"/>
  <c r="AX1222" i="1"/>
  <c r="AX1229" i="1"/>
  <c r="AX1238" i="1"/>
  <c r="AX1244" i="1"/>
  <c r="AX1250" i="1"/>
  <c r="AX1261" i="1"/>
  <c r="AX1277" i="1"/>
  <c r="AX1274" i="1" s="1"/>
  <c r="AX1297" i="1"/>
  <c r="AX1291" i="1"/>
  <c r="AX1309" i="1"/>
  <c r="AX1303" i="1" s="1"/>
  <c r="AX15" i="1"/>
  <c r="AX16" i="1"/>
  <c r="AX17" i="1"/>
  <c r="AX18" i="1"/>
  <c r="AY1097" i="1"/>
  <c r="AY8" i="1"/>
  <c r="AY9" i="1"/>
  <c r="AY10" i="1"/>
  <c r="AY11" i="1"/>
  <c r="AY637" i="1"/>
  <c r="AY12" i="1" s="1"/>
  <c r="AY219" i="1"/>
  <c r="AY13" i="1" s="1"/>
  <c r="AY344" i="1"/>
  <c r="AY380" i="1"/>
  <c r="AY378" i="1" s="1"/>
  <c r="AY594" i="1"/>
  <c r="AY590" i="1" s="1"/>
  <c r="AY72" i="1"/>
  <c r="AY67" i="1" s="1"/>
  <c r="AY95" i="1"/>
  <c r="AY92" i="1" s="1"/>
  <c r="AY115" i="1"/>
  <c r="AY168" i="1"/>
  <c r="AY76" i="1"/>
  <c r="AY84" i="1"/>
  <c r="AY90" i="1"/>
  <c r="AY103" i="1"/>
  <c r="AY111" i="1"/>
  <c r="AY122" i="1"/>
  <c r="AY129" i="1"/>
  <c r="AY131" i="1"/>
  <c r="AY138" i="1"/>
  <c r="AY144" i="1"/>
  <c r="AY151" i="1"/>
  <c r="AY160" i="1"/>
  <c r="AY165" i="1"/>
  <c r="AY172" i="1"/>
  <c r="AY175" i="1"/>
  <c r="AY186" i="1"/>
  <c r="AY195" i="1"/>
  <c r="AY200" i="1"/>
  <c r="AY209" i="1"/>
  <c r="AY220" i="1"/>
  <c r="AY217" i="1" s="1"/>
  <c r="AY227" i="1"/>
  <c r="AY224" i="1" s="1"/>
  <c r="AY231" i="1"/>
  <c r="AY240" i="1"/>
  <c r="AY249" i="1"/>
  <c r="AY263" i="1"/>
  <c r="AY258" i="1"/>
  <c r="AY268" i="1"/>
  <c r="AY278" i="1"/>
  <c r="AY285" i="1"/>
  <c r="AY291" i="1"/>
  <c r="AY301" i="1"/>
  <c r="AY296" i="1"/>
  <c r="AY310" i="1"/>
  <c r="AY305" i="1" s="1"/>
  <c r="AY322" i="1"/>
  <c r="AY316" i="1" s="1"/>
  <c r="AY329" i="1"/>
  <c r="AY332" i="1"/>
  <c r="AY345" i="1"/>
  <c r="AY340" i="1"/>
  <c r="AY351" i="1"/>
  <c r="AY358" i="1"/>
  <c r="AY367" i="1"/>
  <c r="AY371" i="1"/>
  <c r="AY385" i="1"/>
  <c r="AY393" i="1"/>
  <c r="AY403" i="1"/>
  <c r="AY413" i="1"/>
  <c r="AY419" i="1"/>
  <c r="AY421" i="1"/>
  <c r="AY430" i="1"/>
  <c r="AY441" i="1"/>
  <c r="AY438" i="1" s="1"/>
  <c r="AY448" i="1"/>
  <c r="AY445" i="1" s="1"/>
  <c r="AY454" i="1"/>
  <c r="AY459" i="1"/>
  <c r="AY472" i="1"/>
  <c r="AY468" i="1"/>
  <c r="AY478" i="1"/>
  <c r="AY485" i="1"/>
  <c r="AY495" i="1"/>
  <c r="AY24" i="1" s="1"/>
  <c r="AY502" i="1"/>
  <c r="AY510" i="1"/>
  <c r="AY524" i="1"/>
  <c r="AY520" i="1"/>
  <c r="AY529" i="1"/>
  <c r="AY543" i="1"/>
  <c r="AY538" i="1"/>
  <c r="AY548" i="1"/>
  <c r="AY564" i="1"/>
  <c r="AY557" i="1"/>
  <c r="AY569" i="1"/>
  <c r="AY572" i="1"/>
  <c r="AY576" i="1"/>
  <c r="AY583" i="1"/>
  <c r="AY595" i="1"/>
  <c r="AY598" i="1"/>
  <c r="AY600" i="1"/>
  <c r="AY603" i="1"/>
  <c r="AY614" i="1"/>
  <c r="AY622" i="1"/>
  <c r="AY628" i="1"/>
  <c r="AY636" i="1"/>
  <c r="AY650" i="1"/>
  <c r="AY647" i="1" s="1"/>
  <c r="AY654" i="1"/>
  <c r="AY662" i="1"/>
  <c r="AY665" i="1"/>
  <c r="AY677" i="1"/>
  <c r="AY674" i="1"/>
  <c r="AY679" i="1"/>
  <c r="AY687" i="1"/>
  <c r="AY681" i="1" s="1"/>
  <c r="AY698" i="1"/>
  <c r="AY702" i="1"/>
  <c r="AY711" i="1"/>
  <c r="AY720" i="1"/>
  <c r="AY731" i="1"/>
  <c r="AY741" i="1"/>
  <c r="AY738" i="1" s="1"/>
  <c r="DN738" i="1" s="1"/>
  <c r="AY753" i="1"/>
  <c r="AY750" i="1"/>
  <c r="AY758" i="1"/>
  <c r="AY763" i="1"/>
  <c r="AY774" i="1"/>
  <c r="AY782" i="1"/>
  <c r="AY789" i="1"/>
  <c r="AY793" i="1"/>
  <c r="AY800" i="1"/>
  <c r="AY814" i="1"/>
  <c r="AY810" i="1" s="1"/>
  <c r="AY818" i="1"/>
  <c r="AY822" i="1"/>
  <c r="AY827" i="1"/>
  <c r="AY829" i="1"/>
  <c r="AY845" i="1"/>
  <c r="AY838" i="1" s="1"/>
  <c r="AY856" i="1"/>
  <c r="AY852" i="1"/>
  <c r="AY862" i="1"/>
  <c r="AY872" i="1"/>
  <c r="AY886" i="1"/>
  <c r="AY897" i="1"/>
  <c r="AY904" i="1"/>
  <c r="AY25" i="1" s="1"/>
  <c r="AY921" i="1"/>
  <c r="AY915" i="1" s="1"/>
  <c r="AY924" i="1"/>
  <c r="AY18" i="1" s="1"/>
  <c r="AY927" i="1"/>
  <c r="AY935" i="1"/>
  <c r="AY950" i="1"/>
  <c r="AY960" i="1"/>
  <c r="AY969" i="1"/>
  <c r="AY977" i="1"/>
  <c r="AY985" i="1"/>
  <c r="AY983" i="1"/>
  <c r="AY989" i="1"/>
  <c r="AY999" i="1"/>
  <c r="AY996" i="1" s="1"/>
  <c r="AY1008" i="1"/>
  <c r="AY1005" i="1"/>
  <c r="AY1018" i="1"/>
  <c r="AY1013" i="1" s="1"/>
  <c r="AY1025" i="1"/>
  <c r="DN1025" i="1" s="1"/>
  <c r="AY1033" i="1"/>
  <c r="AY1041" i="1"/>
  <c r="AY1035" i="1"/>
  <c r="AY1046" i="1"/>
  <c r="AY1048" i="1"/>
  <c r="AY1053" i="1"/>
  <c r="AY1059" i="1"/>
  <c r="AY1071" i="1"/>
  <c r="AY1066" i="1"/>
  <c r="AY1075" i="1"/>
  <c r="AY1089" i="1"/>
  <c r="AY1086" i="1"/>
  <c r="AY1096" i="1"/>
  <c r="AY1108" i="1"/>
  <c r="AY1122" i="1"/>
  <c r="AY1120" i="1"/>
  <c r="AY1135" i="1"/>
  <c r="AY1146" i="1"/>
  <c r="AY1142" i="1" s="1"/>
  <c r="AY1152" i="1"/>
  <c r="AY1157" i="1"/>
  <c r="DN1157" i="1" s="1"/>
  <c r="AY1169" i="1"/>
  <c r="AY1167" i="1"/>
  <c r="AY1172" i="1"/>
  <c r="AY1177" i="1"/>
  <c r="AY1185" i="1"/>
  <c r="AY1192" i="1"/>
  <c r="AY1201" i="1"/>
  <c r="AY1209" i="1"/>
  <c r="AY1219" i="1"/>
  <c r="AY1222" i="1"/>
  <c r="AY1229" i="1"/>
  <c r="AY1238" i="1"/>
  <c r="AY1244" i="1"/>
  <c r="AY1250" i="1"/>
  <c r="AY1261" i="1"/>
  <c r="AY1277" i="1"/>
  <c r="AY1274" i="1" s="1"/>
  <c r="DN1274" i="1" s="1"/>
  <c r="DN66" i="1" s="1"/>
  <c r="AY41" i="1" s="1"/>
  <c r="AY32" i="1" s="1"/>
  <c r="AY1297" i="1"/>
  <c r="AY1291" i="1"/>
  <c r="AY1309" i="1"/>
  <c r="AY1303" i="1" s="1"/>
  <c r="DN1303" i="1" s="1"/>
  <c r="AY15" i="1"/>
  <c r="AY16" i="1"/>
  <c r="AY17" i="1"/>
  <c r="AZ1097" i="1"/>
  <c r="AZ8" i="1" s="1"/>
  <c r="AZ9" i="1"/>
  <c r="AZ10" i="1"/>
  <c r="AZ11" i="1"/>
  <c r="AZ12" i="1"/>
  <c r="AZ219" i="1"/>
  <c r="AZ594" i="1"/>
  <c r="AZ95" i="1"/>
  <c r="AZ115" i="1"/>
  <c r="AZ111" i="1" s="1"/>
  <c r="AZ140" i="1"/>
  <c r="AZ138" i="1" s="1"/>
  <c r="AZ168" i="1"/>
  <c r="AZ165" i="1" s="1"/>
  <c r="AZ67" i="1"/>
  <c r="AZ76" i="1"/>
  <c r="AZ84" i="1"/>
  <c r="AZ90" i="1"/>
  <c r="AZ92" i="1"/>
  <c r="DO92" i="1" s="1"/>
  <c r="AZ103" i="1"/>
  <c r="AZ122" i="1"/>
  <c r="AZ129" i="1"/>
  <c r="AZ131" i="1"/>
  <c r="AZ144" i="1"/>
  <c r="AZ151" i="1"/>
  <c r="AZ160" i="1"/>
  <c r="AZ172" i="1"/>
  <c r="AZ175" i="1"/>
  <c r="AZ186" i="1"/>
  <c r="AZ195" i="1"/>
  <c r="AZ200" i="1"/>
  <c r="AZ209" i="1"/>
  <c r="AZ220" i="1"/>
  <c r="AZ217" i="1" s="1"/>
  <c r="DO217" i="1" s="1"/>
  <c r="AZ224" i="1"/>
  <c r="AZ231" i="1"/>
  <c r="AZ240" i="1"/>
  <c r="AZ249" i="1"/>
  <c r="AZ263" i="1"/>
  <c r="AZ258" i="1" s="1"/>
  <c r="AZ268" i="1"/>
  <c r="AZ278" i="1"/>
  <c r="AZ285" i="1"/>
  <c r="AZ291" i="1"/>
  <c r="AZ301" i="1"/>
  <c r="AZ296" i="1"/>
  <c r="AZ310" i="1"/>
  <c r="AZ305" i="1"/>
  <c r="AZ322" i="1"/>
  <c r="AZ316" i="1" s="1"/>
  <c r="AZ329" i="1"/>
  <c r="AZ332" i="1"/>
  <c r="AZ345" i="1"/>
  <c r="AZ340" i="1"/>
  <c r="AZ351" i="1"/>
  <c r="AZ362" i="1"/>
  <c r="AZ358" i="1" s="1"/>
  <c r="AZ367" i="1"/>
  <c r="AZ371" i="1"/>
  <c r="AZ378" i="1"/>
  <c r="AZ385" i="1"/>
  <c r="AZ393" i="1"/>
  <c r="AZ403" i="1"/>
  <c r="AZ413" i="1"/>
  <c r="AZ421" i="1"/>
  <c r="AZ430" i="1"/>
  <c r="AZ438" i="1"/>
  <c r="AZ448" i="1"/>
  <c r="AZ445" i="1" s="1"/>
  <c r="AZ454" i="1"/>
  <c r="AZ462" i="1"/>
  <c r="AZ459" i="1" s="1"/>
  <c r="AZ472" i="1"/>
  <c r="AZ468" i="1" s="1"/>
  <c r="AZ478" i="1"/>
  <c r="AZ489" i="1"/>
  <c r="AZ485" i="1" s="1"/>
  <c r="AZ495" i="1"/>
  <c r="AZ502" i="1"/>
  <c r="AZ510" i="1"/>
  <c r="AZ520" i="1"/>
  <c r="AZ534" i="1"/>
  <c r="AZ538" i="1"/>
  <c r="AZ548" i="1"/>
  <c r="AZ564" i="1"/>
  <c r="AZ557" i="1" s="1"/>
  <c r="AZ569" i="1"/>
  <c r="AZ572" i="1"/>
  <c r="AZ576" i="1"/>
  <c r="AZ583" i="1"/>
  <c r="AZ600" i="1"/>
  <c r="AZ603" i="1"/>
  <c r="AZ617" i="1"/>
  <c r="AZ614" i="1" s="1"/>
  <c r="AZ622" i="1"/>
  <c r="AZ628" i="1"/>
  <c r="AZ636" i="1"/>
  <c r="AZ643" i="1"/>
  <c r="AZ650" i="1"/>
  <c r="AZ647" i="1"/>
  <c r="AZ654" i="1"/>
  <c r="AZ662" i="1"/>
  <c r="AZ665" i="1"/>
  <c r="AZ677" i="1"/>
  <c r="AZ674" i="1" s="1"/>
  <c r="AZ681" i="1"/>
  <c r="AZ693" i="1"/>
  <c r="AZ698" i="1"/>
  <c r="AZ702" i="1"/>
  <c r="AZ711" i="1"/>
  <c r="AZ720" i="1"/>
  <c r="AZ731" i="1"/>
  <c r="AZ741" i="1"/>
  <c r="AZ738" i="1"/>
  <c r="AZ750" i="1"/>
  <c r="AZ758" i="1"/>
  <c r="AZ763" i="1"/>
  <c r="AZ774" i="1"/>
  <c r="AZ782" i="1"/>
  <c r="AZ787" i="1"/>
  <c r="AZ789" i="1"/>
  <c r="AZ793" i="1"/>
  <c r="AZ800" i="1"/>
  <c r="AZ814" i="1"/>
  <c r="AZ810" i="1" s="1"/>
  <c r="AZ818" i="1"/>
  <c r="AZ822" i="1"/>
  <c r="AZ827" i="1"/>
  <c r="AZ829" i="1"/>
  <c r="AZ845" i="1"/>
  <c r="AZ849" i="1"/>
  <c r="AZ838" i="1"/>
  <c r="AZ856" i="1"/>
  <c r="AZ852" i="1" s="1"/>
  <c r="AZ862" i="1"/>
  <c r="AZ872" i="1"/>
  <c r="AZ886" i="1"/>
  <c r="AZ897" i="1"/>
  <c r="AZ904" i="1"/>
  <c r="AZ921" i="1"/>
  <c r="AZ915" i="1" s="1"/>
  <c r="AZ924" i="1"/>
  <c r="AZ927" i="1"/>
  <c r="AZ935" i="1"/>
  <c r="AZ945" i="1"/>
  <c r="AZ950" i="1"/>
  <c r="AZ964" i="1"/>
  <c r="AZ960" i="1" s="1"/>
  <c r="AZ969" i="1"/>
  <c r="AZ977" i="1"/>
  <c r="AZ983" i="1"/>
  <c r="AZ989" i="1"/>
  <c r="AZ999" i="1"/>
  <c r="AZ996" i="1"/>
  <c r="AZ1005" i="1"/>
  <c r="AZ1018" i="1"/>
  <c r="AZ1013" i="1"/>
  <c r="AZ1025" i="1"/>
  <c r="AZ1041" i="1"/>
  <c r="AZ1035" i="1"/>
  <c r="AZ1046" i="1"/>
  <c r="AZ1048" i="1"/>
  <c r="AZ1053" i="1"/>
  <c r="AZ1059" i="1"/>
  <c r="AZ1071" i="1"/>
  <c r="AZ1066" i="1"/>
  <c r="AZ1089" i="1"/>
  <c r="AZ1086" i="1" s="1"/>
  <c r="AZ1096" i="1"/>
  <c r="AZ1108" i="1"/>
  <c r="AZ1120" i="1"/>
  <c r="AZ1132" i="1"/>
  <c r="AZ1126" i="1"/>
  <c r="AZ1135" i="1"/>
  <c r="AZ1146" i="1"/>
  <c r="AZ1142" i="1" s="1"/>
  <c r="AZ1152" i="1"/>
  <c r="AZ1157" i="1"/>
  <c r="AZ1167" i="1"/>
  <c r="AZ1172" i="1"/>
  <c r="AZ1177" i="1"/>
  <c r="AZ1185" i="1"/>
  <c r="AZ1192" i="1"/>
  <c r="AZ1201" i="1"/>
  <c r="AZ1209" i="1"/>
  <c r="AZ1219" i="1"/>
  <c r="AZ1222" i="1"/>
  <c r="AZ1229" i="1"/>
  <c r="AZ1238" i="1"/>
  <c r="AZ1244" i="1"/>
  <c r="AZ1250" i="1"/>
  <c r="AZ1261" i="1"/>
  <c r="AZ1277" i="1"/>
  <c r="AZ1274" i="1"/>
  <c r="AZ1297" i="1"/>
  <c r="AZ1291" i="1" s="1"/>
  <c r="AZ1303" i="1"/>
  <c r="AZ15" i="1"/>
  <c r="AZ17" i="1"/>
  <c r="AZ18" i="1"/>
  <c r="BA1097" i="1"/>
  <c r="BA9" i="1"/>
  <c r="BA10" i="1"/>
  <c r="BA11" i="1"/>
  <c r="BA12" i="1"/>
  <c r="BA139" i="1"/>
  <c r="BA138" i="1" s="1"/>
  <c r="BA196" i="1"/>
  <c r="BA195" i="1" s="1"/>
  <c r="BA219" i="1"/>
  <c r="BA220" i="1" s="1"/>
  <c r="BA594" i="1"/>
  <c r="BA590" i="1" s="1"/>
  <c r="BA95" i="1"/>
  <c r="BA92" i="1" s="1"/>
  <c r="BA115" i="1"/>
  <c r="BA168" i="1"/>
  <c r="BA67" i="1"/>
  <c r="BA76" i="1"/>
  <c r="BA84" i="1"/>
  <c r="BA90" i="1"/>
  <c r="BA103" i="1"/>
  <c r="BA111" i="1"/>
  <c r="BA122" i="1"/>
  <c r="BA129" i="1"/>
  <c r="BA131" i="1"/>
  <c r="BA144" i="1"/>
  <c r="BA151" i="1"/>
  <c r="BA160" i="1"/>
  <c r="BA165" i="1"/>
  <c r="BA172" i="1"/>
  <c r="BA175" i="1"/>
  <c r="BA186" i="1"/>
  <c r="BA200" i="1"/>
  <c r="BA209" i="1"/>
  <c r="BA215" i="1"/>
  <c r="BA217" i="1"/>
  <c r="BA227" i="1"/>
  <c r="BA224" i="1" s="1"/>
  <c r="BA231" i="1"/>
  <c r="BA240" i="1"/>
  <c r="BA249" i="1"/>
  <c r="BA263" i="1"/>
  <c r="BA258" i="1" s="1"/>
  <c r="BA268" i="1"/>
  <c r="BA278" i="1"/>
  <c r="BA285" i="1"/>
  <c r="BA291" i="1"/>
  <c r="BA296" i="1"/>
  <c r="BA310" i="1"/>
  <c r="BA305" i="1" s="1"/>
  <c r="BA322" i="1"/>
  <c r="BA316" i="1"/>
  <c r="BA329" i="1"/>
  <c r="BA332" i="1"/>
  <c r="BA340" i="1"/>
  <c r="BA351" i="1"/>
  <c r="BA358" i="1"/>
  <c r="BA367" i="1"/>
  <c r="BA371" i="1"/>
  <c r="BA378" i="1"/>
  <c r="BA385" i="1"/>
  <c r="BA393" i="1"/>
  <c r="BA401" i="1"/>
  <c r="BA403" i="1"/>
  <c r="BA413" i="1"/>
  <c r="BA421" i="1"/>
  <c r="BA430" i="1"/>
  <c r="BA438" i="1"/>
  <c r="BA448" i="1"/>
  <c r="BA445" i="1" s="1"/>
  <c r="BA454" i="1"/>
  <c r="BA462" i="1"/>
  <c r="BA459" i="1" s="1"/>
  <c r="BA472" i="1"/>
  <c r="BA468" i="1"/>
  <c r="BA478" i="1"/>
  <c r="BA489" i="1"/>
  <c r="BA485" i="1" s="1"/>
  <c r="BA495" i="1"/>
  <c r="BA502" i="1"/>
  <c r="BA510" i="1"/>
  <c r="BA520" i="1"/>
  <c r="BA529" i="1"/>
  <c r="BA538" i="1"/>
  <c r="BA553" i="1"/>
  <c r="BA548" i="1" s="1"/>
  <c r="BA564" i="1"/>
  <c r="BA557" i="1" s="1"/>
  <c r="BA569" i="1"/>
  <c r="BA572" i="1"/>
  <c r="BA576" i="1"/>
  <c r="BA583" i="1"/>
  <c r="BA600" i="1"/>
  <c r="BA603" i="1"/>
  <c r="BA614" i="1"/>
  <c r="BA622" i="1"/>
  <c r="BA628" i="1"/>
  <c r="BA636" i="1"/>
  <c r="BA643" i="1"/>
  <c r="BA650" i="1"/>
  <c r="BA647" i="1" s="1"/>
  <c r="BA654" i="1"/>
  <c r="BA663" i="1"/>
  <c r="BA662" i="1"/>
  <c r="BA665" i="1"/>
  <c r="BA674" i="1"/>
  <c r="BA687" i="1"/>
  <c r="BA681" i="1" s="1"/>
  <c r="BA698" i="1"/>
  <c r="BA702" i="1"/>
  <c r="BA711" i="1"/>
  <c r="BA720" i="1"/>
  <c r="BA731" i="1"/>
  <c r="BA741" i="1"/>
  <c r="BA738" i="1"/>
  <c r="BA750" i="1"/>
  <c r="BA758" i="1"/>
  <c r="BA763" i="1"/>
  <c r="BA774" i="1"/>
  <c r="BA782" i="1"/>
  <c r="BA787" i="1"/>
  <c r="BA20" i="1" s="1"/>
  <c r="BA789" i="1"/>
  <c r="BA793" i="1"/>
  <c r="BA800" i="1"/>
  <c r="BA814" i="1"/>
  <c r="BA810" i="1" s="1"/>
  <c r="BA818" i="1"/>
  <c r="BA822" i="1"/>
  <c r="BA827" i="1"/>
  <c r="BA829" i="1"/>
  <c r="BA836" i="1"/>
  <c r="BA845" i="1"/>
  <c r="BA838" i="1"/>
  <c r="BA856" i="1"/>
  <c r="BA852" i="1"/>
  <c r="BA862" i="1"/>
  <c r="BA872" i="1"/>
  <c r="BA886" i="1"/>
  <c r="BA897" i="1"/>
  <c r="BA904" i="1"/>
  <c r="BA921" i="1"/>
  <c r="BA924" i="1"/>
  <c r="BA18" i="1" s="1"/>
  <c r="BA927" i="1"/>
  <c r="BA935" i="1"/>
  <c r="BA945" i="1"/>
  <c r="BA950" i="1"/>
  <c r="BA960" i="1"/>
  <c r="BA969" i="1"/>
  <c r="BA977" i="1"/>
  <c r="BA983" i="1"/>
  <c r="BA987" i="1"/>
  <c r="BA989" i="1"/>
  <c r="BA999" i="1"/>
  <c r="BA996" i="1"/>
  <c r="BA1005" i="1"/>
  <c r="BA1018" i="1"/>
  <c r="BA1013" i="1"/>
  <c r="BA1025" i="1"/>
  <c r="BA1041" i="1"/>
  <c r="BA1035" i="1"/>
  <c r="BA1046" i="1"/>
  <c r="BA1048" i="1"/>
  <c r="BA1053" i="1"/>
  <c r="BA1059" i="1"/>
  <c r="BA1071" i="1"/>
  <c r="BA1066" i="1"/>
  <c r="BA1086" i="1"/>
  <c r="BA1108" i="1"/>
  <c r="BA1120" i="1"/>
  <c r="BA1132" i="1"/>
  <c r="BA1126" i="1"/>
  <c r="BA1135" i="1"/>
  <c r="BA1146" i="1"/>
  <c r="BA1142" i="1"/>
  <c r="BA1152" i="1"/>
  <c r="BA1162" i="1"/>
  <c r="BA1157" i="1"/>
  <c r="BA1169" i="1"/>
  <c r="BA1167" i="1" s="1"/>
  <c r="BA1172" i="1"/>
  <c r="BA1177" i="1"/>
  <c r="BA1185" i="1"/>
  <c r="BA1192" i="1"/>
  <c r="BA1201" i="1"/>
  <c r="BA1209" i="1"/>
  <c r="BA1219" i="1"/>
  <c r="BA1222" i="1"/>
  <c r="BA1229" i="1"/>
  <c r="BA1238" i="1"/>
  <c r="BA1244" i="1"/>
  <c r="BA1250" i="1"/>
  <c r="BA1261" i="1"/>
  <c r="BA1277" i="1"/>
  <c r="BA1274" i="1"/>
  <c r="BA1297" i="1"/>
  <c r="BA1291" i="1"/>
  <c r="BA1311" i="1"/>
  <c r="BA17" i="1" s="1"/>
  <c r="BA1303" i="1"/>
  <c r="BA15" i="1"/>
  <c r="BA16" i="1"/>
  <c r="BB1097" i="1"/>
  <c r="BB8" i="1" s="1"/>
  <c r="BB9" i="1"/>
  <c r="BB10" i="1"/>
  <c r="BB11" i="1"/>
  <c r="BB12" i="1"/>
  <c r="BB219" i="1"/>
  <c r="BB233" i="1"/>
  <c r="BB13" i="1"/>
  <c r="BB95" i="1"/>
  <c r="BB140" i="1"/>
  <c r="BB168" i="1"/>
  <c r="BB165" i="1" s="1"/>
  <c r="DQ165" i="1" s="1"/>
  <c r="BB220" i="1"/>
  <c r="BB217" i="1" s="1"/>
  <c r="DQ217" i="1" s="1"/>
  <c r="BB67" i="1"/>
  <c r="BB76" i="1"/>
  <c r="BB84" i="1"/>
  <c r="BB90" i="1"/>
  <c r="BB96" i="1"/>
  <c r="BB92" i="1" s="1"/>
  <c r="BB103" i="1"/>
  <c r="BB111" i="1"/>
  <c r="BB122" i="1"/>
  <c r="BB129" i="1"/>
  <c r="BB131" i="1"/>
  <c r="BB138" i="1"/>
  <c r="BB144" i="1"/>
  <c r="BB151" i="1"/>
  <c r="BB160" i="1"/>
  <c r="BB172" i="1"/>
  <c r="BB175" i="1"/>
  <c r="BB186" i="1"/>
  <c r="BB195" i="1"/>
  <c r="BB200" i="1"/>
  <c r="BB209" i="1"/>
  <c r="BB224" i="1"/>
  <c r="BB231" i="1"/>
  <c r="BB240" i="1"/>
  <c r="BB249" i="1"/>
  <c r="BB263" i="1"/>
  <c r="BB258" i="1" s="1"/>
  <c r="BB268" i="1"/>
  <c r="BB278" i="1"/>
  <c r="BB285" i="1"/>
  <c r="BB291" i="1"/>
  <c r="BB296" i="1"/>
  <c r="BB305" i="1"/>
  <c r="BB322" i="1"/>
  <c r="BB316" i="1"/>
  <c r="BB329" i="1"/>
  <c r="BB332" i="1"/>
  <c r="BB340" i="1"/>
  <c r="BB351" i="1"/>
  <c r="BB362" i="1"/>
  <c r="BB358" i="1"/>
  <c r="BB367" i="1"/>
  <c r="BB371" i="1"/>
  <c r="BB378" i="1"/>
  <c r="BB385" i="1"/>
  <c r="BB393" i="1"/>
  <c r="BB403" i="1"/>
  <c r="BB413" i="1"/>
  <c r="BB421" i="1"/>
  <c r="BB430" i="1"/>
  <c r="BB438" i="1"/>
  <c r="BB445" i="1"/>
  <c r="BB454" i="1"/>
  <c r="BB462" i="1"/>
  <c r="BB459" i="1"/>
  <c r="BB472" i="1"/>
  <c r="BB468" i="1"/>
  <c r="BB478" i="1"/>
  <c r="BB489" i="1"/>
  <c r="BB485" i="1" s="1"/>
  <c r="BB495" i="1"/>
  <c r="BB24" i="1" s="1"/>
  <c r="BB502" i="1"/>
  <c r="BB510" i="1"/>
  <c r="BB520" i="1"/>
  <c r="BB533" i="1"/>
  <c r="BB529" i="1"/>
  <c r="BB538" i="1"/>
  <c r="BB548" i="1"/>
  <c r="BB557" i="1"/>
  <c r="BB569" i="1"/>
  <c r="BB572" i="1"/>
  <c r="BB576" i="1"/>
  <c r="BB583" i="1"/>
  <c r="BB595" i="1"/>
  <c r="BB590" i="1"/>
  <c r="BB600" i="1"/>
  <c r="BB603" i="1"/>
  <c r="BB614" i="1"/>
  <c r="BB620" i="1"/>
  <c r="BB622" i="1"/>
  <c r="BB628" i="1"/>
  <c r="BB636" i="1"/>
  <c r="BB643" i="1"/>
  <c r="BB645" i="1"/>
  <c r="BB650" i="1"/>
  <c r="BB647" i="1"/>
  <c r="BB654" i="1"/>
  <c r="BB662" i="1"/>
  <c r="BB665" i="1"/>
  <c r="BB674" i="1"/>
  <c r="BB687" i="1"/>
  <c r="BB681" i="1"/>
  <c r="BB698" i="1"/>
  <c r="BB702" i="1"/>
  <c r="BB711" i="1"/>
  <c r="BB720" i="1"/>
  <c r="BB731" i="1"/>
  <c r="BB738" i="1"/>
  <c r="BB750" i="1"/>
  <c r="BB758" i="1"/>
  <c r="BB763" i="1"/>
  <c r="BB774" i="1"/>
  <c r="BB782" i="1"/>
  <c r="BB787" i="1"/>
  <c r="BB789" i="1"/>
  <c r="BB793" i="1"/>
  <c r="BB803" i="1"/>
  <c r="BB800" i="1"/>
  <c r="BB814" i="1"/>
  <c r="BB810" i="1"/>
  <c r="BB818" i="1"/>
  <c r="BB822" i="1"/>
  <c r="BB827" i="1"/>
  <c r="BB829" i="1"/>
  <c r="BB835" i="1"/>
  <c r="BB834" i="1" s="1"/>
  <c r="BB845" i="1"/>
  <c r="BB838" i="1"/>
  <c r="BB856" i="1"/>
  <c r="BB852" i="1" s="1"/>
  <c r="DQ852" i="1" s="1"/>
  <c r="BB862" i="1"/>
  <c r="BB872" i="1"/>
  <c r="BB886" i="1"/>
  <c r="BB897" i="1"/>
  <c r="BB904" i="1"/>
  <c r="BB921" i="1"/>
  <c r="BB924" i="1"/>
  <c r="BB18" i="1" s="1"/>
  <c r="BB927" i="1"/>
  <c r="BB935" i="1"/>
  <c r="BB945" i="1"/>
  <c r="BB950" i="1"/>
  <c r="BB960" i="1"/>
  <c r="BB969" i="1"/>
  <c r="BB977" i="1"/>
  <c r="BB983" i="1"/>
  <c r="BB987" i="1"/>
  <c r="BB989" i="1"/>
  <c r="BB999" i="1"/>
  <c r="BB996" i="1"/>
  <c r="DQ996" i="1" s="1"/>
  <c r="BB1005" i="1"/>
  <c r="BB1013" i="1"/>
  <c r="BB1025" i="1"/>
  <c r="BB1041" i="1"/>
  <c r="BB1035" i="1" s="1"/>
  <c r="BB1047" i="1"/>
  <c r="BB1046" i="1"/>
  <c r="BB1048" i="1"/>
  <c r="BB1053" i="1"/>
  <c r="BB1059" i="1"/>
  <c r="BB1071" i="1"/>
  <c r="BB1066" i="1"/>
  <c r="BB1079" i="1"/>
  <c r="BB1086" i="1"/>
  <c r="BB1096" i="1"/>
  <c r="BB1108" i="1"/>
  <c r="BB1120" i="1"/>
  <c r="BB1132" i="1"/>
  <c r="BB1126" i="1"/>
  <c r="BB1135" i="1"/>
  <c r="BB1146" i="1"/>
  <c r="BB1142" i="1" s="1"/>
  <c r="BB1152" i="1"/>
  <c r="BB1157" i="1"/>
  <c r="BB1167" i="1"/>
  <c r="BB1172" i="1"/>
  <c r="BB1177" i="1"/>
  <c r="BB1185" i="1"/>
  <c r="BB1192" i="1"/>
  <c r="BB1201" i="1"/>
  <c r="BB1209" i="1"/>
  <c r="BB1219" i="1"/>
  <c r="BB1222" i="1"/>
  <c r="BB1229" i="1"/>
  <c r="BB1238" i="1"/>
  <c r="BB1244" i="1"/>
  <c r="BB1250" i="1"/>
  <c r="BB1261" i="1"/>
  <c r="BB1277" i="1"/>
  <c r="BB1274" i="1"/>
  <c r="BB1297" i="1"/>
  <c r="BB1291" i="1" s="1"/>
  <c r="BB1309" i="1"/>
  <c r="BB1303" i="1" s="1"/>
  <c r="DQ1303" i="1" s="1"/>
  <c r="BB1311" i="1"/>
  <c r="BB15" i="1"/>
  <c r="BB16" i="1"/>
  <c r="BC1097" i="1"/>
  <c r="BC8" i="1"/>
  <c r="BC9" i="1"/>
  <c r="BC10" i="1"/>
  <c r="BC11" i="1"/>
  <c r="BC637" i="1"/>
  <c r="BC12" i="1"/>
  <c r="BC219" i="1"/>
  <c r="BC1007" i="1"/>
  <c r="BC13" i="1"/>
  <c r="BC106" i="1"/>
  <c r="BC115" i="1"/>
  <c r="BC111" i="1" s="1"/>
  <c r="BC168" i="1"/>
  <c r="BC165" i="1" s="1"/>
  <c r="DR165" i="1" s="1"/>
  <c r="BC220" i="1"/>
  <c r="BC67" i="1"/>
  <c r="BC76" i="1"/>
  <c r="BC84" i="1"/>
  <c r="BC90" i="1"/>
  <c r="BC96" i="1"/>
  <c r="BC92" i="1" s="1"/>
  <c r="BC117" i="1"/>
  <c r="BC122" i="1"/>
  <c r="BC131" i="1"/>
  <c r="BC138" i="1"/>
  <c r="BC144" i="1"/>
  <c r="BC151" i="1"/>
  <c r="BC160" i="1"/>
  <c r="BC172" i="1"/>
  <c r="BC175" i="1"/>
  <c r="BC186" i="1"/>
  <c r="BC195" i="1"/>
  <c r="BC200" i="1"/>
  <c r="BC209" i="1"/>
  <c r="BC215" i="1"/>
  <c r="BC20" i="1" s="1"/>
  <c r="BC224" i="1"/>
  <c r="BC231" i="1"/>
  <c r="BC240" i="1"/>
  <c r="BC249" i="1"/>
  <c r="BC258" i="1"/>
  <c r="BC268" i="1"/>
  <c r="BC278" i="1"/>
  <c r="BC285" i="1"/>
  <c r="BC291" i="1"/>
  <c r="BC296" i="1"/>
  <c r="BC305" i="1"/>
  <c r="BC322" i="1"/>
  <c r="BC316" i="1"/>
  <c r="BC329" i="1"/>
  <c r="BC332" i="1"/>
  <c r="BC340" i="1"/>
  <c r="BC351" i="1"/>
  <c r="BC358" i="1"/>
  <c r="BC367" i="1"/>
  <c r="BC371" i="1"/>
  <c r="BC378" i="1"/>
  <c r="BC385" i="1"/>
  <c r="BC393" i="1"/>
  <c r="BC403" i="1"/>
  <c r="BC413" i="1"/>
  <c r="BC421" i="1"/>
  <c r="BC430" i="1"/>
  <c r="BC438" i="1"/>
  <c r="BC445" i="1"/>
  <c r="BC454" i="1"/>
  <c r="BC462" i="1"/>
  <c r="BC459" i="1" s="1"/>
  <c r="BC472" i="1"/>
  <c r="BC468" i="1"/>
  <c r="BC478" i="1"/>
  <c r="BC489" i="1"/>
  <c r="BC485" i="1" s="1"/>
  <c r="BC495" i="1"/>
  <c r="BC24" i="1" s="1"/>
  <c r="BC502" i="1"/>
  <c r="BC510" i="1"/>
  <c r="BC520" i="1"/>
  <c r="BC529" i="1"/>
  <c r="BC538" i="1"/>
  <c r="BC548" i="1"/>
  <c r="BC557" i="1"/>
  <c r="BC569" i="1"/>
  <c r="BC572" i="1"/>
  <c r="BC576" i="1"/>
  <c r="BC583" i="1"/>
  <c r="BC595" i="1"/>
  <c r="BC590" i="1"/>
  <c r="BC600" i="1"/>
  <c r="BC603" i="1"/>
  <c r="BC614" i="1"/>
  <c r="BC620" i="1"/>
  <c r="BC622" i="1"/>
  <c r="BC628" i="1"/>
  <c r="BC636" i="1"/>
  <c r="BC643" i="1"/>
  <c r="BC645" i="1"/>
  <c r="BC650" i="1"/>
  <c r="BC647" i="1" s="1"/>
  <c r="BC654" i="1"/>
  <c r="BC662" i="1"/>
  <c r="BC665" i="1"/>
  <c r="BC674" i="1"/>
  <c r="BC679" i="1"/>
  <c r="BC681" i="1"/>
  <c r="BC693" i="1"/>
  <c r="BC698" i="1"/>
  <c r="BC702" i="1"/>
  <c r="BC711" i="1"/>
  <c r="BC720" i="1"/>
  <c r="BC731" i="1"/>
  <c r="BC741" i="1"/>
  <c r="BC738" i="1" s="1"/>
  <c r="BC750" i="1"/>
  <c r="BC758" i="1"/>
  <c r="BC763" i="1"/>
  <c r="BC774" i="1"/>
  <c r="BC782" i="1"/>
  <c r="BC787" i="1"/>
  <c r="BC789" i="1"/>
  <c r="BC793" i="1"/>
  <c r="BC803" i="1"/>
  <c r="BC800" i="1" s="1"/>
  <c r="BC814" i="1"/>
  <c r="BC810" i="1"/>
  <c r="BC818" i="1"/>
  <c r="BC822" i="1"/>
  <c r="BC827" i="1"/>
  <c r="BC829" i="1"/>
  <c r="BC845" i="1"/>
  <c r="BC838" i="1" s="1"/>
  <c r="BC856" i="1"/>
  <c r="BC852" i="1"/>
  <c r="BC862" i="1"/>
  <c r="BC872" i="1"/>
  <c r="BC886" i="1"/>
  <c r="BC897" i="1"/>
  <c r="BC904" i="1"/>
  <c r="BC921" i="1"/>
  <c r="BC924" i="1"/>
  <c r="BC18" i="1" s="1"/>
  <c r="BC915" i="1"/>
  <c r="BC927" i="1"/>
  <c r="BC935" i="1"/>
  <c r="BC945" i="1"/>
  <c r="BC950" i="1"/>
  <c r="BC960" i="1"/>
  <c r="BC969" i="1"/>
  <c r="BC977" i="1"/>
  <c r="BC983" i="1"/>
  <c r="BC989" i="1"/>
  <c r="BC999" i="1"/>
  <c r="BC996" i="1"/>
  <c r="BC1008" i="1"/>
  <c r="BC1005" i="1" s="1"/>
  <c r="BC1013" i="1"/>
  <c r="BC1029" i="1"/>
  <c r="BC1025" i="1" s="1"/>
  <c r="BC1041" i="1"/>
  <c r="BC1035" i="1" s="1"/>
  <c r="BC1053" i="1"/>
  <c r="BC1059" i="1"/>
  <c r="BC1071" i="1"/>
  <c r="BC1066" i="1" s="1"/>
  <c r="BC1079" i="1"/>
  <c r="BC1086" i="1"/>
  <c r="BC1096" i="1"/>
  <c r="BC1108" i="1"/>
  <c r="BC1118" i="1"/>
  <c r="BC1120" i="1"/>
  <c r="BC1132" i="1"/>
  <c r="BC1126" i="1"/>
  <c r="BC1135" i="1"/>
  <c r="BC1146" i="1"/>
  <c r="BC1142" i="1" s="1"/>
  <c r="BC1152" i="1"/>
  <c r="BC1162" i="1"/>
  <c r="BC1157" i="1" s="1"/>
  <c r="BC1167" i="1"/>
  <c r="BC1172" i="1"/>
  <c r="BC1177" i="1"/>
  <c r="BC1185" i="1"/>
  <c r="BC1192" i="1"/>
  <c r="BC1201" i="1"/>
  <c r="BC1209" i="1"/>
  <c r="BC1219" i="1"/>
  <c r="BC1222" i="1"/>
  <c r="BC1229" i="1"/>
  <c r="BC1238" i="1"/>
  <c r="BC1244" i="1"/>
  <c r="DR1244" i="1" s="1"/>
  <c r="BC1250" i="1"/>
  <c r="BC1261" i="1"/>
  <c r="BE1277" i="1"/>
  <c r="BE1274" i="1" s="1"/>
  <c r="BC1297" i="1"/>
  <c r="BC1291" i="1"/>
  <c r="BC1309" i="1"/>
  <c r="BC1311" i="1"/>
  <c r="BC1303" i="1" s="1"/>
  <c r="BC15" i="1"/>
  <c r="BC16" i="1"/>
  <c r="BC17" i="1"/>
  <c r="BD1097" i="1"/>
  <c r="BD9" i="1"/>
  <c r="BD10" i="1"/>
  <c r="BD11" i="1"/>
  <c r="BD12" i="1"/>
  <c r="BD219" i="1"/>
  <c r="BD13" i="1" s="1"/>
  <c r="BD115" i="1"/>
  <c r="BD168" i="1"/>
  <c r="BD345" i="1"/>
  <c r="BD67" i="1"/>
  <c r="BD76" i="1"/>
  <c r="BD84" i="1"/>
  <c r="BD90" i="1"/>
  <c r="BD96" i="1"/>
  <c r="BD92" i="1"/>
  <c r="BD103" i="1"/>
  <c r="BD116" i="1"/>
  <c r="BD15" i="1" s="1"/>
  <c r="BD117" i="1"/>
  <c r="BD16" i="1" s="1"/>
  <c r="BD122" i="1"/>
  <c r="BD129" i="1"/>
  <c r="BD131" i="1"/>
  <c r="BD138" i="1"/>
  <c r="BD144" i="1"/>
  <c r="BD151" i="1"/>
  <c r="BD160" i="1"/>
  <c r="BD165" i="1"/>
  <c r="BD172" i="1"/>
  <c r="BD175" i="1"/>
  <c r="BD186" i="1"/>
  <c r="BD195" i="1"/>
  <c r="BD200" i="1"/>
  <c r="BD209" i="1"/>
  <c r="BD224" i="1"/>
  <c r="BD231" i="1"/>
  <c r="BD240" i="1"/>
  <c r="BD249" i="1"/>
  <c r="BD258" i="1"/>
  <c r="BD268" i="1"/>
  <c r="BD278" i="1"/>
  <c r="BD285" i="1"/>
  <c r="BD291" i="1"/>
  <c r="BD296" i="1"/>
  <c r="BD305" i="1"/>
  <c r="BD316" i="1"/>
  <c r="BD329" i="1"/>
  <c r="BD332" i="1"/>
  <c r="BD340" i="1"/>
  <c r="BD351" i="1"/>
  <c r="BD358" i="1"/>
  <c r="BD367" i="1"/>
  <c r="BD371" i="1"/>
  <c r="BD378" i="1"/>
  <c r="BD385" i="1"/>
  <c r="BD393" i="1"/>
  <c r="BD403" i="1"/>
  <c r="BD413" i="1"/>
  <c r="BD421" i="1"/>
  <c r="BD430" i="1"/>
  <c r="BD438" i="1"/>
  <c r="BD448" i="1"/>
  <c r="BD445" i="1"/>
  <c r="BD454" i="1"/>
  <c r="BD462" i="1"/>
  <c r="BD459" i="1" s="1"/>
  <c r="BD472" i="1"/>
  <c r="BD468" i="1" s="1"/>
  <c r="BD478" i="1"/>
  <c r="BD489" i="1"/>
  <c r="BD485" i="1" s="1"/>
  <c r="BD495" i="1"/>
  <c r="BD502" i="1"/>
  <c r="BD510" i="1"/>
  <c r="BD524" i="1"/>
  <c r="BD520" i="1" s="1"/>
  <c r="BD529" i="1"/>
  <c r="BD538" i="1"/>
  <c r="BD548" i="1"/>
  <c r="BD557" i="1"/>
  <c r="BD569" i="1"/>
  <c r="BD572" i="1"/>
  <c r="BD576" i="1"/>
  <c r="BD583" i="1"/>
  <c r="BD595" i="1"/>
  <c r="BD590" i="1"/>
  <c r="BD600" i="1"/>
  <c r="BD603" i="1"/>
  <c r="BD614" i="1"/>
  <c r="BD620" i="1"/>
  <c r="BD622" i="1"/>
  <c r="BD628" i="1"/>
  <c r="BD636" i="1"/>
  <c r="BD643" i="1"/>
  <c r="BD650" i="1"/>
  <c r="BD647" i="1" s="1"/>
  <c r="BD654" i="1"/>
  <c r="BD662" i="1"/>
  <c r="BD665" i="1"/>
  <c r="BD674" i="1"/>
  <c r="BD679" i="1"/>
  <c r="BD687" i="1"/>
  <c r="BD681" i="1"/>
  <c r="BD693" i="1"/>
  <c r="BD698" i="1"/>
  <c r="BD702" i="1"/>
  <c r="BD711" i="1"/>
  <c r="BD720" i="1"/>
  <c r="BD731" i="1"/>
  <c r="BD741" i="1"/>
  <c r="BD738" i="1" s="1"/>
  <c r="BD750" i="1"/>
  <c r="BD758" i="1"/>
  <c r="BD763" i="1"/>
  <c r="BD774" i="1"/>
  <c r="BD784" i="1"/>
  <c r="BD782" i="1"/>
  <c r="BD787" i="1"/>
  <c r="BD789" i="1"/>
  <c r="BD793" i="1"/>
  <c r="BD803" i="1"/>
  <c r="BD800" i="1" s="1"/>
  <c r="BD810" i="1"/>
  <c r="BD818" i="1"/>
  <c r="BD822" i="1"/>
  <c r="BD827" i="1"/>
  <c r="BD829" i="1"/>
  <c r="BD845" i="1"/>
  <c r="BD838" i="1" s="1"/>
  <c r="BD856" i="1"/>
  <c r="BD852" i="1" s="1"/>
  <c r="BD862" i="1"/>
  <c r="BD872" i="1"/>
  <c r="BD886" i="1"/>
  <c r="BD897" i="1"/>
  <c r="BD904" i="1"/>
  <c r="BD924" i="1"/>
  <c r="BD915" i="1"/>
  <c r="BD927" i="1"/>
  <c r="BD935" i="1"/>
  <c r="BD945" i="1"/>
  <c r="BD950" i="1"/>
  <c r="BD960" i="1"/>
  <c r="BD969" i="1"/>
  <c r="BD977" i="1"/>
  <c r="BD983" i="1"/>
  <c r="BD989" i="1"/>
  <c r="BD999" i="1"/>
  <c r="BD996" i="1" s="1"/>
  <c r="BD1005" i="1"/>
  <c r="BD1013" i="1"/>
  <c r="BD1025" i="1"/>
  <c r="BD1041" i="1"/>
  <c r="BD1035" i="1"/>
  <c r="BD1053" i="1"/>
  <c r="BD1059" i="1"/>
  <c r="BD1071" i="1"/>
  <c r="BD1066" i="1" s="1"/>
  <c r="BD1079" i="1"/>
  <c r="BD1086" i="1"/>
  <c r="BD1108" i="1"/>
  <c r="BD1120" i="1"/>
  <c r="BD1132" i="1"/>
  <c r="BD1126" i="1" s="1"/>
  <c r="BD1135" i="1"/>
  <c r="BD1140" i="1"/>
  <c r="BD1146" i="1"/>
  <c r="BD1142" i="1" s="1"/>
  <c r="BD1152" i="1"/>
  <c r="BD1162" i="1"/>
  <c r="BD1157" i="1"/>
  <c r="BD1167" i="1"/>
  <c r="BD1172" i="1"/>
  <c r="BD1177" i="1"/>
  <c r="BD1185" i="1"/>
  <c r="BD1192" i="1"/>
  <c r="BD1201" i="1"/>
  <c r="BD1209" i="1"/>
  <c r="BD1219" i="1"/>
  <c r="BD1222" i="1"/>
  <c r="BD1229" i="1"/>
  <c r="BD1238" i="1"/>
  <c r="BD1244" i="1"/>
  <c r="BD1250" i="1"/>
  <c r="BD1265" i="1"/>
  <c r="BD1261" i="1" s="1"/>
  <c r="BD1277" i="1"/>
  <c r="BD1274" i="1" s="1"/>
  <c r="BD1297" i="1"/>
  <c r="BD1291" i="1" s="1"/>
  <c r="BD1309" i="1"/>
  <c r="BD1311" i="1"/>
  <c r="BD1303" i="1"/>
  <c r="BD17" i="1"/>
  <c r="BD18" i="1"/>
  <c r="BE1097" i="1"/>
  <c r="BE1096" i="1" s="1"/>
  <c r="BE9" i="1"/>
  <c r="BE10" i="1"/>
  <c r="BE11" i="1"/>
  <c r="BE12" i="1"/>
  <c r="BE219" i="1"/>
  <c r="BE220" i="1" s="1"/>
  <c r="BE13" i="1"/>
  <c r="BE115" i="1"/>
  <c r="BE168" i="1"/>
  <c r="BE263" i="1"/>
  <c r="BE67" i="1"/>
  <c r="BE76" i="1"/>
  <c r="BE84" i="1"/>
  <c r="BE90" i="1"/>
  <c r="BE96" i="1"/>
  <c r="BE92" i="1" s="1"/>
  <c r="BE103" i="1"/>
  <c r="BE116" i="1"/>
  <c r="BE117" i="1"/>
  <c r="BE16" i="1" s="1"/>
  <c r="BE111" i="1"/>
  <c r="BE122" i="1"/>
  <c r="BE129" i="1"/>
  <c r="BE131" i="1"/>
  <c r="BE138" i="1"/>
  <c r="BE144" i="1"/>
  <c r="BE151" i="1"/>
  <c r="BE160" i="1"/>
  <c r="BE165" i="1"/>
  <c r="BE172" i="1"/>
  <c r="BE175" i="1"/>
  <c r="BE186" i="1"/>
  <c r="BE195" i="1"/>
  <c r="BE200" i="1"/>
  <c r="BE209" i="1"/>
  <c r="BE217" i="1"/>
  <c r="BE224" i="1"/>
  <c r="BE231" i="1"/>
  <c r="BE240" i="1"/>
  <c r="BE249" i="1"/>
  <c r="BE258" i="1"/>
  <c r="BE268" i="1"/>
  <c r="BE278" i="1"/>
  <c r="BE285" i="1"/>
  <c r="BE291" i="1"/>
  <c r="BE296" i="1"/>
  <c r="BE305" i="1"/>
  <c r="BE316" i="1"/>
  <c r="BE329" i="1"/>
  <c r="BE332" i="1"/>
  <c r="BE345" i="1"/>
  <c r="BE340" i="1"/>
  <c r="BE351" i="1"/>
  <c r="BE358" i="1"/>
  <c r="BE367" i="1"/>
  <c r="BE371" i="1"/>
  <c r="BE373" i="1"/>
  <c r="BE378" i="1"/>
  <c r="BE385" i="1"/>
  <c r="BE393" i="1"/>
  <c r="BE403" i="1"/>
  <c r="BE413" i="1"/>
  <c r="BE421" i="1"/>
  <c r="BE430" i="1"/>
  <c r="BE442" i="1"/>
  <c r="BF442" i="1" s="1"/>
  <c r="BF15" i="1" s="1"/>
  <c r="BE438" i="1"/>
  <c r="BE448" i="1"/>
  <c r="BE445" i="1" s="1"/>
  <c r="BE454" i="1"/>
  <c r="BE462" i="1"/>
  <c r="BE459" i="1"/>
  <c r="BE472" i="1"/>
  <c r="BE468" i="1" s="1"/>
  <c r="BE478" i="1"/>
  <c r="BE489" i="1"/>
  <c r="BE485" i="1"/>
  <c r="BE495" i="1"/>
  <c r="BE24" i="1" s="1"/>
  <c r="BE502" i="1"/>
  <c r="BE510" i="1"/>
  <c r="BE520" i="1"/>
  <c r="BE529" i="1"/>
  <c r="BE538" i="1"/>
  <c r="BE548" i="1"/>
  <c r="BE557" i="1"/>
  <c r="BE569" i="1"/>
  <c r="BE572" i="1"/>
  <c r="BE576" i="1"/>
  <c r="BE583" i="1"/>
  <c r="BE588" i="1"/>
  <c r="BE595" i="1"/>
  <c r="BE590" i="1"/>
  <c r="BE600" i="1"/>
  <c r="BE603" i="1"/>
  <c r="BE614" i="1"/>
  <c r="BE620" i="1"/>
  <c r="BE622" i="1"/>
  <c r="BE628" i="1"/>
  <c r="BE636" i="1"/>
  <c r="BE643" i="1"/>
  <c r="BE650" i="1"/>
  <c r="BE647" i="1" s="1"/>
  <c r="BE654" i="1"/>
  <c r="BE662" i="1"/>
  <c r="BE665" i="1"/>
  <c r="BE674" i="1"/>
  <c r="BE687" i="1"/>
  <c r="BE681" i="1"/>
  <c r="BE693" i="1"/>
  <c r="BE698" i="1"/>
  <c r="BE702" i="1"/>
  <c r="BE711" i="1"/>
  <c r="BE720" i="1"/>
  <c r="BE731" i="1"/>
  <c r="BE736" i="1"/>
  <c r="BE741" i="1"/>
  <c r="BE738" i="1"/>
  <c r="BE750" i="1"/>
  <c r="BE758" i="1"/>
  <c r="BE763" i="1"/>
  <c r="BE774" i="1"/>
  <c r="BE784" i="1"/>
  <c r="BE782" i="1"/>
  <c r="BE789" i="1"/>
  <c r="BE791" i="1"/>
  <c r="BE793" i="1"/>
  <c r="BE803" i="1"/>
  <c r="BE800" i="1"/>
  <c r="BE814" i="1"/>
  <c r="BE810" i="1"/>
  <c r="BE818" i="1"/>
  <c r="BE822" i="1"/>
  <c r="BE827" i="1"/>
  <c r="BE829" i="1"/>
  <c r="BE845" i="1"/>
  <c r="BE838" i="1" s="1"/>
  <c r="BE856" i="1"/>
  <c r="BE852" i="1"/>
  <c r="BE865" i="1"/>
  <c r="BE862" i="1" s="1"/>
  <c r="BE872" i="1"/>
  <c r="BE886" i="1"/>
  <c r="BE897" i="1"/>
  <c r="BE904" i="1"/>
  <c r="BE924" i="1"/>
  <c r="BE18" i="1" s="1"/>
  <c r="BE925" i="1"/>
  <c r="BE927" i="1"/>
  <c r="BE935" i="1"/>
  <c r="BE945" i="1"/>
  <c r="BE950" i="1"/>
  <c r="BE960" i="1"/>
  <c r="BE969" i="1"/>
  <c r="BE977" i="1"/>
  <c r="BE983" i="1"/>
  <c r="BE989" i="1"/>
  <c r="BE999" i="1"/>
  <c r="BE996" i="1"/>
  <c r="BE1005" i="1"/>
  <c r="BE1013" i="1"/>
  <c r="BE1025" i="1"/>
  <c r="BE1041" i="1"/>
  <c r="BE14" i="1" s="1"/>
  <c r="BE1053" i="1"/>
  <c r="BE1059" i="1"/>
  <c r="BE1066" i="1"/>
  <c r="BE1083" i="1"/>
  <c r="BE1079" i="1" s="1"/>
  <c r="BE1089" i="1"/>
  <c r="BE1086" i="1"/>
  <c r="BE1108" i="1"/>
  <c r="BE1118" i="1"/>
  <c r="BE1120" i="1"/>
  <c r="BE1132" i="1"/>
  <c r="BE1126" i="1" s="1"/>
  <c r="BE1135" i="1"/>
  <c r="BE1140" i="1"/>
  <c r="BE1146" i="1"/>
  <c r="BE1142" i="1"/>
  <c r="BE1152" i="1"/>
  <c r="BE1157" i="1"/>
  <c r="BE1169" i="1"/>
  <c r="BE1167" i="1"/>
  <c r="DT1167" i="1" s="1"/>
  <c r="BE1172" i="1"/>
  <c r="BE1177" i="1"/>
  <c r="BE1185" i="1"/>
  <c r="BE1192" i="1"/>
  <c r="BE1201" i="1"/>
  <c r="BE1209" i="1"/>
  <c r="BE1219" i="1"/>
  <c r="BE1222" i="1"/>
  <c r="BE1229" i="1"/>
  <c r="BE1238" i="1"/>
  <c r="BE1244" i="1"/>
  <c r="BE1250" i="1"/>
  <c r="BE1265" i="1"/>
  <c r="BE1261" i="1"/>
  <c r="BE1297" i="1"/>
  <c r="BE1291" i="1"/>
  <c r="BE1309" i="1"/>
  <c r="BE1311" i="1"/>
  <c r="BE1303" i="1" s="1"/>
  <c r="BE15" i="1"/>
  <c r="BE17" i="1"/>
  <c r="BF1097" i="1"/>
  <c r="BF8" i="1"/>
  <c r="BF9" i="1"/>
  <c r="BF10" i="1"/>
  <c r="BF11" i="1"/>
  <c r="BF794" i="1"/>
  <c r="BF12" i="1"/>
  <c r="BF219" i="1"/>
  <c r="BF13" i="1" s="1"/>
  <c r="BF1211" i="1"/>
  <c r="BF106" i="1"/>
  <c r="BF168" i="1"/>
  <c r="BF165" i="1" s="1"/>
  <c r="BF220" i="1"/>
  <c r="BF263" i="1"/>
  <c r="BF67" i="1"/>
  <c r="BF76" i="1"/>
  <c r="BF84" i="1"/>
  <c r="BF90" i="1"/>
  <c r="BF92" i="1"/>
  <c r="BF116" i="1"/>
  <c r="BF117" i="1"/>
  <c r="BF16" i="1" s="1"/>
  <c r="BF122" i="1"/>
  <c r="BF131" i="1"/>
  <c r="BF138" i="1"/>
  <c r="BF144" i="1"/>
  <c r="BF151" i="1"/>
  <c r="BF160" i="1"/>
  <c r="BF172" i="1"/>
  <c r="BF175" i="1"/>
  <c r="BF186" i="1"/>
  <c r="BF195" i="1"/>
  <c r="BF200" i="1"/>
  <c r="BF209" i="1"/>
  <c r="BF217" i="1"/>
  <c r="BF224" i="1"/>
  <c r="BF231" i="1"/>
  <c r="BF240" i="1"/>
  <c r="BF249" i="1"/>
  <c r="BF258" i="1"/>
  <c r="BF268" i="1"/>
  <c r="BF278" i="1"/>
  <c r="BF285" i="1"/>
  <c r="BF291" i="1"/>
  <c r="BF296" i="1"/>
  <c r="BF305" i="1"/>
  <c r="BF316" i="1"/>
  <c r="BF329" i="1"/>
  <c r="BF332" i="1"/>
  <c r="BF345" i="1"/>
  <c r="BF340" i="1"/>
  <c r="BF351" i="1"/>
  <c r="BF358" i="1"/>
  <c r="BF367" i="1"/>
  <c r="BF371" i="1"/>
  <c r="BF24" i="1" s="1"/>
  <c r="BF373" i="1"/>
  <c r="BF20" i="1" s="1"/>
  <c r="BF378" i="1"/>
  <c r="BF385" i="1"/>
  <c r="BF393" i="1"/>
  <c r="BF403" i="1"/>
  <c r="BF413" i="1"/>
  <c r="BF421" i="1"/>
  <c r="BF430" i="1"/>
  <c r="BF448" i="1"/>
  <c r="BF445" i="1" s="1"/>
  <c r="BF454" i="1"/>
  <c r="BF459" i="1"/>
  <c r="BF468" i="1"/>
  <c r="BF478" i="1"/>
  <c r="BF485" i="1"/>
  <c r="BF495" i="1"/>
  <c r="BF502" i="1"/>
  <c r="BF510" i="1"/>
  <c r="BF520" i="1"/>
  <c r="BF529" i="1"/>
  <c r="BF538" i="1"/>
  <c r="BF548" i="1"/>
  <c r="BF557" i="1"/>
  <c r="BF569" i="1"/>
  <c r="BF572" i="1"/>
  <c r="BF576" i="1"/>
  <c r="DU576" i="1" s="1"/>
  <c r="BF583" i="1"/>
  <c r="BG588" i="1"/>
  <c r="BF588" i="1" s="1"/>
  <c r="BF595" i="1"/>
  <c r="BF590" i="1"/>
  <c r="BF600" i="1"/>
  <c r="BF603" i="1"/>
  <c r="BF614" i="1"/>
  <c r="BF622" i="1"/>
  <c r="BF631" i="1"/>
  <c r="BF628" i="1" s="1"/>
  <c r="BF636" i="1"/>
  <c r="BF643" i="1"/>
  <c r="BF647" i="1"/>
  <c r="BF654" i="1"/>
  <c r="BF662" i="1"/>
  <c r="BF665" i="1"/>
  <c r="BF674" i="1"/>
  <c r="DU674" i="1" s="1"/>
  <c r="BF681" i="1"/>
  <c r="BF693" i="1"/>
  <c r="BF698" i="1"/>
  <c r="BF702" i="1"/>
  <c r="DU702" i="1" s="1"/>
  <c r="BF711" i="1"/>
  <c r="BF720" i="1"/>
  <c r="BF731" i="1"/>
  <c r="BF736" i="1"/>
  <c r="BF741" i="1"/>
  <c r="BF738" i="1" s="1"/>
  <c r="BF750" i="1"/>
  <c r="BF758" i="1"/>
  <c r="BF763" i="1"/>
  <c r="BF774" i="1"/>
  <c r="BF784" i="1"/>
  <c r="BF782" i="1" s="1"/>
  <c r="BF789" i="1"/>
  <c r="BF793" i="1"/>
  <c r="BF803" i="1"/>
  <c r="BF800" i="1" s="1"/>
  <c r="DU800" i="1" s="1"/>
  <c r="BF814" i="1"/>
  <c r="BF810" i="1"/>
  <c r="DU810" i="1" s="1"/>
  <c r="BF818" i="1"/>
  <c r="BF822" i="1"/>
  <c r="BF827" i="1"/>
  <c r="BF829" i="1"/>
  <c r="DU829" i="1" s="1"/>
  <c r="BF845" i="1"/>
  <c r="BF838" i="1"/>
  <c r="BF856" i="1"/>
  <c r="BF852" i="1"/>
  <c r="BF862" i="1"/>
  <c r="BF872" i="1"/>
  <c r="BF886" i="1"/>
  <c r="BF900" i="1"/>
  <c r="BF897" i="1"/>
  <c r="BF904" i="1"/>
  <c r="BF924" i="1"/>
  <c r="BF915" i="1" s="1"/>
  <c r="BF927" i="1"/>
  <c r="BF935" i="1"/>
  <c r="BF950" i="1"/>
  <c r="BF960" i="1"/>
  <c r="BF972" i="1"/>
  <c r="BF969" i="1"/>
  <c r="BF977" i="1"/>
  <c r="BF983" i="1"/>
  <c r="BF989" i="1"/>
  <c r="BF999" i="1"/>
  <c r="BF996" i="1"/>
  <c r="BF1005" i="1"/>
  <c r="BF1013" i="1"/>
  <c r="BF1025" i="1"/>
  <c r="BF1041" i="1"/>
  <c r="BF1035" i="1"/>
  <c r="BF1048" i="1"/>
  <c r="BF1053" i="1"/>
  <c r="BF1059" i="1"/>
  <c r="BF1066" i="1"/>
  <c r="BF1081" i="1"/>
  <c r="BF1083" i="1"/>
  <c r="BF17" i="1" s="1"/>
  <c r="BF1089" i="1"/>
  <c r="BF1086" i="1" s="1"/>
  <c r="BF1096" i="1"/>
  <c r="BF1108" i="1"/>
  <c r="BF1120" i="1"/>
  <c r="BF1132" i="1"/>
  <c r="BF1126" i="1"/>
  <c r="DU1126" i="1" s="1"/>
  <c r="BF1135" i="1"/>
  <c r="BF1140" i="1"/>
  <c r="BF1146" i="1"/>
  <c r="BF1142" i="1"/>
  <c r="BF1152" i="1"/>
  <c r="BF1157" i="1"/>
  <c r="BF1169" i="1"/>
  <c r="BF1167" i="1" s="1"/>
  <c r="BF1172" i="1"/>
  <c r="BF1177" i="1"/>
  <c r="BF1185" i="1"/>
  <c r="BF1192" i="1"/>
  <c r="BF1201" i="1"/>
  <c r="BF1209" i="1"/>
  <c r="BF1219" i="1"/>
  <c r="BF1222" i="1"/>
  <c r="BF1229" i="1"/>
  <c r="BF1238" i="1"/>
  <c r="BF1244" i="1"/>
  <c r="BF1250" i="1"/>
  <c r="BF1265" i="1"/>
  <c r="BF1261" i="1" s="1"/>
  <c r="DU1261" i="1" s="1"/>
  <c r="BF1277" i="1"/>
  <c r="BF1274" i="1" s="1"/>
  <c r="BF1297" i="1"/>
  <c r="BF1291" i="1" s="1"/>
  <c r="BF1311" i="1"/>
  <c r="BF1303" i="1" s="1"/>
  <c r="BF18" i="1"/>
  <c r="BG1097" i="1"/>
  <c r="BG8" i="1"/>
  <c r="BG9" i="1"/>
  <c r="BG10" i="1"/>
  <c r="BG11" i="1"/>
  <c r="BG12" i="1"/>
  <c r="BG219" i="1"/>
  <c r="BG251" i="1"/>
  <c r="BG249" i="1" s="1"/>
  <c r="BG802" i="1"/>
  <c r="BG803" i="1" s="1"/>
  <c r="BG800" i="1" s="1"/>
  <c r="BG13" i="1"/>
  <c r="BG168" i="1"/>
  <c r="BG263" i="1"/>
  <c r="BG310" i="1"/>
  <c r="BG67" i="1"/>
  <c r="BG76" i="1"/>
  <c r="BG84" i="1"/>
  <c r="BG90" i="1"/>
  <c r="BG92" i="1"/>
  <c r="BG103" i="1"/>
  <c r="BG109" i="1"/>
  <c r="BG116" i="1"/>
  <c r="BG111" i="1" s="1"/>
  <c r="BG117" i="1"/>
  <c r="BG16" i="1" s="1"/>
  <c r="BG120" i="1"/>
  <c r="BG122" i="1"/>
  <c r="BG138" i="1"/>
  <c r="BG144" i="1"/>
  <c r="BG151" i="1"/>
  <c r="BG160" i="1"/>
  <c r="BG165" i="1"/>
  <c r="BG175" i="1"/>
  <c r="BG186" i="1"/>
  <c r="BG195" i="1"/>
  <c r="BG200" i="1"/>
  <c r="BG207" i="1"/>
  <c r="BG209" i="1"/>
  <c r="BG224" i="1"/>
  <c r="BG231" i="1"/>
  <c r="BG240" i="1"/>
  <c r="BG258" i="1"/>
  <c r="BG268" i="1"/>
  <c r="BG278" i="1"/>
  <c r="BG285" i="1"/>
  <c r="BG291" i="1"/>
  <c r="BG296" i="1"/>
  <c r="BG305" i="1"/>
  <c r="BG316" i="1"/>
  <c r="BG332" i="1"/>
  <c r="BG345" i="1"/>
  <c r="BG340" i="1" s="1"/>
  <c r="BG351" i="1"/>
  <c r="BG358" i="1"/>
  <c r="BG367" i="1"/>
  <c r="BG371" i="1"/>
  <c r="BG24" i="1" s="1"/>
  <c r="BG373" i="1"/>
  <c r="BG378" i="1"/>
  <c r="BG385" i="1"/>
  <c r="BG393" i="1"/>
  <c r="BG403" i="1"/>
  <c r="BG413" i="1"/>
  <c r="BG421" i="1"/>
  <c r="BG430" i="1"/>
  <c r="BG448" i="1"/>
  <c r="BG445" i="1"/>
  <c r="BG454" i="1"/>
  <c r="BG462" i="1"/>
  <c r="BG459" i="1"/>
  <c r="BG468" i="1"/>
  <c r="BG476" i="1"/>
  <c r="BG478" i="1"/>
  <c r="BG489" i="1"/>
  <c r="BG485" i="1" s="1"/>
  <c r="DV485" i="1" s="1"/>
  <c r="BG495" i="1"/>
  <c r="BG504" i="1"/>
  <c r="BG502" i="1"/>
  <c r="BG510" i="1"/>
  <c r="BG520" i="1"/>
  <c r="BG529" i="1"/>
  <c r="BG538" i="1"/>
  <c r="BG548" i="1"/>
  <c r="BG557" i="1"/>
  <c r="BG569" i="1"/>
  <c r="BG572" i="1"/>
  <c r="BG576" i="1"/>
  <c r="BG583" i="1"/>
  <c r="BG595" i="1"/>
  <c r="BG590" i="1"/>
  <c r="BG600" i="1"/>
  <c r="BG603" i="1"/>
  <c r="BG614" i="1"/>
  <c r="BG620" i="1"/>
  <c r="BG622" i="1"/>
  <c r="BG631" i="1"/>
  <c r="BG628" i="1"/>
  <c r="BG636" i="1"/>
  <c r="BG643" i="1"/>
  <c r="BG645" i="1"/>
  <c r="BG647" i="1"/>
  <c r="BG654" i="1"/>
  <c r="BG662" i="1"/>
  <c r="BG665" i="1"/>
  <c r="BG674" i="1"/>
  <c r="BG681" i="1"/>
  <c r="BG693" i="1"/>
  <c r="BG698" i="1"/>
  <c r="BG702" i="1"/>
  <c r="BG711" i="1"/>
  <c r="BG720" i="1"/>
  <c r="BG731" i="1"/>
  <c r="BG736" i="1"/>
  <c r="BG741" i="1"/>
  <c r="BG738" i="1" s="1"/>
  <c r="BG750" i="1"/>
  <c r="BG760" i="1"/>
  <c r="BG758" i="1"/>
  <c r="BG763" i="1"/>
  <c r="BG774" i="1"/>
  <c r="BG784" i="1"/>
  <c r="BG782" i="1"/>
  <c r="BG789" i="1"/>
  <c r="BG791" i="1"/>
  <c r="BG793" i="1"/>
  <c r="BG814" i="1"/>
  <c r="BG810" i="1" s="1"/>
  <c r="BG818" i="1"/>
  <c r="BG822" i="1"/>
  <c r="BG827" i="1"/>
  <c r="BG829" i="1"/>
  <c r="BG845" i="1"/>
  <c r="BG838" i="1"/>
  <c r="BG856" i="1"/>
  <c r="BG852" i="1"/>
  <c r="BG862" i="1"/>
  <c r="BG872" i="1"/>
  <c r="BG886" i="1"/>
  <c r="BJ895" i="1"/>
  <c r="BI895" i="1" s="1"/>
  <c r="BH895" i="1" s="1"/>
  <c r="BG895" i="1" s="1"/>
  <c r="BG900" i="1"/>
  <c r="BG897" i="1"/>
  <c r="DV897" i="1" s="1"/>
  <c r="BG904" i="1"/>
  <c r="BG924" i="1"/>
  <c r="BG927" i="1"/>
  <c r="BG935" i="1"/>
  <c r="BG947" i="1"/>
  <c r="BG950" i="1"/>
  <c r="BG960" i="1"/>
  <c r="BG969" i="1"/>
  <c r="BG977" i="1"/>
  <c r="BG983" i="1"/>
  <c r="BG989" i="1"/>
  <c r="BG999" i="1"/>
  <c r="BG996" i="1"/>
  <c r="BG1005" i="1"/>
  <c r="BG1013" i="1"/>
  <c r="BG1025" i="1"/>
  <c r="BG1041" i="1"/>
  <c r="BG1035" i="1"/>
  <c r="BG1053" i="1"/>
  <c r="BG1059" i="1"/>
  <c r="DV1059" i="1" s="1"/>
  <c r="BG1066" i="1"/>
  <c r="BG1081" i="1"/>
  <c r="BG1082" i="1"/>
  <c r="BG1089" i="1"/>
  <c r="BG1086" i="1"/>
  <c r="BG1096" i="1"/>
  <c r="BG1113" i="1"/>
  <c r="BG1108" i="1" s="1"/>
  <c r="BG1120" i="1"/>
  <c r="BG1132" i="1"/>
  <c r="BG1126" i="1" s="1"/>
  <c r="BG1135" i="1"/>
  <c r="BG1140" i="1"/>
  <c r="BG1146" i="1"/>
  <c r="BG1142" i="1"/>
  <c r="BG1152" i="1"/>
  <c r="BG1157" i="1"/>
  <c r="BG1169" i="1"/>
  <c r="BG1167" i="1"/>
  <c r="BG1172" i="1"/>
  <c r="BG1177" i="1"/>
  <c r="BG1185" i="1"/>
  <c r="BG1192" i="1"/>
  <c r="BG1201" i="1"/>
  <c r="BG1209" i="1"/>
  <c r="BG1219" i="1"/>
  <c r="BG1222" i="1"/>
  <c r="BG1229" i="1"/>
  <c r="BG1238" i="1"/>
  <c r="BG1244" i="1"/>
  <c r="BG1250" i="1"/>
  <c r="BG1265" i="1"/>
  <c r="BG1261" i="1" s="1"/>
  <c r="BG1277" i="1"/>
  <c r="BG1274" i="1"/>
  <c r="BG1297" i="1"/>
  <c r="BG1291" i="1" s="1"/>
  <c r="BG1311" i="1"/>
  <c r="BG1303" i="1"/>
  <c r="BG17" i="1"/>
  <c r="BH1097" i="1"/>
  <c r="BH8" i="1"/>
  <c r="BH9" i="1"/>
  <c r="BH10" i="1"/>
  <c r="BH11" i="1"/>
  <c r="BH12" i="1"/>
  <c r="BH219" i="1"/>
  <c r="BH802" i="1"/>
  <c r="BH803" i="1" s="1"/>
  <c r="BH168" i="1"/>
  <c r="BH263" i="1"/>
  <c r="BH258" i="1" s="1"/>
  <c r="BH310" i="1"/>
  <c r="BH67" i="1"/>
  <c r="BH76" i="1"/>
  <c r="BH84" i="1"/>
  <c r="BH90" i="1"/>
  <c r="BH92" i="1"/>
  <c r="BH103" i="1"/>
  <c r="BH109" i="1"/>
  <c r="BH116" i="1"/>
  <c r="BH111" i="1"/>
  <c r="BH122" i="1"/>
  <c r="BH138" i="1"/>
  <c r="BH144" i="1"/>
  <c r="BH151" i="1"/>
  <c r="BH160" i="1"/>
  <c r="BH175" i="1"/>
  <c r="BH186" i="1"/>
  <c r="BH195" i="1"/>
  <c r="BH200" i="1"/>
  <c r="BH209" i="1"/>
  <c r="BH224" i="1"/>
  <c r="BH231" i="1"/>
  <c r="BH240" i="1"/>
  <c r="BH249" i="1"/>
  <c r="BH268" i="1"/>
  <c r="BH278" i="1"/>
  <c r="BH285" i="1"/>
  <c r="BH291" i="1"/>
  <c r="BH296" i="1"/>
  <c r="BH305" i="1"/>
  <c r="BH316" i="1"/>
  <c r="BH332" i="1"/>
  <c r="BH345" i="1"/>
  <c r="BH340" i="1" s="1"/>
  <c r="DW340" i="1" s="1"/>
  <c r="BH351" i="1"/>
  <c r="BH358" i="1"/>
  <c r="BH367" i="1"/>
  <c r="BH371" i="1"/>
  <c r="BH378" i="1"/>
  <c r="BH385" i="1"/>
  <c r="BH393" i="1"/>
  <c r="BH403" i="1"/>
  <c r="BH413" i="1"/>
  <c r="BH421" i="1"/>
  <c r="BH430" i="1"/>
  <c r="BH448" i="1"/>
  <c r="BH445" i="1"/>
  <c r="BH454" i="1"/>
  <c r="BH462" i="1"/>
  <c r="BH463" i="1"/>
  <c r="BH468" i="1"/>
  <c r="BH476" i="1"/>
  <c r="BH478" i="1"/>
  <c r="BH489" i="1"/>
  <c r="BH485" i="1" s="1"/>
  <c r="BH495" i="1"/>
  <c r="BH504" i="1"/>
  <c r="BH507" i="1"/>
  <c r="BH502" i="1"/>
  <c r="BH510" i="1"/>
  <c r="BH520" i="1"/>
  <c r="BH533" i="1"/>
  <c r="BH529" i="1" s="1"/>
  <c r="BH538" i="1"/>
  <c r="BH548" i="1"/>
  <c r="BH564" i="1"/>
  <c r="BH557" i="1" s="1"/>
  <c r="BH569" i="1"/>
  <c r="BH572" i="1"/>
  <c r="BH576" i="1"/>
  <c r="BH583" i="1"/>
  <c r="BH595" i="1"/>
  <c r="BH590" i="1" s="1"/>
  <c r="DW590" i="1" s="1"/>
  <c r="BH600" i="1"/>
  <c r="BH603" i="1"/>
  <c r="BH614" i="1"/>
  <c r="DW614" i="1" s="1"/>
  <c r="BH620" i="1"/>
  <c r="BH622" i="1"/>
  <c r="BH628" i="1"/>
  <c r="BH636" i="1"/>
  <c r="BH643" i="1"/>
  <c r="BH647" i="1"/>
  <c r="BH654" i="1"/>
  <c r="BH662" i="1"/>
  <c r="BH665" i="1"/>
  <c r="BH674" i="1"/>
  <c r="BH687" i="1"/>
  <c r="BH681" i="1" s="1"/>
  <c r="BH693" i="1"/>
  <c r="BH698" i="1"/>
  <c r="BH702" i="1"/>
  <c r="BH711" i="1"/>
  <c r="BH720" i="1"/>
  <c r="BH731" i="1"/>
  <c r="BH736" i="1"/>
  <c r="BH741" i="1"/>
  <c r="BH738" i="1"/>
  <c r="DW738" i="1" s="1"/>
  <c r="BH750" i="1"/>
  <c r="BH758" i="1"/>
  <c r="BH763" i="1"/>
  <c r="BH769" i="1"/>
  <c r="BH774" i="1"/>
  <c r="BH782" i="1"/>
  <c r="BH789" i="1"/>
  <c r="BH793" i="1"/>
  <c r="BH814" i="1"/>
  <c r="BH810" i="1"/>
  <c r="BH818" i="1"/>
  <c r="BH822" i="1"/>
  <c r="BH827" i="1"/>
  <c r="BH829" i="1"/>
  <c r="BH845" i="1"/>
  <c r="BH838" i="1"/>
  <c r="DW838" i="1" s="1"/>
  <c r="BH852" i="1"/>
  <c r="BH862" i="1"/>
  <c r="BH872" i="1"/>
  <c r="BH886" i="1"/>
  <c r="BH900" i="1"/>
  <c r="BH897" i="1" s="1"/>
  <c r="BH904" i="1"/>
  <c r="BH924" i="1"/>
  <c r="BH18" i="1" s="1"/>
  <c r="BH915" i="1"/>
  <c r="BH927" i="1"/>
  <c r="BH935" i="1"/>
  <c r="BH947" i="1"/>
  <c r="BH950" i="1"/>
  <c r="BH960" i="1"/>
  <c r="BH969" i="1"/>
  <c r="BH977" i="1"/>
  <c r="BH983" i="1"/>
  <c r="BH987" i="1"/>
  <c r="BH989" i="1"/>
  <c r="BH999" i="1"/>
  <c r="BH996" i="1"/>
  <c r="BH1005" i="1"/>
  <c r="BH1013" i="1"/>
  <c r="BH1025" i="1"/>
  <c r="BH1041" i="1"/>
  <c r="BH1035" i="1" s="1"/>
  <c r="BH1053" i="1"/>
  <c r="BH1059" i="1"/>
  <c r="BH1066" i="1"/>
  <c r="BH1081" i="1"/>
  <c r="BH1089" i="1"/>
  <c r="BH1086" i="1"/>
  <c r="BH1096" i="1"/>
  <c r="BH1113" i="1"/>
  <c r="BH1108" i="1"/>
  <c r="BH1120" i="1"/>
  <c r="BH1132" i="1"/>
  <c r="BH1126" i="1"/>
  <c r="BH1135" i="1"/>
  <c r="BH1140" i="1"/>
  <c r="BH1146" i="1"/>
  <c r="BH1142" i="1"/>
  <c r="BH1152" i="1"/>
  <c r="BH1157" i="1"/>
  <c r="BH1169" i="1"/>
  <c r="BH1172" i="1"/>
  <c r="BH1177" i="1"/>
  <c r="BH1183" i="1"/>
  <c r="BH1185" i="1"/>
  <c r="BH1192" i="1"/>
  <c r="BH1201" i="1"/>
  <c r="BH1209" i="1"/>
  <c r="BH1219" i="1"/>
  <c r="BH1222" i="1"/>
  <c r="BH1240" i="1"/>
  <c r="BH1238" i="1" s="1"/>
  <c r="BH1244" i="1"/>
  <c r="BH1250" i="1"/>
  <c r="BH1265" i="1"/>
  <c r="BH1261" i="1" s="1"/>
  <c r="BH1277" i="1"/>
  <c r="BH1274" i="1" s="1"/>
  <c r="DW1274" i="1" s="1"/>
  <c r="BH1297" i="1"/>
  <c r="BH1291" i="1" s="1"/>
  <c r="BH1311" i="1"/>
  <c r="BH1303" i="1" s="1"/>
  <c r="BI112" i="1"/>
  <c r="BI1097" i="1"/>
  <c r="BI8" i="1" s="1"/>
  <c r="BI113" i="1"/>
  <c r="BI9" i="1"/>
  <c r="BI10" i="1"/>
  <c r="BI11" i="1"/>
  <c r="BI114" i="1"/>
  <c r="BI1100" i="1"/>
  <c r="BI1096" i="1" s="1"/>
  <c r="BI219" i="1"/>
  <c r="BI455" i="1"/>
  <c r="BI802" i="1"/>
  <c r="BI800" i="1" s="1"/>
  <c r="BI13" i="1"/>
  <c r="BI168" i="1"/>
  <c r="BI263" i="1"/>
  <c r="BI301" i="1"/>
  <c r="BI67" i="1"/>
  <c r="BI76" i="1"/>
  <c r="BI84" i="1"/>
  <c r="BI90" i="1"/>
  <c r="BI20" i="1" s="1"/>
  <c r="BI92" i="1"/>
  <c r="BI103" i="1"/>
  <c r="BI109" i="1"/>
  <c r="BI118" i="1"/>
  <c r="BI122" i="1"/>
  <c r="BI138" i="1"/>
  <c r="BI144" i="1"/>
  <c r="BI151" i="1"/>
  <c r="BI160" i="1"/>
  <c r="BI175" i="1"/>
  <c r="BI186" i="1"/>
  <c r="BI195" i="1"/>
  <c r="BI200" i="1"/>
  <c r="BI209" i="1"/>
  <c r="BI224" i="1"/>
  <c r="BI231" i="1"/>
  <c r="BI240" i="1"/>
  <c r="BI249" i="1"/>
  <c r="BI258" i="1"/>
  <c r="BI268" i="1"/>
  <c r="BI278" i="1"/>
  <c r="BI285" i="1"/>
  <c r="BI291" i="1"/>
  <c r="BI296" i="1"/>
  <c r="BI310" i="1"/>
  <c r="BI305" i="1"/>
  <c r="BI322" i="1"/>
  <c r="BI316" i="1"/>
  <c r="BI332" i="1"/>
  <c r="BI340" i="1"/>
  <c r="BI351" i="1"/>
  <c r="BI362" i="1"/>
  <c r="BI358" i="1" s="1"/>
  <c r="BI367" i="1"/>
  <c r="BI371" i="1"/>
  <c r="BI378" i="1"/>
  <c r="BI385" i="1"/>
  <c r="BI393" i="1"/>
  <c r="BI403" i="1"/>
  <c r="BI413" i="1"/>
  <c r="BI421" i="1"/>
  <c r="BI430" i="1"/>
  <c r="BI448" i="1"/>
  <c r="BI445" i="1" s="1"/>
  <c r="BI454" i="1"/>
  <c r="BI459" i="1"/>
  <c r="BI468" i="1"/>
  <c r="BI476" i="1"/>
  <c r="BI478" i="1"/>
  <c r="BI489" i="1"/>
  <c r="BI485" i="1" s="1"/>
  <c r="BI495" i="1"/>
  <c r="BI507" i="1"/>
  <c r="BI502" i="1"/>
  <c r="BI510" i="1"/>
  <c r="BI520" i="1"/>
  <c r="BI529" i="1"/>
  <c r="BI538" i="1"/>
  <c r="BI548" i="1"/>
  <c r="BI557" i="1"/>
  <c r="BI569" i="1"/>
  <c r="BI572" i="1"/>
  <c r="BI576" i="1"/>
  <c r="BI586" i="1"/>
  <c r="BI583" i="1" s="1"/>
  <c r="BI595" i="1"/>
  <c r="BI590" i="1"/>
  <c r="BI600" i="1"/>
  <c r="DX600" i="1" s="1"/>
  <c r="BI603" i="1"/>
  <c r="BI614" i="1"/>
  <c r="BI622" i="1"/>
  <c r="BI628" i="1"/>
  <c r="BI636" i="1"/>
  <c r="BI643" i="1"/>
  <c r="BI647" i="1"/>
  <c r="BI654" i="1"/>
  <c r="BI662" i="1"/>
  <c r="BI665" i="1"/>
  <c r="BI674" i="1"/>
  <c r="BI681" i="1"/>
  <c r="BI693" i="1"/>
  <c r="BI698" i="1"/>
  <c r="BI702" i="1"/>
  <c r="BI711" i="1"/>
  <c r="BI720" i="1"/>
  <c r="BI731" i="1"/>
  <c r="BI736" i="1"/>
  <c r="BI741" i="1"/>
  <c r="BI738" i="1" s="1"/>
  <c r="DX738" i="1" s="1"/>
  <c r="BI750" i="1"/>
  <c r="BI760" i="1"/>
  <c r="BI758" i="1" s="1"/>
  <c r="BI763" i="1"/>
  <c r="BI774" i="1"/>
  <c r="BI782" i="1"/>
  <c r="BI789" i="1"/>
  <c r="BI793" i="1"/>
  <c r="BI803" i="1"/>
  <c r="BI814" i="1"/>
  <c r="BI810" i="1"/>
  <c r="BI818" i="1"/>
  <c r="BI822" i="1"/>
  <c r="BI827" i="1"/>
  <c r="BI829" i="1"/>
  <c r="BI845" i="1"/>
  <c r="BI838" i="1" s="1"/>
  <c r="BI852" i="1"/>
  <c r="BI862" i="1"/>
  <c r="BI872" i="1"/>
  <c r="BI886" i="1"/>
  <c r="BI900" i="1"/>
  <c r="BI897" i="1"/>
  <c r="BI904" i="1"/>
  <c r="BI924" i="1"/>
  <c r="BI915" i="1"/>
  <c r="BI927" i="1"/>
  <c r="BI945" i="1"/>
  <c r="BI948" i="1"/>
  <c r="BI950" i="1"/>
  <c r="BI960" i="1"/>
  <c r="BI969" i="1"/>
  <c r="BI977" i="1"/>
  <c r="BI983" i="1"/>
  <c r="BI987" i="1"/>
  <c r="BI989" i="1"/>
  <c r="BI999" i="1"/>
  <c r="BI996" i="1"/>
  <c r="BI1005" i="1"/>
  <c r="BI1013" i="1"/>
  <c r="BI1025" i="1"/>
  <c r="BI1041" i="1"/>
  <c r="BI1035" i="1"/>
  <c r="BI1053" i="1"/>
  <c r="BI1059" i="1"/>
  <c r="BI1066" i="1"/>
  <c r="BI1081" i="1"/>
  <c r="BI1089" i="1"/>
  <c r="BI1086" i="1"/>
  <c r="BI1108" i="1"/>
  <c r="BI1120" i="1"/>
  <c r="BI1132" i="1"/>
  <c r="BI1126" i="1" s="1"/>
  <c r="BI1135" i="1"/>
  <c r="BI1140" i="1"/>
  <c r="BI1146" i="1"/>
  <c r="BI1142" i="1"/>
  <c r="BI1152" i="1"/>
  <c r="BI1157" i="1"/>
  <c r="BI1167" i="1"/>
  <c r="BI1172" i="1"/>
  <c r="BI1183" i="1"/>
  <c r="BI1185" i="1"/>
  <c r="BI1192" i="1"/>
  <c r="BI1201" i="1"/>
  <c r="BI1209" i="1"/>
  <c r="BI1219" i="1"/>
  <c r="BI1222" i="1"/>
  <c r="BI1240" i="1"/>
  <c r="BI1238" i="1" s="1"/>
  <c r="BI1244" i="1"/>
  <c r="BI1254" i="1"/>
  <c r="BI1250" i="1" s="1"/>
  <c r="BI1265" i="1"/>
  <c r="BI1261" i="1" s="1"/>
  <c r="BI1274" i="1"/>
  <c r="BI1297" i="1"/>
  <c r="BI1291" i="1" s="1"/>
  <c r="BI1309" i="1"/>
  <c r="BI1303" i="1" s="1"/>
  <c r="BI1311" i="1"/>
  <c r="BI17" i="1"/>
  <c r="BI18" i="1"/>
  <c r="BJ1097" i="1"/>
  <c r="BJ1096" i="1" s="1"/>
  <c r="BJ8" i="1"/>
  <c r="BJ9" i="1"/>
  <c r="BJ10" i="1"/>
  <c r="BJ11" i="1"/>
  <c r="BJ12" i="1"/>
  <c r="BJ219" i="1"/>
  <c r="BJ802" i="1"/>
  <c r="BJ13" i="1"/>
  <c r="BJ168" i="1"/>
  <c r="BJ244" i="1"/>
  <c r="BJ263" i="1"/>
  <c r="BJ258" i="1" s="1"/>
  <c r="BJ273" i="1"/>
  <c r="BJ67" i="1"/>
  <c r="BJ76" i="1"/>
  <c r="BJ84" i="1"/>
  <c r="BJ92" i="1"/>
  <c r="BJ103" i="1"/>
  <c r="BJ118" i="1"/>
  <c r="BJ122" i="1"/>
  <c r="BJ138" i="1"/>
  <c r="BJ146" i="1"/>
  <c r="BJ147" i="1"/>
  <c r="BJ151" i="1"/>
  <c r="BJ160" i="1"/>
  <c r="BJ175" i="1"/>
  <c r="BJ186" i="1"/>
  <c r="BJ195" i="1"/>
  <c r="BJ200" i="1"/>
  <c r="BJ209" i="1"/>
  <c r="BJ217" i="1"/>
  <c r="BJ224" i="1"/>
  <c r="BJ237" i="1"/>
  <c r="BJ231" i="1"/>
  <c r="BJ240" i="1"/>
  <c r="BJ249" i="1"/>
  <c r="BJ268" i="1"/>
  <c r="BJ278" i="1"/>
  <c r="BJ285" i="1"/>
  <c r="BJ291" i="1"/>
  <c r="BJ296" i="1"/>
  <c r="BJ310" i="1"/>
  <c r="BJ305" i="1"/>
  <c r="BJ322" i="1"/>
  <c r="BJ316" i="1" s="1"/>
  <c r="BJ332" i="1"/>
  <c r="BJ340" i="1"/>
  <c r="BJ351" i="1"/>
  <c r="BJ358" i="1"/>
  <c r="BJ367" i="1"/>
  <c r="BJ372" i="1"/>
  <c r="BJ371" i="1"/>
  <c r="BJ381" i="1"/>
  <c r="BJ378" i="1"/>
  <c r="BJ385" i="1"/>
  <c r="BJ393" i="1"/>
  <c r="BJ403" i="1"/>
  <c r="BJ413" i="1"/>
  <c r="BJ421" i="1"/>
  <c r="BJ430" i="1"/>
  <c r="BJ448" i="1"/>
  <c r="BJ445" i="1"/>
  <c r="BJ454" i="1"/>
  <c r="BJ462" i="1"/>
  <c r="BJ463" i="1"/>
  <c r="BJ459" i="1"/>
  <c r="BJ468" i="1"/>
  <c r="BJ476" i="1"/>
  <c r="BJ20" i="1" s="1"/>
  <c r="BJ478" i="1"/>
  <c r="BJ489" i="1"/>
  <c r="BJ485" i="1"/>
  <c r="BJ495" i="1"/>
  <c r="BJ24" i="1" s="1"/>
  <c r="BJ507" i="1"/>
  <c r="BJ502" i="1" s="1"/>
  <c r="BJ510" i="1"/>
  <c r="BJ520" i="1"/>
  <c r="BJ529" i="1"/>
  <c r="BJ538" i="1"/>
  <c r="BJ548" i="1"/>
  <c r="BJ557" i="1"/>
  <c r="BJ569" i="1"/>
  <c r="BJ572" i="1"/>
  <c r="BJ576" i="1"/>
  <c r="BJ586" i="1"/>
  <c r="BJ583" i="1" s="1"/>
  <c r="BJ595" i="1"/>
  <c r="BJ590" i="1"/>
  <c r="BJ600" i="1"/>
  <c r="BJ603" i="1"/>
  <c r="BJ614" i="1"/>
  <c r="BJ620" i="1"/>
  <c r="BJ622" i="1"/>
  <c r="BJ631" i="1"/>
  <c r="BJ628" i="1" s="1"/>
  <c r="DY628" i="1" s="1"/>
  <c r="BJ636" i="1"/>
  <c r="BJ643" i="1"/>
  <c r="BJ647" i="1"/>
  <c r="BJ654" i="1"/>
  <c r="BJ662" i="1"/>
  <c r="BJ665" i="1"/>
  <c r="BJ674" i="1"/>
  <c r="BJ681" i="1"/>
  <c r="BJ693" i="1"/>
  <c r="BJ698" i="1"/>
  <c r="BJ702" i="1"/>
  <c r="BJ711" i="1"/>
  <c r="BJ720" i="1"/>
  <c r="BJ731" i="1"/>
  <c r="BJ736" i="1"/>
  <c r="BJ741" i="1"/>
  <c r="BJ738" i="1"/>
  <c r="BJ750" i="1"/>
  <c r="BJ758" i="1"/>
  <c r="BJ763" i="1"/>
  <c r="BJ774" i="1"/>
  <c r="BJ784" i="1"/>
  <c r="BJ782" i="1" s="1"/>
  <c r="DY782" i="1" s="1"/>
  <c r="BJ789" i="1"/>
  <c r="BJ793" i="1"/>
  <c r="BJ803" i="1"/>
  <c r="BJ800" i="1" s="1"/>
  <c r="BJ814" i="1"/>
  <c r="BJ810" i="1"/>
  <c r="BJ818" i="1"/>
  <c r="BJ822" i="1"/>
  <c r="BJ829" i="1"/>
  <c r="BJ845" i="1"/>
  <c r="BJ838" i="1" s="1"/>
  <c r="BJ852" i="1"/>
  <c r="BJ862" i="1"/>
  <c r="BJ872" i="1"/>
  <c r="BJ900" i="1"/>
  <c r="BJ897" i="1"/>
  <c r="BJ904" i="1"/>
  <c r="BJ915" i="1"/>
  <c r="BJ927" i="1"/>
  <c r="BJ948" i="1"/>
  <c r="BJ947" i="1" s="1"/>
  <c r="BJ950" i="1"/>
  <c r="BJ960" i="1"/>
  <c r="BJ977" i="1"/>
  <c r="BJ983" i="1"/>
  <c r="BJ989" i="1"/>
  <c r="BJ999" i="1"/>
  <c r="BJ996" i="1" s="1"/>
  <c r="BJ1005" i="1"/>
  <c r="BJ1013" i="1"/>
  <c r="BJ1025" i="1"/>
  <c r="BJ1041" i="1"/>
  <c r="BJ1035" i="1" s="1"/>
  <c r="BJ1053" i="1"/>
  <c r="BJ1071" i="1"/>
  <c r="BJ1066" i="1"/>
  <c r="BJ1081" i="1"/>
  <c r="BJ1089" i="1"/>
  <c r="BJ1086" i="1" s="1"/>
  <c r="BJ1108" i="1"/>
  <c r="BJ1120" i="1"/>
  <c r="BJ1132" i="1"/>
  <c r="BJ1126" i="1" s="1"/>
  <c r="BJ1135" i="1"/>
  <c r="BJ1140" i="1"/>
  <c r="BJ1146" i="1"/>
  <c r="BJ1142" i="1" s="1"/>
  <c r="BJ1157" i="1"/>
  <c r="BJ1167" i="1"/>
  <c r="BJ1172" i="1"/>
  <c r="BJ1183" i="1"/>
  <c r="BJ1185" i="1"/>
  <c r="BJ1192" i="1"/>
  <c r="BJ1201" i="1"/>
  <c r="BJ1209" i="1"/>
  <c r="BJ1219" i="1"/>
  <c r="BJ1222" i="1"/>
  <c r="BJ1229" i="1"/>
  <c r="BJ1240" i="1"/>
  <c r="BJ1238" i="1" s="1"/>
  <c r="BJ1244" i="1"/>
  <c r="BJ1250" i="1"/>
  <c r="BJ1265" i="1"/>
  <c r="BJ1261" i="1"/>
  <c r="BJ1274" i="1"/>
  <c r="BJ1297" i="1"/>
  <c r="BJ1291" i="1" s="1"/>
  <c r="BJ1309" i="1"/>
  <c r="BJ1303" i="1" s="1"/>
  <c r="BJ1311" i="1"/>
  <c r="BJ18" i="1"/>
  <c r="BK1097" i="1"/>
  <c r="BK8" i="1" s="1"/>
  <c r="BK9" i="1"/>
  <c r="BK10" i="1"/>
  <c r="BK11" i="1"/>
  <c r="BK360" i="1"/>
  <c r="BK358" i="1" s="1"/>
  <c r="BK219" i="1"/>
  <c r="BK13" i="1" s="1"/>
  <c r="BK263" i="1"/>
  <c r="BK273" i="1"/>
  <c r="BK268" i="1" s="1"/>
  <c r="BK310" i="1"/>
  <c r="BK322" i="1"/>
  <c r="BK316" i="1" s="1"/>
  <c r="BK67" i="1"/>
  <c r="BK76" i="1"/>
  <c r="BK84" i="1"/>
  <c r="BK92" i="1"/>
  <c r="BK103" i="1"/>
  <c r="BK118" i="1"/>
  <c r="BK119" i="1"/>
  <c r="BK111" i="1"/>
  <c r="BK122" i="1"/>
  <c r="BK138" i="1"/>
  <c r="BK147" i="1"/>
  <c r="BK144" i="1"/>
  <c r="BK151" i="1"/>
  <c r="BK160" i="1"/>
  <c r="BK165" i="1"/>
  <c r="BK175" i="1"/>
  <c r="BK186" i="1"/>
  <c r="BK195" i="1"/>
  <c r="BK200" i="1"/>
  <c r="BK209" i="1"/>
  <c r="BK217" i="1"/>
  <c r="BK224" i="1"/>
  <c r="BK231" i="1"/>
  <c r="BK240" i="1"/>
  <c r="BK249" i="1"/>
  <c r="BK278" i="1"/>
  <c r="BK285" i="1"/>
  <c r="BK291" i="1"/>
  <c r="BK296" i="1"/>
  <c r="BK305" i="1"/>
  <c r="BK332" i="1"/>
  <c r="BK345" i="1"/>
  <c r="BK340" i="1" s="1"/>
  <c r="BK351" i="1"/>
  <c r="DZ351" i="1" s="1"/>
  <c r="BK367" i="1"/>
  <c r="BK372" i="1"/>
  <c r="BK371" i="1" s="1"/>
  <c r="BK381" i="1"/>
  <c r="BK378" i="1"/>
  <c r="DZ378" i="1" s="1"/>
  <c r="BK385" i="1"/>
  <c r="BK393" i="1"/>
  <c r="BK403" i="1"/>
  <c r="BK413" i="1"/>
  <c r="BK421" i="1"/>
  <c r="BK430" i="1"/>
  <c r="BK448" i="1"/>
  <c r="BK445" i="1"/>
  <c r="BK454" i="1"/>
  <c r="BK459" i="1"/>
  <c r="BK468" i="1"/>
  <c r="BK476" i="1"/>
  <c r="BK478" i="1"/>
  <c r="BK489" i="1"/>
  <c r="BK485" i="1" s="1"/>
  <c r="DZ485" i="1" s="1"/>
  <c r="BK495" i="1"/>
  <c r="BK507" i="1"/>
  <c r="BK17" i="1" s="1"/>
  <c r="BK510" i="1"/>
  <c r="BK520" i="1"/>
  <c r="BK529" i="1"/>
  <c r="BK538" i="1"/>
  <c r="BK548" i="1"/>
  <c r="BK557" i="1"/>
  <c r="BK569" i="1"/>
  <c r="BK572" i="1"/>
  <c r="BK576" i="1"/>
  <c r="BK586" i="1"/>
  <c r="BK583" i="1" s="1"/>
  <c r="BK595" i="1"/>
  <c r="BK590" i="1" s="1"/>
  <c r="BK600" i="1"/>
  <c r="BK603" i="1"/>
  <c r="BK614" i="1"/>
  <c r="BK620" i="1"/>
  <c r="BK622" i="1"/>
  <c r="BK631" i="1"/>
  <c r="BK628" i="1"/>
  <c r="BK636" i="1"/>
  <c r="BK643" i="1"/>
  <c r="BK647" i="1"/>
  <c r="BK654" i="1"/>
  <c r="BK662" i="1"/>
  <c r="BK665" i="1"/>
  <c r="BK674" i="1"/>
  <c r="BK681" i="1"/>
  <c r="BK693" i="1"/>
  <c r="BK698" i="1"/>
  <c r="BK702" i="1"/>
  <c r="BK711" i="1"/>
  <c r="BK720" i="1"/>
  <c r="BK729" i="1"/>
  <c r="BK731" i="1"/>
  <c r="BK736" i="1"/>
  <c r="BK741" i="1"/>
  <c r="BK738" i="1" s="1"/>
  <c r="DZ738" i="1" s="1"/>
  <c r="BK750" i="1"/>
  <c r="BK760" i="1"/>
  <c r="BK758" i="1" s="1"/>
  <c r="DZ758" i="1" s="1"/>
  <c r="BK763" i="1"/>
  <c r="BK774" i="1"/>
  <c r="BK784" i="1"/>
  <c r="BK782" i="1" s="1"/>
  <c r="BK789" i="1"/>
  <c r="BK793" i="1"/>
  <c r="BK800" i="1"/>
  <c r="BK814" i="1"/>
  <c r="BK810" i="1" s="1"/>
  <c r="BK818" i="1"/>
  <c r="BK822" i="1"/>
  <c r="BK829" i="1"/>
  <c r="BK845" i="1"/>
  <c r="BK838" i="1"/>
  <c r="BK856" i="1"/>
  <c r="BK852" i="1" s="1"/>
  <c r="DZ852" i="1" s="1"/>
  <c r="BK862" i="1"/>
  <c r="BK872" i="1"/>
  <c r="BK900" i="1"/>
  <c r="BK897" i="1" s="1"/>
  <c r="BK904" i="1"/>
  <c r="BK915" i="1"/>
  <c r="BK927" i="1"/>
  <c r="BK947" i="1"/>
  <c r="BK950" i="1"/>
  <c r="BK960" i="1"/>
  <c r="BK977" i="1"/>
  <c r="BK983" i="1"/>
  <c r="BK989" i="1"/>
  <c r="BK996" i="1"/>
  <c r="BK1005" i="1"/>
  <c r="BK1013" i="1"/>
  <c r="BK1025" i="1"/>
  <c r="BK1041" i="1"/>
  <c r="BK1035" i="1"/>
  <c r="BK1048" i="1"/>
  <c r="BK1053" i="1"/>
  <c r="BK1071" i="1"/>
  <c r="BK1066" i="1"/>
  <c r="BK1075" i="1"/>
  <c r="BK1079" i="1"/>
  <c r="BK1089" i="1"/>
  <c r="BK1086" i="1"/>
  <c r="BK1108" i="1"/>
  <c r="BK1120" i="1"/>
  <c r="BK1132" i="1"/>
  <c r="BK1126" i="1" s="1"/>
  <c r="BK1135" i="1"/>
  <c r="BK1140" i="1"/>
  <c r="BK1146" i="1"/>
  <c r="BK1142" i="1" s="1"/>
  <c r="BK1157" i="1"/>
  <c r="BK1167" i="1"/>
  <c r="BK1172" i="1"/>
  <c r="BK1183" i="1"/>
  <c r="BK1185" i="1"/>
  <c r="BK1192" i="1"/>
  <c r="BK1201" i="1"/>
  <c r="BK1209" i="1"/>
  <c r="BK1219" i="1"/>
  <c r="BK1222" i="1"/>
  <c r="BK1229" i="1"/>
  <c r="BK1240" i="1"/>
  <c r="BK1238" i="1" s="1"/>
  <c r="BK1244" i="1"/>
  <c r="BK1250" i="1"/>
  <c r="BK1265" i="1"/>
  <c r="BK1261" i="1" s="1"/>
  <c r="BK1274" i="1"/>
  <c r="BK1297" i="1"/>
  <c r="BK1291" i="1" s="1"/>
  <c r="BK1309" i="1"/>
  <c r="BK1311" i="1"/>
  <c r="BK1303" i="1"/>
  <c r="BK16" i="1"/>
  <c r="BK18" i="1"/>
  <c r="BL1097" i="1"/>
  <c r="BL9" i="1"/>
  <c r="BL439" i="1"/>
  <c r="BL10" i="1"/>
  <c r="BL11" i="1"/>
  <c r="BL12" i="1"/>
  <c r="BL94" i="1"/>
  <c r="BL154" i="1"/>
  <c r="BL151" i="1" s="1"/>
  <c r="BL219" i="1"/>
  <c r="BL461" i="1"/>
  <c r="BL67" i="1"/>
  <c r="BL76" i="1"/>
  <c r="BL84" i="1"/>
  <c r="EA84" i="1" s="1"/>
  <c r="BL92" i="1"/>
  <c r="BL103" i="1"/>
  <c r="BL115" i="1"/>
  <c r="BL117" i="1"/>
  <c r="BL16" i="1" s="1"/>
  <c r="BL122" i="1"/>
  <c r="BL131" i="1"/>
  <c r="BL138" i="1"/>
  <c r="BL144" i="1"/>
  <c r="BL160" i="1"/>
  <c r="BL165" i="1"/>
  <c r="BL172" i="1"/>
  <c r="BL175" i="1"/>
  <c r="BL186" i="1"/>
  <c r="BL195" i="1"/>
  <c r="BL200" i="1"/>
  <c r="BL209" i="1"/>
  <c r="BL217" i="1"/>
  <c r="BL224" i="1"/>
  <c r="BL234" i="1"/>
  <c r="BL231" i="1" s="1"/>
  <c r="BL240" i="1"/>
  <c r="BL252" i="1"/>
  <c r="BL249" i="1" s="1"/>
  <c r="BL263" i="1"/>
  <c r="BL258" i="1"/>
  <c r="BL273" i="1"/>
  <c r="BL268" i="1" s="1"/>
  <c r="BL278" i="1"/>
  <c r="BL285" i="1"/>
  <c r="BL291" i="1"/>
  <c r="BL301" i="1"/>
  <c r="BL296" i="1"/>
  <c r="BL310" i="1"/>
  <c r="BL305" i="1" s="1"/>
  <c r="BL322" i="1"/>
  <c r="BL316" i="1"/>
  <c r="BL332" i="1"/>
  <c r="BL345" i="1"/>
  <c r="BL340" i="1"/>
  <c r="BL351" i="1"/>
  <c r="BL358" i="1"/>
  <c r="BL367" i="1"/>
  <c r="BL372" i="1"/>
  <c r="BL371" i="1" s="1"/>
  <c r="BL24" i="1" s="1"/>
  <c r="BL381" i="1"/>
  <c r="BL378" i="1" s="1"/>
  <c r="BL385" i="1"/>
  <c r="BL393" i="1"/>
  <c r="BL408" i="1"/>
  <c r="BL403" i="1"/>
  <c r="BL413" i="1"/>
  <c r="BL421" i="1"/>
  <c r="BL430" i="1"/>
  <c r="BL448" i="1"/>
  <c r="BL445" i="1" s="1"/>
  <c r="BL456" i="1"/>
  <c r="BL454" i="1"/>
  <c r="BL462" i="1"/>
  <c r="BL459" i="1"/>
  <c r="BL468" i="1"/>
  <c r="BL476" i="1"/>
  <c r="BL20" i="1" s="1"/>
  <c r="BL478" i="1"/>
  <c r="BL489" i="1"/>
  <c r="BL485" i="1" s="1"/>
  <c r="BL495" i="1"/>
  <c r="BL507" i="1"/>
  <c r="BL502" i="1"/>
  <c r="BL510" i="1"/>
  <c r="BL520" i="1"/>
  <c r="BL529" i="1"/>
  <c r="BL538" i="1"/>
  <c r="BL548" i="1"/>
  <c r="BL557" i="1"/>
  <c r="BL569" i="1"/>
  <c r="BL572" i="1"/>
  <c r="BL576" i="1"/>
  <c r="BL586" i="1"/>
  <c r="BL583" i="1" s="1"/>
  <c r="BL595" i="1"/>
  <c r="BL590" i="1" s="1"/>
  <c r="BL600" i="1"/>
  <c r="BL603" i="1"/>
  <c r="BL614" i="1"/>
  <c r="BL623" i="1"/>
  <c r="BL622" i="1"/>
  <c r="BL631" i="1"/>
  <c r="BL628" i="1"/>
  <c r="BL636" i="1"/>
  <c r="BL643" i="1"/>
  <c r="BL645" i="1"/>
  <c r="BL647" i="1"/>
  <c r="BL654" i="1"/>
  <c r="BL662" i="1"/>
  <c r="BL665" i="1"/>
  <c r="BL674" i="1"/>
  <c r="BL681" i="1"/>
  <c r="BL693" i="1"/>
  <c r="BL698" i="1"/>
  <c r="BL702" i="1"/>
  <c r="BL711" i="1"/>
  <c r="BL720" i="1"/>
  <c r="BL731" i="1"/>
  <c r="BL741" i="1"/>
  <c r="BL738" i="1" s="1"/>
  <c r="BL753" i="1"/>
  <c r="BL750" i="1" s="1"/>
  <c r="EA750" i="1" s="1"/>
  <c r="BL758" i="1"/>
  <c r="BL763" i="1"/>
  <c r="BL774" i="1"/>
  <c r="BL782" i="1"/>
  <c r="BL789" i="1"/>
  <c r="BL793" i="1"/>
  <c r="BL803" i="1"/>
  <c r="BL800" i="1"/>
  <c r="BL814" i="1"/>
  <c r="BL810" i="1" s="1"/>
  <c r="BL818" i="1"/>
  <c r="BL822" i="1"/>
  <c r="BL829" i="1"/>
  <c r="BL845" i="1"/>
  <c r="BL838" i="1"/>
  <c r="BL856" i="1"/>
  <c r="BL852" i="1"/>
  <c r="BL862" i="1"/>
  <c r="BL876" i="1"/>
  <c r="BL872" i="1" s="1"/>
  <c r="BL900" i="1"/>
  <c r="BL897" i="1"/>
  <c r="EA897" i="1" s="1"/>
  <c r="BL904" i="1"/>
  <c r="BL915" i="1"/>
  <c r="BL927" i="1"/>
  <c r="BL947" i="1"/>
  <c r="BL950" i="1"/>
  <c r="BL960" i="1"/>
  <c r="BL977" i="1"/>
  <c r="BL983" i="1"/>
  <c r="BL984" i="1"/>
  <c r="BL989" i="1"/>
  <c r="BL996" i="1"/>
  <c r="BL1005" i="1"/>
  <c r="BL1013" i="1"/>
  <c r="BL1025" i="1"/>
  <c r="BL1041" i="1"/>
  <c r="BL1035" i="1"/>
  <c r="BL1051" i="1"/>
  <c r="BL1053" i="1"/>
  <c r="BL1064" i="1"/>
  <c r="BL1071" i="1"/>
  <c r="BL1066" i="1" s="1"/>
  <c r="EA1066" i="1" s="1"/>
  <c r="BL1075" i="1"/>
  <c r="BL1079" i="1"/>
  <c r="BL1089" i="1"/>
  <c r="BL1086" i="1" s="1"/>
  <c r="EA1086" i="1" s="1"/>
  <c r="BL1113" i="1"/>
  <c r="BL1115" i="1"/>
  <c r="BL1108" i="1" s="1"/>
  <c r="BL1120" i="1"/>
  <c r="BL1132" i="1"/>
  <c r="BL1126" i="1"/>
  <c r="BL1135" i="1"/>
  <c r="BL1140" i="1"/>
  <c r="BL1146" i="1"/>
  <c r="BL1142" i="1" s="1"/>
  <c r="BL1157" i="1"/>
  <c r="BL1169" i="1"/>
  <c r="BL1167" i="1"/>
  <c r="BL1172" i="1"/>
  <c r="BL1183" i="1"/>
  <c r="BL1185" i="1"/>
  <c r="BL1192" i="1"/>
  <c r="BL1201" i="1"/>
  <c r="BL1209" i="1"/>
  <c r="BL1219" i="1"/>
  <c r="BL1222" i="1"/>
  <c r="BL1229" i="1"/>
  <c r="BL1240" i="1"/>
  <c r="BL1238" i="1" s="1"/>
  <c r="BL1244" i="1"/>
  <c r="BL1257" i="1"/>
  <c r="BL1250" i="1"/>
  <c r="BL1265" i="1"/>
  <c r="BL1261" i="1" s="1"/>
  <c r="BL1277" i="1"/>
  <c r="BL1274" i="1" s="1"/>
  <c r="BL1297" i="1"/>
  <c r="BL1299" i="1"/>
  <c r="BL1291" i="1"/>
  <c r="BL1309" i="1"/>
  <c r="BL1311" i="1"/>
  <c r="BL17" i="1" s="1"/>
  <c r="BL13" i="1"/>
  <c r="BL18" i="1"/>
  <c r="BM1097" i="1"/>
  <c r="BM1096" i="1" s="1"/>
  <c r="EB1096" i="1" s="1"/>
  <c r="BM8" i="1"/>
  <c r="BM9" i="1"/>
  <c r="BM10" i="1"/>
  <c r="BM11" i="1"/>
  <c r="BM12" i="1"/>
  <c r="BM94" i="1"/>
  <c r="BM219" i="1"/>
  <c r="BM13" i="1"/>
  <c r="BM220" i="1"/>
  <c r="BM217" i="1" s="1"/>
  <c r="BM234" i="1"/>
  <c r="BM252" i="1"/>
  <c r="BM249" i="1" s="1"/>
  <c r="BM263" i="1"/>
  <c r="BM67" i="1"/>
  <c r="BM76" i="1"/>
  <c r="BM84" i="1"/>
  <c r="BM92" i="1"/>
  <c r="BM103" i="1"/>
  <c r="BM118" i="1"/>
  <c r="BM111" i="1" s="1"/>
  <c r="BM120" i="1"/>
  <c r="BM122" i="1"/>
  <c r="BM138" i="1"/>
  <c r="BM144" i="1"/>
  <c r="BM151" i="1"/>
  <c r="BM160" i="1"/>
  <c r="BM165" i="1"/>
  <c r="BM172" i="1"/>
  <c r="BM175" i="1"/>
  <c r="BM186" i="1"/>
  <c r="BM195" i="1"/>
  <c r="BM200" i="1"/>
  <c r="BM209" i="1"/>
  <c r="BM224" i="1"/>
  <c r="BM231" i="1"/>
  <c r="BM240" i="1"/>
  <c r="BM258" i="1"/>
  <c r="BM273" i="1"/>
  <c r="BM268" i="1"/>
  <c r="BM278" i="1"/>
  <c r="BM285" i="1"/>
  <c r="BM291" i="1"/>
  <c r="BM301" i="1"/>
  <c r="BM296" i="1"/>
  <c r="BM310" i="1"/>
  <c r="BM305" i="1" s="1"/>
  <c r="BM322" i="1"/>
  <c r="BM316" i="1"/>
  <c r="BM332" i="1"/>
  <c r="BM345" i="1"/>
  <c r="BM340" i="1"/>
  <c r="BM351" i="1"/>
  <c r="BM358" i="1"/>
  <c r="BM367" i="1"/>
  <c r="BM372" i="1"/>
  <c r="BM371" i="1" s="1"/>
  <c r="BM24" i="1" s="1"/>
  <c r="BM381" i="1"/>
  <c r="BM378" i="1" s="1"/>
  <c r="EB378" i="1" s="1"/>
  <c r="BM385" i="1"/>
  <c r="BM393" i="1"/>
  <c r="BM409" i="1"/>
  <c r="BM403" i="1"/>
  <c r="BM413" i="1"/>
  <c r="BM421" i="1"/>
  <c r="BM434" i="1"/>
  <c r="BM430" i="1" s="1"/>
  <c r="BM448" i="1"/>
  <c r="BM445" i="1" s="1"/>
  <c r="BM454" i="1"/>
  <c r="BM462" i="1"/>
  <c r="BM459" i="1" s="1"/>
  <c r="BM468" i="1"/>
  <c r="BM476" i="1"/>
  <c r="BM478" i="1"/>
  <c r="BM489" i="1"/>
  <c r="BM485" i="1" s="1"/>
  <c r="BM495" i="1"/>
  <c r="BM507" i="1"/>
  <c r="BM502" i="1"/>
  <c r="BM510" i="1"/>
  <c r="BM520" i="1"/>
  <c r="BM533" i="1"/>
  <c r="BM529" i="1" s="1"/>
  <c r="BM538" i="1"/>
  <c r="BM548" i="1"/>
  <c r="BM557" i="1"/>
  <c r="BM569" i="1"/>
  <c r="BM572" i="1"/>
  <c r="BM576" i="1"/>
  <c r="BM586" i="1"/>
  <c r="BM583" i="1" s="1"/>
  <c r="BM595" i="1"/>
  <c r="BM590" i="1"/>
  <c r="EB590" i="1" s="1"/>
  <c r="BM600" i="1"/>
  <c r="BM603" i="1"/>
  <c r="BM614" i="1"/>
  <c r="BM622" i="1"/>
  <c r="BM631" i="1"/>
  <c r="BM628" i="1"/>
  <c r="BM636" i="1"/>
  <c r="BM643" i="1"/>
  <c r="BM645" i="1"/>
  <c r="BM647" i="1"/>
  <c r="BM654" i="1"/>
  <c r="BM662" i="1"/>
  <c r="BM665" i="1"/>
  <c r="BM674" i="1"/>
  <c r="BM681" i="1"/>
  <c r="BM693" i="1"/>
  <c r="BM698" i="1"/>
  <c r="BM702" i="1"/>
  <c r="BM711" i="1"/>
  <c r="BM718" i="1"/>
  <c r="BM720" i="1"/>
  <c r="BM734" i="1"/>
  <c r="BM731" i="1"/>
  <c r="BM741" i="1"/>
  <c r="BM738" i="1" s="1"/>
  <c r="BM753" i="1"/>
  <c r="BM750" i="1"/>
  <c r="BM760" i="1"/>
  <c r="BM758" i="1" s="1"/>
  <c r="BM763" i="1"/>
  <c r="BM774" i="1"/>
  <c r="BM782" i="1"/>
  <c r="BM789" i="1"/>
  <c r="BM793" i="1"/>
  <c r="BM800" i="1"/>
  <c r="BM814" i="1"/>
  <c r="BM810" i="1"/>
  <c r="BM818" i="1"/>
  <c r="BM822" i="1"/>
  <c r="BM831" i="1"/>
  <c r="BM829" i="1"/>
  <c r="BM845" i="1"/>
  <c r="BM838" i="1"/>
  <c r="BM856" i="1"/>
  <c r="BM852" i="1" s="1"/>
  <c r="BM862" i="1"/>
  <c r="BM872" i="1"/>
  <c r="BM900" i="1"/>
  <c r="BM897" i="1" s="1"/>
  <c r="BM904" i="1"/>
  <c r="BM915" i="1"/>
  <c r="BM927" i="1"/>
  <c r="BM947" i="1"/>
  <c r="BM950" i="1"/>
  <c r="BM960" i="1"/>
  <c r="BM977" i="1"/>
  <c r="BM981" i="1"/>
  <c r="BM983" i="1"/>
  <c r="BM989" i="1"/>
  <c r="BM996" i="1"/>
  <c r="BM1005" i="1"/>
  <c r="BM1013" i="1"/>
  <c r="BM1025" i="1"/>
  <c r="BM1041" i="1"/>
  <c r="BM1035" i="1" s="1"/>
  <c r="BM1053" i="1"/>
  <c r="BM1064" i="1"/>
  <c r="BM1071" i="1"/>
  <c r="BM1066" i="1"/>
  <c r="BM1075" i="1"/>
  <c r="BM1079" i="1"/>
  <c r="BM1089" i="1"/>
  <c r="BM1086" i="1"/>
  <c r="BM1117" i="1"/>
  <c r="BM18" i="1" s="1"/>
  <c r="BM1120" i="1"/>
  <c r="BM1132" i="1"/>
  <c r="BM1126" i="1" s="1"/>
  <c r="BM1135" i="1"/>
  <c r="BM1140" i="1"/>
  <c r="BM1146" i="1"/>
  <c r="BM1142" i="1" s="1"/>
  <c r="BM1157" i="1"/>
  <c r="BM1169" i="1"/>
  <c r="BM1167" i="1" s="1"/>
  <c r="EB1167" i="1" s="1"/>
  <c r="BM1172" i="1"/>
  <c r="BM1183" i="1"/>
  <c r="BM1185" i="1"/>
  <c r="BM1192" i="1"/>
  <c r="BM1201" i="1"/>
  <c r="BM1209" i="1"/>
  <c r="BM1219" i="1"/>
  <c r="BM1222" i="1"/>
  <c r="BM1229" i="1"/>
  <c r="BM1240" i="1"/>
  <c r="BM1238" i="1" s="1"/>
  <c r="BM1244" i="1"/>
  <c r="BM1257" i="1"/>
  <c r="BM1265" i="1"/>
  <c r="BM1261" i="1"/>
  <c r="BM1277" i="1"/>
  <c r="BM1274" i="1" s="1"/>
  <c r="BM1291" i="1"/>
  <c r="BM1309" i="1"/>
  <c r="BM1303" i="1" s="1"/>
  <c r="BM1311" i="1"/>
  <c r="BN8" i="1"/>
  <c r="BN9" i="1"/>
  <c r="BN10" i="1"/>
  <c r="BN11" i="1"/>
  <c r="BN360" i="1"/>
  <c r="BN12" i="1" s="1"/>
  <c r="BN219" i="1"/>
  <c r="BN13" i="1" s="1"/>
  <c r="BN1088" i="1"/>
  <c r="BN1086" i="1" s="1"/>
  <c r="BN220" i="1"/>
  <c r="BN263" i="1"/>
  <c r="BN273" i="1"/>
  <c r="BN268" i="1" s="1"/>
  <c r="BN310" i="1"/>
  <c r="BN305" i="1" s="1"/>
  <c r="BN67" i="1"/>
  <c r="BN76" i="1"/>
  <c r="BN84" i="1"/>
  <c r="BN92" i="1"/>
  <c r="BN103" i="1"/>
  <c r="BN118" i="1"/>
  <c r="BN111" i="1"/>
  <c r="BN122" i="1"/>
  <c r="BN136" i="1"/>
  <c r="BN138" i="1"/>
  <c r="BN144" i="1"/>
  <c r="BN151" i="1"/>
  <c r="BN160" i="1"/>
  <c r="BN165" i="1"/>
  <c r="BN172" i="1"/>
  <c r="BN175" i="1"/>
  <c r="BN186" i="1"/>
  <c r="BN193" i="1"/>
  <c r="BN195" i="1"/>
  <c r="BN200" i="1"/>
  <c r="BN207" i="1"/>
  <c r="BN209" i="1"/>
  <c r="BN224" i="1"/>
  <c r="BN231" i="1"/>
  <c r="BN240" i="1"/>
  <c r="BN253" i="1"/>
  <c r="BN249" i="1"/>
  <c r="BN258" i="1"/>
  <c r="BN278" i="1"/>
  <c r="BN285" i="1"/>
  <c r="BN291" i="1"/>
  <c r="BN296" i="1"/>
  <c r="BN316" i="1"/>
  <c r="BN332" i="1"/>
  <c r="BN345" i="1"/>
  <c r="BN340" i="1"/>
  <c r="BN351" i="1"/>
  <c r="BN358" i="1"/>
  <c r="BN368" i="1"/>
  <c r="BN367" i="1"/>
  <c r="BN372" i="1"/>
  <c r="BN381" i="1"/>
  <c r="BN378" i="1"/>
  <c r="BN385" i="1"/>
  <c r="BN393" i="1"/>
  <c r="BN409" i="1"/>
  <c r="BN403" i="1" s="1"/>
  <c r="BN413" i="1"/>
  <c r="BN421" i="1"/>
  <c r="BN430" i="1"/>
  <c r="BN436" i="1"/>
  <c r="BN445" i="1"/>
  <c r="BN454" i="1"/>
  <c r="BN459" i="1"/>
  <c r="BN468" i="1"/>
  <c r="BN478" i="1"/>
  <c r="BN489" i="1"/>
  <c r="BN485" i="1"/>
  <c r="BN495" i="1"/>
  <c r="BN507" i="1"/>
  <c r="BN502" i="1" s="1"/>
  <c r="BN510" i="1"/>
  <c r="BN520" i="1"/>
  <c r="BN533" i="1"/>
  <c r="BN529" i="1" s="1"/>
  <c r="BN538" i="1"/>
  <c r="BN548" i="1"/>
  <c r="BN557" i="1"/>
  <c r="BN569" i="1"/>
  <c r="BN572" i="1"/>
  <c r="BN576" i="1"/>
  <c r="BN586" i="1"/>
  <c r="BN583" i="1"/>
  <c r="BN590" i="1"/>
  <c r="BN25" i="1" s="1"/>
  <c r="BN600" i="1"/>
  <c r="BN603" i="1"/>
  <c r="BN614" i="1"/>
  <c r="BN622" i="1"/>
  <c r="BN631" i="1"/>
  <c r="BN628" i="1" s="1"/>
  <c r="EC628" i="1" s="1"/>
  <c r="BN636" i="1"/>
  <c r="BN643" i="1"/>
  <c r="BN645" i="1"/>
  <c r="BN647" i="1"/>
  <c r="BN654" i="1"/>
  <c r="BN662" i="1"/>
  <c r="BN665" i="1"/>
  <c r="BN672" i="1"/>
  <c r="BN674" i="1"/>
  <c r="BN681" i="1"/>
  <c r="BN693" i="1"/>
  <c r="BN698" i="1"/>
  <c r="BN702" i="1"/>
  <c r="BN711" i="1"/>
  <c r="BN720" i="1"/>
  <c r="BN731" i="1"/>
  <c r="BN738" i="1"/>
  <c r="BN753" i="1"/>
  <c r="BN750" i="1"/>
  <c r="BN758" i="1"/>
  <c r="BN763" i="1"/>
  <c r="BN774" i="1"/>
  <c r="BN782" i="1"/>
  <c r="BN789" i="1"/>
  <c r="BN793" i="1"/>
  <c r="BN805" i="1"/>
  <c r="BN800" i="1"/>
  <c r="BN814" i="1"/>
  <c r="BN810" i="1" s="1"/>
  <c r="BN818" i="1"/>
  <c r="BN822" i="1"/>
  <c r="BN829" i="1"/>
  <c r="BN845" i="1"/>
  <c r="BN838" i="1" s="1"/>
  <c r="EC838" i="1" s="1"/>
  <c r="BN852" i="1"/>
  <c r="BN862" i="1"/>
  <c r="BN872" i="1"/>
  <c r="BN900" i="1"/>
  <c r="BN897" i="1"/>
  <c r="BN904" i="1"/>
  <c r="BN915" i="1"/>
  <c r="BN927" i="1"/>
  <c r="BN947" i="1"/>
  <c r="BN950" i="1"/>
  <c r="BN960" i="1"/>
  <c r="BN977" i="1"/>
  <c r="BN981" i="1"/>
  <c r="BN985" i="1"/>
  <c r="BN983" i="1" s="1"/>
  <c r="BN989" i="1"/>
  <c r="BN996" i="1"/>
  <c r="BN1005" i="1"/>
  <c r="BN1013" i="1"/>
  <c r="BN1025" i="1"/>
  <c r="BN1041" i="1"/>
  <c r="BN1035" i="1"/>
  <c r="BN1053" i="1"/>
  <c r="BN1064" i="1"/>
  <c r="BN1066" i="1"/>
  <c r="BN1075" i="1"/>
  <c r="BN1079" i="1"/>
  <c r="BN1094" i="1"/>
  <c r="BN1096" i="1"/>
  <c r="BN1117" i="1"/>
  <c r="BN1108" i="1"/>
  <c r="BN1120" i="1"/>
  <c r="BN1132" i="1"/>
  <c r="BN1126" i="1" s="1"/>
  <c r="BN1135" i="1"/>
  <c r="BN1140" i="1"/>
  <c r="BN1146" i="1"/>
  <c r="BN1142" i="1"/>
  <c r="BN1157" i="1"/>
  <c r="BN1165" i="1"/>
  <c r="BN1167" i="1"/>
  <c r="BN1172" i="1"/>
  <c r="BN1177" i="1"/>
  <c r="BN1183" i="1"/>
  <c r="BN1185" i="1"/>
  <c r="BN1192" i="1"/>
  <c r="BN1201" i="1"/>
  <c r="BN1214" i="1"/>
  <c r="BN1209" i="1"/>
  <c r="BN1220" i="1"/>
  <c r="BN1219" i="1"/>
  <c r="BN1222" i="1"/>
  <c r="BN1229" i="1"/>
  <c r="BN1240" i="1"/>
  <c r="BN1238" i="1"/>
  <c r="BN1244" i="1"/>
  <c r="BN1257" i="1"/>
  <c r="BN1250" i="1"/>
  <c r="BN1265" i="1"/>
  <c r="BN1261" i="1" s="1"/>
  <c r="BN1277" i="1"/>
  <c r="BN1274" i="1" s="1"/>
  <c r="BN1291" i="1"/>
  <c r="BN1301" i="1"/>
  <c r="BN1309" i="1"/>
  <c r="BN1303" i="1" s="1"/>
  <c r="EC1303" i="1" s="1"/>
  <c r="BN1311" i="1"/>
  <c r="BN18" i="1"/>
  <c r="BO8" i="1"/>
  <c r="BO9" i="1"/>
  <c r="BO10" i="1"/>
  <c r="BO11" i="1"/>
  <c r="BO12" i="1"/>
  <c r="BO13" i="1"/>
  <c r="BO115" i="1"/>
  <c r="BO273" i="1"/>
  <c r="BO268" i="1" s="1"/>
  <c r="BO310" i="1"/>
  <c r="BO381" i="1"/>
  <c r="BO378" i="1" s="1"/>
  <c r="BO67" i="1"/>
  <c r="BO76" i="1"/>
  <c r="BO84" i="1"/>
  <c r="BO92" i="1"/>
  <c r="BO103" i="1"/>
  <c r="BO109" i="1"/>
  <c r="BO117" i="1"/>
  <c r="BO122" i="1"/>
  <c r="BO138" i="1"/>
  <c r="BO144" i="1"/>
  <c r="BO151" i="1"/>
  <c r="BO160" i="1"/>
  <c r="BO165" i="1"/>
  <c r="BO172" i="1"/>
  <c r="BO175" i="1"/>
  <c r="BO186" i="1"/>
  <c r="BO195" i="1"/>
  <c r="BO200" i="1"/>
  <c r="BO207" i="1"/>
  <c r="BO209" i="1"/>
  <c r="BO217" i="1"/>
  <c r="BO224" i="1"/>
  <c r="BO231" i="1"/>
  <c r="BO240" i="1"/>
  <c r="BO249" i="1"/>
  <c r="BO258" i="1"/>
  <c r="BO278" i="1"/>
  <c r="BO285" i="1"/>
  <c r="BO291" i="1"/>
  <c r="BO296" i="1"/>
  <c r="BO305" i="1"/>
  <c r="BO316" i="1"/>
  <c r="BO332" i="1"/>
  <c r="BO340" i="1"/>
  <c r="BO351" i="1"/>
  <c r="BO358" i="1"/>
  <c r="BO367" i="1"/>
  <c r="BO371" i="1"/>
  <c r="BO385" i="1"/>
  <c r="BO393" i="1"/>
  <c r="BO403" i="1"/>
  <c r="BO413" i="1"/>
  <c r="BO421" i="1"/>
  <c r="BO430" i="1"/>
  <c r="BO438" i="1"/>
  <c r="BO445" i="1"/>
  <c r="BO454" i="1"/>
  <c r="BO462" i="1"/>
  <c r="BO459" i="1" s="1"/>
  <c r="ED459" i="1" s="1"/>
  <c r="BO468" i="1"/>
  <c r="BO478" i="1"/>
  <c r="BO492" i="1"/>
  <c r="BO485" i="1"/>
  <c r="BO495" i="1"/>
  <c r="BO507" i="1"/>
  <c r="BO502" i="1"/>
  <c r="BO510" i="1"/>
  <c r="BO520" i="1"/>
  <c r="BO529" i="1"/>
  <c r="BO538" i="1"/>
  <c r="BO548" i="1"/>
  <c r="BO557" i="1"/>
  <c r="BO569" i="1"/>
  <c r="BO572" i="1"/>
  <c r="BO579" i="1"/>
  <c r="BO576" i="1" s="1"/>
  <c r="BO586" i="1"/>
  <c r="BO583" i="1"/>
  <c r="BO590" i="1"/>
  <c r="BO600" i="1"/>
  <c r="BO24" i="1" s="1"/>
  <c r="BO603" i="1"/>
  <c r="BO614" i="1"/>
  <c r="BO622" i="1"/>
  <c r="BO628" i="1"/>
  <c r="BO636" i="1"/>
  <c r="BO643" i="1"/>
  <c r="BO647" i="1"/>
  <c r="BO669" i="1"/>
  <c r="BO665" i="1"/>
  <c r="BO657" i="1"/>
  <c r="BO654" i="1" s="1"/>
  <c r="BO658" i="1"/>
  <c r="BO662" i="1"/>
  <c r="BO674" i="1"/>
  <c r="BO681" i="1"/>
  <c r="BO693" i="1"/>
  <c r="BO698" i="1"/>
  <c r="BO702" i="1"/>
  <c r="BO714" i="1"/>
  <c r="BO711" i="1"/>
  <c r="BO720" i="1"/>
  <c r="BO731" i="1"/>
  <c r="BO738" i="1"/>
  <c r="BO750" i="1"/>
  <c r="BO758" i="1"/>
  <c r="BO763" i="1"/>
  <c r="BO774" i="1"/>
  <c r="BO782" i="1"/>
  <c r="BO789" i="1"/>
  <c r="BO793" i="1"/>
  <c r="BO798" i="1"/>
  <c r="BO800" i="1"/>
  <c r="BO814" i="1"/>
  <c r="BO810" i="1" s="1"/>
  <c r="BO818" i="1"/>
  <c r="BO822" i="1"/>
  <c r="BO829" i="1"/>
  <c r="BO845" i="1"/>
  <c r="BO838" i="1"/>
  <c r="BO856" i="1"/>
  <c r="BO852" i="1" s="1"/>
  <c r="BO862" i="1"/>
  <c r="BO872" i="1"/>
  <c r="BO897" i="1"/>
  <c r="BO904" i="1"/>
  <c r="BO915" i="1"/>
  <c r="BO927" i="1"/>
  <c r="BO947" i="1"/>
  <c r="BO950" i="1"/>
  <c r="BO960" i="1"/>
  <c r="BO967" i="1"/>
  <c r="BO977" i="1"/>
  <c r="BO981" i="1"/>
  <c r="BO983" i="1"/>
  <c r="BO989" i="1"/>
  <c r="BO996" i="1"/>
  <c r="BO1003" i="1"/>
  <c r="BO1005" i="1"/>
  <c r="BO1013" i="1"/>
  <c r="BO1025" i="1"/>
  <c r="BO1041" i="1"/>
  <c r="BO1035" i="1"/>
  <c r="BO1053" i="1"/>
  <c r="BO1066" i="1"/>
  <c r="BO1075" i="1"/>
  <c r="BO1079" i="1"/>
  <c r="BO1093" i="1"/>
  <c r="BO1086" i="1"/>
  <c r="BO1094" i="1"/>
  <c r="BO1096" i="1"/>
  <c r="BO1117" i="1"/>
  <c r="BO1108" i="1" s="1"/>
  <c r="ED1108" i="1" s="1"/>
  <c r="BO1120" i="1"/>
  <c r="BO1132" i="1"/>
  <c r="BO1126" i="1"/>
  <c r="BO1135" i="1"/>
  <c r="BO1146" i="1"/>
  <c r="BO1142" i="1" s="1"/>
  <c r="BO1157" i="1"/>
  <c r="BO1165" i="1"/>
  <c r="BO1167" i="1"/>
  <c r="BO1172" i="1"/>
  <c r="BO1177" i="1"/>
  <c r="BO1183" i="1"/>
  <c r="BO1185" i="1"/>
  <c r="BO1192" i="1"/>
  <c r="BO1201" i="1"/>
  <c r="BO1214" i="1"/>
  <c r="BO1209" i="1" s="1"/>
  <c r="ED1209" i="1" s="1"/>
  <c r="BO1219" i="1"/>
  <c r="BO1222" i="1"/>
  <c r="BO1229" i="1"/>
  <c r="BO1240" i="1"/>
  <c r="BO1238" i="1" s="1"/>
  <c r="BO1244" i="1"/>
  <c r="BO1250" i="1"/>
  <c r="BO1261" i="1"/>
  <c r="BO1277" i="1"/>
  <c r="BO1274" i="1" s="1"/>
  <c r="BO1291" i="1"/>
  <c r="BO1301" i="1"/>
  <c r="BO1309" i="1"/>
  <c r="BO1311" i="1"/>
  <c r="BO15" i="1"/>
  <c r="BO18" i="1"/>
  <c r="BP8" i="1"/>
  <c r="BP9" i="1"/>
  <c r="BP10" i="1"/>
  <c r="BP1251" i="1"/>
  <c r="BP11" i="1"/>
  <c r="BP854" i="1"/>
  <c r="BP12" i="1"/>
  <c r="BP226" i="1"/>
  <c r="BP984" i="1"/>
  <c r="BP983" i="1" s="1"/>
  <c r="BP13" i="1"/>
  <c r="BP579" i="1"/>
  <c r="BP631" i="1"/>
  <c r="BP669" i="1"/>
  <c r="BP723" i="1"/>
  <c r="BP67" i="1"/>
  <c r="BP76" i="1"/>
  <c r="BP84" i="1"/>
  <c r="BP92" i="1"/>
  <c r="BP103" i="1"/>
  <c r="BP111" i="1"/>
  <c r="BP122" i="1"/>
  <c r="BP138" i="1"/>
  <c r="BP144" i="1"/>
  <c r="BP151" i="1"/>
  <c r="BP160" i="1"/>
  <c r="BP165" i="1"/>
  <c r="BP172" i="1"/>
  <c r="BP175" i="1"/>
  <c r="BP186" i="1"/>
  <c r="BP195" i="1"/>
  <c r="BP200" i="1"/>
  <c r="BP209" i="1"/>
  <c r="BP217" i="1"/>
  <c r="BP224" i="1"/>
  <c r="BP231" i="1"/>
  <c r="BP240" i="1"/>
  <c r="BP249" i="1"/>
  <c r="BP258" i="1"/>
  <c r="BP268" i="1"/>
  <c r="BP278" i="1"/>
  <c r="BP285" i="1"/>
  <c r="BP291" i="1"/>
  <c r="BP296" i="1"/>
  <c r="BP305" i="1"/>
  <c r="BP316" i="1"/>
  <c r="BP332" i="1"/>
  <c r="BP340" i="1"/>
  <c r="BP351" i="1"/>
  <c r="BP358" i="1"/>
  <c r="BP367" i="1"/>
  <c r="BP371" i="1"/>
  <c r="BP378" i="1"/>
  <c r="BP385" i="1"/>
  <c r="BP393" i="1"/>
  <c r="BP403" i="1"/>
  <c r="BP413" i="1"/>
  <c r="BP421" i="1"/>
  <c r="BP430" i="1"/>
  <c r="BP436" i="1"/>
  <c r="BP20" i="1" s="1"/>
  <c r="BP438" i="1"/>
  <c r="BP445" i="1"/>
  <c r="BP454" i="1"/>
  <c r="BP459" i="1"/>
  <c r="BP476" i="1"/>
  <c r="BP478" i="1"/>
  <c r="BP485" i="1"/>
  <c r="BP495" i="1"/>
  <c r="BP507" i="1"/>
  <c r="BP502" i="1" s="1"/>
  <c r="BP510" i="1"/>
  <c r="BP520" i="1"/>
  <c r="BP529" i="1"/>
  <c r="BP538" i="1"/>
  <c r="BP548" i="1"/>
  <c r="BP557" i="1"/>
  <c r="BP569" i="1"/>
  <c r="BP572" i="1"/>
  <c r="BP576" i="1"/>
  <c r="BP583" i="1"/>
  <c r="BP590" i="1"/>
  <c r="BP598" i="1"/>
  <c r="BP600" i="1"/>
  <c r="BP603" i="1"/>
  <c r="BP614" i="1"/>
  <c r="BP622" i="1"/>
  <c r="BP628" i="1"/>
  <c r="BP636" i="1"/>
  <c r="BP643" i="1"/>
  <c r="BP647" i="1"/>
  <c r="BP658" i="1"/>
  <c r="BP654" i="1" s="1"/>
  <c r="BP662" i="1"/>
  <c r="BP674" i="1"/>
  <c r="BP681" i="1"/>
  <c r="BP693" i="1"/>
  <c r="BP698" i="1"/>
  <c r="BP702" i="1"/>
  <c r="EE702" i="1" s="1"/>
  <c r="BP711" i="1"/>
  <c r="BP720" i="1"/>
  <c r="BP731" i="1"/>
  <c r="BP738" i="1"/>
  <c r="BP750" i="1"/>
  <c r="BP758" i="1"/>
  <c r="BP763" i="1"/>
  <c r="BP774" i="1"/>
  <c r="BP782" i="1"/>
  <c r="BP789" i="1"/>
  <c r="BP793" i="1"/>
  <c r="BP798" i="1"/>
  <c r="BP800" i="1"/>
  <c r="BP810" i="1"/>
  <c r="BP818" i="1"/>
  <c r="BP822" i="1"/>
  <c r="BP829" i="1"/>
  <c r="BP838" i="1"/>
  <c r="BP856" i="1"/>
  <c r="BP859" i="1"/>
  <c r="BP17" i="1" s="1"/>
  <c r="BP862" i="1"/>
  <c r="BP872" i="1"/>
  <c r="BP881" i="1"/>
  <c r="BP897" i="1"/>
  <c r="BP904" i="1"/>
  <c r="BP915" i="1"/>
  <c r="BP927" i="1"/>
  <c r="BP947" i="1"/>
  <c r="BP950" i="1"/>
  <c r="BP960" i="1"/>
  <c r="BP977" i="1"/>
  <c r="BP989" i="1"/>
  <c r="BP996" i="1"/>
  <c r="BP1005" i="1"/>
  <c r="BP1013" i="1"/>
  <c r="BP1025" i="1"/>
  <c r="BP1043" i="1"/>
  <c r="BP1035" i="1"/>
  <c r="BP1053" i="1"/>
  <c r="BP1066" i="1"/>
  <c r="BP1075" i="1"/>
  <c r="BP1079" i="1"/>
  <c r="BP1086" i="1"/>
  <c r="BP1096" i="1"/>
  <c r="BP1108" i="1"/>
  <c r="BP1120" i="1"/>
  <c r="BP1126" i="1"/>
  <c r="BP1135" i="1"/>
  <c r="BP1146" i="1"/>
  <c r="BP1142" i="1" s="1"/>
  <c r="BP1157" i="1"/>
  <c r="BP1167" i="1"/>
  <c r="BP1172" i="1"/>
  <c r="BP1177" i="1"/>
  <c r="BP1185" i="1"/>
  <c r="BP1192" i="1"/>
  <c r="BP1201" i="1"/>
  <c r="BP1207" i="1"/>
  <c r="BP1214" i="1"/>
  <c r="BP1209" i="1" s="1"/>
  <c r="BP1219" i="1"/>
  <c r="BP1222" i="1"/>
  <c r="BP1229" i="1"/>
  <c r="BP1240" i="1"/>
  <c r="BP1238" i="1"/>
  <c r="BP1244" i="1"/>
  <c r="BP1250" i="1"/>
  <c r="BP1261" i="1"/>
  <c r="BP1277" i="1"/>
  <c r="BP1274" i="1" s="1"/>
  <c r="BP1299" i="1"/>
  <c r="BP1291" i="1"/>
  <c r="BP1301" i="1"/>
  <c r="BP1309" i="1"/>
  <c r="BP1311" i="1"/>
  <c r="BP1303" i="1" s="1"/>
  <c r="BP15" i="1"/>
  <c r="BP18" i="1"/>
  <c r="BQ8" i="1"/>
  <c r="BQ9" i="1"/>
  <c r="BQ10" i="1"/>
  <c r="BQ1251" i="1"/>
  <c r="BQ11" i="1" s="1"/>
  <c r="BQ308" i="1"/>
  <c r="BQ12" i="1"/>
  <c r="BQ13" i="1"/>
  <c r="BQ579" i="1"/>
  <c r="BQ669" i="1"/>
  <c r="BQ1240" i="1"/>
  <c r="BQ1277" i="1"/>
  <c r="BQ14" i="1"/>
  <c r="BQ15" i="1"/>
  <c r="BQ1214" i="1"/>
  <c r="BQ16" i="1"/>
  <c r="BQ507" i="1"/>
  <c r="BQ658" i="1"/>
  <c r="BQ1043" i="1"/>
  <c r="BQ1257" i="1"/>
  <c r="BQ18" i="1"/>
  <c r="W836" i="1"/>
  <c r="W20" i="1" s="1"/>
  <c r="W21" i="1" s="1"/>
  <c r="X836" i="1"/>
  <c r="X20" i="1"/>
  <c r="Y836" i="1"/>
  <c r="Y1259" i="1"/>
  <c r="Y20" i="1"/>
  <c r="Z383" i="1"/>
  <c r="Z836" i="1"/>
  <c r="Z20" i="1"/>
  <c r="AA20" i="1"/>
  <c r="AB20" i="1"/>
  <c r="AC20" i="1"/>
  <c r="AD20" i="1"/>
  <c r="AE20" i="1"/>
  <c r="AF20" i="1"/>
  <c r="AG20" i="1"/>
  <c r="AJ20" i="1"/>
  <c r="AL20" i="1"/>
  <c r="AQ20" i="1"/>
  <c r="AR20" i="1"/>
  <c r="AW20" i="1"/>
  <c r="AY20" i="1"/>
  <c r="AZ20" i="1"/>
  <c r="BB20" i="1"/>
  <c r="BD20" i="1"/>
  <c r="BE20" i="1"/>
  <c r="BG20" i="1"/>
  <c r="BQ256" i="1"/>
  <c r="BQ881" i="1"/>
  <c r="BQ20" i="1" s="1"/>
  <c r="BQ1124" i="1"/>
  <c r="J23" i="1"/>
  <c r="P23" i="1"/>
  <c r="V23" i="1"/>
  <c r="W23" i="1"/>
  <c r="D371" i="1"/>
  <c r="D495" i="1"/>
  <c r="D600" i="1"/>
  <c r="BS600" i="1" s="1"/>
  <c r="D1219" i="1"/>
  <c r="E371" i="1"/>
  <c r="E495" i="1"/>
  <c r="E600" i="1"/>
  <c r="E1219" i="1"/>
  <c r="F371" i="1"/>
  <c r="F495" i="1"/>
  <c r="F600" i="1"/>
  <c r="F1219" i="1"/>
  <c r="F24" i="1"/>
  <c r="G371" i="1"/>
  <c r="G495" i="1"/>
  <c r="G600" i="1"/>
  <c r="G24" i="1" s="1"/>
  <c r="G1219" i="1"/>
  <c r="BV1219" i="1" s="1"/>
  <c r="H371" i="1"/>
  <c r="H24" i="1" s="1"/>
  <c r="H495" i="1"/>
  <c r="BW495" i="1" s="1"/>
  <c r="H600" i="1"/>
  <c r="H1219" i="1"/>
  <c r="I371" i="1"/>
  <c r="I495" i="1"/>
  <c r="BX495" i="1" s="1"/>
  <c r="I600" i="1"/>
  <c r="I1219" i="1"/>
  <c r="J371" i="1"/>
  <c r="J495" i="1"/>
  <c r="J24" i="1" s="1"/>
  <c r="J28" i="1" s="1"/>
  <c r="J600" i="1"/>
  <c r="J1219" i="1"/>
  <c r="K371" i="1"/>
  <c r="K495" i="1"/>
  <c r="K600" i="1"/>
  <c r="K1219" i="1"/>
  <c r="L371" i="1"/>
  <c r="L495" i="1"/>
  <c r="CA495" i="1" s="1"/>
  <c r="L600" i="1"/>
  <c r="L1219" i="1"/>
  <c r="L24" i="1"/>
  <c r="M371" i="1"/>
  <c r="M495" i="1"/>
  <c r="M600" i="1"/>
  <c r="CB600" i="1" s="1"/>
  <c r="M1219" i="1"/>
  <c r="CB1219" i="1" s="1"/>
  <c r="N371" i="1"/>
  <c r="N24" i="1" s="1"/>
  <c r="N495" i="1"/>
  <c r="N600" i="1"/>
  <c r="N1219" i="1"/>
  <c r="O371" i="1"/>
  <c r="O495" i="1"/>
  <c r="O600" i="1"/>
  <c r="O1219" i="1"/>
  <c r="O24" i="1"/>
  <c r="P371" i="1"/>
  <c r="P495" i="1"/>
  <c r="P600" i="1"/>
  <c r="P24" i="1" s="1"/>
  <c r="P1219" i="1"/>
  <c r="Q371" i="1"/>
  <c r="Q495" i="1"/>
  <c r="Q600" i="1"/>
  <c r="Q1219" i="1"/>
  <c r="R371" i="1"/>
  <c r="R495" i="1"/>
  <c r="R600" i="1"/>
  <c r="R1219" i="1"/>
  <c r="S371" i="1"/>
  <c r="S24" i="1" s="1"/>
  <c r="S495" i="1"/>
  <c r="S600" i="1"/>
  <c r="S1219" i="1"/>
  <c r="T371" i="1"/>
  <c r="T495" i="1"/>
  <c r="T600" i="1"/>
  <c r="T1219" i="1"/>
  <c r="T24" i="1" s="1"/>
  <c r="U371" i="1"/>
  <c r="U495" i="1"/>
  <c r="CJ495" i="1" s="1"/>
  <c r="U600" i="1"/>
  <c r="U1219" i="1"/>
  <c r="V371" i="1"/>
  <c r="V495" i="1"/>
  <c r="V600" i="1"/>
  <c r="V1219" i="1"/>
  <c r="W371" i="1"/>
  <c r="W495" i="1"/>
  <c r="W600" i="1"/>
  <c r="W1219" i="1"/>
  <c r="W24" i="1" s="1"/>
  <c r="X371" i="1"/>
  <c r="X495" i="1"/>
  <c r="X600" i="1"/>
  <c r="X1219" i="1"/>
  <c r="X24" i="1"/>
  <c r="Y371" i="1"/>
  <c r="Y24" i="1" s="1"/>
  <c r="Y495" i="1"/>
  <c r="Y600" i="1"/>
  <c r="Y1219" i="1"/>
  <c r="Z371" i="1"/>
  <c r="Z24" i="1" s="1"/>
  <c r="Z495" i="1"/>
  <c r="Z600" i="1"/>
  <c r="Z1219" i="1"/>
  <c r="AA24" i="1"/>
  <c r="AC24" i="1"/>
  <c r="AD24" i="1"/>
  <c r="AF24" i="1"/>
  <c r="AG24" i="1"/>
  <c r="AI24" i="1"/>
  <c r="AJ24" i="1"/>
  <c r="AL24" i="1"/>
  <c r="AM24" i="1"/>
  <c r="AN24" i="1"/>
  <c r="AP24" i="1"/>
  <c r="AQ24" i="1"/>
  <c r="AR24" i="1"/>
  <c r="AS24" i="1"/>
  <c r="AT24" i="1"/>
  <c r="AU24" i="1"/>
  <c r="AV24" i="1"/>
  <c r="AX24" i="1"/>
  <c r="AZ24" i="1"/>
  <c r="BA24" i="1"/>
  <c r="BD24" i="1"/>
  <c r="BH24" i="1"/>
  <c r="BK24" i="1"/>
  <c r="BQ371" i="1"/>
  <c r="BQ24" i="1" s="1"/>
  <c r="BQ495" i="1"/>
  <c r="BQ600" i="1"/>
  <c r="BQ947" i="1"/>
  <c r="BQ1219" i="1"/>
  <c r="D111" i="1"/>
  <c r="D25" i="1" s="1"/>
  <c r="D200" i="1"/>
  <c r="D209" i="1"/>
  <c r="D285" i="1"/>
  <c r="BS285" i="1" s="1"/>
  <c r="D291" i="1"/>
  <c r="D332" i="1"/>
  <c r="D393" i="1"/>
  <c r="D403" i="1"/>
  <c r="D413" i="1"/>
  <c r="BS413" i="1" s="1"/>
  <c r="D421" i="1"/>
  <c r="D459" i="1"/>
  <c r="BS459" i="1" s="1"/>
  <c r="D510" i="1"/>
  <c r="D569" i="1"/>
  <c r="D572" i="1"/>
  <c r="D576" i="1"/>
  <c r="D590" i="1"/>
  <c r="D665" i="1"/>
  <c r="D763" i="1"/>
  <c r="D793" i="1"/>
  <c r="D862" i="1"/>
  <c r="D872" i="1"/>
  <c r="D886" i="1"/>
  <c r="D904" i="1"/>
  <c r="D915" i="1"/>
  <c r="BS915" i="1" s="1"/>
  <c r="D927" i="1"/>
  <c r="D935" i="1"/>
  <c r="D950" i="1"/>
  <c r="D1086" i="1"/>
  <c r="BS1086" i="1" s="1"/>
  <c r="D1152" i="1"/>
  <c r="BS1152" i="1" s="1"/>
  <c r="D1177" i="1"/>
  <c r="BS1177" i="1" s="1"/>
  <c r="D1185" i="1"/>
  <c r="BS1185" i="1" s="1"/>
  <c r="D1222" i="1"/>
  <c r="BS1222" i="1" s="1"/>
  <c r="D1229" i="1"/>
  <c r="BS1229" i="1" s="1"/>
  <c r="D1261" i="1"/>
  <c r="E111" i="1"/>
  <c r="E209" i="1"/>
  <c r="BT209" i="1" s="1"/>
  <c r="E285" i="1"/>
  <c r="E291" i="1"/>
  <c r="E332" i="1"/>
  <c r="E393" i="1"/>
  <c r="BT393" i="1" s="1"/>
  <c r="E403" i="1"/>
  <c r="E413" i="1"/>
  <c r="BT413" i="1" s="1"/>
  <c r="E421" i="1"/>
  <c r="E459" i="1"/>
  <c r="BT459" i="1" s="1"/>
  <c r="E510" i="1"/>
  <c r="E569" i="1"/>
  <c r="E572" i="1"/>
  <c r="E576" i="1"/>
  <c r="BT576" i="1" s="1"/>
  <c r="E590" i="1"/>
  <c r="BT590" i="1" s="1"/>
  <c r="E665" i="1"/>
  <c r="E763" i="1"/>
  <c r="E793" i="1"/>
  <c r="E862" i="1"/>
  <c r="E872" i="1"/>
  <c r="E886" i="1"/>
  <c r="E904" i="1"/>
  <c r="E915" i="1"/>
  <c r="E927" i="1"/>
  <c r="E935" i="1"/>
  <c r="E950" i="1"/>
  <c r="E1086" i="1"/>
  <c r="E1152" i="1"/>
  <c r="BT1152" i="1" s="1"/>
  <c r="E1177" i="1"/>
  <c r="E1185" i="1"/>
  <c r="E1222" i="1"/>
  <c r="E1229" i="1"/>
  <c r="BT1229" i="1" s="1"/>
  <c r="E1250" i="1"/>
  <c r="BT1250" i="1" s="1"/>
  <c r="E1261" i="1"/>
  <c r="F111" i="1"/>
  <c r="BU111" i="1" s="1"/>
  <c r="F200" i="1"/>
  <c r="F209" i="1"/>
  <c r="F285" i="1"/>
  <c r="F291" i="1"/>
  <c r="F332" i="1"/>
  <c r="F393" i="1"/>
  <c r="F403" i="1"/>
  <c r="F413" i="1"/>
  <c r="F421" i="1"/>
  <c r="F459" i="1"/>
  <c r="F510" i="1"/>
  <c r="F569" i="1"/>
  <c r="BU569" i="1" s="1"/>
  <c r="F572" i="1"/>
  <c r="BU572" i="1" s="1"/>
  <c r="F576" i="1"/>
  <c r="BU576" i="1" s="1"/>
  <c r="F590" i="1"/>
  <c r="F603" i="1"/>
  <c r="BU603" i="1" s="1"/>
  <c r="F665" i="1"/>
  <c r="BU665" i="1" s="1"/>
  <c r="F763" i="1"/>
  <c r="F793" i="1"/>
  <c r="BU793" i="1" s="1"/>
  <c r="F862" i="1"/>
  <c r="F872" i="1"/>
  <c r="F886" i="1"/>
  <c r="F904" i="1"/>
  <c r="F915" i="1"/>
  <c r="F927" i="1"/>
  <c r="F935" i="1"/>
  <c r="F950" i="1"/>
  <c r="F1086" i="1"/>
  <c r="F1152" i="1"/>
  <c r="F1172" i="1"/>
  <c r="F1177" i="1"/>
  <c r="F1185" i="1"/>
  <c r="BU1185" i="1" s="1"/>
  <c r="F1222" i="1"/>
  <c r="F1229" i="1"/>
  <c r="F1250" i="1"/>
  <c r="F1261" i="1"/>
  <c r="G111" i="1"/>
  <c r="BV111" i="1" s="1"/>
  <c r="G200" i="1"/>
  <c r="G209" i="1"/>
  <c r="G285" i="1"/>
  <c r="G291" i="1"/>
  <c r="G332" i="1"/>
  <c r="G393" i="1"/>
  <c r="G403" i="1"/>
  <c r="G413" i="1"/>
  <c r="G421" i="1"/>
  <c r="G459" i="1"/>
  <c r="G510" i="1"/>
  <c r="G569" i="1"/>
  <c r="G572" i="1"/>
  <c r="G576" i="1"/>
  <c r="BV576" i="1" s="1"/>
  <c r="G590" i="1"/>
  <c r="BV590" i="1" s="1"/>
  <c r="G603" i="1"/>
  <c r="G628" i="1"/>
  <c r="G665" i="1"/>
  <c r="BV665" i="1" s="1"/>
  <c r="G763" i="1"/>
  <c r="BV763" i="1" s="1"/>
  <c r="G793" i="1"/>
  <c r="BV793" i="1" s="1"/>
  <c r="G862" i="1"/>
  <c r="BV862" i="1" s="1"/>
  <c r="G872" i="1"/>
  <c r="G886" i="1"/>
  <c r="BV886" i="1" s="1"/>
  <c r="G904" i="1"/>
  <c r="G915" i="1"/>
  <c r="G927" i="1"/>
  <c r="G935" i="1"/>
  <c r="G950" i="1"/>
  <c r="G1086" i="1"/>
  <c r="G1152" i="1"/>
  <c r="G1172" i="1"/>
  <c r="G1177" i="1"/>
  <c r="G1185" i="1"/>
  <c r="G1222" i="1"/>
  <c r="G1229" i="1"/>
  <c r="G1250" i="1"/>
  <c r="G1261" i="1"/>
  <c r="H111" i="1"/>
  <c r="H200" i="1"/>
  <c r="BW200" i="1" s="1"/>
  <c r="H209" i="1"/>
  <c r="BW209" i="1" s="1"/>
  <c r="H285" i="1"/>
  <c r="H291" i="1"/>
  <c r="BW291" i="1" s="1"/>
  <c r="H332" i="1"/>
  <c r="H393" i="1"/>
  <c r="H403" i="1"/>
  <c r="H413" i="1"/>
  <c r="H421" i="1"/>
  <c r="H459" i="1"/>
  <c r="H510" i="1"/>
  <c r="H569" i="1"/>
  <c r="BW569" i="1" s="1"/>
  <c r="H572" i="1"/>
  <c r="H576" i="1"/>
  <c r="H590" i="1"/>
  <c r="BW590" i="1" s="1"/>
  <c r="H603" i="1"/>
  <c r="H628" i="1"/>
  <c r="H665" i="1"/>
  <c r="H763" i="1"/>
  <c r="BW763" i="1" s="1"/>
  <c r="H793" i="1"/>
  <c r="BW793" i="1" s="1"/>
  <c r="H862" i="1"/>
  <c r="BW862" i="1" s="1"/>
  <c r="H872" i="1"/>
  <c r="H886" i="1"/>
  <c r="BW886" i="1" s="1"/>
  <c r="H904" i="1"/>
  <c r="BW904" i="1" s="1"/>
  <c r="H915" i="1"/>
  <c r="H927" i="1"/>
  <c r="H935" i="1"/>
  <c r="H950" i="1"/>
  <c r="H1086" i="1"/>
  <c r="H1152" i="1"/>
  <c r="H1172" i="1"/>
  <c r="H1177" i="1"/>
  <c r="H1185" i="1"/>
  <c r="H1222" i="1"/>
  <c r="H1229" i="1"/>
  <c r="BW1229" i="1" s="1"/>
  <c r="H1250" i="1"/>
  <c r="H1261" i="1"/>
  <c r="I111" i="1"/>
  <c r="I200" i="1"/>
  <c r="BX200" i="1" s="1"/>
  <c r="I209" i="1"/>
  <c r="I285" i="1"/>
  <c r="BX285" i="1" s="1"/>
  <c r="I291" i="1"/>
  <c r="BX291" i="1" s="1"/>
  <c r="I332" i="1"/>
  <c r="I393" i="1"/>
  <c r="I403" i="1"/>
  <c r="BX403" i="1" s="1"/>
  <c r="I413" i="1"/>
  <c r="I421" i="1"/>
  <c r="I459" i="1"/>
  <c r="I510" i="1"/>
  <c r="I569" i="1"/>
  <c r="I572" i="1"/>
  <c r="I576" i="1"/>
  <c r="I590" i="1"/>
  <c r="I603" i="1"/>
  <c r="I628" i="1"/>
  <c r="BX628" i="1" s="1"/>
  <c r="I665" i="1"/>
  <c r="I763" i="1"/>
  <c r="I793" i="1"/>
  <c r="BX793" i="1" s="1"/>
  <c r="I862" i="1"/>
  <c r="BX862" i="1" s="1"/>
  <c r="I872" i="1"/>
  <c r="BX872" i="1" s="1"/>
  <c r="I886" i="1"/>
  <c r="I904" i="1"/>
  <c r="BX904" i="1" s="1"/>
  <c r="I915" i="1"/>
  <c r="I927" i="1"/>
  <c r="I935" i="1"/>
  <c r="I950" i="1"/>
  <c r="I1086" i="1"/>
  <c r="I1152" i="1"/>
  <c r="I1172" i="1"/>
  <c r="I1177" i="1"/>
  <c r="I1185" i="1"/>
  <c r="I1222" i="1"/>
  <c r="I1229" i="1"/>
  <c r="I1250" i="1"/>
  <c r="I1261" i="1"/>
  <c r="BX1261" i="1" s="1"/>
  <c r="J111" i="1"/>
  <c r="J200" i="1"/>
  <c r="J25" i="1" s="1"/>
  <c r="J209" i="1"/>
  <c r="BY209" i="1" s="1"/>
  <c r="J285" i="1"/>
  <c r="J291" i="1"/>
  <c r="BY291" i="1" s="1"/>
  <c r="J332" i="1"/>
  <c r="BY332" i="1" s="1"/>
  <c r="J393" i="1"/>
  <c r="J403" i="1"/>
  <c r="J413" i="1"/>
  <c r="BY413" i="1" s="1"/>
  <c r="J421" i="1"/>
  <c r="J459" i="1"/>
  <c r="J510" i="1"/>
  <c r="J569" i="1"/>
  <c r="J572" i="1"/>
  <c r="J576" i="1"/>
  <c r="J590" i="1"/>
  <c r="J603" i="1"/>
  <c r="J628" i="1"/>
  <c r="J665" i="1"/>
  <c r="J763" i="1"/>
  <c r="J793" i="1"/>
  <c r="J862" i="1"/>
  <c r="J872" i="1"/>
  <c r="BY872" i="1" s="1"/>
  <c r="J886" i="1"/>
  <c r="J904" i="1"/>
  <c r="J915" i="1"/>
  <c r="BY915" i="1" s="1"/>
  <c r="J927" i="1"/>
  <c r="J935" i="1"/>
  <c r="J950" i="1"/>
  <c r="J1086" i="1"/>
  <c r="J1152" i="1"/>
  <c r="J1172" i="1"/>
  <c r="J1177" i="1"/>
  <c r="J1185" i="1"/>
  <c r="J1222" i="1"/>
  <c r="J1229" i="1"/>
  <c r="J1250" i="1"/>
  <c r="J1261" i="1"/>
  <c r="K111" i="1"/>
  <c r="K25" i="1" s="1"/>
  <c r="K200" i="1"/>
  <c r="K209" i="1"/>
  <c r="BZ209" i="1" s="1"/>
  <c r="K285" i="1"/>
  <c r="BZ285" i="1" s="1"/>
  <c r="K291" i="1"/>
  <c r="K332" i="1"/>
  <c r="BZ332" i="1" s="1"/>
  <c r="K393" i="1"/>
  <c r="BZ393" i="1" s="1"/>
  <c r="K403" i="1"/>
  <c r="K413" i="1"/>
  <c r="K421" i="1"/>
  <c r="K459" i="1"/>
  <c r="BZ459" i="1" s="1"/>
  <c r="K510" i="1"/>
  <c r="K569" i="1"/>
  <c r="K572" i="1"/>
  <c r="K576" i="1"/>
  <c r="K590" i="1"/>
  <c r="K603" i="1"/>
  <c r="K628" i="1"/>
  <c r="K665" i="1"/>
  <c r="K763" i="1"/>
  <c r="BZ763" i="1" s="1"/>
  <c r="K793" i="1"/>
  <c r="K862" i="1"/>
  <c r="K872" i="1"/>
  <c r="K886" i="1"/>
  <c r="BZ886" i="1" s="1"/>
  <c r="K904" i="1"/>
  <c r="K915" i="1"/>
  <c r="BZ915" i="1" s="1"/>
  <c r="K927" i="1"/>
  <c r="K935" i="1"/>
  <c r="K950" i="1"/>
  <c r="K1086" i="1"/>
  <c r="K1152" i="1"/>
  <c r="K1172" i="1"/>
  <c r="K1177" i="1"/>
  <c r="K1185" i="1"/>
  <c r="K1222" i="1"/>
  <c r="K1229" i="1"/>
  <c r="K1250" i="1"/>
  <c r="K1261" i="1"/>
  <c r="L111" i="1"/>
  <c r="L200" i="1"/>
  <c r="L209" i="1"/>
  <c r="L285" i="1"/>
  <c r="CA285" i="1" s="1"/>
  <c r="L291" i="1"/>
  <c r="CA291" i="1" s="1"/>
  <c r="L332" i="1"/>
  <c r="L393" i="1"/>
  <c r="CA393" i="1" s="1"/>
  <c r="L403" i="1"/>
  <c r="CA403" i="1" s="1"/>
  <c r="L413" i="1"/>
  <c r="L421" i="1"/>
  <c r="L459" i="1"/>
  <c r="CA459" i="1" s="1"/>
  <c r="L510" i="1"/>
  <c r="L569" i="1"/>
  <c r="L572" i="1"/>
  <c r="L576" i="1"/>
  <c r="L590" i="1"/>
  <c r="L603" i="1"/>
  <c r="L628" i="1"/>
  <c r="CA628" i="1" s="1"/>
  <c r="L665" i="1"/>
  <c r="L763" i="1"/>
  <c r="L793" i="1"/>
  <c r="L862" i="1"/>
  <c r="L872" i="1"/>
  <c r="L886" i="1"/>
  <c r="L904" i="1"/>
  <c r="CA904" i="1" s="1"/>
  <c r="L915" i="1"/>
  <c r="L927" i="1"/>
  <c r="CA927" i="1" s="1"/>
  <c r="L935" i="1"/>
  <c r="L950" i="1"/>
  <c r="L1086" i="1"/>
  <c r="L1152" i="1"/>
  <c r="CA1152" i="1" s="1"/>
  <c r="L1172" i="1"/>
  <c r="L1177" i="1"/>
  <c r="L1185" i="1"/>
  <c r="L1222" i="1"/>
  <c r="L1229" i="1"/>
  <c r="L1250" i="1"/>
  <c r="L1261" i="1"/>
  <c r="M111" i="1"/>
  <c r="M200" i="1"/>
  <c r="CB200" i="1" s="1"/>
  <c r="M209" i="1"/>
  <c r="M285" i="1"/>
  <c r="M291" i="1"/>
  <c r="CB291" i="1" s="1"/>
  <c r="M332" i="1"/>
  <c r="CB332" i="1" s="1"/>
  <c r="M393" i="1"/>
  <c r="M403" i="1"/>
  <c r="M413" i="1"/>
  <c r="CB413" i="1" s="1"/>
  <c r="M421" i="1"/>
  <c r="M459" i="1"/>
  <c r="M510" i="1"/>
  <c r="CB510" i="1" s="1"/>
  <c r="M569" i="1"/>
  <c r="M572" i="1"/>
  <c r="M576" i="1"/>
  <c r="M590" i="1"/>
  <c r="M603" i="1"/>
  <c r="M628" i="1"/>
  <c r="M665" i="1"/>
  <c r="CB665" i="1" s="1"/>
  <c r="M763" i="1"/>
  <c r="M793" i="1"/>
  <c r="M862" i="1"/>
  <c r="CB862" i="1" s="1"/>
  <c r="M872" i="1"/>
  <c r="M886" i="1"/>
  <c r="M904" i="1"/>
  <c r="CB904" i="1" s="1"/>
  <c r="M915" i="1"/>
  <c r="CB915" i="1" s="1"/>
  <c r="M927" i="1"/>
  <c r="M935" i="1"/>
  <c r="CB935" i="1" s="1"/>
  <c r="M950" i="1"/>
  <c r="CB950" i="1" s="1"/>
  <c r="M1086" i="1"/>
  <c r="M1152" i="1"/>
  <c r="M1172" i="1"/>
  <c r="CB1172" i="1" s="1"/>
  <c r="M1177" i="1"/>
  <c r="M1185" i="1"/>
  <c r="M1222" i="1"/>
  <c r="M1229" i="1"/>
  <c r="M1250" i="1"/>
  <c r="M1261" i="1"/>
  <c r="N111" i="1"/>
  <c r="N200" i="1"/>
  <c r="N209" i="1"/>
  <c r="N285" i="1"/>
  <c r="N291" i="1"/>
  <c r="N332" i="1"/>
  <c r="CC332" i="1" s="1"/>
  <c r="N393" i="1"/>
  <c r="CC393" i="1" s="1"/>
  <c r="N403" i="1"/>
  <c r="N413" i="1"/>
  <c r="N421" i="1"/>
  <c r="CC421" i="1" s="1"/>
  <c r="N459" i="1"/>
  <c r="N510" i="1"/>
  <c r="N569" i="1"/>
  <c r="N572" i="1"/>
  <c r="N576" i="1"/>
  <c r="N590" i="1"/>
  <c r="N603" i="1"/>
  <c r="N628" i="1"/>
  <c r="N665" i="1"/>
  <c r="N763" i="1"/>
  <c r="N793" i="1"/>
  <c r="N862" i="1"/>
  <c r="N872" i="1"/>
  <c r="N886" i="1"/>
  <c r="N904" i="1"/>
  <c r="N915" i="1"/>
  <c r="N927" i="1"/>
  <c r="CC927" i="1" s="1"/>
  <c r="N935" i="1"/>
  <c r="N950" i="1"/>
  <c r="CC950" i="1" s="1"/>
  <c r="N1086" i="1"/>
  <c r="CC1086" i="1" s="1"/>
  <c r="N1152" i="1"/>
  <c r="N1172" i="1"/>
  <c r="N1177" i="1"/>
  <c r="CC1177" i="1" s="1"/>
  <c r="N1185" i="1"/>
  <c r="N1222" i="1"/>
  <c r="N1229" i="1"/>
  <c r="N1250" i="1"/>
  <c r="N1261" i="1"/>
  <c r="O111" i="1"/>
  <c r="O200" i="1"/>
  <c r="O209" i="1"/>
  <c r="O285" i="1"/>
  <c r="O291" i="1"/>
  <c r="O332" i="1"/>
  <c r="O393" i="1"/>
  <c r="O403" i="1"/>
  <c r="O413" i="1"/>
  <c r="O421" i="1"/>
  <c r="O459" i="1"/>
  <c r="CD459" i="1" s="1"/>
  <c r="O510" i="1"/>
  <c r="O569" i="1"/>
  <c r="O572" i="1"/>
  <c r="CD572" i="1" s="1"/>
  <c r="O576" i="1"/>
  <c r="O590" i="1"/>
  <c r="O603" i="1"/>
  <c r="O628" i="1"/>
  <c r="O665" i="1"/>
  <c r="O763" i="1"/>
  <c r="O793" i="1"/>
  <c r="O862" i="1"/>
  <c r="O872" i="1"/>
  <c r="O886" i="1"/>
  <c r="CD886" i="1" s="1"/>
  <c r="O904" i="1"/>
  <c r="O915" i="1"/>
  <c r="O927" i="1"/>
  <c r="O935" i="1"/>
  <c r="CD935" i="1" s="1"/>
  <c r="O950" i="1"/>
  <c r="O1086" i="1"/>
  <c r="CD1086" i="1" s="1"/>
  <c r="O1152" i="1"/>
  <c r="O1172" i="1"/>
  <c r="O1177" i="1"/>
  <c r="O1185" i="1"/>
  <c r="CD1185" i="1" s="1"/>
  <c r="O1222" i="1"/>
  <c r="O1229" i="1"/>
  <c r="O1250" i="1"/>
  <c r="O1261" i="1"/>
  <c r="P111" i="1"/>
  <c r="P200" i="1"/>
  <c r="P209" i="1"/>
  <c r="P285" i="1"/>
  <c r="P291" i="1"/>
  <c r="P332" i="1"/>
  <c r="P393" i="1"/>
  <c r="P403" i="1"/>
  <c r="CE403" i="1" s="1"/>
  <c r="P413" i="1"/>
  <c r="P421" i="1"/>
  <c r="P459" i="1"/>
  <c r="CE459" i="1" s="1"/>
  <c r="P510" i="1"/>
  <c r="CE510" i="1" s="1"/>
  <c r="P569" i="1"/>
  <c r="P572" i="1"/>
  <c r="P576" i="1"/>
  <c r="CE576" i="1" s="1"/>
  <c r="P590" i="1"/>
  <c r="P603" i="1"/>
  <c r="P628" i="1"/>
  <c r="P665" i="1"/>
  <c r="P763" i="1"/>
  <c r="P793" i="1"/>
  <c r="P862" i="1"/>
  <c r="P872" i="1"/>
  <c r="P886" i="1"/>
  <c r="P904" i="1"/>
  <c r="CE904" i="1" s="1"/>
  <c r="P915" i="1"/>
  <c r="P927" i="1"/>
  <c r="P935" i="1"/>
  <c r="P950" i="1"/>
  <c r="P1086" i="1"/>
  <c r="P1152" i="1"/>
  <c r="CE1152" i="1" s="1"/>
  <c r="P1172" i="1"/>
  <c r="P1177" i="1"/>
  <c r="P1185" i="1"/>
  <c r="P1222" i="1"/>
  <c r="CE1222" i="1" s="1"/>
  <c r="P1229" i="1"/>
  <c r="P1250" i="1"/>
  <c r="P1261" i="1"/>
  <c r="Q111" i="1"/>
  <c r="Q200" i="1"/>
  <c r="Q209" i="1"/>
  <c r="Q285" i="1"/>
  <c r="Q291" i="1"/>
  <c r="Q332" i="1"/>
  <c r="Q393" i="1"/>
  <c r="Q403" i="1"/>
  <c r="Q413" i="1"/>
  <c r="Q421" i="1"/>
  <c r="Q459" i="1"/>
  <c r="Q510" i="1"/>
  <c r="Q569" i="1"/>
  <c r="CF569" i="1" s="1"/>
  <c r="Q572" i="1"/>
  <c r="Q576" i="1"/>
  <c r="Q590" i="1"/>
  <c r="CF590" i="1" s="1"/>
  <c r="Q603" i="1"/>
  <c r="Q628" i="1"/>
  <c r="Q665" i="1"/>
  <c r="Q763" i="1"/>
  <c r="Q793" i="1"/>
  <c r="Q862" i="1"/>
  <c r="Q872" i="1"/>
  <c r="Q886" i="1"/>
  <c r="Q904" i="1"/>
  <c r="Q915" i="1"/>
  <c r="CF915" i="1" s="1"/>
  <c r="Q927" i="1"/>
  <c r="Q935" i="1"/>
  <c r="Q950" i="1"/>
  <c r="Q1086" i="1"/>
  <c r="Q1152" i="1"/>
  <c r="Q1172" i="1"/>
  <c r="Q1177" i="1"/>
  <c r="CF1177" i="1" s="1"/>
  <c r="Q1185" i="1"/>
  <c r="Q1222" i="1"/>
  <c r="Q1229" i="1"/>
  <c r="Q1250" i="1"/>
  <c r="Q1261" i="1"/>
  <c r="R111" i="1"/>
  <c r="R200" i="1"/>
  <c r="R209" i="1"/>
  <c r="R285" i="1"/>
  <c r="R291" i="1"/>
  <c r="R332" i="1"/>
  <c r="R393" i="1"/>
  <c r="R403" i="1"/>
  <c r="R413" i="1"/>
  <c r="R421" i="1"/>
  <c r="R459" i="1"/>
  <c r="R510" i="1"/>
  <c r="R569" i="1"/>
  <c r="R572" i="1"/>
  <c r="R576" i="1"/>
  <c r="R590" i="1"/>
  <c r="R603" i="1"/>
  <c r="CG603" i="1" s="1"/>
  <c r="R628" i="1"/>
  <c r="R665" i="1"/>
  <c r="R763" i="1"/>
  <c r="R793" i="1"/>
  <c r="R862" i="1"/>
  <c r="R872" i="1"/>
  <c r="R886" i="1"/>
  <c r="R904" i="1"/>
  <c r="R915" i="1"/>
  <c r="R927" i="1"/>
  <c r="R935" i="1"/>
  <c r="R950" i="1"/>
  <c r="R1086" i="1"/>
  <c r="R1152" i="1"/>
  <c r="R1172" i="1"/>
  <c r="R1177" i="1"/>
  <c r="R1185" i="1"/>
  <c r="R1222" i="1"/>
  <c r="R1229" i="1"/>
  <c r="R1250" i="1"/>
  <c r="R1261" i="1"/>
  <c r="S111" i="1"/>
  <c r="S200" i="1"/>
  <c r="S209" i="1"/>
  <c r="S285" i="1"/>
  <c r="S291" i="1"/>
  <c r="S25" i="1" s="1"/>
  <c r="S332" i="1"/>
  <c r="S393" i="1"/>
  <c r="S403" i="1"/>
  <c r="CH403" i="1" s="1"/>
  <c r="S413" i="1"/>
  <c r="S421" i="1"/>
  <c r="S459" i="1"/>
  <c r="S510" i="1"/>
  <c r="S569" i="1"/>
  <c r="S572" i="1"/>
  <c r="S576" i="1"/>
  <c r="S590" i="1"/>
  <c r="S603" i="1"/>
  <c r="S628" i="1"/>
  <c r="S665" i="1"/>
  <c r="S763" i="1"/>
  <c r="S793" i="1"/>
  <c r="S862" i="1"/>
  <c r="S872" i="1"/>
  <c r="S886" i="1"/>
  <c r="S904" i="1"/>
  <c r="S915" i="1"/>
  <c r="S927" i="1"/>
  <c r="S935" i="1"/>
  <c r="S950" i="1"/>
  <c r="S1086" i="1"/>
  <c r="S1152" i="1"/>
  <c r="S1172" i="1"/>
  <c r="S1177" i="1"/>
  <c r="S1185" i="1"/>
  <c r="S1222" i="1"/>
  <c r="S1229" i="1"/>
  <c r="S1250" i="1"/>
  <c r="S1261" i="1"/>
  <c r="T111" i="1"/>
  <c r="T200" i="1"/>
  <c r="T209" i="1"/>
  <c r="T285" i="1"/>
  <c r="T291" i="1"/>
  <c r="T332" i="1"/>
  <c r="T393" i="1"/>
  <c r="T403" i="1"/>
  <c r="T413" i="1"/>
  <c r="T421" i="1"/>
  <c r="T459" i="1"/>
  <c r="T510" i="1"/>
  <c r="T569" i="1"/>
  <c r="CI569" i="1" s="1"/>
  <c r="T572" i="1"/>
  <c r="T576" i="1"/>
  <c r="CI576" i="1" s="1"/>
  <c r="T590" i="1"/>
  <c r="T603" i="1"/>
  <c r="T628" i="1"/>
  <c r="T665" i="1"/>
  <c r="T763" i="1"/>
  <c r="T793" i="1"/>
  <c r="T862" i="1"/>
  <c r="T872" i="1"/>
  <c r="T886" i="1"/>
  <c r="T904" i="1"/>
  <c r="T915" i="1"/>
  <c r="T927" i="1"/>
  <c r="T935" i="1"/>
  <c r="T950" i="1"/>
  <c r="T1086" i="1"/>
  <c r="T1152" i="1"/>
  <c r="T1172" i="1"/>
  <c r="T1177" i="1"/>
  <c r="T1185" i="1"/>
  <c r="T1222" i="1"/>
  <c r="T1229" i="1"/>
  <c r="CI1229" i="1" s="1"/>
  <c r="T1250" i="1"/>
  <c r="T1261" i="1"/>
  <c r="T25" i="1"/>
  <c r="U111" i="1"/>
  <c r="U200" i="1"/>
  <c r="U209" i="1"/>
  <c r="U285" i="1"/>
  <c r="U291" i="1"/>
  <c r="U332" i="1"/>
  <c r="U393" i="1"/>
  <c r="U403" i="1"/>
  <c r="U413" i="1"/>
  <c r="U421" i="1"/>
  <c r="U459" i="1"/>
  <c r="U510" i="1"/>
  <c r="U569" i="1"/>
  <c r="U572" i="1"/>
  <c r="U576" i="1"/>
  <c r="U590" i="1"/>
  <c r="U603" i="1"/>
  <c r="U628" i="1"/>
  <c r="U665" i="1"/>
  <c r="U763" i="1"/>
  <c r="CJ763" i="1" s="1"/>
  <c r="U793" i="1"/>
  <c r="U862" i="1"/>
  <c r="U872" i="1"/>
  <c r="U886" i="1"/>
  <c r="U904" i="1"/>
  <c r="U915" i="1"/>
  <c r="U927" i="1"/>
  <c r="U935" i="1"/>
  <c r="U950" i="1"/>
  <c r="U1086" i="1"/>
  <c r="U1152" i="1"/>
  <c r="U1172" i="1"/>
  <c r="U1177" i="1"/>
  <c r="U1185" i="1"/>
  <c r="U1222" i="1"/>
  <c r="U1229" i="1"/>
  <c r="U1250" i="1"/>
  <c r="U1261" i="1"/>
  <c r="V111" i="1"/>
  <c r="V200" i="1"/>
  <c r="V25" i="1" s="1"/>
  <c r="V209" i="1"/>
  <c r="V285" i="1"/>
  <c r="V291" i="1"/>
  <c r="V332" i="1"/>
  <c r="V393" i="1"/>
  <c r="V403" i="1"/>
  <c r="V413" i="1"/>
  <c r="V421" i="1"/>
  <c r="V459" i="1"/>
  <c r="V510" i="1"/>
  <c r="V569" i="1"/>
  <c r="V572" i="1"/>
  <c r="V576" i="1"/>
  <c r="V590" i="1"/>
  <c r="V603" i="1"/>
  <c r="V628" i="1"/>
  <c r="V665" i="1"/>
  <c r="V763" i="1"/>
  <c r="V793" i="1"/>
  <c r="V862" i="1"/>
  <c r="CK862" i="1" s="1"/>
  <c r="V872" i="1"/>
  <c r="V886" i="1"/>
  <c r="V904" i="1"/>
  <c r="V915" i="1"/>
  <c r="V927" i="1"/>
  <c r="V935" i="1"/>
  <c r="V950" i="1"/>
  <c r="V1086" i="1"/>
  <c r="V1152" i="1"/>
  <c r="V1172" i="1"/>
  <c r="V1177" i="1"/>
  <c r="V1185" i="1"/>
  <c r="V1222" i="1"/>
  <c r="V1229" i="1"/>
  <c r="V1250" i="1"/>
  <c r="V1261" i="1"/>
  <c r="W111" i="1"/>
  <c r="W200" i="1"/>
  <c r="W25" i="1" s="1"/>
  <c r="W209" i="1"/>
  <c r="CL209" i="1" s="1"/>
  <c r="W285" i="1"/>
  <c r="W291" i="1"/>
  <c r="W332" i="1"/>
  <c r="W393" i="1"/>
  <c r="W403" i="1"/>
  <c r="W413" i="1"/>
  <c r="W421" i="1"/>
  <c r="W459" i="1"/>
  <c r="W510" i="1"/>
  <c r="W569" i="1"/>
  <c r="W572" i="1"/>
  <c r="W576" i="1"/>
  <c r="W590" i="1"/>
  <c r="CL590" i="1" s="1"/>
  <c r="W603" i="1"/>
  <c r="W628" i="1"/>
  <c r="W665" i="1"/>
  <c r="W763" i="1"/>
  <c r="W793" i="1"/>
  <c r="W862" i="1"/>
  <c r="W872" i="1"/>
  <c r="CL872" i="1" s="1"/>
  <c r="W886" i="1"/>
  <c r="W904" i="1"/>
  <c r="W915" i="1"/>
  <c r="W927" i="1"/>
  <c r="W935" i="1"/>
  <c r="W950" i="1"/>
  <c r="W1086" i="1"/>
  <c r="W1152" i="1"/>
  <c r="W1172" i="1"/>
  <c r="W1177" i="1"/>
  <c r="W1185" i="1"/>
  <c r="W1222" i="1"/>
  <c r="W1229" i="1"/>
  <c r="CL1229" i="1" s="1"/>
  <c r="W1250" i="1"/>
  <c r="W1261" i="1"/>
  <c r="X111" i="1"/>
  <c r="X25" i="1" s="1"/>
  <c r="X200" i="1"/>
  <c r="X209" i="1"/>
  <c r="CM209" i="1" s="1"/>
  <c r="X285" i="1"/>
  <c r="CM285" i="1" s="1"/>
  <c r="X291" i="1"/>
  <c r="X332" i="1"/>
  <c r="X393" i="1"/>
  <c r="X403" i="1"/>
  <c r="X413" i="1"/>
  <c r="X421" i="1"/>
  <c r="X459" i="1"/>
  <c r="X510" i="1"/>
  <c r="X569" i="1"/>
  <c r="X572" i="1"/>
  <c r="X576" i="1"/>
  <c r="X590" i="1"/>
  <c r="X603" i="1"/>
  <c r="X628" i="1"/>
  <c r="X665" i="1"/>
  <c r="X763" i="1"/>
  <c r="CM763" i="1" s="1"/>
  <c r="X793" i="1"/>
  <c r="X862" i="1"/>
  <c r="X872" i="1"/>
  <c r="X886" i="1"/>
  <c r="X904" i="1"/>
  <c r="X915" i="1"/>
  <c r="X927" i="1"/>
  <c r="X950" i="1"/>
  <c r="X1086" i="1"/>
  <c r="X1152" i="1"/>
  <c r="X1172" i="1"/>
  <c r="X1177" i="1"/>
  <c r="X1185" i="1"/>
  <c r="X1222" i="1"/>
  <c r="X1229" i="1"/>
  <c r="X1250" i="1"/>
  <c r="X1261" i="1"/>
  <c r="Y111" i="1"/>
  <c r="Y160" i="1"/>
  <c r="Y200" i="1"/>
  <c r="Y25" i="1" s="1"/>
  <c r="Y209" i="1"/>
  <c r="Y285" i="1"/>
  <c r="Y291" i="1"/>
  <c r="CN291" i="1" s="1"/>
  <c r="Y332" i="1"/>
  <c r="Y393" i="1"/>
  <c r="Y403" i="1"/>
  <c r="Y413" i="1"/>
  <c r="Y421" i="1"/>
  <c r="Y459" i="1"/>
  <c r="Y510" i="1"/>
  <c r="Y569" i="1"/>
  <c r="Y572" i="1"/>
  <c r="Y576" i="1"/>
  <c r="Y590" i="1"/>
  <c r="Y603" i="1"/>
  <c r="Y628" i="1"/>
  <c r="Y665" i="1"/>
  <c r="Y763" i="1"/>
  <c r="Y793" i="1"/>
  <c r="CN793" i="1" s="1"/>
  <c r="Y862" i="1"/>
  <c r="CN862" i="1" s="1"/>
  <c r="Y872" i="1"/>
  <c r="Y886" i="1"/>
  <c r="CN886" i="1" s="1"/>
  <c r="Y904" i="1"/>
  <c r="CN904" i="1" s="1"/>
  <c r="Y915" i="1"/>
  <c r="Y927" i="1"/>
  <c r="Y935" i="1"/>
  <c r="Y950" i="1"/>
  <c r="Y1086" i="1"/>
  <c r="Y1152" i="1"/>
  <c r="Y1172" i="1"/>
  <c r="Y1177" i="1"/>
  <c r="Y1185" i="1"/>
  <c r="Y1222" i="1"/>
  <c r="Y1229" i="1"/>
  <c r="Y1250" i="1"/>
  <c r="Y1261" i="1"/>
  <c r="Z111" i="1"/>
  <c r="Z160" i="1"/>
  <c r="Z200" i="1"/>
  <c r="Z25" i="1" s="1"/>
  <c r="Z209" i="1"/>
  <c r="Z285" i="1"/>
  <c r="Z291" i="1"/>
  <c r="Z332" i="1"/>
  <c r="Z393" i="1"/>
  <c r="Z403" i="1"/>
  <c r="Z413" i="1"/>
  <c r="Z421" i="1"/>
  <c r="Z459" i="1"/>
  <c r="Z510" i="1"/>
  <c r="Z569" i="1"/>
  <c r="Z572" i="1"/>
  <c r="Z576" i="1"/>
  <c r="Z590" i="1"/>
  <c r="Z603" i="1"/>
  <c r="Z628" i="1"/>
  <c r="Z665" i="1"/>
  <c r="CO665" i="1" s="1"/>
  <c r="Z763" i="1"/>
  <c r="Z793" i="1"/>
  <c r="Z862" i="1"/>
  <c r="Z872" i="1"/>
  <c r="Z886" i="1"/>
  <c r="Z904" i="1"/>
  <c r="Z915" i="1"/>
  <c r="Z927" i="1"/>
  <c r="Z935" i="1"/>
  <c r="Z950" i="1"/>
  <c r="Z1086" i="1"/>
  <c r="Z1152" i="1"/>
  <c r="Z1172" i="1"/>
  <c r="Z1177" i="1"/>
  <c r="Z1185" i="1"/>
  <c r="Z1222" i="1"/>
  <c r="Z1229" i="1"/>
  <c r="Z1250" i="1"/>
  <c r="Z1261" i="1"/>
  <c r="AA25" i="1"/>
  <c r="AC25" i="1"/>
  <c r="AF25" i="1"/>
  <c r="BC25" i="1"/>
  <c r="BQ111" i="1"/>
  <c r="BQ122" i="1"/>
  <c r="BQ151" i="1"/>
  <c r="BQ160" i="1"/>
  <c r="BQ200" i="1"/>
  <c r="BQ209" i="1"/>
  <c r="BQ285" i="1"/>
  <c r="BQ291" i="1"/>
  <c r="BQ332" i="1"/>
  <c r="BQ351" i="1"/>
  <c r="BQ393" i="1"/>
  <c r="BQ403" i="1"/>
  <c r="BQ413" i="1"/>
  <c r="BQ421" i="1"/>
  <c r="BQ459" i="1"/>
  <c r="BQ478" i="1"/>
  <c r="BQ510" i="1"/>
  <c r="BQ569" i="1"/>
  <c r="BQ572" i="1"/>
  <c r="BQ576" i="1"/>
  <c r="BQ590" i="1"/>
  <c r="BQ603" i="1"/>
  <c r="BQ622" i="1"/>
  <c r="BQ628" i="1"/>
  <c r="BQ665" i="1"/>
  <c r="BQ763" i="1"/>
  <c r="BQ782" i="1"/>
  <c r="BQ793" i="1"/>
  <c r="BQ862" i="1"/>
  <c r="BQ872" i="1"/>
  <c r="BQ904" i="1"/>
  <c r="BQ915" i="1"/>
  <c r="BQ927" i="1"/>
  <c r="BQ950" i="1"/>
  <c r="BQ1013" i="1"/>
  <c r="BQ1075" i="1"/>
  <c r="BQ1086" i="1"/>
  <c r="BQ1172" i="1"/>
  <c r="BQ1177" i="1"/>
  <c r="BQ1185" i="1"/>
  <c r="BQ1209" i="1"/>
  <c r="BQ1222" i="1"/>
  <c r="BQ1229" i="1"/>
  <c r="BQ1250" i="1"/>
  <c r="BQ1261" i="1"/>
  <c r="D67" i="1"/>
  <c r="D165" i="1"/>
  <c r="BS165" i="1" s="1"/>
  <c r="D175" i="1"/>
  <c r="D217" i="1"/>
  <c r="D249" i="1"/>
  <c r="D258" i="1"/>
  <c r="BS258" i="1" s="1"/>
  <c r="D268" i="1"/>
  <c r="D305" i="1"/>
  <c r="D316" i="1"/>
  <c r="D340" i="1"/>
  <c r="D445" i="1"/>
  <c r="D485" i="1"/>
  <c r="BS485" i="1" s="1"/>
  <c r="D520" i="1"/>
  <c r="D548" i="1"/>
  <c r="D557" i="1"/>
  <c r="BS557" i="1" s="1"/>
  <c r="D681" i="1"/>
  <c r="D711" i="1"/>
  <c r="D738" i="1"/>
  <c r="BS738" i="1" s="1"/>
  <c r="D750" i="1"/>
  <c r="BS750" i="1" s="1"/>
  <c r="D838" i="1"/>
  <c r="D852" i="1"/>
  <c r="D1005" i="1"/>
  <c r="D1066" i="1"/>
  <c r="D1096" i="1"/>
  <c r="D1157" i="1"/>
  <c r="BS1157" i="1" s="1"/>
  <c r="D1291" i="1"/>
  <c r="E67" i="1"/>
  <c r="E165" i="1"/>
  <c r="E175" i="1"/>
  <c r="E217" i="1"/>
  <c r="E249" i="1"/>
  <c r="E26" i="1" s="1"/>
  <c r="E258" i="1"/>
  <c r="BT258" i="1" s="1"/>
  <c r="E268" i="1"/>
  <c r="E305" i="1"/>
  <c r="BT305" i="1" s="1"/>
  <c r="E316" i="1"/>
  <c r="E340" i="1"/>
  <c r="E445" i="1"/>
  <c r="E485" i="1"/>
  <c r="BT485" i="1" s="1"/>
  <c r="E520" i="1"/>
  <c r="E548" i="1"/>
  <c r="E557" i="1"/>
  <c r="BT557" i="1" s="1"/>
  <c r="E681" i="1"/>
  <c r="E711" i="1"/>
  <c r="E738" i="1"/>
  <c r="E750" i="1"/>
  <c r="E838" i="1"/>
  <c r="E852" i="1"/>
  <c r="E1005" i="1"/>
  <c r="E1035" i="1"/>
  <c r="E1066" i="1"/>
  <c r="E1096" i="1"/>
  <c r="BT1096" i="1" s="1"/>
  <c r="E1142" i="1"/>
  <c r="E1157" i="1"/>
  <c r="E1291" i="1"/>
  <c r="F67" i="1"/>
  <c r="BU67" i="1" s="1"/>
  <c r="F165" i="1"/>
  <c r="BU165" i="1" s="1"/>
  <c r="F175" i="1"/>
  <c r="F217" i="1"/>
  <c r="F224" i="1"/>
  <c r="F249" i="1"/>
  <c r="F258" i="1"/>
  <c r="F268" i="1"/>
  <c r="F305" i="1"/>
  <c r="F316" i="1"/>
  <c r="F340" i="1"/>
  <c r="F445" i="1"/>
  <c r="F485" i="1"/>
  <c r="F520" i="1"/>
  <c r="F548" i="1"/>
  <c r="F557" i="1"/>
  <c r="BU557" i="1" s="1"/>
  <c r="F681" i="1"/>
  <c r="F711" i="1"/>
  <c r="F738" i="1"/>
  <c r="F750" i="1"/>
  <c r="F838" i="1"/>
  <c r="F852" i="1"/>
  <c r="F960" i="1"/>
  <c r="BU960" i="1" s="1"/>
  <c r="F1005" i="1"/>
  <c r="BU1005" i="1" s="1"/>
  <c r="F1035" i="1"/>
  <c r="F1066" i="1"/>
  <c r="F1096" i="1"/>
  <c r="BU1096" i="1" s="1"/>
  <c r="F1142" i="1"/>
  <c r="F1157" i="1"/>
  <c r="F1201" i="1"/>
  <c r="BU1201" i="1" s="1"/>
  <c r="F1291" i="1"/>
  <c r="G67" i="1"/>
  <c r="G165" i="1"/>
  <c r="BV165" i="1" s="1"/>
  <c r="G175" i="1"/>
  <c r="G217" i="1"/>
  <c r="G224" i="1"/>
  <c r="G249" i="1"/>
  <c r="BV249" i="1" s="1"/>
  <c r="G258" i="1"/>
  <c r="BV258" i="1" s="1"/>
  <c r="G268" i="1"/>
  <c r="G305" i="1"/>
  <c r="G340" i="1"/>
  <c r="BV340" i="1" s="1"/>
  <c r="G445" i="1"/>
  <c r="G485" i="1"/>
  <c r="BV485" i="1" s="1"/>
  <c r="G520" i="1"/>
  <c r="BV520" i="1" s="1"/>
  <c r="G548" i="1"/>
  <c r="G557" i="1"/>
  <c r="G681" i="1"/>
  <c r="G711" i="1"/>
  <c r="G738" i="1"/>
  <c r="G750" i="1"/>
  <c r="G838" i="1"/>
  <c r="G852" i="1"/>
  <c r="G960" i="1"/>
  <c r="G1005" i="1"/>
  <c r="BV1005" i="1" s="1"/>
  <c r="G1035" i="1"/>
  <c r="G1066" i="1"/>
  <c r="G1096" i="1"/>
  <c r="BV1096" i="1" s="1"/>
  <c r="G1142" i="1"/>
  <c r="BV1142" i="1" s="1"/>
  <c r="G1157" i="1"/>
  <c r="G1201" i="1"/>
  <c r="BV1201" i="1" s="1"/>
  <c r="G1291" i="1"/>
  <c r="BV1291" i="1" s="1"/>
  <c r="H67" i="1"/>
  <c r="H165" i="1"/>
  <c r="H175" i="1"/>
  <c r="BW175" i="1" s="1"/>
  <c r="H217" i="1"/>
  <c r="H224" i="1"/>
  <c r="H249" i="1"/>
  <c r="H258" i="1"/>
  <c r="H268" i="1"/>
  <c r="H305" i="1"/>
  <c r="H340" i="1"/>
  <c r="H445" i="1"/>
  <c r="BW445" i="1" s="1"/>
  <c r="H485" i="1"/>
  <c r="H520" i="1"/>
  <c r="H548" i="1"/>
  <c r="BW548" i="1" s="1"/>
  <c r="H557" i="1"/>
  <c r="BW557" i="1" s="1"/>
  <c r="H681" i="1"/>
  <c r="BW681" i="1" s="1"/>
  <c r="H711" i="1"/>
  <c r="BW711" i="1" s="1"/>
  <c r="H720" i="1"/>
  <c r="H738" i="1"/>
  <c r="BW738" i="1" s="1"/>
  <c r="H750" i="1"/>
  <c r="H838" i="1"/>
  <c r="BW838" i="1" s="1"/>
  <c r="H852" i="1"/>
  <c r="BW852" i="1" s="1"/>
  <c r="H960" i="1"/>
  <c r="H1005" i="1"/>
  <c r="H1035" i="1"/>
  <c r="H1066" i="1"/>
  <c r="H1096" i="1"/>
  <c r="H1142" i="1"/>
  <c r="H1157" i="1"/>
  <c r="BW1157" i="1" s="1"/>
  <c r="H1201" i="1"/>
  <c r="H1291" i="1"/>
  <c r="BW1291" i="1" s="1"/>
  <c r="I67" i="1"/>
  <c r="I165" i="1"/>
  <c r="I175" i="1"/>
  <c r="BX175" i="1" s="1"/>
  <c r="I217" i="1"/>
  <c r="BX217" i="1" s="1"/>
  <c r="I224" i="1"/>
  <c r="BX224" i="1" s="1"/>
  <c r="I249" i="1"/>
  <c r="BX249" i="1" s="1"/>
  <c r="I258" i="1"/>
  <c r="I268" i="1"/>
  <c r="BX268" i="1" s="1"/>
  <c r="I305" i="1"/>
  <c r="I340" i="1"/>
  <c r="I445" i="1"/>
  <c r="I468" i="1"/>
  <c r="I485" i="1"/>
  <c r="I520" i="1"/>
  <c r="I548" i="1"/>
  <c r="I557" i="1"/>
  <c r="I681" i="1"/>
  <c r="I711" i="1"/>
  <c r="BX711" i="1" s="1"/>
  <c r="I720" i="1"/>
  <c r="I738" i="1"/>
  <c r="I750" i="1"/>
  <c r="BX750" i="1" s="1"/>
  <c r="I838" i="1"/>
  <c r="I852" i="1"/>
  <c r="BX852" i="1" s="1"/>
  <c r="I960" i="1"/>
  <c r="BX960" i="1" s="1"/>
  <c r="I1005" i="1"/>
  <c r="BX1005" i="1" s="1"/>
  <c r="I1035" i="1"/>
  <c r="I1066" i="1"/>
  <c r="BX1066" i="1" s="1"/>
  <c r="I1096" i="1"/>
  <c r="BX1096" i="1" s="1"/>
  <c r="I1142" i="1"/>
  <c r="I1157" i="1"/>
  <c r="I1201" i="1"/>
  <c r="I1291" i="1"/>
  <c r="J67" i="1"/>
  <c r="J165" i="1"/>
  <c r="J175" i="1"/>
  <c r="J217" i="1"/>
  <c r="J224" i="1"/>
  <c r="J26" i="1" s="1"/>
  <c r="J249" i="1"/>
  <c r="J258" i="1"/>
  <c r="J268" i="1"/>
  <c r="BY268" i="1" s="1"/>
  <c r="J305" i="1"/>
  <c r="BY305" i="1" s="1"/>
  <c r="J316" i="1"/>
  <c r="J340" i="1"/>
  <c r="BY340" i="1" s="1"/>
  <c r="J445" i="1"/>
  <c r="BY445" i="1" s="1"/>
  <c r="J468" i="1"/>
  <c r="J485" i="1"/>
  <c r="BY485" i="1" s="1"/>
  <c r="J520" i="1"/>
  <c r="J538" i="1"/>
  <c r="J548" i="1"/>
  <c r="J557" i="1"/>
  <c r="J681" i="1"/>
  <c r="J711" i="1"/>
  <c r="J720" i="1"/>
  <c r="J738" i="1"/>
  <c r="J750" i="1"/>
  <c r="J838" i="1"/>
  <c r="J852" i="1"/>
  <c r="BY852" i="1" s="1"/>
  <c r="J960" i="1"/>
  <c r="BY960" i="1" s="1"/>
  <c r="J1005" i="1"/>
  <c r="BY1005" i="1" s="1"/>
  <c r="J1035" i="1"/>
  <c r="BY1035" i="1" s="1"/>
  <c r="J1066" i="1"/>
  <c r="BY1066" i="1" s="1"/>
  <c r="J1096" i="1"/>
  <c r="J1142" i="1"/>
  <c r="J1157" i="1"/>
  <c r="BY1157" i="1" s="1"/>
  <c r="J1201" i="1"/>
  <c r="J1291" i="1"/>
  <c r="BY1291" i="1" s="1"/>
  <c r="K67" i="1"/>
  <c r="K165" i="1"/>
  <c r="K175" i="1"/>
  <c r="K217" i="1"/>
  <c r="K224" i="1"/>
  <c r="K249" i="1"/>
  <c r="K258" i="1"/>
  <c r="K268" i="1"/>
  <c r="K305" i="1"/>
  <c r="K316" i="1"/>
  <c r="BZ316" i="1" s="1"/>
  <c r="K340" i="1"/>
  <c r="K445" i="1"/>
  <c r="K468" i="1"/>
  <c r="BZ468" i="1" s="1"/>
  <c r="K485" i="1"/>
  <c r="BZ485" i="1" s="1"/>
  <c r="K520" i="1"/>
  <c r="BZ520" i="1" s="1"/>
  <c r="K538" i="1"/>
  <c r="BZ538" i="1" s="1"/>
  <c r="K548" i="1"/>
  <c r="BZ548" i="1" s="1"/>
  <c r="K557" i="1"/>
  <c r="K681" i="1"/>
  <c r="K711" i="1"/>
  <c r="BZ711" i="1" s="1"/>
  <c r="K720" i="1"/>
  <c r="K738" i="1"/>
  <c r="K750" i="1"/>
  <c r="K838" i="1"/>
  <c r="K960" i="1"/>
  <c r="K1005" i="1"/>
  <c r="K1035" i="1"/>
  <c r="K1066" i="1"/>
  <c r="K1096" i="1"/>
  <c r="K1142" i="1"/>
  <c r="BZ1142" i="1" s="1"/>
  <c r="K1157" i="1"/>
  <c r="K1201" i="1"/>
  <c r="K1291" i="1"/>
  <c r="BZ1291" i="1" s="1"/>
  <c r="L67" i="1"/>
  <c r="L165" i="1"/>
  <c r="L29" i="1" s="1"/>
  <c r="L175" i="1"/>
  <c r="CA175" i="1" s="1"/>
  <c r="L217" i="1"/>
  <c r="CA217" i="1" s="1"/>
  <c r="L224" i="1"/>
  <c r="CA224" i="1" s="1"/>
  <c r="L249" i="1"/>
  <c r="L258" i="1"/>
  <c r="L268" i="1"/>
  <c r="L305" i="1"/>
  <c r="L316" i="1"/>
  <c r="L340" i="1"/>
  <c r="L445" i="1"/>
  <c r="L468" i="1"/>
  <c r="L485" i="1"/>
  <c r="L520" i="1"/>
  <c r="L538" i="1"/>
  <c r="CA538" i="1" s="1"/>
  <c r="L548" i="1"/>
  <c r="L557" i="1"/>
  <c r="CA557" i="1" s="1"/>
  <c r="L681" i="1"/>
  <c r="CA681" i="1" s="1"/>
  <c r="L711" i="1"/>
  <c r="L720" i="1"/>
  <c r="L738" i="1"/>
  <c r="L750" i="1"/>
  <c r="CA750" i="1" s="1"/>
  <c r="L838" i="1"/>
  <c r="L960" i="1"/>
  <c r="L1005" i="1"/>
  <c r="L1035" i="1"/>
  <c r="L1066" i="1"/>
  <c r="L1096" i="1"/>
  <c r="L1142" i="1"/>
  <c r="L1157" i="1"/>
  <c r="L1201" i="1"/>
  <c r="L1291" i="1"/>
  <c r="M67" i="1"/>
  <c r="M165" i="1"/>
  <c r="M175" i="1"/>
  <c r="M217" i="1"/>
  <c r="M224" i="1"/>
  <c r="M249" i="1"/>
  <c r="CB249" i="1" s="1"/>
  <c r="M258" i="1"/>
  <c r="M268" i="1"/>
  <c r="M305" i="1"/>
  <c r="CB305" i="1" s="1"/>
  <c r="M316" i="1"/>
  <c r="M340" i="1"/>
  <c r="CB340" i="1" s="1"/>
  <c r="M445" i="1"/>
  <c r="M468" i="1"/>
  <c r="M485" i="1"/>
  <c r="M520" i="1"/>
  <c r="M538" i="1"/>
  <c r="M548" i="1"/>
  <c r="M557" i="1"/>
  <c r="M681" i="1"/>
  <c r="M711" i="1"/>
  <c r="M720" i="1"/>
  <c r="M738" i="1"/>
  <c r="M750" i="1"/>
  <c r="CB750" i="1" s="1"/>
  <c r="M838" i="1"/>
  <c r="M960" i="1"/>
  <c r="CB960" i="1" s="1"/>
  <c r="M1005" i="1"/>
  <c r="CB1005" i="1" s="1"/>
  <c r="M1035" i="1"/>
  <c r="M1066" i="1"/>
  <c r="M1096" i="1"/>
  <c r="CB1096" i="1" s="1"/>
  <c r="M1142" i="1"/>
  <c r="CB1142" i="1" s="1"/>
  <c r="M1157" i="1"/>
  <c r="CB1157" i="1" s="1"/>
  <c r="M1201" i="1"/>
  <c r="M1291" i="1"/>
  <c r="N67" i="1"/>
  <c r="N165" i="1"/>
  <c r="N175" i="1"/>
  <c r="N217" i="1"/>
  <c r="N224" i="1"/>
  <c r="N249" i="1"/>
  <c r="N258" i="1"/>
  <c r="N268" i="1"/>
  <c r="CC268" i="1" s="1"/>
  <c r="N305" i="1"/>
  <c r="N316" i="1"/>
  <c r="N340" i="1"/>
  <c r="CC340" i="1" s="1"/>
  <c r="N445" i="1"/>
  <c r="N468" i="1"/>
  <c r="CC468" i="1" s="1"/>
  <c r="N485" i="1"/>
  <c r="CC485" i="1" s="1"/>
  <c r="N520" i="1"/>
  <c r="N538" i="1"/>
  <c r="N548" i="1"/>
  <c r="CC548" i="1" s="1"/>
  <c r="N557" i="1"/>
  <c r="N681" i="1"/>
  <c r="N711" i="1"/>
  <c r="N720" i="1"/>
  <c r="N738" i="1"/>
  <c r="N750" i="1"/>
  <c r="N838" i="1"/>
  <c r="N960" i="1"/>
  <c r="N1005" i="1"/>
  <c r="N1035" i="1"/>
  <c r="N1066" i="1"/>
  <c r="CC1066" i="1" s="1"/>
  <c r="N1096" i="1"/>
  <c r="N1142" i="1"/>
  <c r="N1157" i="1"/>
  <c r="CC1157" i="1" s="1"/>
  <c r="N1201" i="1"/>
  <c r="N1291" i="1"/>
  <c r="O67" i="1"/>
  <c r="CD67" i="1" s="1"/>
  <c r="O165" i="1"/>
  <c r="O175" i="1"/>
  <c r="CD175" i="1" s="1"/>
  <c r="O217" i="1"/>
  <c r="O29" i="1" s="1"/>
  <c r="O224" i="1"/>
  <c r="O249" i="1"/>
  <c r="O258" i="1"/>
  <c r="O268" i="1"/>
  <c r="O305" i="1"/>
  <c r="O316" i="1"/>
  <c r="O340" i="1"/>
  <c r="O445" i="1"/>
  <c r="O468" i="1"/>
  <c r="O485" i="1"/>
  <c r="CD485" i="1" s="1"/>
  <c r="O520" i="1"/>
  <c r="O538" i="1"/>
  <c r="O548" i="1"/>
  <c r="CD548" i="1" s="1"/>
  <c r="O557" i="1"/>
  <c r="O681" i="1"/>
  <c r="O711" i="1"/>
  <c r="O720" i="1"/>
  <c r="O738" i="1"/>
  <c r="O750" i="1"/>
  <c r="CD750" i="1" s="1"/>
  <c r="O838" i="1"/>
  <c r="CD838" i="1" s="1"/>
  <c r="O960" i="1"/>
  <c r="O1005" i="1"/>
  <c r="O1035" i="1"/>
  <c r="O1066" i="1"/>
  <c r="O1096" i="1"/>
  <c r="O1142" i="1"/>
  <c r="O1157" i="1"/>
  <c r="O1201" i="1"/>
  <c r="O1291" i="1"/>
  <c r="P67" i="1"/>
  <c r="P165" i="1"/>
  <c r="P175" i="1"/>
  <c r="CE175" i="1" s="1"/>
  <c r="P217" i="1"/>
  <c r="CE217" i="1" s="1"/>
  <c r="P224" i="1"/>
  <c r="P249" i="1"/>
  <c r="P258" i="1"/>
  <c r="P268" i="1"/>
  <c r="P305" i="1"/>
  <c r="CE305" i="1" s="1"/>
  <c r="P316" i="1"/>
  <c r="P340" i="1"/>
  <c r="P445" i="1"/>
  <c r="P468" i="1"/>
  <c r="P485" i="1"/>
  <c r="P520" i="1"/>
  <c r="P538" i="1"/>
  <c r="P548" i="1"/>
  <c r="P557" i="1"/>
  <c r="P681" i="1"/>
  <c r="P711" i="1"/>
  <c r="P720" i="1"/>
  <c r="P738" i="1"/>
  <c r="P750" i="1"/>
  <c r="P838" i="1"/>
  <c r="P960" i="1"/>
  <c r="P1005" i="1"/>
  <c r="CE1005" i="1" s="1"/>
  <c r="P1035" i="1"/>
  <c r="CE1035" i="1" s="1"/>
  <c r="P1066" i="1"/>
  <c r="P1096" i="1"/>
  <c r="CE1096" i="1" s="1"/>
  <c r="P1142" i="1"/>
  <c r="CE1142" i="1" s="1"/>
  <c r="P1157" i="1"/>
  <c r="P1201" i="1"/>
  <c r="P1291" i="1"/>
  <c r="Q67" i="1"/>
  <c r="Q165" i="1"/>
  <c r="Q175" i="1"/>
  <c r="Q217" i="1"/>
  <c r="Q224" i="1"/>
  <c r="Q249" i="1"/>
  <c r="Q258" i="1"/>
  <c r="Q268" i="1"/>
  <c r="Q305" i="1"/>
  <c r="Q316" i="1"/>
  <c r="Q340" i="1"/>
  <c r="Q445" i="1"/>
  <c r="CF445" i="1" s="1"/>
  <c r="Q468" i="1"/>
  <c r="CF468" i="1" s="1"/>
  <c r="Q485" i="1"/>
  <c r="Q520" i="1"/>
  <c r="CF520" i="1" s="1"/>
  <c r="Q538" i="1"/>
  <c r="CF538" i="1" s="1"/>
  <c r="Q548" i="1"/>
  <c r="Q557" i="1"/>
  <c r="Q681" i="1"/>
  <c r="Q711" i="1"/>
  <c r="Q720" i="1"/>
  <c r="Q738" i="1"/>
  <c r="Q750" i="1"/>
  <c r="Q838" i="1"/>
  <c r="Q960" i="1"/>
  <c r="Q1005" i="1"/>
  <c r="Q1035" i="1"/>
  <c r="Q1066" i="1"/>
  <c r="Q1096" i="1"/>
  <c r="CF1096" i="1" s="1"/>
  <c r="Q1142" i="1"/>
  <c r="CF1142" i="1" s="1"/>
  <c r="Q1157" i="1"/>
  <c r="Q1201" i="1"/>
  <c r="Q1291" i="1"/>
  <c r="CF1291" i="1" s="1"/>
  <c r="R67" i="1"/>
  <c r="R165" i="1"/>
  <c r="R175" i="1"/>
  <c r="R217" i="1"/>
  <c r="R224" i="1"/>
  <c r="R249" i="1"/>
  <c r="R258" i="1"/>
  <c r="R268" i="1"/>
  <c r="R305" i="1"/>
  <c r="R316" i="1"/>
  <c r="R340" i="1"/>
  <c r="R445" i="1"/>
  <c r="CG445" i="1" s="1"/>
  <c r="R468" i="1"/>
  <c r="R485" i="1"/>
  <c r="R520" i="1"/>
  <c r="R529" i="1"/>
  <c r="R538" i="1"/>
  <c r="R548" i="1"/>
  <c r="R557" i="1"/>
  <c r="CG557" i="1" s="1"/>
  <c r="R681" i="1"/>
  <c r="R711" i="1"/>
  <c r="R720" i="1"/>
  <c r="CG720" i="1" s="1"/>
  <c r="R738" i="1"/>
  <c r="R750" i="1"/>
  <c r="R838" i="1"/>
  <c r="R852" i="1"/>
  <c r="R960" i="1"/>
  <c r="R1005" i="1"/>
  <c r="R1035" i="1"/>
  <c r="R1066" i="1"/>
  <c r="R1096" i="1"/>
  <c r="R1142" i="1"/>
  <c r="R1157" i="1"/>
  <c r="R1201" i="1"/>
  <c r="R1291" i="1"/>
  <c r="CG1291" i="1" s="1"/>
  <c r="S67" i="1"/>
  <c r="S165" i="1"/>
  <c r="S175" i="1"/>
  <c r="CH175" i="1" s="1"/>
  <c r="S217" i="1"/>
  <c r="S224" i="1"/>
  <c r="CH224" i="1" s="1"/>
  <c r="S249" i="1"/>
  <c r="S258" i="1"/>
  <c r="S268" i="1"/>
  <c r="S296" i="1"/>
  <c r="S305" i="1"/>
  <c r="S316" i="1"/>
  <c r="S340" i="1"/>
  <c r="S445" i="1"/>
  <c r="S468" i="1"/>
  <c r="S485" i="1"/>
  <c r="S520" i="1"/>
  <c r="S529" i="1"/>
  <c r="S538" i="1"/>
  <c r="S548" i="1"/>
  <c r="S557" i="1"/>
  <c r="S681" i="1"/>
  <c r="S711" i="1"/>
  <c r="S720" i="1"/>
  <c r="S738" i="1"/>
  <c r="S750" i="1"/>
  <c r="S800" i="1"/>
  <c r="S838" i="1"/>
  <c r="S852" i="1"/>
  <c r="S960" i="1"/>
  <c r="S996" i="1"/>
  <c r="S1005" i="1"/>
  <c r="S1035" i="1"/>
  <c r="S1066" i="1"/>
  <c r="S1096" i="1"/>
  <c r="S1142" i="1"/>
  <c r="S1157" i="1"/>
  <c r="S1201" i="1"/>
  <c r="S1291" i="1"/>
  <c r="T67" i="1"/>
  <c r="T165" i="1"/>
  <c r="T175" i="1"/>
  <c r="T217" i="1"/>
  <c r="CI217" i="1" s="1"/>
  <c r="T224" i="1"/>
  <c r="T249" i="1"/>
  <c r="T258" i="1"/>
  <c r="CI258" i="1" s="1"/>
  <c r="T268" i="1"/>
  <c r="T296" i="1"/>
  <c r="T305" i="1"/>
  <c r="T316" i="1"/>
  <c r="T340" i="1"/>
  <c r="T445" i="1"/>
  <c r="T468" i="1"/>
  <c r="T485" i="1"/>
  <c r="T520" i="1"/>
  <c r="T529" i="1"/>
  <c r="CI529" i="1" s="1"/>
  <c r="T538" i="1"/>
  <c r="T548" i="1"/>
  <c r="T557" i="1"/>
  <c r="T681" i="1"/>
  <c r="T711" i="1"/>
  <c r="T720" i="1"/>
  <c r="T738" i="1"/>
  <c r="CI738" i="1" s="1"/>
  <c r="T750" i="1"/>
  <c r="T800" i="1"/>
  <c r="CI800" i="1" s="1"/>
  <c r="T838" i="1"/>
  <c r="CI838" i="1" s="1"/>
  <c r="T960" i="1"/>
  <c r="T996" i="1"/>
  <c r="T1005" i="1"/>
  <c r="T1035" i="1"/>
  <c r="T1066" i="1"/>
  <c r="T1096" i="1"/>
  <c r="T1142" i="1"/>
  <c r="T1157" i="1"/>
  <c r="T1201" i="1"/>
  <c r="T1291" i="1"/>
  <c r="U67" i="1"/>
  <c r="U165" i="1"/>
  <c r="U175" i="1"/>
  <c r="U217" i="1"/>
  <c r="U224" i="1"/>
  <c r="U249" i="1"/>
  <c r="U258" i="1"/>
  <c r="U268" i="1"/>
  <c r="CJ268" i="1" s="1"/>
  <c r="U296" i="1"/>
  <c r="U305" i="1"/>
  <c r="U316" i="1"/>
  <c r="U340" i="1"/>
  <c r="U445" i="1"/>
  <c r="U468" i="1"/>
  <c r="U485" i="1"/>
  <c r="U520" i="1"/>
  <c r="U529" i="1"/>
  <c r="U538" i="1"/>
  <c r="U548" i="1"/>
  <c r="U557" i="1"/>
  <c r="U681" i="1"/>
  <c r="U711" i="1"/>
  <c r="U720" i="1"/>
  <c r="U738" i="1"/>
  <c r="U750" i="1"/>
  <c r="U800" i="1"/>
  <c r="U838" i="1"/>
  <c r="U960" i="1"/>
  <c r="U996" i="1"/>
  <c r="U1005" i="1"/>
  <c r="U1035" i="1"/>
  <c r="U1066" i="1"/>
  <c r="U1096" i="1"/>
  <c r="U1142" i="1"/>
  <c r="U1157" i="1"/>
  <c r="U1201" i="1"/>
  <c r="U1291" i="1"/>
  <c r="V67" i="1"/>
  <c r="V165" i="1"/>
  <c r="V175" i="1"/>
  <c r="V217" i="1"/>
  <c r="V224" i="1"/>
  <c r="V249" i="1"/>
  <c r="V258" i="1"/>
  <c r="V268" i="1"/>
  <c r="V296" i="1"/>
  <c r="V305" i="1"/>
  <c r="CK305" i="1" s="1"/>
  <c r="V316" i="1"/>
  <c r="V340" i="1"/>
  <c r="V445" i="1"/>
  <c r="V468" i="1"/>
  <c r="V485" i="1"/>
  <c r="V520" i="1"/>
  <c r="V529" i="1"/>
  <c r="V538" i="1"/>
  <c r="V548" i="1"/>
  <c r="V557" i="1"/>
  <c r="V681" i="1"/>
  <c r="CK681" i="1" s="1"/>
  <c r="V711" i="1"/>
  <c r="V720" i="1"/>
  <c r="V738" i="1"/>
  <c r="V750" i="1"/>
  <c r="V800" i="1"/>
  <c r="V838" i="1"/>
  <c r="V852" i="1"/>
  <c r="V960" i="1"/>
  <c r="V996" i="1"/>
  <c r="CK996" i="1" s="1"/>
  <c r="V1005" i="1"/>
  <c r="V1035" i="1"/>
  <c r="V1066" i="1"/>
  <c r="V1096" i="1"/>
  <c r="V1142" i="1"/>
  <c r="V1157" i="1"/>
  <c r="V1201" i="1"/>
  <c r="V1291" i="1"/>
  <c r="W67" i="1"/>
  <c r="W165" i="1"/>
  <c r="W175" i="1"/>
  <c r="W217" i="1"/>
  <c r="W224" i="1"/>
  <c r="W29" i="1" s="1"/>
  <c r="W249" i="1"/>
  <c r="W258" i="1"/>
  <c r="W268" i="1"/>
  <c r="W296" i="1"/>
  <c r="CL296" i="1" s="1"/>
  <c r="W305" i="1"/>
  <c r="W316" i="1"/>
  <c r="W340" i="1"/>
  <c r="CL340" i="1" s="1"/>
  <c r="W445" i="1"/>
  <c r="W468" i="1"/>
  <c r="W485" i="1"/>
  <c r="W520" i="1"/>
  <c r="W529" i="1"/>
  <c r="W538" i="1"/>
  <c r="W548" i="1"/>
  <c r="W557" i="1"/>
  <c r="W681" i="1"/>
  <c r="W711" i="1"/>
  <c r="W720" i="1"/>
  <c r="W738" i="1"/>
  <c r="W750" i="1"/>
  <c r="W800" i="1"/>
  <c r="W838" i="1"/>
  <c r="W852" i="1"/>
  <c r="W960" i="1"/>
  <c r="W996" i="1"/>
  <c r="W1005" i="1"/>
  <c r="W1035" i="1"/>
  <c r="CL1035" i="1" s="1"/>
  <c r="W1066" i="1"/>
  <c r="W1096" i="1"/>
  <c r="W1142" i="1"/>
  <c r="W1157" i="1"/>
  <c r="W1201" i="1"/>
  <c r="W1291" i="1"/>
  <c r="X67" i="1"/>
  <c r="X165" i="1"/>
  <c r="X175" i="1"/>
  <c r="X217" i="1"/>
  <c r="X224" i="1"/>
  <c r="X249" i="1"/>
  <c r="X258" i="1"/>
  <c r="X268" i="1"/>
  <c r="X296" i="1"/>
  <c r="X305" i="1"/>
  <c r="X316" i="1"/>
  <c r="X340" i="1"/>
  <c r="X445" i="1"/>
  <c r="X468" i="1"/>
  <c r="CM468" i="1" s="1"/>
  <c r="X485" i="1"/>
  <c r="X520" i="1"/>
  <c r="X529" i="1"/>
  <c r="X538" i="1"/>
  <c r="X548" i="1"/>
  <c r="X557" i="1"/>
  <c r="X681" i="1"/>
  <c r="X711" i="1"/>
  <c r="X720" i="1"/>
  <c r="X738" i="1"/>
  <c r="X750" i="1"/>
  <c r="X800" i="1"/>
  <c r="X838" i="1"/>
  <c r="X852" i="1"/>
  <c r="X960" i="1"/>
  <c r="X996" i="1"/>
  <c r="X1005" i="1"/>
  <c r="CM1005" i="1" s="1"/>
  <c r="X1035" i="1"/>
  <c r="X1066" i="1"/>
  <c r="X1096" i="1"/>
  <c r="X1142" i="1"/>
  <c r="X1157" i="1"/>
  <c r="X1201" i="1"/>
  <c r="X1291" i="1"/>
  <c r="Y67" i="1"/>
  <c r="Y165" i="1"/>
  <c r="Y175" i="1"/>
  <c r="Y217" i="1"/>
  <c r="Y224" i="1"/>
  <c r="Y249" i="1"/>
  <c r="Y258" i="1"/>
  <c r="Y268" i="1"/>
  <c r="CN268" i="1" s="1"/>
  <c r="Y296" i="1"/>
  <c r="Y305" i="1"/>
  <c r="Y316" i="1"/>
  <c r="Y340" i="1"/>
  <c r="Y445" i="1"/>
  <c r="Y468" i="1"/>
  <c r="Y485" i="1"/>
  <c r="Y520" i="1"/>
  <c r="Y529" i="1"/>
  <c r="Y538" i="1"/>
  <c r="Y548" i="1"/>
  <c r="Y557" i="1"/>
  <c r="Y681" i="1"/>
  <c r="Y711" i="1"/>
  <c r="Y720" i="1"/>
  <c r="Y738" i="1"/>
  <c r="Y750" i="1"/>
  <c r="Y800" i="1"/>
  <c r="Y838" i="1"/>
  <c r="Y852" i="1"/>
  <c r="CN852" i="1" s="1"/>
  <c r="Y960" i="1"/>
  <c r="Y996" i="1"/>
  <c r="Y1005" i="1"/>
  <c r="Y1035" i="1"/>
  <c r="Y1066" i="1"/>
  <c r="Y1096" i="1"/>
  <c r="Y1142" i="1"/>
  <c r="Y1157" i="1"/>
  <c r="Y1201" i="1"/>
  <c r="Y1291" i="1"/>
  <c r="Z67" i="1"/>
  <c r="Z165" i="1"/>
  <c r="Z175" i="1"/>
  <c r="Z217" i="1"/>
  <c r="Z224" i="1"/>
  <c r="Z249" i="1"/>
  <c r="Z258" i="1"/>
  <c r="Z268" i="1"/>
  <c r="Z296" i="1"/>
  <c r="Z305" i="1"/>
  <c r="Z316" i="1"/>
  <c r="Z340" i="1"/>
  <c r="Z445" i="1"/>
  <c r="Z468" i="1"/>
  <c r="Z485" i="1"/>
  <c r="Z520" i="1"/>
  <c r="Z529" i="1"/>
  <c r="Z538" i="1"/>
  <c r="Z548" i="1"/>
  <c r="Z557" i="1"/>
  <c r="Z681" i="1"/>
  <c r="Z711" i="1"/>
  <c r="Z720" i="1"/>
  <c r="Z738" i="1"/>
  <c r="Z750" i="1"/>
  <c r="Z800" i="1"/>
  <c r="CO800" i="1" s="1"/>
  <c r="Z838" i="1"/>
  <c r="Z852" i="1"/>
  <c r="Z960" i="1"/>
  <c r="Z996" i="1"/>
  <c r="Z1005" i="1"/>
  <c r="Z1035" i="1"/>
  <c r="Z1066" i="1"/>
  <c r="Z1096" i="1"/>
  <c r="Z1142" i="1"/>
  <c r="Z1157" i="1"/>
  <c r="Z1201" i="1"/>
  <c r="Z1291" i="1"/>
  <c r="BQ67" i="1"/>
  <c r="BQ165" i="1"/>
  <c r="BQ175" i="1"/>
  <c r="BQ217" i="1"/>
  <c r="BQ224" i="1"/>
  <c r="BQ249" i="1"/>
  <c r="BQ258" i="1"/>
  <c r="BQ268" i="1"/>
  <c r="BQ296" i="1"/>
  <c r="BQ305" i="1"/>
  <c r="EF305" i="1" s="1"/>
  <c r="BQ316" i="1"/>
  <c r="BQ340" i="1"/>
  <c r="BQ445" i="1"/>
  <c r="BQ485" i="1"/>
  <c r="BQ520" i="1"/>
  <c r="BQ529" i="1"/>
  <c r="BQ538" i="1"/>
  <c r="BQ548" i="1"/>
  <c r="BQ557" i="1"/>
  <c r="BQ681" i="1"/>
  <c r="BQ711" i="1"/>
  <c r="BQ720" i="1"/>
  <c r="BQ738" i="1"/>
  <c r="BQ750" i="1"/>
  <c r="BQ800" i="1"/>
  <c r="BQ838" i="1"/>
  <c r="BQ852" i="1"/>
  <c r="BQ960" i="1"/>
  <c r="BQ996" i="1"/>
  <c r="BQ1005" i="1"/>
  <c r="BQ1035" i="1"/>
  <c r="BQ1066" i="1"/>
  <c r="BQ1096" i="1"/>
  <c r="BQ1142" i="1"/>
  <c r="BQ1157" i="1"/>
  <c r="BQ1201" i="1"/>
  <c r="BQ1291" i="1"/>
  <c r="F29" i="1"/>
  <c r="I731" i="1"/>
  <c r="BX731" i="1" s="1"/>
  <c r="I1303" i="1"/>
  <c r="BX1303" i="1" s="1"/>
  <c r="J674" i="1"/>
  <c r="J731" i="1"/>
  <c r="J1303" i="1"/>
  <c r="K674" i="1"/>
  <c r="K731" i="1"/>
  <c r="K1303" i="1"/>
  <c r="L430" i="1"/>
  <c r="L674" i="1"/>
  <c r="L731" i="1"/>
  <c r="L758" i="1"/>
  <c r="CA758" i="1" s="1"/>
  <c r="L1120" i="1"/>
  <c r="L1303" i="1"/>
  <c r="M430" i="1"/>
  <c r="M674" i="1"/>
  <c r="CB674" i="1" s="1"/>
  <c r="M731" i="1"/>
  <c r="M758" i="1"/>
  <c r="CB758" i="1" s="1"/>
  <c r="M1120" i="1"/>
  <c r="M1303" i="1"/>
  <c r="N430" i="1"/>
  <c r="N674" i="1"/>
  <c r="N731" i="1"/>
  <c r="N758" i="1"/>
  <c r="N1120" i="1"/>
  <c r="N1303" i="1"/>
  <c r="O430" i="1"/>
  <c r="O674" i="1"/>
  <c r="O731" i="1"/>
  <c r="O758" i="1"/>
  <c r="O1120" i="1"/>
  <c r="O1303" i="1"/>
  <c r="P430" i="1"/>
  <c r="P674" i="1"/>
  <c r="P731" i="1"/>
  <c r="CE731" i="1" s="1"/>
  <c r="P758" i="1"/>
  <c r="P1120" i="1"/>
  <c r="P1303" i="1"/>
  <c r="Q430" i="1"/>
  <c r="Q674" i="1"/>
  <c r="Q731" i="1"/>
  <c r="Q758" i="1"/>
  <c r="Q1120" i="1"/>
  <c r="Q1303" i="1"/>
  <c r="CF1303" i="1" s="1"/>
  <c r="R430" i="1"/>
  <c r="R674" i="1"/>
  <c r="CG674" i="1" s="1"/>
  <c r="R731" i="1"/>
  <c r="CG731" i="1" s="1"/>
  <c r="R758" i="1"/>
  <c r="R1120" i="1"/>
  <c r="R1303" i="1"/>
  <c r="S430" i="1"/>
  <c r="S674" i="1"/>
  <c r="S731" i="1"/>
  <c r="S758" i="1"/>
  <c r="S1120" i="1"/>
  <c r="S1303" i="1"/>
  <c r="T430" i="1"/>
  <c r="T674" i="1"/>
  <c r="T731" i="1"/>
  <c r="T758" i="1"/>
  <c r="T1025" i="1"/>
  <c r="T1120" i="1"/>
  <c r="T1303" i="1"/>
  <c r="U378" i="1"/>
  <c r="U430" i="1"/>
  <c r="U674" i="1"/>
  <c r="CJ674" i="1" s="1"/>
  <c r="U731" i="1"/>
  <c r="U758" i="1"/>
  <c r="U1025" i="1"/>
  <c r="U1120" i="1"/>
  <c r="U1303" i="1"/>
  <c r="V378" i="1"/>
  <c r="V430" i="1"/>
  <c r="V674" i="1"/>
  <c r="V731" i="1"/>
  <c r="V758" i="1"/>
  <c r="V1025" i="1"/>
  <c r="V1120" i="1"/>
  <c r="V1303" i="1"/>
  <c r="W378" i="1"/>
  <c r="W430" i="1"/>
  <c r="CL430" i="1" s="1"/>
  <c r="W674" i="1"/>
  <c r="W731" i="1"/>
  <c r="W758" i="1"/>
  <c r="W1025" i="1"/>
  <c r="W1120" i="1"/>
  <c r="W1303" i="1"/>
  <c r="X378" i="1"/>
  <c r="X430" i="1"/>
  <c r="X674" i="1"/>
  <c r="X731" i="1"/>
  <c r="X758" i="1"/>
  <c r="X1025" i="1"/>
  <c r="X1120" i="1"/>
  <c r="X1303" i="1"/>
  <c r="Y378" i="1"/>
  <c r="Y430" i="1"/>
  <c r="Y674" i="1"/>
  <c r="Y731" i="1"/>
  <c r="Y758" i="1"/>
  <c r="Y1025" i="1"/>
  <c r="Y1120" i="1"/>
  <c r="Y1303" i="1"/>
  <c r="Z378" i="1"/>
  <c r="Z430" i="1"/>
  <c r="CO430" i="1" s="1"/>
  <c r="Z674" i="1"/>
  <c r="Z731" i="1"/>
  <c r="Z758" i="1"/>
  <c r="Z1025" i="1"/>
  <c r="Z1120" i="1"/>
  <c r="Z1303" i="1"/>
  <c r="AI29" i="1"/>
  <c r="BQ92" i="1"/>
  <c r="BQ378" i="1"/>
  <c r="BQ430" i="1"/>
  <c r="BQ438" i="1"/>
  <c r="BQ674" i="1"/>
  <c r="BQ731" i="1"/>
  <c r="BQ758" i="1"/>
  <c r="BQ818" i="1"/>
  <c r="BQ1025" i="1"/>
  <c r="BQ1079" i="1"/>
  <c r="BQ1120" i="1"/>
  <c r="BQ1303" i="1"/>
  <c r="BS68" i="1"/>
  <c r="BS69" i="1"/>
  <c r="BS70" i="1"/>
  <c r="BS71" i="1"/>
  <c r="BS72" i="1"/>
  <c r="BS73" i="1"/>
  <c r="BS74" i="1"/>
  <c r="D76" i="1"/>
  <c r="BS76" i="1" s="1"/>
  <c r="BS77" i="1"/>
  <c r="BS78" i="1"/>
  <c r="BS79" i="1"/>
  <c r="BS80" i="1"/>
  <c r="BS81" i="1"/>
  <c r="BS82" i="1"/>
  <c r="BS84" i="1"/>
  <c r="BS85" i="1"/>
  <c r="BS86" i="1"/>
  <c r="BS87" i="1"/>
  <c r="BS88" i="1"/>
  <c r="BS89" i="1"/>
  <c r="BS90" i="1"/>
  <c r="BS92" i="1"/>
  <c r="BS93" i="1"/>
  <c r="BS94" i="1"/>
  <c r="BS95" i="1"/>
  <c r="BS96" i="1"/>
  <c r="BS97" i="1"/>
  <c r="BS98" i="1"/>
  <c r="BS101" i="1"/>
  <c r="BS103" i="1"/>
  <c r="BS104" i="1"/>
  <c r="BS105" i="1"/>
  <c r="BS106" i="1"/>
  <c r="BS107" i="1"/>
  <c r="BS108" i="1"/>
  <c r="BS109" i="1"/>
  <c r="BS111" i="1"/>
  <c r="BS112" i="1"/>
  <c r="BS113" i="1"/>
  <c r="BS114" i="1"/>
  <c r="BS115" i="1"/>
  <c r="BS116" i="1"/>
  <c r="BS117" i="1"/>
  <c r="BS118" i="1"/>
  <c r="BS119" i="1"/>
  <c r="BS120" i="1"/>
  <c r="BS122" i="1"/>
  <c r="BS124" i="1"/>
  <c r="BS125" i="1"/>
  <c r="BS126" i="1"/>
  <c r="BS129" i="1"/>
  <c r="BS131" i="1"/>
  <c r="BS132" i="1"/>
  <c r="BS133" i="1"/>
  <c r="BS136" i="1"/>
  <c r="BS138" i="1"/>
  <c r="BS139" i="1"/>
  <c r="BS140" i="1"/>
  <c r="BS141" i="1"/>
  <c r="BS142" i="1"/>
  <c r="BS144" i="1"/>
  <c r="BS145" i="1"/>
  <c r="BS146" i="1"/>
  <c r="BS147" i="1"/>
  <c r="BS148" i="1"/>
  <c r="BS149" i="1"/>
  <c r="BS151" i="1"/>
  <c r="BS152" i="1"/>
  <c r="BS153" i="1"/>
  <c r="BS154" i="1"/>
  <c r="BS155" i="1"/>
  <c r="BS156" i="1"/>
  <c r="BS157" i="1"/>
  <c r="BS158" i="1"/>
  <c r="BS160" i="1"/>
  <c r="BS161" i="1"/>
  <c r="BS162" i="1"/>
  <c r="BS163" i="1"/>
  <c r="BS166" i="1"/>
  <c r="BS167" i="1"/>
  <c r="BS168" i="1"/>
  <c r="BS169" i="1"/>
  <c r="BS170" i="1"/>
  <c r="D172" i="1"/>
  <c r="BS172" i="1"/>
  <c r="BS173" i="1"/>
  <c r="BS175" i="1"/>
  <c r="BS176" i="1"/>
  <c r="BS177" i="1"/>
  <c r="BS178" i="1"/>
  <c r="BS179" i="1"/>
  <c r="BS180" i="1"/>
  <c r="BS181" i="1"/>
  <c r="BS182" i="1"/>
  <c r="BS183" i="1"/>
  <c r="BS184" i="1"/>
  <c r="BS186" i="1"/>
  <c r="BS187" i="1"/>
  <c r="BS188" i="1"/>
  <c r="BS189" i="1"/>
  <c r="BS190" i="1"/>
  <c r="BS191" i="1"/>
  <c r="BS192" i="1"/>
  <c r="BS193" i="1"/>
  <c r="BS195" i="1"/>
  <c r="BS196" i="1"/>
  <c r="BS197" i="1"/>
  <c r="BS198" i="1"/>
  <c r="BS200" i="1"/>
  <c r="BS201" i="1"/>
  <c r="BS202" i="1"/>
  <c r="BS203" i="1"/>
  <c r="BS204" i="1"/>
  <c r="BS205" i="1"/>
  <c r="BS206" i="1"/>
  <c r="BS207" i="1"/>
  <c r="BS209" i="1"/>
  <c r="BS210" i="1"/>
  <c r="BS211" i="1"/>
  <c r="BS212" i="1"/>
  <c r="BS213" i="1"/>
  <c r="BS214" i="1"/>
  <c r="BS215" i="1"/>
  <c r="BS217" i="1"/>
  <c r="BS218" i="1"/>
  <c r="BS219" i="1"/>
  <c r="BS220" i="1"/>
  <c r="BS221" i="1"/>
  <c r="BS222" i="1"/>
  <c r="BS224" i="1"/>
  <c r="BS225" i="1"/>
  <c r="BS226" i="1"/>
  <c r="BS227" i="1"/>
  <c r="BS228" i="1"/>
  <c r="BS229" i="1"/>
  <c r="BS231" i="1"/>
  <c r="BS232" i="1"/>
  <c r="BS233" i="1"/>
  <c r="BS234" i="1"/>
  <c r="BS235" i="1"/>
  <c r="BS236" i="1"/>
  <c r="BS237" i="1"/>
  <c r="BS238" i="1"/>
  <c r="D240" i="1"/>
  <c r="BS240" i="1"/>
  <c r="BS241" i="1"/>
  <c r="BS242" i="1"/>
  <c r="BS243" i="1"/>
  <c r="BS244" i="1"/>
  <c r="BS245" i="1"/>
  <c r="BS246" i="1"/>
  <c r="BS247" i="1"/>
  <c r="BS249" i="1"/>
  <c r="BS250" i="1"/>
  <c r="BS251" i="1"/>
  <c r="BS252" i="1"/>
  <c r="BS253" i="1"/>
  <c r="BS254" i="1"/>
  <c r="BS255" i="1"/>
  <c r="BS256" i="1"/>
  <c r="BS259" i="1"/>
  <c r="BS260" i="1"/>
  <c r="BS261" i="1"/>
  <c r="BS262" i="1"/>
  <c r="BS263" i="1"/>
  <c r="BS264" i="1"/>
  <c r="BS265" i="1"/>
  <c r="BS266" i="1"/>
  <c r="BS268" i="1"/>
  <c r="BS269" i="1"/>
  <c r="BS270" i="1"/>
  <c r="BS271" i="1"/>
  <c r="BS272" i="1"/>
  <c r="BS273" i="1"/>
  <c r="BS274" i="1"/>
  <c r="BS275" i="1"/>
  <c r="BS276" i="1"/>
  <c r="D278" i="1"/>
  <c r="BS278" i="1" s="1"/>
  <c r="BS279" i="1"/>
  <c r="BS280" i="1"/>
  <c r="BS281" i="1"/>
  <c r="BS282" i="1"/>
  <c r="BS283" i="1"/>
  <c r="BS286" i="1"/>
  <c r="BS287" i="1"/>
  <c r="BS288" i="1"/>
  <c r="BS291" i="1"/>
  <c r="BS292" i="1"/>
  <c r="BS293" i="1"/>
  <c r="BS294" i="1"/>
  <c r="BS296" i="1"/>
  <c r="BS297" i="1"/>
  <c r="BS298" i="1"/>
  <c r="BS299" i="1"/>
  <c r="BS300" i="1"/>
  <c r="BS301" i="1"/>
  <c r="BS302" i="1"/>
  <c r="BS303" i="1"/>
  <c r="BS305" i="1"/>
  <c r="BS306" i="1"/>
  <c r="BS307" i="1"/>
  <c r="BS308" i="1"/>
  <c r="BS309" i="1"/>
  <c r="BS310" i="1"/>
  <c r="BS311" i="1"/>
  <c r="BS312" i="1"/>
  <c r="BS313" i="1"/>
  <c r="BS314" i="1"/>
  <c r="BS316" i="1"/>
  <c r="BS317" i="1"/>
  <c r="BS318" i="1"/>
  <c r="BS319" i="1"/>
  <c r="BS320" i="1"/>
  <c r="BS321" i="1"/>
  <c r="BS322" i="1"/>
  <c r="BS323" i="1"/>
  <c r="BS324" i="1"/>
  <c r="BS325" i="1"/>
  <c r="BS326" i="1"/>
  <c r="BS327" i="1"/>
  <c r="D329" i="1"/>
  <c r="BS329" i="1"/>
  <c r="BS330" i="1"/>
  <c r="BS332" i="1"/>
  <c r="BS333" i="1"/>
  <c r="BS334" i="1"/>
  <c r="BS335" i="1"/>
  <c r="BS336" i="1"/>
  <c r="BS337" i="1"/>
  <c r="BS338" i="1"/>
  <c r="BS340" i="1"/>
  <c r="BS341" i="1"/>
  <c r="BS342" i="1"/>
  <c r="BS343" i="1"/>
  <c r="BS344" i="1"/>
  <c r="BS345" i="1"/>
  <c r="BS346" i="1"/>
  <c r="BS347" i="1"/>
  <c r="BS348" i="1"/>
  <c r="BS349" i="1"/>
  <c r="BS351" i="1"/>
  <c r="BS352" i="1"/>
  <c r="BS353" i="1"/>
  <c r="BS354" i="1"/>
  <c r="BS355" i="1"/>
  <c r="BS356" i="1"/>
  <c r="D358" i="1"/>
  <c r="BS358" i="1"/>
  <c r="BS359" i="1"/>
  <c r="BS360" i="1"/>
  <c r="BS361" i="1"/>
  <c r="BS362" i="1"/>
  <c r="BS363" i="1"/>
  <c r="BS364" i="1"/>
  <c r="BS365" i="1"/>
  <c r="BS367" i="1"/>
  <c r="BS368" i="1"/>
  <c r="BS369" i="1"/>
  <c r="BS372" i="1"/>
  <c r="BS373" i="1"/>
  <c r="D375" i="1"/>
  <c r="BS375" i="1" s="1"/>
  <c r="BS376" i="1"/>
  <c r="BS378" i="1"/>
  <c r="BS379" i="1"/>
  <c r="BS380" i="1"/>
  <c r="BS381" i="1"/>
  <c r="BS382" i="1"/>
  <c r="BS383" i="1"/>
  <c r="BS385" i="1"/>
  <c r="BS386" i="1"/>
  <c r="BS387" i="1"/>
  <c r="BS388" i="1"/>
  <c r="BS389" i="1"/>
  <c r="BS390" i="1"/>
  <c r="BS391" i="1"/>
  <c r="BS393" i="1"/>
  <c r="BS394" i="1"/>
  <c r="BS395" i="1"/>
  <c r="BS396" i="1"/>
  <c r="BS397" i="1"/>
  <c r="BS398" i="1"/>
  <c r="BS399" i="1"/>
  <c r="BS400" i="1"/>
  <c r="BS401" i="1"/>
  <c r="BS403" i="1"/>
  <c r="BS404" i="1"/>
  <c r="BS405" i="1"/>
  <c r="BS406" i="1"/>
  <c r="BS407" i="1"/>
  <c r="BS408" i="1"/>
  <c r="BS409" i="1"/>
  <c r="BS410" i="1"/>
  <c r="BS411" i="1"/>
  <c r="BS414" i="1"/>
  <c r="BS415" i="1"/>
  <c r="BS416" i="1"/>
  <c r="BS417" i="1"/>
  <c r="BS418" i="1"/>
  <c r="BS421" i="1"/>
  <c r="BS422" i="1"/>
  <c r="BS423" i="1"/>
  <c r="BS424" i="1"/>
  <c r="BS425" i="1"/>
  <c r="BS426" i="1"/>
  <c r="BS427" i="1"/>
  <c r="BS428" i="1"/>
  <c r="BS430" i="1"/>
  <c r="BS431" i="1"/>
  <c r="BS432" i="1"/>
  <c r="BS433" i="1"/>
  <c r="BS434" i="1"/>
  <c r="BS435" i="1"/>
  <c r="BS436" i="1"/>
  <c r="BS438" i="1"/>
  <c r="BS439" i="1"/>
  <c r="BS440" i="1"/>
  <c r="BS441" i="1"/>
  <c r="BS442" i="1"/>
  <c r="BS443" i="1"/>
  <c r="BS445" i="1"/>
  <c r="BS446" i="1"/>
  <c r="BS447" i="1"/>
  <c r="BS448" i="1"/>
  <c r="BS449" i="1"/>
  <c r="BS450" i="1"/>
  <c r="BS451" i="1"/>
  <c r="BS452" i="1"/>
  <c r="BS454" i="1"/>
  <c r="BS455" i="1"/>
  <c r="BS456" i="1"/>
  <c r="BS457" i="1"/>
  <c r="BS460" i="1"/>
  <c r="BS461" i="1"/>
  <c r="BS462" i="1"/>
  <c r="BS463" i="1"/>
  <c r="BS464" i="1"/>
  <c r="BS465" i="1"/>
  <c r="BS466" i="1"/>
  <c r="BS468" i="1"/>
  <c r="BS469" i="1"/>
  <c r="BS470" i="1"/>
  <c r="BS471" i="1"/>
  <c r="BS472" i="1"/>
  <c r="BS473" i="1"/>
  <c r="BS474" i="1"/>
  <c r="BS475" i="1"/>
  <c r="BS476" i="1"/>
  <c r="BS478" i="1"/>
  <c r="BS479" i="1"/>
  <c r="BS480" i="1"/>
  <c r="BS481" i="1"/>
  <c r="BS482" i="1"/>
  <c r="BS483" i="1"/>
  <c r="BS486" i="1"/>
  <c r="BS487" i="1"/>
  <c r="BS488" i="1"/>
  <c r="BS489" i="1"/>
  <c r="BS490" i="1"/>
  <c r="BS491" i="1"/>
  <c r="BS492" i="1"/>
  <c r="BS493" i="1"/>
  <c r="BS495" i="1"/>
  <c r="BS496" i="1"/>
  <c r="BS497" i="1"/>
  <c r="BS498" i="1"/>
  <c r="BS499" i="1"/>
  <c r="BS500" i="1"/>
  <c r="BS502" i="1"/>
  <c r="BS503" i="1"/>
  <c r="BS504" i="1"/>
  <c r="BS505" i="1"/>
  <c r="BS506" i="1"/>
  <c r="BS507" i="1"/>
  <c r="BS508" i="1"/>
  <c r="BS510" i="1"/>
  <c r="BS511" i="1"/>
  <c r="BS512" i="1"/>
  <c r="BS514" i="1"/>
  <c r="BS515" i="1"/>
  <c r="BS516" i="1"/>
  <c r="BS517" i="1"/>
  <c r="BS518" i="1"/>
  <c r="BS520" i="1"/>
  <c r="BS521" i="1"/>
  <c r="BS522" i="1"/>
  <c r="BS523" i="1"/>
  <c r="BS524" i="1"/>
  <c r="BS525" i="1"/>
  <c r="BS526" i="1"/>
  <c r="BS527" i="1"/>
  <c r="BS529" i="1"/>
  <c r="BS530" i="1"/>
  <c r="BS531" i="1"/>
  <c r="BS532" i="1"/>
  <c r="BS533" i="1"/>
  <c r="BS534" i="1"/>
  <c r="BS535" i="1"/>
  <c r="BS536" i="1"/>
  <c r="BS538" i="1"/>
  <c r="BS539" i="1"/>
  <c r="BS540" i="1"/>
  <c r="BS541" i="1"/>
  <c r="BS542" i="1"/>
  <c r="BS543" i="1"/>
  <c r="BS544" i="1"/>
  <c r="BS545" i="1"/>
  <c r="BS546" i="1"/>
  <c r="BS548" i="1"/>
  <c r="BS549" i="1"/>
  <c r="BS550" i="1"/>
  <c r="BS551" i="1"/>
  <c r="BS552" i="1"/>
  <c r="BS553" i="1"/>
  <c r="BS554" i="1"/>
  <c r="BS555" i="1"/>
  <c r="BS558" i="1"/>
  <c r="BS559" i="1"/>
  <c r="BS560" i="1"/>
  <c r="BS561" i="1"/>
  <c r="BS562" i="1"/>
  <c r="BS564" i="1"/>
  <c r="BS565" i="1"/>
  <c r="BS566" i="1"/>
  <c r="BS567" i="1"/>
  <c r="BS569" i="1"/>
  <c r="BS570" i="1"/>
  <c r="BS572" i="1"/>
  <c r="BS573" i="1"/>
  <c r="BS574" i="1"/>
  <c r="BS576" i="1"/>
  <c r="BS577" i="1"/>
  <c r="BS578" i="1"/>
  <c r="BS579" i="1"/>
  <c r="BS580" i="1"/>
  <c r="BS581" i="1"/>
  <c r="D583" i="1"/>
  <c r="BS583" i="1" s="1"/>
  <c r="BS584" i="1"/>
  <c r="BS586" i="1"/>
  <c r="BS587" i="1"/>
  <c r="BS588" i="1"/>
  <c r="BS590" i="1"/>
  <c r="BS591" i="1"/>
  <c r="BS592" i="1"/>
  <c r="BS593" i="1"/>
  <c r="BS594" i="1"/>
  <c r="BS595" i="1"/>
  <c r="BS596" i="1"/>
  <c r="BS597" i="1"/>
  <c r="BS598" i="1"/>
  <c r="BS601" i="1"/>
  <c r="BS603" i="1"/>
  <c r="BS604" i="1"/>
  <c r="BS605" i="1"/>
  <c r="BS607" i="1"/>
  <c r="BS608" i="1"/>
  <c r="BS609" i="1"/>
  <c r="BS610" i="1"/>
  <c r="BS611" i="1"/>
  <c r="BS612" i="1"/>
  <c r="D614" i="1"/>
  <c r="BS614" i="1" s="1"/>
  <c r="BS615" i="1"/>
  <c r="BS617" i="1"/>
  <c r="BS618" i="1"/>
  <c r="BS619" i="1"/>
  <c r="BS620" i="1"/>
  <c r="BS622" i="1"/>
  <c r="BS623" i="1"/>
  <c r="BS624" i="1"/>
  <c r="BS625" i="1"/>
  <c r="BS626" i="1"/>
  <c r="BS628" i="1"/>
  <c r="BS629" i="1"/>
  <c r="BS630" i="1"/>
  <c r="BS631" i="1"/>
  <c r="BS632" i="1"/>
  <c r="BS633" i="1"/>
  <c r="BS634" i="1"/>
  <c r="D636" i="1"/>
  <c r="BS636" i="1"/>
  <c r="BS637" i="1"/>
  <c r="BS638" i="1"/>
  <c r="BS639" i="1"/>
  <c r="BS641" i="1"/>
  <c r="BS643" i="1"/>
  <c r="BS644" i="1"/>
  <c r="BS645" i="1"/>
  <c r="BS647" i="1"/>
  <c r="BS648" i="1"/>
  <c r="BS649" i="1"/>
  <c r="BS650" i="1"/>
  <c r="BS651" i="1"/>
  <c r="BS652" i="1"/>
  <c r="D654" i="1"/>
  <c r="BS654" i="1" s="1"/>
  <c r="BS655" i="1"/>
  <c r="BS656" i="1"/>
  <c r="BS657" i="1"/>
  <c r="BS658" i="1"/>
  <c r="BS659" i="1"/>
  <c r="BS660" i="1"/>
  <c r="BS662" i="1"/>
  <c r="BS663" i="1"/>
  <c r="BS665" i="1"/>
  <c r="BS666" i="1"/>
  <c r="BS667" i="1"/>
  <c r="BS669" i="1"/>
  <c r="BS670" i="1"/>
  <c r="BS671" i="1"/>
  <c r="BS672" i="1"/>
  <c r="BS674" i="1"/>
  <c r="BS675" i="1"/>
  <c r="BS676" i="1"/>
  <c r="BS677" i="1"/>
  <c r="BS678" i="1"/>
  <c r="BS679" i="1"/>
  <c r="BS681" i="1"/>
  <c r="BS682" i="1"/>
  <c r="BS683" i="1"/>
  <c r="BS684" i="1"/>
  <c r="BS685" i="1"/>
  <c r="BS686" i="1"/>
  <c r="BS687" i="1"/>
  <c r="BS688" i="1"/>
  <c r="BS689" i="1"/>
  <c r="BS690" i="1"/>
  <c r="BS691" i="1"/>
  <c r="BS693" i="1"/>
  <c r="BS694" i="1"/>
  <c r="BS695" i="1"/>
  <c r="BS696" i="1"/>
  <c r="BS698" i="1"/>
  <c r="BS699" i="1"/>
  <c r="BS702" i="1"/>
  <c r="BS703" i="1"/>
  <c r="BS704" i="1"/>
  <c r="BS706" i="1"/>
  <c r="BS707" i="1"/>
  <c r="BS708" i="1"/>
  <c r="BS709" i="1"/>
  <c r="BS711" i="1"/>
  <c r="BS712" i="1"/>
  <c r="BS713" i="1"/>
  <c r="BS714" i="1"/>
  <c r="BS715" i="1"/>
  <c r="BS716" i="1"/>
  <c r="BS717" i="1"/>
  <c r="BS718" i="1"/>
  <c r="BS720" i="1"/>
  <c r="BS721" i="1"/>
  <c r="BS723" i="1"/>
  <c r="BS724" i="1"/>
  <c r="BS725" i="1"/>
  <c r="BS726" i="1"/>
  <c r="BS729" i="1"/>
  <c r="BS731" i="1"/>
  <c r="BS732" i="1"/>
  <c r="BS733" i="1"/>
  <c r="BS734" i="1"/>
  <c r="BS735" i="1"/>
  <c r="BS736" i="1"/>
  <c r="BS739" i="1"/>
  <c r="BS740" i="1"/>
  <c r="BS741" i="1"/>
  <c r="BS742" i="1"/>
  <c r="BS743" i="1"/>
  <c r="BS744" i="1"/>
  <c r="BS745" i="1"/>
  <c r="BS748" i="1"/>
  <c r="BS751" i="1"/>
  <c r="BS752" i="1"/>
  <c r="BS753" i="1"/>
  <c r="BS754" i="1"/>
  <c r="BS755" i="1"/>
  <c r="BS756" i="1"/>
  <c r="BS758" i="1"/>
  <c r="BS760" i="1"/>
  <c r="BS761" i="1"/>
  <c r="BS763" i="1"/>
  <c r="BS764" i="1"/>
  <c r="BS766" i="1"/>
  <c r="BS767" i="1"/>
  <c r="BS768" i="1"/>
  <c r="BS769" i="1"/>
  <c r="BS774" i="1"/>
  <c r="BS775" i="1"/>
  <c r="BS777" i="1"/>
  <c r="BS778" i="1"/>
  <c r="BS779" i="1"/>
  <c r="BS780" i="1"/>
  <c r="BS782" i="1"/>
  <c r="BS783" i="1"/>
  <c r="BS784" i="1"/>
  <c r="BS785" i="1"/>
  <c r="BS786" i="1"/>
  <c r="BS787" i="1"/>
  <c r="BS789" i="1"/>
  <c r="BS790" i="1"/>
  <c r="BS791" i="1"/>
  <c r="BS793" i="1"/>
  <c r="BS794" i="1"/>
  <c r="BS795" i="1"/>
  <c r="BS796" i="1"/>
  <c r="BS797" i="1"/>
  <c r="BS798" i="1"/>
  <c r="BS800" i="1"/>
  <c r="BS801" i="1"/>
  <c r="BS802" i="1"/>
  <c r="BS803" i="1"/>
  <c r="BS804" i="1"/>
  <c r="BS805" i="1"/>
  <c r="BS806" i="1"/>
  <c r="BS807" i="1"/>
  <c r="BS808" i="1"/>
  <c r="D810" i="1"/>
  <c r="BS810" i="1" s="1"/>
  <c r="BS811" i="1"/>
  <c r="BS812" i="1"/>
  <c r="BS813" i="1"/>
  <c r="BS814" i="1"/>
  <c r="BS815" i="1"/>
  <c r="BS816" i="1"/>
  <c r="BS818" i="1"/>
  <c r="BS819" i="1"/>
  <c r="BS820" i="1"/>
  <c r="BS822" i="1"/>
  <c r="BS823" i="1"/>
  <c r="BS824" i="1"/>
  <c r="BS825" i="1"/>
  <c r="BS826" i="1"/>
  <c r="BS827" i="1"/>
  <c r="D829" i="1"/>
  <c r="BS829" i="1"/>
  <c r="BS830" i="1"/>
  <c r="BS831" i="1"/>
  <c r="BS832" i="1"/>
  <c r="BS834" i="1"/>
  <c r="BS835" i="1"/>
  <c r="BS836" i="1"/>
  <c r="BS838" i="1"/>
  <c r="BS839" i="1"/>
  <c r="BS840" i="1"/>
  <c r="BS841" i="1"/>
  <c r="BS842" i="1"/>
  <c r="BS843" i="1"/>
  <c r="BS844" i="1"/>
  <c r="BS845" i="1"/>
  <c r="BS846" i="1"/>
  <c r="BS847" i="1"/>
  <c r="BS848" i="1"/>
  <c r="BS849" i="1"/>
  <c r="BS850" i="1"/>
  <c r="BS852" i="1"/>
  <c r="BS854" i="1"/>
  <c r="BS855" i="1"/>
  <c r="BS856" i="1"/>
  <c r="BS857" i="1"/>
  <c r="BS859" i="1"/>
  <c r="BS860" i="1"/>
  <c r="BS862" i="1"/>
  <c r="BS863" i="1"/>
  <c r="BS864" i="1"/>
  <c r="BS865" i="1"/>
  <c r="BS866" i="1"/>
  <c r="BS867" i="1"/>
  <c r="BS868" i="1"/>
  <c r="BS869" i="1"/>
  <c r="BS870" i="1"/>
  <c r="BS872" i="1"/>
  <c r="BS873" i="1"/>
  <c r="BS874" i="1"/>
  <c r="BS875" i="1"/>
  <c r="BS876" i="1"/>
  <c r="BS877" i="1"/>
  <c r="BS878" i="1"/>
  <c r="BS879" i="1"/>
  <c r="BS880" i="1"/>
  <c r="BS881" i="1"/>
  <c r="BS884" i="1"/>
  <c r="BS886" i="1"/>
  <c r="BS887" i="1"/>
  <c r="BS888" i="1"/>
  <c r="BS889" i="1"/>
  <c r="BS890" i="1"/>
  <c r="BS891" i="1"/>
  <c r="BS892" i="1"/>
  <c r="BS893" i="1"/>
  <c r="BS894" i="1"/>
  <c r="BS895" i="1"/>
  <c r="BS897" i="1"/>
  <c r="BS898" i="1"/>
  <c r="BS899" i="1"/>
  <c r="BS900" i="1"/>
  <c r="BS901" i="1"/>
  <c r="BS902" i="1"/>
  <c r="BS904" i="1"/>
  <c r="BS905" i="1"/>
  <c r="BS906" i="1"/>
  <c r="BS908" i="1"/>
  <c r="BS909" i="1"/>
  <c r="BS910" i="1"/>
  <c r="BS911" i="1"/>
  <c r="BS912" i="1"/>
  <c r="BS913" i="1"/>
  <c r="BS916" i="1"/>
  <c r="BS917" i="1"/>
  <c r="BS918" i="1"/>
  <c r="BS919" i="1"/>
  <c r="BS920" i="1"/>
  <c r="BS921" i="1"/>
  <c r="BS922" i="1"/>
  <c r="BS923" i="1"/>
  <c r="BS924" i="1"/>
  <c r="BS925" i="1"/>
  <c r="BS927" i="1"/>
  <c r="BS928" i="1"/>
  <c r="BS929" i="1"/>
  <c r="BS930" i="1"/>
  <c r="BS931" i="1"/>
  <c r="BS932" i="1"/>
  <c r="BS933" i="1"/>
  <c r="BS935" i="1"/>
  <c r="BS936" i="1"/>
  <c r="BS937" i="1"/>
  <c r="BS938" i="1"/>
  <c r="BS939" i="1"/>
  <c r="BS940" i="1"/>
  <c r="BS941" i="1"/>
  <c r="BS943" i="1"/>
  <c r="BS944" i="1"/>
  <c r="BS945" i="1"/>
  <c r="BS947" i="1"/>
  <c r="BS948" i="1"/>
  <c r="BS950" i="1"/>
  <c r="BS951" i="1"/>
  <c r="BS952" i="1"/>
  <c r="BS953" i="1"/>
  <c r="BS954" i="1"/>
  <c r="BS955" i="1"/>
  <c r="BS956" i="1"/>
  <c r="BS957" i="1"/>
  <c r="BS958" i="1"/>
  <c r="BS960" i="1"/>
  <c r="BS961" i="1"/>
  <c r="BS962" i="1"/>
  <c r="BS963" i="1"/>
  <c r="BS964" i="1"/>
  <c r="BS965" i="1"/>
  <c r="BS966" i="1"/>
  <c r="BS967" i="1"/>
  <c r="BS969" i="1"/>
  <c r="BS970" i="1"/>
  <c r="BS971" i="1"/>
  <c r="BS972" i="1"/>
  <c r="BS973" i="1"/>
  <c r="BS974" i="1"/>
  <c r="BS975" i="1"/>
  <c r="BS977" i="1"/>
  <c r="BS978" i="1"/>
  <c r="BS979" i="1"/>
  <c r="BS980" i="1"/>
  <c r="BS981" i="1"/>
  <c r="BS983" i="1"/>
  <c r="BS985" i="1"/>
  <c r="BS986" i="1"/>
  <c r="BS987" i="1"/>
  <c r="BS989" i="1"/>
  <c r="BS990" i="1"/>
  <c r="BS991" i="1"/>
  <c r="BS992" i="1"/>
  <c r="BS993" i="1"/>
  <c r="BS994" i="1"/>
  <c r="BS996" i="1"/>
  <c r="BS997" i="1"/>
  <c r="BS998" i="1"/>
  <c r="BS999" i="1"/>
  <c r="BS1000" i="1"/>
  <c r="BS1001" i="1"/>
  <c r="BS1002" i="1"/>
  <c r="BS1003" i="1"/>
  <c r="BS1005" i="1"/>
  <c r="BS1006" i="1"/>
  <c r="BS1007" i="1"/>
  <c r="BS1008" i="1"/>
  <c r="BS1009" i="1"/>
  <c r="BS1010" i="1"/>
  <c r="BS1011" i="1"/>
  <c r="BS1013" i="1"/>
  <c r="BS1014" i="1"/>
  <c r="BS1015" i="1"/>
  <c r="BS1016" i="1"/>
  <c r="BS1017" i="1"/>
  <c r="BS1018" i="1"/>
  <c r="BS1019" i="1"/>
  <c r="BS1020" i="1"/>
  <c r="BS1021" i="1"/>
  <c r="BS1022" i="1"/>
  <c r="BS1023" i="1"/>
  <c r="BS1025" i="1"/>
  <c r="BS1026" i="1"/>
  <c r="BS1027" i="1"/>
  <c r="BS1028" i="1"/>
  <c r="BS1029" i="1"/>
  <c r="BS1030" i="1"/>
  <c r="BS1031" i="1"/>
  <c r="BS1032" i="1"/>
  <c r="BS1033" i="1"/>
  <c r="BS1035" i="1"/>
  <c r="BS1036" i="1"/>
  <c r="BS1037" i="1"/>
  <c r="BS1038" i="1"/>
  <c r="BS1039" i="1"/>
  <c r="BS1040" i="1"/>
  <c r="BS1041" i="1"/>
  <c r="BS1042" i="1"/>
  <c r="BS1043" i="1"/>
  <c r="BS1044" i="1"/>
  <c r="BS1046" i="1"/>
  <c r="BS1047" i="1"/>
  <c r="BS1048" i="1"/>
  <c r="BS1051" i="1"/>
  <c r="BS1053" i="1"/>
  <c r="BS1054" i="1"/>
  <c r="BS1055" i="1"/>
  <c r="BS1056" i="1"/>
  <c r="BS1057" i="1"/>
  <c r="BS1059" i="1"/>
  <c r="BS1060" i="1"/>
  <c r="BS1061" i="1"/>
  <c r="BS1062" i="1"/>
  <c r="BS1063" i="1"/>
  <c r="BS1064" i="1"/>
  <c r="BS1066" i="1"/>
  <c r="BS1067" i="1"/>
  <c r="BS1068" i="1"/>
  <c r="BS1069" i="1"/>
  <c r="BS1070" i="1"/>
  <c r="BS1071" i="1"/>
  <c r="BS1072" i="1"/>
  <c r="BS1073" i="1"/>
  <c r="BS1075" i="1"/>
  <c r="BS1076" i="1"/>
  <c r="BS1077" i="1"/>
  <c r="BS1079" i="1"/>
  <c r="BS1080" i="1"/>
  <c r="BS1081" i="1"/>
  <c r="BS1082" i="1"/>
  <c r="BS1083" i="1"/>
  <c r="BS1084" i="1"/>
  <c r="BS1087" i="1"/>
  <c r="BS1088" i="1"/>
  <c r="BS1089" i="1"/>
  <c r="BS1090" i="1"/>
  <c r="BS1091" i="1"/>
  <c r="BS1092" i="1"/>
  <c r="BS1093" i="1"/>
  <c r="BS1094" i="1"/>
  <c r="BS1096" i="1"/>
  <c r="BS1097" i="1"/>
  <c r="BS1098" i="1"/>
  <c r="BS1099" i="1"/>
  <c r="BS1100" i="1"/>
  <c r="BS1101" i="1"/>
  <c r="BS1102" i="1"/>
  <c r="BS1103" i="1"/>
  <c r="BS1104" i="1"/>
  <c r="BS1105" i="1"/>
  <c r="BS1106" i="1"/>
  <c r="BS1108" i="1"/>
  <c r="BS1109" i="1"/>
  <c r="BS1110" i="1"/>
  <c r="BS1111" i="1"/>
  <c r="BS1112" i="1"/>
  <c r="BS1113" i="1"/>
  <c r="BS1115" i="1"/>
  <c r="BS1116" i="1"/>
  <c r="BS1117" i="1"/>
  <c r="BS1118" i="1"/>
  <c r="BS1120" i="1"/>
  <c r="BS1122" i="1"/>
  <c r="BS1123" i="1"/>
  <c r="BS1124" i="1"/>
  <c r="BS1126" i="1"/>
  <c r="BS1127" i="1"/>
  <c r="BS1128" i="1"/>
  <c r="BS1129" i="1"/>
  <c r="BS1130" i="1"/>
  <c r="BS1132" i="1"/>
  <c r="BS1133" i="1"/>
  <c r="BS1135" i="1"/>
  <c r="BS1136" i="1"/>
  <c r="BS1137" i="1"/>
  <c r="BS1138" i="1"/>
  <c r="BS1139" i="1"/>
  <c r="BS1140" i="1"/>
  <c r="BS1142" i="1"/>
  <c r="BS1143" i="1"/>
  <c r="BS1144" i="1"/>
  <c r="BS1145" i="1"/>
  <c r="BS1146" i="1"/>
  <c r="BS1147" i="1"/>
  <c r="BS1148" i="1"/>
  <c r="BS1149" i="1"/>
  <c r="BS1150" i="1"/>
  <c r="BS1153" i="1"/>
  <c r="BS1154" i="1"/>
  <c r="BS1155" i="1"/>
  <c r="BS1158" i="1"/>
  <c r="BS1159" i="1"/>
  <c r="BS1160" i="1"/>
  <c r="BS1161" i="1"/>
  <c r="BS1162" i="1"/>
  <c r="BS1163" i="1"/>
  <c r="BS1164" i="1"/>
  <c r="BS1165" i="1"/>
  <c r="BS1167" i="1"/>
  <c r="BS1168" i="1"/>
  <c r="BS1169" i="1"/>
  <c r="BS1170" i="1"/>
  <c r="BS1172" i="1"/>
  <c r="BS1173" i="1"/>
  <c r="BS1174" i="1"/>
  <c r="BS1175" i="1"/>
  <c r="BS1178" i="1"/>
  <c r="BS1179" i="1"/>
  <c r="BS1180" i="1"/>
  <c r="BS1181" i="1"/>
  <c r="BS1182" i="1"/>
  <c r="BS1183" i="1"/>
  <c r="BS1186" i="1"/>
  <c r="BS1187" i="1"/>
  <c r="BS1188" i="1"/>
  <c r="BS1189" i="1"/>
  <c r="BS1190" i="1"/>
  <c r="BS1192" i="1"/>
  <c r="BS1194" i="1"/>
  <c r="BS1195" i="1"/>
  <c r="BS1196" i="1"/>
  <c r="BS1199" i="1"/>
  <c r="BS1201" i="1"/>
  <c r="BS1202" i="1"/>
  <c r="BS1203" i="1"/>
  <c r="BS1204" i="1"/>
  <c r="BS1205" i="1"/>
  <c r="BS1206" i="1"/>
  <c r="BS1207" i="1"/>
  <c r="BS1209" i="1"/>
  <c r="BS1210" i="1"/>
  <c r="BS1211" i="1"/>
  <c r="BS1212" i="1"/>
  <c r="BS1213" i="1"/>
  <c r="BS1214" i="1"/>
  <c r="BS1215" i="1"/>
  <c r="BS1216" i="1"/>
  <c r="BS1217" i="1"/>
  <c r="BS1219" i="1"/>
  <c r="BS1220" i="1"/>
  <c r="BS1223" i="1"/>
  <c r="BS1224" i="1"/>
  <c r="BS1225" i="1"/>
  <c r="BS1226" i="1"/>
  <c r="BS1227" i="1"/>
  <c r="BS1230" i="1"/>
  <c r="BS1231" i="1"/>
  <c r="BS1232" i="1"/>
  <c r="BS1233" i="1"/>
  <c r="BS1234" i="1"/>
  <c r="BS1235" i="1"/>
  <c r="BS1236" i="1"/>
  <c r="BS1238" i="1"/>
  <c r="BS1240" i="1"/>
  <c r="BS1241" i="1"/>
  <c r="BS1242" i="1"/>
  <c r="BS1244" i="1"/>
  <c r="BS1245" i="1"/>
  <c r="BS1246" i="1"/>
  <c r="BS1247" i="1"/>
  <c r="BS1248" i="1"/>
  <c r="BS1250" i="1"/>
  <c r="BS1251" i="1"/>
  <c r="BS1252" i="1"/>
  <c r="BS1253" i="1"/>
  <c r="BS1254" i="1"/>
  <c r="BS1255" i="1"/>
  <c r="BS1256" i="1"/>
  <c r="BS1257" i="1"/>
  <c r="BS1258" i="1"/>
  <c r="BS1259" i="1"/>
  <c r="BS1261" i="1"/>
  <c r="BS1262" i="1"/>
  <c r="BS1263" i="1"/>
  <c r="BS1265" i="1"/>
  <c r="BS1266" i="1"/>
  <c r="BS1267" i="1"/>
  <c r="BS1268" i="1"/>
  <c r="BS1272" i="1"/>
  <c r="BS1274" i="1"/>
  <c r="BS1275" i="1"/>
  <c r="BS1276" i="1"/>
  <c r="BS1277" i="1"/>
  <c r="BS1278" i="1"/>
  <c r="BS1279" i="1"/>
  <c r="BS1280" i="1"/>
  <c r="D1282" i="1"/>
  <c r="BS1282" i="1" s="1"/>
  <c r="BS1283" i="1"/>
  <c r="BS1284" i="1"/>
  <c r="BS1285" i="1"/>
  <c r="BS1286" i="1"/>
  <c r="BS1287" i="1"/>
  <c r="BS1288" i="1"/>
  <c r="BS1289" i="1"/>
  <c r="BS1291" i="1"/>
  <c r="BS1292" i="1"/>
  <c r="BS1293" i="1"/>
  <c r="BS1294" i="1"/>
  <c r="BS1295" i="1"/>
  <c r="BS1296" i="1"/>
  <c r="BS1297" i="1"/>
  <c r="BS1298" i="1"/>
  <c r="BS1299" i="1"/>
  <c r="BS1300" i="1"/>
  <c r="BS1301" i="1"/>
  <c r="BS1303" i="1"/>
  <c r="BS1304" i="1"/>
  <c r="BS1305" i="1"/>
  <c r="BS1306" i="1"/>
  <c r="BS1307" i="1"/>
  <c r="BS1308" i="1"/>
  <c r="BS1309" i="1"/>
  <c r="BS1310" i="1"/>
  <c r="BS1311" i="1"/>
  <c r="BS1312" i="1"/>
  <c r="BS1313" i="1"/>
  <c r="BT67" i="1"/>
  <c r="BT68" i="1"/>
  <c r="BT69" i="1"/>
  <c r="BT70" i="1"/>
  <c r="BT71" i="1"/>
  <c r="BT72" i="1"/>
  <c r="BT73" i="1"/>
  <c r="BT74" i="1"/>
  <c r="E76" i="1"/>
  <c r="BT76" i="1"/>
  <c r="BT77" i="1"/>
  <c r="BT78" i="1"/>
  <c r="BT79" i="1"/>
  <c r="BT80" i="1"/>
  <c r="BT81" i="1"/>
  <c r="BT82" i="1"/>
  <c r="BT84" i="1"/>
  <c r="BT85" i="1"/>
  <c r="BT86" i="1"/>
  <c r="BT87" i="1"/>
  <c r="BT88" i="1"/>
  <c r="BT89" i="1"/>
  <c r="BT90" i="1"/>
  <c r="BT92" i="1"/>
  <c r="BT93" i="1"/>
  <c r="BT94" i="1"/>
  <c r="BT95" i="1"/>
  <c r="BT96" i="1"/>
  <c r="BT97" i="1"/>
  <c r="BT98" i="1"/>
  <c r="BT101" i="1"/>
  <c r="BT103" i="1"/>
  <c r="BT104" i="1"/>
  <c r="BT105" i="1"/>
  <c r="BT106" i="1"/>
  <c r="BT107" i="1"/>
  <c r="BT108" i="1"/>
  <c r="BT109" i="1"/>
  <c r="BT111" i="1"/>
  <c r="BT112" i="1"/>
  <c r="BT113" i="1"/>
  <c r="BT114" i="1"/>
  <c r="BT115" i="1"/>
  <c r="BT116" i="1"/>
  <c r="BT117" i="1"/>
  <c r="BT118" i="1"/>
  <c r="BT119" i="1"/>
  <c r="BT120" i="1"/>
  <c r="BT122" i="1"/>
  <c r="BT124" i="1"/>
  <c r="BT125" i="1"/>
  <c r="BT126" i="1"/>
  <c r="BT129" i="1"/>
  <c r="BT131" i="1"/>
  <c r="BT132" i="1"/>
  <c r="BT136" i="1"/>
  <c r="BT138" i="1"/>
  <c r="BT139" i="1"/>
  <c r="BT140" i="1"/>
  <c r="BT141" i="1"/>
  <c r="BT142" i="1"/>
  <c r="BT144" i="1"/>
  <c r="BT145" i="1"/>
  <c r="BT146" i="1"/>
  <c r="BT147" i="1"/>
  <c r="BT148" i="1"/>
  <c r="BT149" i="1"/>
  <c r="BT151" i="1"/>
  <c r="BT152" i="1"/>
  <c r="BT153" i="1"/>
  <c r="BT154" i="1"/>
  <c r="BT155" i="1"/>
  <c r="BT156" i="1"/>
  <c r="BT157" i="1"/>
  <c r="BT158" i="1"/>
  <c r="BT160" i="1"/>
  <c r="BT161" i="1"/>
  <c r="BT162" i="1"/>
  <c r="BT163" i="1"/>
  <c r="BT165" i="1"/>
  <c r="BT166" i="1"/>
  <c r="BT167" i="1"/>
  <c r="BT168" i="1"/>
  <c r="BT169" i="1"/>
  <c r="BT170" i="1"/>
  <c r="E172" i="1"/>
  <c r="BT172" i="1"/>
  <c r="BT173" i="1"/>
  <c r="BT175" i="1"/>
  <c r="BT176" i="1"/>
  <c r="BT177" i="1"/>
  <c r="BT178" i="1"/>
  <c r="BT179" i="1"/>
  <c r="BT180" i="1"/>
  <c r="BT181" i="1"/>
  <c r="BT182" i="1"/>
  <c r="BT183" i="1"/>
  <c r="BT184" i="1"/>
  <c r="BT186" i="1"/>
  <c r="BT187" i="1"/>
  <c r="BT188" i="1"/>
  <c r="BT189" i="1"/>
  <c r="BT190" i="1"/>
  <c r="BT191" i="1"/>
  <c r="BT192" i="1"/>
  <c r="BT193" i="1"/>
  <c r="BT195" i="1"/>
  <c r="BT196" i="1"/>
  <c r="BT197" i="1"/>
  <c r="BT198" i="1"/>
  <c r="BT201" i="1"/>
  <c r="BT202" i="1"/>
  <c r="BT203" i="1"/>
  <c r="BT204" i="1"/>
  <c r="BT205" i="1"/>
  <c r="BT206" i="1"/>
  <c r="BT207" i="1"/>
  <c r="BT210" i="1"/>
  <c r="BT211" i="1"/>
  <c r="BT212" i="1"/>
  <c r="BT213" i="1"/>
  <c r="BT214" i="1"/>
  <c r="BT215" i="1"/>
  <c r="BT217" i="1"/>
  <c r="BT218" i="1"/>
  <c r="BT219" i="1"/>
  <c r="BT220" i="1"/>
  <c r="BT221" i="1"/>
  <c r="BT222" i="1"/>
  <c r="BT224" i="1"/>
  <c r="BT225" i="1"/>
  <c r="BT226" i="1"/>
  <c r="BT227" i="1"/>
  <c r="BT228" i="1"/>
  <c r="BT229" i="1"/>
  <c r="BT231" i="1"/>
  <c r="BT232" i="1"/>
  <c r="BT233" i="1"/>
  <c r="BT234" i="1"/>
  <c r="BT235" i="1"/>
  <c r="BT236" i="1"/>
  <c r="BT237" i="1"/>
  <c r="BT238" i="1"/>
  <c r="E240" i="1"/>
  <c r="BT240" i="1"/>
  <c r="BT241" i="1"/>
  <c r="BT242" i="1"/>
  <c r="BT243" i="1"/>
  <c r="BT244" i="1"/>
  <c r="BT245" i="1"/>
  <c r="BT246" i="1"/>
  <c r="BT247" i="1"/>
  <c r="BT250" i="1"/>
  <c r="BT251" i="1"/>
  <c r="BT252" i="1"/>
  <c r="BT253" i="1"/>
  <c r="BT254" i="1"/>
  <c r="BT255" i="1"/>
  <c r="BT256" i="1"/>
  <c r="BT259" i="1"/>
  <c r="BT260" i="1"/>
  <c r="BT261" i="1"/>
  <c r="BT262" i="1"/>
  <c r="BT263" i="1"/>
  <c r="BT264" i="1"/>
  <c r="BT265" i="1"/>
  <c r="BT266" i="1"/>
  <c r="BT268" i="1"/>
  <c r="BT269" i="1"/>
  <c r="BT270" i="1"/>
  <c r="BT271" i="1"/>
  <c r="BT272" i="1"/>
  <c r="BT273" i="1"/>
  <c r="BT274" i="1"/>
  <c r="BT275" i="1"/>
  <c r="BT276" i="1"/>
  <c r="E278" i="1"/>
  <c r="BT278" i="1"/>
  <c r="BT279" i="1"/>
  <c r="BT280" i="1"/>
  <c r="BT281" i="1"/>
  <c r="BT282" i="1"/>
  <c r="BT283" i="1"/>
  <c r="BT285" i="1"/>
  <c r="BT286" i="1"/>
  <c r="BT287" i="1"/>
  <c r="BT288" i="1"/>
  <c r="BT291" i="1"/>
  <c r="BT292" i="1"/>
  <c r="BT293" i="1"/>
  <c r="BT294" i="1"/>
  <c r="BT296" i="1"/>
  <c r="BT297" i="1"/>
  <c r="BT298" i="1"/>
  <c r="BT299" i="1"/>
  <c r="BT300" i="1"/>
  <c r="BT301" i="1"/>
  <c r="BT302" i="1"/>
  <c r="BT303" i="1"/>
  <c r="BT306" i="1"/>
  <c r="BT307" i="1"/>
  <c r="BT308" i="1"/>
  <c r="BT309" i="1"/>
  <c r="BT310" i="1"/>
  <c r="BT311" i="1"/>
  <c r="BT312" i="1"/>
  <c r="BT313" i="1"/>
  <c r="BT314" i="1"/>
  <c r="BT316" i="1"/>
  <c r="BT317" i="1"/>
  <c r="BT318" i="1"/>
  <c r="BT319" i="1"/>
  <c r="BT320" i="1"/>
  <c r="BT321" i="1"/>
  <c r="BT322" i="1"/>
  <c r="BT323" i="1"/>
  <c r="BT324" i="1"/>
  <c r="BT325" i="1"/>
  <c r="BT326" i="1"/>
  <c r="BT327" i="1"/>
  <c r="E329" i="1"/>
  <c r="BT329" i="1"/>
  <c r="BT330" i="1"/>
  <c r="BT332" i="1"/>
  <c r="BT333" i="1"/>
  <c r="BT334" i="1"/>
  <c r="BT335" i="1"/>
  <c r="BT336" i="1"/>
  <c r="BT337" i="1"/>
  <c r="BT338" i="1"/>
  <c r="BT340" i="1"/>
  <c r="BT341" i="1"/>
  <c r="BT342" i="1"/>
  <c r="BT343" i="1"/>
  <c r="BT344" i="1"/>
  <c r="BT345" i="1"/>
  <c r="BT346" i="1"/>
  <c r="BT347" i="1"/>
  <c r="BT348" i="1"/>
  <c r="BT349" i="1"/>
  <c r="BT351" i="1"/>
  <c r="BT352" i="1"/>
  <c r="BT353" i="1"/>
  <c r="BT354" i="1"/>
  <c r="BT355" i="1"/>
  <c r="BT356" i="1"/>
  <c r="E358" i="1"/>
  <c r="BT358" i="1"/>
  <c r="BT359" i="1"/>
  <c r="BT360" i="1"/>
  <c r="BT361" i="1"/>
  <c r="BT362" i="1"/>
  <c r="BT363" i="1"/>
  <c r="BT364" i="1"/>
  <c r="BT365" i="1"/>
  <c r="BT367" i="1"/>
  <c r="BT368" i="1"/>
  <c r="BT369" i="1"/>
  <c r="BT372" i="1"/>
  <c r="BT373" i="1"/>
  <c r="E375" i="1"/>
  <c r="BT375" i="1"/>
  <c r="BT376" i="1"/>
  <c r="BT378" i="1"/>
  <c r="BT379" i="1"/>
  <c r="BT380" i="1"/>
  <c r="BT381" i="1"/>
  <c r="BT382" i="1"/>
  <c r="BT383" i="1"/>
  <c r="BT385" i="1"/>
  <c r="BT386" i="1"/>
  <c r="BT387" i="1"/>
  <c r="BT388" i="1"/>
  <c r="BT389" i="1"/>
  <c r="BT390" i="1"/>
  <c r="BT391" i="1"/>
  <c r="BT394" i="1"/>
  <c r="BT395" i="1"/>
  <c r="BT396" i="1"/>
  <c r="BT397" i="1"/>
  <c r="BT398" i="1"/>
  <c r="BT399" i="1"/>
  <c r="BT400" i="1"/>
  <c r="BT401" i="1"/>
  <c r="BT403" i="1"/>
  <c r="BT404" i="1"/>
  <c r="BT405" i="1"/>
  <c r="BT406" i="1"/>
  <c r="BT407" i="1"/>
  <c r="BT408" i="1"/>
  <c r="BT409" i="1"/>
  <c r="BT410" i="1"/>
  <c r="BT411" i="1"/>
  <c r="BT414" i="1"/>
  <c r="BT415" i="1"/>
  <c r="BT416" i="1"/>
  <c r="BT417" i="1"/>
  <c r="BT418" i="1"/>
  <c r="BT421" i="1"/>
  <c r="BT422" i="1"/>
  <c r="BT423" i="1"/>
  <c r="BT424" i="1"/>
  <c r="BT425" i="1"/>
  <c r="BT426" i="1"/>
  <c r="BT427" i="1"/>
  <c r="BT428" i="1"/>
  <c r="BT430" i="1"/>
  <c r="BT431" i="1"/>
  <c r="BT432" i="1"/>
  <c r="BT433" i="1"/>
  <c r="BT434" i="1"/>
  <c r="BT435" i="1"/>
  <c r="BT436" i="1"/>
  <c r="BT438" i="1"/>
  <c r="BT439" i="1"/>
  <c r="BT440" i="1"/>
  <c r="BT441" i="1"/>
  <c r="BT442" i="1"/>
  <c r="BT443" i="1"/>
  <c r="BT445" i="1"/>
  <c r="BT446" i="1"/>
  <c r="BT447" i="1"/>
  <c r="BT448" i="1"/>
  <c r="BT449" i="1"/>
  <c r="BT450" i="1"/>
  <c r="BT451" i="1"/>
  <c r="BT452" i="1"/>
  <c r="BT454" i="1"/>
  <c r="BT455" i="1"/>
  <c r="BT456" i="1"/>
  <c r="BT457" i="1"/>
  <c r="BT460" i="1"/>
  <c r="BT461" i="1"/>
  <c r="BT462" i="1"/>
  <c r="BT463" i="1"/>
  <c r="BT464" i="1"/>
  <c r="BT465" i="1"/>
  <c r="BT466" i="1"/>
  <c r="BT468" i="1"/>
  <c r="BT469" i="1"/>
  <c r="BT470" i="1"/>
  <c r="BT471" i="1"/>
  <c r="BT472" i="1"/>
  <c r="BT473" i="1"/>
  <c r="BT474" i="1"/>
  <c r="BT475" i="1"/>
  <c r="BT476" i="1"/>
  <c r="BT478" i="1"/>
  <c r="BT479" i="1"/>
  <c r="BT480" i="1"/>
  <c r="BT481" i="1"/>
  <c r="BT482" i="1"/>
  <c r="BT483" i="1"/>
  <c r="BT486" i="1"/>
  <c r="BT487" i="1"/>
  <c r="BT488" i="1"/>
  <c r="BT489" i="1"/>
  <c r="BT490" i="1"/>
  <c r="BT491" i="1"/>
  <c r="BT492" i="1"/>
  <c r="BT493" i="1"/>
  <c r="BT495" i="1"/>
  <c r="BT496" i="1"/>
  <c r="BT497" i="1"/>
  <c r="BT498" i="1"/>
  <c r="BT499" i="1"/>
  <c r="BT500" i="1"/>
  <c r="BT502" i="1"/>
  <c r="BT503" i="1"/>
  <c r="BT504" i="1"/>
  <c r="BT505" i="1"/>
  <c r="BT506" i="1"/>
  <c r="BT507" i="1"/>
  <c r="BT508" i="1"/>
  <c r="BT510" i="1"/>
  <c r="BT511" i="1"/>
  <c r="BT512" i="1"/>
  <c r="BT514" i="1"/>
  <c r="BT515" i="1"/>
  <c r="BT516" i="1"/>
  <c r="BT517" i="1"/>
  <c r="BT518" i="1"/>
  <c r="BT520" i="1"/>
  <c r="BT521" i="1"/>
  <c r="BT522" i="1"/>
  <c r="BT523" i="1"/>
  <c r="BT524" i="1"/>
  <c r="BT525" i="1"/>
  <c r="BT526" i="1"/>
  <c r="BT527" i="1"/>
  <c r="BT529" i="1"/>
  <c r="BT530" i="1"/>
  <c r="BT531" i="1"/>
  <c r="BT532" i="1"/>
  <c r="BT533" i="1"/>
  <c r="BT534" i="1"/>
  <c r="BT535" i="1"/>
  <c r="BT536" i="1"/>
  <c r="BT538" i="1"/>
  <c r="BT539" i="1"/>
  <c r="BT540" i="1"/>
  <c r="BT541" i="1"/>
  <c r="BT542" i="1"/>
  <c r="BT543" i="1"/>
  <c r="BT544" i="1"/>
  <c r="BT545" i="1"/>
  <c r="BT546" i="1"/>
  <c r="BT548" i="1"/>
  <c r="BT549" i="1"/>
  <c r="BT550" i="1"/>
  <c r="BT551" i="1"/>
  <c r="BT552" i="1"/>
  <c r="BT553" i="1"/>
  <c r="BT554" i="1"/>
  <c r="BT555" i="1"/>
  <c r="BT558" i="1"/>
  <c r="BT559" i="1"/>
  <c r="BT560" i="1"/>
  <c r="BT561" i="1"/>
  <c r="BT562" i="1"/>
  <c r="BT564" i="1"/>
  <c r="BT565" i="1"/>
  <c r="BT566" i="1"/>
  <c r="BT567" i="1"/>
  <c r="BT569" i="1"/>
  <c r="BT570" i="1"/>
  <c r="BT572" i="1"/>
  <c r="BT573" i="1"/>
  <c r="BT574" i="1"/>
  <c r="BT577" i="1"/>
  <c r="BT578" i="1"/>
  <c r="BT579" i="1"/>
  <c r="BT580" i="1"/>
  <c r="BT581" i="1"/>
  <c r="E583" i="1"/>
  <c r="BT583" i="1"/>
  <c r="BT584" i="1"/>
  <c r="BT586" i="1"/>
  <c r="BT587" i="1"/>
  <c r="BT588" i="1"/>
  <c r="BT591" i="1"/>
  <c r="BT592" i="1"/>
  <c r="BT593" i="1"/>
  <c r="BT594" i="1"/>
  <c r="BT595" i="1"/>
  <c r="BT596" i="1"/>
  <c r="BT597" i="1"/>
  <c r="BT598" i="1"/>
  <c r="BT600" i="1"/>
  <c r="BT601" i="1"/>
  <c r="BT603" i="1"/>
  <c r="BT604" i="1"/>
  <c r="BT605" i="1"/>
  <c r="BT607" i="1"/>
  <c r="BT608" i="1"/>
  <c r="BT609" i="1"/>
  <c r="BT610" i="1"/>
  <c r="BT611" i="1"/>
  <c r="BT612" i="1"/>
  <c r="E614" i="1"/>
  <c r="BT614" i="1"/>
  <c r="BT615" i="1"/>
  <c r="BT617" i="1"/>
  <c r="BT618" i="1"/>
  <c r="BT619" i="1"/>
  <c r="BT620" i="1"/>
  <c r="BT622" i="1"/>
  <c r="BT623" i="1"/>
  <c r="BT624" i="1"/>
  <c r="BT625" i="1"/>
  <c r="BT626" i="1"/>
  <c r="BT628" i="1"/>
  <c r="BT629" i="1"/>
  <c r="BT630" i="1"/>
  <c r="BT631" i="1"/>
  <c r="BT632" i="1"/>
  <c r="BT633" i="1"/>
  <c r="BT634" i="1"/>
  <c r="E636" i="1"/>
  <c r="BT636" i="1" s="1"/>
  <c r="BT637" i="1"/>
  <c r="BT638" i="1"/>
  <c r="BT639" i="1"/>
  <c r="BT641" i="1"/>
  <c r="BT643" i="1"/>
  <c r="BT644" i="1"/>
  <c r="BT645" i="1"/>
  <c r="BT647" i="1"/>
  <c r="BT648" i="1"/>
  <c r="BT649" i="1"/>
  <c r="BT650" i="1"/>
  <c r="BT651" i="1"/>
  <c r="BT652" i="1"/>
  <c r="E654" i="1"/>
  <c r="BT654" i="1"/>
  <c r="BT655" i="1"/>
  <c r="BT656" i="1"/>
  <c r="BT657" i="1"/>
  <c r="BT658" i="1"/>
  <c r="BT659" i="1"/>
  <c r="BT660" i="1"/>
  <c r="BT662" i="1"/>
  <c r="BT663" i="1"/>
  <c r="BT665" i="1"/>
  <c r="BT666" i="1"/>
  <c r="BT667" i="1"/>
  <c r="BT669" i="1"/>
  <c r="BT670" i="1"/>
  <c r="BT671" i="1"/>
  <c r="BT672" i="1"/>
  <c r="BT674" i="1"/>
  <c r="BT675" i="1"/>
  <c r="BT676" i="1"/>
  <c r="BT677" i="1"/>
  <c r="BT678" i="1"/>
  <c r="BT679" i="1"/>
  <c r="BT681" i="1"/>
  <c r="BT682" i="1"/>
  <c r="BT683" i="1"/>
  <c r="BT684" i="1"/>
  <c r="BT685" i="1"/>
  <c r="BT686" i="1"/>
  <c r="BT687" i="1"/>
  <c r="BT688" i="1"/>
  <c r="BT689" i="1"/>
  <c r="BT690" i="1"/>
  <c r="BT691" i="1"/>
  <c r="BT693" i="1"/>
  <c r="BT694" i="1"/>
  <c r="BT695" i="1"/>
  <c r="BT696" i="1"/>
  <c r="BT698" i="1"/>
  <c r="BT699" i="1"/>
  <c r="BT702" i="1"/>
  <c r="BT703" i="1"/>
  <c r="BT704" i="1"/>
  <c r="BT706" i="1"/>
  <c r="BT707" i="1"/>
  <c r="BT708" i="1"/>
  <c r="BT709" i="1"/>
  <c r="BT711" i="1"/>
  <c r="BT712" i="1"/>
  <c r="BT713" i="1"/>
  <c r="BT714" i="1"/>
  <c r="BT715" i="1"/>
  <c r="BT716" i="1"/>
  <c r="BT717" i="1"/>
  <c r="BT718" i="1"/>
  <c r="BT720" i="1"/>
  <c r="BT721" i="1"/>
  <c r="BT723" i="1"/>
  <c r="BT724" i="1"/>
  <c r="BT725" i="1"/>
  <c r="BT726" i="1"/>
  <c r="BT729" i="1"/>
  <c r="BT731" i="1"/>
  <c r="BT732" i="1"/>
  <c r="BT733" i="1"/>
  <c r="BT734" i="1"/>
  <c r="BT735" i="1"/>
  <c r="BT736" i="1"/>
  <c r="BT738" i="1"/>
  <c r="BT739" i="1"/>
  <c r="BT740" i="1"/>
  <c r="BT741" i="1"/>
  <c r="BT742" i="1"/>
  <c r="BT743" i="1"/>
  <c r="BT744" i="1"/>
  <c r="BT745" i="1"/>
  <c r="BT748" i="1"/>
  <c r="BT750" i="1"/>
  <c r="BT751" i="1"/>
  <c r="BT752" i="1"/>
  <c r="BT753" i="1"/>
  <c r="BT754" i="1"/>
  <c r="BT755" i="1"/>
  <c r="BT756" i="1"/>
  <c r="BT758" i="1"/>
  <c r="BT760" i="1"/>
  <c r="BT761" i="1"/>
  <c r="BT763" i="1"/>
  <c r="BT764" i="1"/>
  <c r="BT766" i="1"/>
  <c r="BT767" i="1"/>
  <c r="BT768" i="1"/>
  <c r="BT769" i="1"/>
  <c r="BT774" i="1"/>
  <c r="BT775" i="1"/>
  <c r="BT777" i="1"/>
  <c r="BT778" i="1"/>
  <c r="BT779" i="1"/>
  <c r="BT780" i="1"/>
  <c r="BT782" i="1"/>
  <c r="BT783" i="1"/>
  <c r="BT784" i="1"/>
  <c r="BT785" i="1"/>
  <c r="BT786" i="1"/>
  <c r="BT787" i="1"/>
  <c r="BT789" i="1"/>
  <c r="BT790" i="1"/>
  <c r="BT791" i="1"/>
  <c r="BT793" i="1"/>
  <c r="BT794" i="1"/>
  <c r="BT795" i="1"/>
  <c r="BT796" i="1"/>
  <c r="BT797" i="1"/>
  <c r="BT798" i="1"/>
  <c r="BT800" i="1"/>
  <c r="BT801" i="1"/>
  <c r="BT802" i="1"/>
  <c r="BT803" i="1"/>
  <c r="BT804" i="1"/>
  <c r="BT805" i="1"/>
  <c r="BT806" i="1"/>
  <c r="BT807" i="1"/>
  <c r="BT808" i="1"/>
  <c r="E810" i="1"/>
  <c r="BT810" i="1"/>
  <c r="BT811" i="1"/>
  <c r="BT812" i="1"/>
  <c r="BT813" i="1"/>
  <c r="BT814" i="1"/>
  <c r="BT815" i="1"/>
  <c r="BT816" i="1"/>
  <c r="BT818" i="1"/>
  <c r="BT819" i="1"/>
  <c r="BT820" i="1"/>
  <c r="BT822" i="1"/>
  <c r="BT823" i="1"/>
  <c r="BT824" i="1"/>
  <c r="BT825" i="1"/>
  <c r="BT826" i="1"/>
  <c r="BT827" i="1"/>
  <c r="E829" i="1"/>
  <c r="BT829" i="1"/>
  <c r="BT830" i="1"/>
  <c r="BT831" i="1"/>
  <c r="BT832" i="1"/>
  <c r="BT834" i="1"/>
  <c r="BT835" i="1"/>
  <c r="BT836" i="1"/>
  <c r="BT838" i="1"/>
  <c r="BT839" i="1"/>
  <c r="BT840" i="1"/>
  <c r="BT841" i="1"/>
  <c r="BT842" i="1"/>
  <c r="BT843" i="1"/>
  <c r="BT844" i="1"/>
  <c r="BT845" i="1"/>
  <c r="BT846" i="1"/>
  <c r="BT847" i="1"/>
  <c r="BT848" i="1"/>
  <c r="BT849" i="1"/>
  <c r="BT850" i="1"/>
  <c r="BT852" i="1"/>
  <c r="BT854" i="1"/>
  <c r="BT855" i="1"/>
  <c r="BT856" i="1"/>
  <c r="BT857" i="1"/>
  <c r="BT859" i="1"/>
  <c r="BT860" i="1"/>
  <c r="BT862" i="1"/>
  <c r="BT863" i="1"/>
  <c r="BT864" i="1"/>
  <c r="BT865" i="1"/>
  <c r="BT866" i="1"/>
  <c r="BT867" i="1"/>
  <c r="BT868" i="1"/>
  <c r="BT869" i="1"/>
  <c r="BT870" i="1"/>
  <c r="BT872" i="1"/>
  <c r="BT873" i="1"/>
  <c r="BT874" i="1"/>
  <c r="BT875" i="1"/>
  <c r="BT876" i="1"/>
  <c r="BT877" i="1"/>
  <c r="BT878" i="1"/>
  <c r="BT879" i="1"/>
  <c r="BT880" i="1"/>
  <c r="BT881" i="1"/>
  <c r="BT884" i="1"/>
  <c r="BT886" i="1"/>
  <c r="BT887" i="1"/>
  <c r="BT888" i="1"/>
  <c r="BT889" i="1"/>
  <c r="BT890" i="1"/>
  <c r="BT891" i="1"/>
  <c r="BT892" i="1"/>
  <c r="BT893" i="1"/>
  <c r="BT894" i="1"/>
  <c r="BT895" i="1"/>
  <c r="BT897" i="1"/>
  <c r="BT898" i="1"/>
  <c r="BT899" i="1"/>
  <c r="BT900" i="1"/>
  <c r="BT901" i="1"/>
  <c r="BT902" i="1"/>
  <c r="BT904" i="1"/>
  <c r="BT905" i="1"/>
  <c r="BT906" i="1"/>
  <c r="BT908" i="1"/>
  <c r="BT909" i="1"/>
  <c r="BT910" i="1"/>
  <c r="BT911" i="1"/>
  <c r="BT912" i="1"/>
  <c r="BT913" i="1"/>
  <c r="BT915" i="1"/>
  <c r="BT916" i="1"/>
  <c r="BT917" i="1"/>
  <c r="BT918" i="1"/>
  <c r="BT919" i="1"/>
  <c r="BT920" i="1"/>
  <c r="BT921" i="1"/>
  <c r="BT922" i="1"/>
  <c r="BT923" i="1"/>
  <c r="BT924" i="1"/>
  <c r="BT925" i="1"/>
  <c r="BT927" i="1"/>
  <c r="BT928" i="1"/>
  <c r="BT929" i="1"/>
  <c r="BT930" i="1"/>
  <c r="BT931" i="1"/>
  <c r="BT932" i="1"/>
  <c r="BT933" i="1"/>
  <c r="BT935" i="1"/>
  <c r="BT936" i="1"/>
  <c r="BT937" i="1"/>
  <c r="BT938" i="1"/>
  <c r="BT939" i="1"/>
  <c r="BT940" i="1"/>
  <c r="BT941" i="1"/>
  <c r="BT943" i="1"/>
  <c r="BT944" i="1"/>
  <c r="BT945" i="1"/>
  <c r="BT947" i="1"/>
  <c r="BT948" i="1"/>
  <c r="BT950" i="1"/>
  <c r="BT951" i="1"/>
  <c r="BT952" i="1"/>
  <c r="BT953" i="1"/>
  <c r="BT954" i="1"/>
  <c r="BT955" i="1"/>
  <c r="BT956" i="1"/>
  <c r="BT957" i="1"/>
  <c r="BT958" i="1"/>
  <c r="BT960" i="1"/>
  <c r="BT961" i="1"/>
  <c r="BT962" i="1"/>
  <c r="BT963" i="1"/>
  <c r="BT964" i="1"/>
  <c r="BT965" i="1"/>
  <c r="BT966" i="1"/>
  <c r="BT967" i="1"/>
  <c r="BT969" i="1"/>
  <c r="BT970" i="1"/>
  <c r="BT971" i="1"/>
  <c r="BT972" i="1"/>
  <c r="BT973" i="1"/>
  <c r="BT974" i="1"/>
  <c r="BT975" i="1"/>
  <c r="BT977" i="1"/>
  <c r="BT978" i="1"/>
  <c r="BT979" i="1"/>
  <c r="BT980" i="1"/>
  <c r="BT981" i="1"/>
  <c r="BT983" i="1"/>
  <c r="BT985" i="1"/>
  <c r="BT986" i="1"/>
  <c r="BT987" i="1"/>
  <c r="BT989" i="1"/>
  <c r="BT990" i="1"/>
  <c r="BT991" i="1"/>
  <c r="BT992" i="1"/>
  <c r="BT993" i="1"/>
  <c r="BT994" i="1"/>
  <c r="BT996" i="1"/>
  <c r="BT997" i="1"/>
  <c r="BT998" i="1"/>
  <c r="BT999" i="1"/>
  <c r="BT1000" i="1"/>
  <c r="BT1001" i="1"/>
  <c r="BT1002" i="1"/>
  <c r="BT1003" i="1"/>
  <c r="BT1005" i="1"/>
  <c r="BT1006" i="1"/>
  <c r="BT1007" i="1"/>
  <c r="BT1008" i="1"/>
  <c r="BT1009" i="1"/>
  <c r="BT1010" i="1"/>
  <c r="BT1011" i="1"/>
  <c r="BT1013" i="1"/>
  <c r="BT1014" i="1"/>
  <c r="BT1015" i="1"/>
  <c r="BT1016" i="1"/>
  <c r="BT1017" i="1"/>
  <c r="BT1018" i="1"/>
  <c r="BT1019" i="1"/>
  <c r="BT1020" i="1"/>
  <c r="BT1021" i="1"/>
  <c r="BT1022" i="1"/>
  <c r="BT1023" i="1"/>
  <c r="BT1025" i="1"/>
  <c r="BT1026" i="1"/>
  <c r="BT1027" i="1"/>
  <c r="BT1028" i="1"/>
  <c r="BT1029" i="1"/>
  <c r="BT1030" i="1"/>
  <c r="BT1031" i="1"/>
  <c r="BT1032" i="1"/>
  <c r="BT1033" i="1"/>
  <c r="BT1035" i="1"/>
  <c r="BT1036" i="1"/>
  <c r="BT1037" i="1"/>
  <c r="BT1038" i="1"/>
  <c r="BT1039" i="1"/>
  <c r="BT1040" i="1"/>
  <c r="BT1041" i="1"/>
  <c r="BT1042" i="1"/>
  <c r="BT1043" i="1"/>
  <c r="BT1044" i="1"/>
  <c r="BT1046" i="1"/>
  <c r="BT1047" i="1"/>
  <c r="BT1048" i="1"/>
  <c r="BT1051" i="1"/>
  <c r="BT1053" i="1"/>
  <c r="BT1054" i="1"/>
  <c r="BT1055" i="1"/>
  <c r="BT1056" i="1"/>
  <c r="BT1057" i="1"/>
  <c r="BT1059" i="1"/>
  <c r="BT1060" i="1"/>
  <c r="BT1061" i="1"/>
  <c r="BT1062" i="1"/>
  <c r="BT1063" i="1"/>
  <c r="BT1064" i="1"/>
  <c r="BT1066" i="1"/>
  <c r="BT1067" i="1"/>
  <c r="BT1068" i="1"/>
  <c r="BT1069" i="1"/>
  <c r="BT1070" i="1"/>
  <c r="BT1071" i="1"/>
  <c r="BT1072" i="1"/>
  <c r="BT1073" i="1"/>
  <c r="BT1075" i="1"/>
  <c r="BT1076" i="1"/>
  <c r="BT1077" i="1"/>
  <c r="BT1079" i="1"/>
  <c r="BT1080" i="1"/>
  <c r="BT1081" i="1"/>
  <c r="BT1082" i="1"/>
  <c r="BT1083" i="1"/>
  <c r="BT1084" i="1"/>
  <c r="BT1086" i="1"/>
  <c r="BT1087" i="1"/>
  <c r="BT1088" i="1"/>
  <c r="BT1089" i="1"/>
  <c r="BT1090" i="1"/>
  <c r="BT1091" i="1"/>
  <c r="BT1092" i="1"/>
  <c r="BT1093" i="1"/>
  <c r="BT1094" i="1"/>
  <c r="BT1097" i="1"/>
  <c r="BT1098" i="1"/>
  <c r="BT1099" i="1"/>
  <c r="BT1100" i="1"/>
  <c r="BT1101" i="1"/>
  <c r="BT1102" i="1"/>
  <c r="BT1103" i="1"/>
  <c r="BT1104" i="1"/>
  <c r="BT1105" i="1"/>
  <c r="BT1106" i="1"/>
  <c r="BT1108" i="1"/>
  <c r="BT1109" i="1"/>
  <c r="BT1110" i="1"/>
  <c r="BT1111" i="1"/>
  <c r="BT1112" i="1"/>
  <c r="BT1113" i="1"/>
  <c r="BT1115" i="1"/>
  <c r="BT1116" i="1"/>
  <c r="BT1117" i="1"/>
  <c r="BT1118" i="1"/>
  <c r="BT1120" i="1"/>
  <c r="BT1122" i="1"/>
  <c r="BT1123" i="1"/>
  <c r="BT1124" i="1"/>
  <c r="E1126" i="1"/>
  <c r="BT1126" i="1"/>
  <c r="BT1127" i="1"/>
  <c r="BT1128" i="1"/>
  <c r="BT1129" i="1"/>
  <c r="BT1130" i="1"/>
  <c r="BT1132" i="1"/>
  <c r="BT1133" i="1"/>
  <c r="BT1135" i="1"/>
  <c r="BT1136" i="1"/>
  <c r="BT1137" i="1"/>
  <c r="BT1138" i="1"/>
  <c r="BT1139" i="1"/>
  <c r="BT1140" i="1"/>
  <c r="BT1142" i="1"/>
  <c r="BT1143" i="1"/>
  <c r="BT1144" i="1"/>
  <c r="BT1145" i="1"/>
  <c r="BT1146" i="1"/>
  <c r="BT1147" i="1"/>
  <c r="BT1148" i="1"/>
  <c r="BT1149" i="1"/>
  <c r="BT1150" i="1"/>
  <c r="BT1153" i="1"/>
  <c r="BT1154" i="1"/>
  <c r="BT1155" i="1"/>
  <c r="BT1157" i="1"/>
  <c r="BT1158" i="1"/>
  <c r="BT1159" i="1"/>
  <c r="BT1160" i="1"/>
  <c r="BT1161" i="1"/>
  <c r="BT1162" i="1"/>
  <c r="BT1163" i="1"/>
  <c r="BT1164" i="1"/>
  <c r="BT1165" i="1"/>
  <c r="BT1167" i="1"/>
  <c r="BT1168" i="1"/>
  <c r="BT1169" i="1"/>
  <c r="BT1170" i="1"/>
  <c r="BT1172" i="1"/>
  <c r="BT1173" i="1"/>
  <c r="BT1174" i="1"/>
  <c r="BT1175" i="1"/>
  <c r="BT1177" i="1"/>
  <c r="BT1178" i="1"/>
  <c r="BT1179" i="1"/>
  <c r="BT1180" i="1"/>
  <c r="BT1181" i="1"/>
  <c r="BT1182" i="1"/>
  <c r="BT1183" i="1"/>
  <c r="BT1185" i="1"/>
  <c r="BT1186" i="1"/>
  <c r="BT1187" i="1"/>
  <c r="BT1188" i="1"/>
  <c r="BT1189" i="1"/>
  <c r="BT1190" i="1"/>
  <c r="BT1192" i="1"/>
  <c r="BT1194" i="1"/>
  <c r="BT1195" i="1"/>
  <c r="BT1196" i="1"/>
  <c r="BT1199" i="1"/>
  <c r="BT1201" i="1"/>
  <c r="BT1202" i="1"/>
  <c r="BT1203" i="1"/>
  <c r="BT1204" i="1"/>
  <c r="BT1205" i="1"/>
  <c r="BT1206" i="1"/>
  <c r="BT1207" i="1"/>
  <c r="BT1209" i="1"/>
  <c r="BT1210" i="1"/>
  <c r="BT1211" i="1"/>
  <c r="BT1212" i="1"/>
  <c r="BT1213" i="1"/>
  <c r="BT1214" i="1"/>
  <c r="BT1215" i="1"/>
  <c r="BT1216" i="1"/>
  <c r="BT1217" i="1"/>
  <c r="BT1219" i="1"/>
  <c r="BT1220" i="1"/>
  <c r="BT1222" i="1"/>
  <c r="BT1223" i="1"/>
  <c r="BT1224" i="1"/>
  <c r="BT1225" i="1"/>
  <c r="BT1226" i="1"/>
  <c r="BT1227" i="1"/>
  <c r="BT1230" i="1"/>
  <c r="BT1231" i="1"/>
  <c r="BT1232" i="1"/>
  <c r="BT1233" i="1"/>
  <c r="BT1234" i="1"/>
  <c r="BT1235" i="1"/>
  <c r="BT1236" i="1"/>
  <c r="BT1238" i="1"/>
  <c r="BT1240" i="1"/>
  <c r="BT1241" i="1"/>
  <c r="BT1242" i="1"/>
  <c r="BT1244" i="1"/>
  <c r="BT1245" i="1"/>
  <c r="BT1246" i="1"/>
  <c r="BT1247" i="1"/>
  <c r="BT1248" i="1"/>
  <c r="BT1251" i="1"/>
  <c r="BT1252" i="1"/>
  <c r="BT1253" i="1"/>
  <c r="BT1254" i="1"/>
  <c r="BT1255" i="1"/>
  <c r="BT1256" i="1"/>
  <c r="BT1257" i="1"/>
  <c r="BT1258" i="1"/>
  <c r="BT1259" i="1"/>
  <c r="BT1261" i="1"/>
  <c r="BT1262" i="1"/>
  <c r="BT1263" i="1"/>
  <c r="BT1265" i="1"/>
  <c r="BT1266" i="1"/>
  <c r="BT1267" i="1"/>
  <c r="BT1268" i="1"/>
  <c r="BT1272" i="1"/>
  <c r="BT1274" i="1"/>
  <c r="BT1275" i="1"/>
  <c r="BT1276" i="1"/>
  <c r="BT1277" i="1"/>
  <c r="BT1278" i="1"/>
  <c r="BT1279" i="1"/>
  <c r="BT1280" i="1"/>
  <c r="E1282" i="1"/>
  <c r="BT1282" i="1" s="1"/>
  <c r="BT1283" i="1"/>
  <c r="BT1284" i="1"/>
  <c r="BT1285" i="1"/>
  <c r="BT1286" i="1"/>
  <c r="BT1287" i="1"/>
  <c r="BT1288" i="1"/>
  <c r="BT1289" i="1"/>
  <c r="BT1291" i="1"/>
  <c r="BT1292" i="1"/>
  <c r="BT1293" i="1"/>
  <c r="BT1294" i="1"/>
  <c r="BT1295" i="1"/>
  <c r="BT1296" i="1"/>
  <c r="BT1297" i="1"/>
  <c r="BT1298" i="1"/>
  <c r="BT1299" i="1"/>
  <c r="BT1300" i="1"/>
  <c r="BT1301" i="1"/>
  <c r="BT1303" i="1"/>
  <c r="BT1304" i="1"/>
  <c r="BT1305" i="1"/>
  <c r="BT1306" i="1"/>
  <c r="BT1307" i="1"/>
  <c r="BT1308" i="1"/>
  <c r="BT1309" i="1"/>
  <c r="BT1310" i="1"/>
  <c r="BT1311" i="1"/>
  <c r="BT1312" i="1"/>
  <c r="BT1313" i="1"/>
  <c r="BU68" i="1"/>
  <c r="BU69" i="1"/>
  <c r="BU70" i="1"/>
  <c r="BU71" i="1"/>
  <c r="BU72" i="1"/>
  <c r="BU73" i="1"/>
  <c r="BU74" i="1"/>
  <c r="F76" i="1"/>
  <c r="BU76" i="1" s="1"/>
  <c r="BU77" i="1"/>
  <c r="BU78" i="1"/>
  <c r="BU79" i="1"/>
  <c r="BU80" i="1"/>
  <c r="BU81" i="1"/>
  <c r="BU82" i="1"/>
  <c r="F84" i="1"/>
  <c r="BU84" i="1" s="1"/>
  <c r="BU85" i="1"/>
  <c r="BU86" i="1"/>
  <c r="BU87" i="1"/>
  <c r="BU88" i="1"/>
  <c r="BU89" i="1"/>
  <c r="BU90" i="1"/>
  <c r="BU92" i="1"/>
  <c r="BU93" i="1"/>
  <c r="BU94" i="1"/>
  <c r="BU95" i="1"/>
  <c r="BU96" i="1"/>
  <c r="BU97" i="1"/>
  <c r="BU98" i="1"/>
  <c r="BU101" i="1"/>
  <c r="BU103" i="1"/>
  <c r="BU104" i="1"/>
  <c r="BU105" i="1"/>
  <c r="BU106" i="1"/>
  <c r="BU107" i="1"/>
  <c r="BU108" i="1"/>
  <c r="BU109" i="1"/>
  <c r="BU112" i="1"/>
  <c r="BU113" i="1"/>
  <c r="BU114" i="1"/>
  <c r="BU115" i="1"/>
  <c r="BU116" i="1"/>
  <c r="BU117" i="1"/>
  <c r="BU118" i="1"/>
  <c r="BU119" i="1"/>
  <c r="BU120" i="1"/>
  <c r="BU122" i="1"/>
  <c r="BU124" i="1"/>
  <c r="BU125" i="1"/>
  <c r="BU126" i="1"/>
  <c r="BU129" i="1"/>
  <c r="BU131" i="1"/>
  <c r="BU132" i="1"/>
  <c r="BU136" i="1"/>
  <c r="BU138" i="1"/>
  <c r="BU139" i="1"/>
  <c r="BU140" i="1"/>
  <c r="BU141" i="1"/>
  <c r="BU142" i="1"/>
  <c r="BU144" i="1"/>
  <c r="BU145" i="1"/>
  <c r="BU146" i="1"/>
  <c r="BU147" i="1"/>
  <c r="BU148" i="1"/>
  <c r="BU149" i="1"/>
  <c r="BU151" i="1"/>
  <c r="BU152" i="1"/>
  <c r="BU153" i="1"/>
  <c r="BU154" i="1"/>
  <c r="BU155" i="1"/>
  <c r="BU156" i="1"/>
  <c r="BU157" i="1"/>
  <c r="BU158" i="1"/>
  <c r="BU160" i="1"/>
  <c r="BU161" i="1"/>
  <c r="BU162" i="1"/>
  <c r="BU163" i="1"/>
  <c r="BU166" i="1"/>
  <c r="BU167" i="1"/>
  <c r="BU168" i="1"/>
  <c r="BU169" i="1"/>
  <c r="BU170" i="1"/>
  <c r="F172" i="1"/>
  <c r="BU172" i="1" s="1"/>
  <c r="BU173" i="1"/>
  <c r="BU175" i="1"/>
  <c r="BU176" i="1"/>
  <c r="BU177" i="1"/>
  <c r="BU178" i="1"/>
  <c r="BU179" i="1"/>
  <c r="BU180" i="1"/>
  <c r="BU181" i="1"/>
  <c r="BU182" i="1"/>
  <c r="BU183" i="1"/>
  <c r="BU184" i="1"/>
  <c r="BU186" i="1"/>
  <c r="BU187" i="1"/>
  <c r="BU188" i="1"/>
  <c r="BU189" i="1"/>
  <c r="BU190" i="1"/>
  <c r="BU191" i="1"/>
  <c r="BU192" i="1"/>
  <c r="BU193" i="1"/>
  <c r="BU195" i="1"/>
  <c r="BU196" i="1"/>
  <c r="BU197" i="1"/>
  <c r="BU198" i="1"/>
  <c r="BU200" i="1"/>
  <c r="BU201" i="1"/>
  <c r="BU202" i="1"/>
  <c r="BU203" i="1"/>
  <c r="BU204" i="1"/>
  <c r="BU205" i="1"/>
  <c r="BU206" i="1"/>
  <c r="BU207" i="1"/>
  <c r="BU209" i="1"/>
  <c r="BU210" i="1"/>
  <c r="BU211" i="1"/>
  <c r="BU212" i="1"/>
  <c r="BU213" i="1"/>
  <c r="BU214" i="1"/>
  <c r="BU215" i="1"/>
  <c r="BU217" i="1"/>
  <c r="BU218" i="1"/>
  <c r="BU219" i="1"/>
  <c r="BU220" i="1"/>
  <c r="BU221" i="1"/>
  <c r="BU222" i="1"/>
  <c r="BU224" i="1"/>
  <c r="BU225" i="1"/>
  <c r="BU226" i="1"/>
  <c r="BU227" i="1"/>
  <c r="BU228" i="1"/>
  <c r="BU229" i="1"/>
  <c r="BU231" i="1"/>
  <c r="BU232" i="1"/>
  <c r="BU233" i="1"/>
  <c r="BU234" i="1"/>
  <c r="BU235" i="1"/>
  <c r="BU236" i="1"/>
  <c r="BU237" i="1"/>
  <c r="BU238" i="1"/>
  <c r="F240" i="1"/>
  <c r="BU240" i="1" s="1"/>
  <c r="BU241" i="1"/>
  <c r="BU242" i="1"/>
  <c r="BU243" i="1"/>
  <c r="BU244" i="1"/>
  <c r="BU245" i="1"/>
  <c r="BU246" i="1"/>
  <c r="BU247" i="1"/>
  <c r="BU249" i="1"/>
  <c r="BU250" i="1"/>
  <c r="BU251" i="1"/>
  <c r="BU252" i="1"/>
  <c r="BU253" i="1"/>
  <c r="BU254" i="1"/>
  <c r="BU255" i="1"/>
  <c r="BU256" i="1"/>
  <c r="BU258" i="1"/>
  <c r="BU259" i="1"/>
  <c r="BU260" i="1"/>
  <c r="BU261" i="1"/>
  <c r="BU262" i="1"/>
  <c r="BU263" i="1"/>
  <c r="BU264" i="1"/>
  <c r="BU265" i="1"/>
  <c r="BU266" i="1"/>
  <c r="BU268" i="1"/>
  <c r="BU269" i="1"/>
  <c r="BU270" i="1"/>
  <c r="BU271" i="1"/>
  <c r="BU272" i="1"/>
  <c r="BU273" i="1"/>
  <c r="BU274" i="1"/>
  <c r="BU275" i="1"/>
  <c r="BU276" i="1"/>
  <c r="F278" i="1"/>
  <c r="BU278" i="1"/>
  <c r="BU279" i="1"/>
  <c r="BU280" i="1"/>
  <c r="BU281" i="1"/>
  <c r="BU282" i="1"/>
  <c r="BU283" i="1"/>
  <c r="BU285" i="1"/>
  <c r="BU286" i="1"/>
  <c r="BU287" i="1"/>
  <c r="BU288" i="1"/>
  <c r="BU291" i="1"/>
  <c r="BU292" i="1"/>
  <c r="BU293" i="1"/>
  <c r="BU294" i="1"/>
  <c r="BU296" i="1"/>
  <c r="BU297" i="1"/>
  <c r="BU298" i="1"/>
  <c r="BU299" i="1"/>
  <c r="BU300" i="1"/>
  <c r="BU301" i="1"/>
  <c r="BU302" i="1"/>
  <c r="BU303" i="1"/>
  <c r="BU305" i="1"/>
  <c r="BU306" i="1"/>
  <c r="BU307" i="1"/>
  <c r="BU308" i="1"/>
  <c r="BU309" i="1"/>
  <c r="BU310" i="1"/>
  <c r="BU311" i="1"/>
  <c r="BU312" i="1"/>
  <c r="BU313" i="1"/>
  <c r="BU314" i="1"/>
  <c r="BU316" i="1"/>
  <c r="BU317" i="1"/>
  <c r="BU318" i="1"/>
  <c r="BU319" i="1"/>
  <c r="BU320" i="1"/>
  <c r="BU321" i="1"/>
  <c r="BU322" i="1"/>
  <c r="BU323" i="1"/>
  <c r="BU324" i="1"/>
  <c r="BU325" i="1"/>
  <c r="BU326" i="1"/>
  <c r="BU327" i="1"/>
  <c r="F329" i="1"/>
  <c r="BU329" i="1" s="1"/>
  <c r="BU330" i="1"/>
  <c r="BU332" i="1"/>
  <c r="BU333" i="1"/>
  <c r="BU334" i="1"/>
  <c r="BU335" i="1"/>
  <c r="BU336" i="1"/>
  <c r="BU337" i="1"/>
  <c r="BU338" i="1"/>
  <c r="BU340" i="1"/>
  <c r="BU341" i="1"/>
  <c r="BU342" i="1"/>
  <c r="BU343" i="1"/>
  <c r="BU344" i="1"/>
  <c r="BU345" i="1"/>
  <c r="BU346" i="1"/>
  <c r="BU347" i="1"/>
  <c r="BU348" i="1"/>
  <c r="BU349" i="1"/>
  <c r="BU351" i="1"/>
  <c r="BU352" i="1"/>
  <c r="BU353" i="1"/>
  <c r="BU354" i="1"/>
  <c r="BU355" i="1"/>
  <c r="BU356" i="1"/>
  <c r="F358" i="1"/>
  <c r="BU358" i="1"/>
  <c r="BU359" i="1"/>
  <c r="BU360" i="1"/>
  <c r="BU361" i="1"/>
  <c r="BU362" i="1"/>
  <c r="BU363" i="1"/>
  <c r="BU364" i="1"/>
  <c r="BU365" i="1"/>
  <c r="BU367" i="1"/>
  <c r="BU368" i="1"/>
  <c r="BU369" i="1"/>
  <c r="BU371" i="1"/>
  <c r="BU372" i="1"/>
  <c r="BU373" i="1"/>
  <c r="F375" i="1"/>
  <c r="BU375" i="1"/>
  <c r="BU376" i="1"/>
  <c r="BU378" i="1"/>
  <c r="BU379" i="1"/>
  <c r="BU380" i="1"/>
  <c r="BU381" i="1"/>
  <c r="BU382" i="1"/>
  <c r="BU383" i="1"/>
  <c r="BU385" i="1"/>
  <c r="BU386" i="1"/>
  <c r="BU387" i="1"/>
  <c r="BU388" i="1"/>
  <c r="BU389" i="1"/>
  <c r="BU390" i="1"/>
  <c r="BU391" i="1"/>
  <c r="BU393" i="1"/>
  <c r="BU394" i="1"/>
  <c r="BU395" i="1"/>
  <c r="BU396" i="1"/>
  <c r="BU397" i="1"/>
  <c r="BU398" i="1"/>
  <c r="BU399" i="1"/>
  <c r="BU400" i="1"/>
  <c r="BU401" i="1"/>
  <c r="BU403" i="1"/>
  <c r="BU404" i="1"/>
  <c r="BU405" i="1"/>
  <c r="BU406" i="1"/>
  <c r="BU407" i="1"/>
  <c r="BU408" i="1"/>
  <c r="BU409" i="1"/>
  <c r="BU410" i="1"/>
  <c r="BU411" i="1"/>
  <c r="BU413" i="1"/>
  <c r="BU414" i="1"/>
  <c r="BU415" i="1"/>
  <c r="BU416" i="1"/>
  <c r="BU417" i="1"/>
  <c r="BU418" i="1"/>
  <c r="BU421" i="1"/>
  <c r="BU422" i="1"/>
  <c r="BU423" i="1"/>
  <c r="BU424" i="1"/>
  <c r="BU425" i="1"/>
  <c r="BU426" i="1"/>
  <c r="BU427" i="1"/>
  <c r="BU428" i="1"/>
  <c r="BU430" i="1"/>
  <c r="BU431" i="1"/>
  <c r="BU432" i="1"/>
  <c r="BU433" i="1"/>
  <c r="BU434" i="1"/>
  <c r="BU435" i="1"/>
  <c r="BU436" i="1"/>
  <c r="BU438" i="1"/>
  <c r="BU439" i="1"/>
  <c r="BU440" i="1"/>
  <c r="BU441" i="1"/>
  <c r="BU442" i="1"/>
  <c r="BU443" i="1"/>
  <c r="BU445" i="1"/>
  <c r="BU446" i="1"/>
  <c r="BU447" i="1"/>
  <c r="BU448" i="1"/>
  <c r="BU449" i="1"/>
  <c r="BU450" i="1"/>
  <c r="BU451" i="1"/>
  <c r="BU452" i="1"/>
  <c r="BU454" i="1"/>
  <c r="BU455" i="1"/>
  <c r="BU456" i="1"/>
  <c r="BU457" i="1"/>
  <c r="BU459" i="1"/>
  <c r="BU460" i="1"/>
  <c r="BU461" i="1"/>
  <c r="BU462" i="1"/>
  <c r="BU463" i="1"/>
  <c r="BU464" i="1"/>
  <c r="BU465" i="1"/>
  <c r="BU466" i="1"/>
  <c r="BU468" i="1"/>
  <c r="BU469" i="1"/>
  <c r="BU470" i="1"/>
  <c r="BU471" i="1"/>
  <c r="BU472" i="1"/>
  <c r="BU473" i="1"/>
  <c r="BU474" i="1"/>
  <c r="BU475" i="1"/>
  <c r="BU476" i="1"/>
  <c r="BU478" i="1"/>
  <c r="BU479" i="1"/>
  <c r="BU480" i="1"/>
  <c r="BU481" i="1"/>
  <c r="BU482" i="1"/>
  <c r="BU483" i="1"/>
  <c r="BU485" i="1"/>
  <c r="BU486" i="1"/>
  <c r="BU487" i="1"/>
  <c r="BU488" i="1"/>
  <c r="BU489" i="1"/>
  <c r="BU490" i="1"/>
  <c r="BU491" i="1"/>
  <c r="BU492" i="1"/>
  <c r="BU493" i="1"/>
  <c r="BU495" i="1"/>
  <c r="BU496" i="1"/>
  <c r="BU497" i="1"/>
  <c r="BU498" i="1"/>
  <c r="BU499" i="1"/>
  <c r="BU500" i="1"/>
  <c r="BU502" i="1"/>
  <c r="BU503" i="1"/>
  <c r="BU504" i="1"/>
  <c r="BU505" i="1"/>
  <c r="BU506" i="1"/>
  <c r="BU507" i="1"/>
  <c r="BU508" i="1"/>
  <c r="BU510" i="1"/>
  <c r="BU511" i="1"/>
  <c r="BU512" i="1"/>
  <c r="BU514" i="1"/>
  <c r="BU515" i="1"/>
  <c r="BU516" i="1"/>
  <c r="BU517" i="1"/>
  <c r="BU518" i="1"/>
  <c r="BU520" i="1"/>
  <c r="BU521" i="1"/>
  <c r="BU522" i="1"/>
  <c r="BU523" i="1"/>
  <c r="BU524" i="1"/>
  <c r="BU525" i="1"/>
  <c r="BU526" i="1"/>
  <c r="BU527" i="1"/>
  <c r="BU529" i="1"/>
  <c r="BU530" i="1"/>
  <c r="BU531" i="1"/>
  <c r="BU532" i="1"/>
  <c r="BU533" i="1"/>
  <c r="BU534" i="1"/>
  <c r="BU535" i="1"/>
  <c r="BU536" i="1"/>
  <c r="BU538" i="1"/>
  <c r="BU539" i="1"/>
  <c r="BU540" i="1"/>
  <c r="BU541" i="1"/>
  <c r="BU542" i="1"/>
  <c r="BU543" i="1"/>
  <c r="BU544" i="1"/>
  <c r="BU545" i="1"/>
  <c r="BU546" i="1"/>
  <c r="BU548" i="1"/>
  <c r="BU549" i="1"/>
  <c r="BU550" i="1"/>
  <c r="BU551" i="1"/>
  <c r="BU552" i="1"/>
  <c r="BU553" i="1"/>
  <c r="BU554" i="1"/>
  <c r="BU555" i="1"/>
  <c r="BU558" i="1"/>
  <c r="BU559" i="1"/>
  <c r="BU560" i="1"/>
  <c r="BU561" i="1"/>
  <c r="BU562" i="1"/>
  <c r="BU564" i="1"/>
  <c r="BU565" i="1"/>
  <c r="BU566" i="1"/>
  <c r="BU567" i="1"/>
  <c r="BU570" i="1"/>
  <c r="BU573" i="1"/>
  <c r="BU574" i="1"/>
  <c r="BU577" i="1"/>
  <c r="BU578" i="1"/>
  <c r="BU579" i="1"/>
  <c r="BU580" i="1"/>
  <c r="BU581" i="1"/>
  <c r="F583" i="1"/>
  <c r="BU583" i="1"/>
  <c r="BU584" i="1"/>
  <c r="BU586" i="1"/>
  <c r="BU587" i="1"/>
  <c r="BU588" i="1"/>
  <c r="BU590" i="1"/>
  <c r="BU591" i="1"/>
  <c r="BU592" i="1"/>
  <c r="BU593" i="1"/>
  <c r="BU594" i="1"/>
  <c r="BU595" i="1"/>
  <c r="BU596" i="1"/>
  <c r="BU597" i="1"/>
  <c r="BU598" i="1"/>
  <c r="BU600" i="1"/>
  <c r="BU601" i="1"/>
  <c r="BU604" i="1"/>
  <c r="BU605" i="1"/>
  <c r="BU606" i="1"/>
  <c r="BU607" i="1"/>
  <c r="BU608" i="1"/>
  <c r="BU609" i="1"/>
  <c r="BU610" i="1"/>
  <c r="BU611" i="1"/>
  <c r="BU612" i="1"/>
  <c r="F614" i="1"/>
  <c r="BU614" i="1"/>
  <c r="BU615" i="1"/>
  <c r="BU617" i="1"/>
  <c r="BU618" i="1"/>
  <c r="BU619" i="1"/>
  <c r="BU620" i="1"/>
  <c r="BU622" i="1"/>
  <c r="BU623" i="1"/>
  <c r="BU624" i="1"/>
  <c r="BU625" i="1"/>
  <c r="BU626" i="1"/>
  <c r="BU628" i="1"/>
  <c r="BU629" i="1"/>
  <c r="BU630" i="1"/>
  <c r="BU631" i="1"/>
  <c r="BU632" i="1"/>
  <c r="BU633" i="1"/>
  <c r="BU634" i="1"/>
  <c r="F636" i="1"/>
  <c r="BU636" i="1" s="1"/>
  <c r="BU637" i="1"/>
  <c r="BU638" i="1"/>
  <c r="BU639" i="1"/>
  <c r="BU641" i="1"/>
  <c r="BU643" i="1"/>
  <c r="BU644" i="1"/>
  <c r="BU645" i="1"/>
  <c r="BU647" i="1"/>
  <c r="BU648" i="1"/>
  <c r="BU649" i="1"/>
  <c r="BU650" i="1"/>
  <c r="BU651" i="1"/>
  <c r="BU652" i="1"/>
  <c r="F654" i="1"/>
  <c r="BU654" i="1"/>
  <c r="BU655" i="1"/>
  <c r="BU656" i="1"/>
  <c r="BU657" i="1"/>
  <c r="BU658" i="1"/>
  <c r="BU659" i="1"/>
  <c r="BU660" i="1"/>
  <c r="BU662" i="1"/>
  <c r="BU663" i="1"/>
  <c r="BU666" i="1"/>
  <c r="BU667" i="1"/>
  <c r="BU669" i="1"/>
  <c r="BU670" i="1"/>
  <c r="BU671" i="1"/>
  <c r="BU672" i="1"/>
  <c r="BU674" i="1"/>
  <c r="BU675" i="1"/>
  <c r="BU676" i="1"/>
  <c r="BU677" i="1"/>
  <c r="BU678" i="1"/>
  <c r="BU679" i="1"/>
  <c r="BU681" i="1"/>
  <c r="BU682" i="1"/>
  <c r="BU683" i="1"/>
  <c r="BU684" i="1"/>
  <c r="BU685" i="1"/>
  <c r="BU686" i="1"/>
  <c r="BU687" i="1"/>
  <c r="BU688" i="1"/>
  <c r="BU689" i="1"/>
  <c r="BU690" i="1"/>
  <c r="BU691" i="1"/>
  <c r="BU693" i="1"/>
  <c r="BU694" i="1"/>
  <c r="BU695" i="1"/>
  <c r="BU696" i="1"/>
  <c r="BU698" i="1"/>
  <c r="BU699" i="1"/>
  <c r="BU702" i="1"/>
  <c r="BU703" i="1"/>
  <c r="BU704" i="1"/>
  <c r="BU706" i="1"/>
  <c r="BU707" i="1"/>
  <c r="BU708" i="1"/>
  <c r="BU709" i="1"/>
  <c r="BU711" i="1"/>
  <c r="BU712" i="1"/>
  <c r="BU713" i="1"/>
  <c r="BU714" i="1"/>
  <c r="BU715" i="1"/>
  <c r="BU716" i="1"/>
  <c r="BU717" i="1"/>
  <c r="BU718" i="1"/>
  <c r="BU720" i="1"/>
  <c r="BU721" i="1"/>
  <c r="BU723" i="1"/>
  <c r="BU724" i="1"/>
  <c r="BU725" i="1"/>
  <c r="BU726" i="1"/>
  <c r="BU729" i="1"/>
  <c r="BU731" i="1"/>
  <c r="BU732" i="1"/>
  <c r="BU733" i="1"/>
  <c r="BU734" i="1"/>
  <c r="BU735" i="1"/>
  <c r="BU736" i="1"/>
  <c r="BU738" i="1"/>
  <c r="BU739" i="1"/>
  <c r="BU740" i="1"/>
  <c r="BU741" i="1"/>
  <c r="BU742" i="1"/>
  <c r="BU743" i="1"/>
  <c r="BU744" i="1"/>
  <c r="BU745" i="1"/>
  <c r="BU748" i="1"/>
  <c r="BU750" i="1"/>
  <c r="BU751" i="1"/>
  <c r="BU752" i="1"/>
  <c r="BU753" i="1"/>
  <c r="BU754" i="1"/>
  <c r="BU755" i="1"/>
  <c r="BU756" i="1"/>
  <c r="BU758" i="1"/>
  <c r="BU760" i="1"/>
  <c r="BU761" i="1"/>
  <c r="BU763" i="1"/>
  <c r="BU764" i="1"/>
  <c r="BU766" i="1"/>
  <c r="BU767" i="1"/>
  <c r="BU768" i="1"/>
  <c r="BU769" i="1"/>
  <c r="BU774" i="1"/>
  <c r="BU775" i="1"/>
  <c r="BU777" i="1"/>
  <c r="BU778" i="1"/>
  <c r="BU779" i="1"/>
  <c r="BU780" i="1"/>
  <c r="BU782" i="1"/>
  <c r="BU783" i="1"/>
  <c r="BU784" i="1"/>
  <c r="BU785" i="1"/>
  <c r="BU786" i="1"/>
  <c r="BU787" i="1"/>
  <c r="BU789" i="1"/>
  <c r="BU790" i="1"/>
  <c r="BU791" i="1"/>
  <c r="BU794" i="1"/>
  <c r="BU795" i="1"/>
  <c r="BU796" i="1"/>
  <c r="BU797" i="1"/>
  <c r="BU798" i="1"/>
  <c r="BU800" i="1"/>
  <c r="BU801" i="1"/>
  <c r="BU802" i="1"/>
  <c r="BU803" i="1"/>
  <c r="BU804" i="1"/>
  <c r="BU805" i="1"/>
  <c r="BU806" i="1"/>
  <c r="BU807" i="1"/>
  <c r="BU808" i="1"/>
  <c r="F810" i="1"/>
  <c r="BU810" i="1" s="1"/>
  <c r="BU811" i="1"/>
  <c r="BU812" i="1"/>
  <c r="BU813" i="1"/>
  <c r="BU814" i="1"/>
  <c r="BU815" i="1"/>
  <c r="BU816" i="1"/>
  <c r="BU818" i="1"/>
  <c r="BU819" i="1"/>
  <c r="BU820" i="1"/>
  <c r="BU822" i="1"/>
  <c r="BU823" i="1"/>
  <c r="BU824" i="1"/>
  <c r="BU825" i="1"/>
  <c r="BU826" i="1"/>
  <c r="BU827" i="1"/>
  <c r="F829" i="1"/>
  <c r="BU829" i="1" s="1"/>
  <c r="BU830" i="1"/>
  <c r="BU831" i="1"/>
  <c r="BU832" i="1"/>
  <c r="BU834" i="1"/>
  <c r="BU835" i="1"/>
  <c r="BU836" i="1"/>
  <c r="BU838" i="1"/>
  <c r="BU839" i="1"/>
  <c r="BU840" i="1"/>
  <c r="BU841" i="1"/>
  <c r="BU842" i="1"/>
  <c r="BU843" i="1"/>
  <c r="BU844" i="1"/>
  <c r="BU845" i="1"/>
  <c r="BU846" i="1"/>
  <c r="BU847" i="1"/>
  <c r="BU848" i="1"/>
  <c r="BU849" i="1"/>
  <c r="BU850" i="1"/>
  <c r="BU852" i="1"/>
  <c r="BU854" i="1"/>
  <c r="BU855" i="1"/>
  <c r="BU856" i="1"/>
  <c r="BU857" i="1"/>
  <c r="BU859" i="1"/>
  <c r="BU860" i="1"/>
  <c r="BU862" i="1"/>
  <c r="BU863" i="1"/>
  <c r="BU864" i="1"/>
  <c r="BU865" i="1"/>
  <c r="BU866" i="1"/>
  <c r="BU867" i="1"/>
  <c r="BU868" i="1"/>
  <c r="BU869" i="1"/>
  <c r="BU870" i="1"/>
  <c r="BU872" i="1"/>
  <c r="BU873" i="1"/>
  <c r="BU874" i="1"/>
  <c r="BU875" i="1"/>
  <c r="BU876" i="1"/>
  <c r="BU877" i="1"/>
  <c r="BU878" i="1"/>
  <c r="BU879" i="1"/>
  <c r="BU880" i="1"/>
  <c r="BU881" i="1"/>
  <c r="BU884" i="1"/>
  <c r="BU886" i="1"/>
  <c r="BU887" i="1"/>
  <c r="BU888" i="1"/>
  <c r="BU889" i="1"/>
  <c r="BU890" i="1"/>
  <c r="BU891" i="1"/>
  <c r="BU892" i="1"/>
  <c r="BU893" i="1"/>
  <c r="BU894" i="1"/>
  <c r="BU895" i="1"/>
  <c r="BU897" i="1"/>
  <c r="BU898" i="1"/>
  <c r="BU899" i="1"/>
  <c r="BU900" i="1"/>
  <c r="BU901" i="1"/>
  <c r="BU902" i="1"/>
  <c r="BU904" i="1"/>
  <c r="BU905" i="1"/>
  <c r="BU906" i="1"/>
  <c r="BU908" i="1"/>
  <c r="BU909" i="1"/>
  <c r="BU910" i="1"/>
  <c r="BU911" i="1"/>
  <c r="BU912" i="1"/>
  <c r="BU913" i="1"/>
  <c r="BU915" i="1"/>
  <c r="BU916" i="1"/>
  <c r="BU917" i="1"/>
  <c r="BU918" i="1"/>
  <c r="BU919" i="1"/>
  <c r="BU920" i="1"/>
  <c r="BU921" i="1"/>
  <c r="BU922" i="1"/>
  <c r="BU923" i="1"/>
  <c r="BU924" i="1"/>
  <c r="BU925" i="1"/>
  <c r="BU927" i="1"/>
  <c r="BU928" i="1"/>
  <c r="BU929" i="1"/>
  <c r="BU930" i="1"/>
  <c r="BU931" i="1"/>
  <c r="BU932" i="1"/>
  <c r="BU933" i="1"/>
  <c r="BU935" i="1"/>
  <c r="BU936" i="1"/>
  <c r="BU937" i="1"/>
  <c r="BU938" i="1"/>
  <c r="BU939" i="1"/>
  <c r="BU940" i="1"/>
  <c r="BU941" i="1"/>
  <c r="BU943" i="1"/>
  <c r="BU944" i="1"/>
  <c r="BU945" i="1"/>
  <c r="BU947" i="1"/>
  <c r="BU948" i="1"/>
  <c r="BU950" i="1"/>
  <c r="BU951" i="1"/>
  <c r="BU952" i="1"/>
  <c r="BU953" i="1"/>
  <c r="BU954" i="1"/>
  <c r="BU955" i="1"/>
  <c r="BU956" i="1"/>
  <c r="BU957" i="1"/>
  <c r="BU958" i="1"/>
  <c r="BU961" i="1"/>
  <c r="BU962" i="1"/>
  <c r="BU963" i="1"/>
  <c r="BU964" i="1"/>
  <c r="BU965" i="1"/>
  <c r="BU966" i="1"/>
  <c r="BU967" i="1"/>
  <c r="BU969" i="1"/>
  <c r="BU970" i="1"/>
  <c r="BU971" i="1"/>
  <c r="BU972" i="1"/>
  <c r="BU973" i="1"/>
  <c r="BU974" i="1"/>
  <c r="BU975" i="1"/>
  <c r="BU977" i="1"/>
  <c r="BU978" i="1"/>
  <c r="BU979" i="1"/>
  <c r="BU980" i="1"/>
  <c r="BU981" i="1"/>
  <c r="BU983" i="1"/>
  <c r="BU985" i="1"/>
  <c r="BU986" i="1"/>
  <c r="BU987" i="1"/>
  <c r="F989" i="1"/>
  <c r="BU989" i="1"/>
  <c r="BU990" i="1"/>
  <c r="BU991" i="1"/>
  <c r="BU992" i="1"/>
  <c r="BU993" i="1"/>
  <c r="BU994" i="1"/>
  <c r="BU996" i="1"/>
  <c r="BU997" i="1"/>
  <c r="BU998" i="1"/>
  <c r="BU999" i="1"/>
  <c r="BU1000" i="1"/>
  <c r="BU1001" i="1"/>
  <c r="BU1002" i="1"/>
  <c r="BU1003" i="1"/>
  <c r="BU1006" i="1"/>
  <c r="BU1007" i="1"/>
  <c r="BU1008" i="1"/>
  <c r="BU1009" i="1"/>
  <c r="BU1010" i="1"/>
  <c r="BU1011" i="1"/>
  <c r="BU1013" i="1"/>
  <c r="BU1014" i="1"/>
  <c r="BU1015" i="1"/>
  <c r="BU1016" i="1"/>
  <c r="BU1017" i="1"/>
  <c r="BU1018" i="1"/>
  <c r="BU1019" i="1"/>
  <c r="BU1020" i="1"/>
  <c r="BU1021" i="1"/>
  <c r="BU1022" i="1"/>
  <c r="BU1023" i="1"/>
  <c r="BU1025" i="1"/>
  <c r="BU1026" i="1"/>
  <c r="BU1027" i="1"/>
  <c r="BU1028" i="1"/>
  <c r="BU1029" i="1"/>
  <c r="BU1030" i="1"/>
  <c r="BU1031" i="1"/>
  <c r="BU1032" i="1"/>
  <c r="BU1033" i="1"/>
  <c r="BU1035" i="1"/>
  <c r="BU1036" i="1"/>
  <c r="BU1037" i="1"/>
  <c r="BU1038" i="1"/>
  <c r="BU1039" i="1"/>
  <c r="BU1040" i="1"/>
  <c r="BU1041" i="1"/>
  <c r="BU1042" i="1"/>
  <c r="BU1043" i="1"/>
  <c r="BU1044" i="1"/>
  <c r="BU1046" i="1"/>
  <c r="BU1047" i="1"/>
  <c r="BU1048" i="1"/>
  <c r="BU1051" i="1"/>
  <c r="BU1053" i="1"/>
  <c r="BU1054" i="1"/>
  <c r="BU1055" i="1"/>
  <c r="BU1056" i="1"/>
  <c r="BU1057" i="1"/>
  <c r="BU1059" i="1"/>
  <c r="BU1060" i="1"/>
  <c r="BU1061" i="1"/>
  <c r="BU1062" i="1"/>
  <c r="BU1063" i="1"/>
  <c r="BU1064" i="1"/>
  <c r="BU1066" i="1"/>
  <c r="BU1067" i="1"/>
  <c r="BU1068" i="1"/>
  <c r="BU1069" i="1"/>
  <c r="BU1070" i="1"/>
  <c r="BU1071" i="1"/>
  <c r="BU1072" i="1"/>
  <c r="BU1073" i="1"/>
  <c r="BU1075" i="1"/>
  <c r="BU1076" i="1"/>
  <c r="BU1077" i="1"/>
  <c r="BU1079" i="1"/>
  <c r="BU1080" i="1"/>
  <c r="BU1081" i="1"/>
  <c r="BU1082" i="1"/>
  <c r="BU1083" i="1"/>
  <c r="BU1084" i="1"/>
  <c r="BU1086" i="1"/>
  <c r="BU1087" i="1"/>
  <c r="BU1088" i="1"/>
  <c r="BU1089" i="1"/>
  <c r="BU1090" i="1"/>
  <c r="BU1091" i="1"/>
  <c r="BU1092" i="1"/>
  <c r="BU1093" i="1"/>
  <c r="BU1094" i="1"/>
  <c r="BU1097" i="1"/>
  <c r="BU1098" i="1"/>
  <c r="BU1099" i="1"/>
  <c r="BU1100" i="1"/>
  <c r="BU1101" i="1"/>
  <c r="BU1102" i="1"/>
  <c r="BU1103" i="1"/>
  <c r="BU1104" i="1"/>
  <c r="BU1105" i="1"/>
  <c r="BU1106" i="1"/>
  <c r="BU1108" i="1"/>
  <c r="BU1109" i="1"/>
  <c r="BU1110" i="1"/>
  <c r="BU1111" i="1"/>
  <c r="BU1112" i="1"/>
  <c r="BU1113" i="1"/>
  <c r="BU1115" i="1"/>
  <c r="BU1116" i="1"/>
  <c r="BU1117" i="1"/>
  <c r="BU1118" i="1"/>
  <c r="BU1120" i="1"/>
  <c r="BU1122" i="1"/>
  <c r="BU1123" i="1"/>
  <c r="BU1124" i="1"/>
  <c r="F1126" i="1"/>
  <c r="BU1126" i="1" s="1"/>
  <c r="BU1127" i="1"/>
  <c r="BU1128" i="1"/>
  <c r="BU1129" i="1"/>
  <c r="BU1130" i="1"/>
  <c r="BU1132" i="1"/>
  <c r="BU1133" i="1"/>
  <c r="BU1135" i="1"/>
  <c r="BU1136" i="1"/>
  <c r="BU1137" i="1"/>
  <c r="BU1138" i="1"/>
  <c r="BU1139" i="1"/>
  <c r="BU1140" i="1"/>
  <c r="BU1142" i="1"/>
  <c r="BU1143" i="1"/>
  <c r="BU1144" i="1"/>
  <c r="BU1145" i="1"/>
  <c r="BU1146" i="1"/>
  <c r="BU1147" i="1"/>
  <c r="BU1148" i="1"/>
  <c r="BU1149" i="1"/>
  <c r="BU1150" i="1"/>
  <c r="BU1152" i="1"/>
  <c r="BU1153" i="1"/>
  <c r="BU1154" i="1"/>
  <c r="BU1155" i="1"/>
  <c r="BU1157" i="1"/>
  <c r="BU1158" i="1"/>
  <c r="BU1159" i="1"/>
  <c r="BU1160" i="1"/>
  <c r="BU1161" i="1"/>
  <c r="BU1162" i="1"/>
  <c r="BU1163" i="1"/>
  <c r="BU1164" i="1"/>
  <c r="BU1165" i="1"/>
  <c r="BU1167" i="1"/>
  <c r="BU1168" i="1"/>
  <c r="BU1169" i="1"/>
  <c r="BU1170" i="1"/>
  <c r="BU1172" i="1"/>
  <c r="BU1173" i="1"/>
  <c r="BU1174" i="1"/>
  <c r="BU1175" i="1"/>
  <c r="BU1177" i="1"/>
  <c r="BU1178" i="1"/>
  <c r="BU1179" i="1"/>
  <c r="BU1180" i="1"/>
  <c r="BU1181" i="1"/>
  <c r="BU1182" i="1"/>
  <c r="BU1183" i="1"/>
  <c r="BU1186" i="1"/>
  <c r="BU1187" i="1"/>
  <c r="BU1188" i="1"/>
  <c r="BU1189" i="1"/>
  <c r="BU1190" i="1"/>
  <c r="BU1192" i="1"/>
  <c r="BU1194" i="1"/>
  <c r="BU1195" i="1"/>
  <c r="BU1196" i="1"/>
  <c r="BU1199" i="1"/>
  <c r="BU1202" i="1"/>
  <c r="BU1203" i="1"/>
  <c r="BU1204" i="1"/>
  <c r="BU1205" i="1"/>
  <c r="BU1206" i="1"/>
  <c r="BU1207" i="1"/>
  <c r="BU1209" i="1"/>
  <c r="BU1210" i="1"/>
  <c r="BU1211" i="1"/>
  <c r="BU1212" i="1"/>
  <c r="BU1213" i="1"/>
  <c r="BU1214" i="1"/>
  <c r="BU1215" i="1"/>
  <c r="BU1216" i="1"/>
  <c r="BU1217" i="1"/>
  <c r="BU1219" i="1"/>
  <c r="BU1220" i="1"/>
  <c r="BU1222" i="1"/>
  <c r="BU1223" i="1"/>
  <c r="BU1224" i="1"/>
  <c r="BU1225" i="1"/>
  <c r="BU1226" i="1"/>
  <c r="BU1227" i="1"/>
  <c r="BU1229" i="1"/>
  <c r="BU1230" i="1"/>
  <c r="BU1231" i="1"/>
  <c r="BU1232" i="1"/>
  <c r="BU1233" i="1"/>
  <c r="BU1234" i="1"/>
  <c r="BU1235" i="1"/>
  <c r="BU1236" i="1"/>
  <c r="BU1238" i="1"/>
  <c r="BU1240" i="1"/>
  <c r="BU1241" i="1"/>
  <c r="BU1242" i="1"/>
  <c r="BU1244" i="1"/>
  <c r="BU1245" i="1"/>
  <c r="BU1246" i="1"/>
  <c r="BU1247" i="1"/>
  <c r="BU1248" i="1"/>
  <c r="BU1250" i="1"/>
  <c r="BU1251" i="1"/>
  <c r="BU1252" i="1"/>
  <c r="BU1253" i="1"/>
  <c r="BU1254" i="1"/>
  <c r="BU1255" i="1"/>
  <c r="BU1256" i="1"/>
  <c r="BU1257" i="1"/>
  <c r="BU1258" i="1"/>
  <c r="BU1259" i="1"/>
  <c r="BU1261" i="1"/>
  <c r="BU1262" i="1"/>
  <c r="BU1263" i="1"/>
  <c r="BU1265" i="1"/>
  <c r="BU1266" i="1"/>
  <c r="BU1267" i="1"/>
  <c r="BU1268" i="1"/>
  <c r="BU1272" i="1"/>
  <c r="BU1274" i="1"/>
  <c r="BU1275" i="1"/>
  <c r="BU1276" i="1"/>
  <c r="BU1277" i="1"/>
  <c r="BU1278" i="1"/>
  <c r="BU1279" i="1"/>
  <c r="BU1280" i="1"/>
  <c r="F1282" i="1"/>
  <c r="BU1282" i="1" s="1"/>
  <c r="BU1283" i="1"/>
  <c r="BU1284" i="1"/>
  <c r="BU1285" i="1"/>
  <c r="BU1286" i="1"/>
  <c r="BU1287" i="1"/>
  <c r="BU1288" i="1"/>
  <c r="BU1289" i="1"/>
  <c r="BU1291" i="1"/>
  <c r="BU1292" i="1"/>
  <c r="BU1293" i="1"/>
  <c r="BU1294" i="1"/>
  <c r="BU1295" i="1"/>
  <c r="BU1296" i="1"/>
  <c r="BU1297" i="1"/>
  <c r="BU1298" i="1"/>
  <c r="BU1299" i="1"/>
  <c r="BU1300" i="1"/>
  <c r="BU1301" i="1"/>
  <c r="BU1303" i="1"/>
  <c r="BU1304" i="1"/>
  <c r="BU1305" i="1"/>
  <c r="BU1306" i="1"/>
  <c r="BU1307" i="1"/>
  <c r="BU1308" i="1"/>
  <c r="BU1309" i="1"/>
  <c r="BU1310" i="1"/>
  <c r="BU1311" i="1"/>
  <c r="BU1312" i="1"/>
  <c r="BU1313" i="1"/>
  <c r="BV67" i="1"/>
  <c r="BV68" i="1"/>
  <c r="BV69" i="1"/>
  <c r="BV70" i="1"/>
  <c r="BV71" i="1"/>
  <c r="BV72" i="1"/>
  <c r="BV73" i="1"/>
  <c r="BV74" i="1"/>
  <c r="G76" i="1"/>
  <c r="BV76" i="1"/>
  <c r="BV77" i="1"/>
  <c r="BV78" i="1"/>
  <c r="BV79" i="1"/>
  <c r="BV80" i="1"/>
  <c r="BV81" i="1"/>
  <c r="BV82" i="1"/>
  <c r="G84" i="1"/>
  <c r="BV84" i="1" s="1"/>
  <c r="BV85" i="1"/>
  <c r="BV86" i="1"/>
  <c r="BV87" i="1"/>
  <c r="BV88" i="1"/>
  <c r="BV89" i="1"/>
  <c r="BV90" i="1"/>
  <c r="BV92" i="1"/>
  <c r="BV93" i="1"/>
  <c r="BV94" i="1"/>
  <c r="BV95" i="1"/>
  <c r="BV96" i="1"/>
  <c r="BV97" i="1"/>
  <c r="BV98" i="1"/>
  <c r="BV101" i="1"/>
  <c r="BV103" i="1"/>
  <c r="BV104" i="1"/>
  <c r="BV105" i="1"/>
  <c r="BV106" i="1"/>
  <c r="BV107" i="1"/>
  <c r="BV108" i="1"/>
  <c r="BV109" i="1"/>
  <c r="BV112" i="1"/>
  <c r="BV113" i="1"/>
  <c r="BV114" i="1"/>
  <c r="BV115" i="1"/>
  <c r="BV116" i="1"/>
  <c r="BV117" i="1"/>
  <c r="BV118" i="1"/>
  <c r="BV119" i="1"/>
  <c r="BV120" i="1"/>
  <c r="BV122" i="1"/>
  <c r="BV124" i="1"/>
  <c r="BV125" i="1"/>
  <c r="BV126" i="1"/>
  <c r="BV129" i="1"/>
  <c r="BV131" i="1"/>
  <c r="BV132" i="1"/>
  <c r="BV136" i="1"/>
  <c r="BV138" i="1"/>
  <c r="BV139" i="1"/>
  <c r="BV140" i="1"/>
  <c r="BV141" i="1"/>
  <c r="BV142" i="1"/>
  <c r="BV144" i="1"/>
  <c r="BV145" i="1"/>
  <c r="BV146" i="1"/>
  <c r="BV147" i="1"/>
  <c r="BV148" i="1"/>
  <c r="BV149" i="1"/>
  <c r="BV151" i="1"/>
  <c r="BV152" i="1"/>
  <c r="BV153" i="1"/>
  <c r="BV154" i="1"/>
  <c r="BV155" i="1"/>
  <c r="BV156" i="1"/>
  <c r="BV157" i="1"/>
  <c r="BV158" i="1"/>
  <c r="BV160" i="1"/>
  <c r="BV161" i="1"/>
  <c r="BV162" i="1"/>
  <c r="BV163" i="1"/>
  <c r="BV166" i="1"/>
  <c r="BV167" i="1"/>
  <c r="BV168" i="1"/>
  <c r="BV169" i="1"/>
  <c r="BV170" i="1"/>
  <c r="G172" i="1"/>
  <c r="BV172" i="1"/>
  <c r="BV173" i="1"/>
  <c r="BV175" i="1"/>
  <c r="BV176" i="1"/>
  <c r="BV177" i="1"/>
  <c r="BV178" i="1"/>
  <c r="BV179" i="1"/>
  <c r="BV180" i="1"/>
  <c r="BV181" i="1"/>
  <c r="BV182" i="1"/>
  <c r="BV183" i="1"/>
  <c r="BV184" i="1"/>
  <c r="BV186" i="1"/>
  <c r="BV187" i="1"/>
  <c r="BV188" i="1"/>
  <c r="BV189" i="1"/>
  <c r="BV190" i="1"/>
  <c r="BV191" i="1"/>
  <c r="BV192" i="1"/>
  <c r="BV193" i="1"/>
  <c r="BV195" i="1"/>
  <c r="BV196" i="1"/>
  <c r="BV197" i="1"/>
  <c r="BV198" i="1"/>
  <c r="BV200" i="1"/>
  <c r="BV201" i="1"/>
  <c r="BV202" i="1"/>
  <c r="BV203" i="1"/>
  <c r="BV204" i="1"/>
  <c r="BV205" i="1"/>
  <c r="BV206" i="1"/>
  <c r="BV207" i="1"/>
  <c r="BV209" i="1"/>
  <c r="BV210" i="1"/>
  <c r="BV211" i="1"/>
  <c r="BV212" i="1"/>
  <c r="BV213" i="1"/>
  <c r="BV214" i="1"/>
  <c r="BV215" i="1"/>
  <c r="BV217" i="1"/>
  <c r="BV218" i="1"/>
  <c r="BV219" i="1"/>
  <c r="BV220" i="1"/>
  <c r="BV221" i="1"/>
  <c r="BV222" i="1"/>
  <c r="BV224" i="1"/>
  <c r="BV225" i="1"/>
  <c r="BV226" i="1"/>
  <c r="BV227" i="1"/>
  <c r="BV228" i="1"/>
  <c r="BV229" i="1"/>
  <c r="BV231" i="1"/>
  <c r="BV232" i="1"/>
  <c r="BV233" i="1"/>
  <c r="BV234" i="1"/>
  <c r="BV235" i="1"/>
  <c r="BV236" i="1"/>
  <c r="BV237" i="1"/>
  <c r="BV238" i="1"/>
  <c r="G240" i="1"/>
  <c r="BV240" i="1"/>
  <c r="BV241" i="1"/>
  <c r="BV242" i="1"/>
  <c r="BV243" i="1"/>
  <c r="BV244" i="1"/>
  <c r="BV245" i="1"/>
  <c r="BV246" i="1"/>
  <c r="BV247" i="1"/>
  <c r="BV250" i="1"/>
  <c r="BV251" i="1"/>
  <c r="BV252" i="1"/>
  <c r="BV253" i="1"/>
  <c r="BV254" i="1"/>
  <c r="BV255" i="1"/>
  <c r="BV256" i="1"/>
  <c r="BV259" i="1"/>
  <c r="BV260" i="1"/>
  <c r="BV261" i="1"/>
  <c r="BV262" i="1"/>
  <c r="BV263" i="1"/>
  <c r="BV264" i="1"/>
  <c r="BV265" i="1"/>
  <c r="BV266" i="1"/>
  <c r="BV268" i="1"/>
  <c r="BV269" i="1"/>
  <c r="BV270" i="1"/>
  <c r="BV271" i="1"/>
  <c r="BV272" i="1"/>
  <c r="BV273" i="1"/>
  <c r="BV274" i="1"/>
  <c r="BV275" i="1"/>
  <c r="BV276" i="1"/>
  <c r="G278" i="1"/>
  <c r="BV278" i="1"/>
  <c r="BV279" i="1"/>
  <c r="BV280" i="1"/>
  <c r="BV281" i="1"/>
  <c r="BV282" i="1"/>
  <c r="BV283" i="1"/>
  <c r="BV285" i="1"/>
  <c r="BV286" i="1"/>
  <c r="BV287" i="1"/>
  <c r="BV288" i="1"/>
  <c r="BV291" i="1"/>
  <c r="BV292" i="1"/>
  <c r="BV293" i="1"/>
  <c r="BV294" i="1"/>
  <c r="BV296" i="1"/>
  <c r="BV297" i="1"/>
  <c r="BV298" i="1"/>
  <c r="BV299" i="1"/>
  <c r="BV300" i="1"/>
  <c r="BV301" i="1"/>
  <c r="BV302" i="1"/>
  <c r="BV303" i="1"/>
  <c r="BV305" i="1"/>
  <c r="BV306" i="1"/>
  <c r="BV307" i="1"/>
  <c r="BV308" i="1"/>
  <c r="BV309" i="1"/>
  <c r="BV310" i="1"/>
  <c r="BV311" i="1"/>
  <c r="BV312" i="1"/>
  <c r="BV313" i="1"/>
  <c r="BV314" i="1"/>
  <c r="BV317" i="1"/>
  <c r="BV318" i="1"/>
  <c r="BV319" i="1"/>
  <c r="BV320" i="1"/>
  <c r="BV321" i="1"/>
  <c r="BV322" i="1"/>
  <c r="BV323" i="1"/>
  <c r="BV324" i="1"/>
  <c r="BV325" i="1"/>
  <c r="BV326" i="1"/>
  <c r="BV327" i="1"/>
  <c r="G329" i="1"/>
  <c r="BV329" i="1"/>
  <c r="BV330" i="1"/>
  <c r="BV332" i="1"/>
  <c r="BV333" i="1"/>
  <c r="BV334" i="1"/>
  <c r="BV335" i="1"/>
  <c r="BV336" i="1"/>
  <c r="BV337" i="1"/>
  <c r="BV338" i="1"/>
  <c r="BV341" i="1"/>
  <c r="BV342" i="1"/>
  <c r="BV343" i="1"/>
  <c r="BV344" i="1"/>
  <c r="BV345" i="1"/>
  <c r="BV346" i="1"/>
  <c r="BV347" i="1"/>
  <c r="BV348" i="1"/>
  <c r="BV349" i="1"/>
  <c r="BV351" i="1"/>
  <c r="BV352" i="1"/>
  <c r="BV353" i="1"/>
  <c r="BV354" i="1"/>
  <c r="BV355" i="1"/>
  <c r="BV356" i="1"/>
  <c r="G358" i="1"/>
  <c r="BV358" i="1" s="1"/>
  <c r="BV359" i="1"/>
  <c r="BV360" i="1"/>
  <c r="BV361" i="1"/>
  <c r="BV362" i="1"/>
  <c r="BV363" i="1"/>
  <c r="BV364" i="1"/>
  <c r="BV365" i="1"/>
  <c r="BV367" i="1"/>
  <c r="BV368" i="1"/>
  <c r="BV369" i="1"/>
  <c r="BV371" i="1"/>
  <c r="BV372" i="1"/>
  <c r="BV373" i="1"/>
  <c r="G375" i="1"/>
  <c r="BV375" i="1"/>
  <c r="BV376" i="1"/>
  <c r="BV378" i="1"/>
  <c r="BV379" i="1"/>
  <c r="BV380" i="1"/>
  <c r="BV381" i="1"/>
  <c r="BV382" i="1"/>
  <c r="BV383" i="1"/>
  <c r="BV385" i="1"/>
  <c r="BV386" i="1"/>
  <c r="BV387" i="1"/>
  <c r="BV388" i="1"/>
  <c r="BV389" i="1"/>
  <c r="BV390" i="1"/>
  <c r="BV391" i="1"/>
  <c r="BV393" i="1"/>
  <c r="BV394" i="1"/>
  <c r="BV395" i="1"/>
  <c r="BV396" i="1"/>
  <c r="BV397" i="1"/>
  <c r="BV398" i="1"/>
  <c r="BV399" i="1"/>
  <c r="BV400" i="1"/>
  <c r="BV401" i="1"/>
  <c r="BV403" i="1"/>
  <c r="BV404" i="1"/>
  <c r="BV405" i="1"/>
  <c r="BV406" i="1"/>
  <c r="BV407" i="1"/>
  <c r="BV408" i="1"/>
  <c r="BV409" i="1"/>
  <c r="BV410" i="1"/>
  <c r="BV411" i="1"/>
  <c r="BV413" i="1"/>
  <c r="BV414" i="1"/>
  <c r="BV415" i="1"/>
  <c r="BV416" i="1"/>
  <c r="BV417" i="1"/>
  <c r="BV418" i="1"/>
  <c r="BV421" i="1"/>
  <c r="BV422" i="1"/>
  <c r="BV423" i="1"/>
  <c r="BV424" i="1"/>
  <c r="BV425" i="1"/>
  <c r="BV426" i="1"/>
  <c r="BV427" i="1"/>
  <c r="BV428" i="1"/>
  <c r="BV430" i="1"/>
  <c r="BV431" i="1"/>
  <c r="BV432" i="1"/>
  <c r="BV433" i="1"/>
  <c r="BV434" i="1"/>
  <c r="BV435" i="1"/>
  <c r="BV436" i="1"/>
  <c r="BV438" i="1"/>
  <c r="BV439" i="1"/>
  <c r="BV440" i="1"/>
  <c r="BV441" i="1"/>
  <c r="BV442" i="1"/>
  <c r="BV443" i="1"/>
  <c r="BV445" i="1"/>
  <c r="BV446" i="1"/>
  <c r="BV447" i="1"/>
  <c r="BV448" i="1"/>
  <c r="BV449" i="1"/>
  <c r="BV450" i="1"/>
  <c r="BV451" i="1"/>
  <c r="BV452" i="1"/>
  <c r="BV454" i="1"/>
  <c r="BV455" i="1"/>
  <c r="BV456" i="1"/>
  <c r="BV457" i="1"/>
  <c r="BV459" i="1"/>
  <c r="BV460" i="1"/>
  <c r="BV461" i="1"/>
  <c r="BV462" i="1"/>
  <c r="BV463" i="1"/>
  <c r="BV464" i="1"/>
  <c r="BV465" i="1"/>
  <c r="BV466" i="1"/>
  <c r="BV468" i="1"/>
  <c r="BV469" i="1"/>
  <c r="BV470" i="1"/>
  <c r="BV471" i="1"/>
  <c r="BV472" i="1"/>
  <c r="BV473" i="1"/>
  <c r="BV474" i="1"/>
  <c r="BV475" i="1"/>
  <c r="BV476" i="1"/>
  <c r="BV478" i="1"/>
  <c r="BV479" i="1"/>
  <c r="BV480" i="1"/>
  <c r="BV481" i="1"/>
  <c r="BV482" i="1"/>
  <c r="BV483" i="1"/>
  <c r="BV486" i="1"/>
  <c r="BV487" i="1"/>
  <c r="BV488" i="1"/>
  <c r="BV489" i="1"/>
  <c r="BV490" i="1"/>
  <c r="BV491" i="1"/>
  <c r="BV492" i="1"/>
  <c r="BV493" i="1"/>
  <c r="BV495" i="1"/>
  <c r="BV496" i="1"/>
  <c r="BV497" i="1"/>
  <c r="BV498" i="1"/>
  <c r="BV499" i="1"/>
  <c r="BV500" i="1"/>
  <c r="BV502" i="1"/>
  <c r="BV503" i="1"/>
  <c r="BV504" i="1"/>
  <c r="BV505" i="1"/>
  <c r="BV506" i="1"/>
  <c r="BV507" i="1"/>
  <c r="BV508" i="1"/>
  <c r="BV510" i="1"/>
  <c r="BV511" i="1"/>
  <c r="BV512" i="1"/>
  <c r="BV514" i="1"/>
  <c r="BV515" i="1"/>
  <c r="BV516" i="1"/>
  <c r="BV517" i="1"/>
  <c r="BV518" i="1"/>
  <c r="BV521" i="1"/>
  <c r="BV522" i="1"/>
  <c r="BV523" i="1"/>
  <c r="BV524" i="1"/>
  <c r="BV525" i="1"/>
  <c r="BV526" i="1"/>
  <c r="BV527" i="1"/>
  <c r="BV529" i="1"/>
  <c r="BV530" i="1"/>
  <c r="BV531" i="1"/>
  <c r="BV532" i="1"/>
  <c r="BV533" i="1"/>
  <c r="BV534" i="1"/>
  <c r="BV535" i="1"/>
  <c r="BV536" i="1"/>
  <c r="BV538" i="1"/>
  <c r="BV539" i="1"/>
  <c r="BV540" i="1"/>
  <c r="BV541" i="1"/>
  <c r="BV542" i="1"/>
  <c r="BV543" i="1"/>
  <c r="BV544" i="1"/>
  <c r="BV545" i="1"/>
  <c r="BV546" i="1"/>
  <c r="BV548" i="1"/>
  <c r="BV549" i="1"/>
  <c r="BV550" i="1"/>
  <c r="BV551" i="1"/>
  <c r="BV552" i="1"/>
  <c r="BV553" i="1"/>
  <c r="BV554" i="1"/>
  <c r="BV555" i="1"/>
  <c r="BV557" i="1"/>
  <c r="BV558" i="1"/>
  <c r="BV559" i="1"/>
  <c r="BV560" i="1"/>
  <c r="BV561" i="1"/>
  <c r="BV562" i="1"/>
  <c r="BV564" i="1"/>
  <c r="BV565" i="1"/>
  <c r="BV566" i="1"/>
  <c r="BV567" i="1"/>
  <c r="BV569" i="1"/>
  <c r="BV570" i="1"/>
  <c r="BV572" i="1"/>
  <c r="BV573" i="1"/>
  <c r="BV574" i="1"/>
  <c r="BV577" i="1"/>
  <c r="BV578" i="1"/>
  <c r="BV579" i="1"/>
  <c r="BV580" i="1"/>
  <c r="BV581" i="1"/>
  <c r="G583" i="1"/>
  <c r="BV583" i="1" s="1"/>
  <c r="BV584" i="1"/>
  <c r="BV586" i="1"/>
  <c r="BV587" i="1"/>
  <c r="BV588" i="1"/>
  <c r="BV591" i="1"/>
  <c r="BV592" i="1"/>
  <c r="BV593" i="1"/>
  <c r="BV594" i="1"/>
  <c r="BV595" i="1"/>
  <c r="BV596" i="1"/>
  <c r="BV597" i="1"/>
  <c r="BV598" i="1"/>
  <c r="BV601" i="1"/>
  <c r="BV603" i="1"/>
  <c r="BV604" i="1"/>
  <c r="BV605" i="1"/>
  <c r="BV606" i="1"/>
  <c r="BV607" i="1"/>
  <c r="BV608" i="1"/>
  <c r="BV609" i="1"/>
  <c r="BV610" i="1"/>
  <c r="BV611" i="1"/>
  <c r="BV612" i="1"/>
  <c r="G614" i="1"/>
  <c r="BV614" i="1"/>
  <c r="BV615" i="1"/>
  <c r="BV617" i="1"/>
  <c r="BV618" i="1"/>
  <c r="BV619" i="1"/>
  <c r="BV620" i="1"/>
  <c r="BV622" i="1"/>
  <c r="BV623" i="1"/>
  <c r="BV624" i="1"/>
  <c r="BV625" i="1"/>
  <c r="BV626" i="1"/>
  <c r="BV628" i="1"/>
  <c r="BV629" i="1"/>
  <c r="BV630" i="1"/>
  <c r="BV631" i="1"/>
  <c r="BV632" i="1"/>
  <c r="BV633" i="1"/>
  <c r="BV634" i="1"/>
  <c r="G636" i="1"/>
  <c r="BV636" i="1"/>
  <c r="BV637" i="1"/>
  <c r="BV638" i="1"/>
  <c r="BV639" i="1"/>
  <c r="BV641" i="1"/>
  <c r="BV643" i="1"/>
  <c r="BV644" i="1"/>
  <c r="BV645" i="1"/>
  <c r="BV647" i="1"/>
  <c r="BV648" i="1"/>
  <c r="BV649" i="1"/>
  <c r="BV650" i="1"/>
  <c r="BV651" i="1"/>
  <c r="BV652" i="1"/>
  <c r="G654" i="1"/>
  <c r="BV654" i="1" s="1"/>
  <c r="BV655" i="1"/>
  <c r="BV656" i="1"/>
  <c r="BV657" i="1"/>
  <c r="BV658" i="1"/>
  <c r="BV659" i="1"/>
  <c r="BV660" i="1"/>
  <c r="BV662" i="1"/>
  <c r="BV663" i="1"/>
  <c r="BV666" i="1"/>
  <c r="BV667" i="1"/>
  <c r="BV669" i="1"/>
  <c r="BV670" i="1"/>
  <c r="BV671" i="1"/>
  <c r="BV672" i="1"/>
  <c r="BV674" i="1"/>
  <c r="BV675" i="1"/>
  <c r="BV676" i="1"/>
  <c r="BV677" i="1"/>
  <c r="BV678" i="1"/>
  <c r="BV679" i="1"/>
  <c r="BV681" i="1"/>
  <c r="BV682" i="1"/>
  <c r="BV683" i="1"/>
  <c r="BV684" i="1"/>
  <c r="BV685" i="1"/>
  <c r="BV686" i="1"/>
  <c r="BV687" i="1"/>
  <c r="BV688" i="1"/>
  <c r="BV689" i="1"/>
  <c r="BV690" i="1"/>
  <c r="BV691" i="1"/>
  <c r="BV693" i="1"/>
  <c r="BV694" i="1"/>
  <c r="BV695" i="1"/>
  <c r="BV696" i="1"/>
  <c r="BV698" i="1"/>
  <c r="BV699" i="1"/>
  <c r="BV702" i="1"/>
  <c r="BV703" i="1"/>
  <c r="BV704" i="1"/>
  <c r="BV706" i="1"/>
  <c r="BV707" i="1"/>
  <c r="BV708" i="1"/>
  <c r="BV709" i="1"/>
  <c r="BV711" i="1"/>
  <c r="BV712" i="1"/>
  <c r="BV713" i="1"/>
  <c r="BV714" i="1"/>
  <c r="BV715" i="1"/>
  <c r="BV716" i="1"/>
  <c r="BV717" i="1"/>
  <c r="BV718" i="1"/>
  <c r="BV720" i="1"/>
  <c r="BV721" i="1"/>
  <c r="BV723" i="1"/>
  <c r="BV724" i="1"/>
  <c r="BV725" i="1"/>
  <c r="BV726" i="1"/>
  <c r="BV729" i="1"/>
  <c r="BV731" i="1"/>
  <c r="BV732" i="1"/>
  <c r="BV733" i="1"/>
  <c r="BV734" i="1"/>
  <c r="BV735" i="1"/>
  <c r="BV736" i="1"/>
  <c r="BV738" i="1"/>
  <c r="BV739" i="1"/>
  <c r="BV740" i="1"/>
  <c r="BV741" i="1"/>
  <c r="BV742" i="1"/>
  <c r="BV743" i="1"/>
  <c r="BV744" i="1"/>
  <c r="BV745" i="1"/>
  <c r="BV748" i="1"/>
  <c r="BV750" i="1"/>
  <c r="BV751" i="1"/>
  <c r="BV752" i="1"/>
  <c r="BV753" i="1"/>
  <c r="BV754" i="1"/>
  <c r="BV755" i="1"/>
  <c r="BV756" i="1"/>
  <c r="BV758" i="1"/>
  <c r="BV760" i="1"/>
  <c r="BV761" i="1"/>
  <c r="BV764" i="1"/>
  <c r="BV766" i="1"/>
  <c r="BV767" i="1"/>
  <c r="BV768" i="1"/>
  <c r="BV769" i="1"/>
  <c r="BV774" i="1"/>
  <c r="BV775" i="1"/>
  <c r="BV777" i="1"/>
  <c r="BV778" i="1"/>
  <c r="BV779" i="1"/>
  <c r="BV780" i="1"/>
  <c r="BV782" i="1"/>
  <c r="BV783" i="1"/>
  <c r="BV784" i="1"/>
  <c r="BV785" i="1"/>
  <c r="BV786" i="1"/>
  <c r="BV787" i="1"/>
  <c r="BV789" i="1"/>
  <c r="BV790" i="1"/>
  <c r="BV791" i="1"/>
  <c r="BV794" i="1"/>
  <c r="BV795" i="1"/>
  <c r="BV796" i="1"/>
  <c r="BV797" i="1"/>
  <c r="BV798" i="1"/>
  <c r="BV800" i="1"/>
  <c r="BV801" i="1"/>
  <c r="BV802" i="1"/>
  <c r="BV803" i="1"/>
  <c r="BV804" i="1"/>
  <c r="BV805" i="1"/>
  <c r="BV806" i="1"/>
  <c r="BV807" i="1"/>
  <c r="BV808" i="1"/>
  <c r="G810" i="1"/>
  <c r="BV810" i="1" s="1"/>
  <c r="BV811" i="1"/>
  <c r="BV812" i="1"/>
  <c r="BV813" i="1"/>
  <c r="BV814" i="1"/>
  <c r="BV815" i="1"/>
  <c r="BV816" i="1"/>
  <c r="BV818" i="1"/>
  <c r="BV819" i="1"/>
  <c r="BV820" i="1"/>
  <c r="BV822" i="1"/>
  <c r="BV823" i="1"/>
  <c r="BV824" i="1"/>
  <c r="BV825" i="1"/>
  <c r="BV826" i="1"/>
  <c r="BV827" i="1"/>
  <c r="G829" i="1"/>
  <c r="BV829" i="1" s="1"/>
  <c r="BV830" i="1"/>
  <c r="BV831" i="1"/>
  <c r="BV832" i="1"/>
  <c r="BV834" i="1"/>
  <c r="BV835" i="1"/>
  <c r="BV836" i="1"/>
  <c r="BV838" i="1"/>
  <c r="BV839" i="1"/>
  <c r="BV840" i="1"/>
  <c r="BV841" i="1"/>
  <c r="BV842" i="1"/>
  <c r="BV843" i="1"/>
  <c r="BV844" i="1"/>
  <c r="BV845" i="1"/>
  <c r="BV846" i="1"/>
  <c r="BV847" i="1"/>
  <c r="BV848" i="1"/>
  <c r="BV849" i="1"/>
  <c r="BV850" i="1"/>
  <c r="BV852" i="1"/>
  <c r="BV854" i="1"/>
  <c r="BV855" i="1"/>
  <c r="BV856" i="1"/>
  <c r="BV857" i="1"/>
  <c r="BV859" i="1"/>
  <c r="BV860" i="1"/>
  <c r="BV863" i="1"/>
  <c r="BV864" i="1"/>
  <c r="BV865" i="1"/>
  <c r="BV866" i="1"/>
  <c r="BV867" i="1"/>
  <c r="BV868" i="1"/>
  <c r="BV869" i="1"/>
  <c r="BV870" i="1"/>
  <c r="BV872" i="1"/>
  <c r="BV873" i="1"/>
  <c r="BV874" i="1"/>
  <c r="BV875" i="1"/>
  <c r="BV876" i="1"/>
  <c r="BV877" i="1"/>
  <c r="BV878" i="1"/>
  <c r="BV879" i="1"/>
  <c r="BV880" i="1"/>
  <c r="BV881" i="1"/>
  <c r="BV884" i="1"/>
  <c r="BV887" i="1"/>
  <c r="BV888" i="1"/>
  <c r="BV889" i="1"/>
  <c r="BV890" i="1"/>
  <c r="BV891" i="1"/>
  <c r="BV892" i="1"/>
  <c r="BV893" i="1"/>
  <c r="BV894" i="1"/>
  <c r="BV895" i="1"/>
  <c r="BV897" i="1"/>
  <c r="BV898" i="1"/>
  <c r="BV899" i="1"/>
  <c r="BV900" i="1"/>
  <c r="BV901" i="1"/>
  <c r="BV902" i="1"/>
  <c r="BV904" i="1"/>
  <c r="BV905" i="1"/>
  <c r="BV906" i="1"/>
  <c r="BV908" i="1"/>
  <c r="BV909" i="1"/>
  <c r="BV910" i="1"/>
  <c r="BV911" i="1"/>
  <c r="BV912" i="1"/>
  <c r="BV913" i="1"/>
  <c r="BV915" i="1"/>
  <c r="BV916" i="1"/>
  <c r="BV917" i="1"/>
  <c r="BV918" i="1"/>
  <c r="BV919" i="1"/>
  <c r="BV920" i="1"/>
  <c r="BV921" i="1"/>
  <c r="BV922" i="1"/>
  <c r="BV923" i="1"/>
  <c r="BV924" i="1"/>
  <c r="BV925" i="1"/>
  <c r="BV927" i="1"/>
  <c r="BV928" i="1"/>
  <c r="BV929" i="1"/>
  <c r="BV930" i="1"/>
  <c r="BV931" i="1"/>
  <c r="BV932" i="1"/>
  <c r="BV933" i="1"/>
  <c r="BV935" i="1"/>
  <c r="BV936" i="1"/>
  <c r="BV937" i="1"/>
  <c r="BV938" i="1"/>
  <c r="BV939" i="1"/>
  <c r="BV940" i="1"/>
  <c r="BV941" i="1"/>
  <c r="BV943" i="1"/>
  <c r="BV944" i="1"/>
  <c r="BV945" i="1"/>
  <c r="BV947" i="1"/>
  <c r="BV948" i="1"/>
  <c r="BV950" i="1"/>
  <c r="BV951" i="1"/>
  <c r="BV952" i="1"/>
  <c r="BV953" i="1"/>
  <c r="BV954" i="1"/>
  <c r="BV955" i="1"/>
  <c r="BV956" i="1"/>
  <c r="BV957" i="1"/>
  <c r="BV958" i="1"/>
  <c r="BV960" i="1"/>
  <c r="BV961" i="1"/>
  <c r="BV962" i="1"/>
  <c r="BV963" i="1"/>
  <c r="BV964" i="1"/>
  <c r="BV965" i="1"/>
  <c r="BV966" i="1"/>
  <c r="BV967" i="1"/>
  <c r="BV969" i="1"/>
  <c r="BV970" i="1"/>
  <c r="BV971" i="1"/>
  <c r="BV972" i="1"/>
  <c r="BV973" i="1"/>
  <c r="BV974" i="1"/>
  <c r="BV975" i="1"/>
  <c r="BV977" i="1"/>
  <c r="BV978" i="1"/>
  <c r="BV979" i="1"/>
  <c r="BV980" i="1"/>
  <c r="BV981" i="1"/>
  <c r="BV983" i="1"/>
  <c r="BV985" i="1"/>
  <c r="BV986" i="1"/>
  <c r="BV987" i="1"/>
  <c r="G989" i="1"/>
  <c r="BV989" i="1"/>
  <c r="BV990" i="1"/>
  <c r="BV991" i="1"/>
  <c r="BV992" i="1"/>
  <c r="BV993" i="1"/>
  <c r="BV994" i="1"/>
  <c r="BV996" i="1"/>
  <c r="BV997" i="1"/>
  <c r="BV998" i="1"/>
  <c r="BV999" i="1"/>
  <c r="BV1000" i="1"/>
  <c r="BV1001" i="1"/>
  <c r="BV1002" i="1"/>
  <c r="BV1003" i="1"/>
  <c r="BV1006" i="1"/>
  <c r="BV1007" i="1"/>
  <c r="BV1008" i="1"/>
  <c r="BV1009" i="1"/>
  <c r="BV1010" i="1"/>
  <c r="BV1011" i="1"/>
  <c r="BV1013" i="1"/>
  <c r="BV1014" i="1"/>
  <c r="BV1015" i="1"/>
  <c r="BV1016" i="1"/>
  <c r="BV1017" i="1"/>
  <c r="BV1018" i="1"/>
  <c r="BV1019" i="1"/>
  <c r="BV1020" i="1"/>
  <c r="BV1021" i="1"/>
  <c r="BV1022" i="1"/>
  <c r="BV1023" i="1"/>
  <c r="BV1025" i="1"/>
  <c r="BV1026" i="1"/>
  <c r="BV1027" i="1"/>
  <c r="BV1028" i="1"/>
  <c r="BV1029" i="1"/>
  <c r="BV1030" i="1"/>
  <c r="BV1031" i="1"/>
  <c r="BV1032" i="1"/>
  <c r="BV1033" i="1"/>
  <c r="BV1035" i="1"/>
  <c r="BV1036" i="1"/>
  <c r="BV1037" i="1"/>
  <c r="BV1038" i="1"/>
  <c r="BV1039" i="1"/>
  <c r="BV1040" i="1"/>
  <c r="BV1041" i="1"/>
  <c r="BV1042" i="1"/>
  <c r="BV1043" i="1"/>
  <c r="BV1044" i="1"/>
  <c r="BV1046" i="1"/>
  <c r="BV1047" i="1"/>
  <c r="BV1048" i="1"/>
  <c r="BV1051" i="1"/>
  <c r="BV1053" i="1"/>
  <c r="BV1054" i="1"/>
  <c r="BV1055" i="1"/>
  <c r="BV1056" i="1"/>
  <c r="BV1057" i="1"/>
  <c r="BV1059" i="1"/>
  <c r="BV1060" i="1"/>
  <c r="BV1061" i="1"/>
  <c r="BV1062" i="1"/>
  <c r="BV1063" i="1"/>
  <c r="BV1064" i="1"/>
  <c r="BV1066" i="1"/>
  <c r="BV1067" i="1"/>
  <c r="BV1068" i="1"/>
  <c r="BV1069" i="1"/>
  <c r="BV1070" i="1"/>
  <c r="BV1071" i="1"/>
  <c r="BV1072" i="1"/>
  <c r="BV1073" i="1"/>
  <c r="BV1075" i="1"/>
  <c r="BV1076" i="1"/>
  <c r="BV1077" i="1"/>
  <c r="BV1079" i="1"/>
  <c r="BV1080" i="1"/>
  <c r="BV1081" i="1"/>
  <c r="BV1082" i="1"/>
  <c r="BV1083" i="1"/>
  <c r="BV1084" i="1"/>
  <c r="BV1086" i="1"/>
  <c r="BV1087" i="1"/>
  <c r="BV1088" i="1"/>
  <c r="BV1089" i="1"/>
  <c r="BV1090" i="1"/>
  <c r="BV1091" i="1"/>
  <c r="BV1092" i="1"/>
  <c r="BV1093" i="1"/>
  <c r="BV1094" i="1"/>
  <c r="BV1097" i="1"/>
  <c r="BV1098" i="1"/>
  <c r="BV1099" i="1"/>
  <c r="BV1100" i="1"/>
  <c r="BV1101" i="1"/>
  <c r="BV1102" i="1"/>
  <c r="BV1103" i="1"/>
  <c r="BV1104" i="1"/>
  <c r="BV1105" i="1"/>
  <c r="BV1106" i="1"/>
  <c r="BV1108" i="1"/>
  <c r="BV1109" i="1"/>
  <c r="BV1110" i="1"/>
  <c r="BV1111" i="1"/>
  <c r="BV1112" i="1"/>
  <c r="BV1113" i="1"/>
  <c r="BV1115" i="1"/>
  <c r="BV1116" i="1"/>
  <c r="BV1117" i="1"/>
  <c r="BV1118" i="1"/>
  <c r="BV1120" i="1"/>
  <c r="BV1122" i="1"/>
  <c r="BV1123" i="1"/>
  <c r="BV1124" i="1"/>
  <c r="G1126" i="1"/>
  <c r="BV1126" i="1" s="1"/>
  <c r="BV1127" i="1"/>
  <c r="BV1128" i="1"/>
  <c r="BV1129" i="1"/>
  <c r="BV1130" i="1"/>
  <c r="BV1132" i="1"/>
  <c r="BV1133" i="1"/>
  <c r="BV1135" i="1"/>
  <c r="BV1136" i="1"/>
  <c r="BV1137" i="1"/>
  <c r="BV1138" i="1"/>
  <c r="BV1139" i="1"/>
  <c r="BV1140" i="1"/>
  <c r="BV1143" i="1"/>
  <c r="BV1144" i="1"/>
  <c r="BV1145" i="1"/>
  <c r="BV1146" i="1"/>
  <c r="BV1147" i="1"/>
  <c r="BV1148" i="1"/>
  <c r="BV1149" i="1"/>
  <c r="BV1150" i="1"/>
  <c r="BV1152" i="1"/>
  <c r="BV1153" i="1"/>
  <c r="BV1154" i="1"/>
  <c r="BV1155" i="1"/>
  <c r="BV1157" i="1"/>
  <c r="BV1158" i="1"/>
  <c r="BV1159" i="1"/>
  <c r="BV1160" i="1"/>
  <c r="BV1161" i="1"/>
  <c r="BV1162" i="1"/>
  <c r="BV1163" i="1"/>
  <c r="BV1164" i="1"/>
  <c r="BV1165" i="1"/>
  <c r="BV1167" i="1"/>
  <c r="BV1168" i="1"/>
  <c r="BV1169" i="1"/>
  <c r="BV1170" i="1"/>
  <c r="BV1172" i="1"/>
  <c r="BV1173" i="1"/>
  <c r="BV1174" i="1"/>
  <c r="BV1175" i="1"/>
  <c r="BV1177" i="1"/>
  <c r="BV1178" i="1"/>
  <c r="BV1179" i="1"/>
  <c r="BV1180" i="1"/>
  <c r="BV1181" i="1"/>
  <c r="BV1182" i="1"/>
  <c r="BV1183" i="1"/>
  <c r="BV1185" i="1"/>
  <c r="BV1186" i="1"/>
  <c r="BV1187" i="1"/>
  <c r="BV1188" i="1"/>
  <c r="BV1189" i="1"/>
  <c r="BV1190" i="1"/>
  <c r="BV1192" i="1"/>
  <c r="BV1194" i="1"/>
  <c r="BV1195" i="1"/>
  <c r="BV1196" i="1"/>
  <c r="BV1199" i="1"/>
  <c r="BV1202" i="1"/>
  <c r="BV1203" i="1"/>
  <c r="BV1204" i="1"/>
  <c r="BV1205" i="1"/>
  <c r="BV1206" i="1"/>
  <c r="BV1207" i="1"/>
  <c r="BV1209" i="1"/>
  <c r="BV1210" i="1"/>
  <c r="BV1211" i="1"/>
  <c r="BV1212" i="1"/>
  <c r="BV1213" i="1"/>
  <c r="BV1214" i="1"/>
  <c r="BV1215" i="1"/>
  <c r="BV1216" i="1"/>
  <c r="BV1217" i="1"/>
  <c r="BV1220" i="1"/>
  <c r="BV1222" i="1"/>
  <c r="BV1223" i="1"/>
  <c r="BV1224" i="1"/>
  <c r="BV1225" i="1"/>
  <c r="BV1226" i="1"/>
  <c r="BV1227" i="1"/>
  <c r="BV1229" i="1"/>
  <c r="BV1230" i="1"/>
  <c r="BV1231" i="1"/>
  <c r="BV1232" i="1"/>
  <c r="BV1233" i="1"/>
  <c r="BV1234" i="1"/>
  <c r="BV1235" i="1"/>
  <c r="BV1236" i="1"/>
  <c r="BV1238" i="1"/>
  <c r="BV1240" i="1"/>
  <c r="BV1241" i="1"/>
  <c r="BV1242" i="1"/>
  <c r="BV1244" i="1"/>
  <c r="BV1245" i="1"/>
  <c r="BV1246" i="1"/>
  <c r="BV1247" i="1"/>
  <c r="BV1248" i="1"/>
  <c r="BV1250" i="1"/>
  <c r="BV1251" i="1"/>
  <c r="BV1252" i="1"/>
  <c r="BV1253" i="1"/>
  <c r="BV1254" i="1"/>
  <c r="BV1255" i="1"/>
  <c r="BV1256" i="1"/>
  <c r="BV1257" i="1"/>
  <c r="BV1258" i="1"/>
  <c r="BV1259" i="1"/>
  <c r="BV1261" i="1"/>
  <c r="BV1262" i="1"/>
  <c r="BV1263" i="1"/>
  <c r="BV1265" i="1"/>
  <c r="BV1266" i="1"/>
  <c r="BV1267" i="1"/>
  <c r="BV1268" i="1"/>
  <c r="BV1272" i="1"/>
  <c r="BV1274" i="1"/>
  <c r="BV1275" i="1"/>
  <c r="BV1276" i="1"/>
  <c r="BV1277" i="1"/>
  <c r="BV1278" i="1"/>
  <c r="BV1279" i="1"/>
  <c r="BV1280" i="1"/>
  <c r="G1282" i="1"/>
  <c r="BV1282" i="1" s="1"/>
  <c r="BV1283" i="1"/>
  <c r="BV1284" i="1"/>
  <c r="BV1285" i="1"/>
  <c r="BV1286" i="1"/>
  <c r="BV1287" i="1"/>
  <c r="BV1288" i="1"/>
  <c r="BV1289" i="1"/>
  <c r="BV1292" i="1"/>
  <c r="BV1293" i="1"/>
  <c r="BV1294" i="1"/>
  <c r="BV1295" i="1"/>
  <c r="BV1296" i="1"/>
  <c r="BV1297" i="1"/>
  <c r="BV1298" i="1"/>
  <c r="BV1299" i="1"/>
  <c r="BV1300" i="1"/>
  <c r="BV1301" i="1"/>
  <c r="BV1303" i="1"/>
  <c r="BV1304" i="1"/>
  <c r="BV1305" i="1"/>
  <c r="BV1306" i="1"/>
  <c r="BV1307" i="1"/>
  <c r="BV1308" i="1"/>
  <c r="BV1309" i="1"/>
  <c r="BV1310" i="1"/>
  <c r="BV1311" i="1"/>
  <c r="BV1312" i="1"/>
  <c r="BV1313" i="1"/>
  <c r="BW67" i="1"/>
  <c r="BW68" i="1"/>
  <c r="BW69" i="1"/>
  <c r="BW70" i="1"/>
  <c r="BW71" i="1"/>
  <c r="BW72" i="1"/>
  <c r="BW73" i="1"/>
  <c r="BW74" i="1"/>
  <c r="H76" i="1"/>
  <c r="BW76" i="1" s="1"/>
  <c r="BW77" i="1"/>
  <c r="BW78" i="1"/>
  <c r="BW79" i="1"/>
  <c r="BW80" i="1"/>
  <c r="BW81" i="1"/>
  <c r="BW82" i="1"/>
  <c r="H84" i="1"/>
  <c r="BW84" i="1"/>
  <c r="BW85" i="1"/>
  <c r="BW86" i="1"/>
  <c r="BW87" i="1"/>
  <c r="BW88" i="1"/>
  <c r="BW89" i="1"/>
  <c r="BW90" i="1"/>
  <c r="BW92" i="1"/>
  <c r="BW93" i="1"/>
  <c r="BW94" i="1"/>
  <c r="BW95" i="1"/>
  <c r="BW96" i="1"/>
  <c r="BW97" i="1"/>
  <c r="BW98" i="1"/>
  <c r="BW101" i="1"/>
  <c r="BW103" i="1"/>
  <c r="BW104" i="1"/>
  <c r="BW105" i="1"/>
  <c r="BW106" i="1"/>
  <c r="BW107" i="1"/>
  <c r="BW108" i="1"/>
  <c r="BW109" i="1"/>
  <c r="BW111" i="1"/>
  <c r="BW112" i="1"/>
  <c r="BW113" i="1"/>
  <c r="BW114" i="1"/>
  <c r="BW115" i="1"/>
  <c r="BW116" i="1"/>
  <c r="BW117" i="1"/>
  <c r="BW118" i="1"/>
  <c r="BW119" i="1"/>
  <c r="BW120" i="1"/>
  <c r="BW122" i="1"/>
  <c r="BW124" i="1"/>
  <c r="BW125" i="1"/>
  <c r="BW126" i="1"/>
  <c r="BW129" i="1"/>
  <c r="BW131" i="1"/>
  <c r="BW132" i="1"/>
  <c r="BW136" i="1"/>
  <c r="BW138" i="1"/>
  <c r="BW139" i="1"/>
  <c r="BW140" i="1"/>
  <c r="BW141" i="1"/>
  <c r="BW142" i="1"/>
  <c r="BW144" i="1"/>
  <c r="BW145" i="1"/>
  <c r="BW146" i="1"/>
  <c r="BW147" i="1"/>
  <c r="BW148" i="1"/>
  <c r="BW149" i="1"/>
  <c r="BW151" i="1"/>
  <c r="BW152" i="1"/>
  <c r="BW153" i="1"/>
  <c r="BW154" i="1"/>
  <c r="BW155" i="1"/>
  <c r="BW156" i="1"/>
  <c r="BW157" i="1"/>
  <c r="BW158" i="1"/>
  <c r="BW160" i="1"/>
  <c r="BW161" i="1"/>
  <c r="BW162" i="1"/>
  <c r="BW163" i="1"/>
  <c r="BW165" i="1"/>
  <c r="BW166" i="1"/>
  <c r="BW167" i="1"/>
  <c r="BW168" i="1"/>
  <c r="BW169" i="1"/>
  <c r="BW170" i="1"/>
  <c r="H172" i="1"/>
  <c r="BW172" i="1"/>
  <c r="BW173" i="1"/>
  <c r="BW176" i="1"/>
  <c r="BW177" i="1"/>
  <c r="BW178" i="1"/>
  <c r="BW179" i="1"/>
  <c r="BW180" i="1"/>
  <c r="BW181" i="1"/>
  <c r="BW182" i="1"/>
  <c r="BW183" i="1"/>
  <c r="BW184" i="1"/>
  <c r="BW186" i="1"/>
  <c r="BW187" i="1"/>
  <c r="BW188" i="1"/>
  <c r="BW189" i="1"/>
  <c r="BW190" i="1"/>
  <c r="BW191" i="1"/>
  <c r="BW192" i="1"/>
  <c r="BW193" i="1"/>
  <c r="BW195" i="1"/>
  <c r="BW196" i="1"/>
  <c r="BW197" i="1"/>
  <c r="BW198" i="1"/>
  <c r="BW201" i="1"/>
  <c r="BW202" i="1"/>
  <c r="BW203" i="1"/>
  <c r="BW204" i="1"/>
  <c r="BW205" i="1"/>
  <c r="BW206" i="1"/>
  <c r="BW207" i="1"/>
  <c r="BW210" i="1"/>
  <c r="BW211" i="1"/>
  <c r="BW212" i="1"/>
  <c r="BW213" i="1"/>
  <c r="BW214" i="1"/>
  <c r="BW215" i="1"/>
  <c r="BW217" i="1"/>
  <c r="BW218" i="1"/>
  <c r="BW219" i="1"/>
  <c r="BW220" i="1"/>
  <c r="BW221" i="1"/>
  <c r="BW222" i="1"/>
  <c r="BW224" i="1"/>
  <c r="BW225" i="1"/>
  <c r="BW226" i="1"/>
  <c r="BW227" i="1"/>
  <c r="BW228" i="1"/>
  <c r="BW229" i="1"/>
  <c r="BW231" i="1"/>
  <c r="BW232" i="1"/>
  <c r="BW233" i="1"/>
  <c r="BW234" i="1"/>
  <c r="BW235" i="1"/>
  <c r="BW236" i="1"/>
  <c r="BW237" i="1"/>
  <c r="BW238" i="1"/>
  <c r="H240" i="1"/>
  <c r="BW240" i="1"/>
  <c r="BW241" i="1"/>
  <c r="BW242" i="1"/>
  <c r="BW243" i="1"/>
  <c r="BW244" i="1"/>
  <c r="BW245" i="1"/>
  <c r="BW246" i="1"/>
  <c r="BW247" i="1"/>
  <c r="BW249" i="1"/>
  <c r="BW250" i="1"/>
  <c r="BW251" i="1"/>
  <c r="BW252" i="1"/>
  <c r="BW253" i="1"/>
  <c r="BW254" i="1"/>
  <c r="BW255" i="1"/>
  <c r="BW256" i="1"/>
  <c r="BW258" i="1"/>
  <c r="BW259" i="1"/>
  <c r="BW260" i="1"/>
  <c r="BW261" i="1"/>
  <c r="BW262" i="1"/>
  <c r="BW263" i="1"/>
  <c r="BW264" i="1"/>
  <c r="BW265" i="1"/>
  <c r="BW266" i="1"/>
  <c r="BW268" i="1"/>
  <c r="BW269" i="1"/>
  <c r="BW270" i="1"/>
  <c r="BW271" i="1"/>
  <c r="BW272" i="1"/>
  <c r="BW273" i="1"/>
  <c r="BW274" i="1"/>
  <c r="BW275" i="1"/>
  <c r="BW276" i="1"/>
  <c r="H278" i="1"/>
  <c r="BW278" i="1" s="1"/>
  <c r="BW279" i="1"/>
  <c r="BW280" i="1"/>
  <c r="BW281" i="1"/>
  <c r="BW282" i="1"/>
  <c r="BW283" i="1"/>
  <c r="BW285" i="1"/>
  <c r="BW286" i="1"/>
  <c r="BW287" i="1"/>
  <c r="BW288" i="1"/>
  <c r="BW292" i="1"/>
  <c r="BW293" i="1"/>
  <c r="BW294" i="1"/>
  <c r="BW296" i="1"/>
  <c r="BW297" i="1"/>
  <c r="BW298" i="1"/>
  <c r="BW299" i="1"/>
  <c r="BW300" i="1"/>
  <c r="BW301" i="1"/>
  <c r="BW302" i="1"/>
  <c r="BW303" i="1"/>
  <c r="BW305" i="1"/>
  <c r="BW306" i="1"/>
  <c r="BW307" i="1"/>
  <c r="BW308" i="1"/>
  <c r="BW309" i="1"/>
  <c r="BW310" i="1"/>
  <c r="BW311" i="1"/>
  <c r="BW312" i="1"/>
  <c r="BW313" i="1"/>
  <c r="BW314" i="1"/>
  <c r="BW317" i="1"/>
  <c r="BW318" i="1"/>
  <c r="BW319" i="1"/>
  <c r="BW320" i="1"/>
  <c r="BW321" i="1"/>
  <c r="BW322" i="1"/>
  <c r="BW323" i="1"/>
  <c r="BW324" i="1"/>
  <c r="BW325" i="1"/>
  <c r="BW326" i="1"/>
  <c r="BW327" i="1"/>
  <c r="H329" i="1"/>
  <c r="BW329" i="1" s="1"/>
  <c r="BW330" i="1"/>
  <c r="BW332" i="1"/>
  <c r="BW333" i="1"/>
  <c r="BW334" i="1"/>
  <c r="BW335" i="1"/>
  <c r="BW336" i="1"/>
  <c r="BW337" i="1"/>
  <c r="BW338" i="1"/>
  <c r="BW340" i="1"/>
  <c r="BW341" i="1"/>
  <c r="BW342" i="1"/>
  <c r="BW343" i="1"/>
  <c r="BW344" i="1"/>
  <c r="BW345" i="1"/>
  <c r="BW346" i="1"/>
  <c r="BW347" i="1"/>
  <c r="BW348" i="1"/>
  <c r="BW349" i="1"/>
  <c r="BW351" i="1"/>
  <c r="BW352" i="1"/>
  <c r="BW353" i="1"/>
  <c r="BW354" i="1"/>
  <c r="BW355" i="1"/>
  <c r="BW356" i="1"/>
  <c r="H358" i="1"/>
  <c r="BW358" i="1" s="1"/>
  <c r="BW359" i="1"/>
  <c r="BW360" i="1"/>
  <c r="BW361" i="1"/>
  <c r="BW362" i="1"/>
  <c r="BW363" i="1"/>
  <c r="BW364" i="1"/>
  <c r="BW365" i="1"/>
  <c r="BW367" i="1"/>
  <c r="BW368" i="1"/>
  <c r="BW369" i="1"/>
  <c r="BW371" i="1"/>
  <c r="BW372" i="1"/>
  <c r="BW373" i="1"/>
  <c r="H375" i="1"/>
  <c r="BW375" i="1" s="1"/>
  <c r="BW376" i="1"/>
  <c r="BW378" i="1"/>
  <c r="BW379" i="1"/>
  <c r="BW380" i="1"/>
  <c r="BW381" i="1"/>
  <c r="BW382" i="1"/>
  <c r="BW383" i="1"/>
  <c r="BW385" i="1"/>
  <c r="BW386" i="1"/>
  <c r="BW387" i="1"/>
  <c r="BW388" i="1"/>
  <c r="BW389" i="1"/>
  <c r="BW390" i="1"/>
  <c r="BW391" i="1"/>
  <c r="BW393" i="1"/>
  <c r="BW394" i="1"/>
  <c r="BW395" i="1"/>
  <c r="BW396" i="1"/>
  <c r="BW397" i="1"/>
  <c r="BW398" i="1"/>
  <c r="BW399" i="1"/>
  <c r="BW400" i="1"/>
  <c r="BW401" i="1"/>
  <c r="BW403" i="1"/>
  <c r="BW404" i="1"/>
  <c r="BW405" i="1"/>
  <c r="BW406" i="1"/>
  <c r="BW407" i="1"/>
  <c r="BW408" i="1"/>
  <c r="BW409" i="1"/>
  <c r="BW410" i="1"/>
  <c r="BW411" i="1"/>
  <c r="BW413" i="1"/>
  <c r="BW414" i="1"/>
  <c r="BW415" i="1"/>
  <c r="BW416" i="1"/>
  <c r="BW417" i="1"/>
  <c r="BW418" i="1"/>
  <c r="BW421" i="1"/>
  <c r="BW422" i="1"/>
  <c r="BW423" i="1"/>
  <c r="BW424" i="1"/>
  <c r="BW425" i="1"/>
  <c r="BW426" i="1"/>
  <c r="BW427" i="1"/>
  <c r="BW428" i="1"/>
  <c r="BW430" i="1"/>
  <c r="BW431" i="1"/>
  <c r="BW432" i="1"/>
  <c r="BW433" i="1"/>
  <c r="BW434" i="1"/>
  <c r="BW435" i="1"/>
  <c r="BW436" i="1"/>
  <c r="BW438" i="1"/>
  <c r="BW439" i="1"/>
  <c r="BW440" i="1"/>
  <c r="BW441" i="1"/>
  <c r="BW442" i="1"/>
  <c r="BW443" i="1"/>
  <c r="BW446" i="1"/>
  <c r="BW447" i="1"/>
  <c r="BW448" i="1"/>
  <c r="BW449" i="1"/>
  <c r="BW450" i="1"/>
  <c r="BW451" i="1"/>
  <c r="BW452" i="1"/>
  <c r="BW454" i="1"/>
  <c r="BW455" i="1"/>
  <c r="BW456" i="1"/>
  <c r="BW457" i="1"/>
  <c r="BW459" i="1"/>
  <c r="BW460" i="1"/>
  <c r="BW461" i="1"/>
  <c r="BW462" i="1"/>
  <c r="BW463" i="1"/>
  <c r="BW464" i="1"/>
  <c r="BW465" i="1"/>
  <c r="BW466" i="1"/>
  <c r="BW468" i="1"/>
  <c r="BW469" i="1"/>
  <c r="BW470" i="1"/>
  <c r="BW471" i="1"/>
  <c r="BW472" i="1"/>
  <c r="BW473" i="1"/>
  <c r="BW474" i="1"/>
  <c r="BW475" i="1"/>
  <c r="BW476" i="1"/>
  <c r="BW478" i="1"/>
  <c r="BW479" i="1"/>
  <c r="BW480" i="1"/>
  <c r="BW481" i="1"/>
  <c r="BW482" i="1"/>
  <c r="BW483" i="1"/>
  <c r="BW485" i="1"/>
  <c r="BW486" i="1"/>
  <c r="BW487" i="1"/>
  <c r="BW488" i="1"/>
  <c r="BW489" i="1"/>
  <c r="BW490" i="1"/>
  <c r="BW491" i="1"/>
  <c r="BW492" i="1"/>
  <c r="BW493" i="1"/>
  <c r="BW496" i="1"/>
  <c r="BW497" i="1"/>
  <c r="BW498" i="1"/>
  <c r="BW499" i="1"/>
  <c r="BW500" i="1"/>
  <c r="BW502" i="1"/>
  <c r="BW503" i="1"/>
  <c r="BW504" i="1"/>
  <c r="BW505" i="1"/>
  <c r="BW506" i="1"/>
  <c r="BW507" i="1"/>
  <c r="BW508" i="1"/>
  <c r="BW510" i="1"/>
  <c r="BW511" i="1"/>
  <c r="BW512" i="1"/>
  <c r="BW514" i="1"/>
  <c r="BW515" i="1"/>
  <c r="BW516" i="1"/>
  <c r="BW517" i="1"/>
  <c r="BW518" i="1"/>
  <c r="BW520" i="1"/>
  <c r="BW521" i="1"/>
  <c r="BW522" i="1"/>
  <c r="BW523" i="1"/>
  <c r="BW524" i="1"/>
  <c r="BW525" i="1"/>
  <c r="BW526" i="1"/>
  <c r="BW527" i="1"/>
  <c r="BW529" i="1"/>
  <c r="BW530" i="1"/>
  <c r="BW531" i="1"/>
  <c r="BW532" i="1"/>
  <c r="BW533" i="1"/>
  <c r="BW534" i="1"/>
  <c r="BW535" i="1"/>
  <c r="BW536" i="1"/>
  <c r="BW538" i="1"/>
  <c r="BW539" i="1"/>
  <c r="BW540" i="1"/>
  <c r="BW541" i="1"/>
  <c r="BW542" i="1"/>
  <c r="BW543" i="1"/>
  <c r="BW544" i="1"/>
  <c r="BW545" i="1"/>
  <c r="BW546" i="1"/>
  <c r="BW549" i="1"/>
  <c r="BW550" i="1"/>
  <c r="BW551" i="1"/>
  <c r="BW552" i="1"/>
  <c r="BW553" i="1"/>
  <c r="BW554" i="1"/>
  <c r="BW555" i="1"/>
  <c r="BW558" i="1"/>
  <c r="BW559" i="1"/>
  <c r="BW560" i="1"/>
  <c r="BW561" i="1"/>
  <c r="BW562" i="1"/>
  <c r="BW564" i="1"/>
  <c r="BW565" i="1"/>
  <c r="BW566" i="1"/>
  <c r="BW567" i="1"/>
  <c r="BW570" i="1"/>
  <c r="BW572" i="1"/>
  <c r="BW573" i="1"/>
  <c r="BW574" i="1"/>
  <c r="BW576" i="1"/>
  <c r="BW577" i="1"/>
  <c r="BW578" i="1"/>
  <c r="BW579" i="1"/>
  <c r="BW580" i="1"/>
  <c r="BW581" i="1"/>
  <c r="H583" i="1"/>
  <c r="BW583" i="1"/>
  <c r="BW584" i="1"/>
  <c r="BW586" i="1"/>
  <c r="BW587" i="1"/>
  <c r="BW588" i="1"/>
  <c r="BW591" i="1"/>
  <c r="BW592" i="1"/>
  <c r="BW593" i="1"/>
  <c r="BW594" i="1"/>
  <c r="BW595" i="1"/>
  <c r="BW596" i="1"/>
  <c r="BW597" i="1"/>
  <c r="BW598" i="1"/>
  <c r="BW600" i="1"/>
  <c r="BW601" i="1"/>
  <c r="BW603" i="1"/>
  <c r="BW604" i="1"/>
  <c r="BW605" i="1"/>
  <c r="BW606" i="1"/>
  <c r="BW607" i="1"/>
  <c r="BW608" i="1"/>
  <c r="BW609" i="1"/>
  <c r="BW610" i="1"/>
  <c r="BW611" i="1"/>
  <c r="BW612" i="1"/>
  <c r="H614" i="1"/>
  <c r="BW614" i="1" s="1"/>
  <c r="BW615" i="1"/>
  <c r="BW617" i="1"/>
  <c r="BW618" i="1"/>
  <c r="BW619" i="1"/>
  <c r="BW620" i="1"/>
  <c r="BW622" i="1"/>
  <c r="BW623" i="1"/>
  <c r="BW624" i="1"/>
  <c r="BW625" i="1"/>
  <c r="BW626" i="1"/>
  <c r="BW628" i="1"/>
  <c r="BW629" i="1"/>
  <c r="BW630" i="1"/>
  <c r="BW631" i="1"/>
  <c r="BW632" i="1"/>
  <c r="BW633" i="1"/>
  <c r="BW634" i="1"/>
  <c r="H636" i="1"/>
  <c r="BW636" i="1"/>
  <c r="BW637" i="1"/>
  <c r="BW638" i="1"/>
  <c r="BW639" i="1"/>
  <c r="BW641" i="1"/>
  <c r="BW643" i="1"/>
  <c r="BW644" i="1"/>
  <c r="BW645" i="1"/>
  <c r="BW647" i="1"/>
  <c r="BW648" i="1"/>
  <c r="BW649" i="1"/>
  <c r="BW650" i="1"/>
  <c r="BW651" i="1"/>
  <c r="BW652" i="1"/>
  <c r="H654" i="1"/>
  <c r="BW654" i="1" s="1"/>
  <c r="BW655" i="1"/>
  <c r="BW656" i="1"/>
  <c r="BW657" i="1"/>
  <c r="BW658" i="1"/>
  <c r="BW659" i="1"/>
  <c r="BW660" i="1"/>
  <c r="BW662" i="1"/>
  <c r="BW663" i="1"/>
  <c r="BW665" i="1"/>
  <c r="BW666" i="1"/>
  <c r="BW667" i="1"/>
  <c r="BW669" i="1"/>
  <c r="BW670" i="1"/>
  <c r="BW671" i="1"/>
  <c r="BW672" i="1"/>
  <c r="BW674" i="1"/>
  <c r="BW675" i="1"/>
  <c r="BW676" i="1"/>
  <c r="BW677" i="1"/>
  <c r="BW678" i="1"/>
  <c r="BW679" i="1"/>
  <c r="BW682" i="1"/>
  <c r="BW683" i="1"/>
  <c r="BW684" i="1"/>
  <c r="BW685" i="1"/>
  <c r="BW686" i="1"/>
  <c r="BW687" i="1"/>
  <c r="BW688" i="1"/>
  <c r="BW689" i="1"/>
  <c r="BW690" i="1"/>
  <c r="BW691" i="1"/>
  <c r="BW693" i="1"/>
  <c r="BW694" i="1"/>
  <c r="BW695" i="1"/>
  <c r="BW696" i="1"/>
  <c r="BW698" i="1"/>
  <c r="BW699" i="1"/>
  <c r="BW702" i="1"/>
  <c r="BW703" i="1"/>
  <c r="BW704" i="1"/>
  <c r="BW706" i="1"/>
  <c r="BW707" i="1"/>
  <c r="BW708" i="1"/>
  <c r="BW709" i="1"/>
  <c r="BW712" i="1"/>
  <c r="BW713" i="1"/>
  <c r="BW714" i="1"/>
  <c r="BW715" i="1"/>
  <c r="BW716" i="1"/>
  <c r="BW717" i="1"/>
  <c r="BW718" i="1"/>
  <c r="BW720" i="1"/>
  <c r="BW721" i="1"/>
  <c r="BW723" i="1"/>
  <c r="BW724" i="1"/>
  <c r="BW725" i="1"/>
  <c r="BW726" i="1"/>
  <c r="BW729" i="1"/>
  <c r="BW731" i="1"/>
  <c r="BW732" i="1"/>
  <c r="BW733" i="1"/>
  <c r="BW734" i="1"/>
  <c r="BW735" i="1"/>
  <c r="BW736" i="1"/>
  <c r="BW739" i="1"/>
  <c r="BW740" i="1"/>
  <c r="BW741" i="1"/>
  <c r="BW742" i="1"/>
  <c r="BW743" i="1"/>
  <c r="BW744" i="1"/>
  <c r="BW745" i="1"/>
  <c r="BW748" i="1"/>
  <c r="BW750" i="1"/>
  <c r="BW751" i="1"/>
  <c r="BW752" i="1"/>
  <c r="BW753" i="1"/>
  <c r="BW754" i="1"/>
  <c r="BW755" i="1"/>
  <c r="BW756" i="1"/>
  <c r="BW758" i="1"/>
  <c r="BW760" i="1"/>
  <c r="BW761" i="1"/>
  <c r="BW764" i="1"/>
  <c r="BW766" i="1"/>
  <c r="BW767" i="1"/>
  <c r="BW768" i="1"/>
  <c r="BW769" i="1"/>
  <c r="BW774" i="1"/>
  <c r="BW775" i="1"/>
  <c r="BW777" i="1"/>
  <c r="BW778" i="1"/>
  <c r="BW779" i="1"/>
  <c r="BW780" i="1"/>
  <c r="BW782" i="1"/>
  <c r="BW783" i="1"/>
  <c r="BW784" i="1"/>
  <c r="BW785" i="1"/>
  <c r="BW786" i="1"/>
  <c r="BW787" i="1"/>
  <c r="BW789" i="1"/>
  <c r="BW790" i="1"/>
  <c r="BW791" i="1"/>
  <c r="BW794" i="1"/>
  <c r="BW795" i="1"/>
  <c r="BW796" i="1"/>
  <c r="BW797" i="1"/>
  <c r="BW798" i="1"/>
  <c r="BW800" i="1"/>
  <c r="BW801" i="1"/>
  <c r="BW802" i="1"/>
  <c r="BW803" i="1"/>
  <c r="BW804" i="1"/>
  <c r="BW805" i="1"/>
  <c r="BW806" i="1"/>
  <c r="BW807" i="1"/>
  <c r="BW808" i="1"/>
  <c r="H810" i="1"/>
  <c r="BW810" i="1"/>
  <c r="BW811" i="1"/>
  <c r="BW812" i="1"/>
  <c r="BW813" i="1"/>
  <c r="BW814" i="1"/>
  <c r="BW815" i="1"/>
  <c r="BW816" i="1"/>
  <c r="BW818" i="1"/>
  <c r="BW819" i="1"/>
  <c r="BW820" i="1"/>
  <c r="BW822" i="1"/>
  <c r="BW823" i="1"/>
  <c r="BW824" i="1"/>
  <c r="BW825" i="1"/>
  <c r="BW826" i="1"/>
  <c r="BW827" i="1"/>
  <c r="H829" i="1"/>
  <c r="BW829" i="1" s="1"/>
  <c r="BW830" i="1"/>
  <c r="BW831" i="1"/>
  <c r="BW832" i="1"/>
  <c r="BW834" i="1"/>
  <c r="BW835" i="1"/>
  <c r="BW836" i="1"/>
  <c r="BW839" i="1"/>
  <c r="BW840" i="1"/>
  <c r="BW841" i="1"/>
  <c r="BW842" i="1"/>
  <c r="BW843" i="1"/>
  <c r="BW844" i="1"/>
  <c r="BW845" i="1"/>
  <c r="BW846" i="1"/>
  <c r="BW847" i="1"/>
  <c r="BW848" i="1"/>
  <c r="BW849" i="1"/>
  <c r="BW850" i="1"/>
  <c r="BW854" i="1"/>
  <c r="BW855" i="1"/>
  <c r="BW856" i="1"/>
  <c r="BW857" i="1"/>
  <c r="BW859" i="1"/>
  <c r="BW860" i="1"/>
  <c r="BW863" i="1"/>
  <c r="BW864" i="1"/>
  <c r="BW865" i="1"/>
  <c r="BW866" i="1"/>
  <c r="BW867" i="1"/>
  <c r="BW868" i="1"/>
  <c r="BW869" i="1"/>
  <c r="BW870" i="1"/>
  <c r="BW872" i="1"/>
  <c r="BW873" i="1"/>
  <c r="BW874" i="1"/>
  <c r="BW875" i="1"/>
  <c r="BW876" i="1"/>
  <c r="BW877" i="1"/>
  <c r="BW878" i="1"/>
  <c r="BW879" i="1"/>
  <c r="BW880" i="1"/>
  <c r="BW881" i="1"/>
  <c r="BW884" i="1"/>
  <c r="BW887" i="1"/>
  <c r="BW888" i="1"/>
  <c r="BW889" i="1"/>
  <c r="BW890" i="1"/>
  <c r="BW891" i="1"/>
  <c r="BW892" i="1"/>
  <c r="BW893" i="1"/>
  <c r="BW894" i="1"/>
  <c r="BW895" i="1"/>
  <c r="BW897" i="1"/>
  <c r="BW898" i="1"/>
  <c r="BW899" i="1"/>
  <c r="BW900" i="1"/>
  <c r="BW901" i="1"/>
  <c r="BW902" i="1"/>
  <c r="BW905" i="1"/>
  <c r="BW906" i="1"/>
  <c r="BW908" i="1"/>
  <c r="BW909" i="1"/>
  <c r="BW910" i="1"/>
  <c r="BW911" i="1"/>
  <c r="BW912" i="1"/>
  <c r="BW913" i="1"/>
  <c r="BW915" i="1"/>
  <c r="BW916" i="1"/>
  <c r="BW917" i="1"/>
  <c r="BW918" i="1"/>
  <c r="BW919" i="1"/>
  <c r="BW920" i="1"/>
  <c r="BW921" i="1"/>
  <c r="BW922" i="1"/>
  <c r="BW923" i="1"/>
  <c r="BW924" i="1"/>
  <c r="BW925" i="1"/>
  <c r="BW927" i="1"/>
  <c r="BW928" i="1"/>
  <c r="BW929" i="1"/>
  <c r="BW930" i="1"/>
  <c r="BW931" i="1"/>
  <c r="BW932" i="1"/>
  <c r="BW933" i="1"/>
  <c r="BW935" i="1"/>
  <c r="BW936" i="1"/>
  <c r="BW937" i="1"/>
  <c r="BW938" i="1"/>
  <c r="BW939" i="1"/>
  <c r="BW940" i="1"/>
  <c r="BW941" i="1"/>
  <c r="BW943" i="1"/>
  <c r="BW944" i="1"/>
  <c r="BW945" i="1"/>
  <c r="BW947" i="1"/>
  <c r="BW948" i="1"/>
  <c r="BW950" i="1"/>
  <c r="BW951" i="1"/>
  <c r="BW952" i="1"/>
  <c r="BW953" i="1"/>
  <c r="BW954" i="1"/>
  <c r="BW955" i="1"/>
  <c r="BW956" i="1"/>
  <c r="BW957" i="1"/>
  <c r="BW958" i="1"/>
  <c r="BW960" i="1"/>
  <c r="BW961" i="1"/>
  <c r="BW962" i="1"/>
  <c r="BW963" i="1"/>
  <c r="BW964" i="1"/>
  <c r="BW965" i="1"/>
  <c r="BW966" i="1"/>
  <c r="BW967" i="1"/>
  <c r="BW969" i="1"/>
  <c r="BW970" i="1"/>
  <c r="BW971" i="1"/>
  <c r="BW972" i="1"/>
  <c r="BW973" i="1"/>
  <c r="BW974" i="1"/>
  <c r="BW975" i="1"/>
  <c r="BW977" i="1"/>
  <c r="BW978" i="1"/>
  <c r="BW979" i="1"/>
  <c r="BW980" i="1"/>
  <c r="BW981" i="1"/>
  <c r="BW983" i="1"/>
  <c r="BW985" i="1"/>
  <c r="BW986" i="1"/>
  <c r="BW987" i="1"/>
  <c r="H989" i="1"/>
  <c r="BW989" i="1" s="1"/>
  <c r="BW990" i="1"/>
  <c r="BW991" i="1"/>
  <c r="BW992" i="1"/>
  <c r="BW993" i="1"/>
  <c r="BW994" i="1"/>
  <c r="BW996" i="1"/>
  <c r="BW997" i="1"/>
  <c r="BW998" i="1"/>
  <c r="BW999" i="1"/>
  <c r="BW1000" i="1"/>
  <c r="BW1001" i="1"/>
  <c r="BW1002" i="1"/>
  <c r="BW1003" i="1"/>
  <c r="BW1005" i="1"/>
  <c r="BW1006" i="1"/>
  <c r="BW1007" i="1"/>
  <c r="BW1008" i="1"/>
  <c r="BW1009" i="1"/>
  <c r="BW1010" i="1"/>
  <c r="BW1011" i="1"/>
  <c r="BW1013" i="1"/>
  <c r="BW1014" i="1"/>
  <c r="BW1015" i="1"/>
  <c r="BW1016" i="1"/>
  <c r="BW1017" i="1"/>
  <c r="BW1018" i="1"/>
  <c r="BW1019" i="1"/>
  <c r="BW1020" i="1"/>
  <c r="BW1021" i="1"/>
  <c r="BW1022" i="1"/>
  <c r="BW1023" i="1"/>
  <c r="BW1025" i="1"/>
  <c r="BW1026" i="1"/>
  <c r="BW1027" i="1"/>
  <c r="BW1028" i="1"/>
  <c r="BW1029" i="1"/>
  <c r="BW1030" i="1"/>
  <c r="BW1031" i="1"/>
  <c r="BW1032" i="1"/>
  <c r="BW1033" i="1"/>
  <c r="BW1035" i="1"/>
  <c r="BW1036" i="1"/>
  <c r="BW1037" i="1"/>
  <c r="BW1038" i="1"/>
  <c r="BW1039" i="1"/>
  <c r="BW1040" i="1"/>
  <c r="BW1041" i="1"/>
  <c r="BW1042" i="1"/>
  <c r="BW1043" i="1"/>
  <c r="BW1044" i="1"/>
  <c r="BW1046" i="1"/>
  <c r="BW1047" i="1"/>
  <c r="BW1048" i="1"/>
  <c r="BW1051" i="1"/>
  <c r="BW1053" i="1"/>
  <c r="BW1054" i="1"/>
  <c r="BW1055" i="1"/>
  <c r="BW1056" i="1"/>
  <c r="BW1057" i="1"/>
  <c r="BW1059" i="1"/>
  <c r="BW1060" i="1"/>
  <c r="BW1061" i="1"/>
  <c r="BW1062" i="1"/>
  <c r="BW1063" i="1"/>
  <c r="BW1064" i="1"/>
  <c r="BW1066" i="1"/>
  <c r="BW1067" i="1"/>
  <c r="BW1068" i="1"/>
  <c r="BW1069" i="1"/>
  <c r="BW1070" i="1"/>
  <c r="BW1071" i="1"/>
  <c r="BW1072" i="1"/>
  <c r="BW1073" i="1"/>
  <c r="BW1075" i="1"/>
  <c r="BW1076" i="1"/>
  <c r="BW1077" i="1"/>
  <c r="BW1079" i="1"/>
  <c r="BW1080" i="1"/>
  <c r="BW1081" i="1"/>
  <c r="BW1082" i="1"/>
  <c r="BW1083" i="1"/>
  <c r="BW1084" i="1"/>
  <c r="BW1086" i="1"/>
  <c r="BW1087" i="1"/>
  <c r="BW1088" i="1"/>
  <c r="BW1089" i="1"/>
  <c r="BW1090" i="1"/>
  <c r="BW1091" i="1"/>
  <c r="BW1092" i="1"/>
  <c r="BW1093" i="1"/>
  <c r="BW1094" i="1"/>
  <c r="BW1096" i="1"/>
  <c r="BW1097" i="1"/>
  <c r="BW1098" i="1"/>
  <c r="BW1099" i="1"/>
  <c r="BW1100" i="1"/>
  <c r="BW1101" i="1"/>
  <c r="BW1102" i="1"/>
  <c r="BW1103" i="1"/>
  <c r="BW1104" i="1"/>
  <c r="BW1105" i="1"/>
  <c r="BW1106" i="1"/>
  <c r="BW1108" i="1"/>
  <c r="BW1109" i="1"/>
  <c r="BW1110" i="1"/>
  <c r="BW1111" i="1"/>
  <c r="BW1112" i="1"/>
  <c r="BW1113" i="1"/>
  <c r="BW1115" i="1"/>
  <c r="BW1116" i="1"/>
  <c r="BW1117" i="1"/>
  <c r="BW1118" i="1"/>
  <c r="BW1120" i="1"/>
  <c r="BW1122" i="1"/>
  <c r="BW1123" i="1"/>
  <c r="BW1124" i="1"/>
  <c r="H1126" i="1"/>
  <c r="BW1126" i="1"/>
  <c r="BW1127" i="1"/>
  <c r="BW1128" i="1"/>
  <c r="BW1129" i="1"/>
  <c r="BW1130" i="1"/>
  <c r="BW1132" i="1"/>
  <c r="BW1133" i="1"/>
  <c r="BW1135" i="1"/>
  <c r="BW1136" i="1"/>
  <c r="BW1137" i="1"/>
  <c r="BW1138" i="1"/>
  <c r="BW1139" i="1"/>
  <c r="BW1140" i="1"/>
  <c r="BW1142" i="1"/>
  <c r="BW1143" i="1"/>
  <c r="BW1144" i="1"/>
  <c r="BW1145" i="1"/>
  <c r="BW1146" i="1"/>
  <c r="BW1147" i="1"/>
  <c r="BW1148" i="1"/>
  <c r="BW1149" i="1"/>
  <c r="BW1150" i="1"/>
  <c r="BW1152" i="1"/>
  <c r="BW1153" i="1"/>
  <c r="BW1154" i="1"/>
  <c r="BW1155" i="1"/>
  <c r="BW1158" i="1"/>
  <c r="BW1159" i="1"/>
  <c r="BW1160" i="1"/>
  <c r="BW1161" i="1"/>
  <c r="BW1162" i="1"/>
  <c r="BW1163" i="1"/>
  <c r="BW1164" i="1"/>
  <c r="BW1165" i="1"/>
  <c r="BW1167" i="1"/>
  <c r="BW1168" i="1"/>
  <c r="BW1169" i="1"/>
  <c r="BW1170" i="1"/>
  <c r="BW1172" i="1"/>
  <c r="BW1173" i="1"/>
  <c r="BW1174" i="1"/>
  <c r="BW1175" i="1"/>
  <c r="BW1177" i="1"/>
  <c r="BW1178" i="1"/>
  <c r="BW1179" i="1"/>
  <c r="BW1180" i="1"/>
  <c r="BW1181" i="1"/>
  <c r="BW1182" i="1"/>
  <c r="BW1183" i="1"/>
  <c r="BW1185" i="1"/>
  <c r="BW1186" i="1"/>
  <c r="BW1187" i="1"/>
  <c r="BW1188" i="1"/>
  <c r="BW1189" i="1"/>
  <c r="BW1190" i="1"/>
  <c r="BW1192" i="1"/>
  <c r="BW1194" i="1"/>
  <c r="BW1195" i="1"/>
  <c r="BW1196" i="1"/>
  <c r="BW1199" i="1"/>
  <c r="BW1201" i="1"/>
  <c r="BW1202" i="1"/>
  <c r="BW1203" i="1"/>
  <c r="BW1204" i="1"/>
  <c r="BW1205" i="1"/>
  <c r="BW1206" i="1"/>
  <c r="BW1207" i="1"/>
  <c r="BW1209" i="1"/>
  <c r="BW1210" i="1"/>
  <c r="BW1211" i="1"/>
  <c r="BW1212" i="1"/>
  <c r="BW1213" i="1"/>
  <c r="BW1214" i="1"/>
  <c r="BW1215" i="1"/>
  <c r="BW1216" i="1"/>
  <c r="BW1217" i="1"/>
  <c r="BW1219" i="1"/>
  <c r="BW1220" i="1"/>
  <c r="BW1222" i="1"/>
  <c r="BW1223" i="1"/>
  <c r="BW1224" i="1"/>
  <c r="BW1225" i="1"/>
  <c r="BW1226" i="1"/>
  <c r="BW1227" i="1"/>
  <c r="BW1230" i="1"/>
  <c r="BW1231" i="1"/>
  <c r="BW1232" i="1"/>
  <c r="BW1233" i="1"/>
  <c r="BW1234" i="1"/>
  <c r="BW1235" i="1"/>
  <c r="BW1236" i="1"/>
  <c r="BW1238" i="1"/>
  <c r="BW1240" i="1"/>
  <c r="BW1241" i="1"/>
  <c r="BW1242" i="1"/>
  <c r="BW1244" i="1"/>
  <c r="BW1245" i="1"/>
  <c r="BW1246" i="1"/>
  <c r="BW1247" i="1"/>
  <c r="BW1248" i="1"/>
  <c r="BW1250" i="1"/>
  <c r="BW1251" i="1"/>
  <c r="BW1252" i="1"/>
  <c r="BW1253" i="1"/>
  <c r="BW1254" i="1"/>
  <c r="BW1255" i="1"/>
  <c r="BW1256" i="1"/>
  <c r="BW1257" i="1"/>
  <c r="BW1258" i="1"/>
  <c r="BW1259" i="1"/>
  <c r="BW1261" i="1"/>
  <c r="BW1262" i="1"/>
  <c r="BW1263" i="1"/>
  <c r="BW1265" i="1"/>
  <c r="BW1266" i="1"/>
  <c r="BW1267" i="1"/>
  <c r="BW1268" i="1"/>
  <c r="BW1272" i="1"/>
  <c r="BW1274" i="1"/>
  <c r="BW1275" i="1"/>
  <c r="BW1276" i="1"/>
  <c r="BW1277" i="1"/>
  <c r="BW1278" i="1"/>
  <c r="BW1279" i="1"/>
  <c r="BW1280" i="1"/>
  <c r="H1282" i="1"/>
  <c r="BW1282" i="1"/>
  <c r="BW1283" i="1"/>
  <c r="BW1284" i="1"/>
  <c r="BW1285" i="1"/>
  <c r="BW1286" i="1"/>
  <c r="BW1287" i="1"/>
  <c r="BW1288" i="1"/>
  <c r="BW1289" i="1"/>
  <c r="BW1292" i="1"/>
  <c r="BW1293" i="1"/>
  <c r="BW1294" i="1"/>
  <c r="BW1295" i="1"/>
  <c r="BW1296" i="1"/>
  <c r="BW1297" i="1"/>
  <c r="BW1298" i="1"/>
  <c r="BW1299" i="1"/>
  <c r="BW1300" i="1"/>
  <c r="BW1301" i="1"/>
  <c r="BW1303" i="1"/>
  <c r="BW1304" i="1"/>
  <c r="BW1305" i="1"/>
  <c r="BW1306" i="1"/>
  <c r="BW1307" i="1"/>
  <c r="BW1308" i="1"/>
  <c r="BW1309" i="1"/>
  <c r="BW1310" i="1"/>
  <c r="BW1311" i="1"/>
  <c r="BW1312" i="1"/>
  <c r="BW1313" i="1"/>
  <c r="BX67" i="1"/>
  <c r="BX68" i="1"/>
  <c r="BX69" i="1"/>
  <c r="BX70" i="1"/>
  <c r="BX71" i="1"/>
  <c r="BX72" i="1"/>
  <c r="BX73" i="1"/>
  <c r="BX74" i="1"/>
  <c r="I76" i="1"/>
  <c r="BX76" i="1" s="1"/>
  <c r="BX77" i="1"/>
  <c r="BX78" i="1"/>
  <c r="BX79" i="1"/>
  <c r="BX80" i="1"/>
  <c r="BX81" i="1"/>
  <c r="BX82" i="1"/>
  <c r="I84" i="1"/>
  <c r="BX84" i="1" s="1"/>
  <c r="BX85" i="1"/>
  <c r="BX86" i="1"/>
  <c r="BX87" i="1"/>
  <c r="BX88" i="1"/>
  <c r="BX89" i="1"/>
  <c r="BX90" i="1"/>
  <c r="BX92" i="1"/>
  <c r="BX93" i="1"/>
  <c r="BX94" i="1"/>
  <c r="BX95" i="1"/>
  <c r="BX96" i="1"/>
  <c r="BX97" i="1"/>
  <c r="BX98" i="1"/>
  <c r="BX101" i="1"/>
  <c r="BX103" i="1"/>
  <c r="BX104" i="1"/>
  <c r="BX105" i="1"/>
  <c r="BX106" i="1"/>
  <c r="BX107" i="1"/>
  <c r="BX108" i="1"/>
  <c r="BX109" i="1"/>
  <c r="BX111" i="1"/>
  <c r="BX112" i="1"/>
  <c r="BX113" i="1"/>
  <c r="BX114" i="1"/>
  <c r="BX115" i="1"/>
  <c r="BX116" i="1"/>
  <c r="BX117" i="1"/>
  <c r="BX118" i="1"/>
  <c r="BX119" i="1"/>
  <c r="BX120" i="1"/>
  <c r="BX122" i="1"/>
  <c r="BX124" i="1"/>
  <c r="BX125" i="1"/>
  <c r="BX126" i="1"/>
  <c r="BX129" i="1"/>
  <c r="BX131" i="1"/>
  <c r="BX132" i="1"/>
  <c r="BX136" i="1"/>
  <c r="BX138" i="1"/>
  <c r="BX139" i="1"/>
  <c r="BX140" i="1"/>
  <c r="BX141" i="1"/>
  <c r="BX142" i="1"/>
  <c r="BX144" i="1"/>
  <c r="BX145" i="1"/>
  <c r="BX146" i="1"/>
  <c r="BX147" i="1"/>
  <c r="BX148" i="1"/>
  <c r="BX149" i="1"/>
  <c r="BX151" i="1"/>
  <c r="BX152" i="1"/>
  <c r="BX153" i="1"/>
  <c r="BX154" i="1"/>
  <c r="BX155" i="1"/>
  <c r="BX156" i="1"/>
  <c r="BX157" i="1"/>
  <c r="BX158" i="1"/>
  <c r="BX160" i="1"/>
  <c r="BX161" i="1"/>
  <c r="BX162" i="1"/>
  <c r="BX163" i="1"/>
  <c r="BX165" i="1"/>
  <c r="BX166" i="1"/>
  <c r="BX167" i="1"/>
  <c r="BX168" i="1"/>
  <c r="BX169" i="1"/>
  <c r="BX170" i="1"/>
  <c r="I172" i="1"/>
  <c r="BX172" i="1"/>
  <c r="BX173" i="1"/>
  <c r="BX176" i="1"/>
  <c r="BX177" i="1"/>
  <c r="BX178" i="1"/>
  <c r="BX179" i="1"/>
  <c r="BX180" i="1"/>
  <c r="BX181" i="1"/>
  <c r="BX182" i="1"/>
  <c r="BX183" i="1"/>
  <c r="BX184" i="1"/>
  <c r="BX186" i="1"/>
  <c r="BX187" i="1"/>
  <c r="BX188" i="1"/>
  <c r="BX189" i="1"/>
  <c r="BX190" i="1"/>
  <c r="BX191" i="1"/>
  <c r="BX192" i="1"/>
  <c r="BX193" i="1"/>
  <c r="BX195" i="1"/>
  <c r="BX196" i="1"/>
  <c r="BX197" i="1"/>
  <c r="BX198" i="1"/>
  <c r="BX201" i="1"/>
  <c r="BX202" i="1"/>
  <c r="BX203" i="1"/>
  <c r="BX204" i="1"/>
  <c r="BX205" i="1"/>
  <c r="BX206" i="1"/>
  <c r="BX207" i="1"/>
  <c r="BX209" i="1"/>
  <c r="BX210" i="1"/>
  <c r="BX211" i="1"/>
  <c r="BX212" i="1"/>
  <c r="BX213" i="1"/>
  <c r="BX214" i="1"/>
  <c r="BX215" i="1"/>
  <c r="BX218" i="1"/>
  <c r="BX219" i="1"/>
  <c r="BX220" i="1"/>
  <c r="BX221" i="1"/>
  <c r="BX222" i="1"/>
  <c r="BX225" i="1"/>
  <c r="BX226" i="1"/>
  <c r="BX227" i="1"/>
  <c r="BX228" i="1"/>
  <c r="BX229" i="1"/>
  <c r="BX231" i="1"/>
  <c r="BX232" i="1"/>
  <c r="BX233" i="1"/>
  <c r="BX234" i="1"/>
  <c r="BX235" i="1"/>
  <c r="BX236" i="1"/>
  <c r="BX237" i="1"/>
  <c r="BX238" i="1"/>
  <c r="I240" i="1"/>
  <c r="BX240" i="1"/>
  <c r="BX241" i="1"/>
  <c r="BX242" i="1"/>
  <c r="BX243" i="1"/>
  <c r="BX244" i="1"/>
  <c r="BX245" i="1"/>
  <c r="BX246" i="1"/>
  <c r="BX247" i="1"/>
  <c r="BX250" i="1"/>
  <c r="BX251" i="1"/>
  <c r="BX252" i="1"/>
  <c r="BX253" i="1"/>
  <c r="BX254" i="1"/>
  <c r="BX255" i="1"/>
  <c r="BX256" i="1"/>
  <c r="BX258" i="1"/>
  <c r="BX259" i="1"/>
  <c r="BX260" i="1"/>
  <c r="BX261" i="1"/>
  <c r="BX262" i="1"/>
  <c r="BX263" i="1"/>
  <c r="BX264" i="1"/>
  <c r="BX265" i="1"/>
  <c r="BX266" i="1"/>
  <c r="BX269" i="1"/>
  <c r="BX270" i="1"/>
  <c r="BX271" i="1"/>
  <c r="BX272" i="1"/>
  <c r="BX273" i="1"/>
  <c r="BX274" i="1"/>
  <c r="BX275" i="1"/>
  <c r="BX276" i="1"/>
  <c r="I278" i="1"/>
  <c r="BX278" i="1" s="1"/>
  <c r="BX279" i="1"/>
  <c r="BX280" i="1"/>
  <c r="BX281" i="1"/>
  <c r="BX282" i="1"/>
  <c r="BX283" i="1"/>
  <c r="BX286" i="1"/>
  <c r="BX287" i="1"/>
  <c r="BX288" i="1"/>
  <c r="BX292" i="1"/>
  <c r="BX293" i="1"/>
  <c r="BX294" i="1"/>
  <c r="BX296" i="1"/>
  <c r="BX297" i="1"/>
  <c r="BX298" i="1"/>
  <c r="BX299" i="1"/>
  <c r="BX300" i="1"/>
  <c r="BX301" i="1"/>
  <c r="BX302" i="1"/>
  <c r="BX303" i="1"/>
  <c r="BX305" i="1"/>
  <c r="BX306" i="1"/>
  <c r="BX307" i="1"/>
  <c r="BX308" i="1"/>
  <c r="BX309" i="1"/>
  <c r="BX310" i="1"/>
  <c r="BX311" i="1"/>
  <c r="BX312" i="1"/>
  <c r="BX313" i="1"/>
  <c r="BX314" i="1"/>
  <c r="BX317" i="1"/>
  <c r="BX318" i="1"/>
  <c r="BX319" i="1"/>
  <c r="BX320" i="1"/>
  <c r="BX321" i="1"/>
  <c r="BX322" i="1"/>
  <c r="BX323" i="1"/>
  <c r="BX324" i="1"/>
  <c r="BX325" i="1"/>
  <c r="BX326" i="1"/>
  <c r="BX327" i="1"/>
  <c r="I329" i="1"/>
  <c r="BX329" i="1"/>
  <c r="BX330" i="1"/>
  <c r="BX332" i="1"/>
  <c r="BX333" i="1"/>
  <c r="BX334" i="1"/>
  <c r="BX335" i="1"/>
  <c r="BX336" i="1"/>
  <c r="BX337" i="1"/>
  <c r="BX338" i="1"/>
  <c r="BX340" i="1"/>
  <c r="BX341" i="1"/>
  <c r="BX342" i="1"/>
  <c r="BX343" i="1"/>
  <c r="BX344" i="1"/>
  <c r="BX345" i="1"/>
  <c r="BX346" i="1"/>
  <c r="BX347" i="1"/>
  <c r="BX348" i="1"/>
  <c r="BX349" i="1"/>
  <c r="BX351" i="1"/>
  <c r="BX352" i="1"/>
  <c r="BX353" i="1"/>
  <c r="BX354" i="1"/>
  <c r="BX355" i="1"/>
  <c r="BX356" i="1"/>
  <c r="I358" i="1"/>
  <c r="BX358" i="1"/>
  <c r="BX359" i="1"/>
  <c r="BX360" i="1"/>
  <c r="BX361" i="1"/>
  <c r="BX362" i="1"/>
  <c r="BX363" i="1"/>
  <c r="BX364" i="1"/>
  <c r="BX365" i="1"/>
  <c r="BX367" i="1"/>
  <c r="BX368" i="1"/>
  <c r="BX369" i="1"/>
  <c r="BX371" i="1"/>
  <c r="BX372" i="1"/>
  <c r="BX373" i="1"/>
  <c r="I375" i="1"/>
  <c r="BX375" i="1"/>
  <c r="BX376" i="1"/>
  <c r="BX378" i="1"/>
  <c r="BX379" i="1"/>
  <c r="BX380" i="1"/>
  <c r="BX381" i="1"/>
  <c r="BX382" i="1"/>
  <c r="BX383" i="1"/>
  <c r="BX385" i="1"/>
  <c r="BX386" i="1"/>
  <c r="BX387" i="1"/>
  <c r="BX388" i="1"/>
  <c r="BX389" i="1"/>
  <c r="BX390" i="1"/>
  <c r="BX391" i="1"/>
  <c r="BX393" i="1"/>
  <c r="BX394" i="1"/>
  <c r="BX395" i="1"/>
  <c r="BX396" i="1"/>
  <c r="BX397" i="1"/>
  <c r="BX398" i="1"/>
  <c r="BX399" i="1"/>
  <c r="BX400" i="1"/>
  <c r="BX401" i="1"/>
  <c r="BX404" i="1"/>
  <c r="BX405" i="1"/>
  <c r="BX406" i="1"/>
  <c r="BX407" i="1"/>
  <c r="BX408" i="1"/>
  <c r="BX409" i="1"/>
  <c r="BX410" i="1"/>
  <c r="BX411" i="1"/>
  <c r="BX413" i="1"/>
  <c r="BX414" i="1"/>
  <c r="BX415" i="1"/>
  <c r="BX416" i="1"/>
  <c r="BX417" i="1"/>
  <c r="BX418" i="1"/>
  <c r="BX421" i="1"/>
  <c r="BX422" i="1"/>
  <c r="BX423" i="1"/>
  <c r="BX424" i="1"/>
  <c r="BX425" i="1"/>
  <c r="BX426" i="1"/>
  <c r="BX427" i="1"/>
  <c r="BX428" i="1"/>
  <c r="BX430" i="1"/>
  <c r="BX431" i="1"/>
  <c r="BX432" i="1"/>
  <c r="BX433" i="1"/>
  <c r="BX434" i="1"/>
  <c r="BX435" i="1"/>
  <c r="BX436" i="1"/>
  <c r="BX438" i="1"/>
  <c r="BX439" i="1"/>
  <c r="BX440" i="1"/>
  <c r="BX441" i="1"/>
  <c r="BX442" i="1"/>
  <c r="BX443" i="1"/>
  <c r="BX445" i="1"/>
  <c r="BX446" i="1"/>
  <c r="BX447" i="1"/>
  <c r="BX448" i="1"/>
  <c r="BX449" i="1"/>
  <c r="BX450" i="1"/>
  <c r="BX451" i="1"/>
  <c r="BX452" i="1"/>
  <c r="BX454" i="1"/>
  <c r="BX455" i="1"/>
  <c r="BX456" i="1"/>
  <c r="BX457" i="1"/>
  <c r="BX459" i="1"/>
  <c r="BX460" i="1"/>
  <c r="BX461" i="1"/>
  <c r="BX462" i="1"/>
  <c r="BX463" i="1"/>
  <c r="BX464" i="1"/>
  <c r="BX465" i="1"/>
  <c r="BX466" i="1"/>
  <c r="BX468" i="1"/>
  <c r="BX469" i="1"/>
  <c r="BX470" i="1"/>
  <c r="BX471" i="1"/>
  <c r="BX472" i="1"/>
  <c r="BX473" i="1"/>
  <c r="BX474" i="1"/>
  <c r="BX475" i="1"/>
  <c r="BX476" i="1"/>
  <c r="BX478" i="1"/>
  <c r="BX479" i="1"/>
  <c r="BX480" i="1"/>
  <c r="BX481" i="1"/>
  <c r="BX482" i="1"/>
  <c r="BX483" i="1"/>
  <c r="BX485" i="1"/>
  <c r="BX486" i="1"/>
  <c r="BX487" i="1"/>
  <c r="BX488" i="1"/>
  <c r="BX489" i="1"/>
  <c r="BX490" i="1"/>
  <c r="BX491" i="1"/>
  <c r="BX492" i="1"/>
  <c r="BX493" i="1"/>
  <c r="BX496" i="1"/>
  <c r="BX497" i="1"/>
  <c r="BX498" i="1"/>
  <c r="BX499" i="1"/>
  <c r="BX500" i="1"/>
  <c r="BX502" i="1"/>
  <c r="BX503" i="1"/>
  <c r="BX504" i="1"/>
  <c r="BX505" i="1"/>
  <c r="BX506" i="1"/>
  <c r="BX507" i="1"/>
  <c r="BX508" i="1"/>
  <c r="BX510" i="1"/>
  <c r="BX511" i="1"/>
  <c r="BX512" i="1"/>
  <c r="BX514" i="1"/>
  <c r="BX515" i="1"/>
  <c r="BX516" i="1"/>
  <c r="BX517" i="1"/>
  <c r="BX518" i="1"/>
  <c r="BX520" i="1"/>
  <c r="BX521" i="1"/>
  <c r="BX522" i="1"/>
  <c r="BX523" i="1"/>
  <c r="BX524" i="1"/>
  <c r="BX525" i="1"/>
  <c r="BX526" i="1"/>
  <c r="BX527" i="1"/>
  <c r="BX529" i="1"/>
  <c r="BX530" i="1"/>
  <c r="BX531" i="1"/>
  <c r="BX532" i="1"/>
  <c r="BX533" i="1"/>
  <c r="BX534" i="1"/>
  <c r="BX535" i="1"/>
  <c r="BX536" i="1"/>
  <c r="BX538" i="1"/>
  <c r="BX539" i="1"/>
  <c r="BX540" i="1"/>
  <c r="BX541" i="1"/>
  <c r="BX542" i="1"/>
  <c r="BX543" i="1"/>
  <c r="BX544" i="1"/>
  <c r="BX545" i="1"/>
  <c r="BX546" i="1"/>
  <c r="BX548" i="1"/>
  <c r="BX549" i="1"/>
  <c r="BX550" i="1"/>
  <c r="BX551" i="1"/>
  <c r="BX552" i="1"/>
  <c r="BX553" i="1"/>
  <c r="BX554" i="1"/>
  <c r="BX555" i="1"/>
  <c r="BX557" i="1"/>
  <c r="BX558" i="1"/>
  <c r="BX559" i="1"/>
  <c r="BX560" i="1"/>
  <c r="BX561" i="1"/>
  <c r="BX562" i="1"/>
  <c r="BX564" i="1"/>
  <c r="BX565" i="1"/>
  <c r="BX566" i="1"/>
  <c r="BX567" i="1"/>
  <c r="BX569" i="1"/>
  <c r="BX570" i="1"/>
  <c r="BX572" i="1"/>
  <c r="BX573" i="1"/>
  <c r="BX574" i="1"/>
  <c r="BX576" i="1"/>
  <c r="BX577" i="1"/>
  <c r="BX578" i="1"/>
  <c r="BX579" i="1"/>
  <c r="BX580" i="1"/>
  <c r="BX581" i="1"/>
  <c r="I583" i="1"/>
  <c r="BX583" i="1"/>
  <c r="BX584" i="1"/>
  <c r="BX586" i="1"/>
  <c r="BX587" i="1"/>
  <c r="BX588" i="1"/>
  <c r="BX590" i="1"/>
  <c r="BX591" i="1"/>
  <c r="BX592" i="1"/>
  <c r="BX593" i="1"/>
  <c r="BX594" i="1"/>
  <c r="BX595" i="1"/>
  <c r="BX596" i="1"/>
  <c r="BX597" i="1"/>
  <c r="BX598" i="1"/>
  <c r="BX600" i="1"/>
  <c r="BX601" i="1"/>
  <c r="BX603" i="1"/>
  <c r="BX604" i="1"/>
  <c r="BX605" i="1"/>
  <c r="BX606" i="1"/>
  <c r="BX607" i="1"/>
  <c r="BX608" i="1"/>
  <c r="BX609" i="1"/>
  <c r="BX610" i="1"/>
  <c r="BX611" i="1"/>
  <c r="BX612" i="1"/>
  <c r="I614" i="1"/>
  <c r="BX614" i="1" s="1"/>
  <c r="BX615" i="1"/>
  <c r="BX617" i="1"/>
  <c r="BX618" i="1"/>
  <c r="BX619" i="1"/>
  <c r="BX620" i="1"/>
  <c r="BX622" i="1"/>
  <c r="BX623" i="1"/>
  <c r="BX624" i="1"/>
  <c r="BX625" i="1"/>
  <c r="BX626" i="1"/>
  <c r="BX629" i="1"/>
  <c r="BX630" i="1"/>
  <c r="BX631" i="1"/>
  <c r="BX632" i="1"/>
  <c r="BX633" i="1"/>
  <c r="BX634" i="1"/>
  <c r="I636" i="1"/>
  <c r="BX636" i="1"/>
  <c r="BX637" i="1"/>
  <c r="BX638" i="1"/>
  <c r="BX639" i="1"/>
  <c r="BX641" i="1"/>
  <c r="BX643" i="1"/>
  <c r="BX644" i="1"/>
  <c r="BX645" i="1"/>
  <c r="BX647" i="1"/>
  <c r="BX648" i="1"/>
  <c r="BX649" i="1"/>
  <c r="BX650" i="1"/>
  <c r="BX651" i="1"/>
  <c r="BX652" i="1"/>
  <c r="I654" i="1"/>
  <c r="BX654" i="1" s="1"/>
  <c r="BX655" i="1"/>
  <c r="BX656" i="1"/>
  <c r="BX657" i="1"/>
  <c r="BX658" i="1"/>
  <c r="BX659" i="1"/>
  <c r="BX660" i="1"/>
  <c r="BX662" i="1"/>
  <c r="BX663" i="1"/>
  <c r="BX665" i="1"/>
  <c r="BX666" i="1"/>
  <c r="BX667" i="1"/>
  <c r="BX669" i="1"/>
  <c r="BX670" i="1"/>
  <c r="BX671" i="1"/>
  <c r="BX672" i="1"/>
  <c r="BX674" i="1"/>
  <c r="BX675" i="1"/>
  <c r="BX676" i="1"/>
  <c r="BX677" i="1"/>
  <c r="BX678" i="1"/>
  <c r="BX679" i="1"/>
  <c r="BX681" i="1"/>
  <c r="BX682" i="1"/>
  <c r="BX683" i="1"/>
  <c r="BX684" i="1"/>
  <c r="BX685" i="1"/>
  <c r="BX686" i="1"/>
  <c r="BX687" i="1"/>
  <c r="BX688" i="1"/>
  <c r="BX689" i="1"/>
  <c r="BX690" i="1"/>
  <c r="BX691" i="1"/>
  <c r="BX693" i="1"/>
  <c r="BX694" i="1"/>
  <c r="BX695" i="1"/>
  <c r="BX696" i="1"/>
  <c r="BX698" i="1"/>
  <c r="BX699" i="1"/>
  <c r="BX702" i="1"/>
  <c r="BX703" i="1"/>
  <c r="BX704" i="1"/>
  <c r="BX706" i="1"/>
  <c r="BX707" i="1"/>
  <c r="BX708" i="1"/>
  <c r="BX709" i="1"/>
  <c r="BX712" i="1"/>
  <c r="BX713" i="1"/>
  <c r="BX714" i="1"/>
  <c r="BX715" i="1"/>
  <c r="BX716" i="1"/>
  <c r="BX717" i="1"/>
  <c r="BX718" i="1"/>
  <c r="BX720" i="1"/>
  <c r="BX721" i="1"/>
  <c r="BX723" i="1"/>
  <c r="BX724" i="1"/>
  <c r="BX725" i="1"/>
  <c r="BX726" i="1"/>
  <c r="BX729" i="1"/>
  <c r="BX732" i="1"/>
  <c r="BX733" i="1"/>
  <c r="BX734" i="1"/>
  <c r="BX735" i="1"/>
  <c r="BX736" i="1"/>
  <c r="BX738" i="1"/>
  <c r="BX739" i="1"/>
  <c r="BX740" i="1"/>
  <c r="BX741" i="1"/>
  <c r="BX742" i="1"/>
  <c r="BX743" i="1"/>
  <c r="BX744" i="1"/>
  <c r="BX745" i="1"/>
  <c r="BX748" i="1"/>
  <c r="BX751" i="1"/>
  <c r="BX752" i="1"/>
  <c r="BX753" i="1"/>
  <c r="BX754" i="1"/>
  <c r="BX755" i="1"/>
  <c r="BX756" i="1"/>
  <c r="BX758" i="1"/>
  <c r="BX760" i="1"/>
  <c r="BX761" i="1"/>
  <c r="BX763" i="1"/>
  <c r="BX764" i="1"/>
  <c r="BX766" i="1"/>
  <c r="BX767" i="1"/>
  <c r="BX768" i="1"/>
  <c r="BX769" i="1"/>
  <c r="BX774" i="1"/>
  <c r="BX775" i="1"/>
  <c r="BX777" i="1"/>
  <c r="BX778" i="1"/>
  <c r="BX779" i="1"/>
  <c r="BX780" i="1"/>
  <c r="BX782" i="1"/>
  <c r="BX783" i="1"/>
  <c r="BX784" i="1"/>
  <c r="BX785" i="1"/>
  <c r="BX786" i="1"/>
  <c r="BX787" i="1"/>
  <c r="BX789" i="1"/>
  <c r="BX790" i="1"/>
  <c r="BX791" i="1"/>
  <c r="BX794" i="1"/>
  <c r="BX795" i="1"/>
  <c r="BX796" i="1"/>
  <c r="BX797" i="1"/>
  <c r="BX798" i="1"/>
  <c r="BX800" i="1"/>
  <c r="BX801" i="1"/>
  <c r="BX802" i="1"/>
  <c r="BX803" i="1"/>
  <c r="BX804" i="1"/>
  <c r="BX805" i="1"/>
  <c r="BX806" i="1"/>
  <c r="BX807" i="1"/>
  <c r="BX808" i="1"/>
  <c r="I810" i="1"/>
  <c r="BX810" i="1" s="1"/>
  <c r="BX811" i="1"/>
  <c r="BX812" i="1"/>
  <c r="BX813" i="1"/>
  <c r="BX814" i="1"/>
  <c r="BX815" i="1"/>
  <c r="BX816" i="1"/>
  <c r="BX818" i="1"/>
  <c r="BX819" i="1"/>
  <c r="BX820" i="1"/>
  <c r="BX822" i="1"/>
  <c r="BX823" i="1"/>
  <c r="BX824" i="1"/>
  <c r="BX825" i="1"/>
  <c r="BX826" i="1"/>
  <c r="BX827" i="1"/>
  <c r="I829" i="1"/>
  <c r="BX829" i="1" s="1"/>
  <c r="BX830" i="1"/>
  <c r="BX831" i="1"/>
  <c r="BX832" i="1"/>
  <c r="BX834" i="1"/>
  <c r="BX835" i="1"/>
  <c r="BX836" i="1"/>
  <c r="BX838" i="1"/>
  <c r="BX839" i="1"/>
  <c r="BX840" i="1"/>
  <c r="BX841" i="1"/>
  <c r="BX842" i="1"/>
  <c r="BX843" i="1"/>
  <c r="BX844" i="1"/>
  <c r="BX845" i="1"/>
  <c r="BX846" i="1"/>
  <c r="BX847" i="1"/>
  <c r="BX848" i="1"/>
  <c r="BX849" i="1"/>
  <c r="BX850" i="1"/>
  <c r="BX854" i="1"/>
  <c r="BX855" i="1"/>
  <c r="BX856" i="1"/>
  <c r="BX857" i="1"/>
  <c r="BX859" i="1"/>
  <c r="BX860" i="1"/>
  <c r="BX863" i="1"/>
  <c r="BX864" i="1"/>
  <c r="BX865" i="1"/>
  <c r="BX866" i="1"/>
  <c r="BX867" i="1"/>
  <c r="BX868" i="1"/>
  <c r="BX869" i="1"/>
  <c r="BX870" i="1"/>
  <c r="BX873" i="1"/>
  <c r="BX874" i="1"/>
  <c r="BX875" i="1"/>
  <c r="BX876" i="1"/>
  <c r="BX877" i="1"/>
  <c r="BX878" i="1"/>
  <c r="BX879" i="1"/>
  <c r="BX880" i="1"/>
  <c r="BX881" i="1"/>
  <c r="BX884" i="1"/>
  <c r="BX886" i="1"/>
  <c r="BX887" i="1"/>
  <c r="BX888" i="1"/>
  <c r="BX889" i="1"/>
  <c r="BX890" i="1"/>
  <c r="BX891" i="1"/>
  <c r="BX892" i="1"/>
  <c r="BX893" i="1"/>
  <c r="BX894" i="1"/>
  <c r="BX895" i="1"/>
  <c r="BX897" i="1"/>
  <c r="BX898" i="1"/>
  <c r="BX899" i="1"/>
  <c r="BX900" i="1"/>
  <c r="BX901" i="1"/>
  <c r="BX902" i="1"/>
  <c r="BX905" i="1"/>
  <c r="BX906" i="1"/>
  <c r="BX908" i="1"/>
  <c r="BX909" i="1"/>
  <c r="BX910" i="1"/>
  <c r="BX911" i="1"/>
  <c r="BX912" i="1"/>
  <c r="BX913" i="1"/>
  <c r="BX915" i="1"/>
  <c r="BX916" i="1"/>
  <c r="BX917" i="1"/>
  <c r="BX918" i="1"/>
  <c r="BX919" i="1"/>
  <c r="BX920" i="1"/>
  <c r="BX921" i="1"/>
  <c r="BX922" i="1"/>
  <c r="BX923" i="1"/>
  <c r="BX924" i="1"/>
  <c r="BX925" i="1"/>
  <c r="BX927" i="1"/>
  <c r="BX928" i="1"/>
  <c r="BX929" i="1"/>
  <c r="BX930" i="1"/>
  <c r="BX931" i="1"/>
  <c r="BX932" i="1"/>
  <c r="BX933" i="1"/>
  <c r="BX935" i="1"/>
  <c r="BX936" i="1"/>
  <c r="BX937" i="1"/>
  <c r="BX938" i="1"/>
  <c r="BX939" i="1"/>
  <c r="BX940" i="1"/>
  <c r="BX941" i="1"/>
  <c r="BX943" i="1"/>
  <c r="BX944" i="1"/>
  <c r="BX945" i="1"/>
  <c r="BX947" i="1"/>
  <c r="BX948" i="1"/>
  <c r="BX950" i="1"/>
  <c r="BX951" i="1"/>
  <c r="BX952" i="1"/>
  <c r="BX953" i="1"/>
  <c r="BX954" i="1"/>
  <c r="BX955" i="1"/>
  <c r="BX956" i="1"/>
  <c r="BX957" i="1"/>
  <c r="BX958" i="1"/>
  <c r="BX961" i="1"/>
  <c r="BX962" i="1"/>
  <c r="BX963" i="1"/>
  <c r="BX964" i="1"/>
  <c r="BX965" i="1"/>
  <c r="BX966" i="1"/>
  <c r="BX967" i="1"/>
  <c r="BX969" i="1"/>
  <c r="BX970" i="1"/>
  <c r="BX971" i="1"/>
  <c r="BX972" i="1"/>
  <c r="BX973" i="1"/>
  <c r="BX974" i="1"/>
  <c r="BX975" i="1"/>
  <c r="BX977" i="1"/>
  <c r="BX978" i="1"/>
  <c r="BX979" i="1"/>
  <c r="BX980" i="1"/>
  <c r="BX981" i="1"/>
  <c r="BX983" i="1"/>
  <c r="BX985" i="1"/>
  <c r="BX986" i="1"/>
  <c r="BX987" i="1"/>
  <c r="I989" i="1"/>
  <c r="BX989" i="1" s="1"/>
  <c r="BX990" i="1"/>
  <c r="BX991" i="1"/>
  <c r="BX992" i="1"/>
  <c r="BX993" i="1"/>
  <c r="BX994" i="1"/>
  <c r="BX996" i="1"/>
  <c r="BX997" i="1"/>
  <c r="BX998" i="1"/>
  <c r="BX999" i="1"/>
  <c r="BX1000" i="1"/>
  <c r="BX1001" i="1"/>
  <c r="BX1002" i="1"/>
  <c r="BX1003" i="1"/>
  <c r="BX1006" i="1"/>
  <c r="BX1007" i="1"/>
  <c r="BX1008" i="1"/>
  <c r="BX1009" i="1"/>
  <c r="BX1010" i="1"/>
  <c r="BX1011" i="1"/>
  <c r="BX1013" i="1"/>
  <c r="BX1014" i="1"/>
  <c r="BX1015" i="1"/>
  <c r="BX1016" i="1"/>
  <c r="BX1017" i="1"/>
  <c r="BX1018" i="1"/>
  <c r="BX1019" i="1"/>
  <c r="BX1020" i="1"/>
  <c r="BX1021" i="1"/>
  <c r="BX1022" i="1"/>
  <c r="BX1023" i="1"/>
  <c r="BX1025" i="1"/>
  <c r="BX1026" i="1"/>
  <c r="BX1027" i="1"/>
  <c r="BX1028" i="1"/>
  <c r="BX1029" i="1"/>
  <c r="BX1030" i="1"/>
  <c r="BX1031" i="1"/>
  <c r="BX1032" i="1"/>
  <c r="BX1033" i="1"/>
  <c r="BX1035" i="1"/>
  <c r="BX1036" i="1"/>
  <c r="BX1037" i="1"/>
  <c r="BX1038" i="1"/>
  <c r="BX1039" i="1"/>
  <c r="BX1040" i="1"/>
  <c r="BX1041" i="1"/>
  <c r="BX1042" i="1"/>
  <c r="BX1043" i="1"/>
  <c r="BX1044" i="1"/>
  <c r="BX1046" i="1"/>
  <c r="BX1047" i="1"/>
  <c r="BX1048" i="1"/>
  <c r="BX1051" i="1"/>
  <c r="BX1053" i="1"/>
  <c r="BX1054" i="1"/>
  <c r="BX1055" i="1"/>
  <c r="BX1056" i="1"/>
  <c r="BX1057" i="1"/>
  <c r="BX1059" i="1"/>
  <c r="BX1060" i="1"/>
  <c r="BX1061" i="1"/>
  <c r="BX1062" i="1"/>
  <c r="BX1063" i="1"/>
  <c r="BX1064" i="1"/>
  <c r="BX1067" i="1"/>
  <c r="BX1068" i="1"/>
  <c r="BX1069" i="1"/>
  <c r="BX1070" i="1"/>
  <c r="BX1071" i="1"/>
  <c r="BX1072" i="1"/>
  <c r="BX1073" i="1"/>
  <c r="BX1075" i="1"/>
  <c r="BX1076" i="1"/>
  <c r="BX1077" i="1"/>
  <c r="BX1079" i="1"/>
  <c r="BX1080" i="1"/>
  <c r="BX1081" i="1"/>
  <c r="BX1082" i="1"/>
  <c r="BX1083" i="1"/>
  <c r="BX1084" i="1"/>
  <c r="BX1086" i="1"/>
  <c r="BX1087" i="1"/>
  <c r="BX1088" i="1"/>
  <c r="BX1089" i="1"/>
  <c r="BX1090" i="1"/>
  <c r="BX1091" i="1"/>
  <c r="BX1092" i="1"/>
  <c r="BX1093" i="1"/>
  <c r="BX1094" i="1"/>
  <c r="BX1097" i="1"/>
  <c r="BX1098" i="1"/>
  <c r="BX1099" i="1"/>
  <c r="BX1100" i="1"/>
  <c r="BX1101" i="1"/>
  <c r="BX1102" i="1"/>
  <c r="BX1103" i="1"/>
  <c r="BX1104" i="1"/>
  <c r="BX1105" i="1"/>
  <c r="BX1106" i="1"/>
  <c r="BX1108" i="1"/>
  <c r="BX1109" i="1"/>
  <c r="BX1110" i="1"/>
  <c r="BX1111" i="1"/>
  <c r="BX1112" i="1"/>
  <c r="BX1113" i="1"/>
  <c r="BX1115" i="1"/>
  <c r="BX1116" i="1"/>
  <c r="BX1117" i="1"/>
  <c r="BX1118" i="1"/>
  <c r="BX1120" i="1"/>
  <c r="BX1122" i="1"/>
  <c r="BX1123" i="1"/>
  <c r="BX1124" i="1"/>
  <c r="I1126" i="1"/>
  <c r="BX1126" i="1" s="1"/>
  <c r="BX1127" i="1"/>
  <c r="BX1128" i="1"/>
  <c r="BX1129" i="1"/>
  <c r="BX1130" i="1"/>
  <c r="BX1132" i="1"/>
  <c r="BX1133" i="1"/>
  <c r="BX1135" i="1"/>
  <c r="BX1136" i="1"/>
  <c r="BX1137" i="1"/>
  <c r="BX1138" i="1"/>
  <c r="BX1139" i="1"/>
  <c r="BX1140" i="1"/>
  <c r="BX1142" i="1"/>
  <c r="BX1143" i="1"/>
  <c r="BX1144" i="1"/>
  <c r="BX1145" i="1"/>
  <c r="BX1146" i="1"/>
  <c r="BX1147" i="1"/>
  <c r="BX1148" i="1"/>
  <c r="BX1149" i="1"/>
  <c r="BX1150" i="1"/>
  <c r="BX1152" i="1"/>
  <c r="BX1153" i="1"/>
  <c r="BX1154" i="1"/>
  <c r="BX1155" i="1"/>
  <c r="BX1157" i="1"/>
  <c r="BX1158" i="1"/>
  <c r="BX1159" i="1"/>
  <c r="BX1160" i="1"/>
  <c r="BX1161" i="1"/>
  <c r="BX1162" i="1"/>
  <c r="BX1163" i="1"/>
  <c r="BX1164" i="1"/>
  <c r="BX1165" i="1"/>
  <c r="BX1167" i="1"/>
  <c r="BX1168" i="1"/>
  <c r="BX1169" i="1"/>
  <c r="BX1170" i="1"/>
  <c r="BX1172" i="1"/>
  <c r="BX1173" i="1"/>
  <c r="BX1174" i="1"/>
  <c r="BX1175" i="1"/>
  <c r="BX1177" i="1"/>
  <c r="BX1178" i="1"/>
  <c r="BX1179" i="1"/>
  <c r="BX1180" i="1"/>
  <c r="BX1181" i="1"/>
  <c r="BX1182" i="1"/>
  <c r="BX1183" i="1"/>
  <c r="BX1185" i="1"/>
  <c r="BX1186" i="1"/>
  <c r="BX1187" i="1"/>
  <c r="BX1188" i="1"/>
  <c r="BX1189" i="1"/>
  <c r="BX1190" i="1"/>
  <c r="BX1192" i="1"/>
  <c r="BX1194" i="1"/>
  <c r="BX1195" i="1"/>
  <c r="BX1196" i="1"/>
  <c r="BX1199" i="1"/>
  <c r="BX1201" i="1"/>
  <c r="BX1202" i="1"/>
  <c r="BX1203" i="1"/>
  <c r="BX1204" i="1"/>
  <c r="BX1205" i="1"/>
  <c r="BX1206" i="1"/>
  <c r="BX1207" i="1"/>
  <c r="BX1209" i="1"/>
  <c r="BX1210" i="1"/>
  <c r="BX1211" i="1"/>
  <c r="BX1212" i="1"/>
  <c r="BX1213" i="1"/>
  <c r="BX1214" i="1"/>
  <c r="BX1215" i="1"/>
  <c r="BX1216" i="1"/>
  <c r="BX1217" i="1"/>
  <c r="BX1219" i="1"/>
  <c r="BX1220" i="1"/>
  <c r="BX1222" i="1"/>
  <c r="BX1223" i="1"/>
  <c r="BX1224" i="1"/>
  <c r="BX1225" i="1"/>
  <c r="BX1226" i="1"/>
  <c r="BX1227" i="1"/>
  <c r="BX1229" i="1"/>
  <c r="BX1230" i="1"/>
  <c r="BX1231" i="1"/>
  <c r="BX1232" i="1"/>
  <c r="BX1233" i="1"/>
  <c r="BX1234" i="1"/>
  <c r="BX1235" i="1"/>
  <c r="BX1236" i="1"/>
  <c r="BX1238" i="1"/>
  <c r="BX1240" i="1"/>
  <c r="BX1241" i="1"/>
  <c r="BX1242" i="1"/>
  <c r="BX1244" i="1"/>
  <c r="BX1245" i="1"/>
  <c r="BX1246" i="1"/>
  <c r="BX1247" i="1"/>
  <c r="BX1248" i="1"/>
  <c r="BX1250" i="1"/>
  <c r="BX1251" i="1"/>
  <c r="BX1252" i="1"/>
  <c r="BX1253" i="1"/>
  <c r="BX1254" i="1"/>
  <c r="BX1255" i="1"/>
  <c r="BX1256" i="1"/>
  <c r="BX1257" i="1"/>
  <c r="BX1258" i="1"/>
  <c r="BX1259" i="1"/>
  <c r="BX1262" i="1"/>
  <c r="BX1263" i="1"/>
  <c r="BX1265" i="1"/>
  <c r="BX1266" i="1"/>
  <c r="BX1267" i="1"/>
  <c r="BX1268" i="1"/>
  <c r="BX1272" i="1"/>
  <c r="BX1274" i="1"/>
  <c r="BX1275" i="1"/>
  <c r="BX1276" i="1"/>
  <c r="BX1277" i="1"/>
  <c r="BX1278" i="1"/>
  <c r="BX1279" i="1"/>
  <c r="BX1280" i="1"/>
  <c r="I1282" i="1"/>
  <c r="BX1282" i="1"/>
  <c r="BX1283" i="1"/>
  <c r="BX1284" i="1"/>
  <c r="BX1285" i="1"/>
  <c r="BX1286" i="1"/>
  <c r="BX1287" i="1"/>
  <c r="BX1288" i="1"/>
  <c r="BX1289" i="1"/>
  <c r="BX1291" i="1"/>
  <c r="BX1292" i="1"/>
  <c r="BX1293" i="1"/>
  <c r="BX1294" i="1"/>
  <c r="BX1295" i="1"/>
  <c r="BX1296" i="1"/>
  <c r="BX1297" i="1"/>
  <c r="BX1298" i="1"/>
  <c r="BX1299" i="1"/>
  <c r="BX1300" i="1"/>
  <c r="BX1301" i="1"/>
  <c r="BX1304" i="1"/>
  <c r="BX1305" i="1"/>
  <c r="BX1306" i="1"/>
  <c r="BX1307" i="1"/>
  <c r="BX1308" i="1"/>
  <c r="BX1309" i="1"/>
  <c r="BX1310" i="1"/>
  <c r="BX1311" i="1"/>
  <c r="BX1312" i="1"/>
  <c r="BX1313" i="1"/>
  <c r="BY67" i="1"/>
  <c r="BY68" i="1"/>
  <c r="BY69" i="1"/>
  <c r="BY70" i="1"/>
  <c r="BY71" i="1"/>
  <c r="BY72" i="1"/>
  <c r="BY73" i="1"/>
  <c r="BY74" i="1"/>
  <c r="J76" i="1"/>
  <c r="BY76" i="1"/>
  <c r="BY77" i="1"/>
  <c r="BY78" i="1"/>
  <c r="BY79" i="1"/>
  <c r="BY80" i="1"/>
  <c r="BY81" i="1"/>
  <c r="BY82" i="1"/>
  <c r="J84" i="1"/>
  <c r="BY84" i="1" s="1"/>
  <c r="BY85" i="1"/>
  <c r="BY86" i="1"/>
  <c r="BY87" i="1"/>
  <c r="BY88" i="1"/>
  <c r="BY89" i="1"/>
  <c r="BY90" i="1"/>
  <c r="BY92" i="1"/>
  <c r="BY93" i="1"/>
  <c r="BY94" i="1"/>
  <c r="BY95" i="1"/>
  <c r="BY96" i="1"/>
  <c r="BY97" i="1"/>
  <c r="BY98" i="1"/>
  <c r="BY101" i="1"/>
  <c r="BY103" i="1"/>
  <c r="BY104" i="1"/>
  <c r="BY105" i="1"/>
  <c r="BY106" i="1"/>
  <c r="BY107" i="1"/>
  <c r="BY108" i="1"/>
  <c r="BY109" i="1"/>
  <c r="BY111" i="1"/>
  <c r="BY112" i="1"/>
  <c r="BY113" i="1"/>
  <c r="BY114" i="1"/>
  <c r="BY115" i="1"/>
  <c r="BY116" i="1"/>
  <c r="BY117" i="1"/>
  <c r="BY118" i="1"/>
  <c r="BY119" i="1"/>
  <c r="BY120" i="1"/>
  <c r="BY122" i="1"/>
  <c r="BY124" i="1"/>
  <c r="BY125" i="1"/>
  <c r="BY126" i="1"/>
  <c r="BY129" i="1"/>
  <c r="BY131" i="1"/>
  <c r="BY132" i="1"/>
  <c r="BY136" i="1"/>
  <c r="BY138" i="1"/>
  <c r="BY139" i="1"/>
  <c r="BY140" i="1"/>
  <c r="BY141" i="1"/>
  <c r="BY142" i="1"/>
  <c r="J144" i="1"/>
  <c r="BY144" i="1"/>
  <c r="BY145" i="1"/>
  <c r="BY146" i="1"/>
  <c r="BY147" i="1"/>
  <c r="BY148" i="1"/>
  <c r="BY149" i="1"/>
  <c r="BY151" i="1"/>
  <c r="BY152" i="1"/>
  <c r="BY153" i="1"/>
  <c r="BY154" i="1"/>
  <c r="BY155" i="1"/>
  <c r="BY156" i="1"/>
  <c r="BY157" i="1"/>
  <c r="BY158" i="1"/>
  <c r="BY160" i="1"/>
  <c r="BY161" i="1"/>
  <c r="BY162" i="1"/>
  <c r="BY163" i="1"/>
  <c r="BY165" i="1"/>
  <c r="BY166" i="1"/>
  <c r="BY167" i="1"/>
  <c r="BY168" i="1"/>
  <c r="BY169" i="1"/>
  <c r="BY170" i="1"/>
  <c r="J172" i="1"/>
  <c r="BY172" i="1" s="1"/>
  <c r="BY173" i="1"/>
  <c r="BY175" i="1"/>
  <c r="BY176" i="1"/>
  <c r="BY177" i="1"/>
  <c r="BY178" i="1"/>
  <c r="BY179" i="1"/>
  <c r="BY180" i="1"/>
  <c r="BY181" i="1"/>
  <c r="BY182" i="1"/>
  <c r="BY183" i="1"/>
  <c r="BY184" i="1"/>
  <c r="BY186" i="1"/>
  <c r="BY187" i="1"/>
  <c r="BY188" i="1"/>
  <c r="BY189" i="1"/>
  <c r="BY190" i="1"/>
  <c r="BY191" i="1"/>
  <c r="BY192" i="1"/>
  <c r="BY193" i="1"/>
  <c r="J195" i="1"/>
  <c r="BY195" i="1"/>
  <c r="BY196" i="1"/>
  <c r="BY197" i="1"/>
  <c r="BY198" i="1"/>
  <c r="BY200" i="1"/>
  <c r="BY201" i="1"/>
  <c r="BY202" i="1"/>
  <c r="BY203" i="1"/>
  <c r="BY204" i="1"/>
  <c r="BY205" i="1"/>
  <c r="BY206" i="1"/>
  <c r="BY207" i="1"/>
  <c r="BY210" i="1"/>
  <c r="BY211" i="1"/>
  <c r="BY212" i="1"/>
  <c r="BY213" i="1"/>
  <c r="BY214" i="1"/>
  <c r="BY215" i="1"/>
  <c r="BY217" i="1"/>
  <c r="BY218" i="1"/>
  <c r="BY219" i="1"/>
  <c r="BY220" i="1"/>
  <c r="BY221" i="1"/>
  <c r="BY222" i="1"/>
  <c r="BY225" i="1"/>
  <c r="BY226" i="1"/>
  <c r="BY227" i="1"/>
  <c r="BY228" i="1"/>
  <c r="BY229" i="1"/>
  <c r="BY231" i="1"/>
  <c r="BY232" i="1"/>
  <c r="BY233" i="1"/>
  <c r="BY234" i="1"/>
  <c r="BY235" i="1"/>
  <c r="BY236" i="1"/>
  <c r="BY237" i="1"/>
  <c r="BY238" i="1"/>
  <c r="J240" i="1"/>
  <c r="BY240" i="1"/>
  <c r="BY241" i="1"/>
  <c r="BY242" i="1"/>
  <c r="BY243" i="1"/>
  <c r="BY244" i="1"/>
  <c r="BY245" i="1"/>
  <c r="BY246" i="1"/>
  <c r="BY247" i="1"/>
  <c r="BY249" i="1"/>
  <c r="BY250" i="1"/>
  <c r="BY251" i="1"/>
  <c r="BY252" i="1"/>
  <c r="BY253" i="1"/>
  <c r="BY254" i="1"/>
  <c r="BY255" i="1"/>
  <c r="BY256" i="1"/>
  <c r="BY258" i="1"/>
  <c r="BY259" i="1"/>
  <c r="BY260" i="1"/>
  <c r="BY261" i="1"/>
  <c r="BY262" i="1"/>
  <c r="BY263" i="1"/>
  <c r="BY264" i="1"/>
  <c r="BY265" i="1"/>
  <c r="BY266" i="1"/>
  <c r="BY269" i="1"/>
  <c r="BY270" i="1"/>
  <c r="BY271" i="1"/>
  <c r="BY272" i="1"/>
  <c r="BY273" i="1"/>
  <c r="BY274" i="1"/>
  <c r="BY275" i="1"/>
  <c r="BY276" i="1"/>
  <c r="J278" i="1"/>
  <c r="BY278" i="1"/>
  <c r="BY279" i="1"/>
  <c r="BY280" i="1"/>
  <c r="BY281" i="1"/>
  <c r="BY282" i="1"/>
  <c r="BY283" i="1"/>
  <c r="BY285" i="1"/>
  <c r="BY286" i="1"/>
  <c r="BY287" i="1"/>
  <c r="BY288" i="1"/>
  <c r="BY292" i="1"/>
  <c r="BY293" i="1"/>
  <c r="BY294" i="1"/>
  <c r="BY296" i="1"/>
  <c r="BY297" i="1"/>
  <c r="BY298" i="1"/>
  <c r="BY299" i="1"/>
  <c r="BY300" i="1"/>
  <c r="BY301" i="1"/>
  <c r="BY302" i="1"/>
  <c r="BY303" i="1"/>
  <c r="BY306" i="1"/>
  <c r="BY307" i="1"/>
  <c r="BY308" i="1"/>
  <c r="BY309" i="1"/>
  <c r="BY310" i="1"/>
  <c r="BY311" i="1"/>
  <c r="BY312" i="1"/>
  <c r="BY313" i="1"/>
  <c r="BY314" i="1"/>
  <c r="BY316" i="1"/>
  <c r="BY317" i="1"/>
  <c r="BY318" i="1"/>
  <c r="BY319" i="1"/>
  <c r="BY320" i="1"/>
  <c r="BY321" i="1"/>
  <c r="BY322" i="1"/>
  <c r="BY323" i="1"/>
  <c r="BY324" i="1"/>
  <c r="BY325" i="1"/>
  <c r="BY326" i="1"/>
  <c r="BY327" i="1"/>
  <c r="J329" i="1"/>
  <c r="BY329" i="1"/>
  <c r="BY330" i="1"/>
  <c r="BY333" i="1"/>
  <c r="BY334" i="1"/>
  <c r="BY335" i="1"/>
  <c r="BY336" i="1"/>
  <c r="BY337" i="1"/>
  <c r="BY338" i="1"/>
  <c r="BY341" i="1"/>
  <c r="BY342" i="1"/>
  <c r="BY343" i="1"/>
  <c r="BY344" i="1"/>
  <c r="BY345" i="1"/>
  <c r="BY346" i="1"/>
  <c r="BY347" i="1"/>
  <c r="BY348" i="1"/>
  <c r="BY349" i="1"/>
  <c r="BY351" i="1"/>
  <c r="BY352" i="1"/>
  <c r="BY353" i="1"/>
  <c r="BY354" i="1"/>
  <c r="BY355" i="1"/>
  <c r="BY356" i="1"/>
  <c r="J358" i="1"/>
  <c r="BY358" i="1"/>
  <c r="BY359" i="1"/>
  <c r="BY360" i="1"/>
  <c r="BY361" i="1"/>
  <c r="BY362" i="1"/>
  <c r="BY363" i="1"/>
  <c r="BY364" i="1"/>
  <c r="BY365" i="1"/>
  <c r="BY367" i="1"/>
  <c r="BY368" i="1"/>
  <c r="BY369" i="1"/>
  <c r="BY371" i="1"/>
  <c r="BY372" i="1"/>
  <c r="BY373" i="1"/>
  <c r="J375" i="1"/>
  <c r="BY375" i="1"/>
  <c r="BY376" i="1"/>
  <c r="BY378" i="1"/>
  <c r="BY379" i="1"/>
  <c r="BY380" i="1"/>
  <c r="BY381" i="1"/>
  <c r="BY382" i="1"/>
  <c r="BY383" i="1"/>
  <c r="BY385" i="1"/>
  <c r="BY386" i="1"/>
  <c r="BY387" i="1"/>
  <c r="BY388" i="1"/>
  <c r="BY389" i="1"/>
  <c r="BY390" i="1"/>
  <c r="BY391" i="1"/>
  <c r="BY393" i="1"/>
  <c r="BY394" i="1"/>
  <c r="BY395" i="1"/>
  <c r="BY396" i="1"/>
  <c r="BY397" i="1"/>
  <c r="BY398" i="1"/>
  <c r="BY399" i="1"/>
  <c r="BY400" i="1"/>
  <c r="BY401" i="1"/>
  <c r="BY403" i="1"/>
  <c r="BY404" i="1"/>
  <c r="BY405" i="1"/>
  <c r="BY406" i="1"/>
  <c r="BY407" i="1"/>
  <c r="BY408" i="1"/>
  <c r="BY409" i="1"/>
  <c r="BY410" i="1"/>
  <c r="BY411" i="1"/>
  <c r="BY414" i="1"/>
  <c r="BY415" i="1"/>
  <c r="BY416" i="1"/>
  <c r="BY417" i="1"/>
  <c r="BY418" i="1"/>
  <c r="BY421" i="1"/>
  <c r="BY422" i="1"/>
  <c r="BY423" i="1"/>
  <c r="BY424" i="1"/>
  <c r="BY425" i="1"/>
  <c r="BY426" i="1"/>
  <c r="BY427" i="1"/>
  <c r="BY428" i="1"/>
  <c r="BY430" i="1"/>
  <c r="BY431" i="1"/>
  <c r="BY432" i="1"/>
  <c r="BY433" i="1"/>
  <c r="BY434" i="1"/>
  <c r="BY435" i="1"/>
  <c r="BY436" i="1"/>
  <c r="BY438" i="1"/>
  <c r="BY439" i="1"/>
  <c r="BY440" i="1"/>
  <c r="BY441" i="1"/>
  <c r="BY442" i="1"/>
  <c r="BY443" i="1"/>
  <c r="BY446" i="1"/>
  <c r="BY447" i="1"/>
  <c r="BY448" i="1"/>
  <c r="BY449" i="1"/>
  <c r="BY450" i="1"/>
  <c r="BY451" i="1"/>
  <c r="BY452" i="1"/>
  <c r="BY454" i="1"/>
  <c r="BY455" i="1"/>
  <c r="BY456" i="1"/>
  <c r="BY457" i="1"/>
  <c r="BY459" i="1"/>
  <c r="BY460" i="1"/>
  <c r="BY461" i="1"/>
  <c r="BY462" i="1"/>
  <c r="BY463" i="1"/>
  <c r="BY464" i="1"/>
  <c r="BY465" i="1"/>
  <c r="BY466" i="1"/>
  <c r="BY468" i="1"/>
  <c r="BY469" i="1"/>
  <c r="BY470" i="1"/>
  <c r="BY471" i="1"/>
  <c r="BY472" i="1"/>
  <c r="BY473" i="1"/>
  <c r="BY474" i="1"/>
  <c r="BY475" i="1"/>
  <c r="BY476" i="1"/>
  <c r="BY478" i="1"/>
  <c r="BY479" i="1"/>
  <c r="BY480" i="1"/>
  <c r="BY481" i="1"/>
  <c r="BY482" i="1"/>
  <c r="BY483" i="1"/>
  <c r="BY486" i="1"/>
  <c r="BY487" i="1"/>
  <c r="BY488" i="1"/>
  <c r="BY489" i="1"/>
  <c r="BY490" i="1"/>
  <c r="BY491" i="1"/>
  <c r="BY492" i="1"/>
  <c r="BY493" i="1"/>
  <c r="BY495" i="1"/>
  <c r="BY496" i="1"/>
  <c r="BY497" i="1"/>
  <c r="BY498" i="1"/>
  <c r="BY499" i="1"/>
  <c r="BY500" i="1"/>
  <c r="BY502" i="1"/>
  <c r="BY503" i="1"/>
  <c r="BY504" i="1"/>
  <c r="BY505" i="1"/>
  <c r="BY506" i="1"/>
  <c r="BY507" i="1"/>
  <c r="BY508" i="1"/>
  <c r="BY510" i="1"/>
  <c r="BY511" i="1"/>
  <c r="BY512" i="1"/>
  <c r="BY514" i="1"/>
  <c r="BY515" i="1"/>
  <c r="BY516" i="1"/>
  <c r="BY517" i="1"/>
  <c r="BY518" i="1"/>
  <c r="BY520" i="1"/>
  <c r="BY521" i="1"/>
  <c r="BY522" i="1"/>
  <c r="BY523" i="1"/>
  <c r="BY524" i="1"/>
  <c r="BY525" i="1"/>
  <c r="BY526" i="1"/>
  <c r="BY527" i="1"/>
  <c r="BY529" i="1"/>
  <c r="BY530" i="1"/>
  <c r="BY531" i="1"/>
  <c r="BY532" i="1"/>
  <c r="BY533" i="1"/>
  <c r="BY534" i="1"/>
  <c r="BY535" i="1"/>
  <c r="BY536" i="1"/>
  <c r="BY538" i="1"/>
  <c r="BY539" i="1"/>
  <c r="BY540" i="1"/>
  <c r="BY541" i="1"/>
  <c r="BY542" i="1"/>
  <c r="BY543" i="1"/>
  <c r="BY544" i="1"/>
  <c r="BY545" i="1"/>
  <c r="BY546" i="1"/>
  <c r="BY548" i="1"/>
  <c r="BY549" i="1"/>
  <c r="BY550" i="1"/>
  <c r="BY551" i="1"/>
  <c r="BY552" i="1"/>
  <c r="BY553" i="1"/>
  <c r="BY554" i="1"/>
  <c r="BY555" i="1"/>
  <c r="BY557" i="1"/>
  <c r="BY558" i="1"/>
  <c r="BY559" i="1"/>
  <c r="BY560" i="1"/>
  <c r="BY561" i="1"/>
  <c r="BY562" i="1"/>
  <c r="BY564" i="1"/>
  <c r="BY565" i="1"/>
  <c r="BY566" i="1"/>
  <c r="BY567" i="1"/>
  <c r="BY569" i="1"/>
  <c r="BY570" i="1"/>
  <c r="BY572" i="1"/>
  <c r="BY573" i="1"/>
  <c r="BY574" i="1"/>
  <c r="BY576" i="1"/>
  <c r="BY577" i="1"/>
  <c r="BY578" i="1"/>
  <c r="BY579" i="1"/>
  <c r="BY580" i="1"/>
  <c r="BY581" i="1"/>
  <c r="J583" i="1"/>
  <c r="BY583" i="1" s="1"/>
  <c r="BY584" i="1"/>
  <c r="BY586" i="1"/>
  <c r="BY587" i="1"/>
  <c r="BY588" i="1"/>
  <c r="BY590" i="1"/>
  <c r="BY591" i="1"/>
  <c r="BY592" i="1"/>
  <c r="BY593" i="1"/>
  <c r="BY594" i="1"/>
  <c r="BY595" i="1"/>
  <c r="BY596" i="1"/>
  <c r="BY597" i="1"/>
  <c r="BY598" i="1"/>
  <c r="BY600" i="1"/>
  <c r="BY601" i="1"/>
  <c r="BY603" i="1"/>
  <c r="BY604" i="1"/>
  <c r="BY605" i="1"/>
  <c r="BY606" i="1"/>
  <c r="BY607" i="1"/>
  <c r="BY608" i="1"/>
  <c r="BY609" i="1"/>
  <c r="BY610" i="1"/>
  <c r="BY611" i="1"/>
  <c r="BY612" i="1"/>
  <c r="J614" i="1"/>
  <c r="BY614" i="1"/>
  <c r="BY615" i="1"/>
  <c r="BY617" i="1"/>
  <c r="BY618" i="1"/>
  <c r="BY619" i="1"/>
  <c r="BY620" i="1"/>
  <c r="BY622" i="1"/>
  <c r="BY623" i="1"/>
  <c r="BY624" i="1"/>
  <c r="BY625" i="1"/>
  <c r="BY626" i="1"/>
  <c r="BY628" i="1"/>
  <c r="BY629" i="1"/>
  <c r="BY630" i="1"/>
  <c r="BY631" i="1"/>
  <c r="BY632" i="1"/>
  <c r="BY633" i="1"/>
  <c r="BY634" i="1"/>
  <c r="J636" i="1"/>
  <c r="BY636" i="1"/>
  <c r="BY637" i="1"/>
  <c r="BY638" i="1"/>
  <c r="BY639" i="1"/>
  <c r="BY641" i="1"/>
  <c r="BY643" i="1"/>
  <c r="BY644" i="1"/>
  <c r="BY645" i="1"/>
  <c r="BY647" i="1"/>
  <c r="BY648" i="1"/>
  <c r="BY649" i="1"/>
  <c r="BY650" i="1"/>
  <c r="BY651" i="1"/>
  <c r="BY652" i="1"/>
  <c r="J654" i="1"/>
  <c r="BY654" i="1" s="1"/>
  <c r="BY655" i="1"/>
  <c r="BY656" i="1"/>
  <c r="BY657" i="1"/>
  <c r="BY658" i="1"/>
  <c r="BY659" i="1"/>
  <c r="BY660" i="1"/>
  <c r="BY662" i="1"/>
  <c r="BY663" i="1"/>
  <c r="BY665" i="1"/>
  <c r="BY666" i="1"/>
  <c r="BY667" i="1"/>
  <c r="BY669" i="1"/>
  <c r="BY670" i="1"/>
  <c r="BY671" i="1"/>
  <c r="BY672" i="1"/>
  <c r="BY674" i="1"/>
  <c r="BY675" i="1"/>
  <c r="BY676" i="1"/>
  <c r="BY677" i="1"/>
  <c r="BY678" i="1"/>
  <c r="BY679" i="1"/>
  <c r="BY681" i="1"/>
  <c r="BY682" i="1"/>
  <c r="BY683" i="1"/>
  <c r="BY684" i="1"/>
  <c r="BY685" i="1"/>
  <c r="BY686" i="1"/>
  <c r="BY687" i="1"/>
  <c r="BY688" i="1"/>
  <c r="BY689" i="1"/>
  <c r="BY690" i="1"/>
  <c r="BY691" i="1"/>
  <c r="BY693" i="1"/>
  <c r="BY694" i="1"/>
  <c r="BY695" i="1"/>
  <c r="BY696" i="1"/>
  <c r="BY698" i="1"/>
  <c r="BY699" i="1"/>
  <c r="BY702" i="1"/>
  <c r="BY703" i="1"/>
  <c r="BY704" i="1"/>
  <c r="BY706" i="1"/>
  <c r="BY707" i="1"/>
  <c r="BY708" i="1"/>
  <c r="BY709" i="1"/>
  <c r="BY711" i="1"/>
  <c r="BY712" i="1"/>
  <c r="BY713" i="1"/>
  <c r="BY714" i="1"/>
  <c r="BY715" i="1"/>
  <c r="BY716" i="1"/>
  <c r="BY717" i="1"/>
  <c r="BY718" i="1"/>
  <c r="BY720" i="1"/>
  <c r="BY721" i="1"/>
  <c r="BY723" i="1"/>
  <c r="BY724" i="1"/>
  <c r="BY725" i="1"/>
  <c r="BY726" i="1"/>
  <c r="BY729" i="1"/>
  <c r="BY731" i="1"/>
  <c r="BY732" i="1"/>
  <c r="BY733" i="1"/>
  <c r="BY734" i="1"/>
  <c r="BY735" i="1"/>
  <c r="BY736" i="1"/>
  <c r="BY738" i="1"/>
  <c r="BY739" i="1"/>
  <c r="BY740" i="1"/>
  <c r="BY741" i="1"/>
  <c r="BY742" i="1"/>
  <c r="BY743" i="1"/>
  <c r="BY744" i="1"/>
  <c r="BY745" i="1"/>
  <c r="BY748" i="1"/>
  <c r="BY750" i="1"/>
  <c r="BY751" i="1"/>
  <c r="BY752" i="1"/>
  <c r="BY753" i="1"/>
  <c r="BY754" i="1"/>
  <c r="BY755" i="1"/>
  <c r="BY756" i="1"/>
  <c r="BY758" i="1"/>
  <c r="BY760" i="1"/>
  <c r="BY761" i="1"/>
  <c r="BY763" i="1"/>
  <c r="BY764" i="1"/>
  <c r="BY766" i="1"/>
  <c r="BY767" i="1"/>
  <c r="BY768" i="1"/>
  <c r="BY769" i="1"/>
  <c r="BY774" i="1"/>
  <c r="BY775" i="1"/>
  <c r="BY777" i="1"/>
  <c r="BY778" i="1"/>
  <c r="BY779" i="1"/>
  <c r="BY780" i="1"/>
  <c r="BY782" i="1"/>
  <c r="BY783" i="1"/>
  <c r="BY784" i="1"/>
  <c r="BY785" i="1"/>
  <c r="BY786" i="1"/>
  <c r="BY787" i="1"/>
  <c r="BY789" i="1"/>
  <c r="BY790" i="1"/>
  <c r="BY791" i="1"/>
  <c r="BY793" i="1"/>
  <c r="BY794" i="1"/>
  <c r="BY795" i="1"/>
  <c r="BY796" i="1"/>
  <c r="BY797" i="1"/>
  <c r="BY798" i="1"/>
  <c r="BY800" i="1"/>
  <c r="BY801" i="1"/>
  <c r="BY802" i="1"/>
  <c r="BY803" i="1"/>
  <c r="BY804" i="1"/>
  <c r="BY805" i="1"/>
  <c r="BY806" i="1"/>
  <c r="BY807" i="1"/>
  <c r="BY808" i="1"/>
  <c r="J810" i="1"/>
  <c r="BY810" i="1"/>
  <c r="BY811" i="1"/>
  <c r="BY812" i="1"/>
  <c r="BY813" i="1"/>
  <c r="BY814" i="1"/>
  <c r="BY815" i="1"/>
  <c r="BY816" i="1"/>
  <c r="BY818" i="1"/>
  <c r="BY819" i="1"/>
  <c r="BY820" i="1"/>
  <c r="BY822" i="1"/>
  <c r="BY823" i="1"/>
  <c r="BY824" i="1"/>
  <c r="BY825" i="1"/>
  <c r="BY826" i="1"/>
  <c r="BY827" i="1"/>
  <c r="J829" i="1"/>
  <c r="BY829" i="1" s="1"/>
  <c r="BY830" i="1"/>
  <c r="BY831" i="1"/>
  <c r="BY832" i="1"/>
  <c r="BY834" i="1"/>
  <c r="BY835" i="1"/>
  <c r="BY836" i="1"/>
  <c r="BY838" i="1"/>
  <c r="BY839" i="1"/>
  <c r="BY840" i="1"/>
  <c r="BY841" i="1"/>
  <c r="BY842" i="1"/>
  <c r="BY843" i="1"/>
  <c r="BY844" i="1"/>
  <c r="BY845" i="1"/>
  <c r="BY846" i="1"/>
  <c r="BY847" i="1"/>
  <c r="BY848" i="1"/>
  <c r="BY849" i="1"/>
  <c r="BY850" i="1"/>
  <c r="BY854" i="1"/>
  <c r="BY855" i="1"/>
  <c r="BY856" i="1"/>
  <c r="BY857" i="1"/>
  <c r="BY859" i="1"/>
  <c r="BY860" i="1"/>
  <c r="BY862" i="1"/>
  <c r="BY863" i="1"/>
  <c r="BY864" i="1"/>
  <c r="BY865" i="1"/>
  <c r="BY866" i="1"/>
  <c r="BY867" i="1"/>
  <c r="BY868" i="1"/>
  <c r="BY869" i="1"/>
  <c r="BY870" i="1"/>
  <c r="BY873" i="1"/>
  <c r="BY874" i="1"/>
  <c r="BY875" i="1"/>
  <c r="BY876" i="1"/>
  <c r="BY877" i="1"/>
  <c r="BY878" i="1"/>
  <c r="BY879" i="1"/>
  <c r="BY880" i="1"/>
  <c r="BY881" i="1"/>
  <c r="BY884" i="1"/>
  <c r="BY886" i="1"/>
  <c r="BY887" i="1"/>
  <c r="BY888" i="1"/>
  <c r="BY889" i="1"/>
  <c r="BY890" i="1"/>
  <c r="BY891" i="1"/>
  <c r="BY892" i="1"/>
  <c r="BY893" i="1"/>
  <c r="BY894" i="1"/>
  <c r="BY895" i="1"/>
  <c r="BY897" i="1"/>
  <c r="BY898" i="1"/>
  <c r="BY899" i="1"/>
  <c r="BY900" i="1"/>
  <c r="BY901" i="1"/>
  <c r="BY902" i="1"/>
  <c r="BY904" i="1"/>
  <c r="BY905" i="1"/>
  <c r="BY906" i="1"/>
  <c r="BY908" i="1"/>
  <c r="BY909" i="1"/>
  <c r="BY910" i="1"/>
  <c r="BY911" i="1"/>
  <c r="BY912" i="1"/>
  <c r="BY913" i="1"/>
  <c r="BY916" i="1"/>
  <c r="BY917" i="1"/>
  <c r="BY918" i="1"/>
  <c r="BY919" i="1"/>
  <c r="BY920" i="1"/>
  <c r="BY921" i="1"/>
  <c r="BY922" i="1"/>
  <c r="BY923" i="1"/>
  <c r="BY924" i="1"/>
  <c r="BY925" i="1"/>
  <c r="BY927" i="1"/>
  <c r="BY928" i="1"/>
  <c r="BY929" i="1"/>
  <c r="BY930" i="1"/>
  <c r="BY931" i="1"/>
  <c r="BY932" i="1"/>
  <c r="BY933" i="1"/>
  <c r="BY935" i="1"/>
  <c r="BY936" i="1"/>
  <c r="BY937" i="1"/>
  <c r="BY938" i="1"/>
  <c r="BY939" i="1"/>
  <c r="BY940" i="1"/>
  <c r="BY941" i="1"/>
  <c r="BY943" i="1"/>
  <c r="BY944" i="1"/>
  <c r="BY945" i="1"/>
  <c r="BY947" i="1"/>
  <c r="BY948" i="1"/>
  <c r="BY950" i="1"/>
  <c r="BY951" i="1"/>
  <c r="BY952" i="1"/>
  <c r="BY953" i="1"/>
  <c r="BY954" i="1"/>
  <c r="BY955" i="1"/>
  <c r="BY956" i="1"/>
  <c r="BY957" i="1"/>
  <c r="BY958" i="1"/>
  <c r="BY961" i="1"/>
  <c r="BY962" i="1"/>
  <c r="BY963" i="1"/>
  <c r="BY964" i="1"/>
  <c r="BY965" i="1"/>
  <c r="BY966" i="1"/>
  <c r="BY967" i="1"/>
  <c r="BY969" i="1"/>
  <c r="BY970" i="1"/>
  <c r="BY971" i="1"/>
  <c r="BY972" i="1"/>
  <c r="BY973" i="1"/>
  <c r="BY974" i="1"/>
  <c r="BY975" i="1"/>
  <c r="BY977" i="1"/>
  <c r="BY978" i="1"/>
  <c r="BY979" i="1"/>
  <c r="BY980" i="1"/>
  <c r="BY981" i="1"/>
  <c r="BY983" i="1"/>
  <c r="BY985" i="1"/>
  <c r="BY986" i="1"/>
  <c r="BY987" i="1"/>
  <c r="J989" i="1"/>
  <c r="BY989" i="1" s="1"/>
  <c r="BY990" i="1"/>
  <c r="BY991" i="1"/>
  <c r="BY992" i="1"/>
  <c r="BY993" i="1"/>
  <c r="BY994" i="1"/>
  <c r="BY996" i="1"/>
  <c r="BY997" i="1"/>
  <c r="BY998" i="1"/>
  <c r="BY999" i="1"/>
  <c r="BY1000" i="1"/>
  <c r="BY1001" i="1"/>
  <c r="BY1002" i="1"/>
  <c r="BY1003" i="1"/>
  <c r="BY1006" i="1"/>
  <c r="BY1007" i="1"/>
  <c r="BY1008" i="1"/>
  <c r="BY1009" i="1"/>
  <c r="BY1010" i="1"/>
  <c r="BY1011" i="1"/>
  <c r="BY1013" i="1"/>
  <c r="BY1014" i="1"/>
  <c r="BY1015" i="1"/>
  <c r="BY1016" i="1"/>
  <c r="BY1017" i="1"/>
  <c r="BY1018" i="1"/>
  <c r="BY1019" i="1"/>
  <c r="BY1020" i="1"/>
  <c r="BY1021" i="1"/>
  <c r="BY1022" i="1"/>
  <c r="BY1023" i="1"/>
  <c r="BY1025" i="1"/>
  <c r="BY1026" i="1"/>
  <c r="BY1027" i="1"/>
  <c r="BY1028" i="1"/>
  <c r="BY1029" i="1"/>
  <c r="BY1030" i="1"/>
  <c r="BY1031" i="1"/>
  <c r="BY1032" i="1"/>
  <c r="BY1033" i="1"/>
  <c r="BY1036" i="1"/>
  <c r="BY1037" i="1"/>
  <c r="BY1038" i="1"/>
  <c r="BY1039" i="1"/>
  <c r="BY1040" i="1"/>
  <c r="BY1041" i="1"/>
  <c r="BY1042" i="1"/>
  <c r="BY1043" i="1"/>
  <c r="BY1044" i="1"/>
  <c r="BY1046" i="1"/>
  <c r="BY1047" i="1"/>
  <c r="BY1048" i="1"/>
  <c r="BY1051" i="1"/>
  <c r="BY1053" i="1"/>
  <c r="BY1054" i="1"/>
  <c r="BY1055" i="1"/>
  <c r="BY1056" i="1"/>
  <c r="BY1057" i="1"/>
  <c r="BY1059" i="1"/>
  <c r="BY1060" i="1"/>
  <c r="BY1061" i="1"/>
  <c r="BY1062" i="1"/>
  <c r="BY1063" i="1"/>
  <c r="BY1064" i="1"/>
  <c r="BY1067" i="1"/>
  <c r="BY1068" i="1"/>
  <c r="BY1069" i="1"/>
  <c r="BY1070" i="1"/>
  <c r="BY1071" i="1"/>
  <c r="BY1072" i="1"/>
  <c r="BY1073" i="1"/>
  <c r="BY1075" i="1"/>
  <c r="BY1076" i="1"/>
  <c r="BY1077" i="1"/>
  <c r="BY1079" i="1"/>
  <c r="BY1080" i="1"/>
  <c r="BY1081" i="1"/>
  <c r="BY1082" i="1"/>
  <c r="BY1083" i="1"/>
  <c r="BY1084" i="1"/>
  <c r="BY1086" i="1"/>
  <c r="BY1087" i="1"/>
  <c r="BY1088" i="1"/>
  <c r="BY1089" i="1"/>
  <c r="BY1090" i="1"/>
  <c r="BY1091" i="1"/>
  <c r="BY1092" i="1"/>
  <c r="BY1093" i="1"/>
  <c r="BY1094" i="1"/>
  <c r="BY1096" i="1"/>
  <c r="BY1097" i="1"/>
  <c r="BY1098" i="1"/>
  <c r="BY1099" i="1"/>
  <c r="BY1100" i="1"/>
  <c r="BY1101" i="1"/>
  <c r="BY1102" i="1"/>
  <c r="BY1103" i="1"/>
  <c r="BY1104" i="1"/>
  <c r="BY1105" i="1"/>
  <c r="BY1106" i="1"/>
  <c r="BY1108" i="1"/>
  <c r="BY1109" i="1"/>
  <c r="BY1110" i="1"/>
  <c r="BY1111" i="1"/>
  <c r="BY1112" i="1"/>
  <c r="BY1113" i="1"/>
  <c r="BY1115" i="1"/>
  <c r="BY1116" i="1"/>
  <c r="BY1117" i="1"/>
  <c r="BY1118" i="1"/>
  <c r="BY1120" i="1"/>
  <c r="BY1122" i="1"/>
  <c r="BY1123" i="1"/>
  <c r="BY1124" i="1"/>
  <c r="J1126" i="1"/>
  <c r="BY1126" i="1" s="1"/>
  <c r="BY1127" i="1"/>
  <c r="BY1128" i="1"/>
  <c r="BY1129" i="1"/>
  <c r="BY1130" i="1"/>
  <c r="BY1132" i="1"/>
  <c r="BY1133" i="1"/>
  <c r="BY1135" i="1"/>
  <c r="BY1136" i="1"/>
  <c r="BY1137" i="1"/>
  <c r="BY1138" i="1"/>
  <c r="BY1139" i="1"/>
  <c r="BY1140" i="1"/>
  <c r="BY1142" i="1"/>
  <c r="BY1143" i="1"/>
  <c r="BY1144" i="1"/>
  <c r="BY1145" i="1"/>
  <c r="BY1146" i="1"/>
  <c r="BY1147" i="1"/>
  <c r="BY1148" i="1"/>
  <c r="BY1149" i="1"/>
  <c r="BY1150" i="1"/>
  <c r="BY1152" i="1"/>
  <c r="BY1153" i="1"/>
  <c r="BY1154" i="1"/>
  <c r="BY1155" i="1"/>
  <c r="BY1158" i="1"/>
  <c r="BY1159" i="1"/>
  <c r="BY1160" i="1"/>
  <c r="BY1161" i="1"/>
  <c r="BY1162" i="1"/>
  <c r="BY1163" i="1"/>
  <c r="BY1164" i="1"/>
  <c r="BY1165" i="1"/>
  <c r="BY1167" i="1"/>
  <c r="BY1168" i="1"/>
  <c r="BY1169" i="1"/>
  <c r="BY1170" i="1"/>
  <c r="BY1172" i="1"/>
  <c r="BY1173" i="1"/>
  <c r="BY1174" i="1"/>
  <c r="BY1175" i="1"/>
  <c r="BY1177" i="1"/>
  <c r="BY1178" i="1"/>
  <c r="BY1179" i="1"/>
  <c r="BY1180" i="1"/>
  <c r="BY1181" i="1"/>
  <c r="BY1182" i="1"/>
  <c r="BY1183" i="1"/>
  <c r="BY1185" i="1"/>
  <c r="BY1186" i="1"/>
  <c r="BY1187" i="1"/>
  <c r="BY1188" i="1"/>
  <c r="BY1189" i="1"/>
  <c r="BY1190" i="1"/>
  <c r="BY1192" i="1"/>
  <c r="BY1194" i="1"/>
  <c r="BY1195" i="1"/>
  <c r="BY1196" i="1"/>
  <c r="BY1199" i="1"/>
  <c r="BY1201" i="1"/>
  <c r="BY1202" i="1"/>
  <c r="BY1203" i="1"/>
  <c r="BY1204" i="1"/>
  <c r="BY1205" i="1"/>
  <c r="BY1206" i="1"/>
  <c r="BY1207" i="1"/>
  <c r="BY1209" i="1"/>
  <c r="BY1210" i="1"/>
  <c r="BY1211" i="1"/>
  <c r="BY1212" i="1"/>
  <c r="BY1213" i="1"/>
  <c r="BY1214" i="1"/>
  <c r="BY1215" i="1"/>
  <c r="BY1216" i="1"/>
  <c r="BY1217" i="1"/>
  <c r="BY1219" i="1"/>
  <c r="BY1220" i="1"/>
  <c r="BY1222" i="1"/>
  <c r="BY1223" i="1"/>
  <c r="BY1224" i="1"/>
  <c r="BY1225" i="1"/>
  <c r="BY1226" i="1"/>
  <c r="BY1227" i="1"/>
  <c r="BY1229" i="1"/>
  <c r="BY1230" i="1"/>
  <c r="BY1231" i="1"/>
  <c r="BY1232" i="1"/>
  <c r="BY1233" i="1"/>
  <c r="BY1234" i="1"/>
  <c r="BY1235" i="1"/>
  <c r="BY1236" i="1"/>
  <c r="BY1238" i="1"/>
  <c r="BY1240" i="1"/>
  <c r="BY1241" i="1"/>
  <c r="BY1242" i="1"/>
  <c r="BY1244" i="1"/>
  <c r="BY1245" i="1"/>
  <c r="BY1246" i="1"/>
  <c r="BY1247" i="1"/>
  <c r="BY1248" i="1"/>
  <c r="BY1250" i="1"/>
  <c r="BY1251" i="1"/>
  <c r="BY1252" i="1"/>
  <c r="BY1253" i="1"/>
  <c r="BY1254" i="1"/>
  <c r="BY1255" i="1"/>
  <c r="BY1256" i="1"/>
  <c r="BY1257" i="1"/>
  <c r="BY1258" i="1"/>
  <c r="BY1259" i="1"/>
  <c r="BY1261" i="1"/>
  <c r="BY1262" i="1"/>
  <c r="BY1263" i="1"/>
  <c r="BY1265" i="1"/>
  <c r="BY1266" i="1"/>
  <c r="BY1267" i="1"/>
  <c r="BY1268" i="1"/>
  <c r="BY1272" i="1"/>
  <c r="BY1274" i="1"/>
  <c r="BY1275" i="1"/>
  <c r="BY1276" i="1"/>
  <c r="BY1277" i="1"/>
  <c r="BY1278" i="1"/>
  <c r="BY1279" i="1"/>
  <c r="BY1280" i="1"/>
  <c r="J1282" i="1"/>
  <c r="BY1282" i="1"/>
  <c r="BY1283" i="1"/>
  <c r="BY1284" i="1"/>
  <c r="BY1285" i="1"/>
  <c r="BY1286" i="1"/>
  <c r="BY1287" i="1"/>
  <c r="BY1288" i="1"/>
  <c r="BY1289" i="1"/>
  <c r="BY1292" i="1"/>
  <c r="BY1293" i="1"/>
  <c r="BY1294" i="1"/>
  <c r="BY1295" i="1"/>
  <c r="BY1296" i="1"/>
  <c r="BY1297" i="1"/>
  <c r="BY1298" i="1"/>
  <c r="BY1299" i="1"/>
  <c r="BY1300" i="1"/>
  <c r="BY1301" i="1"/>
  <c r="BY1303" i="1"/>
  <c r="BY1304" i="1"/>
  <c r="BY1305" i="1"/>
  <c r="BY1306" i="1"/>
  <c r="BY1307" i="1"/>
  <c r="BY1308" i="1"/>
  <c r="BY1309" i="1"/>
  <c r="BY1310" i="1"/>
  <c r="BY1311" i="1"/>
  <c r="BY1312" i="1"/>
  <c r="BY1313" i="1"/>
  <c r="BZ67" i="1"/>
  <c r="BZ68" i="1"/>
  <c r="BZ69" i="1"/>
  <c r="BZ70" i="1"/>
  <c r="BZ71" i="1"/>
  <c r="BZ72" i="1"/>
  <c r="BZ73" i="1"/>
  <c r="BZ74" i="1"/>
  <c r="K76" i="1"/>
  <c r="BZ76" i="1" s="1"/>
  <c r="BZ77" i="1"/>
  <c r="BZ78" i="1"/>
  <c r="BZ79" i="1"/>
  <c r="BZ80" i="1"/>
  <c r="BZ81" i="1"/>
  <c r="BZ82" i="1"/>
  <c r="K84" i="1"/>
  <c r="BZ84" i="1"/>
  <c r="BZ85" i="1"/>
  <c r="BZ86" i="1"/>
  <c r="BZ87" i="1"/>
  <c r="BZ88" i="1"/>
  <c r="BZ89" i="1"/>
  <c r="BZ90" i="1"/>
  <c r="BZ92" i="1"/>
  <c r="BZ93" i="1"/>
  <c r="BZ94" i="1"/>
  <c r="BZ95" i="1"/>
  <c r="BZ96" i="1"/>
  <c r="BZ97" i="1"/>
  <c r="BZ98" i="1"/>
  <c r="BZ101" i="1"/>
  <c r="BZ103" i="1"/>
  <c r="BZ104" i="1"/>
  <c r="BZ105" i="1"/>
  <c r="BZ106" i="1"/>
  <c r="BZ107" i="1"/>
  <c r="BZ108" i="1"/>
  <c r="BZ109" i="1"/>
  <c r="BZ111" i="1"/>
  <c r="BZ112" i="1"/>
  <c r="BZ113" i="1"/>
  <c r="BZ114" i="1"/>
  <c r="BZ115" i="1"/>
  <c r="BZ116" i="1"/>
  <c r="BZ117" i="1"/>
  <c r="BZ118" i="1"/>
  <c r="BZ119" i="1"/>
  <c r="BZ120" i="1"/>
  <c r="BZ122" i="1"/>
  <c r="BZ124" i="1"/>
  <c r="BZ125" i="1"/>
  <c r="BZ126" i="1"/>
  <c r="BZ129" i="1"/>
  <c r="BZ131" i="1"/>
  <c r="BZ132" i="1"/>
  <c r="BZ136" i="1"/>
  <c r="BZ138" i="1"/>
  <c r="BZ139" i="1"/>
  <c r="BZ140" i="1"/>
  <c r="BZ141" i="1"/>
  <c r="BZ142" i="1"/>
  <c r="K144" i="1"/>
  <c r="BZ144" i="1"/>
  <c r="BZ145" i="1"/>
  <c r="BZ146" i="1"/>
  <c r="BZ147" i="1"/>
  <c r="BZ148" i="1"/>
  <c r="BZ149" i="1"/>
  <c r="BZ151" i="1"/>
  <c r="BZ152" i="1"/>
  <c r="BZ153" i="1"/>
  <c r="BZ154" i="1"/>
  <c r="BZ155" i="1"/>
  <c r="BZ156" i="1"/>
  <c r="BZ157" i="1"/>
  <c r="BZ158" i="1"/>
  <c r="BZ160" i="1"/>
  <c r="BZ161" i="1"/>
  <c r="BZ162" i="1"/>
  <c r="BZ163" i="1"/>
  <c r="BZ165" i="1"/>
  <c r="BZ166" i="1"/>
  <c r="BZ167" i="1"/>
  <c r="BZ168" i="1"/>
  <c r="BZ169" i="1"/>
  <c r="BZ170" i="1"/>
  <c r="K172" i="1"/>
  <c r="BZ172" i="1"/>
  <c r="BZ173" i="1"/>
  <c r="BZ175" i="1"/>
  <c r="BZ176" i="1"/>
  <c r="BZ177" i="1"/>
  <c r="BZ178" i="1"/>
  <c r="BZ179" i="1"/>
  <c r="BZ180" i="1"/>
  <c r="BZ181" i="1"/>
  <c r="BZ182" i="1"/>
  <c r="BZ183" i="1"/>
  <c r="BZ184" i="1"/>
  <c r="BZ186" i="1"/>
  <c r="BZ187" i="1"/>
  <c r="BZ188" i="1"/>
  <c r="BZ189" i="1"/>
  <c r="BZ190" i="1"/>
  <c r="BZ191" i="1"/>
  <c r="BZ192" i="1"/>
  <c r="BZ193" i="1"/>
  <c r="K195" i="1"/>
  <c r="BZ195" i="1" s="1"/>
  <c r="BZ196" i="1"/>
  <c r="BZ197" i="1"/>
  <c r="BZ198" i="1"/>
  <c r="BZ200" i="1"/>
  <c r="BZ201" i="1"/>
  <c r="BZ202" i="1"/>
  <c r="BZ203" i="1"/>
  <c r="BZ204" i="1"/>
  <c r="BZ205" i="1"/>
  <c r="BZ206" i="1"/>
  <c r="BZ207" i="1"/>
  <c r="BZ210" i="1"/>
  <c r="BZ211" i="1"/>
  <c r="BZ212" i="1"/>
  <c r="BZ213" i="1"/>
  <c r="BZ214" i="1"/>
  <c r="BZ215" i="1"/>
  <c r="BZ217" i="1"/>
  <c r="BZ218" i="1"/>
  <c r="BZ219" i="1"/>
  <c r="BZ220" i="1"/>
  <c r="BZ221" i="1"/>
  <c r="BZ222" i="1"/>
  <c r="BZ224" i="1"/>
  <c r="BZ225" i="1"/>
  <c r="BZ226" i="1"/>
  <c r="BZ227" i="1"/>
  <c r="BZ228" i="1"/>
  <c r="BZ229" i="1"/>
  <c r="BZ231" i="1"/>
  <c r="BZ232" i="1"/>
  <c r="BZ233" i="1"/>
  <c r="BZ234" i="1"/>
  <c r="BZ235" i="1"/>
  <c r="BZ236" i="1"/>
  <c r="BZ237" i="1"/>
  <c r="BZ238" i="1"/>
  <c r="K240" i="1"/>
  <c r="BZ240" i="1"/>
  <c r="BZ241" i="1"/>
  <c r="BZ242" i="1"/>
  <c r="BZ243" i="1"/>
  <c r="BZ244" i="1"/>
  <c r="BZ245" i="1"/>
  <c r="BZ246" i="1"/>
  <c r="BZ247" i="1"/>
  <c r="BZ249" i="1"/>
  <c r="BZ250" i="1"/>
  <c r="BZ251" i="1"/>
  <c r="BZ252" i="1"/>
  <c r="BZ253" i="1"/>
  <c r="BZ254" i="1"/>
  <c r="BZ255" i="1"/>
  <c r="BZ256" i="1"/>
  <c r="BZ258" i="1"/>
  <c r="BZ259" i="1"/>
  <c r="BZ260" i="1"/>
  <c r="BZ261" i="1"/>
  <c r="BZ262" i="1"/>
  <c r="BZ263" i="1"/>
  <c r="BZ264" i="1"/>
  <c r="BZ265" i="1"/>
  <c r="BZ266" i="1"/>
  <c r="BZ268" i="1"/>
  <c r="BZ269" i="1"/>
  <c r="BZ270" i="1"/>
  <c r="BZ271" i="1"/>
  <c r="BZ272" i="1"/>
  <c r="BZ273" i="1"/>
  <c r="BZ274" i="1"/>
  <c r="BZ275" i="1"/>
  <c r="BZ276" i="1"/>
  <c r="K278" i="1"/>
  <c r="BZ278" i="1" s="1"/>
  <c r="BZ279" i="1"/>
  <c r="BZ280" i="1"/>
  <c r="BZ281" i="1"/>
  <c r="BZ282" i="1"/>
  <c r="BZ283" i="1"/>
  <c r="BZ286" i="1"/>
  <c r="BZ287" i="1"/>
  <c r="BZ288" i="1"/>
  <c r="BZ291" i="1"/>
  <c r="BZ292" i="1"/>
  <c r="BZ293" i="1"/>
  <c r="BZ294" i="1"/>
  <c r="BZ296" i="1"/>
  <c r="BZ297" i="1"/>
  <c r="BZ298" i="1"/>
  <c r="BZ299" i="1"/>
  <c r="BZ300" i="1"/>
  <c r="BZ301" i="1"/>
  <c r="BZ302" i="1"/>
  <c r="BZ303" i="1"/>
  <c r="BZ305" i="1"/>
  <c r="BZ306" i="1"/>
  <c r="BZ307" i="1"/>
  <c r="BZ308" i="1"/>
  <c r="BZ309" i="1"/>
  <c r="BZ310" i="1"/>
  <c r="BZ311" i="1"/>
  <c r="BZ312" i="1"/>
  <c r="BZ313" i="1"/>
  <c r="BZ314" i="1"/>
  <c r="BZ317" i="1"/>
  <c r="BZ318" i="1"/>
  <c r="BZ319" i="1"/>
  <c r="BZ320" i="1"/>
  <c r="BZ321" i="1"/>
  <c r="BZ322" i="1"/>
  <c r="BZ323" i="1"/>
  <c r="BZ324" i="1"/>
  <c r="BZ325" i="1"/>
  <c r="BZ326" i="1"/>
  <c r="BZ327" i="1"/>
  <c r="K329" i="1"/>
  <c r="BZ329" i="1" s="1"/>
  <c r="BZ330" i="1"/>
  <c r="BZ333" i="1"/>
  <c r="BZ334" i="1"/>
  <c r="BZ335" i="1"/>
  <c r="BZ336" i="1"/>
  <c r="BZ337" i="1"/>
  <c r="BZ338" i="1"/>
  <c r="BZ340" i="1"/>
  <c r="BZ341" i="1"/>
  <c r="BZ342" i="1"/>
  <c r="BZ343" i="1"/>
  <c r="BZ344" i="1"/>
  <c r="BZ345" i="1"/>
  <c r="BZ346" i="1"/>
  <c r="BZ347" i="1"/>
  <c r="BZ348" i="1"/>
  <c r="BZ349" i="1"/>
  <c r="BZ351" i="1"/>
  <c r="BZ352" i="1"/>
  <c r="BZ353" i="1"/>
  <c r="BZ354" i="1"/>
  <c r="BZ355" i="1"/>
  <c r="BZ356" i="1"/>
  <c r="K358" i="1"/>
  <c r="BZ358" i="1" s="1"/>
  <c r="BZ359" i="1"/>
  <c r="BZ360" i="1"/>
  <c r="BZ361" i="1"/>
  <c r="BZ362" i="1"/>
  <c r="BZ363" i="1"/>
  <c r="BZ364" i="1"/>
  <c r="BZ365" i="1"/>
  <c r="BZ367" i="1"/>
  <c r="BZ368" i="1"/>
  <c r="BZ369" i="1"/>
  <c r="BZ371" i="1"/>
  <c r="BZ372" i="1"/>
  <c r="BZ373" i="1"/>
  <c r="K375" i="1"/>
  <c r="BZ375" i="1" s="1"/>
  <c r="BZ376" i="1"/>
  <c r="BZ378" i="1"/>
  <c r="BZ379" i="1"/>
  <c r="BZ380" i="1"/>
  <c r="BZ381" i="1"/>
  <c r="BZ382" i="1"/>
  <c r="BZ383" i="1"/>
  <c r="BZ385" i="1"/>
  <c r="BZ386" i="1"/>
  <c r="BZ387" i="1"/>
  <c r="BZ388" i="1"/>
  <c r="BZ389" i="1"/>
  <c r="BZ390" i="1"/>
  <c r="BZ391" i="1"/>
  <c r="BZ394" i="1"/>
  <c r="BZ395" i="1"/>
  <c r="BZ396" i="1"/>
  <c r="BZ397" i="1"/>
  <c r="BZ398" i="1"/>
  <c r="BZ399" i="1"/>
  <c r="BZ400" i="1"/>
  <c r="BZ401" i="1"/>
  <c r="BZ403" i="1"/>
  <c r="BZ404" i="1"/>
  <c r="BZ405" i="1"/>
  <c r="BZ406" i="1"/>
  <c r="BZ407" i="1"/>
  <c r="BZ408" i="1"/>
  <c r="BZ409" i="1"/>
  <c r="BZ410" i="1"/>
  <c r="BZ411" i="1"/>
  <c r="BZ413" i="1"/>
  <c r="BZ414" i="1"/>
  <c r="BZ415" i="1"/>
  <c r="BZ416" i="1"/>
  <c r="BZ417" i="1"/>
  <c r="BZ418" i="1"/>
  <c r="BZ421" i="1"/>
  <c r="BZ422" i="1"/>
  <c r="BZ423" i="1"/>
  <c r="BZ424" i="1"/>
  <c r="BZ425" i="1"/>
  <c r="BZ426" i="1"/>
  <c r="BZ427" i="1"/>
  <c r="BZ428" i="1"/>
  <c r="BZ430" i="1"/>
  <c r="BZ431" i="1"/>
  <c r="BZ432" i="1"/>
  <c r="BZ433" i="1"/>
  <c r="BZ434" i="1"/>
  <c r="BZ435" i="1"/>
  <c r="BZ436" i="1"/>
  <c r="BZ438" i="1"/>
  <c r="BZ439" i="1"/>
  <c r="BZ440" i="1"/>
  <c r="BZ441" i="1"/>
  <c r="BZ442" i="1"/>
  <c r="BZ443" i="1"/>
  <c r="BZ445" i="1"/>
  <c r="BZ446" i="1"/>
  <c r="BZ447" i="1"/>
  <c r="BZ448" i="1"/>
  <c r="BZ449" i="1"/>
  <c r="BZ450" i="1"/>
  <c r="BZ451" i="1"/>
  <c r="BZ452" i="1"/>
  <c r="BZ454" i="1"/>
  <c r="BZ455" i="1"/>
  <c r="BZ456" i="1"/>
  <c r="BZ457" i="1"/>
  <c r="BZ460" i="1"/>
  <c r="BZ461" i="1"/>
  <c r="BZ462" i="1"/>
  <c r="BZ463" i="1"/>
  <c r="BZ464" i="1"/>
  <c r="BZ465" i="1"/>
  <c r="BZ466" i="1"/>
  <c r="BZ469" i="1"/>
  <c r="BZ470" i="1"/>
  <c r="BZ471" i="1"/>
  <c r="BZ472" i="1"/>
  <c r="BZ473" i="1"/>
  <c r="BZ474" i="1"/>
  <c r="BZ475" i="1"/>
  <c r="BZ476" i="1"/>
  <c r="BZ478" i="1"/>
  <c r="BZ479" i="1"/>
  <c r="BZ480" i="1"/>
  <c r="BZ481" i="1"/>
  <c r="BZ482" i="1"/>
  <c r="BZ483" i="1"/>
  <c r="BZ486" i="1"/>
  <c r="BZ487" i="1"/>
  <c r="BZ488" i="1"/>
  <c r="BZ489" i="1"/>
  <c r="BZ490" i="1"/>
  <c r="BZ491" i="1"/>
  <c r="BZ492" i="1"/>
  <c r="BZ493" i="1"/>
  <c r="BZ495" i="1"/>
  <c r="BZ496" i="1"/>
  <c r="BZ497" i="1"/>
  <c r="BZ498" i="1"/>
  <c r="BZ499" i="1"/>
  <c r="BZ500" i="1"/>
  <c r="BZ502" i="1"/>
  <c r="BZ503" i="1"/>
  <c r="BZ504" i="1"/>
  <c r="BZ505" i="1"/>
  <c r="BZ506" i="1"/>
  <c r="BZ507" i="1"/>
  <c r="BZ508" i="1"/>
  <c r="BZ510" i="1"/>
  <c r="BZ511" i="1"/>
  <c r="BZ512" i="1"/>
  <c r="BZ514" i="1"/>
  <c r="BZ515" i="1"/>
  <c r="BZ516" i="1"/>
  <c r="BZ517" i="1"/>
  <c r="BZ518" i="1"/>
  <c r="BZ521" i="1"/>
  <c r="BZ522" i="1"/>
  <c r="BZ523" i="1"/>
  <c r="BZ524" i="1"/>
  <c r="BZ525" i="1"/>
  <c r="BZ526" i="1"/>
  <c r="BZ527" i="1"/>
  <c r="BZ529" i="1"/>
  <c r="BZ530" i="1"/>
  <c r="BZ531" i="1"/>
  <c r="BZ532" i="1"/>
  <c r="BZ533" i="1"/>
  <c r="BZ534" i="1"/>
  <c r="BZ535" i="1"/>
  <c r="BZ536" i="1"/>
  <c r="BZ539" i="1"/>
  <c r="BZ540" i="1"/>
  <c r="BZ541" i="1"/>
  <c r="BZ542" i="1"/>
  <c r="BZ543" i="1"/>
  <c r="BZ544" i="1"/>
  <c r="BZ545" i="1"/>
  <c r="BZ546" i="1"/>
  <c r="BZ549" i="1"/>
  <c r="BZ550" i="1"/>
  <c r="BZ551" i="1"/>
  <c r="BZ552" i="1"/>
  <c r="BZ553" i="1"/>
  <c r="BZ554" i="1"/>
  <c r="BZ555" i="1"/>
  <c r="BZ557" i="1"/>
  <c r="BZ558" i="1"/>
  <c r="BZ559" i="1"/>
  <c r="BZ560" i="1"/>
  <c r="BZ561" i="1"/>
  <c r="BZ562" i="1"/>
  <c r="BZ564" i="1"/>
  <c r="BZ565" i="1"/>
  <c r="BZ566" i="1"/>
  <c r="BZ567" i="1"/>
  <c r="BZ569" i="1"/>
  <c r="BZ570" i="1"/>
  <c r="BZ572" i="1"/>
  <c r="BZ573" i="1"/>
  <c r="BZ574" i="1"/>
  <c r="BZ576" i="1"/>
  <c r="BZ577" i="1"/>
  <c r="BZ578" i="1"/>
  <c r="BZ579" i="1"/>
  <c r="BZ580" i="1"/>
  <c r="BZ581" i="1"/>
  <c r="K583" i="1"/>
  <c r="BZ583" i="1"/>
  <c r="BZ584" i="1"/>
  <c r="BZ586" i="1"/>
  <c r="BZ587" i="1"/>
  <c r="BZ588" i="1"/>
  <c r="BZ590" i="1"/>
  <c r="BZ591" i="1"/>
  <c r="BZ592" i="1"/>
  <c r="BZ593" i="1"/>
  <c r="BZ594" i="1"/>
  <c r="BZ595" i="1"/>
  <c r="BZ596" i="1"/>
  <c r="BZ597" i="1"/>
  <c r="BZ598" i="1"/>
  <c r="BZ600" i="1"/>
  <c r="BZ601" i="1"/>
  <c r="BZ603" i="1"/>
  <c r="BZ604" i="1"/>
  <c r="BZ605" i="1"/>
  <c r="BZ606" i="1"/>
  <c r="BZ607" i="1"/>
  <c r="BZ608" i="1"/>
  <c r="BZ609" i="1"/>
  <c r="BZ610" i="1"/>
  <c r="BZ611" i="1"/>
  <c r="BZ612" i="1"/>
  <c r="K614" i="1"/>
  <c r="BZ614" i="1"/>
  <c r="BZ615" i="1"/>
  <c r="BZ617" i="1"/>
  <c r="BZ618" i="1"/>
  <c r="BZ619" i="1"/>
  <c r="BZ620" i="1"/>
  <c r="BZ622" i="1"/>
  <c r="BZ623" i="1"/>
  <c r="BZ624" i="1"/>
  <c r="BZ625" i="1"/>
  <c r="BZ626" i="1"/>
  <c r="BZ628" i="1"/>
  <c r="BZ629" i="1"/>
  <c r="BZ630" i="1"/>
  <c r="BZ631" i="1"/>
  <c r="BZ632" i="1"/>
  <c r="BZ633" i="1"/>
  <c r="BZ634" i="1"/>
  <c r="K636" i="1"/>
  <c r="BZ636" i="1"/>
  <c r="BZ637" i="1"/>
  <c r="BZ638" i="1"/>
  <c r="BZ639" i="1"/>
  <c r="BZ641" i="1"/>
  <c r="BZ643" i="1"/>
  <c r="BZ644" i="1"/>
  <c r="BZ645" i="1"/>
  <c r="BZ647" i="1"/>
  <c r="BZ648" i="1"/>
  <c r="BZ649" i="1"/>
  <c r="BZ650" i="1"/>
  <c r="BZ651" i="1"/>
  <c r="BZ652" i="1"/>
  <c r="K654" i="1"/>
  <c r="BZ654" i="1" s="1"/>
  <c r="BZ655" i="1"/>
  <c r="BZ656" i="1"/>
  <c r="BZ657" i="1"/>
  <c r="BZ658" i="1"/>
  <c r="BZ659" i="1"/>
  <c r="BZ660" i="1"/>
  <c r="BZ662" i="1"/>
  <c r="BZ663" i="1"/>
  <c r="BZ665" i="1"/>
  <c r="BZ666" i="1"/>
  <c r="BZ667" i="1"/>
  <c r="BZ669" i="1"/>
  <c r="BZ670" i="1"/>
  <c r="BZ671" i="1"/>
  <c r="BZ672" i="1"/>
  <c r="BZ674" i="1"/>
  <c r="BZ675" i="1"/>
  <c r="BZ676" i="1"/>
  <c r="BZ677" i="1"/>
  <c r="BZ678" i="1"/>
  <c r="BZ679" i="1"/>
  <c r="BZ681" i="1"/>
  <c r="BZ682" i="1"/>
  <c r="BZ683" i="1"/>
  <c r="BZ684" i="1"/>
  <c r="BZ685" i="1"/>
  <c r="BZ686" i="1"/>
  <c r="BZ687" i="1"/>
  <c r="BZ688" i="1"/>
  <c r="BZ689" i="1"/>
  <c r="BZ690" i="1"/>
  <c r="BZ691" i="1"/>
  <c r="BZ693" i="1"/>
  <c r="BZ694" i="1"/>
  <c r="BZ695" i="1"/>
  <c r="BZ696" i="1"/>
  <c r="BZ698" i="1"/>
  <c r="BZ699" i="1"/>
  <c r="BZ702" i="1"/>
  <c r="BZ703" i="1"/>
  <c r="BZ704" i="1"/>
  <c r="BZ706" i="1"/>
  <c r="BZ707" i="1"/>
  <c r="BZ708" i="1"/>
  <c r="BZ709" i="1"/>
  <c r="BZ712" i="1"/>
  <c r="BZ713" i="1"/>
  <c r="BZ714" i="1"/>
  <c r="BZ715" i="1"/>
  <c r="BZ716" i="1"/>
  <c r="BZ717" i="1"/>
  <c r="BZ718" i="1"/>
  <c r="BZ720" i="1"/>
  <c r="BZ721" i="1"/>
  <c r="BZ723" i="1"/>
  <c r="BZ724" i="1"/>
  <c r="BZ725" i="1"/>
  <c r="BZ726" i="1"/>
  <c r="BZ729" i="1"/>
  <c r="BZ731" i="1"/>
  <c r="BZ732" i="1"/>
  <c r="BZ733" i="1"/>
  <c r="BZ734" i="1"/>
  <c r="BZ735" i="1"/>
  <c r="BZ736" i="1"/>
  <c r="BZ738" i="1"/>
  <c r="BZ739" i="1"/>
  <c r="BZ740" i="1"/>
  <c r="BZ741" i="1"/>
  <c r="BZ742" i="1"/>
  <c r="BZ743" i="1"/>
  <c r="BZ744" i="1"/>
  <c r="BZ745" i="1"/>
  <c r="BZ748" i="1"/>
  <c r="BZ750" i="1"/>
  <c r="BZ751" i="1"/>
  <c r="BZ752" i="1"/>
  <c r="BZ753" i="1"/>
  <c r="BZ754" i="1"/>
  <c r="BZ755" i="1"/>
  <c r="BZ756" i="1"/>
  <c r="BZ758" i="1"/>
  <c r="BZ760" i="1"/>
  <c r="BZ761" i="1"/>
  <c r="BZ764" i="1"/>
  <c r="BZ766" i="1"/>
  <c r="BZ767" i="1"/>
  <c r="BZ768" i="1"/>
  <c r="BZ769" i="1"/>
  <c r="BZ774" i="1"/>
  <c r="BZ775" i="1"/>
  <c r="BZ777" i="1"/>
  <c r="BZ778" i="1"/>
  <c r="BZ779" i="1"/>
  <c r="BZ780" i="1"/>
  <c r="BZ782" i="1"/>
  <c r="BZ783" i="1"/>
  <c r="BZ784" i="1"/>
  <c r="BZ785" i="1"/>
  <c r="BZ786" i="1"/>
  <c r="BZ787" i="1"/>
  <c r="BZ789" i="1"/>
  <c r="BZ790" i="1"/>
  <c r="BZ791" i="1"/>
  <c r="BZ793" i="1"/>
  <c r="BZ794" i="1"/>
  <c r="BZ795" i="1"/>
  <c r="BZ796" i="1"/>
  <c r="BZ797" i="1"/>
  <c r="BZ798" i="1"/>
  <c r="BZ800" i="1"/>
  <c r="BZ801" i="1"/>
  <c r="BZ802" i="1"/>
  <c r="BZ803" i="1"/>
  <c r="BZ804" i="1"/>
  <c r="BZ805" i="1"/>
  <c r="BZ806" i="1"/>
  <c r="BZ807" i="1"/>
  <c r="BZ808" i="1"/>
  <c r="K810" i="1"/>
  <c r="BZ810" i="1"/>
  <c r="BZ811" i="1"/>
  <c r="BZ812" i="1"/>
  <c r="BZ813" i="1"/>
  <c r="BZ814" i="1"/>
  <c r="BZ815" i="1"/>
  <c r="BZ816" i="1"/>
  <c r="BZ818" i="1"/>
  <c r="BZ819" i="1"/>
  <c r="BZ820" i="1"/>
  <c r="BZ822" i="1"/>
  <c r="BZ823" i="1"/>
  <c r="BZ824" i="1"/>
  <c r="BZ825" i="1"/>
  <c r="BZ826" i="1"/>
  <c r="BZ827" i="1"/>
  <c r="K829" i="1"/>
  <c r="BZ829" i="1"/>
  <c r="BZ830" i="1"/>
  <c r="BZ831" i="1"/>
  <c r="BZ832" i="1"/>
  <c r="BZ834" i="1"/>
  <c r="BZ835" i="1"/>
  <c r="BZ836" i="1"/>
  <c r="BZ838" i="1"/>
  <c r="BZ839" i="1"/>
  <c r="BZ840" i="1"/>
  <c r="BZ841" i="1"/>
  <c r="BZ842" i="1"/>
  <c r="BZ843" i="1"/>
  <c r="BZ844" i="1"/>
  <c r="BZ845" i="1"/>
  <c r="BZ846" i="1"/>
  <c r="BZ847" i="1"/>
  <c r="BZ848" i="1"/>
  <c r="BZ849" i="1"/>
  <c r="BZ850" i="1"/>
  <c r="BZ852" i="1"/>
  <c r="BZ854" i="1"/>
  <c r="BZ855" i="1"/>
  <c r="BZ856" i="1"/>
  <c r="BZ857" i="1"/>
  <c r="BZ859" i="1"/>
  <c r="BZ860" i="1"/>
  <c r="BZ862" i="1"/>
  <c r="BZ863" i="1"/>
  <c r="BZ864" i="1"/>
  <c r="BZ865" i="1"/>
  <c r="BZ866" i="1"/>
  <c r="BZ867" i="1"/>
  <c r="BZ868" i="1"/>
  <c r="BZ869" i="1"/>
  <c r="BZ870" i="1"/>
  <c r="BZ872" i="1"/>
  <c r="BZ873" i="1"/>
  <c r="BZ874" i="1"/>
  <c r="BZ875" i="1"/>
  <c r="BZ876" i="1"/>
  <c r="BZ877" i="1"/>
  <c r="BZ878" i="1"/>
  <c r="BZ879" i="1"/>
  <c r="BZ880" i="1"/>
  <c r="BZ881" i="1"/>
  <c r="BZ884" i="1"/>
  <c r="BZ887" i="1"/>
  <c r="BZ888" i="1"/>
  <c r="BZ889" i="1"/>
  <c r="BZ890" i="1"/>
  <c r="BZ891" i="1"/>
  <c r="BZ892" i="1"/>
  <c r="BZ893" i="1"/>
  <c r="BZ894" i="1"/>
  <c r="BZ895" i="1"/>
  <c r="BZ897" i="1"/>
  <c r="BZ898" i="1"/>
  <c r="BZ899" i="1"/>
  <c r="BZ900" i="1"/>
  <c r="BZ901" i="1"/>
  <c r="BZ902" i="1"/>
  <c r="BZ904" i="1"/>
  <c r="BZ905" i="1"/>
  <c r="BZ906" i="1"/>
  <c r="BZ908" i="1"/>
  <c r="BZ909" i="1"/>
  <c r="BZ910" i="1"/>
  <c r="BZ911" i="1"/>
  <c r="BZ912" i="1"/>
  <c r="BZ913" i="1"/>
  <c r="BZ916" i="1"/>
  <c r="BZ917" i="1"/>
  <c r="BZ918" i="1"/>
  <c r="BZ919" i="1"/>
  <c r="BZ920" i="1"/>
  <c r="BZ921" i="1"/>
  <c r="BZ922" i="1"/>
  <c r="BZ923" i="1"/>
  <c r="BZ924" i="1"/>
  <c r="BZ925" i="1"/>
  <c r="BZ927" i="1"/>
  <c r="BZ928" i="1"/>
  <c r="BZ929" i="1"/>
  <c r="BZ930" i="1"/>
  <c r="BZ931" i="1"/>
  <c r="BZ932" i="1"/>
  <c r="BZ933" i="1"/>
  <c r="BZ935" i="1"/>
  <c r="BZ936" i="1"/>
  <c r="BZ937" i="1"/>
  <c r="BZ938" i="1"/>
  <c r="BZ939" i="1"/>
  <c r="BZ940" i="1"/>
  <c r="BZ941" i="1"/>
  <c r="BZ943" i="1"/>
  <c r="BZ944" i="1"/>
  <c r="BZ945" i="1"/>
  <c r="BZ947" i="1"/>
  <c r="BZ948" i="1"/>
  <c r="BZ950" i="1"/>
  <c r="BZ951" i="1"/>
  <c r="BZ952" i="1"/>
  <c r="BZ953" i="1"/>
  <c r="BZ954" i="1"/>
  <c r="BZ955" i="1"/>
  <c r="BZ956" i="1"/>
  <c r="BZ957" i="1"/>
  <c r="BZ958" i="1"/>
  <c r="BZ960" i="1"/>
  <c r="BZ961" i="1"/>
  <c r="BZ962" i="1"/>
  <c r="BZ963" i="1"/>
  <c r="BZ964" i="1"/>
  <c r="BZ965" i="1"/>
  <c r="BZ966" i="1"/>
  <c r="BZ967" i="1"/>
  <c r="BZ969" i="1"/>
  <c r="BZ970" i="1"/>
  <c r="BZ971" i="1"/>
  <c r="BZ972" i="1"/>
  <c r="BZ973" i="1"/>
  <c r="BZ974" i="1"/>
  <c r="BZ975" i="1"/>
  <c r="BZ977" i="1"/>
  <c r="BZ978" i="1"/>
  <c r="BZ979" i="1"/>
  <c r="BZ980" i="1"/>
  <c r="BZ981" i="1"/>
  <c r="BZ983" i="1"/>
  <c r="BZ985" i="1"/>
  <c r="BZ986" i="1"/>
  <c r="BZ987" i="1"/>
  <c r="K989" i="1"/>
  <c r="BZ989" i="1" s="1"/>
  <c r="BZ990" i="1"/>
  <c r="BZ991" i="1"/>
  <c r="BZ992" i="1"/>
  <c r="BZ993" i="1"/>
  <c r="BZ994" i="1"/>
  <c r="BZ996" i="1"/>
  <c r="BZ997" i="1"/>
  <c r="BZ998" i="1"/>
  <c r="BZ999" i="1"/>
  <c r="BZ1000" i="1"/>
  <c r="BZ1001" i="1"/>
  <c r="BZ1002" i="1"/>
  <c r="BZ1003" i="1"/>
  <c r="BZ1005" i="1"/>
  <c r="BZ1006" i="1"/>
  <c r="BZ1007" i="1"/>
  <c r="BZ1008" i="1"/>
  <c r="BZ1009" i="1"/>
  <c r="BZ1010" i="1"/>
  <c r="BZ1011" i="1"/>
  <c r="BZ1013" i="1"/>
  <c r="BZ1014" i="1"/>
  <c r="BZ1015" i="1"/>
  <c r="BZ1016" i="1"/>
  <c r="BZ1017" i="1"/>
  <c r="BZ1018" i="1"/>
  <c r="BZ1019" i="1"/>
  <c r="BZ1020" i="1"/>
  <c r="BZ1021" i="1"/>
  <c r="BZ1022" i="1"/>
  <c r="BZ1023" i="1"/>
  <c r="BZ1025" i="1"/>
  <c r="BZ1026" i="1"/>
  <c r="BZ1027" i="1"/>
  <c r="BZ1028" i="1"/>
  <c r="BZ1029" i="1"/>
  <c r="BZ1030" i="1"/>
  <c r="BZ1031" i="1"/>
  <c r="BZ1032" i="1"/>
  <c r="BZ1033" i="1"/>
  <c r="BZ1035" i="1"/>
  <c r="BZ1036" i="1"/>
  <c r="BZ1037" i="1"/>
  <c r="BZ1038" i="1"/>
  <c r="BZ1039" i="1"/>
  <c r="BZ1040" i="1"/>
  <c r="BZ1041" i="1"/>
  <c r="BZ1042" i="1"/>
  <c r="BZ1043" i="1"/>
  <c r="BZ1044" i="1"/>
  <c r="BZ1046" i="1"/>
  <c r="BZ1047" i="1"/>
  <c r="BZ1048" i="1"/>
  <c r="BZ1051" i="1"/>
  <c r="BZ1053" i="1"/>
  <c r="BZ1054" i="1"/>
  <c r="BZ1055" i="1"/>
  <c r="BZ1056" i="1"/>
  <c r="BZ1057" i="1"/>
  <c r="BZ1059" i="1"/>
  <c r="BZ1060" i="1"/>
  <c r="BZ1061" i="1"/>
  <c r="BZ1062" i="1"/>
  <c r="BZ1063" i="1"/>
  <c r="BZ1064" i="1"/>
  <c r="BZ1066" i="1"/>
  <c r="BZ1067" i="1"/>
  <c r="BZ1068" i="1"/>
  <c r="BZ1069" i="1"/>
  <c r="BZ1070" i="1"/>
  <c r="BZ1071" i="1"/>
  <c r="BZ1072" i="1"/>
  <c r="BZ1073" i="1"/>
  <c r="BZ1075" i="1"/>
  <c r="BZ1076" i="1"/>
  <c r="BZ1077" i="1"/>
  <c r="BZ1079" i="1"/>
  <c r="BZ1080" i="1"/>
  <c r="BZ1081" i="1"/>
  <c r="BZ1082" i="1"/>
  <c r="BZ1083" i="1"/>
  <c r="BZ1084" i="1"/>
  <c r="BZ1086" i="1"/>
  <c r="BZ1087" i="1"/>
  <c r="BZ1088" i="1"/>
  <c r="BZ1089" i="1"/>
  <c r="BZ1090" i="1"/>
  <c r="BZ1091" i="1"/>
  <c r="BZ1092" i="1"/>
  <c r="BZ1093" i="1"/>
  <c r="BZ1094" i="1"/>
  <c r="BZ1096" i="1"/>
  <c r="BZ1097" i="1"/>
  <c r="BZ1098" i="1"/>
  <c r="BZ1099" i="1"/>
  <c r="BZ1100" i="1"/>
  <c r="BZ1101" i="1"/>
  <c r="BZ1102" i="1"/>
  <c r="BZ1103" i="1"/>
  <c r="BZ1104" i="1"/>
  <c r="BZ1105" i="1"/>
  <c r="BZ1106" i="1"/>
  <c r="BZ1108" i="1"/>
  <c r="BZ1109" i="1"/>
  <c r="BZ1110" i="1"/>
  <c r="BZ1111" i="1"/>
  <c r="BZ1112" i="1"/>
  <c r="BZ1113" i="1"/>
  <c r="BZ1115" i="1"/>
  <c r="BZ1116" i="1"/>
  <c r="BZ1117" i="1"/>
  <c r="BZ1118" i="1"/>
  <c r="BZ1120" i="1"/>
  <c r="BZ1122" i="1"/>
  <c r="BZ1123" i="1"/>
  <c r="BZ1124" i="1"/>
  <c r="K1126" i="1"/>
  <c r="BZ1126" i="1"/>
  <c r="BZ1127" i="1"/>
  <c r="BZ1128" i="1"/>
  <c r="BZ1129" i="1"/>
  <c r="BZ1130" i="1"/>
  <c r="BZ1132" i="1"/>
  <c r="BZ1133" i="1"/>
  <c r="BZ1135" i="1"/>
  <c r="BZ1136" i="1"/>
  <c r="BZ1137" i="1"/>
  <c r="BZ1138" i="1"/>
  <c r="BZ1139" i="1"/>
  <c r="BZ1140" i="1"/>
  <c r="BZ1143" i="1"/>
  <c r="BZ1144" i="1"/>
  <c r="BZ1145" i="1"/>
  <c r="BZ1146" i="1"/>
  <c r="BZ1147" i="1"/>
  <c r="BZ1148" i="1"/>
  <c r="BZ1149" i="1"/>
  <c r="BZ1150" i="1"/>
  <c r="BZ1152" i="1"/>
  <c r="BZ1153" i="1"/>
  <c r="BZ1154" i="1"/>
  <c r="BZ1155" i="1"/>
  <c r="BZ1157" i="1"/>
  <c r="BZ1158" i="1"/>
  <c r="BZ1159" i="1"/>
  <c r="BZ1160" i="1"/>
  <c r="BZ1161" i="1"/>
  <c r="BZ1162" i="1"/>
  <c r="BZ1163" i="1"/>
  <c r="BZ1164" i="1"/>
  <c r="BZ1165" i="1"/>
  <c r="BZ1167" i="1"/>
  <c r="BZ1168" i="1"/>
  <c r="BZ1169" i="1"/>
  <c r="BZ1170" i="1"/>
  <c r="BZ1172" i="1"/>
  <c r="BZ1173" i="1"/>
  <c r="BZ1174" i="1"/>
  <c r="BZ1175" i="1"/>
  <c r="BZ1177" i="1"/>
  <c r="BZ1178" i="1"/>
  <c r="BZ1179" i="1"/>
  <c r="BZ1180" i="1"/>
  <c r="BZ1181" i="1"/>
  <c r="BZ1182" i="1"/>
  <c r="BZ1183" i="1"/>
  <c r="BZ1185" i="1"/>
  <c r="BZ1186" i="1"/>
  <c r="BZ1187" i="1"/>
  <c r="BZ1188" i="1"/>
  <c r="BZ1189" i="1"/>
  <c r="BZ1190" i="1"/>
  <c r="BZ1192" i="1"/>
  <c r="BZ1194" i="1"/>
  <c r="BZ1195" i="1"/>
  <c r="BZ1196" i="1"/>
  <c r="BZ1199" i="1"/>
  <c r="BZ1201" i="1"/>
  <c r="BZ1202" i="1"/>
  <c r="BZ1203" i="1"/>
  <c r="BZ1204" i="1"/>
  <c r="BZ1205" i="1"/>
  <c r="BZ1206" i="1"/>
  <c r="BZ1207" i="1"/>
  <c r="BZ1209" i="1"/>
  <c r="BZ1210" i="1"/>
  <c r="BZ1211" i="1"/>
  <c r="BZ1212" i="1"/>
  <c r="BZ1213" i="1"/>
  <c r="BZ1214" i="1"/>
  <c r="BZ1215" i="1"/>
  <c r="BZ1216" i="1"/>
  <c r="BZ1217" i="1"/>
  <c r="BZ1220" i="1"/>
  <c r="BZ1222" i="1"/>
  <c r="BZ1223" i="1"/>
  <c r="BZ1224" i="1"/>
  <c r="BZ1225" i="1"/>
  <c r="BZ1226" i="1"/>
  <c r="BZ1227" i="1"/>
  <c r="BZ1229" i="1"/>
  <c r="BZ1230" i="1"/>
  <c r="BZ1231" i="1"/>
  <c r="BZ1232" i="1"/>
  <c r="BZ1233" i="1"/>
  <c r="BZ1234" i="1"/>
  <c r="BZ1235" i="1"/>
  <c r="BZ1236" i="1"/>
  <c r="BZ1238" i="1"/>
  <c r="BZ1240" i="1"/>
  <c r="BZ1241" i="1"/>
  <c r="BZ1242" i="1"/>
  <c r="BZ1244" i="1"/>
  <c r="BZ1245" i="1"/>
  <c r="BZ1246" i="1"/>
  <c r="BZ1247" i="1"/>
  <c r="BZ1248" i="1"/>
  <c r="BZ1250" i="1"/>
  <c r="BZ1251" i="1"/>
  <c r="BZ1252" i="1"/>
  <c r="BZ1253" i="1"/>
  <c r="BZ1254" i="1"/>
  <c r="BZ1255" i="1"/>
  <c r="BZ1256" i="1"/>
  <c r="BZ1257" i="1"/>
  <c r="BZ1258" i="1"/>
  <c r="BZ1259" i="1"/>
  <c r="BZ1261" i="1"/>
  <c r="BZ1262" i="1"/>
  <c r="BZ1263" i="1"/>
  <c r="BZ1265" i="1"/>
  <c r="BZ1266" i="1"/>
  <c r="BZ1267" i="1"/>
  <c r="BZ1268" i="1"/>
  <c r="BZ1272" i="1"/>
  <c r="K1274" i="1"/>
  <c r="BZ1274" i="1" s="1"/>
  <c r="BZ1275" i="1"/>
  <c r="BZ1276" i="1"/>
  <c r="BZ1277" i="1"/>
  <c r="BZ1278" i="1"/>
  <c r="BZ1279" i="1"/>
  <c r="BZ1280" i="1"/>
  <c r="K1282" i="1"/>
  <c r="BZ1282" i="1"/>
  <c r="BZ1283" i="1"/>
  <c r="BZ1284" i="1"/>
  <c r="BZ1285" i="1"/>
  <c r="BZ1286" i="1"/>
  <c r="BZ1287" i="1"/>
  <c r="BZ1288" i="1"/>
  <c r="BZ1289" i="1"/>
  <c r="BZ1292" i="1"/>
  <c r="BZ1293" i="1"/>
  <c r="BZ1294" i="1"/>
  <c r="BZ1295" i="1"/>
  <c r="BZ1296" i="1"/>
  <c r="BZ1297" i="1"/>
  <c r="BZ1298" i="1"/>
  <c r="BZ1299" i="1"/>
  <c r="BZ1300" i="1"/>
  <c r="BZ1301" i="1"/>
  <c r="BZ1303" i="1"/>
  <c r="BZ1304" i="1"/>
  <c r="BZ1305" i="1"/>
  <c r="BZ1306" i="1"/>
  <c r="BZ1307" i="1"/>
  <c r="BZ1308" i="1"/>
  <c r="BZ1309" i="1"/>
  <c r="BZ1310" i="1"/>
  <c r="BZ1311" i="1"/>
  <c r="BZ1312" i="1"/>
  <c r="BZ1313" i="1"/>
  <c r="CA67" i="1"/>
  <c r="CA68" i="1"/>
  <c r="CA69" i="1"/>
  <c r="CA70" i="1"/>
  <c r="CA71" i="1"/>
  <c r="CA72" i="1"/>
  <c r="CA73" i="1"/>
  <c r="CA74" i="1"/>
  <c r="L76" i="1"/>
  <c r="CA76" i="1"/>
  <c r="CA77" i="1"/>
  <c r="CA78" i="1"/>
  <c r="CA79" i="1"/>
  <c r="CA80" i="1"/>
  <c r="CA81" i="1"/>
  <c r="CA82" i="1"/>
  <c r="L84" i="1"/>
  <c r="CA84" i="1" s="1"/>
  <c r="CA85" i="1"/>
  <c r="CA86" i="1"/>
  <c r="CA87" i="1"/>
  <c r="CA88" i="1"/>
  <c r="CA89" i="1"/>
  <c r="CA90" i="1"/>
  <c r="CA92" i="1"/>
  <c r="CA93" i="1"/>
  <c r="CA94" i="1"/>
  <c r="CA95" i="1"/>
  <c r="CA96" i="1"/>
  <c r="CA97" i="1"/>
  <c r="CA98" i="1"/>
  <c r="CA101" i="1"/>
  <c r="CA103" i="1"/>
  <c r="CA104" i="1"/>
  <c r="CA105" i="1"/>
  <c r="CA106" i="1"/>
  <c r="CA107" i="1"/>
  <c r="CA108" i="1"/>
  <c r="CA109" i="1"/>
  <c r="CA111" i="1"/>
  <c r="CA112" i="1"/>
  <c r="CA113" i="1"/>
  <c r="CA114" i="1"/>
  <c r="CA115" i="1"/>
  <c r="CA116" i="1"/>
  <c r="CA117" i="1"/>
  <c r="CA118" i="1"/>
  <c r="CA119" i="1"/>
  <c r="CA120" i="1"/>
  <c r="CA122" i="1"/>
  <c r="CA124" i="1"/>
  <c r="CA125" i="1"/>
  <c r="CA126" i="1"/>
  <c r="CA129" i="1"/>
  <c r="CA131" i="1"/>
  <c r="CA132" i="1"/>
  <c r="CA136" i="1"/>
  <c r="CA138" i="1"/>
  <c r="CA139" i="1"/>
  <c r="CA140" i="1"/>
  <c r="CA141" i="1"/>
  <c r="CA142" i="1"/>
  <c r="L144" i="1"/>
  <c r="CA144" i="1" s="1"/>
  <c r="CA145" i="1"/>
  <c r="CA146" i="1"/>
  <c r="CA147" i="1"/>
  <c r="CA148" i="1"/>
  <c r="CA149" i="1"/>
  <c r="CA151" i="1"/>
  <c r="CA152" i="1"/>
  <c r="CA153" i="1"/>
  <c r="CA154" i="1"/>
  <c r="CA155" i="1"/>
  <c r="CA156" i="1"/>
  <c r="CA157" i="1"/>
  <c r="CA158" i="1"/>
  <c r="CA160" i="1"/>
  <c r="CA161" i="1"/>
  <c r="CA162" i="1"/>
  <c r="CA163" i="1"/>
  <c r="CA165" i="1"/>
  <c r="CA166" i="1"/>
  <c r="CA167" i="1"/>
  <c r="CA168" i="1"/>
  <c r="CA169" i="1"/>
  <c r="CA170" i="1"/>
  <c r="L172" i="1"/>
  <c r="CA172" i="1" s="1"/>
  <c r="CA173" i="1"/>
  <c r="CA176" i="1"/>
  <c r="CA177" i="1"/>
  <c r="CA178" i="1"/>
  <c r="CA179" i="1"/>
  <c r="CA180" i="1"/>
  <c r="CA181" i="1"/>
  <c r="CA182" i="1"/>
  <c r="CA183" i="1"/>
  <c r="CA184" i="1"/>
  <c r="CA186" i="1"/>
  <c r="CA187" i="1"/>
  <c r="CA188" i="1"/>
  <c r="CA189" i="1"/>
  <c r="CA190" i="1"/>
  <c r="CA191" i="1"/>
  <c r="CA192" i="1"/>
  <c r="CA193" i="1"/>
  <c r="L195" i="1"/>
  <c r="CA195" i="1"/>
  <c r="CA196" i="1"/>
  <c r="CA197" i="1"/>
  <c r="CA198" i="1"/>
  <c r="CA200" i="1"/>
  <c r="CA201" i="1"/>
  <c r="CA202" i="1"/>
  <c r="CA203" i="1"/>
  <c r="CA204" i="1"/>
  <c r="CA205" i="1"/>
  <c r="CA206" i="1"/>
  <c r="CA207" i="1"/>
  <c r="CA209" i="1"/>
  <c r="CA210" i="1"/>
  <c r="CA211" i="1"/>
  <c r="CA212" i="1"/>
  <c r="CA213" i="1"/>
  <c r="CA214" i="1"/>
  <c r="CA215" i="1"/>
  <c r="CA218" i="1"/>
  <c r="CA219" i="1"/>
  <c r="CA220" i="1"/>
  <c r="CA221" i="1"/>
  <c r="CA222" i="1"/>
  <c r="CA225" i="1"/>
  <c r="CA226" i="1"/>
  <c r="CA227" i="1"/>
  <c r="CA228" i="1"/>
  <c r="CA229" i="1"/>
  <c r="CA231" i="1"/>
  <c r="CA232" i="1"/>
  <c r="CA233" i="1"/>
  <c r="CA234" i="1"/>
  <c r="CA235" i="1"/>
  <c r="CA236" i="1"/>
  <c r="CA237" i="1"/>
  <c r="CA238" i="1"/>
  <c r="L240" i="1"/>
  <c r="CA240" i="1"/>
  <c r="CA241" i="1"/>
  <c r="CA242" i="1"/>
  <c r="CA243" i="1"/>
  <c r="CA244" i="1"/>
  <c r="CA245" i="1"/>
  <c r="CA246" i="1"/>
  <c r="CA247" i="1"/>
  <c r="CA249" i="1"/>
  <c r="CA250" i="1"/>
  <c r="CA251" i="1"/>
  <c r="CA252" i="1"/>
  <c r="CA253" i="1"/>
  <c r="CA254" i="1"/>
  <c r="CA255" i="1"/>
  <c r="CA256" i="1"/>
  <c r="CA258" i="1"/>
  <c r="CA259" i="1"/>
  <c r="CA260" i="1"/>
  <c r="CA261" i="1"/>
  <c r="CA262" i="1"/>
  <c r="CA263" i="1"/>
  <c r="CA264" i="1"/>
  <c r="CA265" i="1"/>
  <c r="CA266" i="1"/>
  <c r="CA268" i="1"/>
  <c r="CA269" i="1"/>
  <c r="CA270" i="1"/>
  <c r="CA271" i="1"/>
  <c r="CA272" i="1"/>
  <c r="CA273" i="1"/>
  <c r="CA274" i="1"/>
  <c r="CA275" i="1"/>
  <c r="CA276" i="1"/>
  <c r="L278" i="1"/>
  <c r="CA278" i="1" s="1"/>
  <c r="CA279" i="1"/>
  <c r="CA280" i="1"/>
  <c r="CA281" i="1"/>
  <c r="CA282" i="1"/>
  <c r="CA283" i="1"/>
  <c r="CA286" i="1"/>
  <c r="CA287" i="1"/>
  <c r="CA288" i="1"/>
  <c r="CA292" i="1"/>
  <c r="CA293" i="1"/>
  <c r="CA294" i="1"/>
  <c r="CA296" i="1"/>
  <c r="CA297" i="1"/>
  <c r="CA298" i="1"/>
  <c r="CA299" i="1"/>
  <c r="CA300" i="1"/>
  <c r="CA301" i="1"/>
  <c r="CA302" i="1"/>
  <c r="CA303" i="1"/>
  <c r="CA305" i="1"/>
  <c r="CA306" i="1"/>
  <c r="CA307" i="1"/>
  <c r="CA308" i="1"/>
  <c r="CA309" i="1"/>
  <c r="CA310" i="1"/>
  <c r="CA311" i="1"/>
  <c r="CA312" i="1"/>
  <c r="CA313" i="1"/>
  <c r="CA314" i="1"/>
  <c r="CA316" i="1"/>
  <c r="CA317" i="1"/>
  <c r="CA318" i="1"/>
  <c r="CA319" i="1"/>
  <c r="CA320" i="1"/>
  <c r="CA321" i="1"/>
  <c r="CA322" i="1"/>
  <c r="CA323" i="1"/>
  <c r="CA324" i="1"/>
  <c r="CA325" i="1"/>
  <c r="CA326" i="1"/>
  <c r="CA327" i="1"/>
  <c r="L329" i="1"/>
  <c r="CA329" i="1"/>
  <c r="CA330" i="1"/>
  <c r="CA332" i="1"/>
  <c r="CA333" i="1"/>
  <c r="CA334" i="1"/>
  <c r="CA335" i="1"/>
  <c r="CA336" i="1"/>
  <c r="CA337" i="1"/>
  <c r="CA338" i="1"/>
  <c r="CA340" i="1"/>
  <c r="CA341" i="1"/>
  <c r="CA342" i="1"/>
  <c r="CA343" i="1"/>
  <c r="CA344" i="1"/>
  <c r="CA345" i="1"/>
  <c r="CA346" i="1"/>
  <c r="CA347" i="1"/>
  <c r="CA348" i="1"/>
  <c r="CA349" i="1"/>
  <c r="CA351" i="1"/>
  <c r="CA352" i="1"/>
  <c r="CA353" i="1"/>
  <c r="CA354" i="1"/>
  <c r="CA355" i="1"/>
  <c r="CA356" i="1"/>
  <c r="L358" i="1"/>
  <c r="CA358" i="1" s="1"/>
  <c r="CA359" i="1"/>
  <c r="CA360" i="1"/>
  <c r="CA361" i="1"/>
  <c r="CA362" i="1"/>
  <c r="CA363" i="1"/>
  <c r="CA364" i="1"/>
  <c r="CA365" i="1"/>
  <c r="CA367" i="1"/>
  <c r="CA368" i="1"/>
  <c r="CA369" i="1"/>
  <c r="CA371" i="1"/>
  <c r="CA372" i="1"/>
  <c r="CA373" i="1"/>
  <c r="L375" i="1"/>
  <c r="CA375" i="1"/>
  <c r="CA376" i="1"/>
  <c r="CA378" i="1"/>
  <c r="CA379" i="1"/>
  <c r="CA380" i="1"/>
  <c r="CA381" i="1"/>
  <c r="CA382" i="1"/>
  <c r="CA383" i="1"/>
  <c r="CA385" i="1"/>
  <c r="CA386" i="1"/>
  <c r="CA387" i="1"/>
  <c r="CA388" i="1"/>
  <c r="CA389" i="1"/>
  <c r="CA390" i="1"/>
  <c r="CA391" i="1"/>
  <c r="CA394" i="1"/>
  <c r="CA395" i="1"/>
  <c r="CA396" i="1"/>
  <c r="CA397" i="1"/>
  <c r="CA398" i="1"/>
  <c r="CA399" i="1"/>
  <c r="CA400" i="1"/>
  <c r="CA401" i="1"/>
  <c r="CA404" i="1"/>
  <c r="CA405" i="1"/>
  <c r="CA406" i="1"/>
  <c r="CA407" i="1"/>
  <c r="CA408" i="1"/>
  <c r="CA409" i="1"/>
  <c r="CA410" i="1"/>
  <c r="CA411" i="1"/>
  <c r="CA413" i="1"/>
  <c r="CA414" i="1"/>
  <c r="CA415" i="1"/>
  <c r="CA416" i="1"/>
  <c r="CA417" i="1"/>
  <c r="CA418" i="1"/>
  <c r="CA421" i="1"/>
  <c r="CA422" i="1"/>
  <c r="CA423" i="1"/>
  <c r="CA424" i="1"/>
  <c r="CA425" i="1"/>
  <c r="CA426" i="1"/>
  <c r="CA427" i="1"/>
  <c r="CA428" i="1"/>
  <c r="CA430" i="1"/>
  <c r="CA431" i="1"/>
  <c r="CA432" i="1"/>
  <c r="CA433" i="1"/>
  <c r="CA434" i="1"/>
  <c r="CA435" i="1"/>
  <c r="CA436" i="1"/>
  <c r="CA438" i="1"/>
  <c r="CA439" i="1"/>
  <c r="CA440" i="1"/>
  <c r="CA441" i="1"/>
  <c r="CA442" i="1"/>
  <c r="CA443" i="1"/>
  <c r="CA445" i="1"/>
  <c r="CA446" i="1"/>
  <c r="CA447" i="1"/>
  <c r="CA448" i="1"/>
  <c r="CA449" i="1"/>
  <c r="CA450" i="1"/>
  <c r="CA451" i="1"/>
  <c r="CA452" i="1"/>
  <c r="CA454" i="1"/>
  <c r="CA455" i="1"/>
  <c r="CA456" i="1"/>
  <c r="CA457" i="1"/>
  <c r="CA460" i="1"/>
  <c r="CA461" i="1"/>
  <c r="CA462" i="1"/>
  <c r="CA463" i="1"/>
  <c r="CA464" i="1"/>
  <c r="CA465" i="1"/>
  <c r="CA466" i="1"/>
  <c r="CA468" i="1"/>
  <c r="CA469" i="1"/>
  <c r="CA470" i="1"/>
  <c r="CA471" i="1"/>
  <c r="CA472" i="1"/>
  <c r="CA473" i="1"/>
  <c r="CA474" i="1"/>
  <c r="CA475" i="1"/>
  <c r="CA476" i="1"/>
  <c r="CA478" i="1"/>
  <c r="CA479" i="1"/>
  <c r="CA480" i="1"/>
  <c r="CA481" i="1"/>
  <c r="CA482" i="1"/>
  <c r="CA483" i="1"/>
  <c r="CA485" i="1"/>
  <c r="CA486" i="1"/>
  <c r="CA487" i="1"/>
  <c r="CA488" i="1"/>
  <c r="CA489" i="1"/>
  <c r="CA490" i="1"/>
  <c r="CA491" i="1"/>
  <c r="CA492" i="1"/>
  <c r="CA493" i="1"/>
  <c r="CA496" i="1"/>
  <c r="CA497" i="1"/>
  <c r="CA498" i="1"/>
  <c r="CA499" i="1"/>
  <c r="CA500" i="1"/>
  <c r="CA502" i="1"/>
  <c r="CA503" i="1"/>
  <c r="CA504" i="1"/>
  <c r="CA505" i="1"/>
  <c r="CA506" i="1"/>
  <c r="CA507" i="1"/>
  <c r="CA508" i="1"/>
  <c r="CA510" i="1"/>
  <c r="CA511" i="1"/>
  <c r="CA512" i="1"/>
  <c r="CA514" i="1"/>
  <c r="CA515" i="1"/>
  <c r="CA516" i="1"/>
  <c r="CA517" i="1"/>
  <c r="CA518" i="1"/>
  <c r="CA520" i="1"/>
  <c r="CA521" i="1"/>
  <c r="CA522" i="1"/>
  <c r="CA523" i="1"/>
  <c r="CA524" i="1"/>
  <c r="CA525" i="1"/>
  <c r="CA526" i="1"/>
  <c r="CA527" i="1"/>
  <c r="CA529" i="1"/>
  <c r="CA530" i="1"/>
  <c r="CA531" i="1"/>
  <c r="CA532" i="1"/>
  <c r="CA533" i="1"/>
  <c r="CA534" i="1"/>
  <c r="CA535" i="1"/>
  <c r="CA536" i="1"/>
  <c r="CA539" i="1"/>
  <c r="CA540" i="1"/>
  <c r="CA541" i="1"/>
  <c r="CA542" i="1"/>
  <c r="CA543" i="1"/>
  <c r="CA544" i="1"/>
  <c r="CA545" i="1"/>
  <c r="CA546" i="1"/>
  <c r="CA548" i="1"/>
  <c r="CA549" i="1"/>
  <c r="CA550" i="1"/>
  <c r="CA551" i="1"/>
  <c r="CA552" i="1"/>
  <c r="CA553" i="1"/>
  <c r="CA554" i="1"/>
  <c r="CA555" i="1"/>
  <c r="CA558" i="1"/>
  <c r="CA559" i="1"/>
  <c r="CA560" i="1"/>
  <c r="CA561" i="1"/>
  <c r="CA562" i="1"/>
  <c r="CA564" i="1"/>
  <c r="CA565" i="1"/>
  <c r="CA566" i="1"/>
  <c r="CA567" i="1"/>
  <c r="CA569" i="1"/>
  <c r="CA570" i="1"/>
  <c r="CA572" i="1"/>
  <c r="CA573" i="1"/>
  <c r="CA574" i="1"/>
  <c r="CA576" i="1"/>
  <c r="CA577" i="1"/>
  <c r="CA578" i="1"/>
  <c r="CA579" i="1"/>
  <c r="CA580" i="1"/>
  <c r="CA581" i="1"/>
  <c r="L583" i="1"/>
  <c r="CA583" i="1"/>
  <c r="CA584" i="1"/>
  <c r="CA586" i="1"/>
  <c r="CA587" i="1"/>
  <c r="CA588" i="1"/>
  <c r="CA590" i="1"/>
  <c r="CA591" i="1"/>
  <c r="CA592" i="1"/>
  <c r="CA593" i="1"/>
  <c r="CA594" i="1"/>
  <c r="CA595" i="1"/>
  <c r="CA596" i="1"/>
  <c r="CA597" i="1"/>
  <c r="CA598" i="1"/>
  <c r="CA600" i="1"/>
  <c r="CA601" i="1"/>
  <c r="CA603" i="1"/>
  <c r="CA604" i="1"/>
  <c r="CA605" i="1"/>
  <c r="CA606" i="1"/>
  <c r="CA607" i="1"/>
  <c r="CA608" i="1"/>
  <c r="CA609" i="1"/>
  <c r="CA610" i="1"/>
  <c r="CA611" i="1"/>
  <c r="CA612" i="1"/>
  <c r="L614" i="1"/>
  <c r="CA614" i="1" s="1"/>
  <c r="CA615" i="1"/>
  <c r="CA617" i="1"/>
  <c r="CA618" i="1"/>
  <c r="CA619" i="1"/>
  <c r="CA620" i="1"/>
  <c r="CA622" i="1"/>
  <c r="CA623" i="1"/>
  <c r="CA624" i="1"/>
  <c r="CA625" i="1"/>
  <c r="CA626" i="1"/>
  <c r="CA629" i="1"/>
  <c r="CA630" i="1"/>
  <c r="CA631" i="1"/>
  <c r="CA632" i="1"/>
  <c r="CA633" i="1"/>
  <c r="CA634" i="1"/>
  <c r="L636" i="1"/>
  <c r="CA636" i="1"/>
  <c r="CA637" i="1"/>
  <c r="CA638" i="1"/>
  <c r="CA639" i="1"/>
  <c r="CA641" i="1"/>
  <c r="CA643" i="1"/>
  <c r="CA644" i="1"/>
  <c r="CA645" i="1"/>
  <c r="CA647" i="1"/>
  <c r="CA648" i="1"/>
  <c r="CA649" i="1"/>
  <c r="CA650" i="1"/>
  <c r="CA651" i="1"/>
  <c r="CA652" i="1"/>
  <c r="L654" i="1"/>
  <c r="CA654" i="1"/>
  <c r="CA655" i="1"/>
  <c r="CA656" i="1"/>
  <c r="CA657" i="1"/>
  <c r="CA658" i="1"/>
  <c r="CA659" i="1"/>
  <c r="CA660" i="1"/>
  <c r="CA662" i="1"/>
  <c r="CA663" i="1"/>
  <c r="CA665" i="1"/>
  <c r="CA666" i="1"/>
  <c r="CA667" i="1"/>
  <c r="CA669" i="1"/>
  <c r="CA670" i="1"/>
  <c r="CA671" i="1"/>
  <c r="CA672" i="1"/>
  <c r="CA674" i="1"/>
  <c r="CA675" i="1"/>
  <c r="CA676" i="1"/>
  <c r="CA677" i="1"/>
  <c r="CA678" i="1"/>
  <c r="CA679" i="1"/>
  <c r="CA682" i="1"/>
  <c r="CA683" i="1"/>
  <c r="CA684" i="1"/>
  <c r="CA685" i="1"/>
  <c r="CA686" i="1"/>
  <c r="CA687" i="1"/>
  <c r="CA688" i="1"/>
  <c r="CA689" i="1"/>
  <c r="CA690" i="1"/>
  <c r="CA691" i="1"/>
  <c r="CA693" i="1"/>
  <c r="CA694" i="1"/>
  <c r="CA695" i="1"/>
  <c r="CA696" i="1"/>
  <c r="CA698" i="1"/>
  <c r="CA699" i="1"/>
  <c r="CA702" i="1"/>
  <c r="CA703" i="1"/>
  <c r="CA704" i="1"/>
  <c r="CA706" i="1"/>
  <c r="CA707" i="1"/>
  <c r="CA708" i="1"/>
  <c r="CA709" i="1"/>
  <c r="CA711" i="1"/>
  <c r="CA712" i="1"/>
  <c r="CA713" i="1"/>
  <c r="CA714" i="1"/>
  <c r="CA715" i="1"/>
  <c r="CA716" i="1"/>
  <c r="CA717" i="1"/>
  <c r="CA718" i="1"/>
  <c r="CA720" i="1"/>
  <c r="CA721" i="1"/>
  <c r="CA723" i="1"/>
  <c r="CA724" i="1"/>
  <c r="CA725" i="1"/>
  <c r="CA726" i="1"/>
  <c r="CA729" i="1"/>
  <c r="CA731" i="1"/>
  <c r="CA732" i="1"/>
  <c r="CA733" i="1"/>
  <c r="CA734" i="1"/>
  <c r="CA735" i="1"/>
  <c r="CA736" i="1"/>
  <c r="CA738" i="1"/>
  <c r="CA739" i="1"/>
  <c r="CA740" i="1"/>
  <c r="CA741" i="1"/>
  <c r="CA742" i="1"/>
  <c r="CA743" i="1"/>
  <c r="CA744" i="1"/>
  <c r="CA745" i="1"/>
  <c r="CA748" i="1"/>
  <c r="CA751" i="1"/>
  <c r="CA752" i="1"/>
  <c r="CA753" i="1"/>
  <c r="CA754" i="1"/>
  <c r="CA755" i="1"/>
  <c r="CA756" i="1"/>
  <c r="CA760" i="1"/>
  <c r="CA761" i="1"/>
  <c r="CA763" i="1"/>
  <c r="CA764" i="1"/>
  <c r="CA766" i="1"/>
  <c r="CA767" i="1"/>
  <c r="CA768" i="1"/>
  <c r="CA769" i="1"/>
  <c r="CA774" i="1"/>
  <c r="CA775" i="1"/>
  <c r="CA777" i="1"/>
  <c r="CA778" i="1"/>
  <c r="CA779" i="1"/>
  <c r="CA780" i="1"/>
  <c r="CA782" i="1"/>
  <c r="CA783" i="1"/>
  <c r="CA784" i="1"/>
  <c r="CA785" i="1"/>
  <c r="CA786" i="1"/>
  <c r="CA787" i="1"/>
  <c r="CA789" i="1"/>
  <c r="CA790" i="1"/>
  <c r="CA791" i="1"/>
  <c r="CA793" i="1"/>
  <c r="CA794" i="1"/>
  <c r="CA795" i="1"/>
  <c r="CA796" i="1"/>
  <c r="CA797" i="1"/>
  <c r="CA798" i="1"/>
  <c r="CA800" i="1"/>
  <c r="CA801" i="1"/>
  <c r="CA802" i="1"/>
  <c r="CA803" i="1"/>
  <c r="CA804" i="1"/>
  <c r="CA805" i="1"/>
  <c r="CA806" i="1"/>
  <c r="CA807" i="1"/>
  <c r="CA808" i="1"/>
  <c r="L810" i="1"/>
  <c r="CA810" i="1"/>
  <c r="CA811" i="1"/>
  <c r="CA812" i="1"/>
  <c r="CA813" i="1"/>
  <c r="CA814" i="1"/>
  <c r="CA815" i="1"/>
  <c r="CA816" i="1"/>
  <c r="CA818" i="1"/>
  <c r="CA819" i="1"/>
  <c r="CA820" i="1"/>
  <c r="L822" i="1"/>
  <c r="CA822" i="1"/>
  <c r="CA823" i="1"/>
  <c r="CA824" i="1"/>
  <c r="CA825" i="1"/>
  <c r="CA826" i="1"/>
  <c r="CA827" i="1"/>
  <c r="L829" i="1"/>
  <c r="CA829" i="1" s="1"/>
  <c r="CA830" i="1"/>
  <c r="CA831" i="1"/>
  <c r="CA832" i="1"/>
  <c r="CA834" i="1"/>
  <c r="CA835" i="1"/>
  <c r="CA836" i="1"/>
  <c r="CA838" i="1"/>
  <c r="CA839" i="1"/>
  <c r="CA840" i="1"/>
  <c r="CA841" i="1"/>
  <c r="CA842" i="1"/>
  <c r="CA843" i="1"/>
  <c r="CA844" i="1"/>
  <c r="CA845" i="1"/>
  <c r="CA846" i="1"/>
  <c r="CA847" i="1"/>
  <c r="CA848" i="1"/>
  <c r="CA849" i="1"/>
  <c r="CA850" i="1"/>
  <c r="CA852" i="1"/>
  <c r="CA854" i="1"/>
  <c r="CA855" i="1"/>
  <c r="CA856" i="1"/>
  <c r="CA857" i="1"/>
  <c r="CA859" i="1"/>
  <c r="CA860" i="1"/>
  <c r="CA862" i="1"/>
  <c r="CA863" i="1"/>
  <c r="CA864" i="1"/>
  <c r="CA865" i="1"/>
  <c r="CA866" i="1"/>
  <c r="CA867" i="1"/>
  <c r="CA868" i="1"/>
  <c r="CA869" i="1"/>
  <c r="CA870" i="1"/>
  <c r="CA872" i="1"/>
  <c r="CA873" i="1"/>
  <c r="CA874" i="1"/>
  <c r="CA875" i="1"/>
  <c r="CA876" i="1"/>
  <c r="CA877" i="1"/>
  <c r="CA878" i="1"/>
  <c r="CA879" i="1"/>
  <c r="CA880" i="1"/>
  <c r="CA881" i="1"/>
  <c r="CA884" i="1"/>
  <c r="CA886" i="1"/>
  <c r="CA887" i="1"/>
  <c r="CA888" i="1"/>
  <c r="CA889" i="1"/>
  <c r="CA890" i="1"/>
  <c r="CA891" i="1"/>
  <c r="CA892" i="1"/>
  <c r="CA893" i="1"/>
  <c r="CA894" i="1"/>
  <c r="CA895" i="1"/>
  <c r="CA897" i="1"/>
  <c r="CA898" i="1"/>
  <c r="CA899" i="1"/>
  <c r="CA900" i="1"/>
  <c r="CA901" i="1"/>
  <c r="CA902" i="1"/>
  <c r="CA905" i="1"/>
  <c r="CA906" i="1"/>
  <c r="CA908" i="1"/>
  <c r="CA909" i="1"/>
  <c r="CA910" i="1"/>
  <c r="CA911" i="1"/>
  <c r="CA912" i="1"/>
  <c r="CA913" i="1"/>
  <c r="CA915" i="1"/>
  <c r="CA916" i="1"/>
  <c r="CA917" i="1"/>
  <c r="CA918" i="1"/>
  <c r="CA919" i="1"/>
  <c r="CA920" i="1"/>
  <c r="CA921" i="1"/>
  <c r="CA922" i="1"/>
  <c r="CA923" i="1"/>
  <c r="CA924" i="1"/>
  <c r="CA925" i="1"/>
  <c r="CA928" i="1"/>
  <c r="CA929" i="1"/>
  <c r="CA930" i="1"/>
  <c r="CA931" i="1"/>
  <c r="CA932" i="1"/>
  <c r="CA933" i="1"/>
  <c r="CA935" i="1"/>
  <c r="CA936" i="1"/>
  <c r="CA937" i="1"/>
  <c r="CA938" i="1"/>
  <c r="CA939" i="1"/>
  <c r="CA940" i="1"/>
  <c r="CA941" i="1"/>
  <c r="CA943" i="1"/>
  <c r="CA944" i="1"/>
  <c r="CA945" i="1"/>
  <c r="CA947" i="1"/>
  <c r="CA948" i="1"/>
  <c r="CA950" i="1"/>
  <c r="CA951" i="1"/>
  <c r="CA952" i="1"/>
  <c r="CA953" i="1"/>
  <c r="CA954" i="1"/>
  <c r="CA955" i="1"/>
  <c r="CA956" i="1"/>
  <c r="CA957" i="1"/>
  <c r="CA958" i="1"/>
  <c r="CA960" i="1"/>
  <c r="CA961" i="1"/>
  <c r="CA962" i="1"/>
  <c r="CA963" i="1"/>
  <c r="CA964" i="1"/>
  <c r="CA965" i="1"/>
  <c r="CA966" i="1"/>
  <c r="CA967" i="1"/>
  <c r="CA969" i="1"/>
  <c r="CA970" i="1"/>
  <c r="CA971" i="1"/>
  <c r="CA972" i="1"/>
  <c r="CA973" i="1"/>
  <c r="CA974" i="1"/>
  <c r="CA975" i="1"/>
  <c r="CA977" i="1"/>
  <c r="CA978" i="1"/>
  <c r="CA979" i="1"/>
  <c r="CA980" i="1"/>
  <c r="CA981" i="1"/>
  <c r="CA983" i="1"/>
  <c r="CA985" i="1"/>
  <c r="CA986" i="1"/>
  <c r="CA987" i="1"/>
  <c r="L989" i="1"/>
  <c r="CA989" i="1" s="1"/>
  <c r="CA990" i="1"/>
  <c r="CA991" i="1"/>
  <c r="CA992" i="1"/>
  <c r="CA993" i="1"/>
  <c r="CA994" i="1"/>
  <c r="CA996" i="1"/>
  <c r="CA997" i="1"/>
  <c r="CA998" i="1"/>
  <c r="CA999" i="1"/>
  <c r="CA1000" i="1"/>
  <c r="CA1001" i="1"/>
  <c r="CA1002" i="1"/>
  <c r="CA1003" i="1"/>
  <c r="CA1005" i="1"/>
  <c r="CA1006" i="1"/>
  <c r="CA1007" i="1"/>
  <c r="CA1008" i="1"/>
  <c r="CA1009" i="1"/>
  <c r="CA1010" i="1"/>
  <c r="CA1011" i="1"/>
  <c r="CA1013" i="1"/>
  <c r="CA1014" i="1"/>
  <c r="CA1015" i="1"/>
  <c r="CA1016" i="1"/>
  <c r="CA1017" i="1"/>
  <c r="CA1018" i="1"/>
  <c r="CA1019" i="1"/>
  <c r="CA1020" i="1"/>
  <c r="CA1021" i="1"/>
  <c r="CA1022" i="1"/>
  <c r="CA1023" i="1"/>
  <c r="CA1025" i="1"/>
  <c r="CA1026" i="1"/>
  <c r="CA1027" i="1"/>
  <c r="CA1028" i="1"/>
  <c r="CA1029" i="1"/>
  <c r="CA1030" i="1"/>
  <c r="CA1031" i="1"/>
  <c r="CA1032" i="1"/>
  <c r="CA1033" i="1"/>
  <c r="CA1035" i="1"/>
  <c r="CA1036" i="1"/>
  <c r="CA1037" i="1"/>
  <c r="CA1038" i="1"/>
  <c r="CA1039" i="1"/>
  <c r="CA1040" i="1"/>
  <c r="CA1041" i="1"/>
  <c r="CA1042" i="1"/>
  <c r="CA1043" i="1"/>
  <c r="CA1044" i="1"/>
  <c r="CA1046" i="1"/>
  <c r="CA1047" i="1"/>
  <c r="CA1048" i="1"/>
  <c r="CA1051" i="1"/>
  <c r="CA1053" i="1"/>
  <c r="CA1054" i="1"/>
  <c r="CA1055" i="1"/>
  <c r="CA1056" i="1"/>
  <c r="CA1057" i="1"/>
  <c r="CA1059" i="1"/>
  <c r="CA1060" i="1"/>
  <c r="CA1061" i="1"/>
  <c r="CA1062" i="1"/>
  <c r="CA1063" i="1"/>
  <c r="CA1064" i="1"/>
  <c r="CA1066" i="1"/>
  <c r="CA1067" i="1"/>
  <c r="CA1068" i="1"/>
  <c r="CA1069" i="1"/>
  <c r="CA1070" i="1"/>
  <c r="CA1071" i="1"/>
  <c r="CA1072" i="1"/>
  <c r="CA1073" i="1"/>
  <c r="CA1075" i="1"/>
  <c r="CA1076" i="1"/>
  <c r="CA1077" i="1"/>
  <c r="CA1079" i="1"/>
  <c r="CA1080" i="1"/>
  <c r="CA1081" i="1"/>
  <c r="CA1082" i="1"/>
  <c r="CA1083" i="1"/>
  <c r="CA1084" i="1"/>
  <c r="CA1086" i="1"/>
  <c r="CA1087" i="1"/>
  <c r="CA1088" i="1"/>
  <c r="CA1089" i="1"/>
  <c r="CA1090" i="1"/>
  <c r="CA1091" i="1"/>
  <c r="CA1092" i="1"/>
  <c r="CA1093" i="1"/>
  <c r="CA1094" i="1"/>
  <c r="CA1096" i="1"/>
  <c r="CA1097" i="1"/>
  <c r="CA1098" i="1"/>
  <c r="CA1099" i="1"/>
  <c r="CA1100" i="1"/>
  <c r="CA1101" i="1"/>
  <c r="CA1102" i="1"/>
  <c r="CA1103" i="1"/>
  <c r="CA1104" i="1"/>
  <c r="CA1105" i="1"/>
  <c r="CA1106" i="1"/>
  <c r="CA1108" i="1"/>
  <c r="CA1109" i="1"/>
  <c r="CA1110" i="1"/>
  <c r="CA1111" i="1"/>
  <c r="CA1112" i="1"/>
  <c r="CA1113" i="1"/>
  <c r="CA1115" i="1"/>
  <c r="CA1116" i="1"/>
  <c r="CA1117" i="1"/>
  <c r="CA1118" i="1"/>
  <c r="CA1120" i="1"/>
  <c r="CA1122" i="1"/>
  <c r="CA1123" i="1"/>
  <c r="CA1124" i="1"/>
  <c r="L1126" i="1"/>
  <c r="CA1126" i="1"/>
  <c r="CA1127" i="1"/>
  <c r="CA1128" i="1"/>
  <c r="CA1129" i="1"/>
  <c r="CA1130" i="1"/>
  <c r="CA1132" i="1"/>
  <c r="CA1133" i="1"/>
  <c r="CA1135" i="1"/>
  <c r="CA1136" i="1"/>
  <c r="CA1137" i="1"/>
  <c r="CA1138" i="1"/>
  <c r="CA1139" i="1"/>
  <c r="CA1140" i="1"/>
  <c r="CA1142" i="1"/>
  <c r="CA1143" i="1"/>
  <c r="CA1144" i="1"/>
  <c r="CA1145" i="1"/>
  <c r="CA1146" i="1"/>
  <c r="CA1147" i="1"/>
  <c r="CA1148" i="1"/>
  <c r="CA1149" i="1"/>
  <c r="CA1150" i="1"/>
  <c r="CA1153" i="1"/>
  <c r="CA1154" i="1"/>
  <c r="CA1155" i="1"/>
  <c r="CA1157" i="1"/>
  <c r="CA1158" i="1"/>
  <c r="CA1159" i="1"/>
  <c r="CA1160" i="1"/>
  <c r="CA1161" i="1"/>
  <c r="CA1162" i="1"/>
  <c r="CA1163" i="1"/>
  <c r="CA1164" i="1"/>
  <c r="CA1165" i="1"/>
  <c r="CA1167" i="1"/>
  <c r="CA1168" i="1"/>
  <c r="CA1169" i="1"/>
  <c r="CA1170" i="1"/>
  <c r="CA1172" i="1"/>
  <c r="CA1173" i="1"/>
  <c r="CA1174" i="1"/>
  <c r="CA1175" i="1"/>
  <c r="CA1177" i="1"/>
  <c r="CA1178" i="1"/>
  <c r="CA1179" i="1"/>
  <c r="CA1180" i="1"/>
  <c r="CA1181" i="1"/>
  <c r="CA1182" i="1"/>
  <c r="CA1183" i="1"/>
  <c r="CA1185" i="1"/>
  <c r="CA1186" i="1"/>
  <c r="CA1187" i="1"/>
  <c r="CA1188" i="1"/>
  <c r="CA1189" i="1"/>
  <c r="CA1190" i="1"/>
  <c r="CA1192" i="1"/>
  <c r="CA1194" i="1"/>
  <c r="CA1195" i="1"/>
  <c r="CA1196" i="1"/>
  <c r="CA1199" i="1"/>
  <c r="CA1201" i="1"/>
  <c r="CA1202" i="1"/>
  <c r="CA1203" i="1"/>
  <c r="CA1204" i="1"/>
  <c r="CA1205" i="1"/>
  <c r="CA1206" i="1"/>
  <c r="CA1207" i="1"/>
  <c r="CA1209" i="1"/>
  <c r="CA1210" i="1"/>
  <c r="CA1211" i="1"/>
  <c r="CA1212" i="1"/>
  <c r="CA1213" i="1"/>
  <c r="CA1214" i="1"/>
  <c r="CA1215" i="1"/>
  <c r="CA1216" i="1"/>
  <c r="CA1217" i="1"/>
  <c r="CA1219" i="1"/>
  <c r="CA1220" i="1"/>
  <c r="CA1222" i="1"/>
  <c r="CA1223" i="1"/>
  <c r="CA1224" i="1"/>
  <c r="CA1225" i="1"/>
  <c r="CA1226" i="1"/>
  <c r="CA1227" i="1"/>
  <c r="CA1229" i="1"/>
  <c r="CA1230" i="1"/>
  <c r="CA1231" i="1"/>
  <c r="CA1232" i="1"/>
  <c r="CA1233" i="1"/>
  <c r="CA1234" i="1"/>
  <c r="CA1235" i="1"/>
  <c r="CA1236" i="1"/>
  <c r="CA1238" i="1"/>
  <c r="CA1240" i="1"/>
  <c r="CA1241" i="1"/>
  <c r="CA1242" i="1"/>
  <c r="CA1244" i="1"/>
  <c r="CA1245" i="1"/>
  <c r="CA1246" i="1"/>
  <c r="CA1247" i="1"/>
  <c r="CA1248" i="1"/>
  <c r="CA1250" i="1"/>
  <c r="CA1251" i="1"/>
  <c r="CA1252" i="1"/>
  <c r="CA1253" i="1"/>
  <c r="CA1254" i="1"/>
  <c r="CA1255" i="1"/>
  <c r="CA1256" i="1"/>
  <c r="CA1257" i="1"/>
  <c r="CA1258" i="1"/>
  <c r="CA1259" i="1"/>
  <c r="CA1261" i="1"/>
  <c r="CA1262" i="1"/>
  <c r="CA1263" i="1"/>
  <c r="CA1265" i="1"/>
  <c r="CA1266" i="1"/>
  <c r="CA1267" i="1"/>
  <c r="CA1268" i="1"/>
  <c r="CA1272" i="1"/>
  <c r="L1274" i="1"/>
  <c r="CA1274" i="1"/>
  <c r="CA1275" i="1"/>
  <c r="CA1276" i="1"/>
  <c r="CA1277" i="1"/>
  <c r="CA1278" i="1"/>
  <c r="CA1279" i="1"/>
  <c r="CA1280" i="1"/>
  <c r="L1282" i="1"/>
  <c r="CA1282" i="1" s="1"/>
  <c r="CA1283" i="1"/>
  <c r="CA1284" i="1"/>
  <c r="CA1285" i="1"/>
  <c r="CA1286" i="1"/>
  <c r="CA1287" i="1"/>
  <c r="CA1288" i="1"/>
  <c r="CA1289" i="1"/>
  <c r="CA1291" i="1"/>
  <c r="CA1292" i="1"/>
  <c r="CA1293" i="1"/>
  <c r="CA1294" i="1"/>
  <c r="CA1295" i="1"/>
  <c r="CA1296" i="1"/>
  <c r="CA1297" i="1"/>
  <c r="CA1298" i="1"/>
  <c r="CA1299" i="1"/>
  <c r="CA1300" i="1"/>
  <c r="CA1301" i="1"/>
  <c r="CA1303" i="1"/>
  <c r="CA1304" i="1"/>
  <c r="CA1305" i="1"/>
  <c r="CA1306" i="1"/>
  <c r="CA1307" i="1"/>
  <c r="CA1308" i="1"/>
  <c r="CA1309" i="1"/>
  <c r="CA1310" i="1"/>
  <c r="CA1311" i="1"/>
  <c r="CA1312" i="1"/>
  <c r="CA1313" i="1"/>
  <c r="CB67" i="1"/>
  <c r="CB68" i="1"/>
  <c r="CB69" i="1"/>
  <c r="CB70" i="1"/>
  <c r="CB71" i="1"/>
  <c r="CB72" i="1"/>
  <c r="CB73" i="1"/>
  <c r="CB74" i="1"/>
  <c r="M76" i="1"/>
  <c r="CB76" i="1" s="1"/>
  <c r="CB77" i="1"/>
  <c r="CB78" i="1"/>
  <c r="CB79" i="1"/>
  <c r="CB80" i="1"/>
  <c r="CB81" i="1"/>
  <c r="CB82" i="1"/>
  <c r="M84" i="1"/>
  <c r="CB84" i="1"/>
  <c r="CB85" i="1"/>
  <c r="CB86" i="1"/>
  <c r="CB87" i="1"/>
  <c r="CB88" i="1"/>
  <c r="CB89" i="1"/>
  <c r="CB90" i="1"/>
  <c r="CB92" i="1"/>
  <c r="CB93" i="1"/>
  <c r="CB94" i="1"/>
  <c r="CB95" i="1"/>
  <c r="CB96" i="1"/>
  <c r="CB97" i="1"/>
  <c r="CB98" i="1"/>
  <c r="CB101" i="1"/>
  <c r="CB103" i="1"/>
  <c r="CB104" i="1"/>
  <c r="CB105" i="1"/>
  <c r="CB106" i="1"/>
  <c r="CB107" i="1"/>
  <c r="CB108" i="1"/>
  <c r="CB109" i="1"/>
  <c r="CB111" i="1"/>
  <c r="CB112" i="1"/>
  <c r="CB113" i="1"/>
  <c r="CB114" i="1"/>
  <c r="CB115" i="1"/>
  <c r="CB116" i="1"/>
  <c r="CB117" i="1"/>
  <c r="CB118" i="1"/>
  <c r="CB119" i="1"/>
  <c r="CB120" i="1"/>
  <c r="CB122" i="1"/>
  <c r="CB124" i="1"/>
  <c r="CB125" i="1"/>
  <c r="CB126" i="1"/>
  <c r="CB129" i="1"/>
  <c r="CB131" i="1"/>
  <c r="CB132" i="1"/>
  <c r="CB136" i="1"/>
  <c r="CB138" i="1"/>
  <c r="CB139" i="1"/>
  <c r="CB140" i="1"/>
  <c r="CB141" i="1"/>
  <c r="CB142" i="1"/>
  <c r="M144" i="1"/>
  <c r="CB144" i="1"/>
  <c r="CB145" i="1"/>
  <c r="CB146" i="1"/>
  <c r="CB147" i="1"/>
  <c r="CB148" i="1"/>
  <c r="CB149" i="1"/>
  <c r="CB151" i="1"/>
  <c r="CB152" i="1"/>
  <c r="CB153" i="1"/>
  <c r="CB154" i="1"/>
  <c r="CB155" i="1"/>
  <c r="CB156" i="1"/>
  <c r="CB157" i="1"/>
  <c r="CB158" i="1"/>
  <c r="CB160" i="1"/>
  <c r="CB161" i="1"/>
  <c r="CB162" i="1"/>
  <c r="CB163" i="1"/>
  <c r="CB166" i="1"/>
  <c r="CB167" i="1"/>
  <c r="CB168" i="1"/>
  <c r="CB169" i="1"/>
  <c r="CB170" i="1"/>
  <c r="M172" i="1"/>
  <c r="CB172" i="1"/>
  <c r="CB173" i="1"/>
  <c r="CB175" i="1"/>
  <c r="CB176" i="1"/>
  <c r="CB177" i="1"/>
  <c r="CB178" i="1"/>
  <c r="CB179" i="1"/>
  <c r="CB180" i="1"/>
  <c r="CB181" i="1"/>
  <c r="CB182" i="1"/>
  <c r="CB183" i="1"/>
  <c r="CB184" i="1"/>
  <c r="CB186" i="1"/>
  <c r="CB187" i="1"/>
  <c r="CB188" i="1"/>
  <c r="CB189" i="1"/>
  <c r="CB190" i="1"/>
  <c r="CB191" i="1"/>
  <c r="CB192" i="1"/>
  <c r="CB193" i="1"/>
  <c r="M195" i="1"/>
  <c r="CB195" i="1" s="1"/>
  <c r="CB196" i="1"/>
  <c r="CB197" i="1"/>
  <c r="CB198" i="1"/>
  <c r="CB201" i="1"/>
  <c r="CB202" i="1"/>
  <c r="CB203" i="1"/>
  <c r="CB204" i="1"/>
  <c r="CB205" i="1"/>
  <c r="CB206" i="1"/>
  <c r="CB207" i="1"/>
  <c r="CB209" i="1"/>
  <c r="CB210" i="1"/>
  <c r="CB211" i="1"/>
  <c r="CB212" i="1"/>
  <c r="CB213" i="1"/>
  <c r="CB214" i="1"/>
  <c r="CB215" i="1"/>
  <c r="CB217" i="1"/>
  <c r="CB218" i="1"/>
  <c r="CB219" i="1"/>
  <c r="CB220" i="1"/>
  <c r="CB221" i="1"/>
  <c r="CB222" i="1"/>
  <c r="CB224" i="1"/>
  <c r="CB225" i="1"/>
  <c r="CB226" i="1"/>
  <c r="CB227" i="1"/>
  <c r="CB228" i="1"/>
  <c r="CB229" i="1"/>
  <c r="CB231" i="1"/>
  <c r="CB232" i="1"/>
  <c r="CB233" i="1"/>
  <c r="CB234" i="1"/>
  <c r="CB235" i="1"/>
  <c r="CB236" i="1"/>
  <c r="CB237" i="1"/>
  <c r="CB238" i="1"/>
  <c r="M240" i="1"/>
  <c r="CB240" i="1" s="1"/>
  <c r="CB241" i="1"/>
  <c r="CB242" i="1"/>
  <c r="CB243" i="1"/>
  <c r="CB244" i="1"/>
  <c r="CB245" i="1"/>
  <c r="CB246" i="1"/>
  <c r="CB247" i="1"/>
  <c r="CB250" i="1"/>
  <c r="CB251" i="1"/>
  <c r="CB252" i="1"/>
  <c r="CB253" i="1"/>
  <c r="CB254" i="1"/>
  <c r="CB255" i="1"/>
  <c r="CB256" i="1"/>
  <c r="CB258" i="1"/>
  <c r="CB259" i="1"/>
  <c r="CB260" i="1"/>
  <c r="CB261" i="1"/>
  <c r="CB262" i="1"/>
  <c r="CB263" i="1"/>
  <c r="CB264" i="1"/>
  <c r="CB265" i="1"/>
  <c r="CB266" i="1"/>
  <c r="CB268" i="1"/>
  <c r="CB269" i="1"/>
  <c r="CB270" i="1"/>
  <c r="CB271" i="1"/>
  <c r="CB272" i="1"/>
  <c r="CB273" i="1"/>
  <c r="CB274" i="1"/>
  <c r="CB275" i="1"/>
  <c r="CB276" i="1"/>
  <c r="M278" i="1"/>
  <c r="CB278" i="1" s="1"/>
  <c r="CB279" i="1"/>
  <c r="CB280" i="1"/>
  <c r="CB281" i="1"/>
  <c r="CB282" i="1"/>
  <c r="CB283" i="1"/>
  <c r="CB285" i="1"/>
  <c r="CB286" i="1"/>
  <c r="CB287" i="1"/>
  <c r="CB288" i="1"/>
  <c r="CB292" i="1"/>
  <c r="CB293" i="1"/>
  <c r="CB294" i="1"/>
  <c r="CB296" i="1"/>
  <c r="CB297" i="1"/>
  <c r="CB298" i="1"/>
  <c r="CB299" i="1"/>
  <c r="CB300" i="1"/>
  <c r="CB301" i="1"/>
  <c r="CB302" i="1"/>
  <c r="CB303" i="1"/>
  <c r="CB306" i="1"/>
  <c r="CB307" i="1"/>
  <c r="CB308" i="1"/>
  <c r="CB309" i="1"/>
  <c r="CB310" i="1"/>
  <c r="CB311" i="1"/>
  <c r="CB312" i="1"/>
  <c r="CB313" i="1"/>
  <c r="CB314" i="1"/>
  <c r="CB316" i="1"/>
  <c r="CB317" i="1"/>
  <c r="CB318" i="1"/>
  <c r="CB319" i="1"/>
  <c r="CB320" i="1"/>
  <c r="CB321" i="1"/>
  <c r="CB322" i="1"/>
  <c r="CB323" i="1"/>
  <c r="CB324" i="1"/>
  <c r="CB325" i="1"/>
  <c r="CB326" i="1"/>
  <c r="CB327" i="1"/>
  <c r="M329" i="1"/>
  <c r="CB329" i="1" s="1"/>
  <c r="CB330" i="1"/>
  <c r="CB333" i="1"/>
  <c r="CB334" i="1"/>
  <c r="CB335" i="1"/>
  <c r="CB336" i="1"/>
  <c r="CB337" i="1"/>
  <c r="CB338" i="1"/>
  <c r="CB341" i="1"/>
  <c r="CB342" i="1"/>
  <c r="CB343" i="1"/>
  <c r="CB344" i="1"/>
  <c r="CB345" i="1"/>
  <c r="CB346" i="1"/>
  <c r="CB347" i="1"/>
  <c r="CB348" i="1"/>
  <c r="CB349" i="1"/>
  <c r="CB351" i="1"/>
  <c r="CB352" i="1"/>
  <c r="CB353" i="1"/>
  <c r="CB354" i="1"/>
  <c r="CB355" i="1"/>
  <c r="CB356" i="1"/>
  <c r="M358" i="1"/>
  <c r="CB358" i="1" s="1"/>
  <c r="CB359" i="1"/>
  <c r="CB360" i="1"/>
  <c r="CB361" i="1"/>
  <c r="CB362" i="1"/>
  <c r="CB363" i="1"/>
  <c r="CB364" i="1"/>
  <c r="CB365" i="1"/>
  <c r="CB367" i="1"/>
  <c r="CB368" i="1"/>
  <c r="CB369" i="1"/>
  <c r="CB372" i="1"/>
  <c r="CB373" i="1"/>
  <c r="M375" i="1"/>
  <c r="CB375" i="1" s="1"/>
  <c r="CB376" i="1"/>
  <c r="CB378" i="1"/>
  <c r="CB379" i="1"/>
  <c r="CB380" i="1"/>
  <c r="CB381" i="1"/>
  <c r="CB382" i="1"/>
  <c r="CB383" i="1"/>
  <c r="CB385" i="1"/>
  <c r="CB386" i="1"/>
  <c r="CB387" i="1"/>
  <c r="CB388" i="1"/>
  <c r="CB389" i="1"/>
  <c r="CB390" i="1"/>
  <c r="CB391" i="1"/>
  <c r="CB393" i="1"/>
  <c r="CB394" i="1"/>
  <c r="CB395" i="1"/>
  <c r="CB396" i="1"/>
  <c r="CB397" i="1"/>
  <c r="CB398" i="1"/>
  <c r="CB399" i="1"/>
  <c r="CB400" i="1"/>
  <c r="CB401" i="1"/>
  <c r="CB403" i="1"/>
  <c r="CB404" i="1"/>
  <c r="CB405" i="1"/>
  <c r="CB406" i="1"/>
  <c r="CB407" i="1"/>
  <c r="CB408" i="1"/>
  <c r="CB409" i="1"/>
  <c r="CB410" i="1"/>
  <c r="CB411" i="1"/>
  <c r="CB414" i="1"/>
  <c r="CB415" i="1"/>
  <c r="CB416" i="1"/>
  <c r="CB417" i="1"/>
  <c r="CB418" i="1"/>
  <c r="CB421" i="1"/>
  <c r="CB422" i="1"/>
  <c r="CB423" i="1"/>
  <c r="CB424" i="1"/>
  <c r="CB425" i="1"/>
  <c r="CB426" i="1"/>
  <c r="CB427" i="1"/>
  <c r="CB428" i="1"/>
  <c r="CB430" i="1"/>
  <c r="CB431" i="1"/>
  <c r="CB432" i="1"/>
  <c r="CB433" i="1"/>
  <c r="CB434" i="1"/>
  <c r="CB435" i="1"/>
  <c r="CB436" i="1"/>
  <c r="CB438" i="1"/>
  <c r="CB439" i="1"/>
  <c r="CB440" i="1"/>
  <c r="CB441" i="1"/>
  <c r="CB442" i="1"/>
  <c r="CB443" i="1"/>
  <c r="CB445" i="1"/>
  <c r="CB446" i="1"/>
  <c r="CB447" i="1"/>
  <c r="CB448" i="1"/>
  <c r="CB449" i="1"/>
  <c r="CB450" i="1"/>
  <c r="CB451" i="1"/>
  <c r="CB452" i="1"/>
  <c r="CB454" i="1"/>
  <c r="CB455" i="1"/>
  <c r="CB456" i="1"/>
  <c r="CB457" i="1"/>
  <c r="CB459" i="1"/>
  <c r="CB460" i="1"/>
  <c r="CB461" i="1"/>
  <c r="CB462" i="1"/>
  <c r="CB463" i="1"/>
  <c r="CB464" i="1"/>
  <c r="CB465" i="1"/>
  <c r="CB466" i="1"/>
  <c r="CB468" i="1"/>
  <c r="CB469" i="1"/>
  <c r="CB470" i="1"/>
  <c r="CB471" i="1"/>
  <c r="CB472" i="1"/>
  <c r="CB473" i="1"/>
  <c r="CB474" i="1"/>
  <c r="CB475" i="1"/>
  <c r="CB476" i="1"/>
  <c r="CB478" i="1"/>
  <c r="CB479" i="1"/>
  <c r="CB480" i="1"/>
  <c r="CB481" i="1"/>
  <c r="CB482" i="1"/>
  <c r="CB483" i="1"/>
  <c r="CB485" i="1"/>
  <c r="CB486" i="1"/>
  <c r="CB487" i="1"/>
  <c r="CB488" i="1"/>
  <c r="CB489" i="1"/>
  <c r="CB490" i="1"/>
  <c r="CB491" i="1"/>
  <c r="CB492" i="1"/>
  <c r="CB493" i="1"/>
  <c r="CB495" i="1"/>
  <c r="CB496" i="1"/>
  <c r="CB497" i="1"/>
  <c r="CB498" i="1"/>
  <c r="CB499" i="1"/>
  <c r="CB500" i="1"/>
  <c r="CB502" i="1"/>
  <c r="CB503" i="1"/>
  <c r="CB504" i="1"/>
  <c r="CB505" i="1"/>
  <c r="CB506" i="1"/>
  <c r="CB507" i="1"/>
  <c r="CB508" i="1"/>
  <c r="CB511" i="1"/>
  <c r="CB512" i="1"/>
  <c r="CB514" i="1"/>
  <c r="CB515" i="1"/>
  <c r="CB516" i="1"/>
  <c r="CB517" i="1"/>
  <c r="CB518" i="1"/>
  <c r="CB520" i="1"/>
  <c r="CB521" i="1"/>
  <c r="CB522" i="1"/>
  <c r="CB523" i="1"/>
  <c r="CB524" i="1"/>
  <c r="CB525" i="1"/>
  <c r="CB526" i="1"/>
  <c r="CB527" i="1"/>
  <c r="CB529" i="1"/>
  <c r="CB530" i="1"/>
  <c r="CB531" i="1"/>
  <c r="CB532" i="1"/>
  <c r="CB533" i="1"/>
  <c r="CB534" i="1"/>
  <c r="CB535" i="1"/>
  <c r="CB536" i="1"/>
  <c r="CB538" i="1"/>
  <c r="CB539" i="1"/>
  <c r="CB540" i="1"/>
  <c r="CB541" i="1"/>
  <c r="CB542" i="1"/>
  <c r="CB543" i="1"/>
  <c r="CB544" i="1"/>
  <c r="CB545" i="1"/>
  <c r="CB546" i="1"/>
  <c r="CB548" i="1"/>
  <c r="CB549" i="1"/>
  <c r="CB550" i="1"/>
  <c r="CB551" i="1"/>
  <c r="CB552" i="1"/>
  <c r="CB553" i="1"/>
  <c r="CB554" i="1"/>
  <c r="CB555" i="1"/>
  <c r="CB557" i="1"/>
  <c r="CB558" i="1"/>
  <c r="CB559" i="1"/>
  <c r="CB560" i="1"/>
  <c r="CB561" i="1"/>
  <c r="CB562" i="1"/>
  <c r="CB564" i="1"/>
  <c r="CB565" i="1"/>
  <c r="CB566" i="1"/>
  <c r="CB567" i="1"/>
  <c r="CB569" i="1"/>
  <c r="CB570" i="1"/>
  <c r="CB572" i="1"/>
  <c r="CB573" i="1"/>
  <c r="CB574" i="1"/>
  <c r="CB576" i="1"/>
  <c r="CB577" i="1"/>
  <c r="CB578" i="1"/>
  <c r="CB579" i="1"/>
  <c r="CB580" i="1"/>
  <c r="CB581" i="1"/>
  <c r="M583" i="1"/>
  <c r="CB583" i="1" s="1"/>
  <c r="CB584" i="1"/>
  <c r="CB586" i="1"/>
  <c r="CB587" i="1"/>
  <c r="CB588" i="1"/>
  <c r="CB590" i="1"/>
  <c r="CB591" i="1"/>
  <c r="CB592" i="1"/>
  <c r="CB593" i="1"/>
  <c r="CB594" i="1"/>
  <c r="CB595" i="1"/>
  <c r="CB596" i="1"/>
  <c r="CB597" i="1"/>
  <c r="CB598" i="1"/>
  <c r="CB601" i="1"/>
  <c r="CB603" i="1"/>
  <c r="CB604" i="1"/>
  <c r="CB605" i="1"/>
  <c r="CB606" i="1"/>
  <c r="CB607" i="1"/>
  <c r="CB608" i="1"/>
  <c r="CB609" i="1"/>
  <c r="CB610" i="1"/>
  <c r="CB611" i="1"/>
  <c r="CB612" i="1"/>
  <c r="M614" i="1"/>
  <c r="CB614" i="1"/>
  <c r="CB615" i="1"/>
  <c r="CB617" i="1"/>
  <c r="CB618" i="1"/>
  <c r="CB619" i="1"/>
  <c r="CB620" i="1"/>
  <c r="CB622" i="1"/>
  <c r="CB623" i="1"/>
  <c r="CB624" i="1"/>
  <c r="CB625" i="1"/>
  <c r="CB626" i="1"/>
  <c r="CB628" i="1"/>
  <c r="CB629" i="1"/>
  <c r="CB630" i="1"/>
  <c r="CB631" i="1"/>
  <c r="CB632" i="1"/>
  <c r="CB633" i="1"/>
  <c r="CB634" i="1"/>
  <c r="M636" i="1"/>
  <c r="CB636" i="1" s="1"/>
  <c r="CB637" i="1"/>
  <c r="CB638" i="1"/>
  <c r="CB639" i="1"/>
  <c r="CB641" i="1"/>
  <c r="CB643" i="1"/>
  <c r="CB644" i="1"/>
  <c r="CB645" i="1"/>
  <c r="CB647" i="1"/>
  <c r="CB648" i="1"/>
  <c r="CB649" i="1"/>
  <c r="CB650" i="1"/>
  <c r="CB651" i="1"/>
  <c r="CB652" i="1"/>
  <c r="M654" i="1"/>
  <c r="CB654" i="1" s="1"/>
  <c r="CB655" i="1"/>
  <c r="CB656" i="1"/>
  <c r="CB657" i="1"/>
  <c r="CB658" i="1"/>
  <c r="CB659" i="1"/>
  <c r="CB660" i="1"/>
  <c r="CB662" i="1"/>
  <c r="CB663" i="1"/>
  <c r="CB666" i="1"/>
  <c r="CB667" i="1"/>
  <c r="CB669" i="1"/>
  <c r="CB670" i="1"/>
  <c r="CB671" i="1"/>
  <c r="CB672" i="1"/>
  <c r="CB675" i="1"/>
  <c r="CB676" i="1"/>
  <c r="CB677" i="1"/>
  <c r="CB678" i="1"/>
  <c r="CB679" i="1"/>
  <c r="CB681" i="1"/>
  <c r="CB682" i="1"/>
  <c r="CB683" i="1"/>
  <c r="CB684" i="1"/>
  <c r="CB685" i="1"/>
  <c r="CB686" i="1"/>
  <c r="CB687" i="1"/>
  <c r="CB688" i="1"/>
  <c r="CB689" i="1"/>
  <c r="CB690" i="1"/>
  <c r="CB691" i="1"/>
  <c r="CB693" i="1"/>
  <c r="CB694" i="1"/>
  <c r="CB695" i="1"/>
  <c r="CB696" i="1"/>
  <c r="CB698" i="1"/>
  <c r="CB699" i="1"/>
  <c r="CB702" i="1"/>
  <c r="CB703" i="1"/>
  <c r="CB704" i="1"/>
  <c r="CB706" i="1"/>
  <c r="CB707" i="1"/>
  <c r="CB708" i="1"/>
  <c r="CB709" i="1"/>
  <c r="CB711" i="1"/>
  <c r="CB712" i="1"/>
  <c r="CB713" i="1"/>
  <c r="CB714" i="1"/>
  <c r="CB715" i="1"/>
  <c r="CB716" i="1"/>
  <c r="CB717" i="1"/>
  <c r="CB718" i="1"/>
  <c r="CB720" i="1"/>
  <c r="CB721" i="1"/>
  <c r="CB723" i="1"/>
  <c r="CB724" i="1"/>
  <c r="CB725" i="1"/>
  <c r="CB726" i="1"/>
  <c r="CB729" i="1"/>
  <c r="CB731" i="1"/>
  <c r="CB732" i="1"/>
  <c r="CB733" i="1"/>
  <c r="CB734" i="1"/>
  <c r="CB735" i="1"/>
  <c r="CB736" i="1"/>
  <c r="CB738" i="1"/>
  <c r="CB739" i="1"/>
  <c r="CB740" i="1"/>
  <c r="CB741" i="1"/>
  <c r="CB742" i="1"/>
  <c r="CB743" i="1"/>
  <c r="CB744" i="1"/>
  <c r="CB745" i="1"/>
  <c r="CB748" i="1"/>
  <c r="CB751" i="1"/>
  <c r="CB752" i="1"/>
  <c r="CB753" i="1"/>
  <c r="CB754" i="1"/>
  <c r="CB755" i="1"/>
  <c r="CB756" i="1"/>
  <c r="CB760" i="1"/>
  <c r="CB761" i="1"/>
  <c r="CB763" i="1"/>
  <c r="CB764" i="1"/>
  <c r="CB766" i="1"/>
  <c r="CB767" i="1"/>
  <c r="CB768" i="1"/>
  <c r="CB769" i="1"/>
  <c r="CB774" i="1"/>
  <c r="CB775" i="1"/>
  <c r="CB777" i="1"/>
  <c r="CB778" i="1"/>
  <c r="CB779" i="1"/>
  <c r="CB780" i="1"/>
  <c r="CB782" i="1"/>
  <c r="CB783" i="1"/>
  <c r="CB784" i="1"/>
  <c r="CB785" i="1"/>
  <c r="CB786" i="1"/>
  <c r="CB787" i="1"/>
  <c r="CB789" i="1"/>
  <c r="CB790" i="1"/>
  <c r="CB791" i="1"/>
  <c r="CB793" i="1"/>
  <c r="CB794" i="1"/>
  <c r="CB795" i="1"/>
  <c r="CB796" i="1"/>
  <c r="CB797" i="1"/>
  <c r="CB798" i="1"/>
  <c r="CB800" i="1"/>
  <c r="CB801" i="1"/>
  <c r="CB802" i="1"/>
  <c r="CB803" i="1"/>
  <c r="CB804" i="1"/>
  <c r="CB805" i="1"/>
  <c r="CB806" i="1"/>
  <c r="CB807" i="1"/>
  <c r="CB808" i="1"/>
  <c r="M810" i="1"/>
  <c r="CB810" i="1" s="1"/>
  <c r="CB811" i="1"/>
  <c r="CB812" i="1"/>
  <c r="CB813" i="1"/>
  <c r="CB814" i="1"/>
  <c r="CB815" i="1"/>
  <c r="CB816" i="1"/>
  <c r="CB818" i="1"/>
  <c r="CB819" i="1"/>
  <c r="CB820" i="1"/>
  <c r="M822" i="1"/>
  <c r="CB822" i="1"/>
  <c r="CB823" i="1"/>
  <c r="CB824" i="1"/>
  <c r="CB825" i="1"/>
  <c r="CB826" i="1"/>
  <c r="CB827" i="1"/>
  <c r="M829" i="1"/>
  <c r="CB829" i="1" s="1"/>
  <c r="CB830" i="1"/>
  <c r="CB831" i="1"/>
  <c r="CB832" i="1"/>
  <c r="CB834" i="1"/>
  <c r="CB835" i="1"/>
  <c r="CB836" i="1"/>
  <c r="CB838" i="1"/>
  <c r="CB839" i="1"/>
  <c r="CB840" i="1"/>
  <c r="CB841" i="1"/>
  <c r="CB842" i="1"/>
  <c r="CB843" i="1"/>
  <c r="CB844" i="1"/>
  <c r="CB845" i="1"/>
  <c r="CB846" i="1"/>
  <c r="CB847" i="1"/>
  <c r="CB848" i="1"/>
  <c r="CB849" i="1"/>
  <c r="CB850" i="1"/>
  <c r="CB852" i="1"/>
  <c r="CB854" i="1"/>
  <c r="CB855" i="1"/>
  <c r="CB856" i="1"/>
  <c r="CB857" i="1"/>
  <c r="CB859" i="1"/>
  <c r="CB860" i="1"/>
  <c r="CB863" i="1"/>
  <c r="CB864" i="1"/>
  <c r="CB865" i="1"/>
  <c r="CB866" i="1"/>
  <c r="CB867" i="1"/>
  <c r="CB868" i="1"/>
  <c r="CB869" i="1"/>
  <c r="CB870" i="1"/>
  <c r="CB872" i="1"/>
  <c r="CB873" i="1"/>
  <c r="CB874" i="1"/>
  <c r="CB875" i="1"/>
  <c r="CB876" i="1"/>
  <c r="CB877" i="1"/>
  <c r="CB878" i="1"/>
  <c r="CB879" i="1"/>
  <c r="CB880" i="1"/>
  <c r="CB881" i="1"/>
  <c r="CB884" i="1"/>
  <c r="CB886" i="1"/>
  <c r="CB887" i="1"/>
  <c r="CB888" i="1"/>
  <c r="CB889" i="1"/>
  <c r="CB890" i="1"/>
  <c r="CB891" i="1"/>
  <c r="CB892" i="1"/>
  <c r="CB893" i="1"/>
  <c r="CB894" i="1"/>
  <c r="CB895" i="1"/>
  <c r="CB897" i="1"/>
  <c r="CB898" i="1"/>
  <c r="CB899" i="1"/>
  <c r="CB900" i="1"/>
  <c r="CB901" i="1"/>
  <c r="CB902" i="1"/>
  <c r="CB905" i="1"/>
  <c r="CB906" i="1"/>
  <c r="CB908" i="1"/>
  <c r="CB909" i="1"/>
  <c r="CB910" i="1"/>
  <c r="CB911" i="1"/>
  <c r="CB912" i="1"/>
  <c r="CB913" i="1"/>
  <c r="CB916" i="1"/>
  <c r="CB917" i="1"/>
  <c r="CB918" i="1"/>
  <c r="CB919" i="1"/>
  <c r="CB920" i="1"/>
  <c r="CB921" i="1"/>
  <c r="CB922" i="1"/>
  <c r="CB923" i="1"/>
  <c r="CB924" i="1"/>
  <c r="CB925" i="1"/>
  <c r="CB927" i="1"/>
  <c r="CB928" i="1"/>
  <c r="CB929" i="1"/>
  <c r="CB930" i="1"/>
  <c r="CB931" i="1"/>
  <c r="CB932" i="1"/>
  <c r="CB933" i="1"/>
  <c r="CB936" i="1"/>
  <c r="CB937" i="1"/>
  <c r="CB938" i="1"/>
  <c r="CB939" i="1"/>
  <c r="CB940" i="1"/>
  <c r="CB941" i="1"/>
  <c r="CB943" i="1"/>
  <c r="CB944" i="1"/>
  <c r="CB945" i="1"/>
  <c r="CB947" i="1"/>
  <c r="CB948" i="1"/>
  <c r="CB951" i="1"/>
  <c r="CB952" i="1"/>
  <c r="CB953" i="1"/>
  <c r="CB954" i="1"/>
  <c r="CB955" i="1"/>
  <c r="CB956" i="1"/>
  <c r="CB957" i="1"/>
  <c r="CB958" i="1"/>
  <c r="CB961" i="1"/>
  <c r="CB962" i="1"/>
  <c r="CB963" i="1"/>
  <c r="CB964" i="1"/>
  <c r="CB965" i="1"/>
  <c r="CB966" i="1"/>
  <c r="CB967" i="1"/>
  <c r="CB969" i="1"/>
  <c r="CB970" i="1"/>
  <c r="CB971" i="1"/>
  <c r="CB972" i="1"/>
  <c r="CB973" i="1"/>
  <c r="CB974" i="1"/>
  <c r="CB975" i="1"/>
  <c r="CB977" i="1"/>
  <c r="CB978" i="1"/>
  <c r="CB979" i="1"/>
  <c r="CB980" i="1"/>
  <c r="CB981" i="1"/>
  <c r="M983" i="1"/>
  <c r="CB983" i="1" s="1"/>
  <c r="CB985" i="1"/>
  <c r="CB986" i="1"/>
  <c r="CB987" i="1"/>
  <c r="M989" i="1"/>
  <c r="CB989" i="1" s="1"/>
  <c r="CB990" i="1"/>
  <c r="CB991" i="1"/>
  <c r="CB992" i="1"/>
  <c r="CB993" i="1"/>
  <c r="CB994" i="1"/>
  <c r="CB996" i="1"/>
  <c r="CB997" i="1"/>
  <c r="CB998" i="1"/>
  <c r="CB999" i="1"/>
  <c r="CB1000" i="1"/>
  <c r="CB1001" i="1"/>
  <c r="CB1002" i="1"/>
  <c r="CB1003" i="1"/>
  <c r="CB1006" i="1"/>
  <c r="CB1007" i="1"/>
  <c r="CB1008" i="1"/>
  <c r="CB1009" i="1"/>
  <c r="CB1010" i="1"/>
  <c r="CB1011" i="1"/>
  <c r="CB1013" i="1"/>
  <c r="CB1014" i="1"/>
  <c r="CB1015" i="1"/>
  <c r="CB1016" i="1"/>
  <c r="CB1017" i="1"/>
  <c r="CB1018" i="1"/>
  <c r="CB1019" i="1"/>
  <c r="CB1020" i="1"/>
  <c r="CB1021" i="1"/>
  <c r="CB1022" i="1"/>
  <c r="CB1023" i="1"/>
  <c r="CB1025" i="1"/>
  <c r="CB1026" i="1"/>
  <c r="CB1027" i="1"/>
  <c r="CB1028" i="1"/>
  <c r="CB1029" i="1"/>
  <c r="CB1030" i="1"/>
  <c r="CB1031" i="1"/>
  <c r="CB1032" i="1"/>
  <c r="CB1033" i="1"/>
  <c r="CB1035" i="1"/>
  <c r="CB1036" i="1"/>
  <c r="CB1037" i="1"/>
  <c r="CB1038" i="1"/>
  <c r="CB1039" i="1"/>
  <c r="CB1040" i="1"/>
  <c r="CB1041" i="1"/>
  <c r="CB1042" i="1"/>
  <c r="CB1043" i="1"/>
  <c r="CB1044" i="1"/>
  <c r="CB1046" i="1"/>
  <c r="CB1047" i="1"/>
  <c r="CB1048" i="1"/>
  <c r="CB1051" i="1"/>
  <c r="CB1053" i="1"/>
  <c r="CB1054" i="1"/>
  <c r="CB1055" i="1"/>
  <c r="CB1056" i="1"/>
  <c r="CB1057" i="1"/>
  <c r="CB1059" i="1"/>
  <c r="CB1060" i="1"/>
  <c r="CB1061" i="1"/>
  <c r="CB1062" i="1"/>
  <c r="CB1063" i="1"/>
  <c r="CB1064" i="1"/>
  <c r="CB1066" i="1"/>
  <c r="CB1067" i="1"/>
  <c r="CB1068" i="1"/>
  <c r="CB1069" i="1"/>
  <c r="CB1070" i="1"/>
  <c r="CB1071" i="1"/>
  <c r="CB1072" i="1"/>
  <c r="CB1073" i="1"/>
  <c r="CB1075" i="1"/>
  <c r="CB1076" i="1"/>
  <c r="CB1077" i="1"/>
  <c r="CB1079" i="1"/>
  <c r="CB1080" i="1"/>
  <c r="CB1081" i="1"/>
  <c r="CB1082" i="1"/>
  <c r="CB1083" i="1"/>
  <c r="CB1084" i="1"/>
  <c r="CB1086" i="1"/>
  <c r="CB1087" i="1"/>
  <c r="CB1088" i="1"/>
  <c r="CB1089" i="1"/>
  <c r="CB1090" i="1"/>
  <c r="CB1091" i="1"/>
  <c r="CB1092" i="1"/>
  <c r="CB1093" i="1"/>
  <c r="CB1094" i="1"/>
  <c r="CB1097" i="1"/>
  <c r="CB1098" i="1"/>
  <c r="CB1099" i="1"/>
  <c r="CB1100" i="1"/>
  <c r="CB1101" i="1"/>
  <c r="CB1102" i="1"/>
  <c r="CB1103" i="1"/>
  <c r="CB1104" i="1"/>
  <c r="CB1105" i="1"/>
  <c r="CB1106" i="1"/>
  <c r="CB1108" i="1"/>
  <c r="CB1109" i="1"/>
  <c r="CB1110" i="1"/>
  <c r="CB1111" i="1"/>
  <c r="CB1112" i="1"/>
  <c r="CB1113" i="1"/>
  <c r="CB1115" i="1"/>
  <c r="CB1116" i="1"/>
  <c r="CB1117" i="1"/>
  <c r="CB1118" i="1"/>
  <c r="CB1120" i="1"/>
  <c r="CB1122" i="1"/>
  <c r="CB1123" i="1"/>
  <c r="CB1124" i="1"/>
  <c r="M1126" i="1"/>
  <c r="CB1126" i="1" s="1"/>
  <c r="CB1127" i="1"/>
  <c r="CB1128" i="1"/>
  <c r="CB1129" i="1"/>
  <c r="CB1130" i="1"/>
  <c r="CB1132" i="1"/>
  <c r="CB1133" i="1"/>
  <c r="CB1135" i="1"/>
  <c r="CB1136" i="1"/>
  <c r="CB1137" i="1"/>
  <c r="CB1138" i="1"/>
  <c r="CB1139" i="1"/>
  <c r="CB1140" i="1"/>
  <c r="CB1143" i="1"/>
  <c r="CB1144" i="1"/>
  <c r="CB1145" i="1"/>
  <c r="CB1146" i="1"/>
  <c r="CB1147" i="1"/>
  <c r="CB1148" i="1"/>
  <c r="CB1149" i="1"/>
  <c r="CB1150" i="1"/>
  <c r="CB1152" i="1"/>
  <c r="CB1153" i="1"/>
  <c r="CB1154" i="1"/>
  <c r="CB1155" i="1"/>
  <c r="CB1158" i="1"/>
  <c r="CB1159" i="1"/>
  <c r="CB1160" i="1"/>
  <c r="CB1161" i="1"/>
  <c r="CB1162" i="1"/>
  <c r="CB1163" i="1"/>
  <c r="CB1164" i="1"/>
  <c r="CB1165" i="1"/>
  <c r="CB1167" i="1"/>
  <c r="CB1168" i="1"/>
  <c r="CB1169" i="1"/>
  <c r="CB1170" i="1"/>
  <c r="CB1173" i="1"/>
  <c r="CB1174" i="1"/>
  <c r="CB1175" i="1"/>
  <c r="CB1177" i="1"/>
  <c r="CB1178" i="1"/>
  <c r="CB1179" i="1"/>
  <c r="CB1180" i="1"/>
  <c r="CB1181" i="1"/>
  <c r="CB1182" i="1"/>
  <c r="CB1183" i="1"/>
  <c r="CB1185" i="1"/>
  <c r="CB1186" i="1"/>
  <c r="CB1187" i="1"/>
  <c r="CB1188" i="1"/>
  <c r="CB1189" i="1"/>
  <c r="CB1190" i="1"/>
  <c r="CB1192" i="1"/>
  <c r="CB1194" i="1"/>
  <c r="CB1195" i="1"/>
  <c r="CB1196" i="1"/>
  <c r="CB1199" i="1"/>
  <c r="CB1201" i="1"/>
  <c r="CB1202" i="1"/>
  <c r="CB1203" i="1"/>
  <c r="CB1204" i="1"/>
  <c r="CB1205" i="1"/>
  <c r="CB1206" i="1"/>
  <c r="CB1207" i="1"/>
  <c r="CB1209" i="1"/>
  <c r="CB1210" i="1"/>
  <c r="CB1211" i="1"/>
  <c r="CB1212" i="1"/>
  <c r="CB1213" i="1"/>
  <c r="CB1214" i="1"/>
  <c r="CB1215" i="1"/>
  <c r="CB1216" i="1"/>
  <c r="CB1217" i="1"/>
  <c r="CB1220" i="1"/>
  <c r="CB1222" i="1"/>
  <c r="CB1223" i="1"/>
  <c r="CB1224" i="1"/>
  <c r="CB1225" i="1"/>
  <c r="CB1226" i="1"/>
  <c r="CB1227" i="1"/>
  <c r="CB1229" i="1"/>
  <c r="CB1230" i="1"/>
  <c r="CB1231" i="1"/>
  <c r="CB1232" i="1"/>
  <c r="CB1233" i="1"/>
  <c r="CB1234" i="1"/>
  <c r="CB1235" i="1"/>
  <c r="CB1236" i="1"/>
  <c r="CB1238" i="1"/>
  <c r="CB1240" i="1"/>
  <c r="CB1241" i="1"/>
  <c r="CB1242" i="1"/>
  <c r="CB1244" i="1"/>
  <c r="CB1245" i="1"/>
  <c r="CB1246" i="1"/>
  <c r="CB1247" i="1"/>
  <c r="CB1248" i="1"/>
  <c r="CB1250" i="1"/>
  <c r="CB1251" i="1"/>
  <c r="CB1252" i="1"/>
  <c r="CB1253" i="1"/>
  <c r="CB1254" i="1"/>
  <c r="CB1255" i="1"/>
  <c r="CB1256" i="1"/>
  <c r="CB1257" i="1"/>
  <c r="CB1258" i="1"/>
  <c r="CB1259" i="1"/>
  <c r="CB1261" i="1"/>
  <c r="CB1262" i="1"/>
  <c r="CB1263" i="1"/>
  <c r="CB1265" i="1"/>
  <c r="CB1266" i="1"/>
  <c r="CB1267" i="1"/>
  <c r="CB1268" i="1"/>
  <c r="CB1272" i="1"/>
  <c r="M1274" i="1"/>
  <c r="CB1274" i="1"/>
  <c r="CB1275" i="1"/>
  <c r="CB1276" i="1"/>
  <c r="CB1277" i="1"/>
  <c r="CB1278" i="1"/>
  <c r="CB1279" i="1"/>
  <c r="CB1280" i="1"/>
  <c r="M1282" i="1"/>
  <c r="CB1282" i="1"/>
  <c r="CB1283" i="1"/>
  <c r="CB1284" i="1"/>
  <c r="CB1285" i="1"/>
  <c r="CB1286" i="1"/>
  <c r="CB1287" i="1"/>
  <c r="CB1288" i="1"/>
  <c r="CB1289" i="1"/>
  <c r="CB1291" i="1"/>
  <c r="CB1292" i="1"/>
  <c r="CB1293" i="1"/>
  <c r="CB1294" i="1"/>
  <c r="CB1295" i="1"/>
  <c r="CB1296" i="1"/>
  <c r="CB1297" i="1"/>
  <c r="CB1298" i="1"/>
  <c r="CB1299" i="1"/>
  <c r="CB1300" i="1"/>
  <c r="CB1301" i="1"/>
  <c r="CB1303" i="1"/>
  <c r="CB1304" i="1"/>
  <c r="CB1305" i="1"/>
  <c r="CB1306" i="1"/>
  <c r="CB1307" i="1"/>
  <c r="CB1308" i="1"/>
  <c r="CB1309" i="1"/>
  <c r="CB1310" i="1"/>
  <c r="CB1311" i="1"/>
  <c r="CB1312" i="1"/>
  <c r="CB1313" i="1"/>
  <c r="CC67" i="1"/>
  <c r="CC68" i="1"/>
  <c r="CC69" i="1"/>
  <c r="CC70" i="1"/>
  <c r="CC71" i="1"/>
  <c r="CC72" i="1"/>
  <c r="CC73" i="1"/>
  <c r="CC74" i="1"/>
  <c r="N76" i="1"/>
  <c r="CC76" i="1"/>
  <c r="CC77" i="1"/>
  <c r="CC78" i="1"/>
  <c r="CC79" i="1"/>
  <c r="CC80" i="1"/>
  <c r="CC81" i="1"/>
  <c r="CC82" i="1"/>
  <c r="N84" i="1"/>
  <c r="CC84" i="1" s="1"/>
  <c r="CC85" i="1"/>
  <c r="CC86" i="1"/>
  <c r="CC87" i="1"/>
  <c r="CC88" i="1"/>
  <c r="CC89" i="1"/>
  <c r="CC90" i="1"/>
  <c r="CC92" i="1"/>
  <c r="CC93" i="1"/>
  <c r="CC94" i="1"/>
  <c r="CC95" i="1"/>
  <c r="CC96" i="1"/>
  <c r="CC97" i="1"/>
  <c r="CC98" i="1"/>
  <c r="CC101" i="1"/>
  <c r="CC103" i="1"/>
  <c r="CC104" i="1"/>
  <c r="CC105" i="1"/>
  <c r="CC106" i="1"/>
  <c r="CC107" i="1"/>
  <c r="CC108" i="1"/>
  <c r="CC109" i="1"/>
  <c r="CC111" i="1"/>
  <c r="CC112" i="1"/>
  <c r="CC113" i="1"/>
  <c r="CC114" i="1"/>
  <c r="CC115" i="1"/>
  <c r="CC116" i="1"/>
  <c r="CC117" i="1"/>
  <c r="CC118" i="1"/>
  <c r="CC119" i="1"/>
  <c r="CC120" i="1"/>
  <c r="CC122" i="1"/>
  <c r="CC124" i="1"/>
  <c r="CC125" i="1"/>
  <c r="CC126" i="1"/>
  <c r="CC129" i="1"/>
  <c r="CC131" i="1"/>
  <c r="CC132" i="1"/>
  <c r="CC136" i="1"/>
  <c r="CC138" i="1"/>
  <c r="CC139" i="1"/>
  <c r="CC140" i="1"/>
  <c r="CC141" i="1"/>
  <c r="CC142" i="1"/>
  <c r="N144" i="1"/>
  <c r="CC144" i="1" s="1"/>
  <c r="CC145" i="1"/>
  <c r="CC146" i="1"/>
  <c r="CC147" i="1"/>
  <c r="CC148" i="1"/>
  <c r="CC149" i="1"/>
  <c r="CC151" i="1"/>
  <c r="CC152" i="1"/>
  <c r="CC153" i="1"/>
  <c r="CC154" i="1"/>
  <c r="CC155" i="1"/>
  <c r="CC156" i="1"/>
  <c r="CC157" i="1"/>
  <c r="CC158" i="1"/>
  <c r="CC160" i="1"/>
  <c r="CC161" i="1"/>
  <c r="CC162" i="1"/>
  <c r="CC163" i="1"/>
  <c r="CC165" i="1"/>
  <c r="CC166" i="1"/>
  <c r="CC167" i="1"/>
  <c r="CC168" i="1"/>
  <c r="CC169" i="1"/>
  <c r="CC170" i="1"/>
  <c r="N172" i="1"/>
  <c r="CC172" i="1" s="1"/>
  <c r="CC173" i="1"/>
  <c r="CC175" i="1"/>
  <c r="CC176" i="1"/>
  <c r="CC177" i="1"/>
  <c r="CC178" i="1"/>
  <c r="CC179" i="1"/>
  <c r="CC180" i="1"/>
  <c r="CC181" i="1"/>
  <c r="CC182" i="1"/>
  <c r="CC183" i="1"/>
  <c r="CC184" i="1"/>
  <c r="CC186" i="1"/>
  <c r="CC187" i="1"/>
  <c r="CC188" i="1"/>
  <c r="CC189" i="1"/>
  <c r="CC190" i="1"/>
  <c r="CC191" i="1"/>
  <c r="CC192" i="1"/>
  <c r="CC193" i="1"/>
  <c r="N195" i="1"/>
  <c r="CC195" i="1" s="1"/>
  <c r="CC196" i="1"/>
  <c r="CC197" i="1"/>
  <c r="CC198" i="1"/>
  <c r="CC200" i="1"/>
  <c r="CC201" i="1"/>
  <c r="CC202" i="1"/>
  <c r="CC203" i="1"/>
  <c r="CC204" i="1"/>
  <c r="CC205" i="1"/>
  <c r="CC206" i="1"/>
  <c r="CC207" i="1"/>
  <c r="CC209" i="1"/>
  <c r="CC210" i="1"/>
  <c r="CC211" i="1"/>
  <c r="CC212" i="1"/>
  <c r="CC213" i="1"/>
  <c r="CC214" i="1"/>
  <c r="CC215" i="1"/>
  <c r="CC217" i="1"/>
  <c r="CC218" i="1"/>
  <c r="CC219" i="1"/>
  <c r="CC220" i="1"/>
  <c r="CC221" i="1"/>
  <c r="CC222" i="1"/>
  <c r="CC224" i="1"/>
  <c r="CC225" i="1"/>
  <c r="CC226" i="1"/>
  <c r="CC227" i="1"/>
  <c r="CC228" i="1"/>
  <c r="CC229" i="1"/>
  <c r="CC231" i="1"/>
  <c r="CC232" i="1"/>
  <c r="CC233" i="1"/>
  <c r="CC234" i="1"/>
  <c r="CC235" i="1"/>
  <c r="CC236" i="1"/>
  <c r="CC237" i="1"/>
  <c r="CC238" i="1"/>
  <c r="N240" i="1"/>
  <c r="CC240" i="1" s="1"/>
  <c r="CC241" i="1"/>
  <c r="CC242" i="1"/>
  <c r="CC243" i="1"/>
  <c r="CC244" i="1"/>
  <c r="CC245" i="1"/>
  <c r="CC246" i="1"/>
  <c r="CC247" i="1"/>
  <c r="CC249" i="1"/>
  <c r="CC250" i="1"/>
  <c r="CC251" i="1"/>
  <c r="CC252" i="1"/>
  <c r="CC253" i="1"/>
  <c r="CC254" i="1"/>
  <c r="CC255" i="1"/>
  <c r="CC256" i="1"/>
  <c r="CC258" i="1"/>
  <c r="CC259" i="1"/>
  <c r="CC260" i="1"/>
  <c r="CC261" i="1"/>
  <c r="CC262" i="1"/>
  <c r="CC263" i="1"/>
  <c r="CC264" i="1"/>
  <c r="CC265" i="1"/>
  <c r="CC266" i="1"/>
  <c r="CC269" i="1"/>
  <c r="CC270" i="1"/>
  <c r="CC271" i="1"/>
  <c r="CC272" i="1"/>
  <c r="CC273" i="1"/>
  <c r="CC274" i="1"/>
  <c r="CC275" i="1"/>
  <c r="CC276" i="1"/>
  <c r="N278" i="1"/>
  <c r="CC278" i="1" s="1"/>
  <c r="CC279" i="1"/>
  <c r="CC280" i="1"/>
  <c r="CC281" i="1"/>
  <c r="CC282" i="1"/>
  <c r="CC283" i="1"/>
  <c r="CC285" i="1"/>
  <c r="CC286" i="1"/>
  <c r="CC287" i="1"/>
  <c r="CC288" i="1"/>
  <c r="CC291" i="1"/>
  <c r="CC292" i="1"/>
  <c r="CC293" i="1"/>
  <c r="CC294" i="1"/>
  <c r="CC296" i="1"/>
  <c r="CC297" i="1"/>
  <c r="CC298" i="1"/>
  <c r="CC299" i="1"/>
  <c r="CC300" i="1"/>
  <c r="CC301" i="1"/>
  <c r="CC302" i="1"/>
  <c r="CC303" i="1"/>
  <c r="CC305" i="1"/>
  <c r="CC306" i="1"/>
  <c r="CC307" i="1"/>
  <c r="CC308" i="1"/>
  <c r="CC309" i="1"/>
  <c r="CC310" i="1"/>
  <c r="CC311" i="1"/>
  <c r="CC312" i="1"/>
  <c r="CC313" i="1"/>
  <c r="CC314" i="1"/>
  <c r="CC316" i="1"/>
  <c r="CC317" i="1"/>
  <c r="CC318" i="1"/>
  <c r="CC319" i="1"/>
  <c r="CC320" i="1"/>
  <c r="CC321" i="1"/>
  <c r="CC322" i="1"/>
  <c r="CC323" i="1"/>
  <c r="CC324" i="1"/>
  <c r="CC325" i="1"/>
  <c r="CC326" i="1"/>
  <c r="CC327" i="1"/>
  <c r="N329" i="1"/>
  <c r="CC329" i="1" s="1"/>
  <c r="CC330" i="1"/>
  <c r="CC333" i="1"/>
  <c r="CC334" i="1"/>
  <c r="CC335" i="1"/>
  <c r="CC336" i="1"/>
  <c r="CC337" i="1"/>
  <c r="CC338" i="1"/>
  <c r="CC341" i="1"/>
  <c r="CC342" i="1"/>
  <c r="CC343" i="1"/>
  <c r="CC344" i="1"/>
  <c r="CC345" i="1"/>
  <c r="CC346" i="1"/>
  <c r="CC347" i="1"/>
  <c r="CC348" i="1"/>
  <c r="CC349" i="1"/>
  <c r="CC351" i="1"/>
  <c r="CC352" i="1"/>
  <c r="CC353" i="1"/>
  <c r="CC354" i="1"/>
  <c r="CC355" i="1"/>
  <c r="CC356" i="1"/>
  <c r="N358" i="1"/>
  <c r="CC358" i="1" s="1"/>
  <c r="CC359" i="1"/>
  <c r="CC360" i="1"/>
  <c r="CC361" i="1"/>
  <c r="CC362" i="1"/>
  <c r="CC363" i="1"/>
  <c r="CC364" i="1"/>
  <c r="CC365" i="1"/>
  <c r="CC367" i="1"/>
  <c r="CC368" i="1"/>
  <c r="CC369" i="1"/>
  <c r="CC371" i="1"/>
  <c r="CC372" i="1"/>
  <c r="CC373" i="1"/>
  <c r="N375" i="1"/>
  <c r="CC375" i="1" s="1"/>
  <c r="CC376" i="1"/>
  <c r="CC378" i="1"/>
  <c r="CC379" i="1"/>
  <c r="CC380" i="1"/>
  <c r="CC381" i="1"/>
  <c r="CC382" i="1"/>
  <c r="CC383" i="1"/>
  <c r="CC385" i="1"/>
  <c r="CC386" i="1"/>
  <c r="CC387" i="1"/>
  <c r="CC388" i="1"/>
  <c r="CC389" i="1"/>
  <c r="CC390" i="1"/>
  <c r="CC391" i="1"/>
  <c r="CC394" i="1"/>
  <c r="CC395" i="1"/>
  <c r="CC396" i="1"/>
  <c r="CC397" i="1"/>
  <c r="CC398" i="1"/>
  <c r="CC399" i="1"/>
  <c r="CC400" i="1"/>
  <c r="CC401" i="1"/>
  <c r="CC403" i="1"/>
  <c r="CC404" i="1"/>
  <c r="CC405" i="1"/>
  <c r="CC406" i="1"/>
  <c r="CC407" i="1"/>
  <c r="CC408" i="1"/>
  <c r="CC409" i="1"/>
  <c r="CC410" i="1"/>
  <c r="CC411" i="1"/>
  <c r="CC413" i="1"/>
  <c r="CC414" i="1"/>
  <c r="CC415" i="1"/>
  <c r="CC416" i="1"/>
  <c r="CC417" i="1"/>
  <c r="CC418" i="1"/>
  <c r="CC422" i="1"/>
  <c r="CC423" i="1"/>
  <c r="CC424" i="1"/>
  <c r="CC425" i="1"/>
  <c r="CC426" i="1"/>
  <c r="CC427" i="1"/>
  <c r="CC428" i="1"/>
  <c r="CC430" i="1"/>
  <c r="CC431" i="1"/>
  <c r="CC432" i="1"/>
  <c r="CC433" i="1"/>
  <c r="CC434" i="1"/>
  <c r="CC435" i="1"/>
  <c r="CC436" i="1"/>
  <c r="CC438" i="1"/>
  <c r="CC439" i="1"/>
  <c r="CC440" i="1"/>
  <c r="CC441" i="1"/>
  <c r="CC442" i="1"/>
  <c r="CC443" i="1"/>
  <c r="CC445" i="1"/>
  <c r="CC446" i="1"/>
  <c r="CC447" i="1"/>
  <c r="CC448" i="1"/>
  <c r="CC449" i="1"/>
  <c r="CC450" i="1"/>
  <c r="CC451" i="1"/>
  <c r="CC452" i="1"/>
  <c r="N454" i="1"/>
  <c r="CC454" i="1"/>
  <c r="CC455" i="1"/>
  <c r="CC456" i="1"/>
  <c r="CC457" i="1"/>
  <c r="CC459" i="1"/>
  <c r="CC460" i="1"/>
  <c r="CC461" i="1"/>
  <c r="CC462" i="1"/>
  <c r="CC463" i="1"/>
  <c r="CC464" i="1"/>
  <c r="CC465" i="1"/>
  <c r="CC466" i="1"/>
  <c r="CC469" i="1"/>
  <c r="CC470" i="1"/>
  <c r="CC471" i="1"/>
  <c r="CC472" i="1"/>
  <c r="CC473" i="1"/>
  <c r="CC474" i="1"/>
  <c r="CC475" i="1"/>
  <c r="CC476" i="1"/>
  <c r="CC478" i="1"/>
  <c r="CC479" i="1"/>
  <c r="CC480" i="1"/>
  <c r="CC481" i="1"/>
  <c r="CC482" i="1"/>
  <c r="CC483" i="1"/>
  <c r="CC486" i="1"/>
  <c r="CC487" i="1"/>
  <c r="CC488" i="1"/>
  <c r="CC489" i="1"/>
  <c r="CC490" i="1"/>
  <c r="CC491" i="1"/>
  <c r="CC492" i="1"/>
  <c r="CC493" i="1"/>
  <c r="CC495" i="1"/>
  <c r="CC496" i="1"/>
  <c r="CC497" i="1"/>
  <c r="CC498" i="1"/>
  <c r="CC499" i="1"/>
  <c r="CC500" i="1"/>
  <c r="CC502" i="1"/>
  <c r="CC503" i="1"/>
  <c r="CC504" i="1"/>
  <c r="CC505" i="1"/>
  <c r="CC506" i="1"/>
  <c r="CC507" i="1"/>
  <c r="CC508" i="1"/>
  <c r="CC510" i="1"/>
  <c r="CC511" i="1"/>
  <c r="CC512" i="1"/>
  <c r="CC514" i="1"/>
  <c r="CC515" i="1"/>
  <c r="CC516" i="1"/>
  <c r="CC517" i="1"/>
  <c r="CC518" i="1"/>
  <c r="CC520" i="1"/>
  <c r="CC521" i="1"/>
  <c r="CC522" i="1"/>
  <c r="CC523" i="1"/>
  <c r="CC524" i="1"/>
  <c r="CC525" i="1"/>
  <c r="CC526" i="1"/>
  <c r="CC527" i="1"/>
  <c r="CC529" i="1"/>
  <c r="CC530" i="1"/>
  <c r="CC531" i="1"/>
  <c r="CC532" i="1"/>
  <c r="CC533" i="1"/>
  <c r="CC534" i="1"/>
  <c r="CC535" i="1"/>
  <c r="CC536" i="1"/>
  <c r="CC538" i="1"/>
  <c r="CC539" i="1"/>
  <c r="CC540" i="1"/>
  <c r="CC541" i="1"/>
  <c r="CC542" i="1"/>
  <c r="CC543" i="1"/>
  <c r="CC544" i="1"/>
  <c r="CC545" i="1"/>
  <c r="CC546" i="1"/>
  <c r="CC549" i="1"/>
  <c r="CC550" i="1"/>
  <c r="CC551" i="1"/>
  <c r="CC552" i="1"/>
  <c r="CC553" i="1"/>
  <c r="CC554" i="1"/>
  <c r="CC555" i="1"/>
  <c r="CC557" i="1"/>
  <c r="CC558" i="1"/>
  <c r="CC559" i="1"/>
  <c r="CC560" i="1"/>
  <c r="CC561" i="1"/>
  <c r="CC562" i="1"/>
  <c r="CC564" i="1"/>
  <c r="CC565" i="1"/>
  <c r="CC566" i="1"/>
  <c r="CC567" i="1"/>
  <c r="CC569" i="1"/>
  <c r="CC570" i="1"/>
  <c r="CC572" i="1"/>
  <c r="CC573" i="1"/>
  <c r="CC574" i="1"/>
  <c r="CC576" i="1"/>
  <c r="CC577" i="1"/>
  <c r="CC578" i="1"/>
  <c r="CC579" i="1"/>
  <c r="CC580" i="1"/>
  <c r="CC581" i="1"/>
  <c r="N583" i="1"/>
  <c r="CC583" i="1" s="1"/>
  <c r="CC584" i="1"/>
  <c r="CC586" i="1"/>
  <c r="CC587" i="1"/>
  <c r="CC588" i="1"/>
  <c r="CC590" i="1"/>
  <c r="CC591" i="1"/>
  <c r="CC592" i="1"/>
  <c r="CC593" i="1"/>
  <c r="CC594" i="1"/>
  <c r="CC595" i="1"/>
  <c r="CC596" i="1"/>
  <c r="CC597" i="1"/>
  <c r="CC598" i="1"/>
  <c r="CC600" i="1"/>
  <c r="CC601" i="1"/>
  <c r="CC603" i="1"/>
  <c r="CC604" i="1"/>
  <c r="CC605" i="1"/>
  <c r="CC607" i="1"/>
  <c r="CC608" i="1"/>
  <c r="CC609" i="1"/>
  <c r="CC610" i="1"/>
  <c r="CC611" i="1"/>
  <c r="CC612" i="1"/>
  <c r="N614" i="1"/>
  <c r="CC614" i="1" s="1"/>
  <c r="CC615" i="1"/>
  <c r="CC617" i="1"/>
  <c r="CC618" i="1"/>
  <c r="CC619" i="1"/>
  <c r="CC620" i="1"/>
  <c r="CC622" i="1"/>
  <c r="CC623" i="1"/>
  <c r="CC624" i="1"/>
  <c r="CC625" i="1"/>
  <c r="CC626" i="1"/>
  <c r="CC628" i="1"/>
  <c r="CC629" i="1"/>
  <c r="CC630" i="1"/>
  <c r="CC631" i="1"/>
  <c r="CC632" i="1"/>
  <c r="CC633" i="1"/>
  <c r="CC634" i="1"/>
  <c r="N636" i="1"/>
  <c r="CC636" i="1"/>
  <c r="CC637" i="1"/>
  <c r="CC638" i="1"/>
  <c r="CC639" i="1"/>
  <c r="CC641" i="1"/>
  <c r="CC643" i="1"/>
  <c r="CC644" i="1"/>
  <c r="CC645" i="1"/>
  <c r="CC647" i="1"/>
  <c r="CC648" i="1"/>
  <c r="CC649" i="1"/>
  <c r="CC650" i="1"/>
  <c r="CC651" i="1"/>
  <c r="CC652" i="1"/>
  <c r="N654" i="1"/>
  <c r="CC654" i="1" s="1"/>
  <c r="CC655" i="1"/>
  <c r="CC656" i="1"/>
  <c r="CC657" i="1"/>
  <c r="CC658" i="1"/>
  <c r="CC659" i="1"/>
  <c r="CC660" i="1"/>
  <c r="CC662" i="1"/>
  <c r="CC663" i="1"/>
  <c r="CC665" i="1"/>
  <c r="CC666" i="1"/>
  <c r="CC667" i="1"/>
  <c r="CC669" i="1"/>
  <c r="CC670" i="1"/>
  <c r="CC671" i="1"/>
  <c r="CC672" i="1"/>
  <c r="CC674" i="1"/>
  <c r="CC675" i="1"/>
  <c r="CC676" i="1"/>
  <c r="CC677" i="1"/>
  <c r="CC678" i="1"/>
  <c r="CC679" i="1"/>
  <c r="CC681" i="1"/>
  <c r="CC682" i="1"/>
  <c r="CC683" i="1"/>
  <c r="CC684" i="1"/>
  <c r="CC685" i="1"/>
  <c r="CC686" i="1"/>
  <c r="CC687" i="1"/>
  <c r="CC688" i="1"/>
  <c r="CC689" i="1"/>
  <c r="CC690" i="1"/>
  <c r="CC691" i="1"/>
  <c r="CC693" i="1"/>
  <c r="CC694" i="1"/>
  <c r="CC695" i="1"/>
  <c r="CC696" i="1"/>
  <c r="CC698" i="1"/>
  <c r="CC699" i="1"/>
  <c r="CC702" i="1"/>
  <c r="CC703" i="1"/>
  <c r="CC704" i="1"/>
  <c r="CC706" i="1"/>
  <c r="CC707" i="1"/>
  <c r="CC708" i="1"/>
  <c r="CC709" i="1"/>
  <c r="CC711" i="1"/>
  <c r="CC712" i="1"/>
  <c r="CC713" i="1"/>
  <c r="CC714" i="1"/>
  <c r="CC715" i="1"/>
  <c r="CC716" i="1"/>
  <c r="CC717" i="1"/>
  <c r="CC718" i="1"/>
  <c r="CC720" i="1"/>
  <c r="CC721" i="1"/>
  <c r="CC723" i="1"/>
  <c r="CC724" i="1"/>
  <c r="CC725" i="1"/>
  <c r="CC726" i="1"/>
  <c r="CC729" i="1"/>
  <c r="CC731" i="1"/>
  <c r="CC732" i="1"/>
  <c r="CC733" i="1"/>
  <c r="CC734" i="1"/>
  <c r="CC735" i="1"/>
  <c r="CC736" i="1"/>
  <c r="CC738" i="1"/>
  <c r="CC739" i="1"/>
  <c r="CC740" i="1"/>
  <c r="CC741" i="1"/>
  <c r="CC742" i="1"/>
  <c r="CC743" i="1"/>
  <c r="CC744" i="1"/>
  <c r="CC745" i="1"/>
  <c r="CC748" i="1"/>
  <c r="CC750" i="1"/>
  <c r="CC751" i="1"/>
  <c r="CC752" i="1"/>
  <c r="CC753" i="1"/>
  <c r="CC754" i="1"/>
  <c r="CC755" i="1"/>
  <c r="CC756" i="1"/>
  <c r="CC758" i="1"/>
  <c r="CC760" i="1"/>
  <c r="CC761" i="1"/>
  <c r="CC763" i="1"/>
  <c r="CC764" i="1"/>
  <c r="CC766" i="1"/>
  <c r="CC767" i="1"/>
  <c r="CC768" i="1"/>
  <c r="CC769" i="1"/>
  <c r="CC774" i="1"/>
  <c r="CC775" i="1"/>
  <c r="CC777" i="1"/>
  <c r="CC778" i="1"/>
  <c r="CC779" i="1"/>
  <c r="CC780" i="1"/>
  <c r="CC782" i="1"/>
  <c r="CC783" i="1"/>
  <c r="CC784" i="1"/>
  <c r="CC785" i="1"/>
  <c r="CC786" i="1"/>
  <c r="CC787" i="1"/>
  <c r="CC789" i="1"/>
  <c r="CC790" i="1"/>
  <c r="CC791" i="1"/>
  <c r="CC793" i="1"/>
  <c r="CC794" i="1"/>
  <c r="CC795" i="1"/>
  <c r="CC796" i="1"/>
  <c r="CC797" i="1"/>
  <c r="CC798" i="1"/>
  <c r="CC800" i="1"/>
  <c r="CC801" i="1"/>
  <c r="CC802" i="1"/>
  <c r="CC803" i="1"/>
  <c r="CC804" i="1"/>
  <c r="CC805" i="1"/>
  <c r="CC806" i="1"/>
  <c r="CC807" i="1"/>
  <c r="CC808" i="1"/>
  <c r="N810" i="1"/>
  <c r="CC810" i="1"/>
  <c r="CC811" i="1"/>
  <c r="CC812" i="1"/>
  <c r="CC813" i="1"/>
  <c r="CC814" i="1"/>
  <c r="CC815" i="1"/>
  <c r="CC816" i="1"/>
  <c r="CC818" i="1"/>
  <c r="CC819" i="1"/>
  <c r="CC820" i="1"/>
  <c r="N822" i="1"/>
  <c r="CC822" i="1"/>
  <c r="CC823" i="1"/>
  <c r="CC824" i="1"/>
  <c r="CC825" i="1"/>
  <c r="CC826" i="1"/>
  <c r="CC827" i="1"/>
  <c r="N829" i="1"/>
  <c r="CC829" i="1"/>
  <c r="CC830" i="1"/>
  <c r="CC831" i="1"/>
  <c r="CC832" i="1"/>
  <c r="CC834" i="1"/>
  <c r="CC835" i="1"/>
  <c r="CC836" i="1"/>
  <c r="CC838" i="1"/>
  <c r="CC839" i="1"/>
  <c r="CC840" i="1"/>
  <c r="CC841" i="1"/>
  <c r="CC842" i="1"/>
  <c r="CC843" i="1"/>
  <c r="CC844" i="1"/>
  <c r="CC845" i="1"/>
  <c r="CC846" i="1"/>
  <c r="CC847" i="1"/>
  <c r="CC848" i="1"/>
  <c r="CC849" i="1"/>
  <c r="CC850" i="1"/>
  <c r="CC852" i="1"/>
  <c r="CC854" i="1"/>
  <c r="CC855" i="1"/>
  <c r="CC856" i="1"/>
  <c r="CC857" i="1"/>
  <c r="CC859" i="1"/>
  <c r="CC860" i="1"/>
  <c r="CC862" i="1"/>
  <c r="CC863" i="1"/>
  <c r="CC864" i="1"/>
  <c r="CC865" i="1"/>
  <c r="CC866" i="1"/>
  <c r="CC867" i="1"/>
  <c r="CC868" i="1"/>
  <c r="CC869" i="1"/>
  <c r="CC870" i="1"/>
  <c r="CC872" i="1"/>
  <c r="CC873" i="1"/>
  <c r="CC874" i="1"/>
  <c r="CC875" i="1"/>
  <c r="CC876" i="1"/>
  <c r="CC877" i="1"/>
  <c r="CC878" i="1"/>
  <c r="CC879" i="1"/>
  <c r="CC880" i="1"/>
  <c r="CC881" i="1"/>
  <c r="CC884" i="1"/>
  <c r="CC886" i="1"/>
  <c r="CC887" i="1"/>
  <c r="CC888" i="1"/>
  <c r="CC889" i="1"/>
  <c r="CC890" i="1"/>
  <c r="CC891" i="1"/>
  <c r="CC892" i="1"/>
  <c r="CC893" i="1"/>
  <c r="CC894" i="1"/>
  <c r="CC895" i="1"/>
  <c r="CC897" i="1"/>
  <c r="CC898" i="1"/>
  <c r="CC899" i="1"/>
  <c r="CC900" i="1"/>
  <c r="CC901" i="1"/>
  <c r="CC902" i="1"/>
  <c r="CC904" i="1"/>
  <c r="CC905" i="1"/>
  <c r="CC906" i="1"/>
  <c r="CC908" i="1"/>
  <c r="CC909" i="1"/>
  <c r="CC910" i="1"/>
  <c r="CC911" i="1"/>
  <c r="CC912" i="1"/>
  <c r="CC913" i="1"/>
  <c r="CC915" i="1"/>
  <c r="CC916" i="1"/>
  <c r="CC917" i="1"/>
  <c r="CC918" i="1"/>
  <c r="CC919" i="1"/>
  <c r="CC920" i="1"/>
  <c r="CC921" i="1"/>
  <c r="CC922" i="1"/>
  <c r="CC923" i="1"/>
  <c r="CC924" i="1"/>
  <c r="CC925" i="1"/>
  <c r="CC928" i="1"/>
  <c r="CC929" i="1"/>
  <c r="CC930" i="1"/>
  <c r="CC931" i="1"/>
  <c r="CC932" i="1"/>
  <c r="CC933" i="1"/>
  <c r="CC935" i="1"/>
  <c r="CC936" i="1"/>
  <c r="CC937" i="1"/>
  <c r="CC938" i="1"/>
  <c r="CC939" i="1"/>
  <c r="CC940" i="1"/>
  <c r="CC941" i="1"/>
  <c r="CC943" i="1"/>
  <c r="CC944" i="1"/>
  <c r="CC945" i="1"/>
  <c r="CC947" i="1"/>
  <c r="CC948" i="1"/>
  <c r="CC951" i="1"/>
  <c r="CC952" i="1"/>
  <c r="CC953" i="1"/>
  <c r="CC954" i="1"/>
  <c r="CC955" i="1"/>
  <c r="CC956" i="1"/>
  <c r="CC957" i="1"/>
  <c r="CC958" i="1"/>
  <c r="CC960" i="1"/>
  <c r="CC961" i="1"/>
  <c r="CC962" i="1"/>
  <c r="CC963" i="1"/>
  <c r="CC964" i="1"/>
  <c r="CC965" i="1"/>
  <c r="CC966" i="1"/>
  <c r="CC967" i="1"/>
  <c r="CC969" i="1"/>
  <c r="CC970" i="1"/>
  <c r="CC971" i="1"/>
  <c r="CC972" i="1"/>
  <c r="CC973" i="1"/>
  <c r="CC974" i="1"/>
  <c r="CC975" i="1"/>
  <c r="CC977" i="1"/>
  <c r="CC978" i="1"/>
  <c r="CC979" i="1"/>
  <c r="CC980" i="1"/>
  <c r="CC981" i="1"/>
  <c r="N983" i="1"/>
  <c r="CC983" i="1"/>
  <c r="CC985" i="1"/>
  <c r="CC986" i="1"/>
  <c r="CC987" i="1"/>
  <c r="N989" i="1"/>
  <c r="CC989" i="1"/>
  <c r="CC990" i="1"/>
  <c r="CC991" i="1"/>
  <c r="CC992" i="1"/>
  <c r="CC993" i="1"/>
  <c r="CC994" i="1"/>
  <c r="CC996" i="1"/>
  <c r="CC997" i="1"/>
  <c r="CC998" i="1"/>
  <c r="CC999" i="1"/>
  <c r="CC1000" i="1"/>
  <c r="CC1001" i="1"/>
  <c r="CC1002" i="1"/>
  <c r="CC1003" i="1"/>
  <c r="CC1005" i="1"/>
  <c r="CC1006" i="1"/>
  <c r="CC1007" i="1"/>
  <c r="CC1008" i="1"/>
  <c r="CC1009" i="1"/>
  <c r="CC1010" i="1"/>
  <c r="CC1011" i="1"/>
  <c r="CC1013" i="1"/>
  <c r="CC1014" i="1"/>
  <c r="CC1015" i="1"/>
  <c r="CC1016" i="1"/>
  <c r="CC1017" i="1"/>
  <c r="CC1018" i="1"/>
  <c r="CC1019" i="1"/>
  <c r="CC1020" i="1"/>
  <c r="CC1021" i="1"/>
  <c r="CC1022" i="1"/>
  <c r="CC1023" i="1"/>
  <c r="CC1025" i="1"/>
  <c r="CC1026" i="1"/>
  <c r="CC1027" i="1"/>
  <c r="CC1028" i="1"/>
  <c r="CC1029" i="1"/>
  <c r="CC1030" i="1"/>
  <c r="CC1031" i="1"/>
  <c r="CC1032" i="1"/>
  <c r="CC1033" i="1"/>
  <c r="CC1035" i="1"/>
  <c r="CC1036" i="1"/>
  <c r="CC1037" i="1"/>
  <c r="CC1038" i="1"/>
  <c r="CC1039" i="1"/>
  <c r="CC1040" i="1"/>
  <c r="CC1041" i="1"/>
  <c r="CC1042" i="1"/>
  <c r="CC1043" i="1"/>
  <c r="CC1044" i="1"/>
  <c r="CC1046" i="1"/>
  <c r="CC1047" i="1"/>
  <c r="CC1048" i="1"/>
  <c r="CC1051" i="1"/>
  <c r="CC1053" i="1"/>
  <c r="CC1054" i="1"/>
  <c r="CC1055" i="1"/>
  <c r="CC1056" i="1"/>
  <c r="CC1057" i="1"/>
  <c r="CC1059" i="1"/>
  <c r="CC1060" i="1"/>
  <c r="CC1061" i="1"/>
  <c r="CC1062" i="1"/>
  <c r="CC1063" i="1"/>
  <c r="CC1064" i="1"/>
  <c r="CC1067" i="1"/>
  <c r="CC1068" i="1"/>
  <c r="CC1069" i="1"/>
  <c r="CC1070" i="1"/>
  <c r="CC1071" i="1"/>
  <c r="CC1072" i="1"/>
  <c r="CC1073" i="1"/>
  <c r="CC1075" i="1"/>
  <c r="CC1076" i="1"/>
  <c r="CC1077" i="1"/>
  <c r="CC1079" i="1"/>
  <c r="CC1080" i="1"/>
  <c r="CC1081" i="1"/>
  <c r="CC1082" i="1"/>
  <c r="CC1083" i="1"/>
  <c r="CC1084" i="1"/>
  <c r="CC1087" i="1"/>
  <c r="CC1088" i="1"/>
  <c r="CC1089" i="1"/>
  <c r="CC1090" i="1"/>
  <c r="CC1091" i="1"/>
  <c r="CC1092" i="1"/>
  <c r="CC1093" i="1"/>
  <c r="CC1094" i="1"/>
  <c r="CC1096" i="1"/>
  <c r="CC1097" i="1"/>
  <c r="CC1098" i="1"/>
  <c r="CC1099" i="1"/>
  <c r="CC1100" i="1"/>
  <c r="CC1101" i="1"/>
  <c r="CC1102" i="1"/>
  <c r="CC1103" i="1"/>
  <c r="CC1104" i="1"/>
  <c r="CC1105" i="1"/>
  <c r="CC1106" i="1"/>
  <c r="CC1108" i="1"/>
  <c r="CC1109" i="1"/>
  <c r="CC1110" i="1"/>
  <c r="CC1111" i="1"/>
  <c r="CC1112" i="1"/>
  <c r="CC1113" i="1"/>
  <c r="CC1115" i="1"/>
  <c r="CC1116" i="1"/>
  <c r="CC1117" i="1"/>
  <c r="CC1118" i="1"/>
  <c r="CC1120" i="1"/>
  <c r="CC1122" i="1"/>
  <c r="CC1123" i="1"/>
  <c r="CC1124" i="1"/>
  <c r="N1126" i="1"/>
  <c r="CC1126" i="1" s="1"/>
  <c r="CC1127" i="1"/>
  <c r="CC1128" i="1"/>
  <c r="CC1129" i="1"/>
  <c r="CC1130" i="1"/>
  <c r="CC1131" i="1"/>
  <c r="CC1132" i="1"/>
  <c r="CC1133" i="1"/>
  <c r="CC1135" i="1"/>
  <c r="CC1136" i="1"/>
  <c r="CC1137" i="1"/>
  <c r="CC1138" i="1"/>
  <c r="CC1139" i="1"/>
  <c r="CC1140" i="1"/>
  <c r="CC1142" i="1"/>
  <c r="CC1143" i="1"/>
  <c r="CC1144" i="1"/>
  <c r="CC1145" i="1"/>
  <c r="CC1146" i="1"/>
  <c r="CC1147" i="1"/>
  <c r="CC1148" i="1"/>
  <c r="CC1149" i="1"/>
  <c r="CC1150" i="1"/>
  <c r="CC1152" i="1"/>
  <c r="CC1153" i="1"/>
  <c r="CC1154" i="1"/>
  <c r="CC1155" i="1"/>
  <c r="CC1158" i="1"/>
  <c r="CC1159" i="1"/>
  <c r="CC1160" i="1"/>
  <c r="CC1161" i="1"/>
  <c r="CC1162" i="1"/>
  <c r="CC1163" i="1"/>
  <c r="CC1164" i="1"/>
  <c r="CC1165" i="1"/>
  <c r="N1167" i="1"/>
  <c r="CC1167" i="1"/>
  <c r="CC1168" i="1"/>
  <c r="CC1169" i="1"/>
  <c r="CC1170" i="1"/>
  <c r="CC1172" i="1"/>
  <c r="CC1173" i="1"/>
  <c r="CC1174" i="1"/>
  <c r="CC1175" i="1"/>
  <c r="CC1178" i="1"/>
  <c r="CC1179" i="1"/>
  <c r="CC1180" i="1"/>
  <c r="CC1181" i="1"/>
  <c r="CC1182" i="1"/>
  <c r="CC1183" i="1"/>
  <c r="CC1185" i="1"/>
  <c r="CC1186" i="1"/>
  <c r="CC1187" i="1"/>
  <c r="CC1188" i="1"/>
  <c r="CC1189" i="1"/>
  <c r="CC1190" i="1"/>
  <c r="CC1192" i="1"/>
  <c r="CC1194" i="1"/>
  <c r="CC1195" i="1"/>
  <c r="CC1196" i="1"/>
  <c r="CC1199" i="1"/>
  <c r="CC1201" i="1"/>
  <c r="CC1202" i="1"/>
  <c r="CC1203" i="1"/>
  <c r="CC1204" i="1"/>
  <c r="CC1205" i="1"/>
  <c r="CC1206" i="1"/>
  <c r="CC1207" i="1"/>
  <c r="CC1209" i="1"/>
  <c r="CC1210" i="1"/>
  <c r="CC1211" i="1"/>
  <c r="CC1212" i="1"/>
  <c r="CC1213" i="1"/>
  <c r="CC1214" i="1"/>
  <c r="CC1215" i="1"/>
  <c r="CC1216" i="1"/>
  <c r="CC1217" i="1"/>
  <c r="CC1219" i="1"/>
  <c r="CC1220" i="1"/>
  <c r="CC1222" i="1"/>
  <c r="CC1223" i="1"/>
  <c r="CC1224" i="1"/>
  <c r="CC1225" i="1"/>
  <c r="CC1226" i="1"/>
  <c r="CC1227" i="1"/>
  <c r="CC1229" i="1"/>
  <c r="CC1230" i="1"/>
  <c r="CC1231" i="1"/>
  <c r="CC1232" i="1"/>
  <c r="CC1233" i="1"/>
  <c r="CC1234" i="1"/>
  <c r="CC1235" i="1"/>
  <c r="CC1236" i="1"/>
  <c r="CC1238" i="1"/>
  <c r="CC1240" i="1"/>
  <c r="CC1241" i="1"/>
  <c r="CC1242" i="1"/>
  <c r="CC1244" i="1"/>
  <c r="CC1245" i="1"/>
  <c r="CC1246" i="1"/>
  <c r="CC1247" i="1"/>
  <c r="CC1248" i="1"/>
  <c r="CC1250" i="1"/>
  <c r="CC1251" i="1"/>
  <c r="CC1252" i="1"/>
  <c r="CC1253" i="1"/>
  <c r="CC1254" i="1"/>
  <c r="CC1255" i="1"/>
  <c r="CC1256" i="1"/>
  <c r="CC1257" i="1"/>
  <c r="CC1258" i="1"/>
  <c r="CC1259" i="1"/>
  <c r="CC1261" i="1"/>
  <c r="CC1262" i="1"/>
  <c r="CC1263" i="1"/>
  <c r="CC1265" i="1"/>
  <c r="CC1266" i="1"/>
  <c r="CC1267" i="1"/>
  <c r="CC1268" i="1"/>
  <c r="CC1272" i="1"/>
  <c r="N1274" i="1"/>
  <c r="CC1274" i="1" s="1"/>
  <c r="CC1275" i="1"/>
  <c r="CC1276" i="1"/>
  <c r="CC1277" i="1"/>
  <c r="CC1278" i="1"/>
  <c r="CC1279" i="1"/>
  <c r="CC1280" i="1"/>
  <c r="N1282" i="1"/>
  <c r="CC1282" i="1" s="1"/>
  <c r="CC1283" i="1"/>
  <c r="CC1284" i="1"/>
  <c r="CC1285" i="1"/>
  <c r="CC1286" i="1"/>
  <c r="CC1287" i="1"/>
  <c r="CC1288" i="1"/>
  <c r="CC1289" i="1"/>
  <c r="CC1291" i="1"/>
  <c r="CC1292" i="1"/>
  <c r="CC1293" i="1"/>
  <c r="CC1294" i="1"/>
  <c r="CC1295" i="1"/>
  <c r="CC1296" i="1"/>
  <c r="CC1297" i="1"/>
  <c r="CC1298" i="1"/>
  <c r="CC1299" i="1"/>
  <c r="CC1300" i="1"/>
  <c r="CC1301" i="1"/>
  <c r="CC1303" i="1"/>
  <c r="CC1304" i="1"/>
  <c r="CC1305" i="1"/>
  <c r="CC1306" i="1"/>
  <c r="CC1307" i="1"/>
  <c r="CC1308" i="1"/>
  <c r="CC1309" i="1"/>
  <c r="CC1310" i="1"/>
  <c r="CC1311" i="1"/>
  <c r="CC1312" i="1"/>
  <c r="CC1313" i="1"/>
  <c r="CD68" i="1"/>
  <c r="CD69" i="1"/>
  <c r="CD70" i="1"/>
  <c r="CD71" i="1"/>
  <c r="CD72" i="1"/>
  <c r="CD73" i="1"/>
  <c r="CD74" i="1"/>
  <c r="O76" i="1"/>
  <c r="CD76" i="1"/>
  <c r="CD77" i="1"/>
  <c r="CD78" i="1"/>
  <c r="CD79" i="1"/>
  <c r="CD80" i="1"/>
  <c r="CD81" i="1"/>
  <c r="CD82" i="1"/>
  <c r="O84" i="1"/>
  <c r="CD84" i="1" s="1"/>
  <c r="CD85" i="1"/>
  <c r="CD86" i="1"/>
  <c r="CD87" i="1"/>
  <c r="CD88" i="1"/>
  <c r="CD89" i="1"/>
  <c r="CD90" i="1"/>
  <c r="CD92" i="1"/>
  <c r="CD93" i="1"/>
  <c r="CD94" i="1"/>
  <c r="CD95" i="1"/>
  <c r="CD96" i="1"/>
  <c r="CD97" i="1"/>
  <c r="CD98" i="1"/>
  <c r="CD101" i="1"/>
  <c r="CD103" i="1"/>
  <c r="CD104" i="1"/>
  <c r="CD105" i="1"/>
  <c r="CD106" i="1"/>
  <c r="CD107" i="1"/>
  <c r="CD108" i="1"/>
  <c r="CD109" i="1"/>
  <c r="CD111" i="1"/>
  <c r="CD112" i="1"/>
  <c r="CD113" i="1"/>
  <c r="CD114" i="1"/>
  <c r="CD115" i="1"/>
  <c r="CD116" i="1"/>
  <c r="CD117" i="1"/>
  <c r="CD118" i="1"/>
  <c r="CD119" i="1"/>
  <c r="CD120" i="1"/>
  <c r="CD122" i="1"/>
  <c r="CD124" i="1"/>
  <c r="CD125" i="1"/>
  <c r="CD126" i="1"/>
  <c r="CD129" i="1"/>
  <c r="CD131" i="1"/>
  <c r="CD132" i="1"/>
  <c r="CD136" i="1"/>
  <c r="O138" i="1"/>
  <c r="CD138" i="1" s="1"/>
  <c r="CD139" i="1"/>
  <c r="CD140" i="1"/>
  <c r="CD141" i="1"/>
  <c r="CD142" i="1"/>
  <c r="O144" i="1"/>
  <c r="CD144" i="1" s="1"/>
  <c r="CD145" i="1"/>
  <c r="CD146" i="1"/>
  <c r="CD147" i="1"/>
  <c r="CD148" i="1"/>
  <c r="CD149" i="1"/>
  <c r="CD151" i="1"/>
  <c r="CD152" i="1"/>
  <c r="CD153" i="1"/>
  <c r="CD154" i="1"/>
  <c r="CD155" i="1"/>
  <c r="CD156" i="1"/>
  <c r="CD157" i="1"/>
  <c r="CD158" i="1"/>
  <c r="CD160" i="1"/>
  <c r="CD161" i="1"/>
  <c r="CD162" i="1"/>
  <c r="CD163" i="1"/>
  <c r="CD165" i="1"/>
  <c r="CD166" i="1"/>
  <c r="CD167" i="1"/>
  <c r="CD168" i="1"/>
  <c r="CD169" i="1"/>
  <c r="CD170" i="1"/>
  <c r="O172" i="1"/>
  <c r="CD172" i="1" s="1"/>
  <c r="CD173" i="1"/>
  <c r="CD176" i="1"/>
  <c r="CD177" i="1"/>
  <c r="CD178" i="1"/>
  <c r="CD179" i="1"/>
  <c r="CD180" i="1"/>
  <c r="CD181" i="1"/>
  <c r="CD182" i="1"/>
  <c r="CD183" i="1"/>
  <c r="CD184" i="1"/>
  <c r="CD186" i="1"/>
  <c r="CD187" i="1"/>
  <c r="CD188" i="1"/>
  <c r="CD189" i="1"/>
  <c r="CD190" i="1"/>
  <c r="CD191" i="1"/>
  <c r="CD192" i="1"/>
  <c r="CD193" i="1"/>
  <c r="O195" i="1"/>
  <c r="CD195" i="1"/>
  <c r="CD196" i="1"/>
  <c r="CD197" i="1"/>
  <c r="CD198" i="1"/>
  <c r="CD200" i="1"/>
  <c r="CD201" i="1"/>
  <c r="CD202" i="1"/>
  <c r="CD203" i="1"/>
  <c r="CD204" i="1"/>
  <c r="CD205" i="1"/>
  <c r="CD206" i="1"/>
  <c r="CD207" i="1"/>
  <c r="CD209" i="1"/>
  <c r="CD210" i="1"/>
  <c r="CD211" i="1"/>
  <c r="CD212" i="1"/>
  <c r="CD213" i="1"/>
  <c r="CD214" i="1"/>
  <c r="CD215" i="1"/>
  <c r="CD218" i="1"/>
  <c r="CD219" i="1"/>
  <c r="CD220" i="1"/>
  <c r="CD221" i="1"/>
  <c r="CD222" i="1"/>
  <c r="CD224" i="1"/>
  <c r="CD225" i="1"/>
  <c r="CD226" i="1"/>
  <c r="CD227" i="1"/>
  <c r="CD228" i="1"/>
  <c r="CD229" i="1"/>
  <c r="CD231" i="1"/>
  <c r="CD232" i="1"/>
  <c r="CD233" i="1"/>
  <c r="CD234" i="1"/>
  <c r="CD235" i="1"/>
  <c r="CD236" i="1"/>
  <c r="CD237" i="1"/>
  <c r="CD238" i="1"/>
  <c r="O240" i="1"/>
  <c r="CD240" i="1"/>
  <c r="CD241" i="1"/>
  <c r="CD242" i="1"/>
  <c r="CD243" i="1"/>
  <c r="CD244" i="1"/>
  <c r="CD245" i="1"/>
  <c r="CD246" i="1"/>
  <c r="CD247" i="1"/>
  <c r="CD249" i="1"/>
  <c r="CD250" i="1"/>
  <c r="CD251" i="1"/>
  <c r="CD252" i="1"/>
  <c r="CD253" i="1"/>
  <c r="CD254" i="1"/>
  <c r="CD255" i="1"/>
  <c r="CD256" i="1"/>
  <c r="CD258" i="1"/>
  <c r="CD259" i="1"/>
  <c r="CD260" i="1"/>
  <c r="CD261" i="1"/>
  <c r="CD262" i="1"/>
  <c r="CD263" i="1"/>
  <c r="CD264" i="1"/>
  <c r="CD265" i="1"/>
  <c r="CD266" i="1"/>
  <c r="CD268" i="1"/>
  <c r="CD269" i="1"/>
  <c r="CD270" i="1"/>
  <c r="CD271" i="1"/>
  <c r="CD272" i="1"/>
  <c r="CD273" i="1"/>
  <c r="CD274" i="1"/>
  <c r="CD275" i="1"/>
  <c r="CD276" i="1"/>
  <c r="O278" i="1"/>
  <c r="CD278" i="1"/>
  <c r="CD279" i="1"/>
  <c r="CD280" i="1"/>
  <c r="CD281" i="1"/>
  <c r="CD282" i="1"/>
  <c r="CD283" i="1"/>
  <c r="CD285" i="1"/>
  <c r="CD286" i="1"/>
  <c r="CD287" i="1"/>
  <c r="CD288" i="1"/>
  <c r="CD291" i="1"/>
  <c r="CD292" i="1"/>
  <c r="CD293" i="1"/>
  <c r="CD294" i="1"/>
  <c r="CD296" i="1"/>
  <c r="CD297" i="1"/>
  <c r="CD298" i="1"/>
  <c r="CD299" i="1"/>
  <c r="CD300" i="1"/>
  <c r="CD301" i="1"/>
  <c r="CD302" i="1"/>
  <c r="CD303" i="1"/>
  <c r="CD305" i="1"/>
  <c r="CD306" i="1"/>
  <c r="CD307" i="1"/>
  <c r="CD308" i="1"/>
  <c r="CD309" i="1"/>
  <c r="CD310" i="1"/>
  <c r="CD311" i="1"/>
  <c r="CD312" i="1"/>
  <c r="CD313" i="1"/>
  <c r="CD314" i="1"/>
  <c r="CD316" i="1"/>
  <c r="CD317" i="1"/>
  <c r="CD318" i="1"/>
  <c r="CD319" i="1"/>
  <c r="CD320" i="1"/>
  <c r="CD321" i="1"/>
  <c r="CD322" i="1"/>
  <c r="CD323" i="1"/>
  <c r="CD324" i="1"/>
  <c r="CD325" i="1"/>
  <c r="CD326" i="1"/>
  <c r="CD327" i="1"/>
  <c r="O329" i="1"/>
  <c r="CD329" i="1"/>
  <c r="CD330" i="1"/>
  <c r="CD332" i="1"/>
  <c r="CD333" i="1"/>
  <c r="CD334" i="1"/>
  <c r="CD335" i="1"/>
  <c r="CD336" i="1"/>
  <c r="CD337" i="1"/>
  <c r="CD338" i="1"/>
  <c r="CD340" i="1"/>
  <c r="CD341" i="1"/>
  <c r="CD342" i="1"/>
  <c r="CD343" i="1"/>
  <c r="CD344" i="1"/>
  <c r="CD345" i="1"/>
  <c r="CD346" i="1"/>
  <c r="CD347" i="1"/>
  <c r="CD348" i="1"/>
  <c r="CD349" i="1"/>
  <c r="CD351" i="1"/>
  <c r="CD352" i="1"/>
  <c r="CD353" i="1"/>
  <c r="CD354" i="1"/>
  <c r="CD355" i="1"/>
  <c r="CD356" i="1"/>
  <c r="O358" i="1"/>
  <c r="CD358" i="1"/>
  <c r="CD359" i="1"/>
  <c r="CD360" i="1"/>
  <c r="CD361" i="1"/>
  <c r="CD362" i="1"/>
  <c r="CD363" i="1"/>
  <c r="CD364" i="1"/>
  <c r="CD365" i="1"/>
  <c r="CD367" i="1"/>
  <c r="CD368" i="1"/>
  <c r="CD369" i="1"/>
  <c r="CD371" i="1"/>
  <c r="CD372" i="1"/>
  <c r="CD373" i="1"/>
  <c r="O375" i="1"/>
  <c r="CD375" i="1" s="1"/>
  <c r="CD376" i="1"/>
  <c r="CD378" i="1"/>
  <c r="CD379" i="1"/>
  <c r="CD380" i="1"/>
  <c r="CD381" i="1"/>
  <c r="CD382" i="1"/>
  <c r="CD383" i="1"/>
  <c r="CD385" i="1"/>
  <c r="CD386" i="1"/>
  <c r="CD387" i="1"/>
  <c r="CD388" i="1"/>
  <c r="CD389" i="1"/>
  <c r="CD390" i="1"/>
  <c r="CD391" i="1"/>
  <c r="CD393" i="1"/>
  <c r="CD394" i="1"/>
  <c r="CD395" i="1"/>
  <c r="CD396" i="1"/>
  <c r="CD397" i="1"/>
  <c r="CD398" i="1"/>
  <c r="CD399" i="1"/>
  <c r="CD400" i="1"/>
  <c r="CD401" i="1"/>
  <c r="CD403" i="1"/>
  <c r="CD404" i="1"/>
  <c r="CD405" i="1"/>
  <c r="CD406" i="1"/>
  <c r="CD407" i="1"/>
  <c r="CD408" i="1"/>
  <c r="CD409" i="1"/>
  <c r="CD410" i="1"/>
  <c r="CD411" i="1"/>
  <c r="CD413" i="1"/>
  <c r="CD414" i="1"/>
  <c r="CD415" i="1"/>
  <c r="CD416" i="1"/>
  <c r="CD417" i="1"/>
  <c r="CD418" i="1"/>
  <c r="CD421" i="1"/>
  <c r="CD422" i="1"/>
  <c r="CD423" i="1"/>
  <c r="CD424" i="1"/>
  <c r="CD425" i="1"/>
  <c r="CD426" i="1"/>
  <c r="CD427" i="1"/>
  <c r="CD428" i="1"/>
  <c r="CD430" i="1"/>
  <c r="CD431" i="1"/>
  <c r="CD432" i="1"/>
  <c r="CD433" i="1"/>
  <c r="CD434" i="1"/>
  <c r="CD435" i="1"/>
  <c r="CD436" i="1"/>
  <c r="CD438" i="1"/>
  <c r="CD439" i="1"/>
  <c r="CD440" i="1"/>
  <c r="CD441" i="1"/>
  <c r="CD442" i="1"/>
  <c r="CD443" i="1"/>
  <c r="CD445" i="1"/>
  <c r="CD446" i="1"/>
  <c r="CD447" i="1"/>
  <c r="CD448" i="1"/>
  <c r="CD449" i="1"/>
  <c r="CD450" i="1"/>
  <c r="CD451" i="1"/>
  <c r="CD452" i="1"/>
  <c r="O454" i="1"/>
  <c r="CD454" i="1" s="1"/>
  <c r="CD455" i="1"/>
  <c r="CD456" i="1"/>
  <c r="CD457" i="1"/>
  <c r="CD460" i="1"/>
  <c r="CD461" i="1"/>
  <c r="CD462" i="1"/>
  <c r="CD463" i="1"/>
  <c r="CD464" i="1"/>
  <c r="CD465" i="1"/>
  <c r="CD466" i="1"/>
  <c r="CD468" i="1"/>
  <c r="CD469" i="1"/>
  <c r="CD470" i="1"/>
  <c r="CD471" i="1"/>
  <c r="CD472" i="1"/>
  <c r="CD473" i="1"/>
  <c r="CD474" i="1"/>
  <c r="CD475" i="1"/>
  <c r="CD476" i="1"/>
  <c r="CD478" i="1"/>
  <c r="CD479" i="1"/>
  <c r="CD480" i="1"/>
  <c r="CD481" i="1"/>
  <c r="CD482" i="1"/>
  <c r="CD483" i="1"/>
  <c r="CD486" i="1"/>
  <c r="CD487" i="1"/>
  <c r="CD488" i="1"/>
  <c r="CD489" i="1"/>
  <c r="CD490" i="1"/>
  <c r="CD491" i="1"/>
  <c r="CD492" i="1"/>
  <c r="CD493" i="1"/>
  <c r="CD495" i="1"/>
  <c r="CD496" i="1"/>
  <c r="CD497" i="1"/>
  <c r="CD498" i="1"/>
  <c r="CD499" i="1"/>
  <c r="CD500" i="1"/>
  <c r="CD502" i="1"/>
  <c r="CD503" i="1"/>
  <c r="CD504" i="1"/>
  <c r="CD505" i="1"/>
  <c r="CD506" i="1"/>
  <c r="CD507" i="1"/>
  <c r="CD508" i="1"/>
  <c r="CD510" i="1"/>
  <c r="CD511" i="1"/>
  <c r="CD512" i="1"/>
  <c r="CD514" i="1"/>
  <c r="CD515" i="1"/>
  <c r="CD516" i="1"/>
  <c r="CD517" i="1"/>
  <c r="CD518" i="1"/>
  <c r="CD520" i="1"/>
  <c r="CD521" i="1"/>
  <c r="CD522" i="1"/>
  <c r="CD523" i="1"/>
  <c r="CD524" i="1"/>
  <c r="CD525" i="1"/>
  <c r="CD526" i="1"/>
  <c r="CD527" i="1"/>
  <c r="CD529" i="1"/>
  <c r="CD530" i="1"/>
  <c r="CD531" i="1"/>
  <c r="CD532" i="1"/>
  <c r="CD533" i="1"/>
  <c r="CD534" i="1"/>
  <c r="CD535" i="1"/>
  <c r="CD536" i="1"/>
  <c r="CD538" i="1"/>
  <c r="CD539" i="1"/>
  <c r="CD540" i="1"/>
  <c r="CD541" i="1"/>
  <c r="CD542" i="1"/>
  <c r="CD543" i="1"/>
  <c r="CD544" i="1"/>
  <c r="CD545" i="1"/>
  <c r="CD546" i="1"/>
  <c r="CD549" i="1"/>
  <c r="CD550" i="1"/>
  <c r="CD551" i="1"/>
  <c r="CD552" i="1"/>
  <c r="CD553" i="1"/>
  <c r="CD554" i="1"/>
  <c r="CD555" i="1"/>
  <c r="CD557" i="1"/>
  <c r="CD558" i="1"/>
  <c r="CD559" i="1"/>
  <c r="CD560" i="1"/>
  <c r="CD561" i="1"/>
  <c r="CD562" i="1"/>
  <c r="CD564" i="1"/>
  <c r="CD565" i="1"/>
  <c r="CD566" i="1"/>
  <c r="CD567" i="1"/>
  <c r="CD569" i="1"/>
  <c r="CD570" i="1"/>
  <c r="CD573" i="1"/>
  <c r="CD574" i="1"/>
  <c r="CD576" i="1"/>
  <c r="CD577" i="1"/>
  <c r="CD578" i="1"/>
  <c r="CD579" i="1"/>
  <c r="CD580" i="1"/>
  <c r="CD581" i="1"/>
  <c r="O583" i="1"/>
  <c r="CD583" i="1"/>
  <c r="CD584" i="1"/>
  <c r="CD586" i="1"/>
  <c r="CD587" i="1"/>
  <c r="CD588" i="1"/>
  <c r="CD590" i="1"/>
  <c r="CD591" i="1"/>
  <c r="CD592" i="1"/>
  <c r="CD593" i="1"/>
  <c r="CD594" i="1"/>
  <c r="CD595" i="1"/>
  <c r="CD596" i="1"/>
  <c r="CD597" i="1"/>
  <c r="CD598" i="1"/>
  <c r="CD600" i="1"/>
  <c r="CD601" i="1"/>
  <c r="CD603" i="1"/>
  <c r="CD604" i="1"/>
  <c r="CD605" i="1"/>
  <c r="CD607" i="1"/>
  <c r="CD608" i="1"/>
  <c r="CD609" i="1"/>
  <c r="CD610" i="1"/>
  <c r="CD611" i="1"/>
  <c r="CD612" i="1"/>
  <c r="O614" i="1"/>
  <c r="CD614" i="1"/>
  <c r="CD615" i="1"/>
  <c r="CD617" i="1"/>
  <c r="CD618" i="1"/>
  <c r="CD619" i="1"/>
  <c r="CD620" i="1"/>
  <c r="CD622" i="1"/>
  <c r="CD623" i="1"/>
  <c r="CD624" i="1"/>
  <c r="CD625" i="1"/>
  <c r="CD626" i="1"/>
  <c r="CD628" i="1"/>
  <c r="CD629" i="1"/>
  <c r="CD630" i="1"/>
  <c r="CD631" i="1"/>
  <c r="CD632" i="1"/>
  <c r="CD633" i="1"/>
  <c r="CD634" i="1"/>
  <c r="O636" i="1"/>
  <c r="CD636" i="1" s="1"/>
  <c r="CD637" i="1"/>
  <c r="CD638" i="1"/>
  <c r="CD639" i="1"/>
  <c r="CD641" i="1"/>
  <c r="CD643" i="1"/>
  <c r="CD644" i="1"/>
  <c r="CD645" i="1"/>
  <c r="CD647" i="1"/>
  <c r="CD648" i="1"/>
  <c r="CD649" i="1"/>
  <c r="CD650" i="1"/>
  <c r="CD651" i="1"/>
  <c r="CD652" i="1"/>
  <c r="O654" i="1"/>
  <c r="CD654" i="1"/>
  <c r="CD655" i="1"/>
  <c r="CD656" i="1"/>
  <c r="CD657" i="1"/>
  <c r="CD658" i="1"/>
  <c r="CD659" i="1"/>
  <c r="CD660" i="1"/>
  <c r="CD662" i="1"/>
  <c r="CD663" i="1"/>
  <c r="CD665" i="1"/>
  <c r="CD666" i="1"/>
  <c r="CD667" i="1"/>
  <c r="CD669" i="1"/>
  <c r="CD670" i="1"/>
  <c r="CD671" i="1"/>
  <c r="CD672" i="1"/>
  <c r="CD674" i="1"/>
  <c r="CD675" i="1"/>
  <c r="CD676" i="1"/>
  <c r="CD677" i="1"/>
  <c r="CD678" i="1"/>
  <c r="CD679" i="1"/>
  <c r="CD681" i="1"/>
  <c r="CD682" i="1"/>
  <c r="CD683" i="1"/>
  <c r="CD684" i="1"/>
  <c r="CD685" i="1"/>
  <c r="CD686" i="1"/>
  <c r="CD687" i="1"/>
  <c r="CD688" i="1"/>
  <c r="CD689" i="1"/>
  <c r="CD690" i="1"/>
  <c r="CD691" i="1"/>
  <c r="CD693" i="1"/>
  <c r="CD694" i="1"/>
  <c r="CD695" i="1"/>
  <c r="CD696" i="1"/>
  <c r="CD698" i="1"/>
  <c r="CD699" i="1"/>
  <c r="CD702" i="1"/>
  <c r="CD703" i="1"/>
  <c r="CD704" i="1"/>
  <c r="CD706" i="1"/>
  <c r="CD707" i="1"/>
  <c r="CD708" i="1"/>
  <c r="CD709" i="1"/>
  <c r="CD711" i="1"/>
  <c r="CD712" i="1"/>
  <c r="CD713" i="1"/>
  <c r="CD714" i="1"/>
  <c r="CD715" i="1"/>
  <c r="CD716" i="1"/>
  <c r="CD717" i="1"/>
  <c r="CD718" i="1"/>
  <c r="CD720" i="1"/>
  <c r="CD721" i="1"/>
  <c r="CD723" i="1"/>
  <c r="CD724" i="1"/>
  <c r="CD725" i="1"/>
  <c r="CD726" i="1"/>
  <c r="CD729" i="1"/>
  <c r="CD731" i="1"/>
  <c r="CD732" i="1"/>
  <c r="CD733" i="1"/>
  <c r="CD734" i="1"/>
  <c r="CD735" i="1"/>
  <c r="CD736" i="1"/>
  <c r="CD738" i="1"/>
  <c r="CD739" i="1"/>
  <c r="CD740" i="1"/>
  <c r="CD741" i="1"/>
  <c r="CD742" i="1"/>
  <c r="CD743" i="1"/>
  <c r="CD744" i="1"/>
  <c r="CD745" i="1"/>
  <c r="CD748" i="1"/>
  <c r="CD751" i="1"/>
  <c r="CD752" i="1"/>
  <c r="CD753" i="1"/>
  <c r="CD754" i="1"/>
  <c r="CD755" i="1"/>
  <c r="CD756" i="1"/>
  <c r="CD758" i="1"/>
  <c r="CD760" i="1"/>
  <c r="CD761" i="1"/>
  <c r="CD763" i="1"/>
  <c r="CD764" i="1"/>
  <c r="CD766" i="1"/>
  <c r="CD767" i="1"/>
  <c r="CD768" i="1"/>
  <c r="CD769" i="1"/>
  <c r="CD774" i="1"/>
  <c r="CD775" i="1"/>
  <c r="CD777" i="1"/>
  <c r="CD778" i="1"/>
  <c r="CD779" i="1"/>
  <c r="CD780" i="1"/>
  <c r="CD782" i="1"/>
  <c r="CD783" i="1"/>
  <c r="CD784" i="1"/>
  <c r="CD785" i="1"/>
  <c r="CD786" i="1"/>
  <c r="CD787" i="1"/>
  <c r="CD789" i="1"/>
  <c r="CD790" i="1"/>
  <c r="CD791" i="1"/>
  <c r="CD793" i="1"/>
  <c r="CD794" i="1"/>
  <c r="CD795" i="1"/>
  <c r="CD796" i="1"/>
  <c r="CD797" i="1"/>
  <c r="CD798" i="1"/>
  <c r="CD800" i="1"/>
  <c r="CD801" i="1"/>
  <c r="CD802" i="1"/>
  <c r="CD803" i="1"/>
  <c r="CD804" i="1"/>
  <c r="CD805" i="1"/>
  <c r="CD806" i="1"/>
  <c r="CD807" i="1"/>
  <c r="CD808" i="1"/>
  <c r="O810" i="1"/>
  <c r="CD810" i="1"/>
  <c r="CD811" i="1"/>
  <c r="CD812" i="1"/>
  <c r="CD813" i="1"/>
  <c r="CD814" i="1"/>
  <c r="CD815" i="1"/>
  <c r="CD816" i="1"/>
  <c r="CD818" i="1"/>
  <c r="CD819" i="1"/>
  <c r="CD820" i="1"/>
  <c r="O822" i="1"/>
  <c r="CD822" i="1" s="1"/>
  <c r="CD823" i="1"/>
  <c r="CD824" i="1"/>
  <c r="CD825" i="1"/>
  <c r="CD826" i="1"/>
  <c r="CD827" i="1"/>
  <c r="O829" i="1"/>
  <c r="CD829" i="1" s="1"/>
  <c r="CD830" i="1"/>
  <c r="CD831" i="1"/>
  <c r="CD832" i="1"/>
  <c r="CD834" i="1"/>
  <c r="CD835" i="1"/>
  <c r="CD836" i="1"/>
  <c r="CD839" i="1"/>
  <c r="CD840" i="1"/>
  <c r="CD841" i="1"/>
  <c r="CD842" i="1"/>
  <c r="CD843" i="1"/>
  <c r="CD844" i="1"/>
  <c r="CD845" i="1"/>
  <c r="CD846" i="1"/>
  <c r="CD847" i="1"/>
  <c r="CD848" i="1"/>
  <c r="CD849" i="1"/>
  <c r="CD850" i="1"/>
  <c r="CD852" i="1"/>
  <c r="CD854" i="1"/>
  <c r="CD855" i="1"/>
  <c r="CD856" i="1"/>
  <c r="CD857" i="1"/>
  <c r="CD859" i="1"/>
  <c r="CD860" i="1"/>
  <c r="CD862" i="1"/>
  <c r="CD863" i="1"/>
  <c r="CD864" i="1"/>
  <c r="CD865" i="1"/>
  <c r="CD866" i="1"/>
  <c r="CD867" i="1"/>
  <c r="CD868" i="1"/>
  <c r="CD869" i="1"/>
  <c r="CD870" i="1"/>
  <c r="CD872" i="1"/>
  <c r="CD873" i="1"/>
  <c r="CD874" i="1"/>
  <c r="CD875" i="1"/>
  <c r="CD876" i="1"/>
  <c r="CD877" i="1"/>
  <c r="CD878" i="1"/>
  <c r="CD879" i="1"/>
  <c r="CD880" i="1"/>
  <c r="CD881" i="1"/>
  <c r="CD884" i="1"/>
  <c r="CD887" i="1"/>
  <c r="CD888" i="1"/>
  <c r="CD889" i="1"/>
  <c r="CD890" i="1"/>
  <c r="CD891" i="1"/>
  <c r="CD892" i="1"/>
  <c r="CD893" i="1"/>
  <c r="CD894" i="1"/>
  <c r="CD895" i="1"/>
  <c r="CD897" i="1"/>
  <c r="CD898" i="1"/>
  <c r="CD899" i="1"/>
  <c r="CD900" i="1"/>
  <c r="CD901" i="1"/>
  <c r="CD902" i="1"/>
  <c r="CD904" i="1"/>
  <c r="CD905" i="1"/>
  <c r="CD906" i="1"/>
  <c r="CD908" i="1"/>
  <c r="CD909" i="1"/>
  <c r="CD910" i="1"/>
  <c r="CD911" i="1"/>
  <c r="CD912" i="1"/>
  <c r="CD913" i="1"/>
  <c r="CD915" i="1"/>
  <c r="CD916" i="1"/>
  <c r="CD917" i="1"/>
  <c r="CD918" i="1"/>
  <c r="CD919" i="1"/>
  <c r="CD921" i="1"/>
  <c r="CD922" i="1"/>
  <c r="CD923" i="1"/>
  <c r="CD924" i="1"/>
  <c r="CD925" i="1"/>
  <c r="CD927" i="1"/>
  <c r="CD928" i="1"/>
  <c r="CD929" i="1"/>
  <c r="CD930" i="1"/>
  <c r="CD931" i="1"/>
  <c r="CD932" i="1"/>
  <c r="CD933" i="1"/>
  <c r="CD936" i="1"/>
  <c r="CD937" i="1"/>
  <c r="CD938" i="1"/>
  <c r="CD939" i="1"/>
  <c r="CD940" i="1"/>
  <c r="CD941" i="1"/>
  <c r="CD943" i="1"/>
  <c r="CD944" i="1"/>
  <c r="CD945" i="1"/>
  <c r="CD947" i="1"/>
  <c r="CD948" i="1"/>
  <c r="CD950" i="1"/>
  <c r="CD951" i="1"/>
  <c r="CD952" i="1"/>
  <c r="CD953" i="1"/>
  <c r="CD954" i="1"/>
  <c r="CD955" i="1"/>
  <c r="CD956" i="1"/>
  <c r="CD957" i="1"/>
  <c r="CD958" i="1"/>
  <c r="CD960" i="1"/>
  <c r="CD961" i="1"/>
  <c r="CD962" i="1"/>
  <c r="CD963" i="1"/>
  <c r="CD964" i="1"/>
  <c r="CD965" i="1"/>
  <c r="CD966" i="1"/>
  <c r="CD967" i="1"/>
  <c r="CD969" i="1"/>
  <c r="CD970" i="1"/>
  <c r="CD971" i="1"/>
  <c r="CD972" i="1"/>
  <c r="CD973" i="1"/>
  <c r="CD974" i="1"/>
  <c r="CD975" i="1"/>
  <c r="CD977" i="1"/>
  <c r="CD978" i="1"/>
  <c r="CD979" i="1"/>
  <c r="CD980" i="1"/>
  <c r="CD981" i="1"/>
  <c r="O983" i="1"/>
  <c r="CD983" i="1" s="1"/>
  <c r="CD985" i="1"/>
  <c r="CD986" i="1"/>
  <c r="CD987" i="1"/>
  <c r="O989" i="1"/>
  <c r="CD989" i="1"/>
  <c r="CD990" i="1"/>
  <c r="CD991" i="1"/>
  <c r="CD992" i="1"/>
  <c r="CD993" i="1"/>
  <c r="CD994" i="1"/>
  <c r="CD996" i="1"/>
  <c r="CD997" i="1"/>
  <c r="CD998" i="1"/>
  <c r="CD999" i="1"/>
  <c r="CD1000" i="1"/>
  <c r="CD1001" i="1"/>
  <c r="CD1002" i="1"/>
  <c r="CD1003" i="1"/>
  <c r="CD1005" i="1"/>
  <c r="CD1006" i="1"/>
  <c r="CD1007" i="1"/>
  <c r="CD1008" i="1"/>
  <c r="CD1009" i="1"/>
  <c r="CD1010" i="1"/>
  <c r="CD1011" i="1"/>
  <c r="CD1013" i="1"/>
  <c r="CD1014" i="1"/>
  <c r="CD1015" i="1"/>
  <c r="CD1016" i="1"/>
  <c r="CD1017" i="1"/>
  <c r="CD1018" i="1"/>
  <c r="CD1019" i="1"/>
  <c r="CD1020" i="1"/>
  <c r="CD1021" i="1"/>
  <c r="CD1022" i="1"/>
  <c r="CD1023" i="1"/>
  <c r="CD1025" i="1"/>
  <c r="CD1026" i="1"/>
  <c r="CD1027" i="1"/>
  <c r="CD1028" i="1"/>
  <c r="CD1029" i="1"/>
  <c r="CD1030" i="1"/>
  <c r="CD1031" i="1"/>
  <c r="CD1032" i="1"/>
  <c r="CD1033" i="1"/>
  <c r="CD1035" i="1"/>
  <c r="CD1036" i="1"/>
  <c r="CD1037" i="1"/>
  <c r="CD1038" i="1"/>
  <c r="CD1039" i="1"/>
  <c r="CD1040" i="1"/>
  <c r="CD1041" i="1"/>
  <c r="CD1042" i="1"/>
  <c r="CD1043" i="1"/>
  <c r="CD1044" i="1"/>
  <c r="CD1046" i="1"/>
  <c r="CD1047" i="1"/>
  <c r="CD1048" i="1"/>
  <c r="CD1051" i="1"/>
  <c r="CD1053" i="1"/>
  <c r="CD1054" i="1"/>
  <c r="CD1055" i="1"/>
  <c r="CD1056" i="1"/>
  <c r="CD1057" i="1"/>
  <c r="CD1059" i="1"/>
  <c r="CD1060" i="1"/>
  <c r="CD1061" i="1"/>
  <c r="CD1062" i="1"/>
  <c r="CD1063" i="1"/>
  <c r="CD1064" i="1"/>
  <c r="CD1066" i="1"/>
  <c r="CD1067" i="1"/>
  <c r="CD1068" i="1"/>
  <c r="CD1069" i="1"/>
  <c r="CD1070" i="1"/>
  <c r="CD1071" i="1"/>
  <c r="CD1072" i="1"/>
  <c r="CD1073" i="1"/>
  <c r="CD1075" i="1"/>
  <c r="CD1076" i="1"/>
  <c r="CD1077" i="1"/>
  <c r="CD1079" i="1"/>
  <c r="CD1080" i="1"/>
  <c r="CD1081" i="1"/>
  <c r="CD1082" i="1"/>
  <c r="CD1083" i="1"/>
  <c r="CD1084" i="1"/>
  <c r="CD1087" i="1"/>
  <c r="CD1088" i="1"/>
  <c r="CD1089" i="1"/>
  <c r="CD1090" i="1"/>
  <c r="CD1091" i="1"/>
  <c r="CD1092" i="1"/>
  <c r="CD1093" i="1"/>
  <c r="CD1094" i="1"/>
  <c r="CD1096" i="1"/>
  <c r="CD1097" i="1"/>
  <c r="CD1098" i="1"/>
  <c r="CD1099" i="1"/>
  <c r="CD1100" i="1"/>
  <c r="CD1101" i="1"/>
  <c r="CD1102" i="1"/>
  <c r="CD1103" i="1"/>
  <c r="CD1104" i="1"/>
  <c r="CD1105" i="1"/>
  <c r="CD1106" i="1"/>
  <c r="CD1108" i="1"/>
  <c r="CD1109" i="1"/>
  <c r="CD1110" i="1"/>
  <c r="CD1111" i="1"/>
  <c r="CD1112" i="1"/>
  <c r="CD1113" i="1"/>
  <c r="CD1115" i="1"/>
  <c r="CD1116" i="1"/>
  <c r="CD1117" i="1"/>
  <c r="CD1118" i="1"/>
  <c r="CD1120" i="1"/>
  <c r="CD1122" i="1"/>
  <c r="CD1123" i="1"/>
  <c r="CD1124" i="1"/>
  <c r="O1126" i="1"/>
  <c r="CD1126" i="1" s="1"/>
  <c r="CD1127" i="1"/>
  <c r="CD1128" i="1"/>
  <c r="CD1129" i="1"/>
  <c r="CD1130" i="1"/>
  <c r="CD1131" i="1"/>
  <c r="CD1132" i="1"/>
  <c r="CD1133" i="1"/>
  <c r="CD1135" i="1"/>
  <c r="CD1136" i="1"/>
  <c r="CD1137" i="1"/>
  <c r="CD1138" i="1"/>
  <c r="CD1139" i="1"/>
  <c r="CD1140" i="1"/>
  <c r="CD1142" i="1"/>
  <c r="CD1143" i="1"/>
  <c r="CD1144" i="1"/>
  <c r="CD1145" i="1"/>
  <c r="CD1146" i="1"/>
  <c r="CD1147" i="1"/>
  <c r="CD1148" i="1"/>
  <c r="CD1149" i="1"/>
  <c r="CD1150" i="1"/>
  <c r="CD1152" i="1"/>
  <c r="CD1153" i="1"/>
  <c r="CD1154" i="1"/>
  <c r="CD1155" i="1"/>
  <c r="CD1157" i="1"/>
  <c r="CD1158" i="1"/>
  <c r="CD1159" i="1"/>
  <c r="CD1160" i="1"/>
  <c r="CD1161" i="1"/>
  <c r="CD1162" i="1"/>
  <c r="CD1163" i="1"/>
  <c r="CD1164" i="1"/>
  <c r="CD1165" i="1"/>
  <c r="O1167" i="1"/>
  <c r="CD1167" i="1" s="1"/>
  <c r="CD1168" i="1"/>
  <c r="CD1169" i="1"/>
  <c r="CD1170" i="1"/>
  <c r="CD1172" i="1"/>
  <c r="CD1173" i="1"/>
  <c r="CD1174" i="1"/>
  <c r="CD1175" i="1"/>
  <c r="CD1177" i="1"/>
  <c r="CD1178" i="1"/>
  <c r="CD1179" i="1"/>
  <c r="CD1180" i="1"/>
  <c r="CD1181" i="1"/>
  <c r="CD1182" i="1"/>
  <c r="CD1183" i="1"/>
  <c r="CD1186" i="1"/>
  <c r="CD1187" i="1"/>
  <c r="CD1188" i="1"/>
  <c r="CD1189" i="1"/>
  <c r="CD1190" i="1"/>
  <c r="CD1192" i="1"/>
  <c r="CD1194" i="1"/>
  <c r="CD1195" i="1"/>
  <c r="CD1196" i="1"/>
  <c r="CD1199" i="1"/>
  <c r="CD1201" i="1"/>
  <c r="CD1202" i="1"/>
  <c r="CD1203" i="1"/>
  <c r="CD1204" i="1"/>
  <c r="CD1205" i="1"/>
  <c r="CD1206" i="1"/>
  <c r="CD1207" i="1"/>
  <c r="CD1209" i="1"/>
  <c r="CD1210" i="1"/>
  <c r="CD1211" i="1"/>
  <c r="CD1212" i="1"/>
  <c r="CD1213" i="1"/>
  <c r="CD1214" i="1"/>
  <c r="CD1215" i="1"/>
  <c r="CD1216" i="1"/>
  <c r="CD1217" i="1"/>
  <c r="CD1219" i="1"/>
  <c r="CD1220" i="1"/>
  <c r="CD1222" i="1"/>
  <c r="CD1223" i="1"/>
  <c r="CD1224" i="1"/>
  <c r="CD1225" i="1"/>
  <c r="CD1226" i="1"/>
  <c r="CD1227" i="1"/>
  <c r="CD1229" i="1"/>
  <c r="CD1230" i="1"/>
  <c r="CD1231" i="1"/>
  <c r="CD1232" i="1"/>
  <c r="CD1233" i="1"/>
  <c r="CD1234" i="1"/>
  <c r="CD1235" i="1"/>
  <c r="CD1236" i="1"/>
  <c r="CD1238" i="1"/>
  <c r="CD1240" i="1"/>
  <c r="CD1241" i="1"/>
  <c r="CD1242" i="1"/>
  <c r="CD1244" i="1"/>
  <c r="CD1245" i="1"/>
  <c r="CD1246" i="1"/>
  <c r="CD1247" i="1"/>
  <c r="CD1248" i="1"/>
  <c r="CD1250" i="1"/>
  <c r="CD1251" i="1"/>
  <c r="CD1252" i="1"/>
  <c r="CD1253" i="1"/>
  <c r="CD1254" i="1"/>
  <c r="CD1255" i="1"/>
  <c r="CD1256" i="1"/>
  <c r="CD1257" i="1"/>
  <c r="CD1258" i="1"/>
  <c r="CD1259" i="1"/>
  <c r="CD1261" i="1"/>
  <c r="CD1262" i="1"/>
  <c r="CD1263" i="1"/>
  <c r="CD1265" i="1"/>
  <c r="CD1266" i="1"/>
  <c r="CD1267" i="1"/>
  <c r="CD1268" i="1"/>
  <c r="CD1272" i="1"/>
  <c r="O1274" i="1"/>
  <c r="CD1274" i="1" s="1"/>
  <c r="CD1275" i="1"/>
  <c r="CD1276" i="1"/>
  <c r="CD1277" i="1"/>
  <c r="CD1278" i="1"/>
  <c r="CD1279" i="1"/>
  <c r="CD1280" i="1"/>
  <c r="O1282" i="1"/>
  <c r="CD1282" i="1"/>
  <c r="CD1283" i="1"/>
  <c r="CD1284" i="1"/>
  <c r="CD1285" i="1"/>
  <c r="CD1286" i="1"/>
  <c r="CD1287" i="1"/>
  <c r="CD1288" i="1"/>
  <c r="CD1289" i="1"/>
  <c r="CD1291" i="1"/>
  <c r="CD1292" i="1"/>
  <c r="CD1293" i="1"/>
  <c r="CD1294" i="1"/>
  <c r="CD1295" i="1"/>
  <c r="CD1296" i="1"/>
  <c r="CD1297" i="1"/>
  <c r="CD1298" i="1"/>
  <c r="CD1299" i="1"/>
  <c r="CD1300" i="1"/>
  <c r="CD1301" i="1"/>
  <c r="CD1303" i="1"/>
  <c r="CD1304" i="1"/>
  <c r="CD1305" i="1"/>
  <c r="CD1306" i="1"/>
  <c r="CD1307" i="1"/>
  <c r="CD1308" i="1"/>
  <c r="CD1309" i="1"/>
  <c r="CD1310" i="1"/>
  <c r="CD1311" i="1"/>
  <c r="CD1312" i="1"/>
  <c r="CD1313" i="1"/>
  <c r="CE67" i="1"/>
  <c r="CE68" i="1"/>
  <c r="CE69" i="1"/>
  <c r="CE70" i="1"/>
  <c r="CE71" i="1"/>
  <c r="CE72" i="1"/>
  <c r="CE73" i="1"/>
  <c r="CE74" i="1"/>
  <c r="P76" i="1"/>
  <c r="CE76" i="1" s="1"/>
  <c r="CE77" i="1"/>
  <c r="CE78" i="1"/>
  <c r="CE79" i="1"/>
  <c r="CE80" i="1"/>
  <c r="CE81" i="1"/>
  <c r="CE82" i="1"/>
  <c r="P84" i="1"/>
  <c r="CE84" i="1"/>
  <c r="CE85" i="1"/>
  <c r="CE86" i="1"/>
  <c r="CE87" i="1"/>
  <c r="CE88" i="1"/>
  <c r="CE89" i="1"/>
  <c r="CE90" i="1"/>
  <c r="CE92" i="1"/>
  <c r="CE93" i="1"/>
  <c r="CE94" i="1"/>
  <c r="CE95" i="1"/>
  <c r="CE96" i="1"/>
  <c r="CE97" i="1"/>
  <c r="CE98" i="1"/>
  <c r="CE101" i="1"/>
  <c r="CE103" i="1"/>
  <c r="CE104" i="1"/>
  <c r="CE105" i="1"/>
  <c r="CE106" i="1"/>
  <c r="CE107" i="1"/>
  <c r="CE108" i="1"/>
  <c r="CE109" i="1"/>
  <c r="CE111" i="1"/>
  <c r="CE112" i="1"/>
  <c r="CE113" i="1"/>
  <c r="CE114" i="1"/>
  <c r="CE115" i="1"/>
  <c r="CE116" i="1"/>
  <c r="CE117" i="1"/>
  <c r="CE118" i="1"/>
  <c r="CE119" i="1"/>
  <c r="CE120" i="1"/>
  <c r="CE122" i="1"/>
  <c r="CE124" i="1"/>
  <c r="CE125" i="1"/>
  <c r="CE126" i="1"/>
  <c r="CE129" i="1"/>
  <c r="CE131" i="1"/>
  <c r="CE132" i="1"/>
  <c r="CE136" i="1"/>
  <c r="P138" i="1"/>
  <c r="CE138" i="1"/>
  <c r="CE139" i="1"/>
  <c r="CE140" i="1"/>
  <c r="CE141" i="1"/>
  <c r="CE142" i="1"/>
  <c r="P144" i="1"/>
  <c r="CE144" i="1"/>
  <c r="CE145" i="1"/>
  <c r="CE146" i="1"/>
  <c r="CE147" i="1"/>
  <c r="CE148" i="1"/>
  <c r="CE149" i="1"/>
  <c r="CE151" i="1"/>
  <c r="CE152" i="1"/>
  <c r="CE153" i="1"/>
  <c r="CE154" i="1"/>
  <c r="CE155" i="1"/>
  <c r="CE156" i="1"/>
  <c r="CE157" i="1"/>
  <c r="CE158" i="1"/>
  <c r="CE160" i="1"/>
  <c r="CE161" i="1"/>
  <c r="CE162" i="1"/>
  <c r="CE163" i="1"/>
  <c r="CE165" i="1"/>
  <c r="CE166" i="1"/>
  <c r="CE167" i="1"/>
  <c r="CE168" i="1"/>
  <c r="CE169" i="1"/>
  <c r="CE170" i="1"/>
  <c r="P172" i="1"/>
  <c r="CE172" i="1" s="1"/>
  <c r="CE173" i="1"/>
  <c r="CE176" i="1"/>
  <c r="CE177" i="1"/>
  <c r="CE178" i="1"/>
  <c r="CE179" i="1"/>
  <c r="CE180" i="1"/>
  <c r="CE181" i="1"/>
  <c r="CE182" i="1"/>
  <c r="CE183" i="1"/>
  <c r="CE184" i="1"/>
  <c r="CE186" i="1"/>
  <c r="CE187" i="1"/>
  <c r="CE188" i="1"/>
  <c r="CE189" i="1"/>
  <c r="CE190" i="1"/>
  <c r="CE191" i="1"/>
  <c r="CE192" i="1"/>
  <c r="CE193" i="1"/>
  <c r="P195" i="1"/>
  <c r="CE195" i="1"/>
  <c r="CE196" i="1"/>
  <c r="CE197" i="1"/>
  <c r="CE198" i="1"/>
  <c r="CE200" i="1"/>
  <c r="CE201" i="1"/>
  <c r="CE202" i="1"/>
  <c r="CE203" i="1"/>
  <c r="CE204" i="1"/>
  <c r="CE205" i="1"/>
  <c r="CE206" i="1"/>
  <c r="CE207" i="1"/>
  <c r="CE209" i="1"/>
  <c r="CE210" i="1"/>
  <c r="CE211" i="1"/>
  <c r="CE212" i="1"/>
  <c r="CE213" i="1"/>
  <c r="CE214" i="1"/>
  <c r="CE215" i="1"/>
  <c r="CE218" i="1"/>
  <c r="CE219" i="1"/>
  <c r="CE220" i="1"/>
  <c r="CE221" i="1"/>
  <c r="CE222" i="1"/>
  <c r="CE224" i="1"/>
  <c r="CE225" i="1"/>
  <c r="CE226" i="1"/>
  <c r="CE227" i="1"/>
  <c r="CE228" i="1"/>
  <c r="CE229" i="1"/>
  <c r="CE231" i="1"/>
  <c r="CE232" i="1"/>
  <c r="CE233" i="1"/>
  <c r="CE234" i="1"/>
  <c r="CE235" i="1"/>
  <c r="CE236" i="1"/>
  <c r="CE237" i="1"/>
  <c r="CE238" i="1"/>
  <c r="P240" i="1"/>
  <c r="CE240" i="1"/>
  <c r="CE241" i="1"/>
  <c r="CE242" i="1"/>
  <c r="CE243" i="1"/>
  <c r="CE244" i="1"/>
  <c r="CE245" i="1"/>
  <c r="CE246" i="1"/>
  <c r="CE247" i="1"/>
  <c r="CE249" i="1"/>
  <c r="CE250" i="1"/>
  <c r="CE251" i="1"/>
  <c r="CE252" i="1"/>
  <c r="CE253" i="1"/>
  <c r="CE254" i="1"/>
  <c r="CE255" i="1"/>
  <c r="CE256" i="1"/>
  <c r="CE258" i="1"/>
  <c r="CE259" i="1"/>
  <c r="CE260" i="1"/>
  <c r="CE261" i="1"/>
  <c r="CE262" i="1"/>
  <c r="CE263" i="1"/>
  <c r="CE264" i="1"/>
  <c r="CE265" i="1"/>
  <c r="CE266" i="1"/>
  <c r="CE268" i="1"/>
  <c r="CE269" i="1"/>
  <c r="CE270" i="1"/>
  <c r="CE271" i="1"/>
  <c r="CE272" i="1"/>
  <c r="CE273" i="1"/>
  <c r="CE274" i="1"/>
  <c r="CE275" i="1"/>
  <c r="CE276" i="1"/>
  <c r="P278" i="1"/>
  <c r="CE278" i="1" s="1"/>
  <c r="CE279" i="1"/>
  <c r="CE280" i="1"/>
  <c r="CE281" i="1"/>
  <c r="CE282" i="1"/>
  <c r="CE283" i="1"/>
  <c r="CE285" i="1"/>
  <c r="CE286" i="1"/>
  <c r="CE287" i="1"/>
  <c r="CE288" i="1"/>
  <c r="CE291" i="1"/>
  <c r="CE292" i="1"/>
  <c r="CE293" i="1"/>
  <c r="CE294" i="1"/>
  <c r="CE296" i="1"/>
  <c r="CE297" i="1"/>
  <c r="CE298" i="1"/>
  <c r="CE299" i="1"/>
  <c r="CE300" i="1"/>
  <c r="CE301" i="1"/>
  <c r="CE302" i="1"/>
  <c r="CE303" i="1"/>
  <c r="CE306" i="1"/>
  <c r="CE307" i="1"/>
  <c r="CE308" i="1"/>
  <c r="CE309" i="1"/>
  <c r="CE310" i="1"/>
  <c r="CE311" i="1"/>
  <c r="CE312" i="1"/>
  <c r="CE313" i="1"/>
  <c r="CE314" i="1"/>
  <c r="CE316" i="1"/>
  <c r="CE317" i="1"/>
  <c r="CE318" i="1"/>
  <c r="CE319" i="1"/>
  <c r="CE320" i="1"/>
  <c r="CE321" i="1"/>
  <c r="CE322" i="1"/>
  <c r="CE323" i="1"/>
  <c r="CE324" i="1"/>
  <c r="CE325" i="1"/>
  <c r="CE326" i="1"/>
  <c r="CE327" i="1"/>
  <c r="P329" i="1"/>
  <c r="CE329" i="1"/>
  <c r="CE330" i="1"/>
  <c r="CE332" i="1"/>
  <c r="CE333" i="1"/>
  <c r="CE334" i="1"/>
  <c r="CE335" i="1"/>
  <c r="CE336" i="1"/>
  <c r="CE337" i="1"/>
  <c r="CE338" i="1"/>
  <c r="CE340" i="1"/>
  <c r="CE341" i="1"/>
  <c r="CE342" i="1"/>
  <c r="CE343" i="1"/>
  <c r="CE344" i="1"/>
  <c r="CE345" i="1"/>
  <c r="CE346" i="1"/>
  <c r="CE347" i="1"/>
  <c r="CE348" i="1"/>
  <c r="CE349" i="1"/>
  <c r="CE351" i="1"/>
  <c r="CE352" i="1"/>
  <c r="CE353" i="1"/>
  <c r="CE354" i="1"/>
  <c r="CE355" i="1"/>
  <c r="CE356" i="1"/>
  <c r="P358" i="1"/>
  <c r="CE358" i="1" s="1"/>
  <c r="CE359" i="1"/>
  <c r="CE360" i="1"/>
  <c r="CE361" i="1"/>
  <c r="CE362" i="1"/>
  <c r="CE363" i="1"/>
  <c r="CE364" i="1"/>
  <c r="CE365" i="1"/>
  <c r="CE367" i="1"/>
  <c r="CE368" i="1"/>
  <c r="CE369" i="1"/>
  <c r="CE371" i="1"/>
  <c r="CE372" i="1"/>
  <c r="CE373" i="1"/>
  <c r="P375" i="1"/>
  <c r="CE375" i="1" s="1"/>
  <c r="CE376" i="1"/>
  <c r="CE378" i="1"/>
  <c r="CE379" i="1"/>
  <c r="CE380" i="1"/>
  <c r="CE381" i="1"/>
  <c r="CE382" i="1"/>
  <c r="CE383" i="1"/>
  <c r="CE385" i="1"/>
  <c r="CE386" i="1"/>
  <c r="CE387" i="1"/>
  <c r="CE388" i="1"/>
  <c r="CE389" i="1"/>
  <c r="CE390" i="1"/>
  <c r="CE391" i="1"/>
  <c r="CE393" i="1"/>
  <c r="CE394" i="1"/>
  <c r="CE395" i="1"/>
  <c r="CE396" i="1"/>
  <c r="CE397" i="1"/>
  <c r="CE398" i="1"/>
  <c r="CE399" i="1"/>
  <c r="CE400" i="1"/>
  <c r="CE401" i="1"/>
  <c r="CE404" i="1"/>
  <c r="CE405" i="1"/>
  <c r="CE406" i="1"/>
  <c r="CE407" i="1"/>
  <c r="CE408" i="1"/>
  <c r="CE409" i="1"/>
  <c r="CE410" i="1"/>
  <c r="CE411" i="1"/>
  <c r="CE413" i="1"/>
  <c r="CE414" i="1"/>
  <c r="CE415" i="1"/>
  <c r="CE416" i="1"/>
  <c r="CE417" i="1"/>
  <c r="CE418" i="1"/>
  <c r="CE421" i="1"/>
  <c r="CE422" i="1"/>
  <c r="CE423" i="1"/>
  <c r="CE424" i="1"/>
  <c r="CE425" i="1"/>
  <c r="CE426" i="1"/>
  <c r="CE427" i="1"/>
  <c r="CE428" i="1"/>
  <c r="CE430" i="1"/>
  <c r="CE431" i="1"/>
  <c r="CE432" i="1"/>
  <c r="CE433" i="1"/>
  <c r="CE434" i="1"/>
  <c r="CE435" i="1"/>
  <c r="CE436" i="1"/>
  <c r="CE438" i="1"/>
  <c r="CE439" i="1"/>
  <c r="CE440" i="1"/>
  <c r="CE441" i="1"/>
  <c r="CE442" i="1"/>
  <c r="CE443" i="1"/>
  <c r="CE445" i="1"/>
  <c r="CE446" i="1"/>
  <c r="CE447" i="1"/>
  <c r="CE448" i="1"/>
  <c r="CE449" i="1"/>
  <c r="CE450" i="1"/>
  <c r="CE451" i="1"/>
  <c r="CE452" i="1"/>
  <c r="P454" i="1"/>
  <c r="CE454" i="1" s="1"/>
  <c r="CE455" i="1"/>
  <c r="CE456" i="1"/>
  <c r="CE457" i="1"/>
  <c r="CE460" i="1"/>
  <c r="CE461" i="1"/>
  <c r="CE462" i="1"/>
  <c r="CE463" i="1"/>
  <c r="CE464" i="1"/>
  <c r="CE465" i="1"/>
  <c r="CE466" i="1"/>
  <c r="CE468" i="1"/>
  <c r="CE469" i="1"/>
  <c r="CE470" i="1"/>
  <c r="CE471" i="1"/>
  <c r="CE472" i="1"/>
  <c r="CE473" i="1"/>
  <c r="CE474" i="1"/>
  <c r="CE475" i="1"/>
  <c r="CE476" i="1"/>
  <c r="CE478" i="1"/>
  <c r="CE479" i="1"/>
  <c r="CE480" i="1"/>
  <c r="CE481" i="1"/>
  <c r="CE482" i="1"/>
  <c r="CE483" i="1"/>
  <c r="CE485" i="1"/>
  <c r="CE486" i="1"/>
  <c r="CE487" i="1"/>
  <c r="CE488" i="1"/>
  <c r="CE489" i="1"/>
  <c r="CE490" i="1"/>
  <c r="CE491" i="1"/>
  <c r="CE492" i="1"/>
  <c r="CE493" i="1"/>
  <c r="CE495" i="1"/>
  <c r="CE496" i="1"/>
  <c r="CE497" i="1"/>
  <c r="CE498" i="1"/>
  <c r="CE499" i="1"/>
  <c r="CE500" i="1"/>
  <c r="CE502" i="1"/>
  <c r="CE503" i="1"/>
  <c r="CE504" i="1"/>
  <c r="CE505" i="1"/>
  <c r="CE506" i="1"/>
  <c r="CE507" i="1"/>
  <c r="CE508" i="1"/>
  <c r="CE511" i="1"/>
  <c r="CE512" i="1"/>
  <c r="CE514" i="1"/>
  <c r="CE515" i="1"/>
  <c r="CE516" i="1"/>
  <c r="CE517" i="1"/>
  <c r="CE518" i="1"/>
  <c r="CE520" i="1"/>
  <c r="CE521" i="1"/>
  <c r="CE522" i="1"/>
  <c r="CE523" i="1"/>
  <c r="CE524" i="1"/>
  <c r="CE525" i="1"/>
  <c r="CE526" i="1"/>
  <c r="CE527" i="1"/>
  <c r="CE529" i="1"/>
  <c r="CE530" i="1"/>
  <c r="CE531" i="1"/>
  <c r="CE532" i="1"/>
  <c r="CE533" i="1"/>
  <c r="CE534" i="1"/>
  <c r="CE535" i="1"/>
  <c r="CE536" i="1"/>
  <c r="CE538" i="1"/>
  <c r="CE539" i="1"/>
  <c r="CE540" i="1"/>
  <c r="CE541" i="1"/>
  <c r="CE542" i="1"/>
  <c r="CE543" i="1"/>
  <c r="CE544" i="1"/>
  <c r="CE545" i="1"/>
  <c r="CE546" i="1"/>
  <c r="CE548" i="1"/>
  <c r="CE549" i="1"/>
  <c r="CE550" i="1"/>
  <c r="CE551" i="1"/>
  <c r="CE552" i="1"/>
  <c r="CE553" i="1"/>
  <c r="CE554" i="1"/>
  <c r="CE555" i="1"/>
  <c r="CE557" i="1"/>
  <c r="CE558" i="1"/>
  <c r="CE559" i="1"/>
  <c r="CE560" i="1"/>
  <c r="CE561" i="1"/>
  <c r="CE562" i="1"/>
  <c r="CE564" i="1"/>
  <c r="CE565" i="1"/>
  <c r="CE566" i="1"/>
  <c r="CE567" i="1"/>
  <c r="CE569" i="1"/>
  <c r="CE570" i="1"/>
  <c r="CE572" i="1"/>
  <c r="CE573" i="1"/>
  <c r="CE574" i="1"/>
  <c r="CE577" i="1"/>
  <c r="CE578" i="1"/>
  <c r="CE579" i="1"/>
  <c r="CE580" i="1"/>
  <c r="CE581" i="1"/>
  <c r="P583" i="1"/>
  <c r="CE583" i="1"/>
  <c r="CE584" i="1"/>
  <c r="CE586" i="1"/>
  <c r="CE587" i="1"/>
  <c r="CE588" i="1"/>
  <c r="CE590" i="1"/>
  <c r="CE591" i="1"/>
  <c r="CE592" i="1"/>
  <c r="CE593" i="1"/>
  <c r="CE594" i="1"/>
  <c r="CE595" i="1"/>
  <c r="CE596" i="1"/>
  <c r="CE597" i="1"/>
  <c r="CE598" i="1"/>
  <c r="CE601" i="1"/>
  <c r="CE603" i="1"/>
  <c r="CE604" i="1"/>
  <c r="CE605" i="1"/>
  <c r="CE607" i="1"/>
  <c r="CE608" i="1"/>
  <c r="CE609" i="1"/>
  <c r="CE610" i="1"/>
  <c r="CE611" i="1"/>
  <c r="CE612" i="1"/>
  <c r="P614" i="1"/>
  <c r="CE614" i="1" s="1"/>
  <c r="CE615" i="1"/>
  <c r="CE617" i="1"/>
  <c r="CE618" i="1"/>
  <c r="CE619" i="1"/>
  <c r="CE620" i="1"/>
  <c r="CE622" i="1"/>
  <c r="CE623" i="1"/>
  <c r="CE624" i="1"/>
  <c r="CE625" i="1"/>
  <c r="CE626" i="1"/>
  <c r="CE628" i="1"/>
  <c r="CE629" i="1"/>
  <c r="CE630" i="1"/>
  <c r="CE631" i="1"/>
  <c r="CE632" i="1"/>
  <c r="CE633" i="1"/>
  <c r="CE634" i="1"/>
  <c r="P636" i="1"/>
  <c r="CE636" i="1"/>
  <c r="CE637" i="1"/>
  <c r="CE638" i="1"/>
  <c r="CE639" i="1"/>
  <c r="CE641" i="1"/>
  <c r="CE643" i="1"/>
  <c r="CE644" i="1"/>
  <c r="CE645" i="1"/>
  <c r="CE647" i="1"/>
  <c r="CE648" i="1"/>
  <c r="CE649" i="1"/>
  <c r="CE650" i="1"/>
  <c r="CE651" i="1"/>
  <c r="CE652" i="1"/>
  <c r="P654" i="1"/>
  <c r="CE654" i="1"/>
  <c r="CE655" i="1"/>
  <c r="CE656" i="1"/>
  <c r="CE657" i="1"/>
  <c r="CE658" i="1"/>
  <c r="CE659" i="1"/>
  <c r="CE660" i="1"/>
  <c r="CE662" i="1"/>
  <c r="CE663" i="1"/>
  <c r="CE665" i="1"/>
  <c r="CE666" i="1"/>
  <c r="CE667" i="1"/>
  <c r="CE669" i="1"/>
  <c r="CE670" i="1"/>
  <c r="CE671" i="1"/>
  <c r="CE672" i="1"/>
  <c r="CE674" i="1"/>
  <c r="CE675" i="1"/>
  <c r="CE676" i="1"/>
  <c r="CE677" i="1"/>
  <c r="CE678" i="1"/>
  <c r="CE679" i="1"/>
  <c r="CE681" i="1"/>
  <c r="CE682" i="1"/>
  <c r="CE683" i="1"/>
  <c r="CE684" i="1"/>
  <c r="CE685" i="1"/>
  <c r="CE686" i="1"/>
  <c r="CE687" i="1"/>
  <c r="CE688" i="1"/>
  <c r="CE689" i="1"/>
  <c r="CE690" i="1"/>
  <c r="CE691" i="1"/>
  <c r="CE693" i="1"/>
  <c r="CE694" i="1"/>
  <c r="CE695" i="1"/>
  <c r="CE696" i="1"/>
  <c r="CE698" i="1"/>
  <c r="CE699" i="1"/>
  <c r="CE702" i="1"/>
  <c r="CE703" i="1"/>
  <c r="CE704" i="1"/>
  <c r="CE706" i="1"/>
  <c r="CE707" i="1"/>
  <c r="CE708" i="1"/>
  <c r="CE709" i="1"/>
  <c r="CE711" i="1"/>
  <c r="CE712" i="1"/>
  <c r="CE713" i="1"/>
  <c r="CE714" i="1"/>
  <c r="CE715" i="1"/>
  <c r="CE716" i="1"/>
  <c r="CE717" i="1"/>
  <c r="CE718" i="1"/>
  <c r="CE720" i="1"/>
  <c r="CE721" i="1"/>
  <c r="CE723" i="1"/>
  <c r="CE724" i="1"/>
  <c r="CE725" i="1"/>
  <c r="CE726" i="1"/>
  <c r="CE729" i="1"/>
  <c r="CE732" i="1"/>
  <c r="CE733" i="1"/>
  <c r="CE734" i="1"/>
  <c r="CE735" i="1"/>
  <c r="CE736" i="1"/>
  <c r="CE738" i="1"/>
  <c r="CE739" i="1"/>
  <c r="CE740" i="1"/>
  <c r="CE741" i="1"/>
  <c r="CE742" i="1"/>
  <c r="CE743" i="1"/>
  <c r="CE744" i="1"/>
  <c r="CE745" i="1"/>
  <c r="CE748" i="1"/>
  <c r="CE750" i="1"/>
  <c r="CE751" i="1"/>
  <c r="CE752" i="1"/>
  <c r="CE753" i="1"/>
  <c r="CE754" i="1"/>
  <c r="CE755" i="1"/>
  <c r="CE756" i="1"/>
  <c r="CE758" i="1"/>
  <c r="CE760" i="1"/>
  <c r="CE761" i="1"/>
  <c r="CE763" i="1"/>
  <c r="CE764" i="1"/>
  <c r="CE766" i="1"/>
  <c r="CE767" i="1"/>
  <c r="CE768" i="1"/>
  <c r="CE769" i="1"/>
  <c r="CE774" i="1"/>
  <c r="CE775" i="1"/>
  <c r="CE777" i="1"/>
  <c r="CE778" i="1"/>
  <c r="CE779" i="1"/>
  <c r="CE780" i="1"/>
  <c r="CE782" i="1"/>
  <c r="CE783" i="1"/>
  <c r="CE784" i="1"/>
  <c r="CE785" i="1"/>
  <c r="CE786" i="1"/>
  <c r="CE787" i="1"/>
  <c r="CE789" i="1"/>
  <c r="CE790" i="1"/>
  <c r="CE791" i="1"/>
  <c r="CE793" i="1"/>
  <c r="CE794" i="1"/>
  <c r="CE795" i="1"/>
  <c r="CE796" i="1"/>
  <c r="CE797" i="1"/>
  <c r="CE798" i="1"/>
  <c r="CE800" i="1"/>
  <c r="CE801" i="1"/>
  <c r="CE802" i="1"/>
  <c r="CE803" i="1"/>
  <c r="CE804" i="1"/>
  <c r="CE805" i="1"/>
  <c r="CE806" i="1"/>
  <c r="CE807" i="1"/>
  <c r="CE808" i="1"/>
  <c r="P810" i="1"/>
  <c r="CE810" i="1"/>
  <c r="CE811" i="1"/>
  <c r="CE812" i="1"/>
  <c r="CE813" i="1"/>
  <c r="CE814" i="1"/>
  <c r="CE815" i="1"/>
  <c r="CE816" i="1"/>
  <c r="CE818" i="1"/>
  <c r="CE819" i="1"/>
  <c r="CE820" i="1"/>
  <c r="P822" i="1"/>
  <c r="CE822" i="1" s="1"/>
  <c r="CE823" i="1"/>
  <c r="CE824" i="1"/>
  <c r="CE825" i="1"/>
  <c r="CE826" i="1"/>
  <c r="CE827" i="1"/>
  <c r="P829" i="1"/>
  <c r="CE829" i="1" s="1"/>
  <c r="CE830" i="1"/>
  <c r="CE831" i="1"/>
  <c r="CE832" i="1"/>
  <c r="CE834" i="1"/>
  <c r="CE835" i="1"/>
  <c r="CE836" i="1"/>
  <c r="CE838" i="1"/>
  <c r="CE839" i="1"/>
  <c r="CE840" i="1"/>
  <c r="CE841" i="1"/>
  <c r="CE842" i="1"/>
  <c r="CE843" i="1"/>
  <c r="CE844" i="1"/>
  <c r="CE845" i="1"/>
  <c r="CE846" i="1"/>
  <c r="CE847" i="1"/>
  <c r="CE848" i="1"/>
  <c r="CE849" i="1"/>
  <c r="CE850" i="1"/>
  <c r="CE852" i="1"/>
  <c r="CE854" i="1"/>
  <c r="CE855" i="1"/>
  <c r="CE856" i="1"/>
  <c r="CE857" i="1"/>
  <c r="CE859" i="1"/>
  <c r="CE860" i="1"/>
  <c r="CE862" i="1"/>
  <c r="CE863" i="1"/>
  <c r="CE864" i="1"/>
  <c r="CE865" i="1"/>
  <c r="CE866" i="1"/>
  <c r="CE867" i="1"/>
  <c r="CE868" i="1"/>
  <c r="CE869" i="1"/>
  <c r="CE870" i="1"/>
  <c r="CE872" i="1"/>
  <c r="CE873" i="1"/>
  <c r="CE874" i="1"/>
  <c r="CE875" i="1"/>
  <c r="CE876" i="1"/>
  <c r="CE877" i="1"/>
  <c r="CE878" i="1"/>
  <c r="CE879" i="1"/>
  <c r="CE880" i="1"/>
  <c r="CE881" i="1"/>
  <c r="CE884" i="1"/>
  <c r="CE886" i="1"/>
  <c r="CE887" i="1"/>
  <c r="CE888" i="1"/>
  <c r="CE889" i="1"/>
  <c r="CE890" i="1"/>
  <c r="CE891" i="1"/>
  <c r="CE892" i="1"/>
  <c r="CE893" i="1"/>
  <c r="CE894" i="1"/>
  <c r="CE895" i="1"/>
  <c r="CE897" i="1"/>
  <c r="CE898" i="1"/>
  <c r="CE899" i="1"/>
  <c r="CE900" i="1"/>
  <c r="CE901" i="1"/>
  <c r="CE902" i="1"/>
  <c r="CE905" i="1"/>
  <c r="CE906" i="1"/>
  <c r="CE908" i="1"/>
  <c r="CE909" i="1"/>
  <c r="CE910" i="1"/>
  <c r="CE911" i="1"/>
  <c r="CE912" i="1"/>
  <c r="CE913" i="1"/>
  <c r="CE915" i="1"/>
  <c r="CE916" i="1"/>
  <c r="CE917" i="1"/>
  <c r="CE918" i="1"/>
  <c r="CE919" i="1"/>
  <c r="CE921" i="1"/>
  <c r="CE922" i="1"/>
  <c r="CE923" i="1"/>
  <c r="CE924" i="1"/>
  <c r="CE925" i="1"/>
  <c r="CE927" i="1"/>
  <c r="CE928" i="1"/>
  <c r="CE929" i="1"/>
  <c r="CE930" i="1"/>
  <c r="CE931" i="1"/>
  <c r="CE932" i="1"/>
  <c r="CE933" i="1"/>
  <c r="CE935" i="1"/>
  <c r="CE936" i="1"/>
  <c r="CE937" i="1"/>
  <c r="CE938" i="1"/>
  <c r="CE939" i="1"/>
  <c r="CE940" i="1"/>
  <c r="CE941" i="1"/>
  <c r="CE943" i="1"/>
  <c r="CE944" i="1"/>
  <c r="CE945" i="1"/>
  <c r="CE947" i="1"/>
  <c r="CE948" i="1"/>
  <c r="CE950" i="1"/>
  <c r="CE951" i="1"/>
  <c r="CE952" i="1"/>
  <c r="CE953" i="1"/>
  <c r="CE954" i="1"/>
  <c r="CE955" i="1"/>
  <c r="CE956" i="1"/>
  <c r="CE957" i="1"/>
  <c r="CE958" i="1"/>
  <c r="CE960" i="1"/>
  <c r="CE961" i="1"/>
  <c r="CE962" i="1"/>
  <c r="CE963" i="1"/>
  <c r="CE964" i="1"/>
  <c r="CE965" i="1"/>
  <c r="CE966" i="1"/>
  <c r="CE967" i="1"/>
  <c r="CE969" i="1"/>
  <c r="CE970" i="1"/>
  <c r="CE971" i="1"/>
  <c r="CE972" i="1"/>
  <c r="CE973" i="1"/>
  <c r="CE974" i="1"/>
  <c r="CE975" i="1"/>
  <c r="CE977" i="1"/>
  <c r="CE978" i="1"/>
  <c r="CE979" i="1"/>
  <c r="CE980" i="1"/>
  <c r="CE981" i="1"/>
  <c r="P983" i="1"/>
  <c r="CE983" i="1" s="1"/>
  <c r="CE985" i="1"/>
  <c r="CE986" i="1"/>
  <c r="CE987" i="1"/>
  <c r="P989" i="1"/>
  <c r="CE989" i="1" s="1"/>
  <c r="CE990" i="1"/>
  <c r="CE991" i="1"/>
  <c r="CE992" i="1"/>
  <c r="CE993" i="1"/>
  <c r="CE994" i="1"/>
  <c r="CE996" i="1"/>
  <c r="CE997" i="1"/>
  <c r="CE998" i="1"/>
  <c r="CE999" i="1"/>
  <c r="CE1000" i="1"/>
  <c r="CE1001" i="1"/>
  <c r="CE1002" i="1"/>
  <c r="CE1003" i="1"/>
  <c r="CE1006" i="1"/>
  <c r="CE1007" i="1"/>
  <c r="CE1008" i="1"/>
  <c r="CE1009" i="1"/>
  <c r="CE1010" i="1"/>
  <c r="CE1011" i="1"/>
  <c r="CE1013" i="1"/>
  <c r="CE1014" i="1"/>
  <c r="CE1015" i="1"/>
  <c r="CE1016" i="1"/>
  <c r="CE1017" i="1"/>
  <c r="CE1018" i="1"/>
  <c r="CE1019" i="1"/>
  <c r="CE1020" i="1"/>
  <c r="CE1021" i="1"/>
  <c r="CE1022" i="1"/>
  <c r="CE1023" i="1"/>
  <c r="CE1025" i="1"/>
  <c r="CE1026" i="1"/>
  <c r="CE1027" i="1"/>
  <c r="CE1028" i="1"/>
  <c r="CE1029" i="1"/>
  <c r="CE1030" i="1"/>
  <c r="CE1031" i="1"/>
  <c r="CE1032" i="1"/>
  <c r="CE1033" i="1"/>
  <c r="CE1036" i="1"/>
  <c r="CE1037" i="1"/>
  <c r="CE1038" i="1"/>
  <c r="CE1039" i="1"/>
  <c r="CE1040" i="1"/>
  <c r="CE1041" i="1"/>
  <c r="CE1042" i="1"/>
  <c r="CE1043" i="1"/>
  <c r="CE1044" i="1"/>
  <c r="CE1046" i="1"/>
  <c r="CE1047" i="1"/>
  <c r="CE1048" i="1"/>
  <c r="CE1051" i="1"/>
  <c r="CE1053" i="1"/>
  <c r="CE1054" i="1"/>
  <c r="CE1055" i="1"/>
  <c r="CE1056" i="1"/>
  <c r="CE1057" i="1"/>
  <c r="CE1059" i="1"/>
  <c r="CE1060" i="1"/>
  <c r="CE1061" i="1"/>
  <c r="CE1062" i="1"/>
  <c r="CE1063" i="1"/>
  <c r="CE1064" i="1"/>
  <c r="CE1066" i="1"/>
  <c r="CE1067" i="1"/>
  <c r="CE1068" i="1"/>
  <c r="CE1069" i="1"/>
  <c r="CE1070" i="1"/>
  <c r="CE1071" i="1"/>
  <c r="CE1072" i="1"/>
  <c r="CE1073" i="1"/>
  <c r="CE1075" i="1"/>
  <c r="CE1076" i="1"/>
  <c r="CE1077" i="1"/>
  <c r="CE1079" i="1"/>
  <c r="CE1080" i="1"/>
  <c r="CE1081" i="1"/>
  <c r="CE1082" i="1"/>
  <c r="CE1083" i="1"/>
  <c r="CE1084" i="1"/>
  <c r="CE1086" i="1"/>
  <c r="CE1087" i="1"/>
  <c r="CE1088" i="1"/>
  <c r="CE1089" i="1"/>
  <c r="CE1090" i="1"/>
  <c r="CE1091" i="1"/>
  <c r="CE1092" i="1"/>
  <c r="CE1093" i="1"/>
  <c r="CE1094" i="1"/>
  <c r="CE1097" i="1"/>
  <c r="CE1098" i="1"/>
  <c r="CE1099" i="1"/>
  <c r="CE1100" i="1"/>
  <c r="CE1101" i="1"/>
  <c r="CE1102" i="1"/>
  <c r="CE1103" i="1"/>
  <c r="CE1104" i="1"/>
  <c r="CE1105" i="1"/>
  <c r="CE1106" i="1"/>
  <c r="CE1108" i="1"/>
  <c r="CE1109" i="1"/>
  <c r="CE1110" i="1"/>
  <c r="CE1111" i="1"/>
  <c r="CE1112" i="1"/>
  <c r="CE1113" i="1"/>
  <c r="CE1115" i="1"/>
  <c r="CE1116" i="1"/>
  <c r="CE1117" i="1"/>
  <c r="CE1118" i="1"/>
  <c r="CE1120" i="1"/>
  <c r="CE1122" i="1"/>
  <c r="CE1123" i="1"/>
  <c r="CE1124" i="1"/>
  <c r="P1126" i="1"/>
  <c r="CE1126" i="1" s="1"/>
  <c r="CE1127" i="1"/>
  <c r="CE1128" i="1"/>
  <c r="CE1129" i="1"/>
  <c r="CE1130" i="1"/>
  <c r="CE1131" i="1"/>
  <c r="CE1132" i="1"/>
  <c r="CE1133" i="1"/>
  <c r="CE1135" i="1"/>
  <c r="CE1136" i="1"/>
  <c r="CE1137" i="1"/>
  <c r="CE1138" i="1"/>
  <c r="CE1139" i="1"/>
  <c r="CE1140" i="1"/>
  <c r="CE1143" i="1"/>
  <c r="CE1144" i="1"/>
  <c r="CE1145" i="1"/>
  <c r="CE1146" i="1"/>
  <c r="CE1147" i="1"/>
  <c r="CE1148" i="1"/>
  <c r="CE1149" i="1"/>
  <c r="CE1150" i="1"/>
  <c r="CE1153" i="1"/>
  <c r="CE1154" i="1"/>
  <c r="CE1155" i="1"/>
  <c r="CE1157" i="1"/>
  <c r="CE1158" i="1"/>
  <c r="CE1159" i="1"/>
  <c r="CE1160" i="1"/>
  <c r="CE1161" i="1"/>
  <c r="CE1162" i="1"/>
  <c r="CE1163" i="1"/>
  <c r="CE1164" i="1"/>
  <c r="CE1165" i="1"/>
  <c r="P1167" i="1"/>
  <c r="CE1167" i="1" s="1"/>
  <c r="CE1168" i="1"/>
  <c r="CE1169" i="1"/>
  <c r="CE1170" i="1"/>
  <c r="CE1172" i="1"/>
  <c r="CE1173" i="1"/>
  <c r="CE1174" i="1"/>
  <c r="CE1175" i="1"/>
  <c r="CE1177" i="1"/>
  <c r="CE1178" i="1"/>
  <c r="CE1179" i="1"/>
  <c r="CE1180" i="1"/>
  <c r="CE1181" i="1"/>
  <c r="CE1182" i="1"/>
  <c r="CE1183" i="1"/>
  <c r="CE1185" i="1"/>
  <c r="CE1186" i="1"/>
  <c r="CE1187" i="1"/>
  <c r="CE1188" i="1"/>
  <c r="CE1189" i="1"/>
  <c r="CE1190" i="1"/>
  <c r="CE1192" i="1"/>
  <c r="CE1194" i="1"/>
  <c r="CE1195" i="1"/>
  <c r="CE1196" i="1"/>
  <c r="CE1199" i="1"/>
  <c r="CE1201" i="1"/>
  <c r="CE1202" i="1"/>
  <c r="CE1203" i="1"/>
  <c r="CE1204" i="1"/>
  <c r="CE1205" i="1"/>
  <c r="CE1206" i="1"/>
  <c r="CE1207" i="1"/>
  <c r="CE1209" i="1"/>
  <c r="CE1210" i="1"/>
  <c r="CE1211" i="1"/>
  <c r="CE1212" i="1"/>
  <c r="CE1213" i="1"/>
  <c r="CE1214" i="1"/>
  <c r="CE1215" i="1"/>
  <c r="CE1216" i="1"/>
  <c r="CE1217" i="1"/>
  <c r="CE1219" i="1"/>
  <c r="CE1220" i="1"/>
  <c r="CE1223" i="1"/>
  <c r="CE1224" i="1"/>
  <c r="CE1225" i="1"/>
  <c r="CE1226" i="1"/>
  <c r="CE1227" i="1"/>
  <c r="CE1229" i="1"/>
  <c r="CE1230" i="1"/>
  <c r="CE1231" i="1"/>
  <c r="CE1232" i="1"/>
  <c r="CE1233" i="1"/>
  <c r="CE1234" i="1"/>
  <c r="CE1235" i="1"/>
  <c r="CE1236" i="1"/>
  <c r="CE1238" i="1"/>
  <c r="CE1240" i="1"/>
  <c r="CE1241" i="1"/>
  <c r="CE1242" i="1"/>
  <c r="CE1244" i="1"/>
  <c r="CE1245" i="1"/>
  <c r="CE1246" i="1"/>
  <c r="CE1247" i="1"/>
  <c r="CE1248" i="1"/>
  <c r="CE1250" i="1"/>
  <c r="CE1251" i="1"/>
  <c r="CE1252" i="1"/>
  <c r="CE1253" i="1"/>
  <c r="CE1254" i="1"/>
  <c r="CE1255" i="1"/>
  <c r="CE1256" i="1"/>
  <c r="CE1257" i="1"/>
  <c r="CE1258" i="1"/>
  <c r="CE1259" i="1"/>
  <c r="CE1261" i="1"/>
  <c r="CE1262" i="1"/>
  <c r="CE1263" i="1"/>
  <c r="CE1265" i="1"/>
  <c r="CE1266" i="1"/>
  <c r="CE1267" i="1"/>
  <c r="CE1268" i="1"/>
  <c r="CE1272" i="1"/>
  <c r="P1274" i="1"/>
  <c r="CE1274" i="1"/>
  <c r="CE1275" i="1"/>
  <c r="CE1276" i="1"/>
  <c r="CE1277" i="1"/>
  <c r="CE1278" i="1"/>
  <c r="CE1279" i="1"/>
  <c r="CE1280" i="1"/>
  <c r="P1282" i="1"/>
  <c r="CE1282" i="1"/>
  <c r="CE1283" i="1"/>
  <c r="CE1284" i="1"/>
  <c r="CE1285" i="1"/>
  <c r="CE1286" i="1"/>
  <c r="CE1287" i="1"/>
  <c r="CE1288" i="1"/>
  <c r="CE1289" i="1"/>
  <c r="CE1291" i="1"/>
  <c r="CE1292" i="1"/>
  <c r="CE1293" i="1"/>
  <c r="CE1294" i="1"/>
  <c r="CE1295" i="1"/>
  <c r="CE1296" i="1"/>
  <c r="CE1297" i="1"/>
  <c r="CE1298" i="1"/>
  <c r="CE1299" i="1"/>
  <c r="CE1300" i="1"/>
  <c r="CE1301" i="1"/>
  <c r="CE1303" i="1"/>
  <c r="CE1304" i="1"/>
  <c r="CE1305" i="1"/>
  <c r="CE1306" i="1"/>
  <c r="CE1307" i="1"/>
  <c r="CE1308" i="1"/>
  <c r="CE1309" i="1"/>
  <c r="CE1310" i="1"/>
  <c r="CE1311" i="1"/>
  <c r="CE1312" i="1"/>
  <c r="CE1313" i="1"/>
  <c r="CF67" i="1"/>
  <c r="CF68" i="1"/>
  <c r="CF69" i="1"/>
  <c r="CF70" i="1"/>
  <c r="CF71" i="1"/>
  <c r="CF72" i="1"/>
  <c r="CF73" i="1"/>
  <c r="CF74" i="1"/>
  <c r="Q76" i="1"/>
  <c r="CF76" i="1"/>
  <c r="CF77" i="1"/>
  <c r="CF78" i="1"/>
  <c r="CF79" i="1"/>
  <c r="CF80" i="1"/>
  <c r="CF81" i="1"/>
  <c r="CF82" i="1"/>
  <c r="Q84" i="1"/>
  <c r="CF84" i="1"/>
  <c r="CF85" i="1"/>
  <c r="CF86" i="1"/>
  <c r="CF87" i="1"/>
  <c r="CF88" i="1"/>
  <c r="CF89" i="1"/>
  <c r="CF90" i="1"/>
  <c r="CF92" i="1"/>
  <c r="CF93" i="1"/>
  <c r="CF94" i="1"/>
  <c r="CF95" i="1"/>
  <c r="CF96" i="1"/>
  <c r="CF97" i="1"/>
  <c r="CF98" i="1"/>
  <c r="CF101" i="1"/>
  <c r="CF103" i="1"/>
  <c r="CF104" i="1"/>
  <c r="CF105" i="1"/>
  <c r="CF106" i="1"/>
  <c r="CF107" i="1"/>
  <c r="CF108" i="1"/>
  <c r="CF109" i="1"/>
  <c r="CF111" i="1"/>
  <c r="CF112" i="1"/>
  <c r="CF113" i="1"/>
  <c r="CF114" i="1"/>
  <c r="CF115" i="1"/>
  <c r="CF116" i="1"/>
  <c r="CF117" i="1"/>
  <c r="CF118" i="1"/>
  <c r="CF119" i="1"/>
  <c r="CF120" i="1"/>
  <c r="CF122" i="1"/>
  <c r="CF124" i="1"/>
  <c r="CF125" i="1"/>
  <c r="CF126" i="1"/>
  <c r="CF129" i="1"/>
  <c r="CF131" i="1"/>
  <c r="CF132" i="1"/>
  <c r="CF136" i="1"/>
  <c r="Q138" i="1"/>
  <c r="CF138" i="1" s="1"/>
  <c r="CF139" i="1"/>
  <c r="CF140" i="1"/>
  <c r="CF141" i="1"/>
  <c r="CF142" i="1"/>
  <c r="Q144" i="1"/>
  <c r="CF144" i="1" s="1"/>
  <c r="CF145" i="1"/>
  <c r="CF146" i="1"/>
  <c r="CF147" i="1"/>
  <c r="CF148" i="1"/>
  <c r="CF149" i="1"/>
  <c r="CF151" i="1"/>
  <c r="CF152" i="1"/>
  <c r="CF153" i="1"/>
  <c r="CF154" i="1"/>
  <c r="CF155" i="1"/>
  <c r="CF156" i="1"/>
  <c r="CF157" i="1"/>
  <c r="CF158" i="1"/>
  <c r="CF160" i="1"/>
  <c r="CF161" i="1"/>
  <c r="CF162" i="1"/>
  <c r="CF163" i="1"/>
  <c r="CF165" i="1"/>
  <c r="CF166" i="1"/>
  <c r="CF167" i="1"/>
  <c r="CF168" i="1"/>
  <c r="CF169" i="1"/>
  <c r="CF170" i="1"/>
  <c r="Q172" i="1"/>
  <c r="CF172" i="1" s="1"/>
  <c r="CF173" i="1"/>
  <c r="CF175" i="1"/>
  <c r="CF176" i="1"/>
  <c r="CF177" i="1"/>
  <c r="CF178" i="1"/>
  <c r="CF179" i="1"/>
  <c r="CF180" i="1"/>
  <c r="CF181" i="1"/>
  <c r="CF182" i="1"/>
  <c r="CF183" i="1"/>
  <c r="CF184" i="1"/>
  <c r="CF186" i="1"/>
  <c r="CF187" i="1"/>
  <c r="CF188" i="1"/>
  <c r="CF189" i="1"/>
  <c r="CF190" i="1"/>
  <c r="CF191" i="1"/>
  <c r="CF192" i="1"/>
  <c r="CF193" i="1"/>
  <c r="Q195" i="1"/>
  <c r="CF195" i="1"/>
  <c r="CF196" i="1"/>
  <c r="CF197" i="1"/>
  <c r="CF198" i="1"/>
  <c r="CF200" i="1"/>
  <c r="CF201" i="1"/>
  <c r="CF202" i="1"/>
  <c r="CF203" i="1"/>
  <c r="CF204" i="1"/>
  <c r="CF205" i="1"/>
  <c r="CF206" i="1"/>
  <c r="CF207" i="1"/>
  <c r="CF209" i="1"/>
  <c r="CF210" i="1"/>
  <c r="CF211" i="1"/>
  <c r="CF212" i="1"/>
  <c r="CF213" i="1"/>
  <c r="CF214" i="1"/>
  <c r="CF215" i="1"/>
  <c r="CF217" i="1"/>
  <c r="CF218" i="1"/>
  <c r="CF219" i="1"/>
  <c r="CF220" i="1"/>
  <c r="CF221" i="1"/>
  <c r="CF222" i="1"/>
  <c r="CF224" i="1"/>
  <c r="CF225" i="1"/>
  <c r="CF226" i="1"/>
  <c r="CF227" i="1"/>
  <c r="CF228" i="1"/>
  <c r="CF229" i="1"/>
  <c r="CF231" i="1"/>
  <c r="CF232" i="1"/>
  <c r="CF233" i="1"/>
  <c r="CF234" i="1"/>
  <c r="CF235" i="1"/>
  <c r="CF236" i="1"/>
  <c r="CF237" i="1"/>
  <c r="CF238" i="1"/>
  <c r="Q240" i="1"/>
  <c r="CF240" i="1"/>
  <c r="CF241" i="1"/>
  <c r="CF242" i="1"/>
  <c r="CF243" i="1"/>
  <c r="CF244" i="1"/>
  <c r="CF245" i="1"/>
  <c r="CF246" i="1"/>
  <c r="CF247" i="1"/>
  <c r="CF250" i="1"/>
  <c r="CF251" i="1"/>
  <c r="CF252" i="1"/>
  <c r="CF253" i="1"/>
  <c r="CF254" i="1"/>
  <c r="CF255" i="1"/>
  <c r="CF256" i="1"/>
  <c r="CF258" i="1"/>
  <c r="CF259" i="1"/>
  <c r="CF260" i="1"/>
  <c r="CF261" i="1"/>
  <c r="CF262" i="1"/>
  <c r="CF263" i="1"/>
  <c r="CF264" i="1"/>
  <c r="CF265" i="1"/>
  <c r="CF266" i="1"/>
  <c r="CF268" i="1"/>
  <c r="CF269" i="1"/>
  <c r="CF270" i="1"/>
  <c r="CF271" i="1"/>
  <c r="CF272" i="1"/>
  <c r="CF273" i="1"/>
  <c r="CF274" i="1"/>
  <c r="CF275" i="1"/>
  <c r="CF276" i="1"/>
  <c r="Q278" i="1"/>
  <c r="CF278" i="1" s="1"/>
  <c r="CF279" i="1"/>
  <c r="CF280" i="1"/>
  <c r="CF281" i="1"/>
  <c r="CF282" i="1"/>
  <c r="CF283" i="1"/>
  <c r="CF285" i="1"/>
  <c r="CF286" i="1"/>
  <c r="CF287" i="1"/>
  <c r="CF288" i="1"/>
  <c r="CF291" i="1"/>
  <c r="CF292" i="1"/>
  <c r="CF293" i="1"/>
  <c r="CF294" i="1"/>
  <c r="CF296" i="1"/>
  <c r="CF297" i="1"/>
  <c r="CF298" i="1"/>
  <c r="CF299" i="1"/>
  <c r="CF300" i="1"/>
  <c r="CF301" i="1"/>
  <c r="CF302" i="1"/>
  <c r="CF303" i="1"/>
  <c r="CF305" i="1"/>
  <c r="CF306" i="1"/>
  <c r="CF307" i="1"/>
  <c r="CF308" i="1"/>
  <c r="CF309" i="1"/>
  <c r="CF310" i="1"/>
  <c r="CF311" i="1"/>
  <c r="CF312" i="1"/>
  <c r="CF313" i="1"/>
  <c r="CF314" i="1"/>
  <c r="CF316" i="1"/>
  <c r="CF317" i="1"/>
  <c r="CF318" i="1"/>
  <c r="CF319" i="1"/>
  <c r="CF320" i="1"/>
  <c r="CF321" i="1"/>
  <c r="CF322" i="1"/>
  <c r="CF323" i="1"/>
  <c r="CF324" i="1"/>
  <c r="CF325" i="1"/>
  <c r="CF326" i="1"/>
  <c r="CF327" i="1"/>
  <c r="Q329" i="1"/>
  <c r="CF329" i="1"/>
  <c r="CF330" i="1"/>
  <c r="CF332" i="1"/>
  <c r="CF333" i="1"/>
  <c r="CF334" i="1"/>
  <c r="CF335" i="1"/>
  <c r="CF336" i="1"/>
  <c r="CF337" i="1"/>
  <c r="CF338" i="1"/>
  <c r="CF340" i="1"/>
  <c r="CF341" i="1"/>
  <c r="CF342" i="1"/>
  <c r="CF343" i="1"/>
  <c r="CF344" i="1"/>
  <c r="CF345" i="1"/>
  <c r="CF346" i="1"/>
  <c r="CF347" i="1"/>
  <c r="CF348" i="1"/>
  <c r="CF349" i="1"/>
  <c r="CF351" i="1"/>
  <c r="CF352" i="1"/>
  <c r="CF353" i="1"/>
  <c r="CF354" i="1"/>
  <c r="CF355" i="1"/>
  <c r="CF356" i="1"/>
  <c r="Q358" i="1"/>
  <c r="CF358" i="1" s="1"/>
  <c r="CF359" i="1"/>
  <c r="CF360" i="1"/>
  <c r="CF361" i="1"/>
  <c r="CF362" i="1"/>
  <c r="CF363" i="1"/>
  <c r="CF364" i="1"/>
  <c r="CF365" i="1"/>
  <c r="CF367" i="1"/>
  <c r="CF368" i="1"/>
  <c r="CF369" i="1"/>
  <c r="CF371" i="1"/>
  <c r="CF372" i="1"/>
  <c r="CF373" i="1"/>
  <c r="Q375" i="1"/>
  <c r="CF375" i="1" s="1"/>
  <c r="CF376" i="1"/>
  <c r="CF378" i="1"/>
  <c r="CF379" i="1"/>
  <c r="CF380" i="1"/>
  <c r="CF381" i="1"/>
  <c r="CF382" i="1"/>
  <c r="CF383" i="1"/>
  <c r="CF385" i="1"/>
  <c r="CF386" i="1"/>
  <c r="CF387" i="1"/>
  <c r="CF388" i="1"/>
  <c r="CF389" i="1"/>
  <c r="CF390" i="1"/>
  <c r="CF391" i="1"/>
  <c r="CF393" i="1"/>
  <c r="CF394" i="1"/>
  <c r="CF395" i="1"/>
  <c r="CF396" i="1"/>
  <c r="CF397" i="1"/>
  <c r="CF398" i="1"/>
  <c r="CF399" i="1"/>
  <c r="CF400" i="1"/>
  <c r="CF401" i="1"/>
  <c r="CF403" i="1"/>
  <c r="CF404" i="1"/>
  <c r="CF405" i="1"/>
  <c r="CF406" i="1"/>
  <c r="CF407" i="1"/>
  <c r="CF408" i="1"/>
  <c r="CF409" i="1"/>
  <c r="CF410" i="1"/>
  <c r="CF411" i="1"/>
  <c r="CF413" i="1"/>
  <c r="CF414" i="1"/>
  <c r="CF415" i="1"/>
  <c r="CF416" i="1"/>
  <c r="CF417" i="1"/>
  <c r="CF418" i="1"/>
  <c r="CF421" i="1"/>
  <c r="CF422" i="1"/>
  <c r="CF423" i="1"/>
  <c r="CF424" i="1"/>
  <c r="CF425" i="1"/>
  <c r="CF426" i="1"/>
  <c r="CF427" i="1"/>
  <c r="CF428" i="1"/>
  <c r="CF430" i="1"/>
  <c r="CF431" i="1"/>
  <c r="CF432" i="1"/>
  <c r="CF433" i="1"/>
  <c r="CF434" i="1"/>
  <c r="CF435" i="1"/>
  <c r="CF436" i="1"/>
  <c r="CF438" i="1"/>
  <c r="CF439" i="1"/>
  <c r="CF440" i="1"/>
  <c r="CF441" i="1"/>
  <c r="CF442" i="1"/>
  <c r="CF443" i="1"/>
  <c r="CF446" i="1"/>
  <c r="CF447" i="1"/>
  <c r="CF448" i="1"/>
  <c r="CF449" i="1"/>
  <c r="CF450" i="1"/>
  <c r="CF451" i="1"/>
  <c r="CF452" i="1"/>
  <c r="Q454" i="1"/>
  <c r="CF454" i="1" s="1"/>
  <c r="CF455" i="1"/>
  <c r="CF456" i="1"/>
  <c r="CF457" i="1"/>
  <c r="CF459" i="1"/>
  <c r="CF460" i="1"/>
  <c r="CF461" i="1"/>
  <c r="CF462" i="1"/>
  <c r="CF463" i="1"/>
  <c r="CF464" i="1"/>
  <c r="CF465" i="1"/>
  <c r="CF466" i="1"/>
  <c r="CF469" i="1"/>
  <c r="CF470" i="1"/>
  <c r="CF471" i="1"/>
  <c r="CF472" i="1"/>
  <c r="CF473" i="1"/>
  <c r="CF474" i="1"/>
  <c r="CF475" i="1"/>
  <c r="CF476" i="1"/>
  <c r="CF478" i="1"/>
  <c r="CF479" i="1"/>
  <c r="CF480" i="1"/>
  <c r="CF481" i="1"/>
  <c r="CF482" i="1"/>
  <c r="CF483" i="1"/>
  <c r="CF485" i="1"/>
  <c r="CF486" i="1"/>
  <c r="CF487" i="1"/>
  <c r="CF488" i="1"/>
  <c r="CF489" i="1"/>
  <c r="CF490" i="1"/>
  <c r="CF491" i="1"/>
  <c r="CF492" i="1"/>
  <c r="CF493" i="1"/>
  <c r="CF495" i="1"/>
  <c r="CF496" i="1"/>
  <c r="CF497" i="1"/>
  <c r="CF498" i="1"/>
  <c r="CF499" i="1"/>
  <c r="CF500" i="1"/>
  <c r="CF502" i="1"/>
  <c r="CF503" i="1"/>
  <c r="CF504" i="1"/>
  <c r="CF505" i="1"/>
  <c r="CF506" i="1"/>
  <c r="CF507" i="1"/>
  <c r="CF508" i="1"/>
  <c r="CF510" i="1"/>
  <c r="CF511" i="1"/>
  <c r="CF512" i="1"/>
  <c r="CF514" i="1"/>
  <c r="CF515" i="1"/>
  <c r="CF516" i="1"/>
  <c r="CF517" i="1"/>
  <c r="CF518" i="1"/>
  <c r="CF521" i="1"/>
  <c r="CF522" i="1"/>
  <c r="CF523" i="1"/>
  <c r="CF524" i="1"/>
  <c r="CF525" i="1"/>
  <c r="CF526" i="1"/>
  <c r="CF527" i="1"/>
  <c r="CF529" i="1"/>
  <c r="CF530" i="1"/>
  <c r="CF531" i="1"/>
  <c r="CF532" i="1"/>
  <c r="CF533" i="1"/>
  <c r="CF534" i="1"/>
  <c r="CF535" i="1"/>
  <c r="CF536" i="1"/>
  <c r="CF539" i="1"/>
  <c r="CF540" i="1"/>
  <c r="CF541" i="1"/>
  <c r="CF542" i="1"/>
  <c r="CF543" i="1"/>
  <c r="CF544" i="1"/>
  <c r="CF545" i="1"/>
  <c r="CF546" i="1"/>
  <c r="CF548" i="1"/>
  <c r="CF549" i="1"/>
  <c r="CF550" i="1"/>
  <c r="CF551" i="1"/>
  <c r="CF552" i="1"/>
  <c r="CF553" i="1"/>
  <c r="CF554" i="1"/>
  <c r="CF555" i="1"/>
  <c r="CF557" i="1"/>
  <c r="CF558" i="1"/>
  <c r="CF559" i="1"/>
  <c r="CF560" i="1"/>
  <c r="CF561" i="1"/>
  <c r="CF562" i="1"/>
  <c r="CF564" i="1"/>
  <c r="CF565" i="1"/>
  <c r="CF566" i="1"/>
  <c r="CF567" i="1"/>
  <c r="CF570" i="1"/>
  <c r="CF572" i="1"/>
  <c r="CF573" i="1"/>
  <c r="CF574" i="1"/>
  <c r="CF576" i="1"/>
  <c r="CF577" i="1"/>
  <c r="CF578" i="1"/>
  <c r="CF579" i="1"/>
  <c r="CF580" i="1"/>
  <c r="CF581" i="1"/>
  <c r="Q583" i="1"/>
  <c r="CF583" i="1"/>
  <c r="CF584" i="1"/>
  <c r="CF586" i="1"/>
  <c r="CF587" i="1"/>
  <c r="CF588" i="1"/>
  <c r="CF591" i="1"/>
  <c r="CF592" i="1"/>
  <c r="CF593" i="1"/>
  <c r="CF594" i="1"/>
  <c r="CF595" i="1"/>
  <c r="CF596" i="1"/>
  <c r="CF597" i="1"/>
  <c r="CF598" i="1"/>
  <c r="CF600" i="1"/>
  <c r="CF601" i="1"/>
  <c r="CF603" i="1"/>
  <c r="CF604" i="1"/>
  <c r="CF605" i="1"/>
  <c r="CF607" i="1"/>
  <c r="CF608" i="1"/>
  <c r="CF609" i="1"/>
  <c r="CF610" i="1"/>
  <c r="CF611" i="1"/>
  <c r="CF612" i="1"/>
  <c r="Q614" i="1"/>
  <c r="CF614" i="1" s="1"/>
  <c r="CF615" i="1"/>
  <c r="CF617" i="1"/>
  <c r="CF618" i="1"/>
  <c r="CF619" i="1"/>
  <c r="CF620" i="1"/>
  <c r="CF622" i="1"/>
  <c r="CF623" i="1"/>
  <c r="CF624" i="1"/>
  <c r="CF625" i="1"/>
  <c r="CF626" i="1"/>
  <c r="CF628" i="1"/>
  <c r="CF629" i="1"/>
  <c r="CF630" i="1"/>
  <c r="CF631" i="1"/>
  <c r="CF632" i="1"/>
  <c r="CF633" i="1"/>
  <c r="CF634" i="1"/>
  <c r="Q636" i="1"/>
  <c r="CF636" i="1"/>
  <c r="CF637" i="1"/>
  <c r="CF638" i="1"/>
  <c r="CF639" i="1"/>
  <c r="CF641" i="1"/>
  <c r="CF643" i="1"/>
  <c r="CF644" i="1"/>
  <c r="CF645" i="1"/>
  <c r="CF647" i="1"/>
  <c r="CF648" i="1"/>
  <c r="CF649" i="1"/>
  <c r="CF650" i="1"/>
  <c r="CF651" i="1"/>
  <c r="CF652" i="1"/>
  <c r="Q654" i="1"/>
  <c r="CF654" i="1" s="1"/>
  <c r="CF655" i="1"/>
  <c r="CF656" i="1"/>
  <c r="CF657" i="1"/>
  <c r="CF658" i="1"/>
  <c r="CF659" i="1"/>
  <c r="CF660" i="1"/>
  <c r="CF662" i="1"/>
  <c r="CF663" i="1"/>
  <c r="CF665" i="1"/>
  <c r="CF666" i="1"/>
  <c r="CF667" i="1"/>
  <c r="CF669" i="1"/>
  <c r="CF670" i="1"/>
  <c r="CF671" i="1"/>
  <c r="CF672" i="1"/>
  <c r="CF674" i="1"/>
  <c r="CF675" i="1"/>
  <c r="CF676" i="1"/>
  <c r="CF677" i="1"/>
  <c r="CF678" i="1"/>
  <c r="CF679" i="1"/>
  <c r="CF681" i="1"/>
  <c r="CF682" i="1"/>
  <c r="CF683" i="1"/>
  <c r="CF684" i="1"/>
  <c r="CF685" i="1"/>
  <c r="CF686" i="1"/>
  <c r="CF687" i="1"/>
  <c r="CF688" i="1"/>
  <c r="CF689" i="1"/>
  <c r="CF690" i="1"/>
  <c r="CF691" i="1"/>
  <c r="CF693" i="1"/>
  <c r="CF694" i="1"/>
  <c r="CF695" i="1"/>
  <c r="CF696" i="1"/>
  <c r="CF698" i="1"/>
  <c r="CF699" i="1"/>
  <c r="CF702" i="1"/>
  <c r="CF703" i="1"/>
  <c r="CF704" i="1"/>
  <c r="CF706" i="1"/>
  <c r="CF707" i="1"/>
  <c r="CF708" i="1"/>
  <c r="CF709" i="1"/>
  <c r="CF711" i="1"/>
  <c r="CF712" i="1"/>
  <c r="CF713" i="1"/>
  <c r="CF714" i="1"/>
  <c r="CF715" i="1"/>
  <c r="CF716" i="1"/>
  <c r="CF717" i="1"/>
  <c r="CF718" i="1"/>
  <c r="CF720" i="1"/>
  <c r="CF721" i="1"/>
  <c r="CF723" i="1"/>
  <c r="CF724" i="1"/>
  <c r="CF725" i="1"/>
  <c r="CF726" i="1"/>
  <c r="CF729" i="1"/>
  <c r="CF731" i="1"/>
  <c r="CF732" i="1"/>
  <c r="CF733" i="1"/>
  <c r="CF734" i="1"/>
  <c r="CF735" i="1"/>
  <c r="CF736" i="1"/>
  <c r="CF738" i="1"/>
  <c r="CF739" i="1"/>
  <c r="CF740" i="1"/>
  <c r="CF741" i="1"/>
  <c r="CF742" i="1"/>
  <c r="CF743" i="1"/>
  <c r="CF744" i="1"/>
  <c r="CF745" i="1"/>
  <c r="CF748" i="1"/>
  <c r="CF750" i="1"/>
  <c r="CF751" i="1"/>
  <c r="CF752" i="1"/>
  <c r="CF753" i="1"/>
  <c r="CF754" i="1"/>
  <c r="CF755" i="1"/>
  <c r="CF756" i="1"/>
  <c r="CF758" i="1"/>
  <c r="CF760" i="1"/>
  <c r="CF761" i="1"/>
  <c r="CF763" i="1"/>
  <c r="CF764" i="1"/>
  <c r="CF766" i="1"/>
  <c r="CF767" i="1"/>
  <c r="CF768" i="1"/>
  <c r="CF769" i="1"/>
  <c r="CF774" i="1"/>
  <c r="CF775" i="1"/>
  <c r="CF777" i="1"/>
  <c r="CF778" i="1"/>
  <c r="CF779" i="1"/>
  <c r="CF780" i="1"/>
  <c r="CF782" i="1"/>
  <c r="CF783" i="1"/>
  <c r="CF784" i="1"/>
  <c r="CF785" i="1"/>
  <c r="CF786" i="1"/>
  <c r="CF787" i="1"/>
  <c r="CF789" i="1"/>
  <c r="CF790" i="1"/>
  <c r="CF791" i="1"/>
  <c r="CF793" i="1"/>
  <c r="CF794" i="1"/>
  <c r="CF795" i="1"/>
  <c r="CF796" i="1"/>
  <c r="CF797" i="1"/>
  <c r="CF798" i="1"/>
  <c r="CF800" i="1"/>
  <c r="CF801" i="1"/>
  <c r="CF802" i="1"/>
  <c r="CF803" i="1"/>
  <c r="CF804" i="1"/>
  <c r="CF805" i="1"/>
  <c r="CF806" i="1"/>
  <c r="CF807" i="1"/>
  <c r="CF808" i="1"/>
  <c r="Q810" i="1"/>
  <c r="CF810" i="1"/>
  <c r="CF811" i="1"/>
  <c r="CF812" i="1"/>
  <c r="CF813" i="1"/>
  <c r="CF814" i="1"/>
  <c r="CF815" i="1"/>
  <c r="CF816" i="1"/>
  <c r="CF818" i="1"/>
  <c r="CF819" i="1"/>
  <c r="CF820" i="1"/>
  <c r="Q822" i="1"/>
  <c r="CF822" i="1"/>
  <c r="CF823" i="1"/>
  <c r="CF824" i="1"/>
  <c r="CF825" i="1"/>
  <c r="CF826" i="1"/>
  <c r="CF827" i="1"/>
  <c r="Q829" i="1"/>
  <c r="CF829" i="1"/>
  <c r="CF830" i="1"/>
  <c r="CF831" i="1"/>
  <c r="CF832" i="1"/>
  <c r="CF834" i="1"/>
  <c r="CF835" i="1"/>
  <c r="CF836" i="1"/>
  <c r="CF838" i="1"/>
  <c r="CF839" i="1"/>
  <c r="CF840" i="1"/>
  <c r="CF841" i="1"/>
  <c r="CF842" i="1"/>
  <c r="CF843" i="1"/>
  <c r="CF844" i="1"/>
  <c r="CF845" i="1"/>
  <c r="CF846" i="1"/>
  <c r="CF847" i="1"/>
  <c r="CF848" i="1"/>
  <c r="CF849" i="1"/>
  <c r="CF850" i="1"/>
  <c r="CF852" i="1"/>
  <c r="CF854" i="1"/>
  <c r="CF855" i="1"/>
  <c r="CF856" i="1"/>
  <c r="CF857" i="1"/>
  <c r="CF859" i="1"/>
  <c r="CF860" i="1"/>
  <c r="CF862" i="1"/>
  <c r="CF863" i="1"/>
  <c r="CF864" i="1"/>
  <c r="CF865" i="1"/>
  <c r="CF866" i="1"/>
  <c r="CF867" i="1"/>
  <c r="CF868" i="1"/>
  <c r="CF869" i="1"/>
  <c r="CF870" i="1"/>
  <c r="CF872" i="1"/>
  <c r="CF873" i="1"/>
  <c r="CF874" i="1"/>
  <c r="CF875" i="1"/>
  <c r="CF876" i="1"/>
  <c r="CF877" i="1"/>
  <c r="CF878" i="1"/>
  <c r="CF879" i="1"/>
  <c r="CF880" i="1"/>
  <c r="CF881" i="1"/>
  <c r="CF884" i="1"/>
  <c r="CF886" i="1"/>
  <c r="CF887" i="1"/>
  <c r="CF888" i="1"/>
  <c r="CF889" i="1"/>
  <c r="CF890" i="1"/>
  <c r="CF891" i="1"/>
  <c r="CF892" i="1"/>
  <c r="CF893" i="1"/>
  <c r="CF894" i="1"/>
  <c r="CF895" i="1"/>
  <c r="CF897" i="1"/>
  <c r="CF898" i="1"/>
  <c r="CF899" i="1"/>
  <c r="CF900" i="1"/>
  <c r="CF901" i="1"/>
  <c r="CF902" i="1"/>
  <c r="CF904" i="1"/>
  <c r="CF905" i="1"/>
  <c r="CF906" i="1"/>
  <c r="CF908" i="1"/>
  <c r="CF909" i="1"/>
  <c r="CF910" i="1"/>
  <c r="CF911" i="1"/>
  <c r="CF912" i="1"/>
  <c r="CF913" i="1"/>
  <c r="CF916" i="1"/>
  <c r="CF917" i="1"/>
  <c r="CF918" i="1"/>
  <c r="CF919" i="1"/>
  <c r="CF921" i="1"/>
  <c r="CF922" i="1"/>
  <c r="CF923" i="1"/>
  <c r="CF924" i="1"/>
  <c r="CF925" i="1"/>
  <c r="CF927" i="1"/>
  <c r="CF928" i="1"/>
  <c r="CF929" i="1"/>
  <c r="CF930" i="1"/>
  <c r="CF931" i="1"/>
  <c r="CF932" i="1"/>
  <c r="CF933" i="1"/>
  <c r="CF935" i="1"/>
  <c r="CF936" i="1"/>
  <c r="CF937" i="1"/>
  <c r="CF938" i="1"/>
  <c r="CF939" i="1"/>
  <c r="CF940" i="1"/>
  <c r="CF941" i="1"/>
  <c r="CF943" i="1"/>
  <c r="CF944" i="1"/>
  <c r="CF945" i="1"/>
  <c r="CF947" i="1"/>
  <c r="CF948" i="1"/>
  <c r="CF950" i="1"/>
  <c r="CF951" i="1"/>
  <c r="CF952" i="1"/>
  <c r="CF953" i="1"/>
  <c r="CF954" i="1"/>
  <c r="CF955" i="1"/>
  <c r="CF956" i="1"/>
  <c r="CF957" i="1"/>
  <c r="CF958" i="1"/>
  <c r="CF960" i="1"/>
  <c r="CF961" i="1"/>
  <c r="CF962" i="1"/>
  <c r="CF963" i="1"/>
  <c r="CF964" i="1"/>
  <c r="CF965" i="1"/>
  <c r="CF966" i="1"/>
  <c r="CF967" i="1"/>
  <c r="CF969" i="1"/>
  <c r="CF970" i="1"/>
  <c r="CF971" i="1"/>
  <c r="CF972" i="1"/>
  <c r="CF973" i="1"/>
  <c r="CF974" i="1"/>
  <c r="CF975" i="1"/>
  <c r="CF977" i="1"/>
  <c r="CF978" i="1"/>
  <c r="CF979" i="1"/>
  <c r="CF980" i="1"/>
  <c r="CF981" i="1"/>
  <c r="Q983" i="1"/>
  <c r="CF983" i="1"/>
  <c r="CF985" i="1"/>
  <c r="CF986" i="1"/>
  <c r="CF987" i="1"/>
  <c r="Q989" i="1"/>
  <c r="CF989" i="1" s="1"/>
  <c r="CF990" i="1"/>
  <c r="CF991" i="1"/>
  <c r="CF992" i="1"/>
  <c r="CF993" i="1"/>
  <c r="CF994" i="1"/>
  <c r="CF996" i="1"/>
  <c r="CF997" i="1"/>
  <c r="CF998" i="1"/>
  <c r="CF999" i="1"/>
  <c r="CF1000" i="1"/>
  <c r="CF1001" i="1"/>
  <c r="CF1002" i="1"/>
  <c r="CF1003" i="1"/>
  <c r="CF1005" i="1"/>
  <c r="CF1006" i="1"/>
  <c r="CF1007" i="1"/>
  <c r="CF1008" i="1"/>
  <c r="CF1009" i="1"/>
  <c r="CF1010" i="1"/>
  <c r="CF1011" i="1"/>
  <c r="CF1013" i="1"/>
  <c r="CF1014" i="1"/>
  <c r="CF1015" i="1"/>
  <c r="CF1016" i="1"/>
  <c r="CF1017" i="1"/>
  <c r="CF1018" i="1"/>
  <c r="CF1019" i="1"/>
  <c r="CF1020" i="1"/>
  <c r="CF1021" i="1"/>
  <c r="CF1022" i="1"/>
  <c r="CF1023" i="1"/>
  <c r="CF1025" i="1"/>
  <c r="CF1026" i="1"/>
  <c r="CF1027" i="1"/>
  <c r="CF1028" i="1"/>
  <c r="CF1029" i="1"/>
  <c r="CF1030" i="1"/>
  <c r="CF1031" i="1"/>
  <c r="CF1032" i="1"/>
  <c r="CF1033" i="1"/>
  <c r="CF1035" i="1"/>
  <c r="CF1036" i="1"/>
  <c r="CF1037" i="1"/>
  <c r="CF1038" i="1"/>
  <c r="CF1039" i="1"/>
  <c r="CF1040" i="1"/>
  <c r="CF1041" i="1"/>
  <c r="CF1042" i="1"/>
  <c r="CF1043" i="1"/>
  <c r="CF1044" i="1"/>
  <c r="CF1046" i="1"/>
  <c r="CF1047" i="1"/>
  <c r="CF1048" i="1"/>
  <c r="CF1051" i="1"/>
  <c r="CF1053" i="1"/>
  <c r="CF1054" i="1"/>
  <c r="CF1055" i="1"/>
  <c r="CF1056" i="1"/>
  <c r="CF1057" i="1"/>
  <c r="CF1059" i="1"/>
  <c r="CF1060" i="1"/>
  <c r="CF1061" i="1"/>
  <c r="CF1062" i="1"/>
  <c r="CF1063" i="1"/>
  <c r="CF1064" i="1"/>
  <c r="CF1066" i="1"/>
  <c r="CF1067" i="1"/>
  <c r="CF1068" i="1"/>
  <c r="CF1069" i="1"/>
  <c r="CF1070" i="1"/>
  <c r="CF1071" i="1"/>
  <c r="CF1072" i="1"/>
  <c r="CF1073" i="1"/>
  <c r="CF1075" i="1"/>
  <c r="CF1076" i="1"/>
  <c r="CF1077" i="1"/>
  <c r="CF1079" i="1"/>
  <c r="CF1080" i="1"/>
  <c r="CF1081" i="1"/>
  <c r="CF1082" i="1"/>
  <c r="CF1083" i="1"/>
  <c r="CF1084" i="1"/>
  <c r="CF1086" i="1"/>
  <c r="CF1087" i="1"/>
  <c r="CF1088" i="1"/>
  <c r="CF1089" i="1"/>
  <c r="CF1090" i="1"/>
  <c r="CF1091" i="1"/>
  <c r="CF1092" i="1"/>
  <c r="CF1093" i="1"/>
  <c r="CF1094" i="1"/>
  <c r="CF1097" i="1"/>
  <c r="CF1098" i="1"/>
  <c r="CF1099" i="1"/>
  <c r="CF1100" i="1"/>
  <c r="CF1101" i="1"/>
  <c r="CF1102" i="1"/>
  <c r="CF1103" i="1"/>
  <c r="CF1104" i="1"/>
  <c r="CF1105" i="1"/>
  <c r="CF1106" i="1"/>
  <c r="CF1108" i="1"/>
  <c r="CF1109" i="1"/>
  <c r="CF1110" i="1"/>
  <c r="CF1111" i="1"/>
  <c r="CF1112" i="1"/>
  <c r="CF1113" i="1"/>
  <c r="CF1115" i="1"/>
  <c r="CF1116" i="1"/>
  <c r="CF1117" i="1"/>
  <c r="CF1118" i="1"/>
  <c r="CF1120" i="1"/>
  <c r="CF1122" i="1"/>
  <c r="CF1123" i="1"/>
  <c r="CF1124" i="1"/>
  <c r="Q1126" i="1"/>
  <c r="CF1126" i="1" s="1"/>
  <c r="CF1127" i="1"/>
  <c r="CF1128" i="1"/>
  <c r="CF1129" i="1"/>
  <c r="CF1130" i="1"/>
  <c r="CF1131" i="1"/>
  <c r="CF1132" i="1"/>
  <c r="CF1133" i="1"/>
  <c r="CF1135" i="1"/>
  <c r="CF1136" i="1"/>
  <c r="CF1137" i="1"/>
  <c r="CF1138" i="1"/>
  <c r="CF1139" i="1"/>
  <c r="CF1140" i="1"/>
  <c r="CF1143" i="1"/>
  <c r="CF1144" i="1"/>
  <c r="CF1145" i="1"/>
  <c r="CF1146" i="1"/>
  <c r="CF1147" i="1"/>
  <c r="CF1148" i="1"/>
  <c r="CF1149" i="1"/>
  <c r="CF1150" i="1"/>
  <c r="CF1152" i="1"/>
  <c r="CF1153" i="1"/>
  <c r="CF1154" i="1"/>
  <c r="CF1155" i="1"/>
  <c r="CF1157" i="1"/>
  <c r="CF1158" i="1"/>
  <c r="CF1159" i="1"/>
  <c r="CF1160" i="1"/>
  <c r="CF1161" i="1"/>
  <c r="CF1162" i="1"/>
  <c r="CF1163" i="1"/>
  <c r="CF1164" i="1"/>
  <c r="CF1165" i="1"/>
  <c r="Q1167" i="1"/>
  <c r="CF1167" i="1" s="1"/>
  <c r="CF1168" i="1"/>
  <c r="CF1169" i="1"/>
  <c r="CF1170" i="1"/>
  <c r="CF1172" i="1"/>
  <c r="CF1173" i="1"/>
  <c r="CF1174" i="1"/>
  <c r="CF1175" i="1"/>
  <c r="CF1178" i="1"/>
  <c r="CF1179" i="1"/>
  <c r="CF1180" i="1"/>
  <c r="CF1181" i="1"/>
  <c r="CF1182" i="1"/>
  <c r="CF1183" i="1"/>
  <c r="CF1185" i="1"/>
  <c r="CF1186" i="1"/>
  <c r="CF1187" i="1"/>
  <c r="CF1188" i="1"/>
  <c r="CF1189" i="1"/>
  <c r="CF1190" i="1"/>
  <c r="CF1192" i="1"/>
  <c r="CF1194" i="1"/>
  <c r="CF1195" i="1"/>
  <c r="CF1196" i="1"/>
  <c r="CF1199" i="1"/>
  <c r="CF1201" i="1"/>
  <c r="CF1202" i="1"/>
  <c r="CF1203" i="1"/>
  <c r="CF1204" i="1"/>
  <c r="CF1205" i="1"/>
  <c r="CF1206" i="1"/>
  <c r="CF1207" i="1"/>
  <c r="CF1209" i="1"/>
  <c r="CF1210" i="1"/>
  <c r="CF1211" i="1"/>
  <c r="CF1212" i="1"/>
  <c r="CF1213" i="1"/>
  <c r="CF1214" i="1"/>
  <c r="CF1215" i="1"/>
  <c r="CF1216" i="1"/>
  <c r="CF1217" i="1"/>
  <c r="CF1219" i="1"/>
  <c r="CF1220" i="1"/>
  <c r="CF1222" i="1"/>
  <c r="CF1223" i="1"/>
  <c r="CF1224" i="1"/>
  <c r="CF1225" i="1"/>
  <c r="CF1226" i="1"/>
  <c r="CF1227" i="1"/>
  <c r="CF1229" i="1"/>
  <c r="CF1230" i="1"/>
  <c r="CF1231" i="1"/>
  <c r="CF1232" i="1"/>
  <c r="CF1233" i="1"/>
  <c r="CF1234" i="1"/>
  <c r="CF1235" i="1"/>
  <c r="CF1236" i="1"/>
  <c r="CF1238" i="1"/>
  <c r="CF1240" i="1"/>
  <c r="CF1241" i="1"/>
  <c r="CF1242" i="1"/>
  <c r="CF1244" i="1"/>
  <c r="CF1245" i="1"/>
  <c r="CF1246" i="1"/>
  <c r="CF1247" i="1"/>
  <c r="CF1248" i="1"/>
  <c r="CF1250" i="1"/>
  <c r="CF1251" i="1"/>
  <c r="CF1252" i="1"/>
  <c r="CF1253" i="1"/>
  <c r="CF1254" i="1"/>
  <c r="CF1255" i="1"/>
  <c r="CF1256" i="1"/>
  <c r="CF1257" i="1"/>
  <c r="CF1258" i="1"/>
  <c r="CF1259" i="1"/>
  <c r="CF1261" i="1"/>
  <c r="CF1262" i="1"/>
  <c r="CF1263" i="1"/>
  <c r="CF1265" i="1"/>
  <c r="CF1266" i="1"/>
  <c r="CF1267" i="1"/>
  <c r="CF1268" i="1"/>
  <c r="CF1272" i="1"/>
  <c r="Q1274" i="1"/>
  <c r="CF1274" i="1"/>
  <c r="CF1275" i="1"/>
  <c r="CF1276" i="1"/>
  <c r="CF1277" i="1"/>
  <c r="CF1278" i="1"/>
  <c r="CF1279" i="1"/>
  <c r="CF1280" i="1"/>
  <c r="Q1282" i="1"/>
  <c r="CF1282" i="1" s="1"/>
  <c r="CF1283" i="1"/>
  <c r="CF1284" i="1"/>
  <c r="CF1285" i="1"/>
  <c r="CF1286" i="1"/>
  <c r="CF1287" i="1"/>
  <c r="CF1288" i="1"/>
  <c r="CF1289" i="1"/>
  <c r="CF1292" i="1"/>
  <c r="CF1293" i="1"/>
  <c r="CF1294" i="1"/>
  <c r="CF1295" i="1"/>
  <c r="CF1296" i="1"/>
  <c r="CF1297" i="1"/>
  <c r="CF1298" i="1"/>
  <c r="CF1299" i="1"/>
  <c r="CF1300" i="1"/>
  <c r="CF1301" i="1"/>
  <c r="CF1304" i="1"/>
  <c r="CF1305" i="1"/>
  <c r="CF1306" i="1"/>
  <c r="CF1307" i="1"/>
  <c r="CF1308" i="1"/>
  <c r="CF1309" i="1"/>
  <c r="CF1310" i="1"/>
  <c r="CF1311" i="1"/>
  <c r="CF1312" i="1"/>
  <c r="CF1313" i="1"/>
  <c r="CG67" i="1"/>
  <c r="CG68" i="1"/>
  <c r="CG69" i="1"/>
  <c r="CG70" i="1"/>
  <c r="CG71" i="1"/>
  <c r="CG72" i="1"/>
  <c r="CG73" i="1"/>
  <c r="CG74" i="1"/>
  <c r="R76" i="1"/>
  <c r="CG76" i="1" s="1"/>
  <c r="CG77" i="1"/>
  <c r="CG78" i="1"/>
  <c r="CG79" i="1"/>
  <c r="CG80" i="1"/>
  <c r="CG81" i="1"/>
  <c r="CG82" i="1"/>
  <c r="R84" i="1"/>
  <c r="CG84" i="1"/>
  <c r="CG85" i="1"/>
  <c r="CG86" i="1"/>
  <c r="CG87" i="1"/>
  <c r="CG88" i="1"/>
  <c r="CG89" i="1"/>
  <c r="CG90" i="1"/>
  <c r="CG92" i="1"/>
  <c r="CG93" i="1"/>
  <c r="CG94" i="1"/>
  <c r="CG95" i="1"/>
  <c r="CG96" i="1"/>
  <c r="CG97" i="1"/>
  <c r="CG98" i="1"/>
  <c r="CG101" i="1"/>
  <c r="CG103" i="1"/>
  <c r="CG104" i="1"/>
  <c r="CG105" i="1"/>
  <c r="CG106" i="1"/>
  <c r="CG107" i="1"/>
  <c r="CG108" i="1"/>
  <c r="CG109" i="1"/>
  <c r="CG111" i="1"/>
  <c r="CG112" i="1"/>
  <c r="CG113" i="1"/>
  <c r="CG114" i="1"/>
  <c r="CG115" i="1"/>
  <c r="CG116" i="1"/>
  <c r="CG117" i="1"/>
  <c r="CG118" i="1"/>
  <c r="CG119" i="1"/>
  <c r="CG120" i="1"/>
  <c r="CG122" i="1"/>
  <c r="CG124" i="1"/>
  <c r="CG125" i="1"/>
  <c r="CG126" i="1"/>
  <c r="CG129" i="1"/>
  <c r="CG131" i="1"/>
  <c r="CG132" i="1"/>
  <c r="CG136" i="1"/>
  <c r="R138" i="1"/>
  <c r="CG138" i="1" s="1"/>
  <c r="CG139" i="1"/>
  <c r="CG140" i="1"/>
  <c r="CG141" i="1"/>
  <c r="CG142" i="1"/>
  <c r="R144" i="1"/>
  <c r="CG144" i="1"/>
  <c r="CG145" i="1"/>
  <c r="CG146" i="1"/>
  <c r="CG147" i="1"/>
  <c r="CG148" i="1"/>
  <c r="CG149" i="1"/>
  <c r="CG151" i="1"/>
  <c r="CG152" i="1"/>
  <c r="CG153" i="1"/>
  <c r="CG154" i="1"/>
  <c r="CG155" i="1"/>
  <c r="CG156" i="1"/>
  <c r="CG157" i="1"/>
  <c r="CG158" i="1"/>
  <c r="CG160" i="1"/>
  <c r="CG161" i="1"/>
  <c r="CG162" i="1"/>
  <c r="CG163" i="1"/>
  <c r="CG165" i="1"/>
  <c r="CG166" i="1"/>
  <c r="CG167" i="1"/>
  <c r="CG168" i="1"/>
  <c r="CG169" i="1"/>
  <c r="CG170" i="1"/>
  <c r="R172" i="1"/>
  <c r="CG172" i="1" s="1"/>
  <c r="CG173" i="1"/>
  <c r="CG175" i="1"/>
  <c r="CG176" i="1"/>
  <c r="CG177" i="1"/>
  <c r="CG178" i="1"/>
  <c r="CG179" i="1"/>
  <c r="CG180" i="1"/>
  <c r="CG181" i="1"/>
  <c r="CG182" i="1"/>
  <c r="CG183" i="1"/>
  <c r="CG184" i="1"/>
  <c r="CG186" i="1"/>
  <c r="CG187" i="1"/>
  <c r="CG188" i="1"/>
  <c r="CG189" i="1"/>
  <c r="CG190" i="1"/>
  <c r="CG191" i="1"/>
  <c r="CG192" i="1"/>
  <c r="CG193" i="1"/>
  <c r="R195" i="1"/>
  <c r="CG195" i="1"/>
  <c r="CG196" i="1"/>
  <c r="CG197" i="1"/>
  <c r="CG198" i="1"/>
  <c r="CG200" i="1"/>
  <c r="CG201" i="1"/>
  <c r="CG202" i="1"/>
  <c r="CG203" i="1"/>
  <c r="CG204" i="1"/>
  <c r="CG205" i="1"/>
  <c r="CG206" i="1"/>
  <c r="CG207" i="1"/>
  <c r="CG209" i="1"/>
  <c r="CG210" i="1"/>
  <c r="CG211" i="1"/>
  <c r="CG212" i="1"/>
  <c r="CG213" i="1"/>
  <c r="CG214" i="1"/>
  <c r="CG215" i="1"/>
  <c r="CG217" i="1"/>
  <c r="CG218" i="1"/>
  <c r="CG219" i="1"/>
  <c r="CG220" i="1"/>
  <c r="CG221" i="1"/>
  <c r="CG222" i="1"/>
  <c r="CG224" i="1"/>
  <c r="CG225" i="1"/>
  <c r="CG226" i="1"/>
  <c r="CG227" i="1"/>
  <c r="CG228" i="1"/>
  <c r="CG229" i="1"/>
  <c r="CG231" i="1"/>
  <c r="CG232" i="1"/>
  <c r="CG233" i="1"/>
  <c r="CG234" i="1"/>
  <c r="CG235" i="1"/>
  <c r="CG236" i="1"/>
  <c r="CG237" i="1"/>
  <c r="CG238" i="1"/>
  <c r="R240" i="1"/>
  <c r="CG240" i="1"/>
  <c r="CG241" i="1"/>
  <c r="CG242" i="1"/>
  <c r="CG243" i="1"/>
  <c r="CG244" i="1"/>
  <c r="CG245" i="1"/>
  <c r="CG246" i="1"/>
  <c r="CG247" i="1"/>
  <c r="CG249" i="1"/>
  <c r="CG250" i="1"/>
  <c r="CG251" i="1"/>
  <c r="CG252" i="1"/>
  <c r="CG253" i="1"/>
  <c r="CG254" i="1"/>
  <c r="CG255" i="1"/>
  <c r="CG256" i="1"/>
  <c r="CG258" i="1"/>
  <c r="CG259" i="1"/>
  <c r="CG260" i="1"/>
  <c r="CG261" i="1"/>
  <c r="CG262" i="1"/>
  <c r="CG263" i="1"/>
  <c r="CG264" i="1"/>
  <c r="CG265" i="1"/>
  <c r="CG266" i="1"/>
  <c r="CG268" i="1"/>
  <c r="CG269" i="1"/>
  <c r="CG270" i="1"/>
  <c r="CG271" i="1"/>
  <c r="CG272" i="1"/>
  <c r="CG273" i="1"/>
  <c r="CG274" i="1"/>
  <c r="CG275" i="1"/>
  <c r="CG276" i="1"/>
  <c r="R278" i="1"/>
  <c r="CG278" i="1"/>
  <c r="CG279" i="1"/>
  <c r="CG280" i="1"/>
  <c r="CG281" i="1"/>
  <c r="CG282" i="1"/>
  <c r="CG283" i="1"/>
  <c r="CG285" i="1"/>
  <c r="CG286" i="1"/>
  <c r="CG287" i="1"/>
  <c r="CG288" i="1"/>
  <c r="CG291" i="1"/>
  <c r="CG292" i="1"/>
  <c r="CG293" i="1"/>
  <c r="CG294" i="1"/>
  <c r="CG296" i="1"/>
  <c r="CG297" i="1"/>
  <c r="CG298" i="1"/>
  <c r="CG299" i="1"/>
  <c r="CG300" i="1"/>
  <c r="CG301" i="1"/>
  <c r="CG302" i="1"/>
  <c r="CG303" i="1"/>
  <c r="CG305" i="1"/>
  <c r="CG306" i="1"/>
  <c r="CG307" i="1"/>
  <c r="CG308" i="1"/>
  <c r="CG309" i="1"/>
  <c r="CG310" i="1"/>
  <c r="CG311" i="1"/>
  <c r="CG312" i="1"/>
  <c r="CG313" i="1"/>
  <c r="CG314" i="1"/>
  <c r="CG316" i="1"/>
  <c r="CG317" i="1"/>
  <c r="CG318" i="1"/>
  <c r="CG319" i="1"/>
  <c r="CG320" i="1"/>
  <c r="CG321" i="1"/>
  <c r="CG322" i="1"/>
  <c r="CG323" i="1"/>
  <c r="CG324" i="1"/>
  <c r="CG325" i="1"/>
  <c r="CG326" i="1"/>
  <c r="CG327" i="1"/>
  <c r="R329" i="1"/>
  <c r="CG329" i="1"/>
  <c r="CG330" i="1"/>
  <c r="CG332" i="1"/>
  <c r="CG333" i="1"/>
  <c r="CG334" i="1"/>
  <c r="CG335" i="1"/>
  <c r="CG336" i="1"/>
  <c r="CG337" i="1"/>
  <c r="CG338" i="1"/>
  <c r="CG340" i="1"/>
  <c r="CG341" i="1"/>
  <c r="CG342" i="1"/>
  <c r="CG343" i="1"/>
  <c r="CG344" i="1"/>
  <c r="CG345" i="1"/>
  <c r="CG346" i="1"/>
  <c r="CG347" i="1"/>
  <c r="CG348" i="1"/>
  <c r="CG349" i="1"/>
  <c r="CG351" i="1"/>
  <c r="CG352" i="1"/>
  <c r="CG353" i="1"/>
  <c r="CG354" i="1"/>
  <c r="CG355" i="1"/>
  <c r="CG356" i="1"/>
  <c r="R358" i="1"/>
  <c r="CG358" i="1" s="1"/>
  <c r="CG359" i="1"/>
  <c r="CG360" i="1"/>
  <c r="CG361" i="1"/>
  <c r="CG362" i="1"/>
  <c r="CG363" i="1"/>
  <c r="CG364" i="1"/>
  <c r="CG365" i="1"/>
  <c r="CG367" i="1"/>
  <c r="CG368" i="1"/>
  <c r="CG369" i="1"/>
  <c r="CG372" i="1"/>
  <c r="CG373" i="1"/>
  <c r="R375" i="1"/>
  <c r="CG375" i="1" s="1"/>
  <c r="CG376" i="1"/>
  <c r="CG378" i="1"/>
  <c r="CG379" i="1"/>
  <c r="CG380" i="1"/>
  <c r="CG381" i="1"/>
  <c r="CG382" i="1"/>
  <c r="CG383" i="1"/>
  <c r="CG385" i="1"/>
  <c r="CG386" i="1"/>
  <c r="CG387" i="1"/>
  <c r="CG388" i="1"/>
  <c r="CG389" i="1"/>
  <c r="CG390" i="1"/>
  <c r="CG391" i="1"/>
  <c r="CG393" i="1"/>
  <c r="CG394" i="1"/>
  <c r="CG395" i="1"/>
  <c r="CG396" i="1"/>
  <c r="CG397" i="1"/>
  <c r="CG398" i="1"/>
  <c r="CG399" i="1"/>
  <c r="CG400" i="1"/>
  <c r="CG401" i="1"/>
  <c r="CG403" i="1"/>
  <c r="CG404" i="1"/>
  <c r="CG405" i="1"/>
  <c r="CG406" i="1"/>
  <c r="CG407" i="1"/>
  <c r="CG408" i="1"/>
  <c r="CG409" i="1"/>
  <c r="CG410" i="1"/>
  <c r="CG411" i="1"/>
  <c r="CG413" i="1"/>
  <c r="CG414" i="1"/>
  <c r="CG415" i="1"/>
  <c r="CG416" i="1"/>
  <c r="CG417" i="1"/>
  <c r="CG418" i="1"/>
  <c r="CG421" i="1"/>
  <c r="CG422" i="1"/>
  <c r="CG423" i="1"/>
  <c r="CG424" i="1"/>
  <c r="CG425" i="1"/>
  <c r="CG426" i="1"/>
  <c r="CG427" i="1"/>
  <c r="CG428" i="1"/>
  <c r="CG430" i="1"/>
  <c r="CG431" i="1"/>
  <c r="CG432" i="1"/>
  <c r="CG433" i="1"/>
  <c r="CG434" i="1"/>
  <c r="CG435" i="1"/>
  <c r="CG436" i="1"/>
  <c r="CG438" i="1"/>
  <c r="CG439" i="1"/>
  <c r="CG440" i="1"/>
  <c r="CG441" i="1"/>
  <c r="CG442" i="1"/>
  <c r="CG443" i="1"/>
  <c r="CG446" i="1"/>
  <c r="CG447" i="1"/>
  <c r="CG448" i="1"/>
  <c r="CG449" i="1"/>
  <c r="CG450" i="1"/>
  <c r="CG451" i="1"/>
  <c r="CG452" i="1"/>
  <c r="R454" i="1"/>
  <c r="CG454" i="1" s="1"/>
  <c r="CG455" i="1"/>
  <c r="CG456" i="1"/>
  <c r="CG457" i="1"/>
  <c r="CG459" i="1"/>
  <c r="CG460" i="1"/>
  <c r="CG461" i="1"/>
  <c r="CG462" i="1"/>
  <c r="CG463" i="1"/>
  <c r="CG464" i="1"/>
  <c r="CG465" i="1"/>
  <c r="CG466" i="1"/>
  <c r="CG468" i="1"/>
  <c r="CG469" i="1"/>
  <c r="CG470" i="1"/>
  <c r="CG471" i="1"/>
  <c r="CG472" i="1"/>
  <c r="CG473" i="1"/>
  <c r="CG474" i="1"/>
  <c r="CG475" i="1"/>
  <c r="CG476" i="1"/>
  <c r="CG478" i="1"/>
  <c r="CG479" i="1"/>
  <c r="CG480" i="1"/>
  <c r="CG481" i="1"/>
  <c r="CG482" i="1"/>
  <c r="CG483" i="1"/>
  <c r="CG485" i="1"/>
  <c r="CG486" i="1"/>
  <c r="CG487" i="1"/>
  <c r="CG488" i="1"/>
  <c r="CG489" i="1"/>
  <c r="CG490" i="1"/>
  <c r="CG491" i="1"/>
  <c r="CG492" i="1"/>
  <c r="CG493" i="1"/>
  <c r="CG495" i="1"/>
  <c r="CG496" i="1"/>
  <c r="CG497" i="1"/>
  <c r="CG498" i="1"/>
  <c r="CG499" i="1"/>
  <c r="CG500" i="1"/>
  <c r="R502" i="1"/>
  <c r="CG502" i="1" s="1"/>
  <c r="CG503" i="1"/>
  <c r="CG504" i="1"/>
  <c r="CG505" i="1"/>
  <c r="CG506" i="1"/>
  <c r="CG507" i="1"/>
  <c r="CG508" i="1"/>
  <c r="CG510" i="1"/>
  <c r="CG511" i="1"/>
  <c r="CG512" i="1"/>
  <c r="CG514" i="1"/>
  <c r="CG515" i="1"/>
  <c r="CG516" i="1"/>
  <c r="CG517" i="1"/>
  <c r="CG518" i="1"/>
  <c r="CG520" i="1"/>
  <c r="CG521" i="1"/>
  <c r="CG522" i="1"/>
  <c r="CG523" i="1"/>
  <c r="CG524" i="1"/>
  <c r="CG525" i="1"/>
  <c r="CG526" i="1"/>
  <c r="CG527" i="1"/>
  <c r="CG529" i="1"/>
  <c r="CG530" i="1"/>
  <c r="CG531" i="1"/>
  <c r="CG532" i="1"/>
  <c r="CG533" i="1"/>
  <c r="CG534" i="1"/>
  <c r="CG535" i="1"/>
  <c r="CG536" i="1"/>
  <c r="CG538" i="1"/>
  <c r="CG539" i="1"/>
  <c r="CG540" i="1"/>
  <c r="CG541" i="1"/>
  <c r="CG542" i="1"/>
  <c r="CG543" i="1"/>
  <c r="CG544" i="1"/>
  <c r="CG545" i="1"/>
  <c r="CG546" i="1"/>
  <c r="CG548" i="1"/>
  <c r="CG549" i="1"/>
  <c r="CG550" i="1"/>
  <c r="CG551" i="1"/>
  <c r="CG552" i="1"/>
  <c r="CG553" i="1"/>
  <c r="CG554" i="1"/>
  <c r="CG555" i="1"/>
  <c r="CG558" i="1"/>
  <c r="CG559" i="1"/>
  <c r="CG560" i="1"/>
  <c r="CG561" i="1"/>
  <c r="CG562" i="1"/>
  <c r="CG564" i="1"/>
  <c r="CG565" i="1"/>
  <c r="CG566" i="1"/>
  <c r="CG567" i="1"/>
  <c r="CG569" i="1"/>
  <c r="CG570" i="1"/>
  <c r="CG572" i="1"/>
  <c r="CG573" i="1"/>
  <c r="CG574" i="1"/>
  <c r="CG576" i="1"/>
  <c r="CG577" i="1"/>
  <c r="CG578" i="1"/>
  <c r="CG579" i="1"/>
  <c r="CG580" i="1"/>
  <c r="CG581" i="1"/>
  <c r="R583" i="1"/>
  <c r="CG583" i="1" s="1"/>
  <c r="CG584" i="1"/>
  <c r="CG586" i="1"/>
  <c r="CG587" i="1"/>
  <c r="CG588" i="1"/>
  <c r="CG590" i="1"/>
  <c r="CG591" i="1"/>
  <c r="CG592" i="1"/>
  <c r="CG593" i="1"/>
  <c r="CG594" i="1"/>
  <c r="CG595" i="1"/>
  <c r="CG596" i="1"/>
  <c r="CG597" i="1"/>
  <c r="CG598" i="1"/>
  <c r="CG600" i="1"/>
  <c r="CG601" i="1"/>
  <c r="CG604" i="1"/>
  <c r="CG605" i="1"/>
  <c r="CG607" i="1"/>
  <c r="CG608" i="1"/>
  <c r="CG609" i="1"/>
  <c r="CG610" i="1"/>
  <c r="CG611" i="1"/>
  <c r="CG612" i="1"/>
  <c r="R614" i="1"/>
  <c r="CG614" i="1" s="1"/>
  <c r="CG615" i="1"/>
  <c r="CG617" i="1"/>
  <c r="CG618" i="1"/>
  <c r="CG619" i="1"/>
  <c r="CG620" i="1"/>
  <c r="CG622" i="1"/>
  <c r="CG623" i="1"/>
  <c r="CG624" i="1"/>
  <c r="CG625" i="1"/>
  <c r="CG626" i="1"/>
  <c r="CG628" i="1"/>
  <c r="CG629" i="1"/>
  <c r="CG630" i="1"/>
  <c r="CG631" i="1"/>
  <c r="CG632" i="1"/>
  <c r="CG633" i="1"/>
  <c r="CG634" i="1"/>
  <c r="R636" i="1"/>
  <c r="CG636" i="1" s="1"/>
  <c r="CG637" i="1"/>
  <c r="CG638" i="1"/>
  <c r="CG639" i="1"/>
  <c r="CG641" i="1"/>
  <c r="CG643" i="1"/>
  <c r="CG644" i="1"/>
  <c r="CG645" i="1"/>
  <c r="CG647" i="1"/>
  <c r="CG648" i="1"/>
  <c r="CG649" i="1"/>
  <c r="CG650" i="1"/>
  <c r="CG651" i="1"/>
  <c r="CG652" i="1"/>
  <c r="R654" i="1"/>
  <c r="CG654" i="1"/>
  <c r="CG655" i="1"/>
  <c r="CG656" i="1"/>
  <c r="CG657" i="1"/>
  <c r="CG658" i="1"/>
  <c r="CG659" i="1"/>
  <c r="CG660" i="1"/>
  <c r="CG662" i="1"/>
  <c r="CG663" i="1"/>
  <c r="CG665" i="1"/>
  <c r="CG666" i="1"/>
  <c r="CG667" i="1"/>
  <c r="CG669" i="1"/>
  <c r="CG670" i="1"/>
  <c r="CG671" i="1"/>
  <c r="CG672" i="1"/>
  <c r="CG675" i="1"/>
  <c r="CG676" i="1"/>
  <c r="CG677" i="1"/>
  <c r="CG678" i="1"/>
  <c r="CG679" i="1"/>
  <c r="CG681" i="1"/>
  <c r="CG682" i="1"/>
  <c r="CG683" i="1"/>
  <c r="CG684" i="1"/>
  <c r="CG685" i="1"/>
  <c r="CG686" i="1"/>
  <c r="CG687" i="1"/>
  <c r="CG688" i="1"/>
  <c r="CG689" i="1"/>
  <c r="CG690" i="1"/>
  <c r="CG691" i="1"/>
  <c r="CG693" i="1"/>
  <c r="CG694" i="1"/>
  <c r="CG695" i="1"/>
  <c r="CG696" i="1"/>
  <c r="CG698" i="1"/>
  <c r="CG699" i="1"/>
  <c r="CG702" i="1"/>
  <c r="CG703" i="1"/>
  <c r="CG704" i="1"/>
  <c r="CG706" i="1"/>
  <c r="CG707" i="1"/>
  <c r="CG708" i="1"/>
  <c r="CG709" i="1"/>
  <c r="CG711" i="1"/>
  <c r="CG712" i="1"/>
  <c r="CG713" i="1"/>
  <c r="CG714" i="1"/>
  <c r="CG715" i="1"/>
  <c r="CG716" i="1"/>
  <c r="CG717" i="1"/>
  <c r="CG718" i="1"/>
  <c r="CG721" i="1"/>
  <c r="CG723" i="1"/>
  <c r="CG724" i="1"/>
  <c r="CG725" i="1"/>
  <c r="CG726" i="1"/>
  <c r="CG729" i="1"/>
  <c r="CG732" i="1"/>
  <c r="CG733" i="1"/>
  <c r="CG734" i="1"/>
  <c r="CG735" i="1"/>
  <c r="CG736" i="1"/>
  <c r="CG738" i="1"/>
  <c r="CG739" i="1"/>
  <c r="CG740" i="1"/>
  <c r="CG741" i="1"/>
  <c r="CG742" i="1"/>
  <c r="CG743" i="1"/>
  <c r="CG744" i="1"/>
  <c r="CG745" i="1"/>
  <c r="CG748" i="1"/>
  <c r="CG750" i="1"/>
  <c r="CG751" i="1"/>
  <c r="CG752" i="1"/>
  <c r="CG753" i="1"/>
  <c r="CG754" i="1"/>
  <c r="CG755" i="1"/>
  <c r="CG756" i="1"/>
  <c r="CG758" i="1"/>
  <c r="CG760" i="1"/>
  <c r="CG761" i="1"/>
  <c r="CG763" i="1"/>
  <c r="CG764" i="1"/>
  <c r="CG766" i="1"/>
  <c r="CG767" i="1"/>
  <c r="CG768" i="1"/>
  <c r="CG769" i="1"/>
  <c r="CG774" i="1"/>
  <c r="CG775" i="1"/>
  <c r="CG777" i="1"/>
  <c r="CG778" i="1"/>
  <c r="CG779" i="1"/>
  <c r="CG780" i="1"/>
  <c r="CG782" i="1"/>
  <c r="CG783" i="1"/>
  <c r="CG784" i="1"/>
  <c r="CG785" i="1"/>
  <c r="CG786" i="1"/>
  <c r="CG787" i="1"/>
  <c r="CG789" i="1"/>
  <c r="CG790" i="1"/>
  <c r="CG791" i="1"/>
  <c r="CG793" i="1"/>
  <c r="CG794" i="1"/>
  <c r="CG795" i="1"/>
  <c r="CG796" i="1"/>
  <c r="CG797" i="1"/>
  <c r="CG798" i="1"/>
  <c r="CG800" i="1"/>
  <c r="CG801" i="1"/>
  <c r="CG802" i="1"/>
  <c r="CG803" i="1"/>
  <c r="CG804" i="1"/>
  <c r="CG805" i="1"/>
  <c r="CG806" i="1"/>
  <c r="CG807" i="1"/>
  <c r="CG808" i="1"/>
  <c r="R810" i="1"/>
  <c r="CG810" i="1"/>
  <c r="CG811" i="1"/>
  <c r="CG812" i="1"/>
  <c r="CG813" i="1"/>
  <c r="CG814" i="1"/>
  <c r="CG815" i="1"/>
  <c r="CG816" i="1"/>
  <c r="CG818" i="1"/>
  <c r="CG819" i="1"/>
  <c r="CG820" i="1"/>
  <c r="R822" i="1"/>
  <c r="CG822" i="1" s="1"/>
  <c r="CG823" i="1"/>
  <c r="CG824" i="1"/>
  <c r="CG825" i="1"/>
  <c r="CG826" i="1"/>
  <c r="CG827" i="1"/>
  <c r="R829" i="1"/>
  <c r="CG829" i="1" s="1"/>
  <c r="CG830" i="1"/>
  <c r="CG831" i="1"/>
  <c r="CG832" i="1"/>
  <c r="CG834" i="1"/>
  <c r="CG835" i="1"/>
  <c r="CG836" i="1"/>
  <c r="CG838" i="1"/>
  <c r="CG839" i="1"/>
  <c r="CG840" i="1"/>
  <c r="CG841" i="1"/>
  <c r="CG842" i="1"/>
  <c r="CG843" i="1"/>
  <c r="CG844" i="1"/>
  <c r="CG845" i="1"/>
  <c r="CG846" i="1"/>
  <c r="CG847" i="1"/>
  <c r="CG848" i="1"/>
  <c r="CG849" i="1"/>
  <c r="CG850" i="1"/>
  <c r="CG852" i="1"/>
  <c r="CG854" i="1"/>
  <c r="CG855" i="1"/>
  <c r="CG856" i="1"/>
  <c r="CG857" i="1"/>
  <c r="CG859" i="1"/>
  <c r="CG860" i="1"/>
  <c r="CG862" i="1"/>
  <c r="CG863" i="1"/>
  <c r="CG864" i="1"/>
  <c r="CG865" i="1"/>
  <c r="CG866" i="1"/>
  <c r="CG867" i="1"/>
  <c r="CG868" i="1"/>
  <c r="CG869" i="1"/>
  <c r="CG870" i="1"/>
  <c r="CG872" i="1"/>
  <c r="CG873" i="1"/>
  <c r="CG874" i="1"/>
  <c r="CG875" i="1"/>
  <c r="CG876" i="1"/>
  <c r="CG877" i="1"/>
  <c r="CG878" i="1"/>
  <c r="CG879" i="1"/>
  <c r="CG880" i="1"/>
  <c r="CG881" i="1"/>
  <c r="CG884" i="1"/>
  <c r="CG886" i="1"/>
  <c r="CG887" i="1"/>
  <c r="CG888" i="1"/>
  <c r="CG889" i="1"/>
  <c r="CG890" i="1"/>
  <c r="CG891" i="1"/>
  <c r="CG892" i="1"/>
  <c r="CG893" i="1"/>
  <c r="CG894" i="1"/>
  <c r="CG895" i="1"/>
  <c r="CG897" i="1"/>
  <c r="CG898" i="1"/>
  <c r="CG899" i="1"/>
  <c r="CG900" i="1"/>
  <c r="CG901" i="1"/>
  <c r="CG902" i="1"/>
  <c r="CG904" i="1"/>
  <c r="CG905" i="1"/>
  <c r="CG906" i="1"/>
  <c r="CG908" i="1"/>
  <c r="CG909" i="1"/>
  <c r="CG910" i="1"/>
  <c r="CG911" i="1"/>
  <c r="CG912" i="1"/>
  <c r="CG913" i="1"/>
  <c r="CG915" i="1"/>
  <c r="CG916" i="1"/>
  <c r="CG917" i="1"/>
  <c r="CG918" i="1"/>
  <c r="CG919" i="1"/>
  <c r="CG921" i="1"/>
  <c r="CG922" i="1"/>
  <c r="CG923" i="1"/>
  <c r="CG924" i="1"/>
  <c r="CG925" i="1"/>
  <c r="CG927" i="1"/>
  <c r="CG928" i="1"/>
  <c r="CG929" i="1"/>
  <c r="CG930" i="1"/>
  <c r="CG931" i="1"/>
  <c r="CG932" i="1"/>
  <c r="CG933" i="1"/>
  <c r="CG935" i="1"/>
  <c r="CG936" i="1"/>
  <c r="CG937" i="1"/>
  <c r="CG938" i="1"/>
  <c r="CG939" i="1"/>
  <c r="CG940" i="1"/>
  <c r="CG941" i="1"/>
  <c r="CG943" i="1"/>
  <c r="CG944" i="1"/>
  <c r="CG945" i="1"/>
  <c r="CG947" i="1"/>
  <c r="CG948" i="1"/>
  <c r="CG950" i="1"/>
  <c r="CG951" i="1"/>
  <c r="CG952" i="1"/>
  <c r="CG953" i="1"/>
  <c r="CG954" i="1"/>
  <c r="CG955" i="1"/>
  <c r="CG956" i="1"/>
  <c r="CG957" i="1"/>
  <c r="CG958" i="1"/>
  <c r="CG960" i="1"/>
  <c r="CG961" i="1"/>
  <c r="CG962" i="1"/>
  <c r="CG963" i="1"/>
  <c r="CG964" i="1"/>
  <c r="CG965" i="1"/>
  <c r="CG966" i="1"/>
  <c r="CG967" i="1"/>
  <c r="CG969" i="1"/>
  <c r="CG970" i="1"/>
  <c r="CG971" i="1"/>
  <c r="CG972" i="1"/>
  <c r="CG973" i="1"/>
  <c r="CG974" i="1"/>
  <c r="CG975" i="1"/>
  <c r="CG977" i="1"/>
  <c r="CG978" i="1"/>
  <c r="CG979" i="1"/>
  <c r="CG980" i="1"/>
  <c r="CG981" i="1"/>
  <c r="R983" i="1"/>
  <c r="CG983" i="1"/>
  <c r="CG985" i="1"/>
  <c r="CG986" i="1"/>
  <c r="CG987" i="1"/>
  <c r="R989" i="1"/>
  <c r="CG989" i="1"/>
  <c r="CG990" i="1"/>
  <c r="CG991" i="1"/>
  <c r="CG992" i="1"/>
  <c r="CG993" i="1"/>
  <c r="CG994" i="1"/>
  <c r="CG996" i="1"/>
  <c r="CG997" i="1"/>
  <c r="CG998" i="1"/>
  <c r="CG999" i="1"/>
  <c r="CG1000" i="1"/>
  <c r="CG1001" i="1"/>
  <c r="CG1002" i="1"/>
  <c r="CG1003" i="1"/>
  <c r="CG1005" i="1"/>
  <c r="CG1006" i="1"/>
  <c r="CG1007" i="1"/>
  <c r="CG1008" i="1"/>
  <c r="CG1009" i="1"/>
  <c r="CG1010" i="1"/>
  <c r="CG1011" i="1"/>
  <c r="CG1013" i="1"/>
  <c r="CG1014" i="1"/>
  <c r="CG1015" i="1"/>
  <c r="CG1016" i="1"/>
  <c r="CG1017" i="1"/>
  <c r="CG1018" i="1"/>
  <c r="CG1019" i="1"/>
  <c r="CG1020" i="1"/>
  <c r="CG1021" i="1"/>
  <c r="CG1022" i="1"/>
  <c r="CG1023" i="1"/>
  <c r="CG1025" i="1"/>
  <c r="CG1026" i="1"/>
  <c r="CG1027" i="1"/>
  <c r="CG1028" i="1"/>
  <c r="CG1029" i="1"/>
  <c r="CG1030" i="1"/>
  <c r="CG1031" i="1"/>
  <c r="CG1032" i="1"/>
  <c r="CG1033" i="1"/>
  <c r="CG1035" i="1"/>
  <c r="CG1036" i="1"/>
  <c r="CG1037" i="1"/>
  <c r="CG1038" i="1"/>
  <c r="CG1039" i="1"/>
  <c r="CG1040" i="1"/>
  <c r="CG1041" i="1"/>
  <c r="CG1042" i="1"/>
  <c r="CG1043" i="1"/>
  <c r="CG1044" i="1"/>
  <c r="CG1046" i="1"/>
  <c r="CG1047" i="1"/>
  <c r="CG1048" i="1"/>
  <c r="CG1051" i="1"/>
  <c r="CG1053" i="1"/>
  <c r="CG1054" i="1"/>
  <c r="CG1055" i="1"/>
  <c r="CG1056" i="1"/>
  <c r="CG1057" i="1"/>
  <c r="CG1059" i="1"/>
  <c r="CG1060" i="1"/>
  <c r="CG1061" i="1"/>
  <c r="CG1062" i="1"/>
  <c r="CG1063" i="1"/>
  <c r="CG1064" i="1"/>
  <c r="CG1066" i="1"/>
  <c r="CG1067" i="1"/>
  <c r="CG1068" i="1"/>
  <c r="CG1069" i="1"/>
  <c r="CG1070" i="1"/>
  <c r="CG1071" i="1"/>
  <c r="CG1072" i="1"/>
  <c r="CG1073" i="1"/>
  <c r="CG1075" i="1"/>
  <c r="CG1076" i="1"/>
  <c r="CG1077" i="1"/>
  <c r="CG1079" i="1"/>
  <c r="CG1080" i="1"/>
  <c r="CG1081" i="1"/>
  <c r="CG1082" i="1"/>
  <c r="CG1083" i="1"/>
  <c r="CG1084" i="1"/>
  <c r="CG1086" i="1"/>
  <c r="CG1087" i="1"/>
  <c r="CG1088" i="1"/>
  <c r="CG1089" i="1"/>
  <c r="CG1090" i="1"/>
  <c r="CG1091" i="1"/>
  <c r="CG1092" i="1"/>
  <c r="CG1093" i="1"/>
  <c r="CG1094" i="1"/>
  <c r="CG1096" i="1"/>
  <c r="CG1097" i="1"/>
  <c r="CG1098" i="1"/>
  <c r="CG1099" i="1"/>
  <c r="CG1100" i="1"/>
  <c r="CG1101" i="1"/>
  <c r="CG1102" i="1"/>
  <c r="CG1103" i="1"/>
  <c r="CG1104" i="1"/>
  <c r="CG1105" i="1"/>
  <c r="CG1106" i="1"/>
  <c r="CG1108" i="1"/>
  <c r="CG1109" i="1"/>
  <c r="CG1110" i="1"/>
  <c r="CG1111" i="1"/>
  <c r="CG1112" i="1"/>
  <c r="CG1113" i="1"/>
  <c r="CG1115" i="1"/>
  <c r="CG1116" i="1"/>
  <c r="CG1117" i="1"/>
  <c r="CG1118" i="1"/>
  <c r="CG1120" i="1"/>
  <c r="CG1122" i="1"/>
  <c r="CG1123" i="1"/>
  <c r="CG1124" i="1"/>
  <c r="R1126" i="1"/>
  <c r="CG1126" i="1"/>
  <c r="CG1127" i="1"/>
  <c r="CG1128" i="1"/>
  <c r="CG1129" i="1"/>
  <c r="CG1130" i="1"/>
  <c r="CG1131" i="1"/>
  <c r="CG1132" i="1"/>
  <c r="CG1133" i="1"/>
  <c r="CG1135" i="1"/>
  <c r="CG1136" i="1"/>
  <c r="CG1137" i="1"/>
  <c r="CG1138" i="1"/>
  <c r="CG1139" i="1"/>
  <c r="CG1140" i="1"/>
  <c r="CG1142" i="1"/>
  <c r="CG1143" i="1"/>
  <c r="CG1144" i="1"/>
  <c r="CG1145" i="1"/>
  <c r="CG1146" i="1"/>
  <c r="CG1147" i="1"/>
  <c r="CG1148" i="1"/>
  <c r="CG1149" i="1"/>
  <c r="CG1150" i="1"/>
  <c r="CG1152" i="1"/>
  <c r="CG1153" i="1"/>
  <c r="CG1154" i="1"/>
  <c r="CG1155" i="1"/>
  <c r="CG1157" i="1"/>
  <c r="CG1158" i="1"/>
  <c r="CG1159" i="1"/>
  <c r="CG1160" i="1"/>
  <c r="CG1161" i="1"/>
  <c r="CG1162" i="1"/>
  <c r="CG1163" i="1"/>
  <c r="CG1164" i="1"/>
  <c r="CG1165" i="1"/>
  <c r="R1167" i="1"/>
  <c r="CG1167" i="1"/>
  <c r="CG1168" i="1"/>
  <c r="CG1169" i="1"/>
  <c r="CG1170" i="1"/>
  <c r="CG1172" i="1"/>
  <c r="CG1173" i="1"/>
  <c r="CG1174" i="1"/>
  <c r="CG1175" i="1"/>
  <c r="CG1177" i="1"/>
  <c r="CG1178" i="1"/>
  <c r="CG1179" i="1"/>
  <c r="CG1180" i="1"/>
  <c r="CG1181" i="1"/>
  <c r="CG1182" i="1"/>
  <c r="CG1183" i="1"/>
  <c r="CG1185" i="1"/>
  <c r="CG1186" i="1"/>
  <c r="CG1187" i="1"/>
  <c r="CG1188" i="1"/>
  <c r="CG1189" i="1"/>
  <c r="CG1190" i="1"/>
  <c r="CG1192" i="1"/>
  <c r="CG1194" i="1"/>
  <c r="CG1195" i="1"/>
  <c r="CG1196" i="1"/>
  <c r="CG1199" i="1"/>
  <c r="CG1201" i="1"/>
  <c r="CG1202" i="1"/>
  <c r="CG1203" i="1"/>
  <c r="CG1204" i="1"/>
  <c r="CG1205" i="1"/>
  <c r="CG1206" i="1"/>
  <c r="CG1207" i="1"/>
  <c r="CG1209" i="1"/>
  <c r="CG1210" i="1"/>
  <c r="CG1211" i="1"/>
  <c r="CG1212" i="1"/>
  <c r="CG1213" i="1"/>
  <c r="CG1214" i="1"/>
  <c r="CG1215" i="1"/>
  <c r="CG1216" i="1"/>
  <c r="CG1217" i="1"/>
  <c r="CG1219" i="1"/>
  <c r="CG1220" i="1"/>
  <c r="CG1222" i="1"/>
  <c r="CG1223" i="1"/>
  <c r="CG1224" i="1"/>
  <c r="CG1225" i="1"/>
  <c r="CG1226" i="1"/>
  <c r="CG1227" i="1"/>
  <c r="CG1229" i="1"/>
  <c r="CG1230" i="1"/>
  <c r="CG1231" i="1"/>
  <c r="CG1232" i="1"/>
  <c r="CG1233" i="1"/>
  <c r="CG1234" i="1"/>
  <c r="CG1235" i="1"/>
  <c r="CG1236" i="1"/>
  <c r="CG1238" i="1"/>
  <c r="CG1240" i="1"/>
  <c r="CG1241" i="1"/>
  <c r="CG1242" i="1"/>
  <c r="CG1244" i="1"/>
  <c r="CG1245" i="1"/>
  <c r="CG1246" i="1"/>
  <c r="CG1247" i="1"/>
  <c r="CG1248" i="1"/>
  <c r="CG1250" i="1"/>
  <c r="CG1251" i="1"/>
  <c r="CG1252" i="1"/>
  <c r="CG1253" i="1"/>
  <c r="CG1254" i="1"/>
  <c r="CG1255" i="1"/>
  <c r="CG1256" i="1"/>
  <c r="CG1257" i="1"/>
  <c r="CG1258" i="1"/>
  <c r="CG1259" i="1"/>
  <c r="CG1261" i="1"/>
  <c r="CG1262" i="1"/>
  <c r="CG1263" i="1"/>
  <c r="CG1265" i="1"/>
  <c r="CG1266" i="1"/>
  <c r="CG1267" i="1"/>
  <c r="CG1268" i="1"/>
  <c r="CG1272" i="1"/>
  <c r="R1274" i="1"/>
  <c r="CG1274" i="1"/>
  <c r="CG1275" i="1"/>
  <c r="CG1276" i="1"/>
  <c r="CG1277" i="1"/>
  <c r="CG1278" i="1"/>
  <c r="CG1279" i="1"/>
  <c r="CG1280" i="1"/>
  <c r="R1282" i="1"/>
  <c r="CG1282" i="1" s="1"/>
  <c r="CG1283" i="1"/>
  <c r="CG1284" i="1"/>
  <c r="CG1285" i="1"/>
  <c r="CG1286" i="1"/>
  <c r="CG1287" i="1"/>
  <c r="CG1288" i="1"/>
  <c r="CG1289" i="1"/>
  <c r="CG1292" i="1"/>
  <c r="CG1293" i="1"/>
  <c r="CG1294" i="1"/>
  <c r="CG1295" i="1"/>
  <c r="CG1296" i="1"/>
  <c r="CG1297" i="1"/>
  <c r="CG1298" i="1"/>
  <c r="CG1299" i="1"/>
  <c r="CG1300" i="1"/>
  <c r="CG1301" i="1"/>
  <c r="CG1303" i="1"/>
  <c r="CG1304" i="1"/>
  <c r="CG1305" i="1"/>
  <c r="CG1306" i="1"/>
  <c r="CG1307" i="1"/>
  <c r="CG1308" i="1"/>
  <c r="CG1309" i="1"/>
  <c r="CG1310" i="1"/>
  <c r="CG1311" i="1"/>
  <c r="CG1312" i="1"/>
  <c r="CG1313" i="1"/>
  <c r="CH67" i="1"/>
  <c r="CH68" i="1"/>
  <c r="CH69" i="1"/>
  <c r="CH70" i="1"/>
  <c r="CH71" i="1"/>
  <c r="CH72" i="1"/>
  <c r="CH73" i="1"/>
  <c r="CH74" i="1"/>
  <c r="S76" i="1"/>
  <c r="CH76" i="1" s="1"/>
  <c r="CH77" i="1"/>
  <c r="CH78" i="1"/>
  <c r="CH79" i="1"/>
  <c r="CH80" i="1"/>
  <c r="CH81" i="1"/>
  <c r="CH82" i="1"/>
  <c r="S84" i="1"/>
  <c r="CH84" i="1" s="1"/>
  <c r="CH85" i="1"/>
  <c r="CH86" i="1"/>
  <c r="CH87" i="1"/>
  <c r="CH88" i="1"/>
  <c r="CH89" i="1"/>
  <c r="CH90" i="1"/>
  <c r="CH92" i="1"/>
  <c r="CH93" i="1"/>
  <c r="CH94" i="1"/>
  <c r="CH95" i="1"/>
  <c r="CH96" i="1"/>
  <c r="CH97" i="1"/>
  <c r="CH98" i="1"/>
  <c r="CH101" i="1"/>
  <c r="CH103" i="1"/>
  <c r="CH104" i="1"/>
  <c r="CH105" i="1"/>
  <c r="CH106" i="1"/>
  <c r="CH107" i="1"/>
  <c r="CH108" i="1"/>
  <c r="CH109" i="1"/>
  <c r="CH111" i="1"/>
  <c r="CH112" i="1"/>
  <c r="CH113" i="1"/>
  <c r="CH114" i="1"/>
  <c r="CH115" i="1"/>
  <c r="CH116" i="1"/>
  <c r="CH117" i="1"/>
  <c r="CH118" i="1"/>
  <c r="CH119" i="1"/>
  <c r="CH120" i="1"/>
  <c r="CH122" i="1"/>
  <c r="CH124" i="1"/>
  <c r="CH125" i="1"/>
  <c r="CH126" i="1"/>
  <c r="CH129" i="1"/>
  <c r="CH131" i="1"/>
  <c r="CH132" i="1"/>
  <c r="CH136" i="1"/>
  <c r="S138" i="1"/>
  <c r="CH138" i="1"/>
  <c r="CH139" i="1"/>
  <c r="CH140" i="1"/>
  <c r="CH141" i="1"/>
  <c r="CH142" i="1"/>
  <c r="S144" i="1"/>
  <c r="CH144" i="1" s="1"/>
  <c r="CH145" i="1"/>
  <c r="CH146" i="1"/>
  <c r="CH147" i="1"/>
  <c r="CH148" i="1"/>
  <c r="CH149" i="1"/>
  <c r="CH151" i="1"/>
  <c r="CH152" i="1"/>
  <c r="CH153" i="1"/>
  <c r="CH154" i="1"/>
  <c r="CH155" i="1"/>
  <c r="CH156" i="1"/>
  <c r="CH157" i="1"/>
  <c r="CH158" i="1"/>
  <c r="CH160" i="1"/>
  <c r="CH161" i="1"/>
  <c r="CH162" i="1"/>
  <c r="CH163" i="1"/>
  <c r="CH166" i="1"/>
  <c r="CH167" i="1"/>
  <c r="CH168" i="1"/>
  <c r="CH169" i="1"/>
  <c r="CH170" i="1"/>
  <c r="S172" i="1"/>
  <c r="CH172" i="1" s="1"/>
  <c r="CH173" i="1"/>
  <c r="CH176" i="1"/>
  <c r="CH177" i="1"/>
  <c r="CH178" i="1"/>
  <c r="CH179" i="1"/>
  <c r="CH180" i="1"/>
  <c r="CH181" i="1"/>
  <c r="CH182" i="1"/>
  <c r="CH183" i="1"/>
  <c r="CH184" i="1"/>
  <c r="CH186" i="1"/>
  <c r="CH187" i="1"/>
  <c r="CH188" i="1"/>
  <c r="CH189" i="1"/>
  <c r="CH190" i="1"/>
  <c r="CH191" i="1"/>
  <c r="CH192" i="1"/>
  <c r="CH193" i="1"/>
  <c r="S195" i="1"/>
  <c r="CH195" i="1"/>
  <c r="CH196" i="1"/>
  <c r="CH197" i="1"/>
  <c r="CH198" i="1"/>
  <c r="CH200" i="1"/>
  <c r="CH201" i="1"/>
  <c r="CH202" i="1"/>
  <c r="CH203" i="1"/>
  <c r="CH204" i="1"/>
  <c r="CH205" i="1"/>
  <c r="CH206" i="1"/>
  <c r="CH207" i="1"/>
  <c r="CH209" i="1"/>
  <c r="CH210" i="1"/>
  <c r="CH211" i="1"/>
  <c r="CH212" i="1"/>
  <c r="CH213" i="1"/>
  <c r="CH214" i="1"/>
  <c r="CH215" i="1"/>
  <c r="CH217" i="1"/>
  <c r="CH218" i="1"/>
  <c r="CH219" i="1"/>
  <c r="CH220" i="1"/>
  <c r="CH221" i="1"/>
  <c r="CH222" i="1"/>
  <c r="CH225" i="1"/>
  <c r="CH226" i="1"/>
  <c r="CH227" i="1"/>
  <c r="CH228" i="1"/>
  <c r="CH229" i="1"/>
  <c r="S231" i="1"/>
  <c r="CH231" i="1" s="1"/>
  <c r="CH232" i="1"/>
  <c r="CH233" i="1"/>
  <c r="CH234" i="1"/>
  <c r="CH235" i="1"/>
  <c r="CH236" i="1"/>
  <c r="CH237" i="1"/>
  <c r="CH238" i="1"/>
  <c r="S240" i="1"/>
  <c r="CH240" i="1" s="1"/>
  <c r="CH241" i="1"/>
  <c r="CH242" i="1"/>
  <c r="CH243" i="1"/>
  <c r="CH244" i="1"/>
  <c r="CH245" i="1"/>
  <c r="CH246" i="1"/>
  <c r="CH247" i="1"/>
  <c r="CH249" i="1"/>
  <c r="CH250" i="1"/>
  <c r="CH251" i="1"/>
  <c r="CH252" i="1"/>
  <c r="CH253" i="1"/>
  <c r="CH254" i="1"/>
  <c r="CH255" i="1"/>
  <c r="CH256" i="1"/>
  <c r="CH258" i="1"/>
  <c r="CH259" i="1"/>
  <c r="CH260" i="1"/>
  <c r="CH261" i="1"/>
  <c r="CH262" i="1"/>
  <c r="CH263" i="1"/>
  <c r="CH264" i="1"/>
  <c r="CH265" i="1"/>
  <c r="CH266" i="1"/>
  <c r="CH268" i="1"/>
  <c r="CH269" i="1"/>
  <c r="CH270" i="1"/>
  <c r="CH271" i="1"/>
  <c r="CH272" i="1"/>
  <c r="CH273" i="1"/>
  <c r="CH274" i="1"/>
  <c r="CH275" i="1"/>
  <c r="CH276" i="1"/>
  <c r="S278" i="1"/>
  <c r="CH278" i="1"/>
  <c r="CH279" i="1"/>
  <c r="CH280" i="1"/>
  <c r="CH281" i="1"/>
  <c r="CH282" i="1"/>
  <c r="CH283" i="1"/>
  <c r="CH285" i="1"/>
  <c r="CH286" i="1"/>
  <c r="CH287" i="1"/>
  <c r="CH288" i="1"/>
  <c r="CH291" i="1"/>
  <c r="CH292" i="1"/>
  <c r="CH293" i="1"/>
  <c r="CH294" i="1"/>
  <c r="CH296" i="1"/>
  <c r="CH297" i="1"/>
  <c r="CH298" i="1"/>
  <c r="CH299" i="1"/>
  <c r="CH300" i="1"/>
  <c r="CH301" i="1"/>
  <c r="CH302" i="1"/>
  <c r="CH303" i="1"/>
  <c r="CH305" i="1"/>
  <c r="CH306" i="1"/>
  <c r="CH307" i="1"/>
  <c r="CH308" i="1"/>
  <c r="CH309" i="1"/>
  <c r="CH310" i="1"/>
  <c r="CH311" i="1"/>
  <c r="CH312" i="1"/>
  <c r="CH313" i="1"/>
  <c r="CH314" i="1"/>
  <c r="CH316" i="1"/>
  <c r="CH317" i="1"/>
  <c r="CH318" i="1"/>
  <c r="CH319" i="1"/>
  <c r="CH320" i="1"/>
  <c r="CH321" i="1"/>
  <c r="CH322" i="1"/>
  <c r="CH323" i="1"/>
  <c r="CH324" i="1"/>
  <c r="CH325" i="1"/>
  <c r="CH326" i="1"/>
  <c r="CH327" i="1"/>
  <c r="S329" i="1"/>
  <c r="CH329" i="1" s="1"/>
  <c r="CH330" i="1"/>
  <c r="CH332" i="1"/>
  <c r="CH333" i="1"/>
  <c r="CH334" i="1"/>
  <c r="CH335" i="1"/>
  <c r="CH336" i="1"/>
  <c r="CH337" i="1"/>
  <c r="CH338" i="1"/>
  <c r="CH340" i="1"/>
  <c r="CH341" i="1"/>
  <c r="CH342" i="1"/>
  <c r="CH343" i="1"/>
  <c r="CH344" i="1"/>
  <c r="CH345" i="1"/>
  <c r="CH346" i="1"/>
  <c r="CH347" i="1"/>
  <c r="CH348" i="1"/>
  <c r="CH349" i="1"/>
  <c r="CH351" i="1"/>
  <c r="CH352" i="1"/>
  <c r="CH353" i="1"/>
  <c r="CH354" i="1"/>
  <c r="CH355" i="1"/>
  <c r="CH356" i="1"/>
  <c r="S358" i="1"/>
  <c r="CH358" i="1" s="1"/>
  <c r="CH359" i="1"/>
  <c r="CH360" i="1"/>
  <c r="CH361" i="1"/>
  <c r="CH362" i="1"/>
  <c r="CH363" i="1"/>
  <c r="CH364" i="1"/>
  <c r="CH365" i="1"/>
  <c r="CH367" i="1"/>
  <c r="CH368" i="1"/>
  <c r="CH369" i="1"/>
  <c r="CH371" i="1"/>
  <c r="CH372" i="1"/>
  <c r="CH373" i="1"/>
  <c r="S375" i="1"/>
  <c r="CH375" i="1" s="1"/>
  <c r="CH376" i="1"/>
  <c r="CH378" i="1"/>
  <c r="CH379" i="1"/>
  <c r="CH380" i="1"/>
  <c r="CH381" i="1"/>
  <c r="CH382" i="1"/>
  <c r="CH383" i="1"/>
  <c r="CH385" i="1"/>
  <c r="CH386" i="1"/>
  <c r="CH387" i="1"/>
  <c r="CH388" i="1"/>
  <c r="CH389" i="1"/>
  <c r="CH390" i="1"/>
  <c r="CH391" i="1"/>
  <c r="CH393" i="1"/>
  <c r="CH394" i="1"/>
  <c r="CH395" i="1"/>
  <c r="CH396" i="1"/>
  <c r="CH397" i="1"/>
  <c r="CH398" i="1"/>
  <c r="CH399" i="1"/>
  <c r="CH400" i="1"/>
  <c r="CH401" i="1"/>
  <c r="CH404" i="1"/>
  <c r="CH405" i="1"/>
  <c r="CH406" i="1"/>
  <c r="CH407" i="1"/>
  <c r="CH408" i="1"/>
  <c r="CH409" i="1"/>
  <c r="CH410" i="1"/>
  <c r="CH411" i="1"/>
  <c r="CH413" i="1"/>
  <c r="CH414" i="1"/>
  <c r="CH415" i="1"/>
  <c r="CH416" i="1"/>
  <c r="CH417" i="1"/>
  <c r="CH418" i="1"/>
  <c r="CH421" i="1"/>
  <c r="CH422" i="1"/>
  <c r="CH423" i="1"/>
  <c r="CH424" i="1"/>
  <c r="CH425" i="1"/>
  <c r="CH426" i="1"/>
  <c r="CH427" i="1"/>
  <c r="CH428" i="1"/>
  <c r="CH430" i="1"/>
  <c r="CH431" i="1"/>
  <c r="CH432" i="1"/>
  <c r="CH433" i="1"/>
  <c r="CH434" i="1"/>
  <c r="CH435" i="1"/>
  <c r="CH436" i="1"/>
  <c r="CH438" i="1"/>
  <c r="CH439" i="1"/>
  <c r="CH440" i="1"/>
  <c r="CH441" i="1"/>
  <c r="CH442" i="1"/>
  <c r="CH443" i="1"/>
  <c r="CH445" i="1"/>
  <c r="CH446" i="1"/>
  <c r="CH447" i="1"/>
  <c r="CH448" i="1"/>
  <c r="CH449" i="1"/>
  <c r="CH450" i="1"/>
  <c r="CH451" i="1"/>
  <c r="CH452" i="1"/>
  <c r="S454" i="1"/>
  <c r="CH454" i="1"/>
  <c r="CH455" i="1"/>
  <c r="CH456" i="1"/>
  <c r="CH457" i="1"/>
  <c r="CH459" i="1"/>
  <c r="CH460" i="1"/>
  <c r="CH461" i="1"/>
  <c r="CH462" i="1"/>
  <c r="CH463" i="1"/>
  <c r="CH464" i="1"/>
  <c r="CH465" i="1"/>
  <c r="CH466" i="1"/>
  <c r="CH468" i="1"/>
  <c r="CH469" i="1"/>
  <c r="CH470" i="1"/>
  <c r="CH471" i="1"/>
  <c r="CH472" i="1"/>
  <c r="CH473" i="1"/>
  <c r="CH474" i="1"/>
  <c r="CH475" i="1"/>
  <c r="CH476" i="1"/>
  <c r="CH478" i="1"/>
  <c r="CH479" i="1"/>
  <c r="CH480" i="1"/>
  <c r="CH481" i="1"/>
  <c r="CH482" i="1"/>
  <c r="CH483" i="1"/>
  <c r="CH485" i="1"/>
  <c r="CH486" i="1"/>
  <c r="CH487" i="1"/>
  <c r="CH488" i="1"/>
  <c r="CH489" i="1"/>
  <c r="CH490" i="1"/>
  <c r="CH491" i="1"/>
  <c r="CH492" i="1"/>
  <c r="CH493" i="1"/>
  <c r="CH495" i="1"/>
  <c r="CH496" i="1"/>
  <c r="CH497" i="1"/>
  <c r="CH498" i="1"/>
  <c r="CH499" i="1"/>
  <c r="CH500" i="1"/>
  <c r="S502" i="1"/>
  <c r="CH502" i="1"/>
  <c r="CH503" i="1"/>
  <c r="CH504" i="1"/>
  <c r="CH505" i="1"/>
  <c r="CH506" i="1"/>
  <c r="CH507" i="1"/>
  <c r="CH508" i="1"/>
  <c r="CH510" i="1"/>
  <c r="CH511" i="1"/>
  <c r="CH512" i="1"/>
  <c r="CH514" i="1"/>
  <c r="CH515" i="1"/>
  <c r="CH516" i="1"/>
  <c r="CH517" i="1"/>
  <c r="CH518" i="1"/>
  <c r="CH520" i="1"/>
  <c r="CH521" i="1"/>
  <c r="CH522" i="1"/>
  <c r="CH523" i="1"/>
  <c r="CH524" i="1"/>
  <c r="CH525" i="1"/>
  <c r="CH526" i="1"/>
  <c r="CH527" i="1"/>
  <c r="CH529" i="1"/>
  <c r="CH530" i="1"/>
  <c r="CH531" i="1"/>
  <c r="CH532" i="1"/>
  <c r="CH533" i="1"/>
  <c r="CH534" i="1"/>
  <c r="CH535" i="1"/>
  <c r="CH536" i="1"/>
  <c r="CH538" i="1"/>
  <c r="CH539" i="1"/>
  <c r="CH540" i="1"/>
  <c r="CH541" i="1"/>
  <c r="CH542" i="1"/>
  <c r="CH543" i="1"/>
  <c r="CH544" i="1"/>
  <c r="CH545" i="1"/>
  <c r="CH546" i="1"/>
  <c r="CH548" i="1"/>
  <c r="CH549" i="1"/>
  <c r="CH550" i="1"/>
  <c r="CH551" i="1"/>
  <c r="CH552" i="1"/>
  <c r="CH553" i="1"/>
  <c r="CH554" i="1"/>
  <c r="CH555" i="1"/>
  <c r="CH557" i="1"/>
  <c r="CH558" i="1"/>
  <c r="CH559" i="1"/>
  <c r="CH560" i="1"/>
  <c r="CH561" i="1"/>
  <c r="CH562" i="1"/>
  <c r="CH564" i="1"/>
  <c r="CH565" i="1"/>
  <c r="CH566" i="1"/>
  <c r="CH567" i="1"/>
  <c r="CH569" i="1"/>
  <c r="CH570" i="1"/>
  <c r="CH572" i="1"/>
  <c r="CH573" i="1"/>
  <c r="CH574" i="1"/>
  <c r="CH576" i="1"/>
  <c r="CH577" i="1"/>
  <c r="CH578" i="1"/>
  <c r="CH579" i="1"/>
  <c r="CH580" i="1"/>
  <c r="CH581" i="1"/>
  <c r="S583" i="1"/>
  <c r="CH583" i="1"/>
  <c r="CH584" i="1"/>
  <c r="CH586" i="1"/>
  <c r="CH587" i="1"/>
  <c r="CH588" i="1"/>
  <c r="CH590" i="1"/>
  <c r="CH591" i="1"/>
  <c r="CH592" i="1"/>
  <c r="CH593" i="1"/>
  <c r="CH594" i="1"/>
  <c r="CH595" i="1"/>
  <c r="CH596" i="1"/>
  <c r="CH597" i="1"/>
  <c r="CH598" i="1"/>
  <c r="CH600" i="1"/>
  <c r="CH601" i="1"/>
  <c r="CH603" i="1"/>
  <c r="CH604" i="1"/>
  <c r="CH605" i="1"/>
  <c r="CH607" i="1"/>
  <c r="CH608" i="1"/>
  <c r="CH609" i="1"/>
  <c r="CH610" i="1"/>
  <c r="CH611" i="1"/>
  <c r="CH612" i="1"/>
  <c r="S614" i="1"/>
  <c r="CH614" i="1" s="1"/>
  <c r="CH615" i="1"/>
  <c r="CH617" i="1"/>
  <c r="CH618" i="1"/>
  <c r="CH619" i="1"/>
  <c r="CH620" i="1"/>
  <c r="CH622" i="1"/>
  <c r="CH623" i="1"/>
  <c r="CH624" i="1"/>
  <c r="CH625" i="1"/>
  <c r="CH626" i="1"/>
  <c r="CH628" i="1"/>
  <c r="CH629" i="1"/>
  <c r="CH630" i="1"/>
  <c r="CH631" i="1"/>
  <c r="CH632" i="1"/>
  <c r="CH633" i="1"/>
  <c r="CH634" i="1"/>
  <c r="S636" i="1"/>
  <c r="CH636" i="1" s="1"/>
  <c r="CH637" i="1"/>
  <c r="CH638" i="1"/>
  <c r="CH639" i="1"/>
  <c r="CH641" i="1"/>
  <c r="CH643" i="1"/>
  <c r="CH644" i="1"/>
  <c r="CH645" i="1"/>
  <c r="CH647" i="1"/>
  <c r="CH648" i="1"/>
  <c r="CH649" i="1"/>
  <c r="CH650" i="1"/>
  <c r="CH651" i="1"/>
  <c r="CH652" i="1"/>
  <c r="S654" i="1"/>
  <c r="CH654" i="1"/>
  <c r="CH655" i="1"/>
  <c r="CH656" i="1"/>
  <c r="CH657" i="1"/>
  <c r="CH658" i="1"/>
  <c r="CH659" i="1"/>
  <c r="CH660" i="1"/>
  <c r="CH662" i="1"/>
  <c r="CH663" i="1"/>
  <c r="CH665" i="1"/>
  <c r="CH666" i="1"/>
  <c r="CH667" i="1"/>
  <c r="CH669" i="1"/>
  <c r="CH670" i="1"/>
  <c r="CH671" i="1"/>
  <c r="CH672" i="1"/>
  <c r="CH674" i="1"/>
  <c r="CH675" i="1"/>
  <c r="CH676" i="1"/>
  <c r="CH677" i="1"/>
  <c r="CH678" i="1"/>
  <c r="CH679" i="1"/>
  <c r="CH681" i="1"/>
  <c r="CH682" i="1"/>
  <c r="CH683" i="1"/>
  <c r="CH684" i="1"/>
  <c r="CH685" i="1"/>
  <c r="CH686" i="1"/>
  <c r="CH687" i="1"/>
  <c r="CH688" i="1"/>
  <c r="CH689" i="1"/>
  <c r="CH690" i="1"/>
  <c r="CH691" i="1"/>
  <c r="CH693" i="1"/>
  <c r="CH694" i="1"/>
  <c r="CH695" i="1"/>
  <c r="CH696" i="1"/>
  <c r="CH698" i="1"/>
  <c r="CH699" i="1"/>
  <c r="CH702" i="1"/>
  <c r="CH703" i="1"/>
  <c r="CH704" i="1"/>
  <c r="CH706" i="1"/>
  <c r="CH707" i="1"/>
  <c r="CH708" i="1"/>
  <c r="CH709" i="1"/>
  <c r="CH711" i="1"/>
  <c r="CH712" i="1"/>
  <c r="CH713" i="1"/>
  <c r="CH714" i="1"/>
  <c r="CH715" i="1"/>
  <c r="CH716" i="1"/>
  <c r="CH717" i="1"/>
  <c r="CH718" i="1"/>
  <c r="CH720" i="1"/>
  <c r="CH721" i="1"/>
  <c r="CH723" i="1"/>
  <c r="CH724" i="1"/>
  <c r="CH725" i="1"/>
  <c r="CH726" i="1"/>
  <c r="CH729" i="1"/>
  <c r="CH731" i="1"/>
  <c r="CH732" i="1"/>
  <c r="CH733" i="1"/>
  <c r="CH734" i="1"/>
  <c r="CH735" i="1"/>
  <c r="CH736" i="1"/>
  <c r="CH738" i="1"/>
  <c r="CH739" i="1"/>
  <c r="CH740" i="1"/>
  <c r="CH741" i="1"/>
  <c r="CH742" i="1"/>
  <c r="CH743" i="1"/>
  <c r="CH744" i="1"/>
  <c r="CH745" i="1"/>
  <c r="CH748" i="1"/>
  <c r="CH750" i="1"/>
  <c r="CH751" i="1"/>
  <c r="CH752" i="1"/>
  <c r="CH753" i="1"/>
  <c r="CH754" i="1"/>
  <c r="CH755" i="1"/>
  <c r="CH756" i="1"/>
  <c r="CH758" i="1"/>
  <c r="CH760" i="1"/>
  <c r="CH761" i="1"/>
  <c r="CH763" i="1"/>
  <c r="CH764" i="1"/>
  <c r="CH766" i="1"/>
  <c r="CH767" i="1"/>
  <c r="CH768" i="1"/>
  <c r="CH769" i="1"/>
  <c r="CH774" i="1"/>
  <c r="CH775" i="1"/>
  <c r="CH777" i="1"/>
  <c r="CH778" i="1"/>
  <c r="CH779" i="1"/>
  <c r="CH780" i="1"/>
  <c r="CH782" i="1"/>
  <c r="CH783" i="1"/>
  <c r="CH784" i="1"/>
  <c r="CH785" i="1"/>
  <c r="CH786" i="1"/>
  <c r="CH787" i="1"/>
  <c r="CH789" i="1"/>
  <c r="CH790" i="1"/>
  <c r="CH791" i="1"/>
  <c r="CH793" i="1"/>
  <c r="CH794" i="1"/>
  <c r="CH795" i="1"/>
  <c r="CH796" i="1"/>
  <c r="CH797" i="1"/>
  <c r="CH798" i="1"/>
  <c r="CH800" i="1"/>
  <c r="CH801" i="1"/>
  <c r="CH802" i="1"/>
  <c r="CH803" i="1"/>
  <c r="CH804" i="1"/>
  <c r="CH805" i="1"/>
  <c r="CH806" i="1"/>
  <c r="CH807" i="1"/>
  <c r="CH808" i="1"/>
  <c r="S810" i="1"/>
  <c r="CH810" i="1" s="1"/>
  <c r="CH811" i="1"/>
  <c r="CH812" i="1"/>
  <c r="CH813" i="1"/>
  <c r="CH814" i="1"/>
  <c r="CH815" i="1"/>
  <c r="CH816" i="1"/>
  <c r="CH818" i="1"/>
  <c r="CH819" i="1"/>
  <c r="CH820" i="1"/>
  <c r="S822" i="1"/>
  <c r="CH822" i="1"/>
  <c r="CH823" i="1"/>
  <c r="CH824" i="1"/>
  <c r="CH825" i="1"/>
  <c r="CH826" i="1"/>
  <c r="CH827" i="1"/>
  <c r="S829" i="1"/>
  <c r="CH829" i="1" s="1"/>
  <c r="CH830" i="1"/>
  <c r="CH831" i="1"/>
  <c r="CH832" i="1"/>
  <c r="CH834" i="1"/>
  <c r="CH835" i="1"/>
  <c r="CH836" i="1"/>
  <c r="CH838" i="1"/>
  <c r="CH839" i="1"/>
  <c r="CH840" i="1"/>
  <c r="CH841" i="1"/>
  <c r="CH842" i="1"/>
  <c r="CH843" i="1"/>
  <c r="CH844" i="1"/>
  <c r="CH845" i="1"/>
  <c r="CH846" i="1"/>
  <c r="CH847" i="1"/>
  <c r="CH848" i="1"/>
  <c r="CH849" i="1"/>
  <c r="CH850" i="1"/>
  <c r="CH852" i="1"/>
  <c r="CH854" i="1"/>
  <c r="CH855" i="1"/>
  <c r="CH856" i="1"/>
  <c r="CH857" i="1"/>
  <c r="CH859" i="1"/>
  <c r="CH860" i="1"/>
  <c r="CH862" i="1"/>
  <c r="CH863" i="1"/>
  <c r="CH864" i="1"/>
  <c r="CH865" i="1"/>
  <c r="CH866" i="1"/>
  <c r="CH867" i="1"/>
  <c r="CH868" i="1"/>
  <c r="CH869" i="1"/>
  <c r="CH870" i="1"/>
  <c r="CH872" i="1"/>
  <c r="CH873" i="1"/>
  <c r="CH874" i="1"/>
  <c r="CH875" i="1"/>
  <c r="CH876" i="1"/>
  <c r="CH877" i="1"/>
  <c r="CH878" i="1"/>
  <c r="CH879" i="1"/>
  <c r="CH880" i="1"/>
  <c r="CH881" i="1"/>
  <c r="CH884" i="1"/>
  <c r="CH886" i="1"/>
  <c r="CH887" i="1"/>
  <c r="CH888" i="1"/>
  <c r="CH889" i="1"/>
  <c r="CH890" i="1"/>
  <c r="CH891" i="1"/>
  <c r="CH892" i="1"/>
  <c r="CH893" i="1"/>
  <c r="CH894" i="1"/>
  <c r="CH895" i="1"/>
  <c r="S897" i="1"/>
  <c r="CH897" i="1"/>
  <c r="CH898" i="1"/>
  <c r="CH899" i="1"/>
  <c r="CH900" i="1"/>
  <c r="CH901" i="1"/>
  <c r="CH902" i="1"/>
  <c r="CH904" i="1"/>
  <c r="CH905" i="1"/>
  <c r="CH906" i="1"/>
  <c r="CH908" i="1"/>
  <c r="CH909" i="1"/>
  <c r="CH910" i="1"/>
  <c r="CH911" i="1"/>
  <c r="CH912" i="1"/>
  <c r="CH913" i="1"/>
  <c r="CH915" i="1"/>
  <c r="CH916" i="1"/>
  <c r="CH917" i="1"/>
  <c r="CH918" i="1"/>
  <c r="CH919" i="1"/>
  <c r="CH921" i="1"/>
  <c r="CH922" i="1"/>
  <c r="CH923" i="1"/>
  <c r="CH924" i="1"/>
  <c r="CH925" i="1"/>
  <c r="CH927" i="1"/>
  <c r="CH928" i="1"/>
  <c r="CH929" i="1"/>
  <c r="CH930" i="1"/>
  <c r="CH931" i="1"/>
  <c r="CH932" i="1"/>
  <c r="CH933" i="1"/>
  <c r="CH935" i="1"/>
  <c r="CH936" i="1"/>
  <c r="CH937" i="1"/>
  <c r="CH938" i="1"/>
  <c r="CH939" i="1"/>
  <c r="CH940" i="1"/>
  <c r="CH941" i="1"/>
  <c r="CH943" i="1"/>
  <c r="CH944" i="1"/>
  <c r="CH945" i="1"/>
  <c r="CH947" i="1"/>
  <c r="CH948" i="1"/>
  <c r="CH950" i="1"/>
  <c r="CH951" i="1"/>
  <c r="CH952" i="1"/>
  <c r="CH953" i="1"/>
  <c r="CH954" i="1"/>
  <c r="CH955" i="1"/>
  <c r="CH956" i="1"/>
  <c r="CH957" i="1"/>
  <c r="CH958" i="1"/>
  <c r="CH960" i="1"/>
  <c r="CH961" i="1"/>
  <c r="CH962" i="1"/>
  <c r="CH963" i="1"/>
  <c r="CH964" i="1"/>
  <c r="CH965" i="1"/>
  <c r="CH966" i="1"/>
  <c r="CH967" i="1"/>
  <c r="CH969" i="1"/>
  <c r="CH970" i="1"/>
  <c r="CH971" i="1"/>
  <c r="CH972" i="1"/>
  <c r="CH973" i="1"/>
  <c r="CH974" i="1"/>
  <c r="CH975" i="1"/>
  <c r="CH977" i="1"/>
  <c r="CH978" i="1"/>
  <c r="CH979" i="1"/>
  <c r="CH980" i="1"/>
  <c r="CH981" i="1"/>
  <c r="S983" i="1"/>
  <c r="CH983" i="1" s="1"/>
  <c r="CH985" i="1"/>
  <c r="CH986" i="1"/>
  <c r="CH987" i="1"/>
  <c r="S989" i="1"/>
  <c r="CH989" i="1" s="1"/>
  <c r="CH990" i="1"/>
  <c r="CH991" i="1"/>
  <c r="CH992" i="1"/>
  <c r="CH993" i="1"/>
  <c r="CH994" i="1"/>
  <c r="CH996" i="1"/>
  <c r="CH997" i="1"/>
  <c r="CH998" i="1"/>
  <c r="CH999" i="1"/>
  <c r="CH1000" i="1"/>
  <c r="CH1001" i="1"/>
  <c r="CH1002" i="1"/>
  <c r="CH1003" i="1"/>
  <c r="CH1005" i="1"/>
  <c r="CH1006" i="1"/>
  <c r="CH1007" i="1"/>
  <c r="CH1008" i="1"/>
  <c r="CH1009" i="1"/>
  <c r="CH1010" i="1"/>
  <c r="CH1011" i="1"/>
  <c r="CH1013" i="1"/>
  <c r="CH1014" i="1"/>
  <c r="CH1015" i="1"/>
  <c r="CH1016" i="1"/>
  <c r="CH1017" i="1"/>
  <c r="CH1018" i="1"/>
  <c r="CH1019" i="1"/>
  <c r="CH1020" i="1"/>
  <c r="CH1021" i="1"/>
  <c r="CH1022" i="1"/>
  <c r="CH1023" i="1"/>
  <c r="CH1025" i="1"/>
  <c r="CH1026" i="1"/>
  <c r="CH1027" i="1"/>
  <c r="CH1028" i="1"/>
  <c r="CH1029" i="1"/>
  <c r="CH1030" i="1"/>
  <c r="CH1031" i="1"/>
  <c r="CH1032" i="1"/>
  <c r="CH1033" i="1"/>
  <c r="CH1035" i="1"/>
  <c r="CH1036" i="1"/>
  <c r="CH1037" i="1"/>
  <c r="CH1038" i="1"/>
  <c r="CH1039" i="1"/>
  <c r="CH1040" i="1"/>
  <c r="CH1041" i="1"/>
  <c r="CH1042" i="1"/>
  <c r="CH1043" i="1"/>
  <c r="CH1044" i="1"/>
  <c r="CH1046" i="1"/>
  <c r="CH1047" i="1"/>
  <c r="CH1048" i="1"/>
  <c r="CH1051" i="1"/>
  <c r="CH1053" i="1"/>
  <c r="CH1054" i="1"/>
  <c r="CH1055" i="1"/>
  <c r="CH1056" i="1"/>
  <c r="CH1057" i="1"/>
  <c r="CH1059" i="1"/>
  <c r="CH1060" i="1"/>
  <c r="CH1061" i="1"/>
  <c r="CH1062" i="1"/>
  <c r="CH1063" i="1"/>
  <c r="CH1064" i="1"/>
  <c r="CH1066" i="1"/>
  <c r="CH1067" i="1"/>
  <c r="CH1068" i="1"/>
  <c r="CH1069" i="1"/>
  <c r="CH1070" i="1"/>
  <c r="CH1071" i="1"/>
  <c r="CH1072" i="1"/>
  <c r="CH1073" i="1"/>
  <c r="CH1075" i="1"/>
  <c r="CH1076" i="1"/>
  <c r="CH1077" i="1"/>
  <c r="CH1079" i="1"/>
  <c r="CH1080" i="1"/>
  <c r="CH1081" i="1"/>
  <c r="CH1082" i="1"/>
  <c r="CH1083" i="1"/>
  <c r="CH1084" i="1"/>
  <c r="CH1086" i="1"/>
  <c r="CH1087" i="1"/>
  <c r="CH1088" i="1"/>
  <c r="CH1089" i="1"/>
  <c r="CH1090" i="1"/>
  <c r="CH1091" i="1"/>
  <c r="CH1092" i="1"/>
  <c r="CH1093" i="1"/>
  <c r="CH1094" i="1"/>
  <c r="CH1096" i="1"/>
  <c r="CH1097" i="1"/>
  <c r="CH1098" i="1"/>
  <c r="CH1099" i="1"/>
  <c r="CH1100" i="1"/>
  <c r="CH1101" i="1"/>
  <c r="CH1102" i="1"/>
  <c r="CH1103" i="1"/>
  <c r="CH1104" i="1"/>
  <c r="CH1105" i="1"/>
  <c r="CH1106" i="1"/>
  <c r="S1108" i="1"/>
  <c r="CH1108" i="1"/>
  <c r="CH1109" i="1"/>
  <c r="CH1110" i="1"/>
  <c r="CH1111" i="1"/>
  <c r="CH1112" i="1"/>
  <c r="CH1113" i="1"/>
  <c r="CH1115" i="1"/>
  <c r="CH1116" i="1"/>
  <c r="CH1117" i="1"/>
  <c r="CH1118" i="1"/>
  <c r="CH1120" i="1"/>
  <c r="CH1122" i="1"/>
  <c r="CH1123" i="1"/>
  <c r="CH1124" i="1"/>
  <c r="S1126" i="1"/>
  <c r="CH1126" i="1" s="1"/>
  <c r="CH1127" i="1"/>
  <c r="CH1128" i="1"/>
  <c r="CH1129" i="1"/>
  <c r="CH1130" i="1"/>
  <c r="CH1131" i="1"/>
  <c r="CH1132" i="1"/>
  <c r="CH1133" i="1"/>
  <c r="CH1135" i="1"/>
  <c r="CH1136" i="1"/>
  <c r="CH1137" i="1"/>
  <c r="CH1138" i="1"/>
  <c r="CH1139" i="1"/>
  <c r="CH1140" i="1"/>
  <c r="CH1142" i="1"/>
  <c r="CH1143" i="1"/>
  <c r="CH1144" i="1"/>
  <c r="CH1145" i="1"/>
  <c r="CH1146" i="1"/>
  <c r="CH1147" i="1"/>
  <c r="CH1148" i="1"/>
  <c r="CH1149" i="1"/>
  <c r="CH1150" i="1"/>
  <c r="CH1152" i="1"/>
  <c r="CH1153" i="1"/>
  <c r="CH1154" i="1"/>
  <c r="CH1155" i="1"/>
  <c r="CH1157" i="1"/>
  <c r="CH1158" i="1"/>
  <c r="CH1159" i="1"/>
  <c r="CH1160" i="1"/>
  <c r="CH1161" i="1"/>
  <c r="CH1162" i="1"/>
  <c r="CH1163" i="1"/>
  <c r="CH1164" i="1"/>
  <c r="CH1165" i="1"/>
  <c r="S1167" i="1"/>
  <c r="CH1167" i="1" s="1"/>
  <c r="CH1168" i="1"/>
  <c r="CH1169" i="1"/>
  <c r="CH1170" i="1"/>
  <c r="CH1172" i="1"/>
  <c r="CH1173" i="1"/>
  <c r="CH1174" i="1"/>
  <c r="CH1175" i="1"/>
  <c r="CH1177" i="1"/>
  <c r="CH1178" i="1"/>
  <c r="CH1179" i="1"/>
  <c r="CH1180" i="1"/>
  <c r="CH1181" i="1"/>
  <c r="CH1182" i="1"/>
  <c r="CH1183" i="1"/>
  <c r="CH1185" i="1"/>
  <c r="CH1186" i="1"/>
  <c r="CH1187" i="1"/>
  <c r="CH1188" i="1"/>
  <c r="CH1189" i="1"/>
  <c r="CH1190" i="1"/>
  <c r="CH1192" i="1"/>
  <c r="CH1194" i="1"/>
  <c r="CH1195" i="1"/>
  <c r="CH1196" i="1"/>
  <c r="CH1199" i="1"/>
  <c r="CH1201" i="1"/>
  <c r="CH1202" i="1"/>
  <c r="CH1203" i="1"/>
  <c r="CH1204" i="1"/>
  <c r="CH1205" i="1"/>
  <c r="CH1206" i="1"/>
  <c r="CH1207" i="1"/>
  <c r="CH1209" i="1"/>
  <c r="CH1210" i="1"/>
  <c r="CH1211" i="1"/>
  <c r="CH1212" i="1"/>
  <c r="CH1213" i="1"/>
  <c r="CH1214" i="1"/>
  <c r="CH1215" i="1"/>
  <c r="CH1216" i="1"/>
  <c r="CH1217" i="1"/>
  <c r="CH1219" i="1"/>
  <c r="CH1220" i="1"/>
  <c r="CH1222" i="1"/>
  <c r="CH1223" i="1"/>
  <c r="CH1224" i="1"/>
  <c r="CH1225" i="1"/>
  <c r="CH1226" i="1"/>
  <c r="CH1227" i="1"/>
  <c r="CH1229" i="1"/>
  <c r="CH1230" i="1"/>
  <c r="CH1231" i="1"/>
  <c r="CH1232" i="1"/>
  <c r="CH1233" i="1"/>
  <c r="CH1234" i="1"/>
  <c r="CH1235" i="1"/>
  <c r="CH1236" i="1"/>
  <c r="CH1238" i="1"/>
  <c r="CH1240" i="1"/>
  <c r="CH1241" i="1"/>
  <c r="CH1242" i="1"/>
  <c r="CH1244" i="1"/>
  <c r="CH1245" i="1"/>
  <c r="CH1246" i="1"/>
  <c r="CH1247" i="1"/>
  <c r="CH1248" i="1"/>
  <c r="CH1250" i="1"/>
  <c r="CH1251" i="1"/>
  <c r="CH1252" i="1"/>
  <c r="CH1253" i="1"/>
  <c r="CH1254" i="1"/>
  <c r="CH1255" i="1"/>
  <c r="CH1256" i="1"/>
  <c r="CH1257" i="1"/>
  <c r="CH1258" i="1"/>
  <c r="CH1259" i="1"/>
  <c r="CH1261" i="1"/>
  <c r="CH1262" i="1"/>
  <c r="CH1263" i="1"/>
  <c r="CH1265" i="1"/>
  <c r="CH1266" i="1"/>
  <c r="CH1267" i="1"/>
  <c r="CH1268" i="1"/>
  <c r="CH1272" i="1"/>
  <c r="S1274" i="1"/>
  <c r="CH1274" i="1" s="1"/>
  <c r="CH1275" i="1"/>
  <c r="CH1276" i="1"/>
  <c r="CH1277" i="1"/>
  <c r="CH1278" i="1"/>
  <c r="CH1279" i="1"/>
  <c r="CH1280" i="1"/>
  <c r="S1282" i="1"/>
  <c r="CH1282" i="1" s="1"/>
  <c r="CH1283" i="1"/>
  <c r="CH1284" i="1"/>
  <c r="CH1285" i="1"/>
  <c r="CH1286" i="1"/>
  <c r="CH1287" i="1"/>
  <c r="CH1288" i="1"/>
  <c r="CH1289" i="1"/>
  <c r="CH1291" i="1"/>
  <c r="CH1292" i="1"/>
  <c r="CH1293" i="1"/>
  <c r="CH1294" i="1"/>
  <c r="CH1295" i="1"/>
  <c r="CH1296" i="1"/>
  <c r="CH1297" i="1"/>
  <c r="CH1298" i="1"/>
  <c r="CH1299" i="1"/>
  <c r="CH1300" i="1"/>
  <c r="CH1301" i="1"/>
  <c r="CH1303" i="1"/>
  <c r="CH1304" i="1"/>
  <c r="CH1305" i="1"/>
  <c r="CH1306" i="1"/>
  <c r="CH1307" i="1"/>
  <c r="CH1308" i="1"/>
  <c r="CH1309" i="1"/>
  <c r="CH1310" i="1"/>
  <c r="CH1311" i="1"/>
  <c r="CH1312" i="1"/>
  <c r="CH1313" i="1"/>
  <c r="CI68" i="1"/>
  <c r="CI69" i="1"/>
  <c r="CI70" i="1"/>
  <c r="CI71" i="1"/>
  <c r="CI72" i="1"/>
  <c r="CI73" i="1"/>
  <c r="CI74" i="1"/>
  <c r="T76" i="1"/>
  <c r="CI76" i="1" s="1"/>
  <c r="CI77" i="1"/>
  <c r="CI78" i="1"/>
  <c r="CI79" i="1"/>
  <c r="CI80" i="1"/>
  <c r="CI81" i="1"/>
  <c r="CI82" i="1"/>
  <c r="T84" i="1"/>
  <c r="CI84" i="1"/>
  <c r="CI85" i="1"/>
  <c r="CI86" i="1"/>
  <c r="CI87" i="1"/>
  <c r="CI88" i="1"/>
  <c r="CI89" i="1"/>
  <c r="CI90" i="1"/>
  <c r="CI92" i="1"/>
  <c r="CI93" i="1"/>
  <c r="CI94" i="1"/>
  <c r="CI95" i="1"/>
  <c r="CI96" i="1"/>
  <c r="CI97" i="1"/>
  <c r="CI98" i="1"/>
  <c r="CI101" i="1"/>
  <c r="CI103" i="1"/>
  <c r="CI104" i="1"/>
  <c r="CI105" i="1"/>
  <c r="CI106" i="1"/>
  <c r="CI107" i="1"/>
  <c r="CI108" i="1"/>
  <c r="CI109" i="1"/>
  <c r="CI111" i="1"/>
  <c r="CI112" i="1"/>
  <c r="CI113" i="1"/>
  <c r="CI114" i="1"/>
  <c r="CI115" i="1"/>
  <c r="CI116" i="1"/>
  <c r="CI117" i="1"/>
  <c r="CI118" i="1"/>
  <c r="CI119" i="1"/>
  <c r="CI120" i="1"/>
  <c r="CI122" i="1"/>
  <c r="CI124" i="1"/>
  <c r="CI125" i="1"/>
  <c r="CI126" i="1"/>
  <c r="CI129" i="1"/>
  <c r="CI131" i="1"/>
  <c r="CI132" i="1"/>
  <c r="CI136" i="1"/>
  <c r="T138" i="1"/>
  <c r="CI138" i="1" s="1"/>
  <c r="CI139" i="1"/>
  <c r="CI140" i="1"/>
  <c r="CI141" i="1"/>
  <c r="CI142" i="1"/>
  <c r="T144" i="1"/>
  <c r="CI144" i="1" s="1"/>
  <c r="CI145" i="1"/>
  <c r="CI146" i="1"/>
  <c r="CI147" i="1"/>
  <c r="CI148" i="1"/>
  <c r="CI149" i="1"/>
  <c r="CI151" i="1"/>
  <c r="CI152" i="1"/>
  <c r="CI153" i="1"/>
  <c r="CI154" i="1"/>
  <c r="CI155" i="1"/>
  <c r="CI156" i="1"/>
  <c r="CI157" i="1"/>
  <c r="CI158" i="1"/>
  <c r="CI160" i="1"/>
  <c r="CI161" i="1"/>
  <c r="CI162" i="1"/>
  <c r="CI163" i="1"/>
  <c r="CI165" i="1"/>
  <c r="CI166" i="1"/>
  <c r="CI167" i="1"/>
  <c r="CI168" i="1"/>
  <c r="CI169" i="1"/>
  <c r="CI170" i="1"/>
  <c r="T172" i="1"/>
  <c r="CI172" i="1" s="1"/>
  <c r="CI173" i="1"/>
  <c r="CI175" i="1"/>
  <c r="CI176" i="1"/>
  <c r="CI177" i="1"/>
  <c r="CI178" i="1"/>
  <c r="CI179" i="1"/>
  <c r="CI180" i="1"/>
  <c r="CI181" i="1"/>
  <c r="CI182" i="1"/>
  <c r="CI183" i="1"/>
  <c r="CI184" i="1"/>
  <c r="CI186" i="1"/>
  <c r="CI187" i="1"/>
  <c r="CI188" i="1"/>
  <c r="CI189" i="1"/>
  <c r="CI190" i="1"/>
  <c r="CI191" i="1"/>
  <c r="CI192" i="1"/>
  <c r="CI193" i="1"/>
  <c r="T195" i="1"/>
  <c r="CI195" i="1"/>
  <c r="CI196" i="1"/>
  <c r="CI197" i="1"/>
  <c r="CI198" i="1"/>
  <c r="CI200" i="1"/>
  <c r="CI201" i="1"/>
  <c r="CI202" i="1"/>
  <c r="CI203" i="1"/>
  <c r="CI204" i="1"/>
  <c r="CI205" i="1"/>
  <c r="CI206" i="1"/>
  <c r="CI207" i="1"/>
  <c r="CI209" i="1"/>
  <c r="CI210" i="1"/>
  <c r="CI211" i="1"/>
  <c r="CI212" i="1"/>
  <c r="CI213" i="1"/>
  <c r="CI214" i="1"/>
  <c r="CI215" i="1"/>
  <c r="CI218" i="1"/>
  <c r="CI219" i="1"/>
  <c r="CI220" i="1"/>
  <c r="CI221" i="1"/>
  <c r="CI222" i="1"/>
  <c r="CI224" i="1"/>
  <c r="CI225" i="1"/>
  <c r="CI226" i="1"/>
  <c r="CI227" i="1"/>
  <c r="CI228" i="1"/>
  <c r="CI229" i="1"/>
  <c r="T231" i="1"/>
  <c r="CI231" i="1" s="1"/>
  <c r="CI232" i="1"/>
  <c r="CI233" i="1"/>
  <c r="CI234" i="1"/>
  <c r="CI235" i="1"/>
  <c r="CI236" i="1"/>
  <c r="CI237" i="1"/>
  <c r="CI238" i="1"/>
  <c r="T240" i="1"/>
  <c r="CI240" i="1"/>
  <c r="CI241" i="1"/>
  <c r="CI242" i="1"/>
  <c r="CI243" i="1"/>
  <c r="CI244" i="1"/>
  <c r="CI245" i="1"/>
  <c r="CI246" i="1"/>
  <c r="CI247" i="1"/>
  <c r="CI249" i="1"/>
  <c r="CI250" i="1"/>
  <c r="CI251" i="1"/>
  <c r="CI252" i="1"/>
  <c r="CI253" i="1"/>
  <c r="CI254" i="1"/>
  <c r="CI255" i="1"/>
  <c r="CI256" i="1"/>
  <c r="CI259" i="1"/>
  <c r="CI260" i="1"/>
  <c r="CI261" i="1"/>
  <c r="CI262" i="1"/>
  <c r="CI263" i="1"/>
  <c r="CI264" i="1"/>
  <c r="CI265" i="1"/>
  <c r="CI266" i="1"/>
  <c r="CI268" i="1"/>
  <c r="CI269" i="1"/>
  <c r="CI270" i="1"/>
  <c r="CI271" i="1"/>
  <c r="CI272" i="1"/>
  <c r="CI273" i="1"/>
  <c r="CI274" i="1"/>
  <c r="CI275" i="1"/>
  <c r="CI276" i="1"/>
  <c r="T278" i="1"/>
  <c r="CI278" i="1" s="1"/>
  <c r="CI279" i="1"/>
  <c r="CI280" i="1"/>
  <c r="CI281" i="1"/>
  <c r="CI282" i="1"/>
  <c r="CI283" i="1"/>
  <c r="CI285" i="1"/>
  <c r="CI286" i="1"/>
  <c r="CI287" i="1"/>
  <c r="CI288" i="1"/>
  <c r="CI291" i="1"/>
  <c r="CI292" i="1"/>
  <c r="CI293" i="1"/>
  <c r="CI294" i="1"/>
  <c r="CI296" i="1"/>
  <c r="CI297" i="1"/>
  <c r="CI298" i="1"/>
  <c r="CI299" i="1"/>
  <c r="CI300" i="1"/>
  <c r="CI301" i="1"/>
  <c r="CI302" i="1"/>
  <c r="CI303" i="1"/>
  <c r="CI305" i="1"/>
  <c r="CI306" i="1"/>
  <c r="CI307" i="1"/>
  <c r="CI308" i="1"/>
  <c r="CI309" i="1"/>
  <c r="CI310" i="1"/>
  <c r="CI311" i="1"/>
  <c r="CI312" i="1"/>
  <c r="CI313" i="1"/>
  <c r="CI314" i="1"/>
  <c r="CI316" i="1"/>
  <c r="CI317" i="1"/>
  <c r="CI318" i="1"/>
  <c r="CI319" i="1"/>
  <c r="CI320" i="1"/>
  <c r="CI321" i="1"/>
  <c r="CI322" i="1"/>
  <c r="CI323" i="1"/>
  <c r="CI324" i="1"/>
  <c r="CI325" i="1"/>
  <c r="CI326" i="1"/>
  <c r="CI327" i="1"/>
  <c r="T329" i="1"/>
  <c r="CI329" i="1" s="1"/>
  <c r="CI330" i="1"/>
  <c r="CI332" i="1"/>
  <c r="CI333" i="1"/>
  <c r="CI334" i="1"/>
  <c r="CI335" i="1"/>
  <c r="CI336" i="1"/>
  <c r="CI337" i="1"/>
  <c r="CI338" i="1"/>
  <c r="CI340" i="1"/>
  <c r="CI341" i="1"/>
  <c r="CI342" i="1"/>
  <c r="CI343" i="1"/>
  <c r="CI344" i="1"/>
  <c r="CI345" i="1"/>
  <c r="CI346" i="1"/>
  <c r="CI347" i="1"/>
  <c r="CI348" i="1"/>
  <c r="CI349" i="1"/>
  <c r="CI351" i="1"/>
  <c r="CI352" i="1"/>
  <c r="CI353" i="1"/>
  <c r="CI354" i="1"/>
  <c r="CI355" i="1"/>
  <c r="CI356" i="1"/>
  <c r="T358" i="1"/>
  <c r="CI358" i="1" s="1"/>
  <c r="CI359" i="1"/>
  <c r="CI360" i="1"/>
  <c r="CI361" i="1"/>
  <c r="CI362" i="1"/>
  <c r="CI363" i="1"/>
  <c r="CI364" i="1"/>
  <c r="CI365" i="1"/>
  <c r="CI367" i="1"/>
  <c r="CI368" i="1"/>
  <c r="CI369" i="1"/>
  <c r="CI371" i="1"/>
  <c r="CI372" i="1"/>
  <c r="CI373" i="1"/>
  <c r="T375" i="1"/>
  <c r="CI375" i="1"/>
  <c r="CI376" i="1"/>
  <c r="CI378" i="1"/>
  <c r="CI379" i="1"/>
  <c r="CI380" i="1"/>
  <c r="CI381" i="1"/>
  <c r="CI382" i="1"/>
  <c r="CI383" i="1"/>
  <c r="CI385" i="1"/>
  <c r="CI386" i="1"/>
  <c r="CI387" i="1"/>
  <c r="CI388" i="1"/>
  <c r="CI389" i="1"/>
  <c r="CI390" i="1"/>
  <c r="CI391" i="1"/>
  <c r="CI393" i="1"/>
  <c r="CI394" i="1"/>
  <c r="CI395" i="1"/>
  <c r="CI396" i="1"/>
  <c r="CI397" i="1"/>
  <c r="CI398" i="1"/>
  <c r="CI399" i="1"/>
  <c r="CI400" i="1"/>
  <c r="CI401" i="1"/>
  <c r="CI403" i="1"/>
  <c r="CI404" i="1"/>
  <c r="CI405" i="1"/>
  <c r="CI406" i="1"/>
  <c r="CI407" i="1"/>
  <c r="CI408" i="1"/>
  <c r="CI409" i="1"/>
  <c r="CI410" i="1"/>
  <c r="CI411" i="1"/>
  <c r="CI413" i="1"/>
  <c r="CI414" i="1"/>
  <c r="CI415" i="1"/>
  <c r="CI416" i="1"/>
  <c r="CI417" i="1"/>
  <c r="CI418" i="1"/>
  <c r="CI421" i="1"/>
  <c r="CI422" i="1"/>
  <c r="CI423" i="1"/>
  <c r="CI424" i="1"/>
  <c r="CI425" i="1"/>
  <c r="CI426" i="1"/>
  <c r="CI427" i="1"/>
  <c r="CI428" i="1"/>
  <c r="CI430" i="1"/>
  <c r="CI431" i="1"/>
  <c r="CI432" i="1"/>
  <c r="CI433" i="1"/>
  <c r="CI434" i="1"/>
  <c r="CI435" i="1"/>
  <c r="CI436" i="1"/>
  <c r="CI438" i="1"/>
  <c r="CI439" i="1"/>
  <c r="CI440" i="1"/>
  <c r="CI441" i="1"/>
  <c r="CI442" i="1"/>
  <c r="CI443" i="1"/>
  <c r="CI445" i="1"/>
  <c r="CI446" i="1"/>
  <c r="CI447" i="1"/>
  <c r="CI448" i="1"/>
  <c r="CI449" i="1"/>
  <c r="CI450" i="1"/>
  <c r="CI451" i="1"/>
  <c r="CI452" i="1"/>
  <c r="T454" i="1"/>
  <c r="CI454" i="1"/>
  <c r="CI455" i="1"/>
  <c r="CI456" i="1"/>
  <c r="CI457" i="1"/>
  <c r="CI459" i="1"/>
  <c r="CI460" i="1"/>
  <c r="CI461" i="1"/>
  <c r="CI462" i="1"/>
  <c r="CI463" i="1"/>
  <c r="CI464" i="1"/>
  <c r="CI465" i="1"/>
  <c r="CI466" i="1"/>
  <c r="CI468" i="1"/>
  <c r="CI469" i="1"/>
  <c r="CI470" i="1"/>
  <c r="CI471" i="1"/>
  <c r="CI472" i="1"/>
  <c r="CI473" i="1"/>
  <c r="CI474" i="1"/>
  <c r="CI475" i="1"/>
  <c r="CI476" i="1"/>
  <c r="CI478" i="1"/>
  <c r="CI479" i="1"/>
  <c r="CI480" i="1"/>
  <c r="CI481" i="1"/>
  <c r="CI482" i="1"/>
  <c r="CI483" i="1"/>
  <c r="CI485" i="1"/>
  <c r="CI486" i="1"/>
  <c r="CI487" i="1"/>
  <c r="CI488" i="1"/>
  <c r="CI489" i="1"/>
  <c r="CI490" i="1"/>
  <c r="CI491" i="1"/>
  <c r="CI492" i="1"/>
  <c r="CI493" i="1"/>
  <c r="CI495" i="1"/>
  <c r="CI496" i="1"/>
  <c r="CI497" i="1"/>
  <c r="CI498" i="1"/>
  <c r="CI499" i="1"/>
  <c r="CI500" i="1"/>
  <c r="T502" i="1"/>
  <c r="CI502" i="1" s="1"/>
  <c r="CI503" i="1"/>
  <c r="CI504" i="1"/>
  <c r="CI505" i="1"/>
  <c r="CI506" i="1"/>
  <c r="CI507" i="1"/>
  <c r="CI508" i="1"/>
  <c r="CI510" i="1"/>
  <c r="CI511" i="1"/>
  <c r="CI512" i="1"/>
  <c r="CI514" i="1"/>
  <c r="CI515" i="1"/>
  <c r="CI516" i="1"/>
  <c r="CI517" i="1"/>
  <c r="CI518" i="1"/>
  <c r="CI520" i="1"/>
  <c r="CI521" i="1"/>
  <c r="CI522" i="1"/>
  <c r="CI523" i="1"/>
  <c r="CI524" i="1"/>
  <c r="CI525" i="1"/>
  <c r="CI526" i="1"/>
  <c r="CI527" i="1"/>
  <c r="CI530" i="1"/>
  <c r="CI531" i="1"/>
  <c r="CI532" i="1"/>
  <c r="CI533" i="1"/>
  <c r="CI534" i="1"/>
  <c r="CI535" i="1"/>
  <c r="CI536" i="1"/>
  <c r="CI538" i="1"/>
  <c r="CI539" i="1"/>
  <c r="CI540" i="1"/>
  <c r="CI541" i="1"/>
  <c r="CI542" i="1"/>
  <c r="CI543" i="1"/>
  <c r="CI544" i="1"/>
  <c r="CI545" i="1"/>
  <c r="CI546" i="1"/>
  <c r="CI548" i="1"/>
  <c r="CI549" i="1"/>
  <c r="CI550" i="1"/>
  <c r="CI551" i="1"/>
  <c r="CI552" i="1"/>
  <c r="CI553" i="1"/>
  <c r="CI554" i="1"/>
  <c r="CI555" i="1"/>
  <c r="CI557" i="1"/>
  <c r="CI558" i="1"/>
  <c r="CI559" i="1"/>
  <c r="CI560" i="1"/>
  <c r="CI561" i="1"/>
  <c r="CI562" i="1"/>
  <c r="CI564" i="1"/>
  <c r="CI565" i="1"/>
  <c r="CI566" i="1"/>
  <c r="CI567" i="1"/>
  <c r="CI570" i="1"/>
  <c r="CI572" i="1"/>
  <c r="CI573" i="1"/>
  <c r="CI574" i="1"/>
  <c r="CI577" i="1"/>
  <c r="CI578" i="1"/>
  <c r="CI579" i="1"/>
  <c r="CI580" i="1"/>
  <c r="CI581" i="1"/>
  <c r="T583" i="1"/>
  <c r="CI583" i="1" s="1"/>
  <c r="CI584" i="1"/>
  <c r="CI586" i="1"/>
  <c r="CI587" i="1"/>
  <c r="CI588" i="1"/>
  <c r="CI590" i="1"/>
  <c r="CI591" i="1"/>
  <c r="CI592" i="1"/>
  <c r="CI593" i="1"/>
  <c r="CI594" i="1"/>
  <c r="CI595" i="1"/>
  <c r="CI596" i="1"/>
  <c r="CI597" i="1"/>
  <c r="CI598" i="1"/>
  <c r="CI600" i="1"/>
  <c r="CI601" i="1"/>
  <c r="CI603" i="1"/>
  <c r="CI604" i="1"/>
  <c r="CI605" i="1"/>
  <c r="CI607" i="1"/>
  <c r="CI608" i="1"/>
  <c r="CI609" i="1"/>
  <c r="CI610" i="1"/>
  <c r="CI611" i="1"/>
  <c r="CI612" i="1"/>
  <c r="T614" i="1"/>
  <c r="CI614" i="1" s="1"/>
  <c r="CI615" i="1"/>
  <c r="CI617" i="1"/>
  <c r="CI618" i="1"/>
  <c r="CI619" i="1"/>
  <c r="CI620" i="1"/>
  <c r="CI622" i="1"/>
  <c r="CI623" i="1"/>
  <c r="CI624" i="1"/>
  <c r="CI625" i="1"/>
  <c r="CI626" i="1"/>
  <c r="CI628" i="1"/>
  <c r="CI629" i="1"/>
  <c r="CI630" i="1"/>
  <c r="CI631" i="1"/>
  <c r="CI632" i="1"/>
  <c r="CI633" i="1"/>
  <c r="CI634" i="1"/>
  <c r="T636" i="1"/>
  <c r="CI636" i="1"/>
  <c r="CI637" i="1"/>
  <c r="CI638" i="1"/>
  <c r="CI639" i="1"/>
  <c r="CI641" i="1"/>
  <c r="CI643" i="1"/>
  <c r="CI644" i="1"/>
  <c r="CI645" i="1"/>
  <c r="CI647" i="1"/>
  <c r="CI648" i="1"/>
  <c r="CI649" i="1"/>
  <c r="CI650" i="1"/>
  <c r="CI651" i="1"/>
  <c r="CI652" i="1"/>
  <c r="T654" i="1"/>
  <c r="CI654" i="1" s="1"/>
  <c r="CI655" i="1"/>
  <c r="CI656" i="1"/>
  <c r="CI657" i="1"/>
  <c r="CI658" i="1"/>
  <c r="CI659" i="1"/>
  <c r="CI660" i="1"/>
  <c r="CI662" i="1"/>
  <c r="CI663" i="1"/>
  <c r="CI665" i="1"/>
  <c r="CI666" i="1"/>
  <c r="CI667" i="1"/>
  <c r="CI669" i="1"/>
  <c r="CI670" i="1"/>
  <c r="CI671" i="1"/>
  <c r="CI672" i="1"/>
  <c r="CI674" i="1"/>
  <c r="CI675" i="1"/>
  <c r="CI676" i="1"/>
  <c r="CI677" i="1"/>
  <c r="CI678" i="1"/>
  <c r="CI679" i="1"/>
  <c r="CI681" i="1"/>
  <c r="CI682" i="1"/>
  <c r="CI683" i="1"/>
  <c r="CI684" i="1"/>
  <c r="CI685" i="1"/>
  <c r="CI686" i="1"/>
  <c r="CI687" i="1"/>
  <c r="CI688" i="1"/>
  <c r="CI689" i="1"/>
  <c r="CI690" i="1"/>
  <c r="CI691" i="1"/>
  <c r="CI693" i="1"/>
  <c r="CI694" i="1"/>
  <c r="CI695" i="1"/>
  <c r="CI696" i="1"/>
  <c r="CI698" i="1"/>
  <c r="CI699" i="1"/>
  <c r="CI702" i="1"/>
  <c r="CI703" i="1"/>
  <c r="CI704" i="1"/>
  <c r="CI706" i="1"/>
  <c r="CI707" i="1"/>
  <c r="CI708" i="1"/>
  <c r="CI709" i="1"/>
  <c r="CI711" i="1"/>
  <c r="CI712" i="1"/>
  <c r="CI713" i="1"/>
  <c r="CI714" i="1"/>
  <c r="CI715" i="1"/>
  <c r="CI716" i="1"/>
  <c r="CI717" i="1"/>
  <c r="CI718" i="1"/>
  <c r="CI720" i="1"/>
  <c r="CI721" i="1"/>
  <c r="CI723" i="1"/>
  <c r="CI724" i="1"/>
  <c r="CI725" i="1"/>
  <c r="CI726" i="1"/>
  <c r="CI729" i="1"/>
  <c r="CI731" i="1"/>
  <c r="CI732" i="1"/>
  <c r="CI733" i="1"/>
  <c r="CI734" i="1"/>
  <c r="CI735" i="1"/>
  <c r="CI736" i="1"/>
  <c r="CI739" i="1"/>
  <c r="CI740" i="1"/>
  <c r="CI741" i="1"/>
  <c r="CI742" i="1"/>
  <c r="CI743" i="1"/>
  <c r="CI744" i="1"/>
  <c r="CI745" i="1"/>
  <c r="CI748" i="1"/>
  <c r="CI750" i="1"/>
  <c r="CI751" i="1"/>
  <c r="CI752" i="1"/>
  <c r="CI753" i="1"/>
  <c r="CI754" i="1"/>
  <c r="CI755" i="1"/>
  <c r="CI756" i="1"/>
  <c r="CI758" i="1"/>
  <c r="CI760" i="1"/>
  <c r="CI761" i="1"/>
  <c r="CI763" i="1"/>
  <c r="CI764" i="1"/>
  <c r="CI766" i="1"/>
  <c r="CI767" i="1"/>
  <c r="CI768" i="1"/>
  <c r="CI769" i="1"/>
  <c r="CI774" i="1"/>
  <c r="CI775" i="1"/>
  <c r="CI777" i="1"/>
  <c r="CI778" i="1"/>
  <c r="CI779" i="1"/>
  <c r="CI780" i="1"/>
  <c r="CI782" i="1"/>
  <c r="CI783" i="1"/>
  <c r="CI784" i="1"/>
  <c r="CI785" i="1"/>
  <c r="CI786" i="1"/>
  <c r="CI787" i="1"/>
  <c r="CI789" i="1"/>
  <c r="CI790" i="1"/>
  <c r="CI791" i="1"/>
  <c r="CI793" i="1"/>
  <c r="CI794" i="1"/>
  <c r="CI795" i="1"/>
  <c r="CI796" i="1"/>
  <c r="CI797" i="1"/>
  <c r="CI798" i="1"/>
  <c r="CI801" i="1"/>
  <c r="CI802" i="1"/>
  <c r="CI803" i="1"/>
  <c r="CI804" i="1"/>
  <c r="CI805" i="1"/>
  <c r="CI806" i="1"/>
  <c r="CI807" i="1"/>
  <c r="CI808" i="1"/>
  <c r="T810" i="1"/>
  <c r="CI810" i="1"/>
  <c r="CI811" i="1"/>
  <c r="CI812" i="1"/>
  <c r="CI813" i="1"/>
  <c r="CI814" i="1"/>
  <c r="CI815" i="1"/>
  <c r="CI816" i="1"/>
  <c r="CI818" i="1"/>
  <c r="CI819" i="1"/>
  <c r="CI820" i="1"/>
  <c r="T822" i="1"/>
  <c r="CI822" i="1"/>
  <c r="CI823" i="1"/>
  <c r="CI824" i="1"/>
  <c r="CI825" i="1"/>
  <c r="CI826" i="1"/>
  <c r="CI827" i="1"/>
  <c r="T829" i="1"/>
  <c r="CI829" i="1" s="1"/>
  <c r="CI830" i="1"/>
  <c r="CI831" i="1"/>
  <c r="CI832" i="1"/>
  <c r="CI834" i="1"/>
  <c r="CI835" i="1"/>
  <c r="CI836" i="1"/>
  <c r="CI839" i="1"/>
  <c r="CI840" i="1"/>
  <c r="CI841" i="1"/>
  <c r="CI842" i="1"/>
  <c r="CI843" i="1"/>
  <c r="CI844" i="1"/>
  <c r="CI845" i="1"/>
  <c r="CI846" i="1"/>
  <c r="CI847" i="1"/>
  <c r="CI848" i="1"/>
  <c r="CI849" i="1"/>
  <c r="CI850" i="1"/>
  <c r="CI852" i="1"/>
  <c r="CI854" i="1"/>
  <c r="CI855" i="1"/>
  <c r="CI856" i="1"/>
  <c r="CI857" i="1"/>
  <c r="CI859" i="1"/>
  <c r="CI860" i="1"/>
  <c r="CI862" i="1"/>
  <c r="CI863" i="1"/>
  <c r="CI864" i="1"/>
  <c r="CI865" i="1"/>
  <c r="CI866" i="1"/>
  <c r="CI867" i="1"/>
  <c r="CI868" i="1"/>
  <c r="CI869" i="1"/>
  <c r="CI870" i="1"/>
  <c r="CI872" i="1"/>
  <c r="CI873" i="1"/>
  <c r="CI874" i="1"/>
  <c r="CI875" i="1"/>
  <c r="CI876" i="1"/>
  <c r="CI877" i="1"/>
  <c r="CI878" i="1"/>
  <c r="CI879" i="1"/>
  <c r="CI880" i="1"/>
  <c r="CI881" i="1"/>
  <c r="CI884" i="1"/>
  <c r="CI886" i="1"/>
  <c r="CI887" i="1"/>
  <c r="CI888" i="1"/>
  <c r="CI889" i="1"/>
  <c r="CI890" i="1"/>
  <c r="CI891" i="1"/>
  <c r="CI892" i="1"/>
  <c r="CI893" i="1"/>
  <c r="CI894" i="1"/>
  <c r="CI895" i="1"/>
  <c r="T897" i="1"/>
  <c r="CI897" i="1"/>
  <c r="CI898" i="1"/>
  <c r="CI899" i="1"/>
  <c r="CI900" i="1"/>
  <c r="CI901" i="1"/>
  <c r="CI902" i="1"/>
  <c r="CI904" i="1"/>
  <c r="CI905" i="1"/>
  <c r="CI906" i="1"/>
  <c r="CI908" i="1"/>
  <c r="CI909" i="1"/>
  <c r="CI910" i="1"/>
  <c r="CI911" i="1"/>
  <c r="CI912" i="1"/>
  <c r="CI913" i="1"/>
  <c r="CI915" i="1"/>
  <c r="CI916" i="1"/>
  <c r="CI917" i="1"/>
  <c r="CI918" i="1"/>
  <c r="CI919" i="1"/>
  <c r="CI921" i="1"/>
  <c r="CI922" i="1"/>
  <c r="CI923" i="1"/>
  <c r="CI924" i="1"/>
  <c r="CI925" i="1"/>
  <c r="CI927" i="1"/>
  <c r="CI928" i="1"/>
  <c r="CI929" i="1"/>
  <c r="CI930" i="1"/>
  <c r="CI931" i="1"/>
  <c r="CI932" i="1"/>
  <c r="CI933" i="1"/>
  <c r="CI935" i="1"/>
  <c r="CI936" i="1"/>
  <c r="CI937" i="1"/>
  <c r="CI938" i="1"/>
  <c r="CI939" i="1"/>
  <c r="CI940" i="1"/>
  <c r="CI941" i="1"/>
  <c r="CI943" i="1"/>
  <c r="CI944" i="1"/>
  <c r="CI945" i="1"/>
  <c r="CI947" i="1"/>
  <c r="CI948" i="1"/>
  <c r="CI950" i="1"/>
  <c r="CI951" i="1"/>
  <c r="CI952" i="1"/>
  <c r="CI953" i="1"/>
  <c r="CI954" i="1"/>
  <c r="CI955" i="1"/>
  <c r="CI956" i="1"/>
  <c r="CI957" i="1"/>
  <c r="CI958" i="1"/>
  <c r="CI960" i="1"/>
  <c r="CI961" i="1"/>
  <c r="CI962" i="1"/>
  <c r="CI963" i="1"/>
  <c r="CI964" i="1"/>
  <c r="CI965" i="1"/>
  <c r="CI966" i="1"/>
  <c r="CI967" i="1"/>
  <c r="CI969" i="1"/>
  <c r="CI970" i="1"/>
  <c r="CI971" i="1"/>
  <c r="CI972" i="1"/>
  <c r="CI973" i="1"/>
  <c r="CI974" i="1"/>
  <c r="CI975" i="1"/>
  <c r="CI977" i="1"/>
  <c r="CI978" i="1"/>
  <c r="CI979" i="1"/>
  <c r="CI980" i="1"/>
  <c r="CI981" i="1"/>
  <c r="T983" i="1"/>
  <c r="CI983" i="1" s="1"/>
  <c r="CI985" i="1"/>
  <c r="CI986" i="1"/>
  <c r="CI987" i="1"/>
  <c r="T989" i="1"/>
  <c r="CI989" i="1"/>
  <c r="CI990" i="1"/>
  <c r="CI991" i="1"/>
  <c r="CI992" i="1"/>
  <c r="CI993" i="1"/>
  <c r="CI994" i="1"/>
  <c r="CI996" i="1"/>
  <c r="CI997" i="1"/>
  <c r="CI998" i="1"/>
  <c r="CI999" i="1"/>
  <c r="CI1000" i="1"/>
  <c r="CI1001" i="1"/>
  <c r="CI1002" i="1"/>
  <c r="CI1003" i="1"/>
  <c r="CI1005" i="1"/>
  <c r="CI1006" i="1"/>
  <c r="CI1007" i="1"/>
  <c r="CI1008" i="1"/>
  <c r="CI1009" i="1"/>
  <c r="CI1010" i="1"/>
  <c r="CI1011" i="1"/>
  <c r="CI1013" i="1"/>
  <c r="CI1014" i="1"/>
  <c r="CI1015" i="1"/>
  <c r="CI1016" i="1"/>
  <c r="CI1017" i="1"/>
  <c r="CI1018" i="1"/>
  <c r="CI1019" i="1"/>
  <c r="CI1020" i="1"/>
  <c r="CI1021" i="1"/>
  <c r="CI1022" i="1"/>
  <c r="CI1023" i="1"/>
  <c r="CI1025" i="1"/>
  <c r="CI1026" i="1"/>
  <c r="CI1027" i="1"/>
  <c r="CI1028" i="1"/>
  <c r="CI1029" i="1"/>
  <c r="CI1030" i="1"/>
  <c r="CI1031" i="1"/>
  <c r="CI1032" i="1"/>
  <c r="CI1033" i="1"/>
  <c r="CI1035" i="1"/>
  <c r="CI1036" i="1"/>
  <c r="CI1037" i="1"/>
  <c r="CI1038" i="1"/>
  <c r="CI1039" i="1"/>
  <c r="CI1040" i="1"/>
  <c r="CI1041" i="1"/>
  <c r="CI1042" i="1"/>
  <c r="CI1043" i="1"/>
  <c r="CI1044" i="1"/>
  <c r="CI1046" i="1"/>
  <c r="CI1047" i="1"/>
  <c r="CI1048" i="1"/>
  <c r="CI1051" i="1"/>
  <c r="CI1053" i="1"/>
  <c r="CI1054" i="1"/>
  <c r="CI1055" i="1"/>
  <c r="CI1056" i="1"/>
  <c r="CI1057" i="1"/>
  <c r="CI1059" i="1"/>
  <c r="CI1060" i="1"/>
  <c r="CI1061" i="1"/>
  <c r="CI1062" i="1"/>
  <c r="CI1063" i="1"/>
  <c r="CI1064" i="1"/>
  <c r="CI1066" i="1"/>
  <c r="CI1067" i="1"/>
  <c r="CI1068" i="1"/>
  <c r="CI1069" i="1"/>
  <c r="CI1070" i="1"/>
  <c r="CI1071" i="1"/>
  <c r="CI1072" i="1"/>
  <c r="CI1073" i="1"/>
  <c r="CI1075" i="1"/>
  <c r="CI1076" i="1"/>
  <c r="CI1077" i="1"/>
  <c r="CI1079" i="1"/>
  <c r="CI1080" i="1"/>
  <c r="CI1081" i="1"/>
  <c r="CI1082" i="1"/>
  <c r="CI1083" i="1"/>
  <c r="CI1084" i="1"/>
  <c r="CI1086" i="1"/>
  <c r="CI1087" i="1"/>
  <c r="CI1088" i="1"/>
  <c r="CI1089" i="1"/>
  <c r="CI1090" i="1"/>
  <c r="CI1091" i="1"/>
  <c r="CI1092" i="1"/>
  <c r="CI1093" i="1"/>
  <c r="CI1094" i="1"/>
  <c r="CI1096" i="1"/>
  <c r="CI1097" i="1"/>
  <c r="CI1098" i="1"/>
  <c r="CI1099" i="1"/>
  <c r="CI1100" i="1"/>
  <c r="CI1101" i="1"/>
  <c r="CI1102" i="1"/>
  <c r="CI1103" i="1"/>
  <c r="CI1104" i="1"/>
  <c r="CI1105" i="1"/>
  <c r="CI1106" i="1"/>
  <c r="T1108" i="1"/>
  <c r="CI1108" i="1"/>
  <c r="CI1109" i="1"/>
  <c r="CI1110" i="1"/>
  <c r="CI1111" i="1"/>
  <c r="CI1112" i="1"/>
  <c r="CI1113" i="1"/>
  <c r="CI1115" i="1"/>
  <c r="CI1116" i="1"/>
  <c r="CI1117" i="1"/>
  <c r="CI1118" i="1"/>
  <c r="CI1120" i="1"/>
  <c r="CI1122" i="1"/>
  <c r="CI1123" i="1"/>
  <c r="CI1124" i="1"/>
  <c r="T1126" i="1"/>
  <c r="CI1126" i="1" s="1"/>
  <c r="CI1127" i="1"/>
  <c r="CI1128" i="1"/>
  <c r="CI1129" i="1"/>
  <c r="CI1130" i="1"/>
  <c r="CI1131" i="1"/>
  <c r="CI1132" i="1"/>
  <c r="CI1133" i="1"/>
  <c r="CI1135" i="1"/>
  <c r="CI1136" i="1"/>
  <c r="CI1137" i="1"/>
  <c r="CI1138" i="1"/>
  <c r="CI1139" i="1"/>
  <c r="CI1140" i="1"/>
  <c r="CI1142" i="1"/>
  <c r="CI1143" i="1"/>
  <c r="CI1144" i="1"/>
  <c r="CI1145" i="1"/>
  <c r="CI1146" i="1"/>
  <c r="CI1147" i="1"/>
  <c r="CI1148" i="1"/>
  <c r="CI1149" i="1"/>
  <c r="CI1150" i="1"/>
  <c r="CI1152" i="1"/>
  <c r="CI1153" i="1"/>
  <c r="CI1154" i="1"/>
  <c r="CI1155" i="1"/>
  <c r="CI1157" i="1"/>
  <c r="CI1158" i="1"/>
  <c r="CI1159" i="1"/>
  <c r="CI1160" i="1"/>
  <c r="CI1161" i="1"/>
  <c r="CI1162" i="1"/>
  <c r="CI1163" i="1"/>
  <c r="CI1164" i="1"/>
  <c r="CI1165" i="1"/>
  <c r="T1167" i="1"/>
  <c r="CI1167" i="1"/>
  <c r="CI1168" i="1"/>
  <c r="CI1169" i="1"/>
  <c r="CI1170" i="1"/>
  <c r="CI1172" i="1"/>
  <c r="CI1173" i="1"/>
  <c r="CI1174" i="1"/>
  <c r="CI1175" i="1"/>
  <c r="CI1177" i="1"/>
  <c r="CI1178" i="1"/>
  <c r="CI1179" i="1"/>
  <c r="CI1180" i="1"/>
  <c r="CI1181" i="1"/>
  <c r="CI1182" i="1"/>
  <c r="CI1183" i="1"/>
  <c r="CI1185" i="1"/>
  <c r="CI1186" i="1"/>
  <c r="CI1187" i="1"/>
  <c r="CI1188" i="1"/>
  <c r="CI1189" i="1"/>
  <c r="CI1190" i="1"/>
  <c r="CI1192" i="1"/>
  <c r="CI1194" i="1"/>
  <c r="CI1195" i="1"/>
  <c r="CI1196" i="1"/>
  <c r="CI1199" i="1"/>
  <c r="CI1201" i="1"/>
  <c r="CI1202" i="1"/>
  <c r="CI1203" i="1"/>
  <c r="CI1204" i="1"/>
  <c r="CI1205" i="1"/>
  <c r="CI1206" i="1"/>
  <c r="CI1207" i="1"/>
  <c r="CI1209" i="1"/>
  <c r="CI1210" i="1"/>
  <c r="CI1211" i="1"/>
  <c r="CI1212" i="1"/>
  <c r="CI1213" i="1"/>
  <c r="CI1214" i="1"/>
  <c r="CI1215" i="1"/>
  <c r="CI1216" i="1"/>
  <c r="CI1217" i="1"/>
  <c r="CI1219" i="1"/>
  <c r="CI1220" i="1"/>
  <c r="CI1222" i="1"/>
  <c r="CI1223" i="1"/>
  <c r="CI1224" i="1"/>
  <c r="CI1225" i="1"/>
  <c r="CI1226" i="1"/>
  <c r="CI1227" i="1"/>
  <c r="CI1230" i="1"/>
  <c r="CI1231" i="1"/>
  <c r="CI1232" i="1"/>
  <c r="CI1233" i="1"/>
  <c r="CI1234" i="1"/>
  <c r="CI1235" i="1"/>
  <c r="CI1236" i="1"/>
  <c r="CI1238" i="1"/>
  <c r="CI1240" i="1"/>
  <c r="CI1241" i="1"/>
  <c r="CI1242" i="1"/>
  <c r="CI1244" i="1"/>
  <c r="CI1245" i="1"/>
  <c r="CI1246" i="1"/>
  <c r="CI1247" i="1"/>
  <c r="CI1248" i="1"/>
  <c r="CI1250" i="1"/>
  <c r="CI1251" i="1"/>
  <c r="CI1252" i="1"/>
  <c r="CI1253" i="1"/>
  <c r="CI1254" i="1"/>
  <c r="CI1255" i="1"/>
  <c r="CI1256" i="1"/>
  <c r="CI1257" i="1"/>
  <c r="CI1258" i="1"/>
  <c r="CI1259" i="1"/>
  <c r="CI1261" i="1"/>
  <c r="CI1262" i="1"/>
  <c r="CI1263" i="1"/>
  <c r="CI1265" i="1"/>
  <c r="CI1266" i="1"/>
  <c r="CI1267" i="1"/>
  <c r="CI1268" i="1"/>
  <c r="CI1272" i="1"/>
  <c r="T1274" i="1"/>
  <c r="CI1274" i="1"/>
  <c r="CI1275" i="1"/>
  <c r="CI1276" i="1"/>
  <c r="CI1277" i="1"/>
  <c r="CI1278" i="1"/>
  <c r="CI1279" i="1"/>
  <c r="CI1280" i="1"/>
  <c r="T1282" i="1"/>
  <c r="CI1282" i="1"/>
  <c r="CI1283" i="1"/>
  <c r="CI1284" i="1"/>
  <c r="CI1285" i="1"/>
  <c r="CI1286" i="1"/>
  <c r="CI1287" i="1"/>
  <c r="CI1288" i="1"/>
  <c r="CI1289" i="1"/>
  <c r="CI1291" i="1"/>
  <c r="CI1292" i="1"/>
  <c r="CI1293" i="1"/>
  <c r="CI1294" i="1"/>
  <c r="CI1295" i="1"/>
  <c r="CI1296" i="1"/>
  <c r="CI1297" i="1"/>
  <c r="CI1298" i="1"/>
  <c r="CI1299" i="1"/>
  <c r="CI1300" i="1"/>
  <c r="CI1301" i="1"/>
  <c r="CI1303" i="1"/>
  <c r="CI1304" i="1"/>
  <c r="CI1305" i="1"/>
  <c r="CI1306" i="1"/>
  <c r="CI1307" i="1"/>
  <c r="CI1308" i="1"/>
  <c r="CI1309" i="1"/>
  <c r="CI1310" i="1"/>
  <c r="CI1311" i="1"/>
  <c r="CI1312" i="1"/>
  <c r="CI1313" i="1"/>
  <c r="CJ67" i="1"/>
  <c r="CJ68" i="1"/>
  <c r="CJ69" i="1"/>
  <c r="CJ70" i="1"/>
  <c r="CJ71" i="1"/>
  <c r="CJ72" i="1"/>
  <c r="CJ73" i="1"/>
  <c r="CJ74" i="1"/>
  <c r="U76" i="1"/>
  <c r="CJ76" i="1" s="1"/>
  <c r="CJ77" i="1"/>
  <c r="CJ78" i="1"/>
  <c r="CJ79" i="1"/>
  <c r="CJ80" i="1"/>
  <c r="CJ81" i="1"/>
  <c r="CJ82" i="1"/>
  <c r="U84" i="1"/>
  <c r="CJ84" i="1"/>
  <c r="CJ85" i="1"/>
  <c r="CJ86" i="1"/>
  <c r="CJ87" i="1"/>
  <c r="CJ88" i="1"/>
  <c r="CJ89" i="1"/>
  <c r="CJ90" i="1"/>
  <c r="CJ92" i="1"/>
  <c r="CJ93" i="1"/>
  <c r="CJ94" i="1"/>
  <c r="CJ95" i="1"/>
  <c r="CJ96" i="1"/>
  <c r="CJ97" i="1"/>
  <c r="CJ98" i="1"/>
  <c r="CJ101" i="1"/>
  <c r="CJ103" i="1"/>
  <c r="CJ104" i="1"/>
  <c r="CJ105" i="1"/>
  <c r="CJ106" i="1"/>
  <c r="CJ107" i="1"/>
  <c r="CJ108" i="1"/>
  <c r="CJ109" i="1"/>
  <c r="CJ111" i="1"/>
  <c r="CJ112" i="1"/>
  <c r="CJ113" i="1"/>
  <c r="CJ114" i="1"/>
  <c r="CJ115" i="1"/>
  <c r="CJ116" i="1"/>
  <c r="CJ117" i="1"/>
  <c r="CJ118" i="1"/>
  <c r="CJ119" i="1"/>
  <c r="CJ120" i="1"/>
  <c r="CJ122" i="1"/>
  <c r="CJ124" i="1"/>
  <c r="CJ125" i="1"/>
  <c r="CJ126" i="1"/>
  <c r="CJ129" i="1"/>
  <c r="CJ131" i="1"/>
  <c r="CJ132" i="1"/>
  <c r="CJ136" i="1"/>
  <c r="U138" i="1"/>
  <c r="CJ138" i="1" s="1"/>
  <c r="CJ139" i="1"/>
  <c r="CJ140" i="1"/>
  <c r="CJ141" i="1"/>
  <c r="CJ142" i="1"/>
  <c r="U144" i="1"/>
  <c r="CJ144" i="1"/>
  <c r="CJ145" i="1"/>
  <c r="CJ146" i="1"/>
  <c r="CJ147" i="1"/>
  <c r="CJ148" i="1"/>
  <c r="CJ149" i="1"/>
  <c r="CJ151" i="1"/>
  <c r="CJ152" i="1"/>
  <c r="CJ153" i="1"/>
  <c r="CJ154" i="1"/>
  <c r="CJ155" i="1"/>
  <c r="CJ156" i="1"/>
  <c r="CJ157" i="1"/>
  <c r="CJ158" i="1"/>
  <c r="CJ160" i="1"/>
  <c r="CJ161" i="1"/>
  <c r="CJ162" i="1"/>
  <c r="CJ163" i="1"/>
  <c r="CJ165" i="1"/>
  <c r="CJ166" i="1"/>
  <c r="CJ167" i="1"/>
  <c r="CJ168" i="1"/>
  <c r="CJ169" i="1"/>
  <c r="CJ170" i="1"/>
  <c r="U172" i="1"/>
  <c r="CJ172" i="1" s="1"/>
  <c r="CJ173" i="1"/>
  <c r="CJ175" i="1"/>
  <c r="CJ176" i="1"/>
  <c r="CJ177" i="1"/>
  <c r="CJ178" i="1"/>
  <c r="CJ179" i="1"/>
  <c r="CJ180" i="1"/>
  <c r="CJ181" i="1"/>
  <c r="CJ182" i="1"/>
  <c r="CJ183" i="1"/>
  <c r="CJ184" i="1"/>
  <c r="CJ186" i="1"/>
  <c r="CJ187" i="1"/>
  <c r="CJ188" i="1"/>
  <c r="CJ189" i="1"/>
  <c r="CJ190" i="1"/>
  <c r="CJ191" i="1"/>
  <c r="CJ192" i="1"/>
  <c r="CJ193" i="1"/>
  <c r="U195" i="1"/>
  <c r="CJ195" i="1"/>
  <c r="CJ196" i="1"/>
  <c r="CJ197" i="1"/>
  <c r="CJ198" i="1"/>
  <c r="CJ200" i="1"/>
  <c r="CJ201" i="1"/>
  <c r="CJ202" i="1"/>
  <c r="CJ203" i="1"/>
  <c r="CJ204" i="1"/>
  <c r="CJ205" i="1"/>
  <c r="CJ206" i="1"/>
  <c r="CJ207" i="1"/>
  <c r="CJ209" i="1"/>
  <c r="CJ210" i="1"/>
  <c r="CJ211" i="1"/>
  <c r="CJ212" i="1"/>
  <c r="CJ213" i="1"/>
  <c r="CJ214" i="1"/>
  <c r="CJ215" i="1"/>
  <c r="CJ217" i="1"/>
  <c r="CJ218" i="1"/>
  <c r="CJ219" i="1"/>
  <c r="CJ220" i="1"/>
  <c r="CJ221" i="1"/>
  <c r="CJ222" i="1"/>
  <c r="CJ224" i="1"/>
  <c r="CJ225" i="1"/>
  <c r="CJ226" i="1"/>
  <c r="CJ227" i="1"/>
  <c r="CJ228" i="1"/>
  <c r="CJ229" i="1"/>
  <c r="U231" i="1"/>
  <c r="CJ231" i="1" s="1"/>
  <c r="CJ232" i="1"/>
  <c r="CJ233" i="1"/>
  <c r="CJ234" i="1"/>
  <c r="CJ235" i="1"/>
  <c r="CJ236" i="1"/>
  <c r="CJ237" i="1"/>
  <c r="CJ238" i="1"/>
  <c r="U240" i="1"/>
  <c r="CJ240" i="1"/>
  <c r="CJ241" i="1"/>
  <c r="CJ242" i="1"/>
  <c r="CJ243" i="1"/>
  <c r="CJ244" i="1"/>
  <c r="CJ245" i="1"/>
  <c r="CJ246" i="1"/>
  <c r="CJ247" i="1"/>
  <c r="CJ249" i="1"/>
  <c r="CJ250" i="1"/>
  <c r="CJ251" i="1"/>
  <c r="CJ252" i="1"/>
  <c r="CJ253" i="1"/>
  <c r="CJ254" i="1"/>
  <c r="CJ255" i="1"/>
  <c r="CJ256" i="1"/>
  <c r="CJ258" i="1"/>
  <c r="CJ259" i="1"/>
  <c r="CJ260" i="1"/>
  <c r="CJ261" i="1"/>
  <c r="CJ262" i="1"/>
  <c r="CJ263" i="1"/>
  <c r="CJ264" i="1"/>
  <c r="CJ265" i="1"/>
  <c r="CJ266" i="1"/>
  <c r="CJ269" i="1"/>
  <c r="CJ270" i="1"/>
  <c r="CJ271" i="1"/>
  <c r="CJ272" i="1"/>
  <c r="CJ273" i="1"/>
  <c r="CJ274" i="1"/>
  <c r="CJ275" i="1"/>
  <c r="CJ276" i="1"/>
  <c r="U278" i="1"/>
  <c r="CJ278" i="1"/>
  <c r="CJ279" i="1"/>
  <c r="CJ280" i="1"/>
  <c r="CJ281" i="1"/>
  <c r="CJ282" i="1"/>
  <c r="CJ283" i="1"/>
  <c r="CJ285" i="1"/>
  <c r="CJ286" i="1"/>
  <c r="CJ287" i="1"/>
  <c r="CJ288" i="1"/>
  <c r="CJ291" i="1"/>
  <c r="CJ292" i="1"/>
  <c r="CJ293" i="1"/>
  <c r="CJ294" i="1"/>
  <c r="CJ296" i="1"/>
  <c r="CJ297" i="1"/>
  <c r="CJ298" i="1"/>
  <c r="CJ299" i="1"/>
  <c r="CJ300" i="1"/>
  <c r="CJ301" i="1"/>
  <c r="CJ302" i="1"/>
  <c r="CJ303" i="1"/>
  <c r="CJ305" i="1"/>
  <c r="CJ306" i="1"/>
  <c r="CJ307" i="1"/>
  <c r="CJ308" i="1"/>
  <c r="CJ309" i="1"/>
  <c r="CJ310" i="1"/>
  <c r="CJ311" i="1"/>
  <c r="CJ312" i="1"/>
  <c r="CJ313" i="1"/>
  <c r="CJ314" i="1"/>
  <c r="CJ316" i="1"/>
  <c r="CJ317" i="1"/>
  <c r="CJ318" i="1"/>
  <c r="CJ319" i="1"/>
  <c r="CJ320" i="1"/>
  <c r="CJ321" i="1"/>
  <c r="CJ322" i="1"/>
  <c r="CJ323" i="1"/>
  <c r="CJ324" i="1"/>
  <c r="CJ325" i="1"/>
  <c r="CJ326" i="1"/>
  <c r="CJ327" i="1"/>
  <c r="U329" i="1"/>
  <c r="CJ329" i="1"/>
  <c r="CJ330" i="1"/>
  <c r="CJ332" i="1"/>
  <c r="CJ333" i="1"/>
  <c r="CJ334" i="1"/>
  <c r="CJ335" i="1"/>
  <c r="CJ336" i="1"/>
  <c r="CJ337" i="1"/>
  <c r="CJ338" i="1"/>
  <c r="CJ340" i="1"/>
  <c r="CJ341" i="1"/>
  <c r="CJ342" i="1"/>
  <c r="CJ343" i="1"/>
  <c r="CJ344" i="1"/>
  <c r="CJ345" i="1"/>
  <c r="CJ346" i="1"/>
  <c r="CJ347" i="1"/>
  <c r="CJ348" i="1"/>
  <c r="CJ349" i="1"/>
  <c r="CJ351" i="1"/>
  <c r="CJ352" i="1"/>
  <c r="CJ353" i="1"/>
  <c r="CJ354" i="1"/>
  <c r="CJ355" i="1"/>
  <c r="CJ356" i="1"/>
  <c r="U358" i="1"/>
  <c r="CJ358" i="1"/>
  <c r="CJ359" i="1"/>
  <c r="CJ360" i="1"/>
  <c r="CJ361" i="1"/>
  <c r="CJ362" i="1"/>
  <c r="CJ363" i="1"/>
  <c r="CJ364" i="1"/>
  <c r="CJ365" i="1"/>
  <c r="CJ367" i="1"/>
  <c r="CJ368" i="1"/>
  <c r="CJ369" i="1"/>
  <c r="CJ371" i="1"/>
  <c r="CJ372" i="1"/>
  <c r="CJ373" i="1"/>
  <c r="U375" i="1"/>
  <c r="CJ375" i="1" s="1"/>
  <c r="CJ376" i="1"/>
  <c r="CJ378" i="1"/>
  <c r="CJ379" i="1"/>
  <c r="CJ380" i="1"/>
  <c r="CJ381" i="1"/>
  <c r="CJ382" i="1"/>
  <c r="CJ383" i="1"/>
  <c r="CJ385" i="1"/>
  <c r="CJ386" i="1"/>
  <c r="CJ387" i="1"/>
  <c r="CJ388" i="1"/>
  <c r="CJ389" i="1"/>
  <c r="CJ390" i="1"/>
  <c r="CJ391" i="1"/>
  <c r="CJ393" i="1"/>
  <c r="CJ394" i="1"/>
  <c r="CJ395" i="1"/>
  <c r="CJ396" i="1"/>
  <c r="CJ397" i="1"/>
  <c r="CJ398" i="1"/>
  <c r="CJ399" i="1"/>
  <c r="CJ400" i="1"/>
  <c r="CJ401" i="1"/>
  <c r="CJ403" i="1"/>
  <c r="CJ404" i="1"/>
  <c r="CJ405" i="1"/>
  <c r="CJ406" i="1"/>
  <c r="CJ407" i="1"/>
  <c r="CJ408" i="1"/>
  <c r="CJ409" i="1"/>
  <c r="CJ410" i="1"/>
  <c r="CJ411" i="1"/>
  <c r="CJ413" i="1"/>
  <c r="CJ414" i="1"/>
  <c r="CJ415" i="1"/>
  <c r="CJ416" i="1"/>
  <c r="CJ417" i="1"/>
  <c r="CJ418" i="1"/>
  <c r="CJ421" i="1"/>
  <c r="CJ422" i="1"/>
  <c r="CJ423" i="1"/>
  <c r="CJ424" i="1"/>
  <c r="CJ425" i="1"/>
  <c r="CJ426" i="1"/>
  <c r="CJ427" i="1"/>
  <c r="CJ428" i="1"/>
  <c r="CJ430" i="1"/>
  <c r="CJ431" i="1"/>
  <c r="CJ432" i="1"/>
  <c r="CJ433" i="1"/>
  <c r="CJ434" i="1"/>
  <c r="CJ435" i="1"/>
  <c r="CJ436" i="1"/>
  <c r="CJ438" i="1"/>
  <c r="CJ439" i="1"/>
  <c r="CJ440" i="1"/>
  <c r="CJ441" i="1"/>
  <c r="CJ442" i="1"/>
  <c r="CJ443" i="1"/>
  <c r="CJ445" i="1"/>
  <c r="CJ446" i="1"/>
  <c r="CJ447" i="1"/>
  <c r="CJ448" i="1"/>
  <c r="CJ449" i="1"/>
  <c r="CJ450" i="1"/>
  <c r="CJ451" i="1"/>
  <c r="CJ452" i="1"/>
  <c r="U454" i="1"/>
  <c r="CJ454" i="1" s="1"/>
  <c r="CJ455" i="1"/>
  <c r="CJ456" i="1"/>
  <c r="CJ457" i="1"/>
  <c r="CJ459" i="1"/>
  <c r="CJ460" i="1"/>
  <c r="CJ461" i="1"/>
  <c r="CJ462" i="1"/>
  <c r="CJ463" i="1"/>
  <c r="CJ464" i="1"/>
  <c r="CJ465" i="1"/>
  <c r="CJ466" i="1"/>
  <c r="CJ468" i="1"/>
  <c r="CJ469" i="1"/>
  <c r="CJ470" i="1"/>
  <c r="CJ471" i="1"/>
  <c r="CJ472" i="1"/>
  <c r="CJ473" i="1"/>
  <c r="CJ474" i="1"/>
  <c r="CJ475" i="1"/>
  <c r="CJ476" i="1"/>
  <c r="CJ478" i="1"/>
  <c r="CJ479" i="1"/>
  <c r="CJ480" i="1"/>
  <c r="CJ481" i="1"/>
  <c r="CJ482" i="1"/>
  <c r="CJ483" i="1"/>
  <c r="CJ485" i="1"/>
  <c r="CJ486" i="1"/>
  <c r="CJ487" i="1"/>
  <c r="CJ488" i="1"/>
  <c r="CJ489" i="1"/>
  <c r="CJ490" i="1"/>
  <c r="CJ491" i="1"/>
  <c r="CJ492" i="1"/>
  <c r="CJ493" i="1"/>
  <c r="CJ496" i="1"/>
  <c r="CJ497" i="1"/>
  <c r="CJ498" i="1"/>
  <c r="CJ499" i="1"/>
  <c r="CJ500" i="1"/>
  <c r="U502" i="1"/>
  <c r="CJ502" i="1" s="1"/>
  <c r="CJ503" i="1"/>
  <c r="CJ504" i="1"/>
  <c r="CJ505" i="1"/>
  <c r="CJ506" i="1"/>
  <c r="CJ507" i="1"/>
  <c r="CJ508" i="1"/>
  <c r="CJ510" i="1"/>
  <c r="CJ511" i="1"/>
  <c r="CJ512" i="1"/>
  <c r="CJ514" i="1"/>
  <c r="CJ515" i="1"/>
  <c r="CJ516" i="1"/>
  <c r="CJ517" i="1"/>
  <c r="CJ518" i="1"/>
  <c r="CJ520" i="1"/>
  <c r="CJ521" i="1"/>
  <c r="CJ522" i="1"/>
  <c r="CJ523" i="1"/>
  <c r="CJ524" i="1"/>
  <c r="CJ525" i="1"/>
  <c r="CJ526" i="1"/>
  <c r="CJ527" i="1"/>
  <c r="CJ529" i="1"/>
  <c r="CJ530" i="1"/>
  <c r="CJ531" i="1"/>
  <c r="CJ532" i="1"/>
  <c r="CJ533" i="1"/>
  <c r="CJ534" i="1"/>
  <c r="CJ535" i="1"/>
  <c r="CJ536" i="1"/>
  <c r="CJ538" i="1"/>
  <c r="CJ539" i="1"/>
  <c r="CJ540" i="1"/>
  <c r="CJ541" i="1"/>
  <c r="CJ542" i="1"/>
  <c r="CJ543" i="1"/>
  <c r="CJ544" i="1"/>
  <c r="CJ545" i="1"/>
  <c r="CJ546" i="1"/>
  <c r="CJ548" i="1"/>
  <c r="CJ549" i="1"/>
  <c r="CJ550" i="1"/>
  <c r="CJ551" i="1"/>
  <c r="CJ552" i="1"/>
  <c r="CJ553" i="1"/>
  <c r="CJ554" i="1"/>
  <c r="CJ555" i="1"/>
  <c r="CJ557" i="1"/>
  <c r="CJ558" i="1"/>
  <c r="CJ559" i="1"/>
  <c r="CJ560" i="1"/>
  <c r="CJ561" i="1"/>
  <c r="CJ562" i="1"/>
  <c r="CJ564" i="1"/>
  <c r="CJ565" i="1"/>
  <c r="CJ566" i="1"/>
  <c r="CJ567" i="1"/>
  <c r="CJ569" i="1"/>
  <c r="CJ570" i="1"/>
  <c r="CJ572" i="1"/>
  <c r="CJ573" i="1"/>
  <c r="CJ574" i="1"/>
  <c r="CJ576" i="1"/>
  <c r="CJ577" i="1"/>
  <c r="CJ578" i="1"/>
  <c r="CJ579" i="1"/>
  <c r="CJ580" i="1"/>
  <c r="CJ581" i="1"/>
  <c r="U583" i="1"/>
  <c r="CJ583" i="1" s="1"/>
  <c r="CJ584" i="1"/>
  <c r="CJ586" i="1"/>
  <c r="CJ587" i="1"/>
  <c r="CJ588" i="1"/>
  <c r="CJ590" i="1"/>
  <c r="CJ591" i="1"/>
  <c r="CJ592" i="1"/>
  <c r="CJ593" i="1"/>
  <c r="CJ594" i="1"/>
  <c r="CJ595" i="1"/>
  <c r="CJ596" i="1"/>
  <c r="CJ597" i="1"/>
  <c r="CJ598" i="1"/>
  <c r="CJ600" i="1"/>
  <c r="CJ601" i="1"/>
  <c r="CJ603" i="1"/>
  <c r="CJ604" i="1"/>
  <c r="CJ605" i="1"/>
  <c r="CJ607" i="1"/>
  <c r="CJ608" i="1"/>
  <c r="CJ609" i="1"/>
  <c r="CJ610" i="1"/>
  <c r="CJ611" i="1"/>
  <c r="CJ612" i="1"/>
  <c r="U614" i="1"/>
  <c r="CJ614" i="1"/>
  <c r="CJ615" i="1"/>
  <c r="CJ617" i="1"/>
  <c r="CJ618" i="1"/>
  <c r="CJ619" i="1"/>
  <c r="CJ620" i="1"/>
  <c r="CJ622" i="1"/>
  <c r="CJ623" i="1"/>
  <c r="CJ624" i="1"/>
  <c r="CJ625" i="1"/>
  <c r="CJ626" i="1"/>
  <c r="CJ628" i="1"/>
  <c r="CJ629" i="1"/>
  <c r="CJ630" i="1"/>
  <c r="CJ631" i="1"/>
  <c r="CJ632" i="1"/>
  <c r="CJ633" i="1"/>
  <c r="CJ634" i="1"/>
  <c r="U636" i="1"/>
  <c r="CJ636" i="1" s="1"/>
  <c r="CJ637" i="1"/>
  <c r="CJ638" i="1"/>
  <c r="CJ639" i="1"/>
  <c r="CJ641" i="1"/>
  <c r="CJ643" i="1"/>
  <c r="CJ644" i="1"/>
  <c r="CJ645" i="1"/>
  <c r="CJ647" i="1"/>
  <c r="CJ648" i="1"/>
  <c r="CJ649" i="1"/>
  <c r="CJ650" i="1"/>
  <c r="CJ651" i="1"/>
  <c r="CJ652" i="1"/>
  <c r="U654" i="1"/>
  <c r="CJ654" i="1" s="1"/>
  <c r="CJ655" i="1"/>
  <c r="CJ656" i="1"/>
  <c r="CJ657" i="1"/>
  <c r="CJ658" i="1"/>
  <c r="CJ659" i="1"/>
  <c r="CJ660" i="1"/>
  <c r="CJ662" i="1"/>
  <c r="CJ663" i="1"/>
  <c r="CJ665" i="1"/>
  <c r="CJ666" i="1"/>
  <c r="CJ667" i="1"/>
  <c r="CJ669" i="1"/>
  <c r="CJ670" i="1"/>
  <c r="CJ671" i="1"/>
  <c r="CJ672" i="1"/>
  <c r="CJ675" i="1"/>
  <c r="CJ676" i="1"/>
  <c r="CJ677" i="1"/>
  <c r="CJ678" i="1"/>
  <c r="CJ679" i="1"/>
  <c r="CJ681" i="1"/>
  <c r="CJ682" i="1"/>
  <c r="CJ683" i="1"/>
  <c r="CJ684" i="1"/>
  <c r="CJ685" i="1"/>
  <c r="CJ686" i="1"/>
  <c r="CJ687" i="1"/>
  <c r="CJ688" i="1"/>
  <c r="CJ689" i="1"/>
  <c r="CJ690" i="1"/>
  <c r="CJ691" i="1"/>
  <c r="U693" i="1"/>
  <c r="CJ693" i="1"/>
  <c r="CJ694" i="1"/>
  <c r="CJ695" i="1"/>
  <c r="CJ696" i="1"/>
  <c r="CJ698" i="1"/>
  <c r="CJ699" i="1"/>
  <c r="CJ702" i="1"/>
  <c r="CJ703" i="1"/>
  <c r="CJ704" i="1"/>
  <c r="CJ706" i="1"/>
  <c r="CJ707" i="1"/>
  <c r="CJ708" i="1"/>
  <c r="CJ709" i="1"/>
  <c r="CJ711" i="1"/>
  <c r="CJ712" i="1"/>
  <c r="CJ713" i="1"/>
  <c r="CJ714" i="1"/>
  <c r="CJ715" i="1"/>
  <c r="CJ716" i="1"/>
  <c r="CJ717" i="1"/>
  <c r="CJ718" i="1"/>
  <c r="CJ720" i="1"/>
  <c r="CJ721" i="1"/>
  <c r="CJ723" i="1"/>
  <c r="CJ724" i="1"/>
  <c r="CJ725" i="1"/>
  <c r="CJ726" i="1"/>
  <c r="CJ729" i="1"/>
  <c r="CJ731" i="1"/>
  <c r="CJ732" i="1"/>
  <c r="CJ733" i="1"/>
  <c r="CJ734" i="1"/>
  <c r="CJ735" i="1"/>
  <c r="CJ736" i="1"/>
  <c r="CJ738" i="1"/>
  <c r="CJ739" i="1"/>
  <c r="CJ740" i="1"/>
  <c r="CJ741" i="1"/>
  <c r="CJ742" i="1"/>
  <c r="CJ743" i="1"/>
  <c r="CJ744" i="1"/>
  <c r="CJ745" i="1"/>
  <c r="CJ748" i="1"/>
  <c r="CJ750" i="1"/>
  <c r="CJ751" i="1"/>
  <c r="CJ752" i="1"/>
  <c r="CJ753" i="1"/>
  <c r="CJ754" i="1"/>
  <c r="CJ755" i="1"/>
  <c r="CJ756" i="1"/>
  <c r="CJ758" i="1"/>
  <c r="CJ760" i="1"/>
  <c r="CJ761" i="1"/>
  <c r="CJ764" i="1"/>
  <c r="CJ766" i="1"/>
  <c r="CJ767" i="1"/>
  <c r="CJ768" i="1"/>
  <c r="CJ769" i="1"/>
  <c r="CJ774" i="1"/>
  <c r="CJ775" i="1"/>
  <c r="CJ777" i="1"/>
  <c r="CJ778" i="1"/>
  <c r="CJ779" i="1"/>
  <c r="CJ780" i="1"/>
  <c r="CJ782" i="1"/>
  <c r="CJ783" i="1"/>
  <c r="CJ784" i="1"/>
  <c r="CJ785" i="1"/>
  <c r="CJ786" i="1"/>
  <c r="CJ787" i="1"/>
  <c r="CJ789" i="1"/>
  <c r="CJ790" i="1"/>
  <c r="CJ791" i="1"/>
  <c r="CJ793" i="1"/>
  <c r="CJ794" i="1"/>
  <c r="CJ795" i="1"/>
  <c r="CJ796" i="1"/>
  <c r="CJ797" i="1"/>
  <c r="CJ798" i="1"/>
  <c r="CJ800" i="1"/>
  <c r="CJ801" i="1"/>
  <c r="CJ802" i="1"/>
  <c r="CJ803" i="1"/>
  <c r="CJ804" i="1"/>
  <c r="CJ805" i="1"/>
  <c r="CJ806" i="1"/>
  <c r="CJ807" i="1"/>
  <c r="CJ808" i="1"/>
  <c r="U810" i="1"/>
  <c r="CJ810" i="1"/>
  <c r="CJ811" i="1"/>
  <c r="CJ812" i="1"/>
  <c r="CJ813" i="1"/>
  <c r="CJ814" i="1"/>
  <c r="CJ815" i="1"/>
  <c r="CJ816" i="1"/>
  <c r="CJ818" i="1"/>
  <c r="CJ819" i="1"/>
  <c r="CJ820" i="1"/>
  <c r="U822" i="1"/>
  <c r="CJ822" i="1" s="1"/>
  <c r="CJ823" i="1"/>
  <c r="CJ824" i="1"/>
  <c r="CJ825" i="1"/>
  <c r="CJ826" i="1"/>
  <c r="CJ827" i="1"/>
  <c r="U829" i="1"/>
  <c r="CJ829" i="1" s="1"/>
  <c r="CJ830" i="1"/>
  <c r="CJ831" i="1"/>
  <c r="CJ832" i="1"/>
  <c r="CJ834" i="1"/>
  <c r="CJ835" i="1"/>
  <c r="CJ836" i="1"/>
  <c r="CJ838" i="1"/>
  <c r="CJ839" i="1"/>
  <c r="CJ840" i="1"/>
  <c r="CJ841" i="1"/>
  <c r="CJ842" i="1"/>
  <c r="CJ843" i="1"/>
  <c r="CJ845" i="1"/>
  <c r="CJ846" i="1"/>
  <c r="CJ847" i="1"/>
  <c r="CJ848" i="1"/>
  <c r="CJ849" i="1"/>
  <c r="CJ850" i="1"/>
  <c r="CJ852" i="1"/>
  <c r="CJ854" i="1"/>
  <c r="CJ855" i="1"/>
  <c r="CJ856" i="1"/>
  <c r="CJ857" i="1"/>
  <c r="CJ859" i="1"/>
  <c r="CJ860" i="1"/>
  <c r="CJ862" i="1"/>
  <c r="CJ863" i="1"/>
  <c r="CJ864" i="1"/>
  <c r="CJ865" i="1"/>
  <c r="CJ866" i="1"/>
  <c r="CJ867" i="1"/>
  <c r="CJ868" i="1"/>
  <c r="CJ869" i="1"/>
  <c r="CJ870" i="1"/>
  <c r="CJ872" i="1"/>
  <c r="CJ873" i="1"/>
  <c r="CJ874" i="1"/>
  <c r="CJ875" i="1"/>
  <c r="CJ876" i="1"/>
  <c r="CJ877" i="1"/>
  <c r="CJ878" i="1"/>
  <c r="CJ879" i="1"/>
  <c r="CJ880" i="1"/>
  <c r="CJ881" i="1"/>
  <c r="CJ884" i="1"/>
  <c r="CJ886" i="1"/>
  <c r="CJ887" i="1"/>
  <c r="CJ888" i="1"/>
  <c r="CJ889" i="1"/>
  <c r="CJ890" i="1"/>
  <c r="CJ891" i="1"/>
  <c r="CJ892" i="1"/>
  <c r="CJ893" i="1"/>
  <c r="CJ894" i="1"/>
  <c r="CJ895" i="1"/>
  <c r="U897" i="1"/>
  <c r="CJ897" i="1"/>
  <c r="CJ898" i="1"/>
  <c r="CJ899" i="1"/>
  <c r="CJ900" i="1"/>
  <c r="CJ901" i="1"/>
  <c r="CJ902" i="1"/>
  <c r="CJ904" i="1"/>
  <c r="CJ905" i="1"/>
  <c r="CJ906" i="1"/>
  <c r="CJ908" i="1"/>
  <c r="CJ909" i="1"/>
  <c r="CJ910" i="1"/>
  <c r="CJ911" i="1"/>
  <c r="CJ912" i="1"/>
  <c r="CJ913" i="1"/>
  <c r="CJ915" i="1"/>
  <c r="CJ916" i="1"/>
  <c r="CJ917" i="1"/>
  <c r="CJ918" i="1"/>
  <c r="CJ919" i="1"/>
  <c r="CJ921" i="1"/>
  <c r="CJ922" i="1"/>
  <c r="CJ923" i="1"/>
  <c r="CJ924" i="1"/>
  <c r="CJ925" i="1"/>
  <c r="CJ927" i="1"/>
  <c r="CJ928" i="1"/>
  <c r="CJ929" i="1"/>
  <c r="CJ930" i="1"/>
  <c r="CJ931" i="1"/>
  <c r="CJ932" i="1"/>
  <c r="CJ933" i="1"/>
  <c r="CJ935" i="1"/>
  <c r="CJ936" i="1"/>
  <c r="CJ937" i="1"/>
  <c r="CJ938" i="1"/>
  <c r="CJ939" i="1"/>
  <c r="CJ940" i="1"/>
  <c r="CJ941" i="1"/>
  <c r="CJ943" i="1"/>
  <c r="CJ944" i="1"/>
  <c r="CJ945" i="1"/>
  <c r="CJ947" i="1"/>
  <c r="CJ948" i="1"/>
  <c r="CJ950" i="1"/>
  <c r="CJ951" i="1"/>
  <c r="CJ952" i="1"/>
  <c r="CJ953" i="1"/>
  <c r="CJ954" i="1"/>
  <c r="CJ955" i="1"/>
  <c r="CJ956" i="1"/>
  <c r="CJ957" i="1"/>
  <c r="CJ958" i="1"/>
  <c r="CJ960" i="1"/>
  <c r="CJ961" i="1"/>
  <c r="CJ962" i="1"/>
  <c r="CJ963" i="1"/>
  <c r="CJ964" i="1"/>
  <c r="CJ965" i="1"/>
  <c r="CJ966" i="1"/>
  <c r="CJ967" i="1"/>
  <c r="CJ969" i="1"/>
  <c r="CJ970" i="1"/>
  <c r="CJ971" i="1"/>
  <c r="CJ972" i="1"/>
  <c r="CJ973" i="1"/>
  <c r="CJ974" i="1"/>
  <c r="CJ975" i="1"/>
  <c r="CJ977" i="1"/>
  <c r="CJ978" i="1"/>
  <c r="CJ979" i="1"/>
  <c r="CJ980" i="1"/>
  <c r="CJ981" i="1"/>
  <c r="U983" i="1"/>
  <c r="CJ983" i="1" s="1"/>
  <c r="CJ985" i="1"/>
  <c r="CJ986" i="1"/>
  <c r="CJ987" i="1"/>
  <c r="U989" i="1"/>
  <c r="CJ989" i="1" s="1"/>
  <c r="CJ990" i="1"/>
  <c r="CJ991" i="1"/>
  <c r="CJ992" i="1"/>
  <c r="CJ993" i="1"/>
  <c r="CJ994" i="1"/>
  <c r="CJ996" i="1"/>
  <c r="CJ997" i="1"/>
  <c r="CJ998" i="1"/>
  <c r="CJ999" i="1"/>
  <c r="CJ1000" i="1"/>
  <c r="CJ1001" i="1"/>
  <c r="CJ1002" i="1"/>
  <c r="CJ1003" i="1"/>
  <c r="CJ1005" i="1"/>
  <c r="CJ1006" i="1"/>
  <c r="CJ1007" i="1"/>
  <c r="CJ1008" i="1"/>
  <c r="CJ1009" i="1"/>
  <c r="CJ1010" i="1"/>
  <c r="CJ1011" i="1"/>
  <c r="CJ1013" i="1"/>
  <c r="CJ1014" i="1"/>
  <c r="CJ1015" i="1"/>
  <c r="CJ1016" i="1"/>
  <c r="CJ1017" i="1"/>
  <c r="CJ1018" i="1"/>
  <c r="CJ1019" i="1"/>
  <c r="CJ1020" i="1"/>
  <c r="CJ1021" i="1"/>
  <c r="CJ1022" i="1"/>
  <c r="CJ1023" i="1"/>
  <c r="CJ1025" i="1"/>
  <c r="CJ1026" i="1"/>
  <c r="CJ1027" i="1"/>
  <c r="CJ1028" i="1"/>
  <c r="CJ1029" i="1"/>
  <c r="CJ1030" i="1"/>
  <c r="CJ1031" i="1"/>
  <c r="CJ1032" i="1"/>
  <c r="CJ1033" i="1"/>
  <c r="CJ1035" i="1"/>
  <c r="CJ1036" i="1"/>
  <c r="CJ1037" i="1"/>
  <c r="CJ1038" i="1"/>
  <c r="CJ1039" i="1"/>
  <c r="CJ1040" i="1"/>
  <c r="CJ1041" i="1"/>
  <c r="CJ1042" i="1"/>
  <c r="CJ1043" i="1"/>
  <c r="CJ1044" i="1"/>
  <c r="CJ1046" i="1"/>
  <c r="CJ1047" i="1"/>
  <c r="CJ1048" i="1"/>
  <c r="CJ1051" i="1"/>
  <c r="CJ1053" i="1"/>
  <c r="CJ1054" i="1"/>
  <c r="CJ1055" i="1"/>
  <c r="CJ1056" i="1"/>
  <c r="CJ1057" i="1"/>
  <c r="CJ1059" i="1"/>
  <c r="CJ1060" i="1"/>
  <c r="CJ1061" i="1"/>
  <c r="CJ1062" i="1"/>
  <c r="CJ1063" i="1"/>
  <c r="CJ1064" i="1"/>
  <c r="CJ1066" i="1"/>
  <c r="CJ1067" i="1"/>
  <c r="CJ1068" i="1"/>
  <c r="CJ1069" i="1"/>
  <c r="CJ1070" i="1"/>
  <c r="CJ1071" i="1"/>
  <c r="CJ1072" i="1"/>
  <c r="CJ1073" i="1"/>
  <c r="CJ1075" i="1"/>
  <c r="CJ1076" i="1"/>
  <c r="CJ1077" i="1"/>
  <c r="CJ1079" i="1"/>
  <c r="CJ1080" i="1"/>
  <c r="CJ1081" i="1"/>
  <c r="CJ1082" i="1"/>
  <c r="CJ1083" i="1"/>
  <c r="CJ1084" i="1"/>
  <c r="CJ1086" i="1"/>
  <c r="CJ1087" i="1"/>
  <c r="CJ1088" i="1"/>
  <c r="CJ1089" i="1"/>
  <c r="CJ1090" i="1"/>
  <c r="CJ1091" i="1"/>
  <c r="CJ1092" i="1"/>
  <c r="CJ1093" i="1"/>
  <c r="CJ1094" i="1"/>
  <c r="CJ1096" i="1"/>
  <c r="CJ1097" i="1"/>
  <c r="CJ1098" i="1"/>
  <c r="CJ1099" i="1"/>
  <c r="CJ1100" i="1"/>
  <c r="CJ1101" i="1"/>
  <c r="CJ1102" i="1"/>
  <c r="CJ1103" i="1"/>
  <c r="CJ1104" i="1"/>
  <c r="CJ1105" i="1"/>
  <c r="CJ1106" i="1"/>
  <c r="U1108" i="1"/>
  <c r="CJ1108" i="1"/>
  <c r="CJ1109" i="1"/>
  <c r="CJ1110" i="1"/>
  <c r="CJ1111" i="1"/>
  <c r="CJ1112" i="1"/>
  <c r="CJ1113" i="1"/>
  <c r="CJ1115" i="1"/>
  <c r="CJ1116" i="1"/>
  <c r="CJ1117" i="1"/>
  <c r="CJ1118" i="1"/>
  <c r="CJ1120" i="1"/>
  <c r="CJ1122" i="1"/>
  <c r="CJ1123" i="1"/>
  <c r="CJ1124" i="1"/>
  <c r="U1126" i="1"/>
  <c r="CJ1126" i="1" s="1"/>
  <c r="CJ1127" i="1"/>
  <c r="CJ1128" i="1"/>
  <c r="CJ1129" i="1"/>
  <c r="CJ1130" i="1"/>
  <c r="CJ1131" i="1"/>
  <c r="CJ1132" i="1"/>
  <c r="CJ1133" i="1"/>
  <c r="CJ1135" i="1"/>
  <c r="CJ1136" i="1"/>
  <c r="CJ1137" i="1"/>
  <c r="CJ1138" i="1"/>
  <c r="CJ1139" i="1"/>
  <c r="CJ1140" i="1"/>
  <c r="CJ1142" i="1"/>
  <c r="CJ1143" i="1"/>
  <c r="CJ1144" i="1"/>
  <c r="CJ1145" i="1"/>
  <c r="CJ1146" i="1"/>
  <c r="CJ1147" i="1"/>
  <c r="CJ1148" i="1"/>
  <c r="CJ1149" i="1"/>
  <c r="CJ1150" i="1"/>
  <c r="CJ1152" i="1"/>
  <c r="CJ1153" i="1"/>
  <c r="CJ1154" i="1"/>
  <c r="CJ1155" i="1"/>
  <c r="CJ1157" i="1"/>
  <c r="CJ1158" i="1"/>
  <c r="CJ1159" i="1"/>
  <c r="CJ1160" i="1"/>
  <c r="CJ1161" i="1"/>
  <c r="CJ1162" i="1"/>
  <c r="CJ1163" i="1"/>
  <c r="CJ1164" i="1"/>
  <c r="CJ1165" i="1"/>
  <c r="U1167" i="1"/>
  <c r="CJ1167" i="1" s="1"/>
  <c r="CJ1168" i="1"/>
  <c r="CJ1169" i="1"/>
  <c r="CJ1170" i="1"/>
  <c r="CJ1172" i="1"/>
  <c r="CJ1173" i="1"/>
  <c r="CJ1174" i="1"/>
  <c r="CJ1175" i="1"/>
  <c r="CJ1177" i="1"/>
  <c r="CJ1178" i="1"/>
  <c r="CJ1179" i="1"/>
  <c r="CJ1180" i="1"/>
  <c r="CJ1181" i="1"/>
  <c r="CJ1182" i="1"/>
  <c r="CJ1183" i="1"/>
  <c r="CJ1185" i="1"/>
  <c r="CJ1186" i="1"/>
  <c r="CJ1187" i="1"/>
  <c r="CJ1188" i="1"/>
  <c r="CJ1189" i="1"/>
  <c r="CJ1190" i="1"/>
  <c r="CJ1192" i="1"/>
  <c r="CJ1194" i="1"/>
  <c r="CJ1195" i="1"/>
  <c r="CJ1196" i="1"/>
  <c r="CJ1199" i="1"/>
  <c r="CJ1201" i="1"/>
  <c r="CJ1202" i="1"/>
  <c r="CJ1203" i="1"/>
  <c r="CJ1204" i="1"/>
  <c r="CJ1205" i="1"/>
  <c r="CJ1206" i="1"/>
  <c r="CJ1207" i="1"/>
  <c r="CJ1209" i="1"/>
  <c r="CJ1210" i="1"/>
  <c r="CJ1211" i="1"/>
  <c r="CJ1212" i="1"/>
  <c r="CJ1213" i="1"/>
  <c r="CJ1214" i="1"/>
  <c r="CJ1215" i="1"/>
  <c r="CJ1216" i="1"/>
  <c r="CJ1217" i="1"/>
  <c r="CJ1219" i="1"/>
  <c r="CJ1220" i="1"/>
  <c r="CJ1222" i="1"/>
  <c r="CJ1223" i="1"/>
  <c r="CJ1224" i="1"/>
  <c r="CJ1225" i="1"/>
  <c r="CJ1226" i="1"/>
  <c r="CJ1227" i="1"/>
  <c r="CJ1229" i="1"/>
  <c r="CJ1230" i="1"/>
  <c r="CJ1231" i="1"/>
  <c r="CJ1232" i="1"/>
  <c r="CJ1233" i="1"/>
  <c r="CJ1234" i="1"/>
  <c r="CJ1235" i="1"/>
  <c r="CJ1236" i="1"/>
  <c r="CJ1238" i="1"/>
  <c r="CJ1240" i="1"/>
  <c r="CJ1241" i="1"/>
  <c r="CJ1242" i="1"/>
  <c r="CJ1244" i="1"/>
  <c r="CJ1245" i="1"/>
  <c r="CJ1246" i="1"/>
  <c r="CJ1247" i="1"/>
  <c r="CJ1248" i="1"/>
  <c r="CJ1250" i="1"/>
  <c r="CJ1251" i="1"/>
  <c r="CJ1252" i="1"/>
  <c r="CJ1253" i="1"/>
  <c r="CJ1254" i="1"/>
  <c r="CJ1255" i="1"/>
  <c r="CJ1256" i="1"/>
  <c r="CJ1257" i="1"/>
  <c r="CJ1258" i="1"/>
  <c r="CJ1259" i="1"/>
  <c r="CJ1261" i="1"/>
  <c r="CJ1262" i="1"/>
  <c r="CJ1263" i="1"/>
  <c r="CJ1265" i="1"/>
  <c r="CJ1266" i="1"/>
  <c r="CJ1267" i="1"/>
  <c r="CJ1268" i="1"/>
  <c r="CJ1272" i="1"/>
  <c r="U1274" i="1"/>
  <c r="CJ1274" i="1" s="1"/>
  <c r="CJ1275" i="1"/>
  <c r="CJ1276" i="1"/>
  <c r="CJ1277" i="1"/>
  <c r="CJ1278" i="1"/>
  <c r="CJ1279" i="1"/>
  <c r="CJ1280" i="1"/>
  <c r="U1282" i="1"/>
  <c r="CJ1282" i="1" s="1"/>
  <c r="CJ1283" i="1"/>
  <c r="CJ1284" i="1"/>
  <c r="CJ1285" i="1"/>
  <c r="CJ1286" i="1"/>
  <c r="CJ1287" i="1"/>
  <c r="CJ1288" i="1"/>
  <c r="CJ1289" i="1"/>
  <c r="CJ1291" i="1"/>
  <c r="CJ1292" i="1"/>
  <c r="CJ1293" i="1"/>
  <c r="CJ1294" i="1"/>
  <c r="CJ1295" i="1"/>
  <c r="CJ1296" i="1"/>
  <c r="CJ1297" i="1"/>
  <c r="CJ1298" i="1"/>
  <c r="CJ1299" i="1"/>
  <c r="CJ1300" i="1"/>
  <c r="CJ1301" i="1"/>
  <c r="CJ1303" i="1"/>
  <c r="CJ1304" i="1"/>
  <c r="CJ1305" i="1"/>
  <c r="CJ1306" i="1"/>
  <c r="CJ1307" i="1"/>
  <c r="CJ1308" i="1"/>
  <c r="CJ1309" i="1"/>
  <c r="CJ1310" i="1"/>
  <c r="CJ1311" i="1"/>
  <c r="CJ1312" i="1"/>
  <c r="CJ1313" i="1"/>
  <c r="CK67" i="1"/>
  <c r="CK68" i="1"/>
  <c r="CK69" i="1"/>
  <c r="CK70" i="1"/>
  <c r="CK71" i="1"/>
  <c r="CK72" i="1"/>
  <c r="CK73" i="1"/>
  <c r="CK74" i="1"/>
  <c r="V76" i="1"/>
  <c r="CK76" i="1"/>
  <c r="CK77" i="1"/>
  <c r="CK78" i="1"/>
  <c r="CK79" i="1"/>
  <c r="CK80" i="1"/>
  <c r="CK81" i="1"/>
  <c r="CK82" i="1"/>
  <c r="V84" i="1"/>
  <c r="CK84" i="1" s="1"/>
  <c r="CK85" i="1"/>
  <c r="CK86" i="1"/>
  <c r="CK87" i="1"/>
  <c r="CK88" i="1"/>
  <c r="CK89" i="1"/>
  <c r="CK90" i="1"/>
  <c r="CK92" i="1"/>
  <c r="CK93" i="1"/>
  <c r="CK94" i="1"/>
  <c r="CK95" i="1"/>
  <c r="CK96" i="1"/>
  <c r="CK97" i="1"/>
  <c r="CK98" i="1"/>
  <c r="CK101" i="1"/>
  <c r="CK103" i="1"/>
  <c r="CK104" i="1"/>
  <c r="CK105" i="1"/>
  <c r="CK106" i="1"/>
  <c r="CK107" i="1"/>
  <c r="CK108" i="1"/>
  <c r="CK109" i="1"/>
  <c r="CK111" i="1"/>
  <c r="CK112" i="1"/>
  <c r="CK113" i="1"/>
  <c r="CK114" i="1"/>
  <c r="CK115" i="1"/>
  <c r="CK116" i="1"/>
  <c r="CK117" i="1"/>
  <c r="CK118" i="1"/>
  <c r="CK119" i="1"/>
  <c r="CK120" i="1"/>
  <c r="CK122" i="1"/>
  <c r="CK124" i="1"/>
  <c r="CK125" i="1"/>
  <c r="CK126" i="1"/>
  <c r="CK129" i="1"/>
  <c r="CK131" i="1"/>
  <c r="CK132" i="1"/>
  <c r="CK136" i="1"/>
  <c r="V138" i="1"/>
  <c r="CK138" i="1"/>
  <c r="CK139" i="1"/>
  <c r="CK140" i="1"/>
  <c r="CK141" i="1"/>
  <c r="CK142" i="1"/>
  <c r="V144" i="1"/>
  <c r="CK144" i="1" s="1"/>
  <c r="CK145" i="1"/>
  <c r="CK146" i="1"/>
  <c r="CK147" i="1"/>
  <c r="CK148" i="1"/>
  <c r="CK149" i="1"/>
  <c r="CK151" i="1"/>
  <c r="CK152" i="1"/>
  <c r="CK153" i="1"/>
  <c r="CK154" i="1"/>
  <c r="CK155" i="1"/>
  <c r="CK156" i="1"/>
  <c r="CK157" i="1"/>
  <c r="CK158" i="1"/>
  <c r="CK160" i="1"/>
  <c r="CK161" i="1"/>
  <c r="CK162" i="1"/>
  <c r="CK163" i="1"/>
  <c r="CK165" i="1"/>
  <c r="CK166" i="1"/>
  <c r="CK167" i="1"/>
  <c r="CK168" i="1"/>
  <c r="CK169" i="1"/>
  <c r="CK170" i="1"/>
  <c r="V172" i="1"/>
  <c r="CK172" i="1" s="1"/>
  <c r="CK173" i="1"/>
  <c r="CK175" i="1"/>
  <c r="CK176" i="1"/>
  <c r="CK177" i="1"/>
  <c r="CK178" i="1"/>
  <c r="CK179" i="1"/>
  <c r="CK180" i="1"/>
  <c r="CK181" i="1"/>
  <c r="CK182" i="1"/>
  <c r="CK183" i="1"/>
  <c r="CK184" i="1"/>
  <c r="CK186" i="1"/>
  <c r="CK187" i="1"/>
  <c r="CK188" i="1"/>
  <c r="CK189" i="1"/>
  <c r="CK190" i="1"/>
  <c r="CK191" i="1"/>
  <c r="CK192" i="1"/>
  <c r="CK193" i="1"/>
  <c r="V195" i="1"/>
  <c r="CK195" i="1" s="1"/>
  <c r="CK196" i="1"/>
  <c r="CK197" i="1"/>
  <c r="CK198" i="1"/>
  <c r="CK201" i="1"/>
  <c r="CK202" i="1"/>
  <c r="CK203" i="1"/>
  <c r="CK204" i="1"/>
  <c r="CK205" i="1"/>
  <c r="CK206" i="1"/>
  <c r="CK207" i="1"/>
  <c r="CK209" i="1"/>
  <c r="CK210" i="1"/>
  <c r="CK211" i="1"/>
  <c r="CK212" i="1"/>
  <c r="CK213" i="1"/>
  <c r="CK214" i="1"/>
  <c r="CK215" i="1"/>
  <c r="CK217" i="1"/>
  <c r="CK218" i="1"/>
  <c r="CK219" i="1"/>
  <c r="CK220" i="1"/>
  <c r="CK221" i="1"/>
  <c r="CK222" i="1"/>
  <c r="CK224" i="1"/>
  <c r="CK225" i="1"/>
  <c r="CK226" i="1"/>
  <c r="CK227" i="1"/>
  <c r="CK228" i="1"/>
  <c r="CK229" i="1"/>
  <c r="V231" i="1"/>
  <c r="CK231" i="1" s="1"/>
  <c r="CK232" i="1"/>
  <c r="CK233" i="1"/>
  <c r="CK234" i="1"/>
  <c r="CK235" i="1"/>
  <c r="CK236" i="1"/>
  <c r="CK237" i="1"/>
  <c r="CK238" i="1"/>
  <c r="V240" i="1"/>
  <c r="CK240" i="1"/>
  <c r="CK241" i="1"/>
  <c r="CK242" i="1"/>
  <c r="CK243" i="1"/>
  <c r="CK244" i="1"/>
  <c r="CK245" i="1"/>
  <c r="CK246" i="1"/>
  <c r="CK247" i="1"/>
  <c r="CK249" i="1"/>
  <c r="CK250" i="1"/>
  <c r="CK251" i="1"/>
  <c r="CK252" i="1"/>
  <c r="CK253" i="1"/>
  <c r="CK254" i="1"/>
  <c r="CK255" i="1"/>
  <c r="CK256" i="1"/>
  <c r="CK258" i="1"/>
  <c r="CK259" i="1"/>
  <c r="CK260" i="1"/>
  <c r="CK261" i="1"/>
  <c r="CK262" i="1"/>
  <c r="CK263" i="1"/>
  <c r="CK264" i="1"/>
  <c r="CK265" i="1"/>
  <c r="CK266" i="1"/>
  <c r="CK268" i="1"/>
  <c r="CK269" i="1"/>
  <c r="CK270" i="1"/>
  <c r="CK271" i="1"/>
  <c r="CK272" i="1"/>
  <c r="CK273" i="1"/>
  <c r="CK274" i="1"/>
  <c r="CK275" i="1"/>
  <c r="CK276" i="1"/>
  <c r="V278" i="1"/>
  <c r="CK278" i="1" s="1"/>
  <c r="CK279" i="1"/>
  <c r="CK280" i="1"/>
  <c r="CK281" i="1"/>
  <c r="CK282" i="1"/>
  <c r="CK283" i="1"/>
  <c r="CK285" i="1"/>
  <c r="CK286" i="1"/>
  <c r="CK287" i="1"/>
  <c r="CK288" i="1"/>
  <c r="CK291" i="1"/>
  <c r="CK292" i="1"/>
  <c r="CK293" i="1"/>
  <c r="CK294" i="1"/>
  <c r="CK296" i="1"/>
  <c r="CK297" i="1"/>
  <c r="CK298" i="1"/>
  <c r="CK299" i="1"/>
  <c r="CK300" i="1"/>
  <c r="CK301" i="1"/>
  <c r="CK302" i="1"/>
  <c r="CK303" i="1"/>
  <c r="CK306" i="1"/>
  <c r="CK307" i="1"/>
  <c r="CK308" i="1"/>
  <c r="CK309" i="1"/>
  <c r="CK310" i="1"/>
  <c r="CK311" i="1"/>
  <c r="CK312" i="1"/>
  <c r="CK313" i="1"/>
  <c r="CK314" i="1"/>
  <c r="CK316" i="1"/>
  <c r="CK317" i="1"/>
  <c r="CK318" i="1"/>
  <c r="CK319" i="1"/>
  <c r="CK320" i="1"/>
  <c r="CK321" i="1"/>
  <c r="CK322" i="1"/>
  <c r="CK323" i="1"/>
  <c r="CK324" i="1"/>
  <c r="CK325" i="1"/>
  <c r="CK326" i="1"/>
  <c r="CK327" i="1"/>
  <c r="V329" i="1"/>
  <c r="CK329" i="1"/>
  <c r="CK330" i="1"/>
  <c r="CK332" i="1"/>
  <c r="CK333" i="1"/>
  <c r="CK334" i="1"/>
  <c r="CK335" i="1"/>
  <c r="CK336" i="1"/>
  <c r="CK337" i="1"/>
  <c r="CK338" i="1"/>
  <c r="CK340" i="1"/>
  <c r="CK341" i="1"/>
  <c r="CK342" i="1"/>
  <c r="CK343" i="1"/>
  <c r="CK344" i="1"/>
  <c r="CK345" i="1"/>
  <c r="CK346" i="1"/>
  <c r="CK347" i="1"/>
  <c r="CK348" i="1"/>
  <c r="CK349" i="1"/>
  <c r="CK351" i="1"/>
  <c r="CK352" i="1"/>
  <c r="CK353" i="1"/>
  <c r="CK354" i="1"/>
  <c r="CK355" i="1"/>
  <c r="CK356" i="1"/>
  <c r="V358" i="1"/>
  <c r="CK358" i="1" s="1"/>
  <c r="CK359" i="1"/>
  <c r="CK360" i="1"/>
  <c r="CK361" i="1"/>
  <c r="CK362" i="1"/>
  <c r="CK363" i="1"/>
  <c r="CK364" i="1"/>
  <c r="CK365" i="1"/>
  <c r="CK367" i="1"/>
  <c r="CK368" i="1"/>
  <c r="CK369" i="1"/>
  <c r="CK371" i="1"/>
  <c r="CK372" i="1"/>
  <c r="CK373" i="1"/>
  <c r="V375" i="1"/>
  <c r="CK375" i="1"/>
  <c r="CK376" i="1"/>
  <c r="CK378" i="1"/>
  <c r="CK379" i="1"/>
  <c r="CK380" i="1"/>
  <c r="CK381" i="1"/>
  <c r="CK382" i="1"/>
  <c r="CK383" i="1"/>
  <c r="V385" i="1"/>
  <c r="CK385" i="1"/>
  <c r="CK386" i="1"/>
  <c r="CK387" i="1"/>
  <c r="CK388" i="1"/>
  <c r="CK389" i="1"/>
  <c r="CK390" i="1"/>
  <c r="CK391" i="1"/>
  <c r="CK393" i="1"/>
  <c r="CK394" i="1"/>
  <c r="CK395" i="1"/>
  <c r="CK396" i="1"/>
  <c r="CK397" i="1"/>
  <c r="CK398" i="1"/>
  <c r="CK399" i="1"/>
  <c r="CK400" i="1"/>
  <c r="CK401" i="1"/>
  <c r="CK403" i="1"/>
  <c r="CK404" i="1"/>
  <c r="CK405" i="1"/>
  <c r="CK406" i="1"/>
  <c r="CK407" i="1"/>
  <c r="CK408" i="1"/>
  <c r="CK409" i="1"/>
  <c r="CK410" i="1"/>
  <c r="CK411" i="1"/>
  <c r="CK413" i="1"/>
  <c r="CK414" i="1"/>
  <c r="CK415" i="1"/>
  <c r="CK416" i="1"/>
  <c r="CK417" i="1"/>
  <c r="CK418" i="1"/>
  <c r="CK421" i="1"/>
  <c r="CK422" i="1"/>
  <c r="CK423" i="1"/>
  <c r="CK424" i="1"/>
  <c r="CK425" i="1"/>
  <c r="CK426" i="1"/>
  <c r="CK427" i="1"/>
  <c r="CK428" i="1"/>
  <c r="CK430" i="1"/>
  <c r="CK431" i="1"/>
  <c r="CK432" i="1"/>
  <c r="CK433" i="1"/>
  <c r="CK434" i="1"/>
  <c r="CK435" i="1"/>
  <c r="CK436" i="1"/>
  <c r="CK438" i="1"/>
  <c r="CK439" i="1"/>
  <c r="CK440" i="1"/>
  <c r="CK441" i="1"/>
  <c r="CK442" i="1"/>
  <c r="CK443" i="1"/>
  <c r="CK445" i="1"/>
  <c r="CK446" i="1"/>
  <c r="CK447" i="1"/>
  <c r="CK448" i="1"/>
  <c r="CK449" i="1"/>
  <c r="CK450" i="1"/>
  <c r="CK451" i="1"/>
  <c r="CK452" i="1"/>
  <c r="V454" i="1"/>
  <c r="CK454" i="1"/>
  <c r="CK455" i="1"/>
  <c r="CK456" i="1"/>
  <c r="CK457" i="1"/>
  <c r="CK459" i="1"/>
  <c r="CK460" i="1"/>
  <c r="CK461" i="1"/>
  <c r="CK462" i="1"/>
  <c r="CK463" i="1"/>
  <c r="CK464" i="1"/>
  <c r="CK465" i="1"/>
  <c r="CK466" i="1"/>
  <c r="CK468" i="1"/>
  <c r="CK469" i="1"/>
  <c r="CK470" i="1"/>
  <c r="CK471" i="1"/>
  <c r="CK472" i="1"/>
  <c r="CK473" i="1"/>
  <c r="CK474" i="1"/>
  <c r="CK475" i="1"/>
  <c r="CK476" i="1"/>
  <c r="CK478" i="1"/>
  <c r="CK479" i="1"/>
  <c r="CK480" i="1"/>
  <c r="CK481" i="1"/>
  <c r="CK482" i="1"/>
  <c r="CK483" i="1"/>
  <c r="CK485" i="1"/>
  <c r="CK486" i="1"/>
  <c r="CK487" i="1"/>
  <c r="CK488" i="1"/>
  <c r="CK489" i="1"/>
  <c r="CK490" i="1"/>
  <c r="CK491" i="1"/>
  <c r="CK492" i="1"/>
  <c r="CK493" i="1"/>
  <c r="CK495" i="1"/>
  <c r="CK496" i="1"/>
  <c r="CK497" i="1"/>
  <c r="CK498" i="1"/>
  <c r="CK499" i="1"/>
  <c r="CK500" i="1"/>
  <c r="V502" i="1"/>
  <c r="CK502" i="1"/>
  <c r="CK503" i="1"/>
  <c r="CK504" i="1"/>
  <c r="CK505" i="1"/>
  <c r="CK506" i="1"/>
  <c r="CK507" i="1"/>
  <c r="CK508" i="1"/>
  <c r="CK510" i="1"/>
  <c r="CK511" i="1"/>
  <c r="CK512" i="1"/>
  <c r="CK514" i="1"/>
  <c r="CK515" i="1"/>
  <c r="CK516" i="1"/>
  <c r="CK517" i="1"/>
  <c r="CK518" i="1"/>
  <c r="CK520" i="1"/>
  <c r="CK521" i="1"/>
  <c r="CK522" i="1"/>
  <c r="CK523" i="1"/>
  <c r="CK524" i="1"/>
  <c r="CK525" i="1"/>
  <c r="CK526" i="1"/>
  <c r="CK527" i="1"/>
  <c r="CK529" i="1"/>
  <c r="CK530" i="1"/>
  <c r="CK531" i="1"/>
  <c r="CK532" i="1"/>
  <c r="CK533" i="1"/>
  <c r="CK534" i="1"/>
  <c r="CK535" i="1"/>
  <c r="CK536" i="1"/>
  <c r="CK538" i="1"/>
  <c r="CK539" i="1"/>
  <c r="CK540" i="1"/>
  <c r="CK541" i="1"/>
  <c r="CK542" i="1"/>
  <c r="CK543" i="1"/>
  <c r="CK544" i="1"/>
  <c r="CK545" i="1"/>
  <c r="CK546" i="1"/>
  <c r="CK548" i="1"/>
  <c r="CK549" i="1"/>
  <c r="CK550" i="1"/>
  <c r="CK551" i="1"/>
  <c r="CK552" i="1"/>
  <c r="CK553" i="1"/>
  <c r="CK554" i="1"/>
  <c r="CK555" i="1"/>
  <c r="CK557" i="1"/>
  <c r="CK558" i="1"/>
  <c r="CK559" i="1"/>
  <c r="CK560" i="1"/>
  <c r="CK561" i="1"/>
  <c r="CK562" i="1"/>
  <c r="CK564" i="1"/>
  <c r="CK565" i="1"/>
  <c r="CK566" i="1"/>
  <c r="CK567" i="1"/>
  <c r="CK569" i="1"/>
  <c r="CK570" i="1"/>
  <c r="CK572" i="1"/>
  <c r="CK573" i="1"/>
  <c r="CK574" i="1"/>
  <c r="CK576" i="1"/>
  <c r="CK577" i="1"/>
  <c r="CK578" i="1"/>
  <c r="CK579" i="1"/>
  <c r="CK580" i="1"/>
  <c r="CK581" i="1"/>
  <c r="V583" i="1"/>
  <c r="CK583" i="1"/>
  <c r="CK584" i="1"/>
  <c r="CK586" i="1"/>
  <c r="CK587" i="1"/>
  <c r="CK588" i="1"/>
  <c r="CK590" i="1"/>
  <c r="CK591" i="1"/>
  <c r="CK592" i="1"/>
  <c r="CK593" i="1"/>
  <c r="CK594" i="1"/>
  <c r="CK595" i="1"/>
  <c r="CK596" i="1"/>
  <c r="CK597" i="1"/>
  <c r="CK598" i="1"/>
  <c r="CK600" i="1"/>
  <c r="CK601" i="1"/>
  <c r="CK603" i="1"/>
  <c r="CK604" i="1"/>
  <c r="CK605" i="1"/>
  <c r="CK607" i="1"/>
  <c r="CK608" i="1"/>
  <c r="CK609" i="1"/>
  <c r="CK610" i="1"/>
  <c r="CK611" i="1"/>
  <c r="CK612" i="1"/>
  <c r="V614" i="1"/>
  <c r="CK614" i="1"/>
  <c r="CK615" i="1"/>
  <c r="CK617" i="1"/>
  <c r="CK618" i="1"/>
  <c r="CK619" i="1"/>
  <c r="CK620" i="1"/>
  <c r="CK622" i="1"/>
  <c r="CK623" i="1"/>
  <c r="CK624" i="1"/>
  <c r="CK625" i="1"/>
  <c r="CK626" i="1"/>
  <c r="CK628" i="1"/>
  <c r="CK629" i="1"/>
  <c r="CK630" i="1"/>
  <c r="CK631" i="1"/>
  <c r="CK632" i="1"/>
  <c r="CK633" i="1"/>
  <c r="CK634" i="1"/>
  <c r="V636" i="1"/>
  <c r="CK636" i="1" s="1"/>
  <c r="CK637" i="1"/>
  <c r="CK638" i="1"/>
  <c r="CK639" i="1"/>
  <c r="CK641" i="1"/>
  <c r="CK643" i="1"/>
  <c r="CK644" i="1"/>
  <c r="CK645" i="1"/>
  <c r="CK647" i="1"/>
  <c r="CK648" i="1"/>
  <c r="CK649" i="1"/>
  <c r="CK650" i="1"/>
  <c r="CK651" i="1"/>
  <c r="CK652" i="1"/>
  <c r="V654" i="1"/>
  <c r="CK654" i="1"/>
  <c r="CK655" i="1"/>
  <c r="CK656" i="1"/>
  <c r="CK657" i="1"/>
  <c r="CK658" i="1"/>
  <c r="CK659" i="1"/>
  <c r="CK660" i="1"/>
  <c r="CK662" i="1"/>
  <c r="CK663" i="1"/>
  <c r="CK665" i="1"/>
  <c r="CK666" i="1"/>
  <c r="CK667" i="1"/>
  <c r="CK669" i="1"/>
  <c r="CK670" i="1"/>
  <c r="CK671" i="1"/>
  <c r="CK672" i="1"/>
  <c r="CK674" i="1"/>
  <c r="CK675" i="1"/>
  <c r="CK676" i="1"/>
  <c r="CK677" i="1"/>
  <c r="CK678" i="1"/>
  <c r="CK679" i="1"/>
  <c r="CK682" i="1"/>
  <c r="CK683" i="1"/>
  <c r="CK684" i="1"/>
  <c r="CK685" i="1"/>
  <c r="CK686" i="1"/>
  <c r="CK687" i="1"/>
  <c r="CK688" i="1"/>
  <c r="CK689" i="1"/>
  <c r="CK690" i="1"/>
  <c r="CK691" i="1"/>
  <c r="V693" i="1"/>
  <c r="CK693" i="1"/>
  <c r="CK694" i="1"/>
  <c r="CK695" i="1"/>
  <c r="CK696" i="1"/>
  <c r="CK698" i="1"/>
  <c r="CK699" i="1"/>
  <c r="CK702" i="1"/>
  <c r="CK703" i="1"/>
  <c r="CK704" i="1"/>
  <c r="CK706" i="1"/>
  <c r="CK707" i="1"/>
  <c r="CK708" i="1"/>
  <c r="CK709" i="1"/>
  <c r="CK711" i="1"/>
  <c r="CK712" i="1"/>
  <c r="CK713" i="1"/>
  <c r="CK714" i="1"/>
  <c r="CK715" i="1"/>
  <c r="CK716" i="1"/>
  <c r="CK717" i="1"/>
  <c r="CK718" i="1"/>
  <c r="CK720" i="1"/>
  <c r="CK721" i="1"/>
  <c r="CK723" i="1"/>
  <c r="CK724" i="1"/>
  <c r="CK725" i="1"/>
  <c r="CK726" i="1"/>
  <c r="CK729" i="1"/>
  <c r="CK731" i="1"/>
  <c r="CK732" i="1"/>
  <c r="CK733" i="1"/>
  <c r="CK734" i="1"/>
  <c r="CK735" i="1"/>
  <c r="CK736" i="1"/>
  <c r="CK738" i="1"/>
  <c r="CK739" i="1"/>
  <c r="CK740" i="1"/>
  <c r="CK741" i="1"/>
  <c r="CK742" i="1"/>
  <c r="CK743" i="1"/>
  <c r="CK744" i="1"/>
  <c r="CK745" i="1"/>
  <c r="CK748" i="1"/>
  <c r="CK750" i="1"/>
  <c r="CK751" i="1"/>
  <c r="CK752" i="1"/>
  <c r="CK753" i="1"/>
  <c r="CK754" i="1"/>
  <c r="CK755" i="1"/>
  <c r="CK756" i="1"/>
  <c r="CK758" i="1"/>
  <c r="CK760" i="1"/>
  <c r="CK761" i="1"/>
  <c r="CK763" i="1"/>
  <c r="CK764" i="1"/>
  <c r="CK766" i="1"/>
  <c r="CK767" i="1"/>
  <c r="CK768" i="1"/>
  <c r="CK769" i="1"/>
  <c r="CK774" i="1"/>
  <c r="CK775" i="1"/>
  <c r="CK777" i="1"/>
  <c r="CK778" i="1"/>
  <c r="CK779" i="1"/>
  <c r="CK780" i="1"/>
  <c r="CK782" i="1"/>
  <c r="CK783" i="1"/>
  <c r="CK784" i="1"/>
  <c r="CK785" i="1"/>
  <c r="CK786" i="1"/>
  <c r="CK787" i="1"/>
  <c r="CK789" i="1"/>
  <c r="CK790" i="1"/>
  <c r="CK791" i="1"/>
  <c r="CK793" i="1"/>
  <c r="CK794" i="1"/>
  <c r="CK795" i="1"/>
  <c r="CK796" i="1"/>
  <c r="CK797" i="1"/>
  <c r="CK798" i="1"/>
  <c r="CK800" i="1"/>
  <c r="CK801" i="1"/>
  <c r="CK802" i="1"/>
  <c r="CK803" i="1"/>
  <c r="CK804" i="1"/>
  <c r="CK805" i="1"/>
  <c r="CK806" i="1"/>
  <c r="CK807" i="1"/>
  <c r="CK808" i="1"/>
  <c r="V810" i="1"/>
  <c r="CK810" i="1"/>
  <c r="CK811" i="1"/>
  <c r="CK812" i="1"/>
  <c r="CK813" i="1"/>
  <c r="CK814" i="1"/>
  <c r="CK815" i="1"/>
  <c r="CK816" i="1"/>
  <c r="CK818" i="1"/>
  <c r="CK819" i="1"/>
  <c r="CK820" i="1"/>
  <c r="V822" i="1"/>
  <c r="CK822" i="1" s="1"/>
  <c r="CK823" i="1"/>
  <c r="CK824" i="1"/>
  <c r="CK825" i="1"/>
  <c r="CK826" i="1"/>
  <c r="CK827" i="1"/>
  <c r="V829" i="1"/>
  <c r="CK829" i="1" s="1"/>
  <c r="CK830" i="1"/>
  <c r="CK831" i="1"/>
  <c r="CK832" i="1"/>
  <c r="CK834" i="1"/>
  <c r="CK835" i="1"/>
  <c r="CK836" i="1"/>
  <c r="CK838" i="1"/>
  <c r="CK839" i="1"/>
  <c r="CK840" i="1"/>
  <c r="CK841" i="1"/>
  <c r="CK842" i="1"/>
  <c r="CK843" i="1"/>
  <c r="CK845" i="1"/>
  <c r="CK846" i="1"/>
  <c r="CK847" i="1"/>
  <c r="CK848" i="1"/>
  <c r="CK849" i="1"/>
  <c r="CK850" i="1"/>
  <c r="CK852" i="1"/>
  <c r="CK854" i="1"/>
  <c r="CK855" i="1"/>
  <c r="CK856" i="1"/>
  <c r="CK857" i="1"/>
  <c r="CK859" i="1"/>
  <c r="CK860" i="1"/>
  <c r="CK863" i="1"/>
  <c r="CK864" i="1"/>
  <c r="CK865" i="1"/>
  <c r="CK866" i="1"/>
  <c r="CK867" i="1"/>
  <c r="CK868" i="1"/>
  <c r="CK869" i="1"/>
  <c r="CK870" i="1"/>
  <c r="CK872" i="1"/>
  <c r="CK873" i="1"/>
  <c r="CK874" i="1"/>
  <c r="CK875" i="1"/>
  <c r="CK876" i="1"/>
  <c r="CK877" i="1"/>
  <c r="CK878" i="1"/>
  <c r="CK879" i="1"/>
  <c r="CK880" i="1"/>
  <c r="CK881" i="1"/>
  <c r="CK884" i="1"/>
  <c r="CK886" i="1"/>
  <c r="CK887" i="1"/>
  <c r="CK888" i="1"/>
  <c r="CK889" i="1"/>
  <c r="CK890" i="1"/>
  <c r="CK891" i="1"/>
  <c r="CK892" i="1"/>
  <c r="CK893" i="1"/>
  <c r="CK894" i="1"/>
  <c r="CK895" i="1"/>
  <c r="V897" i="1"/>
  <c r="CK897" i="1" s="1"/>
  <c r="CK898" i="1"/>
  <c r="CK899" i="1"/>
  <c r="CK900" i="1"/>
  <c r="CK901" i="1"/>
  <c r="CK902" i="1"/>
  <c r="CK904" i="1"/>
  <c r="CK905" i="1"/>
  <c r="CK906" i="1"/>
  <c r="CK908" i="1"/>
  <c r="CK909" i="1"/>
  <c r="CK910" i="1"/>
  <c r="CK911" i="1"/>
  <c r="CK912" i="1"/>
  <c r="CK913" i="1"/>
  <c r="CK915" i="1"/>
  <c r="CK916" i="1"/>
  <c r="CK917" i="1"/>
  <c r="CK918" i="1"/>
  <c r="CK919" i="1"/>
  <c r="CK921" i="1"/>
  <c r="CK922" i="1"/>
  <c r="CK923" i="1"/>
  <c r="CK924" i="1"/>
  <c r="CK925" i="1"/>
  <c r="CK927" i="1"/>
  <c r="CK928" i="1"/>
  <c r="CK929" i="1"/>
  <c r="CK930" i="1"/>
  <c r="CK931" i="1"/>
  <c r="CK932" i="1"/>
  <c r="CK933" i="1"/>
  <c r="CK935" i="1"/>
  <c r="CK936" i="1"/>
  <c r="CK937" i="1"/>
  <c r="CK938" i="1"/>
  <c r="CK939" i="1"/>
  <c r="CK940" i="1"/>
  <c r="CK941" i="1"/>
  <c r="CK943" i="1"/>
  <c r="CK944" i="1"/>
  <c r="CK945" i="1"/>
  <c r="CK947" i="1"/>
  <c r="CK948" i="1"/>
  <c r="CK950" i="1"/>
  <c r="CK951" i="1"/>
  <c r="CK952" i="1"/>
  <c r="CK953" i="1"/>
  <c r="CK954" i="1"/>
  <c r="CK955" i="1"/>
  <c r="CK956" i="1"/>
  <c r="CK957" i="1"/>
  <c r="CK958" i="1"/>
  <c r="CK960" i="1"/>
  <c r="CK961" i="1"/>
  <c r="CK962" i="1"/>
  <c r="CK963" i="1"/>
  <c r="CK964" i="1"/>
  <c r="CK965" i="1"/>
  <c r="CK966" i="1"/>
  <c r="CK967" i="1"/>
  <c r="CK969" i="1"/>
  <c r="CK970" i="1"/>
  <c r="CK971" i="1"/>
  <c r="CK972" i="1"/>
  <c r="CK973" i="1"/>
  <c r="CK974" i="1"/>
  <c r="CK975" i="1"/>
  <c r="CK977" i="1"/>
  <c r="CK978" i="1"/>
  <c r="CK979" i="1"/>
  <c r="CK980" i="1"/>
  <c r="CK981" i="1"/>
  <c r="V983" i="1"/>
  <c r="CK983" i="1"/>
  <c r="CK985" i="1"/>
  <c r="CK986" i="1"/>
  <c r="CK987" i="1"/>
  <c r="V989" i="1"/>
  <c r="CK989" i="1"/>
  <c r="CK990" i="1"/>
  <c r="CK991" i="1"/>
  <c r="CK992" i="1"/>
  <c r="CK993" i="1"/>
  <c r="CK994" i="1"/>
  <c r="CK997" i="1"/>
  <c r="CK998" i="1"/>
  <c r="CK999" i="1"/>
  <c r="CK1000" i="1"/>
  <c r="CK1001" i="1"/>
  <c r="CK1002" i="1"/>
  <c r="CK1003" i="1"/>
  <c r="CK1005" i="1"/>
  <c r="CK1006" i="1"/>
  <c r="CK1007" i="1"/>
  <c r="CK1008" i="1"/>
  <c r="CK1009" i="1"/>
  <c r="CK1010" i="1"/>
  <c r="CK1011" i="1"/>
  <c r="CK1013" i="1"/>
  <c r="CK1014" i="1"/>
  <c r="CK1015" i="1"/>
  <c r="CK1016" i="1"/>
  <c r="CK1017" i="1"/>
  <c r="CK1018" i="1"/>
  <c r="CK1019" i="1"/>
  <c r="CK1020" i="1"/>
  <c r="CK1021" i="1"/>
  <c r="CK1022" i="1"/>
  <c r="CK1023" i="1"/>
  <c r="CK1025" i="1"/>
  <c r="CK1026" i="1"/>
  <c r="CK1027" i="1"/>
  <c r="CK1028" i="1"/>
  <c r="CK1029" i="1"/>
  <c r="CK1030" i="1"/>
  <c r="CK1031" i="1"/>
  <c r="CK1032" i="1"/>
  <c r="CK1033" i="1"/>
  <c r="CK1035" i="1"/>
  <c r="CK1036" i="1"/>
  <c r="CK1037" i="1"/>
  <c r="CK1038" i="1"/>
  <c r="CK1039" i="1"/>
  <c r="CK1040" i="1"/>
  <c r="CK1041" i="1"/>
  <c r="CK1042" i="1"/>
  <c r="CK1043" i="1"/>
  <c r="CK1044" i="1"/>
  <c r="CK1046" i="1"/>
  <c r="CK1047" i="1"/>
  <c r="CK1048" i="1"/>
  <c r="CK1051" i="1"/>
  <c r="CK1053" i="1"/>
  <c r="CK1054" i="1"/>
  <c r="CK1055" i="1"/>
  <c r="CK1056" i="1"/>
  <c r="CK1057" i="1"/>
  <c r="V1059" i="1"/>
  <c r="CK1059" i="1" s="1"/>
  <c r="CK1060" i="1"/>
  <c r="CK1061" i="1"/>
  <c r="CK1062" i="1"/>
  <c r="CK1063" i="1"/>
  <c r="CK1064" i="1"/>
  <c r="CK1066" i="1"/>
  <c r="CK1067" i="1"/>
  <c r="CK1068" i="1"/>
  <c r="CK1069" i="1"/>
  <c r="CK1070" i="1"/>
  <c r="CK1071" i="1"/>
  <c r="CK1072" i="1"/>
  <c r="CK1073" i="1"/>
  <c r="CK1075" i="1"/>
  <c r="CK1076" i="1"/>
  <c r="CK1077" i="1"/>
  <c r="CK1079" i="1"/>
  <c r="CK1080" i="1"/>
  <c r="CK1081" i="1"/>
  <c r="CK1082" i="1"/>
  <c r="CK1083" i="1"/>
  <c r="CK1084" i="1"/>
  <c r="CK1086" i="1"/>
  <c r="CK1087" i="1"/>
  <c r="CK1088" i="1"/>
  <c r="CK1089" i="1"/>
  <c r="CK1090" i="1"/>
  <c r="CK1091" i="1"/>
  <c r="CK1092" i="1"/>
  <c r="CK1093" i="1"/>
  <c r="CK1094" i="1"/>
  <c r="CK1096" i="1"/>
  <c r="CK1097" i="1"/>
  <c r="CK1098" i="1"/>
  <c r="CK1099" i="1"/>
  <c r="CK1100" i="1"/>
  <c r="CK1101" i="1"/>
  <c r="CK1102" i="1"/>
  <c r="CK1103" i="1"/>
  <c r="CK1104" i="1"/>
  <c r="CK1105" i="1"/>
  <c r="CK1106" i="1"/>
  <c r="V1108" i="1"/>
  <c r="CK1108" i="1"/>
  <c r="CK1109" i="1"/>
  <c r="CK1110" i="1"/>
  <c r="CK1111" i="1"/>
  <c r="CK1112" i="1"/>
  <c r="CK1113" i="1"/>
  <c r="CK1115" i="1"/>
  <c r="CK1116" i="1"/>
  <c r="CK1117" i="1"/>
  <c r="CK1118" i="1"/>
  <c r="CK1120" i="1"/>
  <c r="CK1122" i="1"/>
  <c r="CK1123" i="1"/>
  <c r="CK1124" i="1"/>
  <c r="V1126" i="1"/>
  <c r="CK1126" i="1"/>
  <c r="CK1127" i="1"/>
  <c r="CK1128" i="1"/>
  <c r="CK1129" i="1"/>
  <c r="CK1130" i="1"/>
  <c r="CK1131" i="1"/>
  <c r="CK1132" i="1"/>
  <c r="CK1133" i="1"/>
  <c r="CK1135" i="1"/>
  <c r="CK1136" i="1"/>
  <c r="CK1137" i="1"/>
  <c r="CK1138" i="1"/>
  <c r="CK1139" i="1"/>
  <c r="CK1140" i="1"/>
  <c r="CK1142" i="1"/>
  <c r="CK1143" i="1"/>
  <c r="CK1144" i="1"/>
  <c r="CK1145" i="1"/>
  <c r="CK1146" i="1"/>
  <c r="CK1147" i="1"/>
  <c r="CK1148" i="1"/>
  <c r="CK1149" i="1"/>
  <c r="CK1150" i="1"/>
  <c r="CK1152" i="1"/>
  <c r="CK1153" i="1"/>
  <c r="CK1154" i="1"/>
  <c r="CK1155" i="1"/>
  <c r="CK1157" i="1"/>
  <c r="CK1158" i="1"/>
  <c r="CK1159" i="1"/>
  <c r="CK1160" i="1"/>
  <c r="CK1161" i="1"/>
  <c r="CK1162" i="1"/>
  <c r="CK1163" i="1"/>
  <c r="CK1164" i="1"/>
  <c r="CK1165" i="1"/>
  <c r="V1167" i="1"/>
  <c r="CK1167" i="1" s="1"/>
  <c r="CK1168" i="1"/>
  <c r="CK1169" i="1"/>
  <c r="CK1170" i="1"/>
  <c r="CK1172" i="1"/>
  <c r="CK1173" i="1"/>
  <c r="CK1174" i="1"/>
  <c r="CK1175" i="1"/>
  <c r="CK1177" i="1"/>
  <c r="CK1178" i="1"/>
  <c r="CK1179" i="1"/>
  <c r="CK1180" i="1"/>
  <c r="CK1181" i="1"/>
  <c r="CK1182" i="1"/>
  <c r="CK1183" i="1"/>
  <c r="CK1185" i="1"/>
  <c r="CK1186" i="1"/>
  <c r="CK1187" i="1"/>
  <c r="CK1188" i="1"/>
  <c r="CK1189" i="1"/>
  <c r="CK1190" i="1"/>
  <c r="CK1192" i="1"/>
  <c r="CK1194" i="1"/>
  <c r="CK1195" i="1"/>
  <c r="CK1196" i="1"/>
  <c r="CK1199" i="1"/>
  <c r="CK1201" i="1"/>
  <c r="CK1202" i="1"/>
  <c r="CK1203" i="1"/>
  <c r="CK1204" i="1"/>
  <c r="CK1205" i="1"/>
  <c r="CK1206" i="1"/>
  <c r="CK1207" i="1"/>
  <c r="CK1209" i="1"/>
  <c r="CK1210" i="1"/>
  <c r="CK1211" i="1"/>
  <c r="CK1212" i="1"/>
  <c r="CK1213" i="1"/>
  <c r="CK1214" i="1"/>
  <c r="CK1215" i="1"/>
  <c r="CK1216" i="1"/>
  <c r="CK1217" i="1"/>
  <c r="CK1219" i="1"/>
  <c r="CK1220" i="1"/>
  <c r="CK1222" i="1"/>
  <c r="CK1223" i="1"/>
  <c r="CK1224" i="1"/>
  <c r="CK1225" i="1"/>
  <c r="CK1226" i="1"/>
  <c r="CK1227" i="1"/>
  <c r="CK1229" i="1"/>
  <c r="CK1230" i="1"/>
  <c r="CK1231" i="1"/>
  <c r="CK1232" i="1"/>
  <c r="CK1233" i="1"/>
  <c r="CK1234" i="1"/>
  <c r="CK1235" i="1"/>
  <c r="CK1236" i="1"/>
  <c r="CK1238" i="1"/>
  <c r="CK1240" i="1"/>
  <c r="CK1241" i="1"/>
  <c r="CK1242" i="1"/>
  <c r="CK1244" i="1"/>
  <c r="CK1245" i="1"/>
  <c r="CK1246" i="1"/>
  <c r="CK1247" i="1"/>
  <c r="CK1248" i="1"/>
  <c r="CK1250" i="1"/>
  <c r="CK1251" i="1"/>
  <c r="CK1252" i="1"/>
  <c r="CK1253" i="1"/>
  <c r="CK1254" i="1"/>
  <c r="CK1255" i="1"/>
  <c r="CK1256" i="1"/>
  <c r="CK1257" i="1"/>
  <c r="CK1258" i="1"/>
  <c r="CK1259" i="1"/>
  <c r="CK1261" i="1"/>
  <c r="CK1262" i="1"/>
  <c r="CK1263" i="1"/>
  <c r="CK1265" i="1"/>
  <c r="CK1266" i="1"/>
  <c r="CK1267" i="1"/>
  <c r="CK1268" i="1"/>
  <c r="CK1272" i="1"/>
  <c r="V1274" i="1"/>
  <c r="CK1274" i="1"/>
  <c r="CK1275" i="1"/>
  <c r="CK1276" i="1"/>
  <c r="CK1277" i="1"/>
  <c r="CK1278" i="1"/>
  <c r="CK1279" i="1"/>
  <c r="CK1280" i="1"/>
  <c r="V1282" i="1"/>
  <c r="CK1282" i="1" s="1"/>
  <c r="CK1283" i="1"/>
  <c r="CK1284" i="1"/>
  <c r="CK1285" i="1"/>
  <c r="CK1286" i="1"/>
  <c r="CK1287" i="1"/>
  <c r="CK1288" i="1"/>
  <c r="CK1289" i="1"/>
  <c r="CK1291" i="1"/>
  <c r="CK1292" i="1"/>
  <c r="CK1293" i="1"/>
  <c r="CK1294" i="1"/>
  <c r="CK1295" i="1"/>
  <c r="CK1296" i="1"/>
  <c r="CK1297" i="1"/>
  <c r="CK1298" i="1"/>
  <c r="CK1299" i="1"/>
  <c r="CK1300" i="1"/>
  <c r="CK1301" i="1"/>
  <c r="CK1303" i="1"/>
  <c r="CK1304" i="1"/>
  <c r="CK1305" i="1"/>
  <c r="CK1306" i="1"/>
  <c r="CK1307" i="1"/>
  <c r="CK1308" i="1"/>
  <c r="CK1309" i="1"/>
  <c r="CK1310" i="1"/>
  <c r="CK1311" i="1"/>
  <c r="CK1312" i="1"/>
  <c r="CK1313" i="1"/>
  <c r="CL67" i="1"/>
  <c r="CL68" i="1"/>
  <c r="CL69" i="1"/>
  <c r="CL70" i="1"/>
  <c r="CL71" i="1"/>
  <c r="CL72" i="1"/>
  <c r="CL73" i="1"/>
  <c r="CL74" i="1"/>
  <c r="W76" i="1"/>
  <c r="CL76" i="1"/>
  <c r="CL77" i="1"/>
  <c r="CL78" i="1"/>
  <c r="CL79" i="1"/>
  <c r="CL80" i="1"/>
  <c r="CL81" i="1"/>
  <c r="CL82" i="1"/>
  <c r="W84" i="1"/>
  <c r="CL84" i="1"/>
  <c r="CL85" i="1"/>
  <c r="CL86" i="1"/>
  <c r="CL87" i="1"/>
  <c r="CL88" i="1"/>
  <c r="CL89" i="1"/>
  <c r="CL90" i="1"/>
  <c r="CL92" i="1"/>
  <c r="CL93" i="1"/>
  <c r="CL94" i="1"/>
  <c r="CL95" i="1"/>
  <c r="CL96" i="1"/>
  <c r="CL97" i="1"/>
  <c r="CL98" i="1"/>
  <c r="CL101" i="1"/>
  <c r="CL103" i="1"/>
  <c r="CL104" i="1"/>
  <c r="CL105" i="1"/>
  <c r="CL106" i="1"/>
  <c r="CL107" i="1"/>
  <c r="CL108" i="1"/>
  <c r="CL109" i="1"/>
  <c r="CL111" i="1"/>
  <c r="CL112" i="1"/>
  <c r="CL113" i="1"/>
  <c r="CL114" i="1"/>
  <c r="CL115" i="1"/>
  <c r="CL116" i="1"/>
  <c r="CL117" i="1"/>
  <c r="CL118" i="1"/>
  <c r="CL119" i="1"/>
  <c r="CL120" i="1"/>
  <c r="CL122" i="1"/>
  <c r="CL124" i="1"/>
  <c r="CL125" i="1"/>
  <c r="CL126" i="1"/>
  <c r="CL129" i="1"/>
  <c r="CL131" i="1"/>
  <c r="CL132" i="1"/>
  <c r="CL136" i="1"/>
  <c r="W138" i="1"/>
  <c r="CL138" i="1" s="1"/>
  <c r="CL139" i="1"/>
  <c r="CL140" i="1"/>
  <c r="CL141" i="1"/>
  <c r="CL142" i="1"/>
  <c r="W144" i="1"/>
  <c r="CL144" i="1" s="1"/>
  <c r="CL145" i="1"/>
  <c r="CL146" i="1"/>
  <c r="CL147" i="1"/>
  <c r="CL148" i="1"/>
  <c r="CL149" i="1"/>
  <c r="CL151" i="1"/>
  <c r="CL152" i="1"/>
  <c r="CL153" i="1"/>
  <c r="CL154" i="1"/>
  <c r="CL155" i="1"/>
  <c r="CL156" i="1"/>
  <c r="CL157" i="1"/>
  <c r="CL158" i="1"/>
  <c r="CL160" i="1"/>
  <c r="CL161" i="1"/>
  <c r="CL162" i="1"/>
  <c r="CL163" i="1"/>
  <c r="CL165" i="1"/>
  <c r="CL166" i="1"/>
  <c r="CL167" i="1"/>
  <c r="CL168" i="1"/>
  <c r="CL169" i="1"/>
  <c r="CL170" i="1"/>
  <c r="W172" i="1"/>
  <c r="CL172" i="1"/>
  <c r="CL173" i="1"/>
  <c r="CL175" i="1"/>
  <c r="CL176" i="1"/>
  <c r="CL177" i="1"/>
  <c r="CL178" i="1"/>
  <c r="CL179" i="1"/>
  <c r="CL180" i="1"/>
  <c r="CL181" i="1"/>
  <c r="CL182" i="1"/>
  <c r="CL183" i="1"/>
  <c r="CL184" i="1"/>
  <c r="CL186" i="1"/>
  <c r="CL187" i="1"/>
  <c r="CL188" i="1"/>
  <c r="CL189" i="1"/>
  <c r="CL190" i="1"/>
  <c r="CL191" i="1"/>
  <c r="CL192" i="1"/>
  <c r="CL193" i="1"/>
  <c r="W195" i="1"/>
  <c r="CL195" i="1" s="1"/>
  <c r="CL196" i="1"/>
  <c r="CL197" i="1"/>
  <c r="CL198" i="1"/>
  <c r="CL200" i="1"/>
  <c r="CL201" i="1"/>
  <c r="CL202" i="1"/>
  <c r="CL203" i="1"/>
  <c r="CL204" i="1"/>
  <c r="CL205" i="1"/>
  <c r="CL206" i="1"/>
  <c r="CL207" i="1"/>
  <c r="CL210" i="1"/>
  <c r="CL211" i="1"/>
  <c r="CL212" i="1"/>
  <c r="CL213" i="1"/>
  <c r="CL214" i="1"/>
  <c r="CL215" i="1"/>
  <c r="CL217" i="1"/>
  <c r="CL218" i="1"/>
  <c r="CL219" i="1"/>
  <c r="CL220" i="1"/>
  <c r="CL221" i="1"/>
  <c r="CL222" i="1"/>
  <c r="CL224" i="1"/>
  <c r="CL225" i="1"/>
  <c r="CL226" i="1"/>
  <c r="CL227" i="1"/>
  <c r="CL228" i="1"/>
  <c r="CL229" i="1"/>
  <c r="W231" i="1"/>
  <c r="CL231" i="1"/>
  <c r="CL232" i="1"/>
  <c r="CL233" i="1"/>
  <c r="CL234" i="1"/>
  <c r="CL235" i="1"/>
  <c r="CL236" i="1"/>
  <c r="CL237" i="1"/>
  <c r="CL238" i="1"/>
  <c r="W240" i="1"/>
  <c r="CL240" i="1" s="1"/>
  <c r="CL241" i="1"/>
  <c r="CL242" i="1"/>
  <c r="CL243" i="1"/>
  <c r="CL244" i="1"/>
  <c r="CL245" i="1"/>
  <c r="CL246" i="1"/>
  <c r="CL247" i="1"/>
  <c r="CL249" i="1"/>
  <c r="CL250" i="1"/>
  <c r="CL251" i="1"/>
  <c r="CL252" i="1"/>
  <c r="CL253" i="1"/>
  <c r="CL254" i="1"/>
  <c r="CL255" i="1"/>
  <c r="CL256" i="1"/>
  <c r="CL258" i="1"/>
  <c r="CL259" i="1"/>
  <c r="CL260" i="1"/>
  <c r="CL261" i="1"/>
  <c r="CL262" i="1"/>
  <c r="CL263" i="1"/>
  <c r="CL264" i="1"/>
  <c r="CL265" i="1"/>
  <c r="CL266" i="1"/>
  <c r="CL268" i="1"/>
  <c r="CL269" i="1"/>
  <c r="CL270" i="1"/>
  <c r="CL271" i="1"/>
  <c r="CL272" i="1"/>
  <c r="CL273" i="1"/>
  <c r="CL274" i="1"/>
  <c r="CL275" i="1"/>
  <c r="CL276" i="1"/>
  <c r="W278" i="1"/>
  <c r="CL278" i="1" s="1"/>
  <c r="CL279" i="1"/>
  <c r="CL280" i="1"/>
  <c r="CL281" i="1"/>
  <c r="CL282" i="1"/>
  <c r="CL283" i="1"/>
  <c r="CL285" i="1"/>
  <c r="CL286" i="1"/>
  <c r="CL287" i="1"/>
  <c r="CL288" i="1"/>
  <c r="CL291" i="1"/>
  <c r="CL292" i="1"/>
  <c r="CL293" i="1"/>
  <c r="CL294" i="1"/>
  <c r="CL297" i="1"/>
  <c r="CL298" i="1"/>
  <c r="CL299" i="1"/>
  <c r="CL300" i="1"/>
  <c r="CL301" i="1"/>
  <c r="CL302" i="1"/>
  <c r="CL303" i="1"/>
  <c r="CL305" i="1"/>
  <c r="CL306" i="1"/>
  <c r="CL307" i="1"/>
  <c r="CL308" i="1"/>
  <c r="CL309" i="1"/>
  <c r="CL310" i="1"/>
  <c r="CL311" i="1"/>
  <c r="CL312" i="1"/>
  <c r="CL313" i="1"/>
  <c r="CL314" i="1"/>
  <c r="CL316" i="1"/>
  <c r="CL317" i="1"/>
  <c r="CL318" i="1"/>
  <c r="CL319" i="1"/>
  <c r="CL320" i="1"/>
  <c r="CL321" i="1"/>
  <c r="CL322" i="1"/>
  <c r="CL323" i="1"/>
  <c r="CL324" i="1"/>
  <c r="CL325" i="1"/>
  <c r="CL326" i="1"/>
  <c r="CL327" i="1"/>
  <c r="W329" i="1"/>
  <c r="CL329" i="1" s="1"/>
  <c r="CL330" i="1"/>
  <c r="CL332" i="1"/>
  <c r="CL333" i="1"/>
  <c r="CL334" i="1"/>
  <c r="CL335" i="1"/>
  <c r="CL336" i="1"/>
  <c r="CL337" i="1"/>
  <c r="CL338" i="1"/>
  <c r="CL341" i="1"/>
  <c r="CL342" i="1"/>
  <c r="CL343" i="1"/>
  <c r="CL344" i="1"/>
  <c r="CL345" i="1"/>
  <c r="CL346" i="1"/>
  <c r="CL347" i="1"/>
  <c r="CL348" i="1"/>
  <c r="CL349" i="1"/>
  <c r="CL351" i="1"/>
  <c r="CL352" i="1"/>
  <c r="CL353" i="1"/>
  <c r="CL354" i="1"/>
  <c r="CL355" i="1"/>
  <c r="CL356" i="1"/>
  <c r="W358" i="1"/>
  <c r="CL358" i="1"/>
  <c r="CL359" i="1"/>
  <c r="CL360" i="1"/>
  <c r="CL361" i="1"/>
  <c r="CL362" i="1"/>
  <c r="CL363" i="1"/>
  <c r="CL364" i="1"/>
  <c r="CL365" i="1"/>
  <c r="CL367" i="1"/>
  <c r="CL368" i="1"/>
  <c r="CL369" i="1"/>
  <c r="CL371" i="1"/>
  <c r="CL372" i="1"/>
  <c r="CL373" i="1"/>
  <c r="W375" i="1"/>
  <c r="CL375" i="1" s="1"/>
  <c r="CL376" i="1"/>
  <c r="CL378" i="1"/>
  <c r="CL379" i="1"/>
  <c r="CL380" i="1"/>
  <c r="CL381" i="1"/>
  <c r="CL382" i="1"/>
  <c r="CL383" i="1"/>
  <c r="W385" i="1"/>
  <c r="CL385" i="1"/>
  <c r="CL386" i="1"/>
  <c r="CL387" i="1"/>
  <c r="CL388" i="1"/>
  <c r="CL389" i="1"/>
  <c r="CL390" i="1"/>
  <c r="CL391" i="1"/>
  <c r="CL393" i="1"/>
  <c r="CL394" i="1"/>
  <c r="CL395" i="1"/>
  <c r="CL396" i="1"/>
  <c r="CL397" i="1"/>
  <c r="CL398" i="1"/>
  <c r="CL399" i="1"/>
  <c r="CL400" i="1"/>
  <c r="CL401" i="1"/>
  <c r="CL403" i="1"/>
  <c r="CL404" i="1"/>
  <c r="CL405" i="1"/>
  <c r="CL406" i="1"/>
  <c r="CL407" i="1"/>
  <c r="CL408" i="1"/>
  <c r="CL409" i="1"/>
  <c r="CL410" i="1"/>
  <c r="CL411" i="1"/>
  <c r="CL413" i="1"/>
  <c r="CL414" i="1"/>
  <c r="CL415" i="1"/>
  <c r="CL416" i="1"/>
  <c r="CL417" i="1"/>
  <c r="CL418" i="1"/>
  <c r="CL421" i="1"/>
  <c r="CL422" i="1"/>
  <c r="CL423" i="1"/>
  <c r="CL424" i="1"/>
  <c r="CL425" i="1"/>
  <c r="CL426" i="1"/>
  <c r="CL427" i="1"/>
  <c r="CL428" i="1"/>
  <c r="CL431" i="1"/>
  <c r="CL432" i="1"/>
  <c r="CL433" i="1"/>
  <c r="CL434" i="1"/>
  <c r="CL435" i="1"/>
  <c r="CL436" i="1"/>
  <c r="CL438" i="1"/>
  <c r="CL439" i="1"/>
  <c r="CL440" i="1"/>
  <c r="CL441" i="1"/>
  <c r="CL442" i="1"/>
  <c r="CL443" i="1"/>
  <c r="CL445" i="1"/>
  <c r="CL446" i="1"/>
  <c r="CL447" i="1"/>
  <c r="CL448" i="1"/>
  <c r="CL449" i="1"/>
  <c r="CL450" i="1"/>
  <c r="CL451" i="1"/>
  <c r="CL452" i="1"/>
  <c r="W454" i="1"/>
  <c r="CL454" i="1"/>
  <c r="CL455" i="1"/>
  <c r="CL456" i="1"/>
  <c r="CL457" i="1"/>
  <c r="CL459" i="1"/>
  <c r="CL460" i="1"/>
  <c r="CL461" i="1"/>
  <c r="CL462" i="1"/>
  <c r="CL463" i="1"/>
  <c r="CL464" i="1"/>
  <c r="CL465" i="1"/>
  <c r="CL466" i="1"/>
  <c r="CL468" i="1"/>
  <c r="CL469" i="1"/>
  <c r="CL470" i="1"/>
  <c r="CL471" i="1"/>
  <c r="CL472" i="1"/>
  <c r="CL473" i="1"/>
  <c r="CL474" i="1"/>
  <c r="CL475" i="1"/>
  <c r="CL476" i="1"/>
  <c r="CL478" i="1"/>
  <c r="CL479" i="1"/>
  <c r="CL480" i="1"/>
  <c r="CL481" i="1"/>
  <c r="CL482" i="1"/>
  <c r="CL483" i="1"/>
  <c r="CL485" i="1"/>
  <c r="CL486" i="1"/>
  <c r="CL487" i="1"/>
  <c r="CL488" i="1"/>
  <c r="CL489" i="1"/>
  <c r="CL490" i="1"/>
  <c r="CL491" i="1"/>
  <c r="CL492" i="1"/>
  <c r="CL493" i="1"/>
  <c r="CL495" i="1"/>
  <c r="CL496" i="1"/>
  <c r="CL497" i="1"/>
  <c r="CL498" i="1"/>
  <c r="CL499" i="1"/>
  <c r="CL500" i="1"/>
  <c r="W502" i="1"/>
  <c r="CL502" i="1"/>
  <c r="CL503" i="1"/>
  <c r="CL504" i="1"/>
  <c r="CL505" i="1"/>
  <c r="CL506" i="1"/>
  <c r="CL507" i="1"/>
  <c r="CL508" i="1"/>
  <c r="CL510" i="1"/>
  <c r="CL511" i="1"/>
  <c r="CL512" i="1"/>
  <c r="CL514" i="1"/>
  <c r="CL515" i="1"/>
  <c r="CL516" i="1"/>
  <c r="CL517" i="1"/>
  <c r="CL518" i="1"/>
  <c r="CL520" i="1"/>
  <c r="CL521" i="1"/>
  <c r="CL522" i="1"/>
  <c r="CL523" i="1"/>
  <c r="CL524" i="1"/>
  <c r="CL525" i="1"/>
  <c r="CL526" i="1"/>
  <c r="CL527" i="1"/>
  <c r="CL529" i="1"/>
  <c r="CL530" i="1"/>
  <c r="CL531" i="1"/>
  <c r="CL532" i="1"/>
  <c r="CL533" i="1"/>
  <c r="CL534" i="1"/>
  <c r="CL535" i="1"/>
  <c r="CL536" i="1"/>
  <c r="CL538" i="1"/>
  <c r="CL539" i="1"/>
  <c r="CL540" i="1"/>
  <c r="CL541" i="1"/>
  <c r="CL542" i="1"/>
  <c r="CL543" i="1"/>
  <c r="CL544" i="1"/>
  <c r="CL545" i="1"/>
  <c r="CL546" i="1"/>
  <c r="CL548" i="1"/>
  <c r="CL549" i="1"/>
  <c r="CL550" i="1"/>
  <c r="CL551" i="1"/>
  <c r="CL552" i="1"/>
  <c r="CL553" i="1"/>
  <c r="CL554" i="1"/>
  <c r="CL555" i="1"/>
  <c r="CL557" i="1"/>
  <c r="CL558" i="1"/>
  <c r="CL559" i="1"/>
  <c r="CL560" i="1"/>
  <c r="CL561" i="1"/>
  <c r="CL562" i="1"/>
  <c r="CL564" i="1"/>
  <c r="CL565" i="1"/>
  <c r="CL566" i="1"/>
  <c r="CL567" i="1"/>
  <c r="CL569" i="1"/>
  <c r="CL570" i="1"/>
  <c r="CL572" i="1"/>
  <c r="CL573" i="1"/>
  <c r="CL574" i="1"/>
  <c r="CL576" i="1"/>
  <c r="CL577" i="1"/>
  <c r="CL578" i="1"/>
  <c r="CL579" i="1"/>
  <c r="CL580" i="1"/>
  <c r="CL581" i="1"/>
  <c r="W583" i="1"/>
  <c r="CL583" i="1"/>
  <c r="CL584" i="1"/>
  <c r="CL586" i="1"/>
  <c r="CL587" i="1"/>
  <c r="CL588" i="1"/>
  <c r="CL591" i="1"/>
  <c r="CL592" i="1"/>
  <c r="CL593" i="1"/>
  <c r="CL594" i="1"/>
  <c r="CL595" i="1"/>
  <c r="CL596" i="1"/>
  <c r="CL597" i="1"/>
  <c r="CL598" i="1"/>
  <c r="CL600" i="1"/>
  <c r="CL601" i="1"/>
  <c r="CL603" i="1"/>
  <c r="CL604" i="1"/>
  <c r="CL605" i="1"/>
  <c r="CL607" i="1"/>
  <c r="CL608" i="1"/>
  <c r="CL609" i="1"/>
  <c r="CL610" i="1"/>
  <c r="CL611" i="1"/>
  <c r="CL612" i="1"/>
  <c r="W614" i="1"/>
  <c r="CL614" i="1"/>
  <c r="CL615" i="1"/>
  <c r="CL617" i="1"/>
  <c r="CL618" i="1"/>
  <c r="CL619" i="1"/>
  <c r="CL620" i="1"/>
  <c r="CL622" i="1"/>
  <c r="CL623" i="1"/>
  <c r="CL624" i="1"/>
  <c r="CL625" i="1"/>
  <c r="CL626" i="1"/>
  <c r="CL628" i="1"/>
  <c r="CL629" i="1"/>
  <c r="CL630" i="1"/>
  <c r="CL631" i="1"/>
  <c r="CL632" i="1"/>
  <c r="CL633" i="1"/>
  <c r="CL634" i="1"/>
  <c r="W636" i="1"/>
  <c r="CL636" i="1" s="1"/>
  <c r="CL637" i="1"/>
  <c r="CL638" i="1"/>
  <c r="CL639" i="1"/>
  <c r="CL641" i="1"/>
  <c r="CL643" i="1"/>
  <c r="CL644" i="1"/>
  <c r="CL645" i="1"/>
  <c r="CL647" i="1"/>
  <c r="CL648" i="1"/>
  <c r="CL649" i="1"/>
  <c r="CL650" i="1"/>
  <c r="CL651" i="1"/>
  <c r="CL652" i="1"/>
  <c r="W654" i="1"/>
  <c r="CL654" i="1" s="1"/>
  <c r="CL655" i="1"/>
  <c r="CL656" i="1"/>
  <c r="CL657" i="1"/>
  <c r="CL658" i="1"/>
  <c r="CL659" i="1"/>
  <c r="CL660" i="1"/>
  <c r="CL662" i="1"/>
  <c r="CL663" i="1"/>
  <c r="CL665" i="1"/>
  <c r="CL666" i="1"/>
  <c r="CL667" i="1"/>
  <c r="CL669" i="1"/>
  <c r="CL670" i="1"/>
  <c r="CL671" i="1"/>
  <c r="CL672" i="1"/>
  <c r="CL674" i="1"/>
  <c r="CL675" i="1"/>
  <c r="CL676" i="1"/>
  <c r="CL677" i="1"/>
  <c r="CL678" i="1"/>
  <c r="CL679" i="1"/>
  <c r="CL681" i="1"/>
  <c r="CL682" i="1"/>
  <c r="CL683" i="1"/>
  <c r="CL684" i="1"/>
  <c r="CL685" i="1"/>
  <c r="CL686" i="1"/>
  <c r="CL687" i="1"/>
  <c r="CL688" i="1"/>
  <c r="CL689" i="1"/>
  <c r="CL690" i="1"/>
  <c r="CL691" i="1"/>
  <c r="W693" i="1"/>
  <c r="CL693" i="1" s="1"/>
  <c r="CL694" i="1"/>
  <c r="CL695" i="1"/>
  <c r="CL696" i="1"/>
  <c r="CL698" i="1"/>
  <c r="CL699" i="1"/>
  <c r="CL702" i="1"/>
  <c r="CL703" i="1"/>
  <c r="CL704" i="1"/>
  <c r="CL706" i="1"/>
  <c r="CL707" i="1"/>
  <c r="CL708" i="1"/>
  <c r="CL709" i="1"/>
  <c r="CL711" i="1"/>
  <c r="CL712" i="1"/>
  <c r="CL713" i="1"/>
  <c r="CL714" i="1"/>
  <c r="CL715" i="1"/>
  <c r="CL716" i="1"/>
  <c r="CL717" i="1"/>
  <c r="CL718" i="1"/>
  <c r="CL720" i="1"/>
  <c r="CL721" i="1"/>
  <c r="CL723" i="1"/>
  <c r="CL724" i="1"/>
  <c r="CL725" i="1"/>
  <c r="CL726" i="1"/>
  <c r="CL729" i="1"/>
  <c r="CL731" i="1"/>
  <c r="CL732" i="1"/>
  <c r="CL733" i="1"/>
  <c r="CL734" i="1"/>
  <c r="CL735" i="1"/>
  <c r="CL736" i="1"/>
  <c r="CL738" i="1"/>
  <c r="CL739" i="1"/>
  <c r="CL740" i="1"/>
  <c r="CL741" i="1"/>
  <c r="CL742" i="1"/>
  <c r="CL743" i="1"/>
  <c r="CL744" i="1"/>
  <c r="CL745" i="1"/>
  <c r="CL748" i="1"/>
  <c r="CL750" i="1"/>
  <c r="CL751" i="1"/>
  <c r="CL752" i="1"/>
  <c r="CL753" i="1"/>
  <c r="CL754" i="1"/>
  <c r="CL755" i="1"/>
  <c r="CL756" i="1"/>
  <c r="CL758" i="1"/>
  <c r="CL760" i="1"/>
  <c r="CL761" i="1"/>
  <c r="CL763" i="1"/>
  <c r="CL764" i="1"/>
  <c r="CL766" i="1"/>
  <c r="CL767" i="1"/>
  <c r="CL768" i="1"/>
  <c r="CL769" i="1"/>
  <c r="CL774" i="1"/>
  <c r="CL775" i="1"/>
  <c r="CL777" i="1"/>
  <c r="CL778" i="1"/>
  <c r="CL779" i="1"/>
  <c r="CL780" i="1"/>
  <c r="CL782" i="1"/>
  <c r="CL783" i="1"/>
  <c r="CL784" i="1"/>
  <c r="CL785" i="1"/>
  <c r="CL786" i="1"/>
  <c r="CL787" i="1"/>
  <c r="CL789" i="1"/>
  <c r="CL790" i="1"/>
  <c r="CL791" i="1"/>
  <c r="CL793" i="1"/>
  <c r="CL794" i="1"/>
  <c r="CL795" i="1"/>
  <c r="CL796" i="1"/>
  <c r="CL797" i="1"/>
  <c r="CL798" i="1"/>
  <c r="CL800" i="1"/>
  <c r="CL801" i="1"/>
  <c r="CL802" i="1"/>
  <c r="CL803" i="1"/>
  <c r="CL804" i="1"/>
  <c r="CL805" i="1"/>
  <c r="CL806" i="1"/>
  <c r="CL807" i="1"/>
  <c r="CL808" i="1"/>
  <c r="W810" i="1"/>
  <c r="CL810" i="1" s="1"/>
  <c r="CL811" i="1"/>
  <c r="CL812" i="1"/>
  <c r="CL813" i="1"/>
  <c r="CL814" i="1"/>
  <c r="CL815" i="1"/>
  <c r="CL816" i="1"/>
  <c r="CL818" i="1"/>
  <c r="CL819" i="1"/>
  <c r="CL820" i="1"/>
  <c r="W822" i="1"/>
  <c r="CL822" i="1"/>
  <c r="CL823" i="1"/>
  <c r="CL824" i="1"/>
  <c r="CL825" i="1"/>
  <c r="CL826" i="1"/>
  <c r="CL827" i="1"/>
  <c r="W829" i="1"/>
  <c r="CL829" i="1"/>
  <c r="CL830" i="1"/>
  <c r="CL831" i="1"/>
  <c r="CL832" i="1"/>
  <c r="CL834" i="1"/>
  <c r="CL835" i="1"/>
  <c r="CL836" i="1"/>
  <c r="CL838" i="1"/>
  <c r="CL839" i="1"/>
  <c r="CL840" i="1"/>
  <c r="CL841" i="1"/>
  <c r="CL842" i="1"/>
  <c r="CL843" i="1"/>
  <c r="CL845" i="1"/>
  <c r="CL846" i="1"/>
  <c r="CL847" i="1"/>
  <c r="CL848" i="1"/>
  <c r="CL849" i="1"/>
  <c r="CL850" i="1"/>
  <c r="CL852" i="1"/>
  <c r="CL854" i="1"/>
  <c r="CL855" i="1"/>
  <c r="CL856" i="1"/>
  <c r="CL857" i="1"/>
  <c r="CL859" i="1"/>
  <c r="CL860" i="1"/>
  <c r="CL862" i="1"/>
  <c r="CL863" i="1"/>
  <c r="CL864" i="1"/>
  <c r="CL865" i="1"/>
  <c r="CL866" i="1"/>
  <c r="CL867" i="1"/>
  <c r="CL868" i="1"/>
  <c r="CL869" i="1"/>
  <c r="CL870" i="1"/>
  <c r="CL873" i="1"/>
  <c r="CL874" i="1"/>
  <c r="CL875" i="1"/>
  <c r="CL876" i="1"/>
  <c r="CL877" i="1"/>
  <c r="CL878" i="1"/>
  <c r="CL879" i="1"/>
  <c r="CL880" i="1"/>
  <c r="CL881" i="1"/>
  <c r="CL884" i="1"/>
  <c r="CL886" i="1"/>
  <c r="CL887" i="1"/>
  <c r="CL888" i="1"/>
  <c r="CL889" i="1"/>
  <c r="CL890" i="1"/>
  <c r="CL891" i="1"/>
  <c r="CL892" i="1"/>
  <c r="CL893" i="1"/>
  <c r="CL894" i="1"/>
  <c r="CL895" i="1"/>
  <c r="W897" i="1"/>
  <c r="CL897" i="1"/>
  <c r="CL898" i="1"/>
  <c r="CL899" i="1"/>
  <c r="CL900" i="1"/>
  <c r="CL901" i="1"/>
  <c r="CL902" i="1"/>
  <c r="CL904" i="1"/>
  <c r="CL905" i="1"/>
  <c r="CL906" i="1"/>
  <c r="CL908" i="1"/>
  <c r="CL909" i="1"/>
  <c r="CL910" i="1"/>
  <c r="CL911" i="1"/>
  <c r="CL912" i="1"/>
  <c r="CL913" i="1"/>
  <c r="CL915" i="1"/>
  <c r="CL916" i="1"/>
  <c r="CL917" i="1"/>
  <c r="CL918" i="1"/>
  <c r="CL919" i="1"/>
  <c r="CL921" i="1"/>
  <c r="CL922" i="1"/>
  <c r="CL923" i="1"/>
  <c r="CL924" i="1"/>
  <c r="CL925" i="1"/>
  <c r="CL927" i="1"/>
  <c r="CL928" i="1"/>
  <c r="CL929" i="1"/>
  <c r="CL930" i="1"/>
  <c r="CL931" i="1"/>
  <c r="CL932" i="1"/>
  <c r="CL933" i="1"/>
  <c r="CL935" i="1"/>
  <c r="CL936" i="1"/>
  <c r="CL937" i="1"/>
  <c r="CL938" i="1"/>
  <c r="CL939" i="1"/>
  <c r="CL940" i="1"/>
  <c r="CL941" i="1"/>
  <c r="CL943" i="1"/>
  <c r="CL944" i="1"/>
  <c r="CL945" i="1"/>
  <c r="CL947" i="1"/>
  <c r="CL948" i="1"/>
  <c r="CL950" i="1"/>
  <c r="CL951" i="1"/>
  <c r="CL952" i="1"/>
  <c r="CL953" i="1"/>
  <c r="CL954" i="1"/>
  <c r="CL955" i="1"/>
  <c r="CL956" i="1"/>
  <c r="CL957" i="1"/>
  <c r="CL958" i="1"/>
  <c r="CL960" i="1"/>
  <c r="CL961" i="1"/>
  <c r="CL962" i="1"/>
  <c r="CL963" i="1"/>
  <c r="CL964" i="1"/>
  <c r="CL965" i="1"/>
  <c r="CL966" i="1"/>
  <c r="CL967" i="1"/>
  <c r="CL969" i="1"/>
  <c r="CL970" i="1"/>
  <c r="CL971" i="1"/>
  <c r="CL972" i="1"/>
  <c r="CL973" i="1"/>
  <c r="CL974" i="1"/>
  <c r="CL975" i="1"/>
  <c r="W977" i="1"/>
  <c r="CL977" i="1" s="1"/>
  <c r="CL978" i="1"/>
  <c r="CL979" i="1"/>
  <c r="CL980" i="1"/>
  <c r="CL981" i="1"/>
  <c r="W983" i="1"/>
  <c r="CL983" i="1" s="1"/>
  <c r="CL985" i="1"/>
  <c r="CL986" i="1"/>
  <c r="CL987" i="1"/>
  <c r="W989" i="1"/>
  <c r="CL989" i="1"/>
  <c r="CL990" i="1"/>
  <c r="CL991" i="1"/>
  <c r="CL992" i="1"/>
  <c r="CL993" i="1"/>
  <c r="CL994" i="1"/>
  <c r="CL996" i="1"/>
  <c r="CL997" i="1"/>
  <c r="CL998" i="1"/>
  <c r="CL999" i="1"/>
  <c r="CL1000" i="1"/>
  <c r="CL1001" i="1"/>
  <c r="CL1002" i="1"/>
  <c r="CL1003" i="1"/>
  <c r="CL1005" i="1"/>
  <c r="CL1006" i="1"/>
  <c r="CL1007" i="1"/>
  <c r="CL1008" i="1"/>
  <c r="CL1009" i="1"/>
  <c r="CL1010" i="1"/>
  <c r="CL1011" i="1"/>
  <c r="CL1013" i="1"/>
  <c r="CL1014" i="1"/>
  <c r="CL1015" i="1"/>
  <c r="CL1016" i="1"/>
  <c r="CL1017" i="1"/>
  <c r="CL1018" i="1"/>
  <c r="CL1019" i="1"/>
  <c r="CL1020" i="1"/>
  <c r="CL1021" i="1"/>
  <c r="CL1022" i="1"/>
  <c r="CL1023" i="1"/>
  <c r="CL1025" i="1"/>
  <c r="CL1026" i="1"/>
  <c r="CL1027" i="1"/>
  <c r="CL1028" i="1"/>
  <c r="CL1029" i="1"/>
  <c r="CL1030" i="1"/>
  <c r="CL1031" i="1"/>
  <c r="CL1032" i="1"/>
  <c r="CL1033" i="1"/>
  <c r="CL1036" i="1"/>
  <c r="CL1037" i="1"/>
  <c r="CL1038" i="1"/>
  <c r="CL1039" i="1"/>
  <c r="CL1040" i="1"/>
  <c r="CL1041" i="1"/>
  <c r="CL1042" i="1"/>
  <c r="CL1043" i="1"/>
  <c r="CL1044" i="1"/>
  <c r="CL1046" i="1"/>
  <c r="CL1047" i="1"/>
  <c r="CL1048" i="1"/>
  <c r="CL1051" i="1"/>
  <c r="CL1053" i="1"/>
  <c r="CL1054" i="1"/>
  <c r="CL1055" i="1"/>
  <c r="CL1056" i="1"/>
  <c r="CL1057" i="1"/>
  <c r="W1059" i="1"/>
  <c r="CL1059" i="1" s="1"/>
  <c r="CL1060" i="1"/>
  <c r="CL1061" i="1"/>
  <c r="CL1062" i="1"/>
  <c r="CL1063" i="1"/>
  <c r="CL1064" i="1"/>
  <c r="CL1066" i="1"/>
  <c r="CL1067" i="1"/>
  <c r="CL1068" i="1"/>
  <c r="CL1069" i="1"/>
  <c r="CL1070" i="1"/>
  <c r="CL1071" i="1"/>
  <c r="CL1072" i="1"/>
  <c r="CL1073" i="1"/>
  <c r="CL1075" i="1"/>
  <c r="CL1076" i="1"/>
  <c r="CL1077" i="1"/>
  <c r="CL1079" i="1"/>
  <c r="CL1080" i="1"/>
  <c r="CL1081" i="1"/>
  <c r="CL1082" i="1"/>
  <c r="CL1083" i="1"/>
  <c r="CL1084" i="1"/>
  <c r="CL1086" i="1"/>
  <c r="CL1087" i="1"/>
  <c r="CL1088" i="1"/>
  <c r="CL1089" i="1"/>
  <c r="CL1090" i="1"/>
  <c r="CL1091" i="1"/>
  <c r="CL1092" i="1"/>
  <c r="CL1093" i="1"/>
  <c r="CL1094" i="1"/>
  <c r="CL1096" i="1"/>
  <c r="CL1097" i="1"/>
  <c r="CL1098" i="1"/>
  <c r="CL1099" i="1"/>
  <c r="CL1100" i="1"/>
  <c r="CL1101" i="1"/>
  <c r="CL1102" i="1"/>
  <c r="CL1103" i="1"/>
  <c r="CL1104" i="1"/>
  <c r="CL1105" i="1"/>
  <c r="CL1106" i="1"/>
  <c r="W1108" i="1"/>
  <c r="CL1108" i="1" s="1"/>
  <c r="CL1109" i="1"/>
  <c r="CL1110" i="1"/>
  <c r="CL1111" i="1"/>
  <c r="CL1112" i="1"/>
  <c r="CL1113" i="1"/>
  <c r="CL1115" i="1"/>
  <c r="CL1116" i="1"/>
  <c r="CL1117" i="1"/>
  <c r="CL1118" i="1"/>
  <c r="CL1120" i="1"/>
  <c r="CL1122" i="1"/>
  <c r="CL1123" i="1"/>
  <c r="CL1124" i="1"/>
  <c r="W1126" i="1"/>
  <c r="CL1126" i="1"/>
  <c r="CL1127" i="1"/>
  <c r="CL1128" i="1"/>
  <c r="CL1129" i="1"/>
  <c r="CL1130" i="1"/>
  <c r="CL1132" i="1"/>
  <c r="CL1133" i="1"/>
  <c r="CL1135" i="1"/>
  <c r="CL1136" i="1"/>
  <c r="CL1137" i="1"/>
  <c r="CL1138" i="1"/>
  <c r="CL1139" i="1"/>
  <c r="CL1140" i="1"/>
  <c r="CL1142" i="1"/>
  <c r="CL1143" i="1"/>
  <c r="CL1144" i="1"/>
  <c r="CL1145" i="1"/>
  <c r="CL1146" i="1"/>
  <c r="CL1147" i="1"/>
  <c r="CL1148" i="1"/>
  <c r="CL1149" i="1"/>
  <c r="CL1150" i="1"/>
  <c r="CL1152" i="1"/>
  <c r="CL1153" i="1"/>
  <c r="CL1154" i="1"/>
  <c r="CL1155" i="1"/>
  <c r="CL1157" i="1"/>
  <c r="CL1158" i="1"/>
  <c r="CL1159" i="1"/>
  <c r="CL1160" i="1"/>
  <c r="CL1161" i="1"/>
  <c r="CL1162" i="1"/>
  <c r="CL1163" i="1"/>
  <c r="CL1164" i="1"/>
  <c r="CL1165" i="1"/>
  <c r="W1167" i="1"/>
  <c r="CL1167" i="1"/>
  <c r="CL1168" i="1"/>
  <c r="CL1169" i="1"/>
  <c r="CL1170" i="1"/>
  <c r="CL1172" i="1"/>
  <c r="CL1173" i="1"/>
  <c r="CL1174" i="1"/>
  <c r="CL1175" i="1"/>
  <c r="CL1177" i="1"/>
  <c r="CL1178" i="1"/>
  <c r="CL1179" i="1"/>
  <c r="CL1180" i="1"/>
  <c r="CL1181" i="1"/>
  <c r="CL1182" i="1"/>
  <c r="CL1183" i="1"/>
  <c r="CL1185" i="1"/>
  <c r="CL1186" i="1"/>
  <c r="CL1187" i="1"/>
  <c r="CL1188" i="1"/>
  <c r="CL1189" i="1"/>
  <c r="CL1190" i="1"/>
  <c r="CL1192" i="1"/>
  <c r="CL1194" i="1"/>
  <c r="CL1195" i="1"/>
  <c r="CL1196" i="1"/>
  <c r="CL1199" i="1"/>
  <c r="CL1201" i="1"/>
  <c r="CL1202" i="1"/>
  <c r="CL1203" i="1"/>
  <c r="CL1204" i="1"/>
  <c r="CL1205" i="1"/>
  <c r="CL1206" i="1"/>
  <c r="CL1207" i="1"/>
  <c r="CL1209" i="1"/>
  <c r="CL1210" i="1"/>
  <c r="CL1211" i="1"/>
  <c r="CL1212" i="1"/>
  <c r="CL1213" i="1"/>
  <c r="CL1214" i="1"/>
  <c r="CL1215" i="1"/>
  <c r="CL1216" i="1"/>
  <c r="CL1217" i="1"/>
  <c r="CL1219" i="1"/>
  <c r="CL1220" i="1"/>
  <c r="CL1222" i="1"/>
  <c r="CL1223" i="1"/>
  <c r="CL1224" i="1"/>
  <c r="CL1225" i="1"/>
  <c r="CL1226" i="1"/>
  <c r="CL1227" i="1"/>
  <c r="CL1230" i="1"/>
  <c r="CL1231" i="1"/>
  <c r="CL1232" i="1"/>
  <c r="CL1233" i="1"/>
  <c r="CL1234" i="1"/>
  <c r="CL1235" i="1"/>
  <c r="CL1236" i="1"/>
  <c r="CL1238" i="1"/>
  <c r="CL1240" i="1"/>
  <c r="CL1241" i="1"/>
  <c r="CL1242" i="1"/>
  <c r="CL1244" i="1"/>
  <c r="CL1245" i="1"/>
  <c r="CL1246" i="1"/>
  <c r="CL1247" i="1"/>
  <c r="CL1248" i="1"/>
  <c r="CL1250" i="1"/>
  <c r="CL1251" i="1"/>
  <c r="CL1252" i="1"/>
  <c r="CL1253" i="1"/>
  <c r="CL1254" i="1"/>
  <c r="CL1255" i="1"/>
  <c r="CL1256" i="1"/>
  <c r="CL1257" i="1"/>
  <c r="CL1258" i="1"/>
  <c r="CL1259" i="1"/>
  <c r="CL1261" i="1"/>
  <c r="CL1262" i="1"/>
  <c r="CL1263" i="1"/>
  <c r="CL1265" i="1"/>
  <c r="CL1266" i="1"/>
  <c r="CL1267" i="1"/>
  <c r="CL1268" i="1"/>
  <c r="CL1272" i="1"/>
  <c r="W1274" i="1"/>
  <c r="CL1274" i="1" s="1"/>
  <c r="CL1275" i="1"/>
  <c r="CL1276" i="1"/>
  <c r="CL1277" i="1"/>
  <c r="CL1278" i="1"/>
  <c r="CL1279" i="1"/>
  <c r="CL1280" i="1"/>
  <c r="W1282" i="1"/>
  <c r="CL1282" i="1" s="1"/>
  <c r="CL1283" i="1"/>
  <c r="CL1284" i="1"/>
  <c r="CL1285" i="1"/>
  <c r="CL1286" i="1"/>
  <c r="CL1287" i="1"/>
  <c r="CL1288" i="1"/>
  <c r="CL1289" i="1"/>
  <c r="CL1291" i="1"/>
  <c r="CL1292" i="1"/>
  <c r="CL1293" i="1"/>
  <c r="CL1294" i="1"/>
  <c r="CL1295" i="1"/>
  <c r="CL1296" i="1"/>
  <c r="CL1297" i="1"/>
  <c r="CL1298" i="1"/>
  <c r="CL1299" i="1"/>
  <c r="CL1300" i="1"/>
  <c r="CL1301" i="1"/>
  <c r="CL1303" i="1"/>
  <c r="CL1304" i="1"/>
  <c r="CL1305" i="1"/>
  <c r="CL1306" i="1"/>
  <c r="CL1307" i="1"/>
  <c r="CL1308" i="1"/>
  <c r="CL1309" i="1"/>
  <c r="CL1310" i="1"/>
  <c r="CL1311" i="1"/>
  <c r="CL1312" i="1"/>
  <c r="CL1313" i="1"/>
  <c r="CM67" i="1"/>
  <c r="CM68" i="1"/>
  <c r="CM69" i="1"/>
  <c r="CM70" i="1"/>
  <c r="CM71" i="1"/>
  <c r="CM72" i="1"/>
  <c r="CM73" i="1"/>
  <c r="CM74" i="1"/>
  <c r="X76" i="1"/>
  <c r="CM76" i="1" s="1"/>
  <c r="CM77" i="1"/>
  <c r="CM78" i="1"/>
  <c r="CM79" i="1"/>
  <c r="CM80" i="1"/>
  <c r="CM81" i="1"/>
  <c r="CM82" i="1"/>
  <c r="X84" i="1"/>
  <c r="CM84" i="1"/>
  <c r="CM85" i="1"/>
  <c r="CM86" i="1"/>
  <c r="CM87" i="1"/>
  <c r="CM88" i="1"/>
  <c r="CM89" i="1"/>
  <c r="CM90" i="1"/>
  <c r="CM92" i="1"/>
  <c r="CM93" i="1"/>
  <c r="CM94" i="1"/>
  <c r="CM95" i="1"/>
  <c r="CM96" i="1"/>
  <c r="CM97" i="1"/>
  <c r="CM98" i="1"/>
  <c r="CM101" i="1"/>
  <c r="X103" i="1"/>
  <c r="CM103" i="1" s="1"/>
  <c r="CM104" i="1"/>
  <c r="CM105" i="1"/>
  <c r="CM106" i="1"/>
  <c r="CM107" i="1"/>
  <c r="CM108" i="1"/>
  <c r="CM109" i="1"/>
  <c r="CM111" i="1"/>
  <c r="CM112" i="1"/>
  <c r="CM113" i="1"/>
  <c r="CM114" i="1"/>
  <c r="CM115" i="1"/>
  <c r="CM116" i="1"/>
  <c r="CM117" i="1"/>
  <c r="CM118" i="1"/>
  <c r="CM119" i="1"/>
  <c r="CM120" i="1"/>
  <c r="CM122" i="1"/>
  <c r="CM124" i="1"/>
  <c r="CM125" i="1"/>
  <c r="CM126" i="1"/>
  <c r="CM129" i="1"/>
  <c r="CM131" i="1"/>
  <c r="CM132" i="1"/>
  <c r="CM136" i="1"/>
  <c r="X138" i="1"/>
  <c r="CM138" i="1" s="1"/>
  <c r="CM139" i="1"/>
  <c r="CM140" i="1"/>
  <c r="CM141" i="1"/>
  <c r="CM142" i="1"/>
  <c r="X144" i="1"/>
  <c r="CM144" i="1" s="1"/>
  <c r="CM145" i="1"/>
  <c r="CM146" i="1"/>
  <c r="CM147" i="1"/>
  <c r="CM148" i="1"/>
  <c r="CM149" i="1"/>
  <c r="CM151" i="1"/>
  <c r="CM152" i="1"/>
  <c r="CM153" i="1"/>
  <c r="CM154" i="1"/>
  <c r="CM155" i="1"/>
  <c r="CM156" i="1"/>
  <c r="CM157" i="1"/>
  <c r="CM158" i="1"/>
  <c r="CM160" i="1"/>
  <c r="CM161" i="1"/>
  <c r="CM162" i="1"/>
  <c r="CM163" i="1"/>
  <c r="CM165" i="1"/>
  <c r="CM166" i="1"/>
  <c r="CM167" i="1"/>
  <c r="CM168" i="1"/>
  <c r="CM169" i="1"/>
  <c r="CM170" i="1"/>
  <c r="X172" i="1"/>
  <c r="CM172" i="1" s="1"/>
  <c r="CM173" i="1"/>
  <c r="CM175" i="1"/>
  <c r="CM176" i="1"/>
  <c r="CM177" i="1"/>
  <c r="CM178" i="1"/>
  <c r="CM179" i="1"/>
  <c r="CM180" i="1"/>
  <c r="CM181" i="1"/>
  <c r="CM182" i="1"/>
  <c r="CM183" i="1"/>
  <c r="CM184" i="1"/>
  <c r="CM186" i="1"/>
  <c r="CM187" i="1"/>
  <c r="CM188" i="1"/>
  <c r="CM189" i="1"/>
  <c r="CM190" i="1"/>
  <c r="CM191" i="1"/>
  <c r="CM192" i="1"/>
  <c r="CM193" i="1"/>
  <c r="X195" i="1"/>
  <c r="CM195" i="1"/>
  <c r="CM196" i="1"/>
  <c r="CM197" i="1"/>
  <c r="CM198" i="1"/>
  <c r="CM200" i="1"/>
  <c r="CM201" i="1"/>
  <c r="CM202" i="1"/>
  <c r="CM203" i="1"/>
  <c r="CM204" i="1"/>
  <c r="CM205" i="1"/>
  <c r="CM206" i="1"/>
  <c r="CM207" i="1"/>
  <c r="CM210" i="1"/>
  <c r="CM211" i="1"/>
  <c r="CM212" i="1"/>
  <c r="CM213" i="1"/>
  <c r="CM214" i="1"/>
  <c r="CM215" i="1"/>
  <c r="CM217" i="1"/>
  <c r="CM218" i="1"/>
  <c r="CM219" i="1"/>
  <c r="CM220" i="1"/>
  <c r="CM221" i="1"/>
  <c r="CM222" i="1"/>
  <c r="CM224" i="1"/>
  <c r="CM225" i="1"/>
  <c r="CM226" i="1"/>
  <c r="CM227" i="1"/>
  <c r="CM228" i="1"/>
  <c r="CM229" i="1"/>
  <c r="X231" i="1"/>
  <c r="CM231" i="1" s="1"/>
  <c r="CM232" i="1"/>
  <c r="CM233" i="1"/>
  <c r="CM234" i="1"/>
  <c r="CM235" i="1"/>
  <c r="CM236" i="1"/>
  <c r="CM237" i="1"/>
  <c r="CM238" i="1"/>
  <c r="X240" i="1"/>
  <c r="CM240" i="1" s="1"/>
  <c r="CM241" i="1"/>
  <c r="CM242" i="1"/>
  <c r="CM243" i="1"/>
  <c r="CM244" i="1"/>
  <c r="CM245" i="1"/>
  <c r="CM246" i="1"/>
  <c r="CM247" i="1"/>
  <c r="CM249" i="1"/>
  <c r="CM250" i="1"/>
  <c r="CM251" i="1"/>
  <c r="CM252" i="1"/>
  <c r="CM253" i="1"/>
  <c r="CM254" i="1"/>
  <c r="CM255" i="1"/>
  <c r="CM256" i="1"/>
  <c r="CM258" i="1"/>
  <c r="CM259" i="1"/>
  <c r="CM260" i="1"/>
  <c r="CM261" i="1"/>
  <c r="CM262" i="1"/>
  <c r="CM263" i="1"/>
  <c r="CM264" i="1"/>
  <c r="CM265" i="1"/>
  <c r="CM266" i="1"/>
  <c r="CM268" i="1"/>
  <c r="CM269" i="1"/>
  <c r="CM270" i="1"/>
  <c r="CM271" i="1"/>
  <c r="CM272" i="1"/>
  <c r="CM273" i="1"/>
  <c r="CM274" i="1"/>
  <c r="CM275" i="1"/>
  <c r="CM276" i="1"/>
  <c r="X278" i="1"/>
  <c r="CM278" i="1" s="1"/>
  <c r="CM279" i="1"/>
  <c r="CM280" i="1"/>
  <c r="CM281" i="1"/>
  <c r="CM282" i="1"/>
  <c r="CM283" i="1"/>
  <c r="CM286" i="1"/>
  <c r="CM287" i="1"/>
  <c r="CM288" i="1"/>
  <c r="CM291" i="1"/>
  <c r="CM292" i="1"/>
  <c r="CM293" i="1"/>
  <c r="CM294" i="1"/>
  <c r="CM296" i="1"/>
  <c r="CM297" i="1"/>
  <c r="CM298" i="1"/>
  <c r="CM299" i="1"/>
  <c r="CM300" i="1"/>
  <c r="CM301" i="1"/>
  <c r="CM302" i="1"/>
  <c r="CM303" i="1"/>
  <c r="CM305" i="1"/>
  <c r="CM306" i="1"/>
  <c r="CM307" i="1"/>
  <c r="CM308" i="1"/>
  <c r="CM309" i="1"/>
  <c r="CM310" i="1"/>
  <c r="CM311" i="1"/>
  <c r="CM312" i="1"/>
  <c r="CM313" i="1"/>
  <c r="CM314" i="1"/>
  <c r="CM316" i="1"/>
  <c r="CM317" i="1"/>
  <c r="CM318" i="1"/>
  <c r="CM319" i="1"/>
  <c r="CM320" i="1"/>
  <c r="CM321" i="1"/>
  <c r="CM322" i="1"/>
  <c r="CM323" i="1"/>
  <c r="CM324" i="1"/>
  <c r="CM325" i="1"/>
  <c r="CM326" i="1"/>
  <c r="CM327" i="1"/>
  <c r="X329" i="1"/>
  <c r="CM329" i="1" s="1"/>
  <c r="CM330" i="1"/>
  <c r="CM332" i="1"/>
  <c r="CM333" i="1"/>
  <c r="CM334" i="1"/>
  <c r="CM335" i="1"/>
  <c r="CM336" i="1"/>
  <c r="CM337" i="1"/>
  <c r="CM338" i="1"/>
  <c r="CM340" i="1"/>
  <c r="CM341" i="1"/>
  <c r="CM342" i="1"/>
  <c r="CM343" i="1"/>
  <c r="CM344" i="1"/>
  <c r="CM345" i="1"/>
  <c r="CM346" i="1"/>
  <c r="CM347" i="1"/>
  <c r="CM348" i="1"/>
  <c r="CM349" i="1"/>
  <c r="CM351" i="1"/>
  <c r="CM352" i="1"/>
  <c r="CM353" i="1"/>
  <c r="CM354" i="1"/>
  <c r="CM355" i="1"/>
  <c r="CM356" i="1"/>
  <c r="X358" i="1"/>
  <c r="CM358" i="1" s="1"/>
  <c r="CM359" i="1"/>
  <c r="CM360" i="1"/>
  <c r="CM361" i="1"/>
  <c r="CM362" i="1"/>
  <c r="CM363" i="1"/>
  <c r="CM364" i="1"/>
  <c r="CM365" i="1"/>
  <c r="CM367" i="1"/>
  <c r="CM368" i="1"/>
  <c r="CM369" i="1"/>
  <c r="CM371" i="1"/>
  <c r="CM372" i="1"/>
  <c r="CM373" i="1"/>
  <c r="X375" i="1"/>
  <c r="CM375" i="1"/>
  <c r="CM376" i="1"/>
  <c r="CM378" i="1"/>
  <c r="CM379" i="1"/>
  <c r="CM380" i="1"/>
  <c r="CM381" i="1"/>
  <c r="CM382" i="1"/>
  <c r="CM383" i="1"/>
  <c r="X385" i="1"/>
  <c r="CM385" i="1" s="1"/>
  <c r="CM386" i="1"/>
  <c r="CM387" i="1"/>
  <c r="CM388" i="1"/>
  <c r="CM389" i="1"/>
  <c r="CM390" i="1"/>
  <c r="CM391" i="1"/>
  <c r="CM393" i="1"/>
  <c r="CM394" i="1"/>
  <c r="CM395" i="1"/>
  <c r="CM396" i="1"/>
  <c r="CM397" i="1"/>
  <c r="CM398" i="1"/>
  <c r="CM399" i="1"/>
  <c r="CM400" i="1"/>
  <c r="CM401" i="1"/>
  <c r="CM403" i="1"/>
  <c r="CM404" i="1"/>
  <c r="CM405" i="1"/>
  <c r="CM406" i="1"/>
  <c r="CM407" i="1"/>
  <c r="CM408" i="1"/>
  <c r="CM409" i="1"/>
  <c r="CM410" i="1"/>
  <c r="CM411" i="1"/>
  <c r="CM413" i="1"/>
  <c r="CM414" i="1"/>
  <c r="CM415" i="1"/>
  <c r="CM416" i="1"/>
  <c r="CM417" i="1"/>
  <c r="CM418" i="1"/>
  <c r="CM421" i="1"/>
  <c r="CM422" i="1"/>
  <c r="CM423" i="1"/>
  <c r="CM424" i="1"/>
  <c r="CM425" i="1"/>
  <c r="CM426" i="1"/>
  <c r="CM427" i="1"/>
  <c r="CM428" i="1"/>
  <c r="CM430" i="1"/>
  <c r="CM431" i="1"/>
  <c r="CM432" i="1"/>
  <c r="CM433" i="1"/>
  <c r="CM434" i="1"/>
  <c r="CM435" i="1"/>
  <c r="CM436" i="1"/>
  <c r="CM438" i="1"/>
  <c r="CM439" i="1"/>
  <c r="CM440" i="1"/>
  <c r="CM441" i="1"/>
  <c r="CM442" i="1"/>
  <c r="CM443" i="1"/>
  <c r="CM445" i="1"/>
  <c r="CM446" i="1"/>
  <c r="CM447" i="1"/>
  <c r="CM448" i="1"/>
  <c r="CM449" i="1"/>
  <c r="CM450" i="1"/>
  <c r="CM451" i="1"/>
  <c r="CM452" i="1"/>
  <c r="X454" i="1"/>
  <c r="CM454" i="1" s="1"/>
  <c r="CM455" i="1"/>
  <c r="CM456" i="1"/>
  <c r="CM457" i="1"/>
  <c r="CM459" i="1"/>
  <c r="CM460" i="1"/>
  <c r="CM461" i="1"/>
  <c r="CM462" i="1"/>
  <c r="CM463" i="1"/>
  <c r="CM464" i="1"/>
  <c r="CM465" i="1"/>
  <c r="CM466" i="1"/>
  <c r="CM469" i="1"/>
  <c r="CM470" i="1"/>
  <c r="CM471" i="1"/>
  <c r="CM472" i="1"/>
  <c r="CM473" i="1"/>
  <c r="CM474" i="1"/>
  <c r="CM475" i="1"/>
  <c r="CM476" i="1"/>
  <c r="CM478" i="1"/>
  <c r="CM479" i="1"/>
  <c r="CM480" i="1"/>
  <c r="CM481" i="1"/>
  <c r="CM482" i="1"/>
  <c r="CM483" i="1"/>
  <c r="CM485" i="1"/>
  <c r="CM486" i="1"/>
  <c r="CM487" i="1"/>
  <c r="CM488" i="1"/>
  <c r="CM489" i="1"/>
  <c r="CM490" i="1"/>
  <c r="CM491" i="1"/>
  <c r="CM492" i="1"/>
  <c r="CM493" i="1"/>
  <c r="CM495" i="1"/>
  <c r="CM496" i="1"/>
  <c r="CM497" i="1"/>
  <c r="CM498" i="1"/>
  <c r="CM499" i="1"/>
  <c r="CM500" i="1"/>
  <c r="X502" i="1"/>
  <c r="CM502" i="1" s="1"/>
  <c r="CM503" i="1"/>
  <c r="CM504" i="1"/>
  <c r="CM505" i="1"/>
  <c r="CM506" i="1"/>
  <c r="CM507" i="1"/>
  <c r="CM508" i="1"/>
  <c r="CM510" i="1"/>
  <c r="CM511" i="1"/>
  <c r="CM512" i="1"/>
  <c r="CM514" i="1"/>
  <c r="CM515" i="1"/>
  <c r="CM516" i="1"/>
  <c r="CM517" i="1"/>
  <c r="CM518" i="1"/>
  <c r="CM520" i="1"/>
  <c r="CM521" i="1"/>
  <c r="CM522" i="1"/>
  <c r="CM523" i="1"/>
  <c r="CM524" i="1"/>
  <c r="CM525" i="1"/>
  <c r="CM526" i="1"/>
  <c r="CM527" i="1"/>
  <c r="CM529" i="1"/>
  <c r="CM530" i="1"/>
  <c r="CM531" i="1"/>
  <c r="CM532" i="1"/>
  <c r="CM533" i="1"/>
  <c r="CM534" i="1"/>
  <c r="CM535" i="1"/>
  <c r="CM536" i="1"/>
  <c r="CM538" i="1"/>
  <c r="CM539" i="1"/>
  <c r="CM540" i="1"/>
  <c r="CM541" i="1"/>
  <c r="CM542" i="1"/>
  <c r="CM543" i="1"/>
  <c r="CM544" i="1"/>
  <c r="CM545" i="1"/>
  <c r="CM546" i="1"/>
  <c r="CM548" i="1"/>
  <c r="CM549" i="1"/>
  <c r="CM550" i="1"/>
  <c r="CM551" i="1"/>
  <c r="CM552" i="1"/>
  <c r="CM553" i="1"/>
  <c r="CM554" i="1"/>
  <c r="CM555" i="1"/>
  <c r="CM557" i="1"/>
  <c r="CM558" i="1"/>
  <c r="CM559" i="1"/>
  <c r="CM560" i="1"/>
  <c r="CM561" i="1"/>
  <c r="CM562" i="1"/>
  <c r="CM564" i="1"/>
  <c r="CM565" i="1"/>
  <c r="CM566" i="1"/>
  <c r="CM567" i="1"/>
  <c r="CM569" i="1"/>
  <c r="CM570" i="1"/>
  <c r="CM572" i="1"/>
  <c r="CM573" i="1"/>
  <c r="CM574" i="1"/>
  <c r="CM576" i="1"/>
  <c r="CM577" i="1"/>
  <c r="CM578" i="1"/>
  <c r="CM579" i="1"/>
  <c r="CM580" i="1"/>
  <c r="CM581" i="1"/>
  <c r="X583" i="1"/>
  <c r="CM583" i="1" s="1"/>
  <c r="CM584" i="1"/>
  <c r="CM586" i="1"/>
  <c r="CM587" i="1"/>
  <c r="CM588" i="1"/>
  <c r="CM590" i="1"/>
  <c r="CM591" i="1"/>
  <c r="CM592" i="1"/>
  <c r="CM593" i="1"/>
  <c r="CM594" i="1"/>
  <c r="CM595" i="1"/>
  <c r="CM596" i="1"/>
  <c r="CM597" i="1"/>
  <c r="CM598" i="1"/>
  <c r="CM600" i="1"/>
  <c r="CM601" i="1"/>
  <c r="CM603" i="1"/>
  <c r="CM604" i="1"/>
  <c r="CM605" i="1"/>
  <c r="CM607" i="1"/>
  <c r="CM608" i="1"/>
  <c r="CM609" i="1"/>
  <c r="CM610" i="1"/>
  <c r="CM611" i="1"/>
  <c r="CM612" i="1"/>
  <c r="X614" i="1"/>
  <c r="CM614" i="1"/>
  <c r="CM615" i="1"/>
  <c r="CM617" i="1"/>
  <c r="CM618" i="1"/>
  <c r="CM619" i="1"/>
  <c r="CM620" i="1"/>
  <c r="CM622" i="1"/>
  <c r="CM623" i="1"/>
  <c r="CM624" i="1"/>
  <c r="CM625" i="1"/>
  <c r="CM626" i="1"/>
  <c r="CM628" i="1"/>
  <c r="CM629" i="1"/>
  <c r="CM630" i="1"/>
  <c r="CM631" i="1"/>
  <c r="CM632" i="1"/>
  <c r="CM633" i="1"/>
  <c r="CM634" i="1"/>
  <c r="X636" i="1"/>
  <c r="CM636" i="1"/>
  <c r="CM637" i="1"/>
  <c r="CM638" i="1"/>
  <c r="CM639" i="1"/>
  <c r="CM641" i="1"/>
  <c r="CM643" i="1"/>
  <c r="CM644" i="1"/>
  <c r="CM645" i="1"/>
  <c r="CM647" i="1"/>
  <c r="CM648" i="1"/>
  <c r="CM649" i="1"/>
  <c r="CM650" i="1"/>
  <c r="CM651" i="1"/>
  <c r="CM652" i="1"/>
  <c r="X654" i="1"/>
  <c r="CM654" i="1" s="1"/>
  <c r="CM655" i="1"/>
  <c r="CM656" i="1"/>
  <c r="CM657" i="1"/>
  <c r="CM658" i="1"/>
  <c r="CM659" i="1"/>
  <c r="CM660" i="1"/>
  <c r="CM662" i="1"/>
  <c r="CM663" i="1"/>
  <c r="CM665" i="1"/>
  <c r="CM666" i="1"/>
  <c r="CM667" i="1"/>
  <c r="CM669" i="1"/>
  <c r="CM670" i="1"/>
  <c r="CM671" i="1"/>
  <c r="CM672" i="1"/>
  <c r="CM674" i="1"/>
  <c r="CM675" i="1"/>
  <c r="CM676" i="1"/>
  <c r="CM677" i="1"/>
  <c r="CM678" i="1"/>
  <c r="CM679" i="1"/>
  <c r="CM681" i="1"/>
  <c r="CM682" i="1"/>
  <c r="CM683" i="1"/>
  <c r="CM684" i="1"/>
  <c r="CM685" i="1"/>
  <c r="CM686" i="1"/>
  <c r="CM687" i="1"/>
  <c r="CM688" i="1"/>
  <c r="CM689" i="1"/>
  <c r="CM690" i="1"/>
  <c r="CM691" i="1"/>
  <c r="X693" i="1"/>
  <c r="CM693" i="1" s="1"/>
  <c r="CM694" i="1"/>
  <c r="CM695" i="1"/>
  <c r="CM696" i="1"/>
  <c r="CM698" i="1"/>
  <c r="CM699" i="1"/>
  <c r="CM702" i="1"/>
  <c r="CM703" i="1"/>
  <c r="CM704" i="1"/>
  <c r="CM706" i="1"/>
  <c r="CM707" i="1"/>
  <c r="CM708" i="1"/>
  <c r="CM709" i="1"/>
  <c r="CM711" i="1"/>
  <c r="CM712" i="1"/>
  <c r="CM713" i="1"/>
  <c r="CM714" i="1"/>
  <c r="CM715" i="1"/>
  <c r="CM716" i="1"/>
  <c r="CM717" i="1"/>
  <c r="CM718" i="1"/>
  <c r="CM720" i="1"/>
  <c r="CM721" i="1"/>
  <c r="CM723" i="1"/>
  <c r="CM724" i="1"/>
  <c r="CM725" i="1"/>
  <c r="CM726" i="1"/>
  <c r="CM729" i="1"/>
  <c r="CM731" i="1"/>
  <c r="CM732" i="1"/>
  <c r="CM733" i="1"/>
  <c r="CM734" i="1"/>
  <c r="CM735" i="1"/>
  <c r="CM736" i="1"/>
  <c r="CM738" i="1"/>
  <c r="CM739" i="1"/>
  <c r="CM740" i="1"/>
  <c r="CM741" i="1"/>
  <c r="CM742" i="1"/>
  <c r="CM743" i="1"/>
  <c r="CM744" i="1"/>
  <c r="CM745" i="1"/>
  <c r="CM748" i="1"/>
  <c r="CM750" i="1"/>
  <c r="CM751" i="1"/>
  <c r="CM752" i="1"/>
  <c r="CM753" i="1"/>
  <c r="CM754" i="1"/>
  <c r="CM755" i="1"/>
  <c r="CM756" i="1"/>
  <c r="CM758" i="1"/>
  <c r="CM760" i="1"/>
  <c r="CM761" i="1"/>
  <c r="CM764" i="1"/>
  <c r="CM766" i="1"/>
  <c r="CM767" i="1"/>
  <c r="CM768" i="1"/>
  <c r="CM769" i="1"/>
  <c r="CM774" i="1"/>
  <c r="CM775" i="1"/>
  <c r="CM777" i="1"/>
  <c r="CM778" i="1"/>
  <c r="CM779" i="1"/>
  <c r="CM780" i="1"/>
  <c r="CM782" i="1"/>
  <c r="CM783" i="1"/>
  <c r="CM784" i="1"/>
  <c r="CM785" i="1"/>
  <c r="CM786" i="1"/>
  <c r="CM787" i="1"/>
  <c r="CM789" i="1"/>
  <c r="CM790" i="1"/>
  <c r="CM791" i="1"/>
  <c r="CM793" i="1"/>
  <c r="CM794" i="1"/>
  <c r="CM795" i="1"/>
  <c r="CM796" i="1"/>
  <c r="CM797" i="1"/>
  <c r="CM798" i="1"/>
  <c r="CM800" i="1"/>
  <c r="CM801" i="1"/>
  <c r="CM802" i="1"/>
  <c r="CM803" i="1"/>
  <c r="CM804" i="1"/>
  <c r="CM805" i="1"/>
  <c r="CM806" i="1"/>
  <c r="CM807" i="1"/>
  <c r="CM808" i="1"/>
  <c r="X810" i="1"/>
  <c r="CM810" i="1"/>
  <c r="CM811" i="1"/>
  <c r="CM812" i="1"/>
  <c r="CM813" i="1"/>
  <c r="CM814" i="1"/>
  <c r="CM815" i="1"/>
  <c r="CM816" i="1"/>
  <c r="CM818" i="1"/>
  <c r="CM819" i="1"/>
  <c r="CM820" i="1"/>
  <c r="X822" i="1"/>
  <c r="CM822" i="1" s="1"/>
  <c r="CM823" i="1"/>
  <c r="CM824" i="1"/>
  <c r="CM825" i="1"/>
  <c r="CM826" i="1"/>
  <c r="CM827" i="1"/>
  <c r="X829" i="1"/>
  <c r="CM829" i="1" s="1"/>
  <c r="CM830" i="1"/>
  <c r="CM831" i="1"/>
  <c r="CM832" i="1"/>
  <c r="CM834" i="1"/>
  <c r="CM835" i="1"/>
  <c r="CM836" i="1"/>
  <c r="CM838" i="1"/>
  <c r="CM839" i="1"/>
  <c r="CM840" i="1"/>
  <c r="CM841" i="1"/>
  <c r="CM842" i="1"/>
  <c r="CM843" i="1"/>
  <c r="CM845" i="1"/>
  <c r="CM846" i="1"/>
  <c r="CM847" i="1"/>
  <c r="CM848" i="1"/>
  <c r="CM849" i="1"/>
  <c r="CM850" i="1"/>
  <c r="CM852" i="1"/>
  <c r="CM854" i="1"/>
  <c r="CM855" i="1"/>
  <c r="CM856" i="1"/>
  <c r="CM857" i="1"/>
  <c r="CM859" i="1"/>
  <c r="CM860" i="1"/>
  <c r="CM862" i="1"/>
  <c r="CM863" i="1"/>
  <c r="CM864" i="1"/>
  <c r="CM865" i="1"/>
  <c r="CM866" i="1"/>
  <c r="CM867" i="1"/>
  <c r="CM868" i="1"/>
  <c r="CM869" i="1"/>
  <c r="CM870" i="1"/>
  <c r="CM872" i="1"/>
  <c r="CM873" i="1"/>
  <c r="CM874" i="1"/>
  <c r="CM875" i="1"/>
  <c r="CM876" i="1"/>
  <c r="CM877" i="1"/>
  <c r="CM878" i="1"/>
  <c r="CM879" i="1"/>
  <c r="CM880" i="1"/>
  <c r="CM881" i="1"/>
  <c r="CM884" i="1"/>
  <c r="CM886" i="1"/>
  <c r="CM887" i="1"/>
  <c r="CM888" i="1"/>
  <c r="CM889" i="1"/>
  <c r="CM890" i="1"/>
  <c r="CM891" i="1"/>
  <c r="CM892" i="1"/>
  <c r="CM893" i="1"/>
  <c r="CM894" i="1"/>
  <c r="CM895" i="1"/>
  <c r="X897" i="1"/>
  <c r="CM897" i="1" s="1"/>
  <c r="CM898" i="1"/>
  <c r="CM899" i="1"/>
  <c r="CM900" i="1"/>
  <c r="CM901" i="1"/>
  <c r="CM902" i="1"/>
  <c r="CM904" i="1"/>
  <c r="CM905" i="1"/>
  <c r="CM906" i="1"/>
  <c r="CM908" i="1"/>
  <c r="CM909" i="1"/>
  <c r="CM910" i="1"/>
  <c r="CM911" i="1"/>
  <c r="CM912" i="1"/>
  <c r="CM913" i="1"/>
  <c r="CM915" i="1"/>
  <c r="CM916" i="1"/>
  <c r="CM917" i="1"/>
  <c r="CM918" i="1"/>
  <c r="CM919" i="1"/>
  <c r="CM921" i="1"/>
  <c r="CM922" i="1"/>
  <c r="CM923" i="1"/>
  <c r="CM924" i="1"/>
  <c r="CM925" i="1"/>
  <c r="CM927" i="1"/>
  <c r="CM928" i="1"/>
  <c r="CM929" i="1"/>
  <c r="CM930" i="1"/>
  <c r="CM931" i="1"/>
  <c r="CM932" i="1"/>
  <c r="CM933" i="1"/>
  <c r="CM935" i="1"/>
  <c r="CM936" i="1"/>
  <c r="CM937" i="1"/>
  <c r="CM938" i="1"/>
  <c r="CM939" i="1"/>
  <c r="CM940" i="1"/>
  <c r="CM941" i="1"/>
  <c r="CM943" i="1"/>
  <c r="CM944" i="1"/>
  <c r="CM945" i="1"/>
  <c r="CM947" i="1"/>
  <c r="CM948" i="1"/>
  <c r="CM950" i="1"/>
  <c r="CM951" i="1"/>
  <c r="CM952" i="1"/>
  <c r="CM953" i="1"/>
  <c r="CM954" i="1"/>
  <c r="CM955" i="1"/>
  <c r="CM956" i="1"/>
  <c r="CM957" i="1"/>
  <c r="CM958" i="1"/>
  <c r="CM960" i="1"/>
  <c r="CM961" i="1"/>
  <c r="CM962" i="1"/>
  <c r="CM963" i="1"/>
  <c r="CM964" i="1"/>
  <c r="CM965" i="1"/>
  <c r="CM966" i="1"/>
  <c r="CM967" i="1"/>
  <c r="CM969" i="1"/>
  <c r="CM970" i="1"/>
  <c r="CM971" i="1"/>
  <c r="CM972" i="1"/>
  <c r="CM973" i="1"/>
  <c r="CM974" i="1"/>
  <c r="CM975" i="1"/>
  <c r="X977" i="1"/>
  <c r="CM977" i="1"/>
  <c r="CM978" i="1"/>
  <c r="CM979" i="1"/>
  <c r="CM980" i="1"/>
  <c r="CM981" i="1"/>
  <c r="X983" i="1"/>
  <c r="CM983" i="1"/>
  <c r="CM985" i="1"/>
  <c r="CM986" i="1"/>
  <c r="CM987" i="1"/>
  <c r="X989" i="1"/>
  <c r="CM989" i="1" s="1"/>
  <c r="CM990" i="1"/>
  <c r="CM991" i="1"/>
  <c r="CM992" i="1"/>
  <c r="CM993" i="1"/>
  <c r="CM994" i="1"/>
  <c r="CM996" i="1"/>
  <c r="CM997" i="1"/>
  <c r="CM998" i="1"/>
  <c r="CM999" i="1"/>
  <c r="CM1000" i="1"/>
  <c r="CM1001" i="1"/>
  <c r="CM1002" i="1"/>
  <c r="CM1003" i="1"/>
  <c r="CM1006" i="1"/>
  <c r="CM1007" i="1"/>
  <c r="CM1008" i="1"/>
  <c r="CM1009" i="1"/>
  <c r="CM1010" i="1"/>
  <c r="CM1011" i="1"/>
  <c r="CM1013" i="1"/>
  <c r="CM1014" i="1"/>
  <c r="CM1015" i="1"/>
  <c r="CM1016" i="1"/>
  <c r="CM1017" i="1"/>
  <c r="CM1018" i="1"/>
  <c r="CM1019" i="1"/>
  <c r="CM1020" i="1"/>
  <c r="CM1021" i="1"/>
  <c r="CM1022" i="1"/>
  <c r="CM1023" i="1"/>
  <c r="CM1025" i="1"/>
  <c r="CM1026" i="1"/>
  <c r="CM1027" i="1"/>
  <c r="CM1028" i="1"/>
  <c r="CM1029" i="1"/>
  <c r="CM1030" i="1"/>
  <c r="CM1031" i="1"/>
  <c r="CM1032" i="1"/>
  <c r="CM1033" i="1"/>
  <c r="CM1035" i="1"/>
  <c r="CM1036" i="1"/>
  <c r="CM1037" i="1"/>
  <c r="CM1038" i="1"/>
  <c r="CM1039" i="1"/>
  <c r="CM1040" i="1"/>
  <c r="CM1041" i="1"/>
  <c r="CM1042" i="1"/>
  <c r="CM1043" i="1"/>
  <c r="CM1044" i="1"/>
  <c r="CM1046" i="1"/>
  <c r="CM1047" i="1"/>
  <c r="CM1048" i="1"/>
  <c r="CM1051" i="1"/>
  <c r="CM1053" i="1"/>
  <c r="CM1054" i="1"/>
  <c r="CM1055" i="1"/>
  <c r="CM1056" i="1"/>
  <c r="CM1057" i="1"/>
  <c r="X1059" i="1"/>
  <c r="CM1059" i="1" s="1"/>
  <c r="CM1060" i="1"/>
  <c r="CM1061" i="1"/>
  <c r="CM1062" i="1"/>
  <c r="CM1063" i="1"/>
  <c r="CM1064" i="1"/>
  <c r="CM1066" i="1"/>
  <c r="CM1067" i="1"/>
  <c r="CM1068" i="1"/>
  <c r="CM1069" i="1"/>
  <c r="CM1070" i="1"/>
  <c r="CM1071" i="1"/>
  <c r="CM1072" i="1"/>
  <c r="CM1073" i="1"/>
  <c r="CM1075" i="1"/>
  <c r="CM1076" i="1"/>
  <c r="CM1077" i="1"/>
  <c r="CM1079" i="1"/>
  <c r="CM1080" i="1"/>
  <c r="CM1081" i="1"/>
  <c r="CM1082" i="1"/>
  <c r="CM1083" i="1"/>
  <c r="CM1084" i="1"/>
  <c r="CM1086" i="1"/>
  <c r="CM1087" i="1"/>
  <c r="CM1088" i="1"/>
  <c r="CM1089" i="1"/>
  <c r="CM1090" i="1"/>
  <c r="CM1091" i="1"/>
  <c r="CM1092" i="1"/>
  <c r="CM1093" i="1"/>
  <c r="CM1094" i="1"/>
  <c r="CM1096" i="1"/>
  <c r="CM1097" i="1"/>
  <c r="CM1098" i="1"/>
  <c r="CM1099" i="1"/>
  <c r="CM1100" i="1"/>
  <c r="CM1101" i="1"/>
  <c r="CM1102" i="1"/>
  <c r="CM1103" i="1"/>
  <c r="CM1104" i="1"/>
  <c r="CM1105" i="1"/>
  <c r="CM1106" i="1"/>
  <c r="X1108" i="1"/>
  <c r="CM1108" i="1" s="1"/>
  <c r="CM1109" i="1"/>
  <c r="CM1110" i="1"/>
  <c r="CM1111" i="1"/>
  <c r="CM1112" i="1"/>
  <c r="CM1113" i="1"/>
  <c r="CM1115" i="1"/>
  <c r="CM1116" i="1"/>
  <c r="CM1117" i="1"/>
  <c r="CM1118" i="1"/>
  <c r="CM1120" i="1"/>
  <c r="CM1122" i="1"/>
  <c r="CM1123" i="1"/>
  <c r="CM1124" i="1"/>
  <c r="X1126" i="1"/>
  <c r="CM1126" i="1"/>
  <c r="CM1127" i="1"/>
  <c r="CM1128" i="1"/>
  <c r="CM1129" i="1"/>
  <c r="CM1130" i="1"/>
  <c r="CM1132" i="1"/>
  <c r="CM1133" i="1"/>
  <c r="CM1135" i="1"/>
  <c r="CM1136" i="1"/>
  <c r="CM1137" i="1"/>
  <c r="CM1138" i="1"/>
  <c r="CM1139" i="1"/>
  <c r="CM1140" i="1"/>
  <c r="CM1142" i="1"/>
  <c r="CM1143" i="1"/>
  <c r="CM1144" i="1"/>
  <c r="CM1145" i="1"/>
  <c r="CM1146" i="1"/>
  <c r="CM1147" i="1"/>
  <c r="CM1148" i="1"/>
  <c r="CM1149" i="1"/>
  <c r="CM1150" i="1"/>
  <c r="CM1152" i="1"/>
  <c r="CM1153" i="1"/>
  <c r="CM1154" i="1"/>
  <c r="CM1155" i="1"/>
  <c r="CM1157" i="1"/>
  <c r="CM1158" i="1"/>
  <c r="CM1159" i="1"/>
  <c r="CM1160" i="1"/>
  <c r="CM1161" i="1"/>
  <c r="CM1162" i="1"/>
  <c r="CM1163" i="1"/>
  <c r="CM1164" i="1"/>
  <c r="CM1165" i="1"/>
  <c r="X1167" i="1"/>
  <c r="CM1167" i="1"/>
  <c r="CM1168" i="1"/>
  <c r="CM1169" i="1"/>
  <c r="CM1170" i="1"/>
  <c r="CM1172" i="1"/>
  <c r="CM1173" i="1"/>
  <c r="CM1174" i="1"/>
  <c r="CM1175" i="1"/>
  <c r="CM1177" i="1"/>
  <c r="CM1178" i="1"/>
  <c r="CM1179" i="1"/>
  <c r="CM1180" i="1"/>
  <c r="CM1181" i="1"/>
  <c r="CM1182" i="1"/>
  <c r="CM1183" i="1"/>
  <c r="CM1185" i="1"/>
  <c r="CM1186" i="1"/>
  <c r="CM1187" i="1"/>
  <c r="CM1188" i="1"/>
  <c r="CM1189" i="1"/>
  <c r="CM1190" i="1"/>
  <c r="CM1192" i="1"/>
  <c r="CM1194" i="1"/>
  <c r="CM1195" i="1"/>
  <c r="CM1196" i="1"/>
  <c r="CM1199" i="1"/>
  <c r="CM1201" i="1"/>
  <c r="CM1202" i="1"/>
  <c r="CM1203" i="1"/>
  <c r="CM1204" i="1"/>
  <c r="CM1205" i="1"/>
  <c r="CM1206" i="1"/>
  <c r="CM1207" i="1"/>
  <c r="CM1209" i="1"/>
  <c r="CM1210" i="1"/>
  <c r="CM1211" i="1"/>
  <c r="CM1212" i="1"/>
  <c r="CM1213" i="1"/>
  <c r="CM1214" i="1"/>
  <c r="CM1215" i="1"/>
  <c r="CM1216" i="1"/>
  <c r="CM1217" i="1"/>
  <c r="CM1219" i="1"/>
  <c r="CM1220" i="1"/>
  <c r="CM1222" i="1"/>
  <c r="CM1223" i="1"/>
  <c r="CM1224" i="1"/>
  <c r="CM1225" i="1"/>
  <c r="CM1226" i="1"/>
  <c r="CM1227" i="1"/>
  <c r="CM1229" i="1"/>
  <c r="CM1230" i="1"/>
  <c r="CM1231" i="1"/>
  <c r="CM1232" i="1"/>
  <c r="CM1233" i="1"/>
  <c r="CM1234" i="1"/>
  <c r="CM1235" i="1"/>
  <c r="CM1236" i="1"/>
  <c r="CM1238" i="1"/>
  <c r="CM1240" i="1"/>
  <c r="CM1241" i="1"/>
  <c r="CM1242" i="1"/>
  <c r="X1244" i="1"/>
  <c r="CM1244" i="1" s="1"/>
  <c r="CM1245" i="1"/>
  <c r="CM1246" i="1"/>
  <c r="CM1247" i="1"/>
  <c r="CM1248" i="1"/>
  <c r="CM1250" i="1"/>
  <c r="CM1251" i="1"/>
  <c r="CM1252" i="1"/>
  <c r="CM1253" i="1"/>
  <c r="CM1254" i="1"/>
  <c r="CM1255" i="1"/>
  <c r="CM1256" i="1"/>
  <c r="CM1257" i="1"/>
  <c r="CM1258" i="1"/>
  <c r="CM1259" i="1"/>
  <c r="CM1261" i="1"/>
  <c r="CM1262" i="1"/>
  <c r="CM1263" i="1"/>
  <c r="CM1265" i="1"/>
  <c r="CM1266" i="1"/>
  <c r="CM1267" i="1"/>
  <c r="CM1268" i="1"/>
  <c r="CM1272" i="1"/>
  <c r="X1274" i="1"/>
  <c r="CM1274" i="1"/>
  <c r="CM1275" i="1"/>
  <c r="CM1276" i="1"/>
  <c r="CM1277" i="1"/>
  <c r="CM1278" i="1"/>
  <c r="CM1279" i="1"/>
  <c r="CM1280" i="1"/>
  <c r="X1282" i="1"/>
  <c r="CM1282" i="1" s="1"/>
  <c r="CM1283" i="1"/>
  <c r="CM1284" i="1"/>
  <c r="CM1285" i="1"/>
  <c r="CM1286" i="1"/>
  <c r="CM1287" i="1"/>
  <c r="CM1288" i="1"/>
  <c r="CM1289" i="1"/>
  <c r="CM1291" i="1"/>
  <c r="CM1292" i="1"/>
  <c r="CM1293" i="1"/>
  <c r="CM1294" i="1"/>
  <c r="CM1295" i="1"/>
  <c r="CM1296" i="1"/>
  <c r="CM1297" i="1"/>
  <c r="CM1298" i="1"/>
  <c r="CM1299" i="1"/>
  <c r="CM1300" i="1"/>
  <c r="CM1301" i="1"/>
  <c r="CM1303" i="1"/>
  <c r="CM1304" i="1"/>
  <c r="CM1305" i="1"/>
  <c r="CM1306" i="1"/>
  <c r="CM1307" i="1"/>
  <c r="CM1308" i="1"/>
  <c r="CM1309" i="1"/>
  <c r="CM1310" i="1"/>
  <c r="CM1311" i="1"/>
  <c r="CM1312" i="1"/>
  <c r="CM1313" i="1"/>
  <c r="CN67" i="1"/>
  <c r="CN68" i="1"/>
  <c r="CN69" i="1"/>
  <c r="CN70" i="1"/>
  <c r="CN71" i="1"/>
  <c r="CN72" i="1"/>
  <c r="CN73" i="1"/>
  <c r="CN74" i="1"/>
  <c r="Y76" i="1"/>
  <c r="CN76" i="1" s="1"/>
  <c r="CN77" i="1"/>
  <c r="CN78" i="1"/>
  <c r="CN79" i="1"/>
  <c r="CN80" i="1"/>
  <c r="CN81" i="1"/>
  <c r="CN82" i="1"/>
  <c r="Y84" i="1"/>
  <c r="CN84" i="1" s="1"/>
  <c r="CN85" i="1"/>
  <c r="CN86" i="1"/>
  <c r="CN87" i="1"/>
  <c r="CN88" i="1"/>
  <c r="CN89" i="1"/>
  <c r="CN90" i="1"/>
  <c r="CN92" i="1"/>
  <c r="CN93" i="1"/>
  <c r="CN94" i="1"/>
  <c r="CN95" i="1"/>
  <c r="CN96" i="1"/>
  <c r="CN97" i="1"/>
  <c r="CN98" i="1"/>
  <c r="CN101" i="1"/>
  <c r="Y103" i="1"/>
  <c r="CN103" i="1" s="1"/>
  <c r="CN104" i="1"/>
  <c r="CN105" i="1"/>
  <c r="CN106" i="1"/>
  <c r="CN107" i="1"/>
  <c r="CN108" i="1"/>
  <c r="CN109" i="1"/>
  <c r="CN111" i="1"/>
  <c r="CN112" i="1"/>
  <c r="CN113" i="1"/>
  <c r="CN114" i="1"/>
  <c r="CN115" i="1"/>
  <c r="CN116" i="1"/>
  <c r="CN117" i="1"/>
  <c r="CN118" i="1"/>
  <c r="CN119" i="1"/>
  <c r="CN120" i="1"/>
  <c r="CN122" i="1"/>
  <c r="CN124" i="1"/>
  <c r="CN125" i="1"/>
  <c r="CN126" i="1"/>
  <c r="CN129" i="1"/>
  <c r="CN131" i="1"/>
  <c r="CN132" i="1"/>
  <c r="CN136" i="1"/>
  <c r="Y138" i="1"/>
  <c r="CN138" i="1" s="1"/>
  <c r="CN139" i="1"/>
  <c r="CN140" i="1"/>
  <c r="CN141" i="1"/>
  <c r="CN142" i="1"/>
  <c r="Y144" i="1"/>
  <c r="CN144" i="1"/>
  <c r="CN145" i="1"/>
  <c r="CN146" i="1"/>
  <c r="CN147" i="1"/>
  <c r="CN148" i="1"/>
  <c r="CN149" i="1"/>
  <c r="CN151" i="1"/>
  <c r="CN152" i="1"/>
  <c r="CN153" i="1"/>
  <c r="CN154" i="1"/>
  <c r="CN155" i="1"/>
  <c r="CN156" i="1"/>
  <c r="CN157" i="1"/>
  <c r="CN158" i="1"/>
  <c r="CN160" i="1"/>
  <c r="CN161" i="1"/>
  <c r="CN162" i="1"/>
  <c r="CN163" i="1"/>
  <c r="CN165" i="1"/>
  <c r="CN166" i="1"/>
  <c r="CN167" i="1"/>
  <c r="CN168" i="1"/>
  <c r="CN169" i="1"/>
  <c r="CN170" i="1"/>
  <c r="Y172" i="1"/>
  <c r="CN172" i="1" s="1"/>
  <c r="CN173" i="1"/>
  <c r="CN175" i="1"/>
  <c r="CN176" i="1"/>
  <c r="CN177" i="1"/>
  <c r="CN178" i="1"/>
  <c r="CN179" i="1"/>
  <c r="CN180" i="1"/>
  <c r="CN181" i="1"/>
  <c r="CN182" i="1"/>
  <c r="CN183" i="1"/>
  <c r="CN184" i="1"/>
  <c r="CN186" i="1"/>
  <c r="CN187" i="1"/>
  <c r="CN188" i="1"/>
  <c r="CN189" i="1"/>
  <c r="CN190" i="1"/>
  <c r="CN191" i="1"/>
  <c r="CN192" i="1"/>
  <c r="CN193" i="1"/>
  <c r="Y195" i="1"/>
  <c r="CN195" i="1"/>
  <c r="CN196" i="1"/>
  <c r="CN197" i="1"/>
  <c r="CN198" i="1"/>
  <c r="CN200" i="1"/>
  <c r="CN201" i="1"/>
  <c r="CN202" i="1"/>
  <c r="CN203" i="1"/>
  <c r="CN204" i="1"/>
  <c r="CN205" i="1"/>
  <c r="CN206" i="1"/>
  <c r="CN207" i="1"/>
  <c r="CN209" i="1"/>
  <c r="CN210" i="1"/>
  <c r="CN211" i="1"/>
  <c r="CN212" i="1"/>
  <c r="CN213" i="1"/>
  <c r="CN214" i="1"/>
  <c r="CN215" i="1"/>
  <c r="CN217" i="1"/>
  <c r="CN218" i="1"/>
  <c r="CN219" i="1"/>
  <c r="CN220" i="1"/>
  <c r="CN221" i="1"/>
  <c r="CN222" i="1"/>
  <c r="CN224" i="1"/>
  <c r="CN225" i="1"/>
  <c r="CN226" i="1"/>
  <c r="CN227" i="1"/>
  <c r="CN228" i="1"/>
  <c r="CN229" i="1"/>
  <c r="Y231" i="1"/>
  <c r="CN231" i="1" s="1"/>
  <c r="CN232" i="1"/>
  <c r="CN233" i="1"/>
  <c r="CN234" i="1"/>
  <c r="CN235" i="1"/>
  <c r="CN236" i="1"/>
  <c r="CN237" i="1"/>
  <c r="CN238" i="1"/>
  <c r="Y240" i="1"/>
  <c r="CN240" i="1"/>
  <c r="CN241" i="1"/>
  <c r="CN242" i="1"/>
  <c r="CN243" i="1"/>
  <c r="CN244" i="1"/>
  <c r="CN245" i="1"/>
  <c r="CN246" i="1"/>
  <c r="CN247" i="1"/>
  <c r="CN249" i="1"/>
  <c r="CN250" i="1"/>
  <c r="CN251" i="1"/>
  <c r="CN252" i="1"/>
  <c r="CN253" i="1"/>
  <c r="CN254" i="1"/>
  <c r="CN255" i="1"/>
  <c r="CN256" i="1"/>
  <c r="CN258" i="1"/>
  <c r="CN259" i="1"/>
  <c r="CN260" i="1"/>
  <c r="CN261" i="1"/>
  <c r="CN262" i="1"/>
  <c r="CN263" i="1"/>
  <c r="CN264" i="1"/>
  <c r="CN265" i="1"/>
  <c r="CN266" i="1"/>
  <c r="CN269" i="1"/>
  <c r="CN270" i="1"/>
  <c r="CN271" i="1"/>
  <c r="CN272" i="1"/>
  <c r="CN273" i="1"/>
  <c r="CN274" i="1"/>
  <c r="CN275" i="1"/>
  <c r="CN276" i="1"/>
  <c r="Y278" i="1"/>
  <c r="CN278" i="1" s="1"/>
  <c r="CN279" i="1"/>
  <c r="CN280" i="1"/>
  <c r="CN281" i="1"/>
  <c r="CN282" i="1"/>
  <c r="CN283" i="1"/>
  <c r="CN285" i="1"/>
  <c r="CN286" i="1"/>
  <c r="CN287" i="1"/>
  <c r="CN288" i="1"/>
  <c r="CN292" i="1"/>
  <c r="CN293" i="1"/>
  <c r="CN294" i="1"/>
  <c r="CN296" i="1"/>
  <c r="CN297" i="1"/>
  <c r="CN298" i="1"/>
  <c r="CN299" i="1"/>
  <c r="CN300" i="1"/>
  <c r="CN301" i="1"/>
  <c r="CN302" i="1"/>
  <c r="CN303" i="1"/>
  <c r="CN305" i="1"/>
  <c r="CN306" i="1"/>
  <c r="CN307" i="1"/>
  <c r="CN308" i="1"/>
  <c r="CN309" i="1"/>
  <c r="CN310" i="1"/>
  <c r="CN311" i="1"/>
  <c r="CN312" i="1"/>
  <c r="CN313" i="1"/>
  <c r="CN314" i="1"/>
  <c r="CN316" i="1"/>
  <c r="CN317" i="1"/>
  <c r="CN318" i="1"/>
  <c r="CN319" i="1"/>
  <c r="CN320" i="1"/>
  <c r="CN321" i="1"/>
  <c r="CN322" i="1"/>
  <c r="CN323" i="1"/>
  <c r="CN324" i="1"/>
  <c r="CN325" i="1"/>
  <c r="CN326" i="1"/>
  <c r="CN327" i="1"/>
  <c r="Y329" i="1"/>
  <c r="CN329" i="1" s="1"/>
  <c r="CN330" i="1"/>
  <c r="CN332" i="1"/>
  <c r="CN333" i="1"/>
  <c r="CN334" i="1"/>
  <c r="CN335" i="1"/>
  <c r="CN336" i="1"/>
  <c r="CN337" i="1"/>
  <c r="CN338" i="1"/>
  <c r="CN340" i="1"/>
  <c r="CN341" i="1"/>
  <c r="CN342" i="1"/>
  <c r="CN343" i="1"/>
  <c r="CN344" i="1"/>
  <c r="CN345" i="1"/>
  <c r="CN346" i="1"/>
  <c r="CN347" i="1"/>
  <c r="CN348" i="1"/>
  <c r="CN349" i="1"/>
  <c r="CN351" i="1"/>
  <c r="CN352" i="1"/>
  <c r="CN353" i="1"/>
  <c r="CN354" i="1"/>
  <c r="CN355" i="1"/>
  <c r="CN356" i="1"/>
  <c r="Y358" i="1"/>
  <c r="CN358" i="1"/>
  <c r="CN359" i="1"/>
  <c r="CN360" i="1"/>
  <c r="CN361" i="1"/>
  <c r="CN362" i="1"/>
  <c r="CN363" i="1"/>
  <c r="CN364" i="1"/>
  <c r="CN365" i="1"/>
  <c r="CN367" i="1"/>
  <c r="CN368" i="1"/>
  <c r="CN369" i="1"/>
  <c r="CN371" i="1"/>
  <c r="CN372" i="1"/>
  <c r="CN373" i="1"/>
  <c r="Y375" i="1"/>
  <c r="CN375" i="1"/>
  <c r="CN376" i="1"/>
  <c r="CN378" i="1"/>
  <c r="CN379" i="1"/>
  <c r="CN380" i="1"/>
  <c r="CN381" i="1"/>
  <c r="CN382" i="1"/>
  <c r="CN383" i="1"/>
  <c r="Y385" i="1"/>
  <c r="CN385" i="1" s="1"/>
  <c r="CN386" i="1"/>
  <c r="CN387" i="1"/>
  <c r="CN388" i="1"/>
  <c r="CN389" i="1"/>
  <c r="CN390" i="1"/>
  <c r="CN391" i="1"/>
  <c r="CN393" i="1"/>
  <c r="CN394" i="1"/>
  <c r="CN395" i="1"/>
  <c r="CN396" i="1"/>
  <c r="CN397" i="1"/>
  <c r="CN398" i="1"/>
  <c r="CN399" i="1"/>
  <c r="CN400" i="1"/>
  <c r="CN401" i="1"/>
  <c r="CN403" i="1"/>
  <c r="CN404" i="1"/>
  <c r="CN405" i="1"/>
  <c r="CN406" i="1"/>
  <c r="CN407" i="1"/>
  <c r="CN408" i="1"/>
  <c r="CN409" i="1"/>
  <c r="CN410" i="1"/>
  <c r="CN411" i="1"/>
  <c r="CN413" i="1"/>
  <c r="CN414" i="1"/>
  <c r="CN415" i="1"/>
  <c r="CN416" i="1"/>
  <c r="CN417" i="1"/>
  <c r="CN418" i="1"/>
  <c r="CN421" i="1"/>
  <c r="CN422" i="1"/>
  <c r="CN423" i="1"/>
  <c r="CN424" i="1"/>
  <c r="CN425" i="1"/>
  <c r="CN426" i="1"/>
  <c r="CN427" i="1"/>
  <c r="CN428" i="1"/>
  <c r="CN430" i="1"/>
  <c r="CN431" i="1"/>
  <c r="CN432" i="1"/>
  <c r="CN433" i="1"/>
  <c r="CN434" i="1"/>
  <c r="CN435" i="1"/>
  <c r="CN436" i="1"/>
  <c r="CN438" i="1"/>
  <c r="CN439" i="1"/>
  <c r="CN440" i="1"/>
  <c r="CN441" i="1"/>
  <c r="CN442" i="1"/>
  <c r="CN443" i="1"/>
  <c r="CN445" i="1"/>
  <c r="CN446" i="1"/>
  <c r="CN447" i="1"/>
  <c r="CN448" i="1"/>
  <c r="CN449" i="1"/>
  <c r="CN450" i="1"/>
  <c r="CN451" i="1"/>
  <c r="CN452" i="1"/>
  <c r="Y454" i="1"/>
  <c r="CN454" i="1"/>
  <c r="CN455" i="1"/>
  <c r="CN456" i="1"/>
  <c r="CN457" i="1"/>
  <c r="CN459" i="1"/>
  <c r="CN460" i="1"/>
  <c r="CN461" i="1"/>
  <c r="CN462" i="1"/>
  <c r="CN463" i="1"/>
  <c r="CN464" i="1"/>
  <c r="CN465" i="1"/>
  <c r="CN466" i="1"/>
  <c r="CN468" i="1"/>
  <c r="CN469" i="1"/>
  <c r="CN470" i="1"/>
  <c r="CN471" i="1"/>
  <c r="CN472" i="1"/>
  <c r="CN473" i="1"/>
  <c r="CN474" i="1"/>
  <c r="CN475" i="1"/>
  <c r="CN476" i="1"/>
  <c r="CN478" i="1"/>
  <c r="CN479" i="1"/>
  <c r="CN480" i="1"/>
  <c r="CN481" i="1"/>
  <c r="CN482" i="1"/>
  <c r="CN483" i="1"/>
  <c r="CN485" i="1"/>
  <c r="CN486" i="1"/>
  <c r="CN487" i="1"/>
  <c r="CN488" i="1"/>
  <c r="CN489" i="1"/>
  <c r="CN490" i="1"/>
  <c r="CN491" i="1"/>
  <c r="CN492" i="1"/>
  <c r="CN493" i="1"/>
  <c r="CN495" i="1"/>
  <c r="CN496" i="1"/>
  <c r="CN497" i="1"/>
  <c r="CN498" i="1"/>
  <c r="CN499" i="1"/>
  <c r="CN500" i="1"/>
  <c r="Y502" i="1"/>
  <c r="CN502" i="1"/>
  <c r="CN503" i="1"/>
  <c r="CN504" i="1"/>
  <c r="CN505" i="1"/>
  <c r="CN506" i="1"/>
  <c r="CN507" i="1"/>
  <c r="CN508" i="1"/>
  <c r="CN510" i="1"/>
  <c r="CN511" i="1"/>
  <c r="CN512" i="1"/>
  <c r="CN514" i="1"/>
  <c r="CN515" i="1"/>
  <c r="CN516" i="1"/>
  <c r="CN517" i="1"/>
  <c r="CN518" i="1"/>
  <c r="CN520" i="1"/>
  <c r="CN521" i="1"/>
  <c r="CN522" i="1"/>
  <c r="CN523" i="1"/>
  <c r="CN524" i="1"/>
  <c r="CN525" i="1"/>
  <c r="CN526" i="1"/>
  <c r="CN527" i="1"/>
  <c r="CN529" i="1"/>
  <c r="CN530" i="1"/>
  <c r="CN531" i="1"/>
  <c r="CN532" i="1"/>
  <c r="CN533" i="1"/>
  <c r="CN534" i="1"/>
  <c r="CN535" i="1"/>
  <c r="CN536" i="1"/>
  <c r="CN538" i="1"/>
  <c r="CN539" i="1"/>
  <c r="CN540" i="1"/>
  <c r="CN541" i="1"/>
  <c r="CN542" i="1"/>
  <c r="CN543" i="1"/>
  <c r="CN544" i="1"/>
  <c r="CN545" i="1"/>
  <c r="CN546" i="1"/>
  <c r="CN548" i="1"/>
  <c r="CN549" i="1"/>
  <c r="CN550" i="1"/>
  <c r="CN551" i="1"/>
  <c r="CN552" i="1"/>
  <c r="CN553" i="1"/>
  <c r="CN554" i="1"/>
  <c r="CN555" i="1"/>
  <c r="CN557" i="1"/>
  <c r="CN558" i="1"/>
  <c r="CN559" i="1"/>
  <c r="CN560" i="1"/>
  <c r="CN561" i="1"/>
  <c r="CN562" i="1"/>
  <c r="CN564" i="1"/>
  <c r="CN565" i="1"/>
  <c r="CN566" i="1"/>
  <c r="CN567" i="1"/>
  <c r="CN569" i="1"/>
  <c r="CN570" i="1"/>
  <c r="CN572" i="1"/>
  <c r="CN573" i="1"/>
  <c r="CN574" i="1"/>
  <c r="CN576" i="1"/>
  <c r="CN577" i="1"/>
  <c r="CN578" i="1"/>
  <c r="CN579" i="1"/>
  <c r="CN580" i="1"/>
  <c r="CN581" i="1"/>
  <c r="Y583" i="1"/>
  <c r="CN583" i="1"/>
  <c r="CN584" i="1"/>
  <c r="CN586" i="1"/>
  <c r="CN587" i="1"/>
  <c r="CN588" i="1"/>
  <c r="CN590" i="1"/>
  <c r="CN591" i="1"/>
  <c r="CN592" i="1"/>
  <c r="CN593" i="1"/>
  <c r="CN594" i="1"/>
  <c r="CN595" i="1"/>
  <c r="CN596" i="1"/>
  <c r="CN597" i="1"/>
  <c r="CN598" i="1"/>
  <c r="CN600" i="1"/>
  <c r="CN601" i="1"/>
  <c r="CN603" i="1"/>
  <c r="CN604" i="1"/>
  <c r="CN605" i="1"/>
  <c r="CN607" i="1"/>
  <c r="CN608" i="1"/>
  <c r="CN609" i="1"/>
  <c r="CN610" i="1"/>
  <c r="CN611" i="1"/>
  <c r="CN612" i="1"/>
  <c r="Y614" i="1"/>
  <c r="CN614" i="1" s="1"/>
  <c r="CN615" i="1"/>
  <c r="CN617" i="1"/>
  <c r="CN618" i="1"/>
  <c r="CN619" i="1"/>
  <c r="CN620" i="1"/>
  <c r="CN622" i="1"/>
  <c r="CN623" i="1"/>
  <c r="CN624" i="1"/>
  <c r="CN625" i="1"/>
  <c r="CN626" i="1"/>
  <c r="CN628" i="1"/>
  <c r="CN629" i="1"/>
  <c r="CN630" i="1"/>
  <c r="CN631" i="1"/>
  <c r="CN632" i="1"/>
  <c r="CN633" i="1"/>
  <c r="CN634" i="1"/>
  <c r="Y636" i="1"/>
  <c r="CN636" i="1" s="1"/>
  <c r="CN637" i="1"/>
  <c r="CN638" i="1"/>
  <c r="CN639" i="1"/>
  <c r="CN641" i="1"/>
  <c r="CN643" i="1"/>
  <c r="CN644" i="1"/>
  <c r="CN645" i="1"/>
  <c r="CN647" i="1"/>
  <c r="CN648" i="1"/>
  <c r="CN649" i="1"/>
  <c r="CN650" i="1"/>
  <c r="CN651" i="1"/>
  <c r="CN652" i="1"/>
  <c r="Y654" i="1"/>
  <c r="CN654" i="1"/>
  <c r="CN655" i="1"/>
  <c r="CN656" i="1"/>
  <c r="CN657" i="1"/>
  <c r="CN658" i="1"/>
  <c r="CN659" i="1"/>
  <c r="CN660" i="1"/>
  <c r="CN662" i="1"/>
  <c r="CN663" i="1"/>
  <c r="CN665" i="1"/>
  <c r="CN666" i="1"/>
  <c r="CN667" i="1"/>
  <c r="CN669" i="1"/>
  <c r="CN670" i="1"/>
  <c r="CN671" i="1"/>
  <c r="CN672" i="1"/>
  <c r="CN674" i="1"/>
  <c r="CN675" i="1"/>
  <c r="CN676" i="1"/>
  <c r="CN677" i="1"/>
  <c r="CN678" i="1"/>
  <c r="CN679" i="1"/>
  <c r="CN681" i="1"/>
  <c r="CN682" i="1"/>
  <c r="CN683" i="1"/>
  <c r="CN684" i="1"/>
  <c r="CN685" i="1"/>
  <c r="CN686" i="1"/>
  <c r="CN687" i="1"/>
  <c r="CN688" i="1"/>
  <c r="CN689" i="1"/>
  <c r="CN690" i="1"/>
  <c r="CN691" i="1"/>
  <c r="Y693" i="1"/>
  <c r="CN693" i="1"/>
  <c r="CN694" i="1"/>
  <c r="CN695" i="1"/>
  <c r="CN696" i="1"/>
  <c r="CN698" i="1"/>
  <c r="CN699" i="1"/>
  <c r="CN702" i="1"/>
  <c r="CN703" i="1"/>
  <c r="CN704" i="1"/>
  <c r="CN706" i="1"/>
  <c r="CN707" i="1"/>
  <c r="CN708" i="1"/>
  <c r="CN709" i="1"/>
  <c r="CN711" i="1"/>
  <c r="CN712" i="1"/>
  <c r="CN713" i="1"/>
  <c r="CN714" i="1"/>
  <c r="CN715" i="1"/>
  <c r="CN716" i="1"/>
  <c r="CN717" i="1"/>
  <c r="CN718" i="1"/>
  <c r="CN720" i="1"/>
  <c r="CN721" i="1"/>
  <c r="CN723" i="1"/>
  <c r="CN724" i="1"/>
  <c r="CN725" i="1"/>
  <c r="CN726" i="1"/>
  <c r="CN729" i="1"/>
  <c r="CN731" i="1"/>
  <c r="CN732" i="1"/>
  <c r="CN733" i="1"/>
  <c r="CN734" i="1"/>
  <c r="CN735" i="1"/>
  <c r="CN736" i="1"/>
  <c r="CN738" i="1"/>
  <c r="CN739" i="1"/>
  <c r="CN740" i="1"/>
  <c r="CN741" i="1"/>
  <c r="CN742" i="1"/>
  <c r="CN743" i="1"/>
  <c r="CN744" i="1"/>
  <c r="CN745" i="1"/>
  <c r="CN748" i="1"/>
  <c r="CN750" i="1"/>
  <c r="CN751" i="1"/>
  <c r="CN752" i="1"/>
  <c r="CN753" i="1"/>
  <c r="CN754" i="1"/>
  <c r="CN755" i="1"/>
  <c r="CN756" i="1"/>
  <c r="CN758" i="1"/>
  <c r="CN760" i="1"/>
  <c r="CN761" i="1"/>
  <c r="CN763" i="1"/>
  <c r="CN764" i="1"/>
  <c r="CN766" i="1"/>
  <c r="CN767" i="1"/>
  <c r="CN768" i="1"/>
  <c r="CN769" i="1"/>
  <c r="CN774" i="1"/>
  <c r="CN775" i="1"/>
  <c r="CN777" i="1"/>
  <c r="CN778" i="1"/>
  <c r="CN779" i="1"/>
  <c r="CN780" i="1"/>
  <c r="CN782" i="1"/>
  <c r="CN783" i="1"/>
  <c r="CN784" i="1"/>
  <c r="CN785" i="1"/>
  <c r="CN786" i="1"/>
  <c r="CN787" i="1"/>
  <c r="CN789" i="1"/>
  <c r="CN790" i="1"/>
  <c r="CN791" i="1"/>
  <c r="CN794" i="1"/>
  <c r="CN795" i="1"/>
  <c r="CN796" i="1"/>
  <c r="CN797" i="1"/>
  <c r="CN798" i="1"/>
  <c r="CN800" i="1"/>
  <c r="CN801" i="1"/>
  <c r="CN802" i="1"/>
  <c r="CN803" i="1"/>
  <c r="CN804" i="1"/>
  <c r="CN805" i="1"/>
  <c r="CN806" i="1"/>
  <c r="CN807" i="1"/>
  <c r="CN808" i="1"/>
  <c r="Y810" i="1"/>
  <c r="CN810" i="1" s="1"/>
  <c r="CN811" i="1"/>
  <c r="CN812" i="1"/>
  <c r="CN813" i="1"/>
  <c r="CN814" i="1"/>
  <c r="CN815" i="1"/>
  <c r="CN816" i="1"/>
  <c r="CN818" i="1"/>
  <c r="CN819" i="1"/>
  <c r="CN820" i="1"/>
  <c r="Y822" i="1"/>
  <c r="CN822" i="1"/>
  <c r="CN823" i="1"/>
  <c r="CN824" i="1"/>
  <c r="CN825" i="1"/>
  <c r="CN826" i="1"/>
  <c r="CN827" i="1"/>
  <c r="Y829" i="1"/>
  <c r="CN829" i="1"/>
  <c r="CN830" i="1"/>
  <c r="CN831" i="1"/>
  <c r="CN832" i="1"/>
  <c r="CN834" i="1"/>
  <c r="CN835" i="1"/>
  <c r="CN836" i="1"/>
  <c r="CN838" i="1"/>
  <c r="CN839" i="1"/>
  <c r="CN840" i="1"/>
  <c r="CN841" i="1"/>
  <c r="CN842" i="1"/>
  <c r="CN843" i="1"/>
  <c r="CN845" i="1"/>
  <c r="CN846" i="1"/>
  <c r="CN847" i="1"/>
  <c r="CN848" i="1"/>
  <c r="CN849" i="1"/>
  <c r="CN850" i="1"/>
  <c r="CN854" i="1"/>
  <c r="CN855" i="1"/>
  <c r="CN856" i="1"/>
  <c r="CN857" i="1"/>
  <c r="CN859" i="1"/>
  <c r="CN860" i="1"/>
  <c r="CN863" i="1"/>
  <c r="CN864" i="1"/>
  <c r="CN865" i="1"/>
  <c r="CN866" i="1"/>
  <c r="CN867" i="1"/>
  <c r="CN868" i="1"/>
  <c r="CN869" i="1"/>
  <c r="CN870" i="1"/>
  <c r="CN872" i="1"/>
  <c r="CN873" i="1"/>
  <c r="CN874" i="1"/>
  <c r="CN875" i="1"/>
  <c r="CN876" i="1"/>
  <c r="CN877" i="1"/>
  <c r="CN878" i="1"/>
  <c r="CN879" i="1"/>
  <c r="CN880" i="1"/>
  <c r="CN881" i="1"/>
  <c r="CN884" i="1"/>
  <c r="CN887" i="1"/>
  <c r="CN888" i="1"/>
  <c r="CN889" i="1"/>
  <c r="CN890" i="1"/>
  <c r="CN891" i="1"/>
  <c r="CN892" i="1"/>
  <c r="CN893" i="1"/>
  <c r="CN894" i="1"/>
  <c r="CN895" i="1"/>
  <c r="Y897" i="1"/>
  <c r="CN897" i="1" s="1"/>
  <c r="CN898" i="1"/>
  <c r="CN899" i="1"/>
  <c r="CN900" i="1"/>
  <c r="CN901" i="1"/>
  <c r="CN902" i="1"/>
  <c r="CN905" i="1"/>
  <c r="CN906" i="1"/>
  <c r="CN908" i="1"/>
  <c r="CN909" i="1"/>
  <c r="CN910" i="1"/>
  <c r="CN911" i="1"/>
  <c r="CN912" i="1"/>
  <c r="CN913" i="1"/>
  <c r="CN915" i="1"/>
  <c r="CN916" i="1"/>
  <c r="CN917" i="1"/>
  <c r="CN918" i="1"/>
  <c r="CN919" i="1"/>
  <c r="CN921" i="1"/>
  <c r="CN922" i="1"/>
  <c r="CN923" i="1"/>
  <c r="CN924" i="1"/>
  <c r="CN925" i="1"/>
  <c r="CN927" i="1"/>
  <c r="CN928" i="1"/>
  <c r="CN929" i="1"/>
  <c r="CN930" i="1"/>
  <c r="CN931" i="1"/>
  <c r="CN932" i="1"/>
  <c r="CN933" i="1"/>
  <c r="CN935" i="1"/>
  <c r="CN936" i="1"/>
  <c r="CN937" i="1"/>
  <c r="CN938" i="1"/>
  <c r="CN939" i="1"/>
  <c r="CN940" i="1"/>
  <c r="CN941" i="1"/>
  <c r="CN943" i="1"/>
  <c r="CN944" i="1"/>
  <c r="CN945" i="1"/>
  <c r="CN947" i="1"/>
  <c r="CN948" i="1"/>
  <c r="CN950" i="1"/>
  <c r="CN951" i="1"/>
  <c r="CN952" i="1"/>
  <c r="CN953" i="1"/>
  <c r="CN954" i="1"/>
  <c r="CN955" i="1"/>
  <c r="CN956" i="1"/>
  <c r="CN957" i="1"/>
  <c r="CN958" i="1"/>
  <c r="CN960" i="1"/>
  <c r="CN961" i="1"/>
  <c r="CN962" i="1"/>
  <c r="CN963" i="1"/>
  <c r="CN964" i="1"/>
  <c r="CN965" i="1"/>
  <c r="CN966" i="1"/>
  <c r="CN967" i="1"/>
  <c r="CN969" i="1"/>
  <c r="CN970" i="1"/>
  <c r="CN971" i="1"/>
  <c r="CN972" i="1"/>
  <c r="CN973" i="1"/>
  <c r="CN974" i="1"/>
  <c r="CN975" i="1"/>
  <c r="Y977" i="1"/>
  <c r="CN977" i="1" s="1"/>
  <c r="CN978" i="1"/>
  <c r="CN979" i="1"/>
  <c r="CN980" i="1"/>
  <c r="CN981" i="1"/>
  <c r="Y983" i="1"/>
  <c r="CN983" i="1" s="1"/>
  <c r="CN985" i="1"/>
  <c r="CN986" i="1"/>
  <c r="CN987" i="1"/>
  <c r="Y989" i="1"/>
  <c r="CN989" i="1"/>
  <c r="CN990" i="1"/>
  <c r="CN991" i="1"/>
  <c r="CN992" i="1"/>
  <c r="CN993" i="1"/>
  <c r="CN994" i="1"/>
  <c r="CN996" i="1"/>
  <c r="CN997" i="1"/>
  <c r="CN998" i="1"/>
  <c r="CN999" i="1"/>
  <c r="CN1000" i="1"/>
  <c r="CN1001" i="1"/>
  <c r="CN1002" i="1"/>
  <c r="CN1003" i="1"/>
  <c r="CN1005" i="1"/>
  <c r="CN1006" i="1"/>
  <c r="CN1007" i="1"/>
  <c r="CN1008" i="1"/>
  <c r="CN1009" i="1"/>
  <c r="CN1010" i="1"/>
  <c r="CN1011" i="1"/>
  <c r="CN1013" i="1"/>
  <c r="CN1014" i="1"/>
  <c r="CN1015" i="1"/>
  <c r="CN1016" i="1"/>
  <c r="CN1017" i="1"/>
  <c r="CN1018" i="1"/>
  <c r="CN1019" i="1"/>
  <c r="CN1020" i="1"/>
  <c r="CN1021" i="1"/>
  <c r="CN1022" i="1"/>
  <c r="CN1023" i="1"/>
  <c r="CN1025" i="1"/>
  <c r="CN1026" i="1"/>
  <c r="CN1027" i="1"/>
  <c r="CN1028" i="1"/>
  <c r="CN1029" i="1"/>
  <c r="CN1030" i="1"/>
  <c r="CN1031" i="1"/>
  <c r="CN1032" i="1"/>
  <c r="CN1033" i="1"/>
  <c r="CN1035" i="1"/>
  <c r="CN1036" i="1"/>
  <c r="CN1037" i="1"/>
  <c r="CN1038" i="1"/>
  <c r="CN1039" i="1"/>
  <c r="CN1040" i="1"/>
  <c r="CN1041" i="1"/>
  <c r="CN1042" i="1"/>
  <c r="CN1043" i="1"/>
  <c r="CN1044" i="1"/>
  <c r="CN1046" i="1"/>
  <c r="CN1047" i="1"/>
  <c r="CN1048" i="1"/>
  <c r="CN1051" i="1"/>
  <c r="CN1053" i="1"/>
  <c r="CN1054" i="1"/>
  <c r="CN1055" i="1"/>
  <c r="CN1056" i="1"/>
  <c r="CN1057" i="1"/>
  <c r="Y1059" i="1"/>
  <c r="CN1059" i="1" s="1"/>
  <c r="CN1060" i="1"/>
  <c r="CN1061" i="1"/>
  <c r="CN1062" i="1"/>
  <c r="CN1063" i="1"/>
  <c r="CN1064" i="1"/>
  <c r="CN1066" i="1"/>
  <c r="CN1067" i="1"/>
  <c r="CN1068" i="1"/>
  <c r="CN1069" i="1"/>
  <c r="CN1070" i="1"/>
  <c r="CN1071" i="1"/>
  <c r="CN1072" i="1"/>
  <c r="CN1073" i="1"/>
  <c r="CN1075" i="1"/>
  <c r="CN1076" i="1"/>
  <c r="CN1077" i="1"/>
  <c r="CN1079" i="1"/>
  <c r="CN1080" i="1"/>
  <c r="CN1081" i="1"/>
  <c r="CN1082" i="1"/>
  <c r="CN1083" i="1"/>
  <c r="CN1084" i="1"/>
  <c r="CN1086" i="1"/>
  <c r="CN1087" i="1"/>
  <c r="CN1088" i="1"/>
  <c r="CN1089" i="1"/>
  <c r="CN1090" i="1"/>
  <c r="CN1091" i="1"/>
  <c r="CN1092" i="1"/>
  <c r="CN1093" i="1"/>
  <c r="CN1094" i="1"/>
  <c r="CN1096" i="1"/>
  <c r="CN1097" i="1"/>
  <c r="CN1098" i="1"/>
  <c r="CN1099" i="1"/>
  <c r="CN1100" i="1"/>
  <c r="CN1101" i="1"/>
  <c r="CN1102" i="1"/>
  <c r="CN1103" i="1"/>
  <c r="CN1104" i="1"/>
  <c r="CN1105" i="1"/>
  <c r="CN1106" i="1"/>
  <c r="Y1108" i="1"/>
  <c r="CN1108" i="1" s="1"/>
  <c r="CN1109" i="1"/>
  <c r="CN1110" i="1"/>
  <c r="CN1111" i="1"/>
  <c r="CN1112" i="1"/>
  <c r="CN1113" i="1"/>
  <c r="CN1115" i="1"/>
  <c r="CN1116" i="1"/>
  <c r="CN1117" i="1"/>
  <c r="CN1118" i="1"/>
  <c r="CN1120" i="1"/>
  <c r="CN1122" i="1"/>
  <c r="CN1123" i="1"/>
  <c r="CN1124" i="1"/>
  <c r="Y1126" i="1"/>
  <c r="CN1126" i="1"/>
  <c r="CN1127" i="1"/>
  <c r="CN1128" i="1"/>
  <c r="CN1129" i="1"/>
  <c r="CN1130" i="1"/>
  <c r="CN1132" i="1"/>
  <c r="CN1133" i="1"/>
  <c r="CN1135" i="1"/>
  <c r="CN1136" i="1"/>
  <c r="CN1137" i="1"/>
  <c r="CN1138" i="1"/>
  <c r="CN1139" i="1"/>
  <c r="CN1140" i="1"/>
  <c r="CN1142" i="1"/>
  <c r="CN1143" i="1"/>
  <c r="CN1144" i="1"/>
  <c r="CN1145" i="1"/>
  <c r="CN1146" i="1"/>
  <c r="CN1147" i="1"/>
  <c r="CN1148" i="1"/>
  <c r="CN1149" i="1"/>
  <c r="CN1150" i="1"/>
  <c r="CN1152" i="1"/>
  <c r="CN1153" i="1"/>
  <c r="CN1154" i="1"/>
  <c r="CN1155" i="1"/>
  <c r="CN1157" i="1"/>
  <c r="CN1158" i="1"/>
  <c r="CN1159" i="1"/>
  <c r="CN1160" i="1"/>
  <c r="CN1161" i="1"/>
  <c r="CN1162" i="1"/>
  <c r="CN1163" i="1"/>
  <c r="CN1164" i="1"/>
  <c r="CN1165" i="1"/>
  <c r="Y1167" i="1"/>
  <c r="CN1167" i="1"/>
  <c r="CN1168" i="1"/>
  <c r="CN1169" i="1"/>
  <c r="CN1170" i="1"/>
  <c r="CN1172" i="1"/>
  <c r="CN1173" i="1"/>
  <c r="CN1174" i="1"/>
  <c r="CN1175" i="1"/>
  <c r="CN1177" i="1"/>
  <c r="CN1178" i="1"/>
  <c r="CN1179" i="1"/>
  <c r="CN1180" i="1"/>
  <c r="CN1181" i="1"/>
  <c r="CN1182" i="1"/>
  <c r="CN1183" i="1"/>
  <c r="CN1185" i="1"/>
  <c r="CN1186" i="1"/>
  <c r="CN1187" i="1"/>
  <c r="CN1188" i="1"/>
  <c r="CN1189" i="1"/>
  <c r="CN1190" i="1"/>
  <c r="CN1192" i="1"/>
  <c r="CN1194" i="1"/>
  <c r="CN1195" i="1"/>
  <c r="CN1196" i="1"/>
  <c r="CN1199" i="1"/>
  <c r="CN1201" i="1"/>
  <c r="CN1202" i="1"/>
  <c r="CN1203" i="1"/>
  <c r="CN1204" i="1"/>
  <c r="CN1205" i="1"/>
  <c r="CN1206" i="1"/>
  <c r="CN1207" i="1"/>
  <c r="CN1209" i="1"/>
  <c r="CN1210" i="1"/>
  <c r="CN1211" i="1"/>
  <c r="CN1212" i="1"/>
  <c r="CN1213" i="1"/>
  <c r="CN1214" i="1"/>
  <c r="CN1215" i="1"/>
  <c r="CN1216" i="1"/>
  <c r="CN1217" i="1"/>
  <c r="CN1219" i="1"/>
  <c r="CN1220" i="1"/>
  <c r="CN1222" i="1"/>
  <c r="CN1223" i="1"/>
  <c r="CN1224" i="1"/>
  <c r="CN1225" i="1"/>
  <c r="CN1226" i="1"/>
  <c r="CN1227" i="1"/>
  <c r="CN1229" i="1"/>
  <c r="CN1230" i="1"/>
  <c r="CN1231" i="1"/>
  <c r="CN1232" i="1"/>
  <c r="CN1233" i="1"/>
  <c r="CN1234" i="1"/>
  <c r="CN1235" i="1"/>
  <c r="CN1236" i="1"/>
  <c r="CN1238" i="1"/>
  <c r="CN1240" i="1"/>
  <c r="CN1241" i="1"/>
  <c r="CN1242" i="1"/>
  <c r="Y1244" i="1"/>
  <c r="CN1244" i="1"/>
  <c r="CN1245" i="1"/>
  <c r="CN1246" i="1"/>
  <c r="CN1247" i="1"/>
  <c r="CN1248" i="1"/>
  <c r="CN1250" i="1"/>
  <c r="CN1251" i="1"/>
  <c r="CN1252" i="1"/>
  <c r="CN1253" i="1"/>
  <c r="CN1254" i="1"/>
  <c r="CN1255" i="1"/>
  <c r="CN1256" i="1"/>
  <c r="CN1257" i="1"/>
  <c r="CN1258" i="1"/>
  <c r="CN1259" i="1"/>
  <c r="CN1261" i="1"/>
  <c r="CN1262" i="1"/>
  <c r="CN1263" i="1"/>
  <c r="CN1265" i="1"/>
  <c r="CN1266" i="1"/>
  <c r="CN1267" i="1"/>
  <c r="CN1268" i="1"/>
  <c r="CN1272" i="1"/>
  <c r="Y1274" i="1"/>
  <c r="CN1274" i="1"/>
  <c r="CN1275" i="1"/>
  <c r="CN1276" i="1"/>
  <c r="CN1277" i="1"/>
  <c r="CN1278" i="1"/>
  <c r="CN1279" i="1"/>
  <c r="CN1280" i="1"/>
  <c r="Y1282" i="1"/>
  <c r="CN1282" i="1" s="1"/>
  <c r="CN1283" i="1"/>
  <c r="CN1284" i="1"/>
  <c r="CN1285" i="1"/>
  <c r="CN1286" i="1"/>
  <c r="CN1287" i="1"/>
  <c r="CN1288" i="1"/>
  <c r="CN1289" i="1"/>
  <c r="CN1291" i="1"/>
  <c r="CN1292" i="1"/>
  <c r="CN1293" i="1"/>
  <c r="CN1294" i="1"/>
  <c r="CN1295" i="1"/>
  <c r="CN1296" i="1"/>
  <c r="CN1297" i="1"/>
  <c r="CN1298" i="1"/>
  <c r="CN1299" i="1"/>
  <c r="CN1300" i="1"/>
  <c r="CN1301" i="1"/>
  <c r="CN1303" i="1"/>
  <c r="CN1304" i="1"/>
  <c r="CN1305" i="1"/>
  <c r="CN1306" i="1"/>
  <c r="CN1307" i="1"/>
  <c r="CN1308" i="1"/>
  <c r="CN1309" i="1"/>
  <c r="CN1310" i="1"/>
  <c r="CN1311" i="1"/>
  <c r="CN1312" i="1"/>
  <c r="CN1313" i="1"/>
  <c r="CO67" i="1"/>
  <c r="CO68" i="1"/>
  <c r="CO69" i="1"/>
  <c r="CO70" i="1"/>
  <c r="CO71" i="1"/>
  <c r="CO72" i="1"/>
  <c r="CO73" i="1"/>
  <c r="CO74" i="1"/>
  <c r="Z76" i="1"/>
  <c r="CO76" i="1" s="1"/>
  <c r="CO77" i="1"/>
  <c r="CO78" i="1"/>
  <c r="CO79" i="1"/>
  <c r="CO80" i="1"/>
  <c r="CO81" i="1"/>
  <c r="CO82" i="1"/>
  <c r="Z84" i="1"/>
  <c r="CO84" i="1"/>
  <c r="CO85" i="1"/>
  <c r="CO86" i="1"/>
  <c r="CO87" i="1"/>
  <c r="CO88" i="1"/>
  <c r="CO89" i="1"/>
  <c r="CO90" i="1"/>
  <c r="CO92" i="1"/>
  <c r="CO93" i="1"/>
  <c r="CO94" i="1"/>
  <c r="CO95" i="1"/>
  <c r="CO96" i="1"/>
  <c r="CO97" i="1"/>
  <c r="CO98" i="1"/>
  <c r="CO101" i="1"/>
  <c r="Z103" i="1"/>
  <c r="CO103" i="1"/>
  <c r="CO104" i="1"/>
  <c r="CO105" i="1"/>
  <c r="CO106" i="1"/>
  <c r="CO107" i="1"/>
  <c r="CO108" i="1"/>
  <c r="CO109" i="1"/>
  <c r="CO111" i="1"/>
  <c r="CO112" i="1"/>
  <c r="CO113" i="1"/>
  <c r="CO114" i="1"/>
  <c r="CO115" i="1"/>
  <c r="CO116" i="1"/>
  <c r="CO117" i="1"/>
  <c r="CO118" i="1"/>
  <c r="CO119" i="1"/>
  <c r="CO120" i="1"/>
  <c r="CO122" i="1"/>
  <c r="CO124" i="1"/>
  <c r="CO125" i="1"/>
  <c r="CO126" i="1"/>
  <c r="CO129" i="1"/>
  <c r="CO131" i="1"/>
  <c r="CO132" i="1"/>
  <c r="CO136" i="1"/>
  <c r="Z138" i="1"/>
  <c r="CO138" i="1"/>
  <c r="CO139" i="1"/>
  <c r="CO140" i="1"/>
  <c r="CO141" i="1"/>
  <c r="CO142" i="1"/>
  <c r="Z144" i="1"/>
  <c r="CO144" i="1" s="1"/>
  <c r="CO145" i="1"/>
  <c r="CO146" i="1"/>
  <c r="CO147" i="1"/>
  <c r="CO148" i="1"/>
  <c r="CO149" i="1"/>
  <c r="CO151" i="1"/>
  <c r="CO152" i="1"/>
  <c r="CO153" i="1"/>
  <c r="CO154" i="1"/>
  <c r="CO155" i="1"/>
  <c r="CO156" i="1"/>
  <c r="CO157" i="1"/>
  <c r="CO158" i="1"/>
  <c r="CO160" i="1"/>
  <c r="CO161" i="1"/>
  <c r="CO162" i="1"/>
  <c r="CO163" i="1"/>
  <c r="CO165" i="1"/>
  <c r="CO166" i="1"/>
  <c r="CO167" i="1"/>
  <c r="CO168" i="1"/>
  <c r="CO169" i="1"/>
  <c r="CO170" i="1"/>
  <c r="Z172" i="1"/>
  <c r="CO172" i="1" s="1"/>
  <c r="CO173" i="1"/>
  <c r="CO175" i="1"/>
  <c r="CO176" i="1"/>
  <c r="CO177" i="1"/>
  <c r="CO178" i="1"/>
  <c r="CO179" i="1"/>
  <c r="CO180" i="1"/>
  <c r="CO181" i="1"/>
  <c r="CO182" i="1"/>
  <c r="CO183" i="1"/>
  <c r="CO184" i="1"/>
  <c r="CO186" i="1"/>
  <c r="CO187" i="1"/>
  <c r="CO188" i="1"/>
  <c r="CO189" i="1"/>
  <c r="CO190" i="1"/>
  <c r="CO191" i="1"/>
  <c r="CO192" i="1"/>
  <c r="CO193" i="1"/>
  <c r="Z195" i="1"/>
  <c r="CO195" i="1"/>
  <c r="CO196" i="1"/>
  <c r="CO197" i="1"/>
  <c r="CO198" i="1"/>
  <c r="CO200" i="1"/>
  <c r="CO201" i="1"/>
  <c r="CO202" i="1"/>
  <c r="CO203" i="1"/>
  <c r="CO204" i="1"/>
  <c r="CO205" i="1"/>
  <c r="CO206" i="1"/>
  <c r="CO207" i="1"/>
  <c r="CO209" i="1"/>
  <c r="CO210" i="1"/>
  <c r="CO211" i="1"/>
  <c r="CO212" i="1"/>
  <c r="CO213" i="1"/>
  <c r="CO214" i="1"/>
  <c r="CO215" i="1"/>
  <c r="CO217" i="1"/>
  <c r="CO218" i="1"/>
  <c r="CO219" i="1"/>
  <c r="CO220" i="1"/>
  <c r="CO221" i="1"/>
  <c r="CO222" i="1"/>
  <c r="CO224" i="1"/>
  <c r="CO225" i="1"/>
  <c r="CO226" i="1"/>
  <c r="CO227" i="1"/>
  <c r="CO228" i="1"/>
  <c r="CO229" i="1"/>
  <c r="Z231" i="1"/>
  <c r="CO231" i="1" s="1"/>
  <c r="CO232" i="1"/>
  <c r="CO233" i="1"/>
  <c r="CO234" i="1"/>
  <c r="CO235" i="1"/>
  <c r="CO236" i="1"/>
  <c r="CO237" i="1"/>
  <c r="CO238" i="1"/>
  <c r="Z240" i="1"/>
  <c r="CO240" i="1" s="1"/>
  <c r="CO241" i="1"/>
  <c r="CO242" i="1"/>
  <c r="CO243" i="1"/>
  <c r="CO244" i="1"/>
  <c r="CO245" i="1"/>
  <c r="CO246" i="1"/>
  <c r="CO247" i="1"/>
  <c r="CO250" i="1"/>
  <c r="CO251" i="1"/>
  <c r="CO252" i="1"/>
  <c r="CO253" i="1"/>
  <c r="CO254" i="1"/>
  <c r="CO255" i="1"/>
  <c r="CO256" i="1"/>
  <c r="CO258" i="1"/>
  <c r="CO259" i="1"/>
  <c r="CO260" i="1"/>
  <c r="CO261" i="1"/>
  <c r="CO262" i="1"/>
  <c r="CO263" i="1"/>
  <c r="CO264" i="1"/>
  <c r="CO265" i="1"/>
  <c r="CO266" i="1"/>
  <c r="CO268" i="1"/>
  <c r="CO269" i="1"/>
  <c r="CO270" i="1"/>
  <c r="CO271" i="1"/>
  <c r="CO272" i="1"/>
  <c r="CO273" i="1"/>
  <c r="CO274" i="1"/>
  <c r="CO275" i="1"/>
  <c r="CO276" i="1"/>
  <c r="Z278" i="1"/>
  <c r="CO278" i="1" s="1"/>
  <c r="CO279" i="1"/>
  <c r="CO280" i="1"/>
  <c r="CO281" i="1"/>
  <c r="CO282" i="1"/>
  <c r="CO283" i="1"/>
  <c r="CO285" i="1"/>
  <c r="CO286" i="1"/>
  <c r="CO287" i="1"/>
  <c r="CO288" i="1"/>
  <c r="CO291" i="1"/>
  <c r="CO292" i="1"/>
  <c r="CO293" i="1"/>
  <c r="CO294" i="1"/>
  <c r="CO296" i="1"/>
  <c r="CO297" i="1"/>
  <c r="CO298" i="1"/>
  <c r="CO299" i="1"/>
  <c r="CO300" i="1"/>
  <c r="CO301" i="1"/>
  <c r="CO302" i="1"/>
  <c r="CO303" i="1"/>
  <c r="CO305" i="1"/>
  <c r="CO306" i="1"/>
  <c r="CO307" i="1"/>
  <c r="CO308" i="1"/>
  <c r="CO309" i="1"/>
  <c r="CO310" i="1"/>
  <c r="CO311" i="1"/>
  <c r="CO312" i="1"/>
  <c r="CO313" i="1"/>
  <c r="CO314" i="1"/>
  <c r="CO316" i="1"/>
  <c r="CO317" i="1"/>
  <c r="CO318" i="1"/>
  <c r="CO319" i="1"/>
  <c r="CO320" i="1"/>
  <c r="CO321" i="1"/>
  <c r="CO322" i="1"/>
  <c r="CO323" i="1"/>
  <c r="CO324" i="1"/>
  <c r="CO325" i="1"/>
  <c r="CO326" i="1"/>
  <c r="CO327" i="1"/>
  <c r="Z329" i="1"/>
  <c r="CO329" i="1" s="1"/>
  <c r="CO330" i="1"/>
  <c r="CO332" i="1"/>
  <c r="CO333" i="1"/>
  <c r="CO334" i="1"/>
  <c r="CO335" i="1"/>
  <c r="CO336" i="1"/>
  <c r="CO337" i="1"/>
  <c r="CO338" i="1"/>
  <c r="CO340" i="1"/>
  <c r="CO341" i="1"/>
  <c r="CO342" i="1"/>
  <c r="CO343" i="1"/>
  <c r="CO344" i="1"/>
  <c r="CO345" i="1"/>
  <c r="CO346" i="1"/>
  <c r="CO347" i="1"/>
  <c r="CO348" i="1"/>
  <c r="CO349" i="1"/>
  <c r="CO351" i="1"/>
  <c r="CO352" i="1"/>
  <c r="CO353" i="1"/>
  <c r="CO354" i="1"/>
  <c r="CO355" i="1"/>
  <c r="CO356" i="1"/>
  <c r="Z358" i="1"/>
  <c r="CO358" i="1" s="1"/>
  <c r="CO359" i="1"/>
  <c r="CO360" i="1"/>
  <c r="CO361" i="1"/>
  <c r="CO362" i="1"/>
  <c r="CO363" i="1"/>
  <c r="CO364" i="1"/>
  <c r="CO365" i="1"/>
  <c r="CO367" i="1"/>
  <c r="CO368" i="1"/>
  <c r="CO369" i="1"/>
  <c r="CO371" i="1"/>
  <c r="CO372" i="1"/>
  <c r="CO373" i="1"/>
  <c r="Z375" i="1"/>
  <c r="CO375" i="1" s="1"/>
  <c r="CO376" i="1"/>
  <c r="CO378" i="1"/>
  <c r="CO379" i="1"/>
  <c r="CO380" i="1"/>
  <c r="CO381" i="1"/>
  <c r="CO382" i="1"/>
  <c r="CO383" i="1"/>
  <c r="Z385" i="1"/>
  <c r="CO385" i="1"/>
  <c r="CO386" i="1"/>
  <c r="CO387" i="1"/>
  <c r="CO388" i="1"/>
  <c r="CO389" i="1"/>
  <c r="CO390" i="1"/>
  <c r="CO391" i="1"/>
  <c r="CO393" i="1"/>
  <c r="CO394" i="1"/>
  <c r="CO395" i="1"/>
  <c r="CO396" i="1"/>
  <c r="CO397" i="1"/>
  <c r="CO398" i="1"/>
  <c r="CO399" i="1"/>
  <c r="CO400" i="1"/>
  <c r="CO401" i="1"/>
  <c r="CO403" i="1"/>
  <c r="CO404" i="1"/>
  <c r="CO405" i="1"/>
  <c r="CO406" i="1"/>
  <c r="CO407" i="1"/>
  <c r="CO408" i="1"/>
  <c r="CO409" i="1"/>
  <c r="CO410" i="1"/>
  <c r="CO411" i="1"/>
  <c r="CO413" i="1"/>
  <c r="CO414" i="1"/>
  <c r="CO415" i="1"/>
  <c r="CO416" i="1"/>
  <c r="CO417" i="1"/>
  <c r="CO418" i="1"/>
  <c r="CO421" i="1"/>
  <c r="CO422" i="1"/>
  <c r="CO423" i="1"/>
  <c r="CO424" i="1"/>
  <c r="CO425" i="1"/>
  <c r="CO426" i="1"/>
  <c r="CO427" i="1"/>
  <c r="CO428" i="1"/>
  <c r="CO431" i="1"/>
  <c r="CO432" i="1"/>
  <c r="CO433" i="1"/>
  <c r="CO434" i="1"/>
  <c r="CO435" i="1"/>
  <c r="CO436" i="1"/>
  <c r="CO438" i="1"/>
  <c r="CO439" i="1"/>
  <c r="CO440" i="1"/>
  <c r="CO441" i="1"/>
  <c r="CO442" i="1"/>
  <c r="CO443" i="1"/>
  <c r="CO445" i="1"/>
  <c r="CO446" i="1"/>
  <c r="CO447" i="1"/>
  <c r="CO448" i="1"/>
  <c r="CO449" i="1"/>
  <c r="CO450" i="1"/>
  <c r="CO451" i="1"/>
  <c r="CO452" i="1"/>
  <c r="Z454" i="1"/>
  <c r="CO454" i="1"/>
  <c r="CO455" i="1"/>
  <c r="CO456" i="1"/>
  <c r="CO457" i="1"/>
  <c r="CO459" i="1"/>
  <c r="CO460" i="1"/>
  <c r="CO461" i="1"/>
  <c r="CO462" i="1"/>
  <c r="CO463" i="1"/>
  <c r="CO464" i="1"/>
  <c r="CO465" i="1"/>
  <c r="CO466" i="1"/>
  <c r="CO468" i="1"/>
  <c r="CO469" i="1"/>
  <c r="CO470" i="1"/>
  <c r="CO471" i="1"/>
  <c r="CO472" i="1"/>
  <c r="CO473" i="1"/>
  <c r="CO474" i="1"/>
  <c r="CO475" i="1"/>
  <c r="CO476" i="1"/>
  <c r="CO478" i="1"/>
  <c r="CO479" i="1"/>
  <c r="CO480" i="1"/>
  <c r="CO481" i="1"/>
  <c r="CO482" i="1"/>
  <c r="CO483" i="1"/>
  <c r="CO485" i="1"/>
  <c r="CO486" i="1"/>
  <c r="CO487" i="1"/>
  <c r="CO488" i="1"/>
  <c r="CO489" i="1"/>
  <c r="CO490" i="1"/>
  <c r="CO491" i="1"/>
  <c r="CO492" i="1"/>
  <c r="CO493" i="1"/>
  <c r="CO495" i="1"/>
  <c r="CO496" i="1"/>
  <c r="CO497" i="1"/>
  <c r="CO498" i="1"/>
  <c r="CO499" i="1"/>
  <c r="CO500" i="1"/>
  <c r="Z502" i="1"/>
  <c r="CO502" i="1"/>
  <c r="CO503" i="1"/>
  <c r="CO504" i="1"/>
  <c r="CO505" i="1"/>
  <c r="CO506" i="1"/>
  <c r="CO507" i="1"/>
  <c r="CO508" i="1"/>
  <c r="CO510" i="1"/>
  <c r="CO511" i="1"/>
  <c r="CO512" i="1"/>
  <c r="CO514" i="1"/>
  <c r="CO515" i="1"/>
  <c r="CO516" i="1"/>
  <c r="CO517" i="1"/>
  <c r="CO518" i="1"/>
  <c r="CO520" i="1"/>
  <c r="CO521" i="1"/>
  <c r="CO522" i="1"/>
  <c r="CO523" i="1"/>
  <c r="CO524" i="1"/>
  <c r="CO525" i="1"/>
  <c r="CO526" i="1"/>
  <c r="CO527" i="1"/>
  <c r="CO529" i="1"/>
  <c r="CO530" i="1"/>
  <c r="CO531" i="1"/>
  <c r="CO532" i="1"/>
  <c r="CO533" i="1"/>
  <c r="CO534" i="1"/>
  <c r="CO535" i="1"/>
  <c r="CO536" i="1"/>
  <c r="CO538" i="1"/>
  <c r="CO539" i="1"/>
  <c r="CO540" i="1"/>
  <c r="CO541" i="1"/>
  <c r="CO542" i="1"/>
  <c r="CO543" i="1"/>
  <c r="CO544" i="1"/>
  <c r="CO545" i="1"/>
  <c r="CO546" i="1"/>
  <c r="CO548" i="1"/>
  <c r="CO549" i="1"/>
  <c r="CO550" i="1"/>
  <c r="CO551" i="1"/>
  <c r="CO552" i="1"/>
  <c r="CO553" i="1"/>
  <c r="CO554" i="1"/>
  <c r="CO555" i="1"/>
  <c r="CO557" i="1"/>
  <c r="CO558" i="1"/>
  <c r="CO559" i="1"/>
  <c r="CO560" i="1"/>
  <c r="CO561" i="1"/>
  <c r="CO562" i="1"/>
  <c r="CO564" i="1"/>
  <c r="CO565" i="1"/>
  <c r="CO566" i="1"/>
  <c r="CO567" i="1"/>
  <c r="CO569" i="1"/>
  <c r="CO570" i="1"/>
  <c r="CO572" i="1"/>
  <c r="CO573" i="1"/>
  <c r="CO574" i="1"/>
  <c r="CO576" i="1"/>
  <c r="CO577" i="1"/>
  <c r="CO578" i="1"/>
  <c r="CO579" i="1"/>
  <c r="CO580" i="1"/>
  <c r="CO581" i="1"/>
  <c r="Z583" i="1"/>
  <c r="CO583" i="1" s="1"/>
  <c r="CO584" i="1"/>
  <c r="CO586" i="1"/>
  <c r="CO587" i="1"/>
  <c r="CO588" i="1"/>
  <c r="CO590" i="1"/>
  <c r="CO591" i="1"/>
  <c r="CO592" i="1"/>
  <c r="CO593" i="1"/>
  <c r="CO594" i="1"/>
  <c r="CO595" i="1"/>
  <c r="CO596" i="1"/>
  <c r="CO597" i="1"/>
  <c r="CO598" i="1"/>
  <c r="CO600" i="1"/>
  <c r="CO601" i="1"/>
  <c r="CO603" i="1"/>
  <c r="CO604" i="1"/>
  <c r="CO605" i="1"/>
  <c r="CO607" i="1"/>
  <c r="CO608" i="1"/>
  <c r="CO609" i="1"/>
  <c r="CO610" i="1"/>
  <c r="CO611" i="1"/>
  <c r="CO612" i="1"/>
  <c r="Z614" i="1"/>
  <c r="CO614" i="1"/>
  <c r="CO615" i="1"/>
  <c r="CO617" i="1"/>
  <c r="CO618" i="1"/>
  <c r="CO619" i="1"/>
  <c r="CO620" i="1"/>
  <c r="CO622" i="1"/>
  <c r="CO623" i="1"/>
  <c r="CO624" i="1"/>
  <c r="CO625" i="1"/>
  <c r="CO626" i="1"/>
  <c r="CO628" i="1"/>
  <c r="CO629" i="1"/>
  <c r="CO630" i="1"/>
  <c r="CO631" i="1"/>
  <c r="CO632" i="1"/>
  <c r="CO633" i="1"/>
  <c r="CO634" i="1"/>
  <c r="Z636" i="1"/>
  <c r="CO636" i="1" s="1"/>
  <c r="CO637" i="1"/>
  <c r="CO638" i="1"/>
  <c r="CO639" i="1"/>
  <c r="CO641" i="1"/>
  <c r="CO643" i="1"/>
  <c r="CO644" i="1"/>
  <c r="CO645" i="1"/>
  <c r="CO647" i="1"/>
  <c r="CO648" i="1"/>
  <c r="CO649" i="1"/>
  <c r="CO650" i="1"/>
  <c r="CO651" i="1"/>
  <c r="CO652" i="1"/>
  <c r="Z654" i="1"/>
  <c r="CO654" i="1" s="1"/>
  <c r="CO655" i="1"/>
  <c r="CO656" i="1"/>
  <c r="CO657" i="1"/>
  <c r="CO658" i="1"/>
  <c r="CO659" i="1"/>
  <c r="CO660" i="1"/>
  <c r="CO662" i="1"/>
  <c r="CO663" i="1"/>
  <c r="CO666" i="1"/>
  <c r="CO667" i="1"/>
  <c r="CO669" i="1"/>
  <c r="CO670" i="1"/>
  <c r="CO671" i="1"/>
  <c r="CO672" i="1"/>
  <c r="CO674" i="1"/>
  <c r="CO675" i="1"/>
  <c r="CO676" i="1"/>
  <c r="CO677" i="1"/>
  <c r="CO678" i="1"/>
  <c r="CO679" i="1"/>
  <c r="CO681" i="1"/>
  <c r="CO682" i="1"/>
  <c r="CO683" i="1"/>
  <c r="CO684" i="1"/>
  <c r="CO685" i="1"/>
  <c r="CO686" i="1"/>
  <c r="CO687" i="1"/>
  <c r="CO688" i="1"/>
  <c r="CO689" i="1"/>
  <c r="CO690" i="1"/>
  <c r="CO691" i="1"/>
  <c r="Z693" i="1"/>
  <c r="CO693" i="1"/>
  <c r="CO694" i="1"/>
  <c r="CO695" i="1"/>
  <c r="CO696" i="1"/>
  <c r="CO698" i="1"/>
  <c r="CO699" i="1"/>
  <c r="CO702" i="1"/>
  <c r="CO703" i="1"/>
  <c r="CO704" i="1"/>
  <c r="CO706" i="1"/>
  <c r="CO707" i="1"/>
  <c r="CO708" i="1"/>
  <c r="CO709" i="1"/>
  <c r="CO711" i="1"/>
  <c r="CO712" i="1"/>
  <c r="CO713" i="1"/>
  <c r="CO714" i="1"/>
  <c r="CO715" i="1"/>
  <c r="CO716" i="1"/>
  <c r="CO717" i="1"/>
  <c r="CO718" i="1"/>
  <c r="CO720" i="1"/>
  <c r="CO721" i="1"/>
  <c r="CO723" i="1"/>
  <c r="CO724" i="1"/>
  <c r="CO725" i="1"/>
  <c r="CO726" i="1"/>
  <c r="CO729" i="1"/>
  <c r="CO731" i="1"/>
  <c r="CO732" i="1"/>
  <c r="CO733" i="1"/>
  <c r="CO734" i="1"/>
  <c r="CO735" i="1"/>
  <c r="CO736" i="1"/>
  <c r="CO738" i="1"/>
  <c r="CO739" i="1"/>
  <c r="CO740" i="1"/>
  <c r="CO741" i="1"/>
  <c r="CO742" i="1"/>
  <c r="CO743" i="1"/>
  <c r="CO744" i="1"/>
  <c r="CO745" i="1"/>
  <c r="CO748" i="1"/>
  <c r="CO750" i="1"/>
  <c r="CO751" i="1"/>
  <c r="CO752" i="1"/>
  <c r="CO753" i="1"/>
  <c r="CO754" i="1"/>
  <c r="CO755" i="1"/>
  <c r="CO756" i="1"/>
  <c r="CO758" i="1"/>
  <c r="CO760" i="1"/>
  <c r="CO761" i="1"/>
  <c r="CO763" i="1"/>
  <c r="CO764" i="1"/>
  <c r="CO766" i="1"/>
  <c r="CO767" i="1"/>
  <c r="CO768" i="1"/>
  <c r="CO769" i="1"/>
  <c r="CO774" i="1"/>
  <c r="CO775" i="1"/>
  <c r="CO777" i="1"/>
  <c r="CO778" i="1"/>
  <c r="CO779" i="1"/>
  <c r="CO780" i="1"/>
  <c r="CO782" i="1"/>
  <c r="CO783" i="1"/>
  <c r="CO784" i="1"/>
  <c r="CO785" i="1"/>
  <c r="CO786" i="1"/>
  <c r="CO787" i="1"/>
  <c r="CO789" i="1"/>
  <c r="CO790" i="1"/>
  <c r="CO791" i="1"/>
  <c r="CO793" i="1"/>
  <c r="CO794" i="1"/>
  <c r="CO795" i="1"/>
  <c r="CO796" i="1"/>
  <c r="CO797" i="1"/>
  <c r="CO798" i="1"/>
  <c r="CO801" i="1"/>
  <c r="CO802" i="1"/>
  <c r="CO803" i="1"/>
  <c r="CO804" i="1"/>
  <c r="CO805" i="1"/>
  <c r="CO806" i="1"/>
  <c r="CO807" i="1"/>
  <c r="CO808" i="1"/>
  <c r="Z810" i="1"/>
  <c r="CO810" i="1"/>
  <c r="CO811" i="1"/>
  <c r="CO812" i="1"/>
  <c r="CO813" i="1"/>
  <c r="CO814" i="1"/>
  <c r="CO815" i="1"/>
  <c r="CO816" i="1"/>
  <c r="CO818" i="1"/>
  <c r="CO819" i="1"/>
  <c r="CO820" i="1"/>
  <c r="Z822" i="1"/>
  <c r="CO822" i="1" s="1"/>
  <c r="CO823" i="1"/>
  <c r="CO824" i="1"/>
  <c r="CO825" i="1"/>
  <c r="CO826" i="1"/>
  <c r="CO827" i="1"/>
  <c r="Z829" i="1"/>
  <c r="CO829" i="1" s="1"/>
  <c r="CO830" i="1"/>
  <c r="CO831" i="1"/>
  <c r="CO832" i="1"/>
  <c r="CO834" i="1"/>
  <c r="CO835" i="1"/>
  <c r="CO836" i="1"/>
  <c r="CO838" i="1"/>
  <c r="CO839" i="1"/>
  <c r="CO840" i="1"/>
  <c r="CO841" i="1"/>
  <c r="CO842" i="1"/>
  <c r="CO843" i="1"/>
  <c r="CO845" i="1"/>
  <c r="CO846" i="1"/>
  <c r="CO847" i="1"/>
  <c r="CO848" i="1"/>
  <c r="CO849" i="1"/>
  <c r="CO850" i="1"/>
  <c r="CO852" i="1"/>
  <c r="CO854" i="1"/>
  <c r="CO855" i="1"/>
  <c r="CO856" i="1"/>
  <c r="CO857" i="1"/>
  <c r="CO859" i="1"/>
  <c r="CO860" i="1"/>
  <c r="CO862" i="1"/>
  <c r="CO863" i="1"/>
  <c r="CO864" i="1"/>
  <c r="CO865" i="1"/>
  <c r="CO866" i="1"/>
  <c r="CO867" i="1"/>
  <c r="CO868" i="1"/>
  <c r="CO869" i="1"/>
  <c r="CO870" i="1"/>
  <c r="CO872" i="1"/>
  <c r="CO873" i="1"/>
  <c r="CO874" i="1"/>
  <c r="CO875" i="1"/>
  <c r="CO876" i="1"/>
  <c r="CO877" i="1"/>
  <c r="CO878" i="1"/>
  <c r="CO879" i="1"/>
  <c r="CO880" i="1"/>
  <c r="CO881" i="1"/>
  <c r="CO884" i="1"/>
  <c r="CO886" i="1"/>
  <c r="CO887" i="1"/>
  <c r="CO888" i="1"/>
  <c r="CO889" i="1"/>
  <c r="CO890" i="1"/>
  <c r="CO891" i="1"/>
  <c r="CO892" i="1"/>
  <c r="CO893" i="1"/>
  <c r="CO894" i="1"/>
  <c r="CO895" i="1"/>
  <c r="Z897" i="1"/>
  <c r="CO897" i="1" s="1"/>
  <c r="CO898" i="1"/>
  <c r="CO899" i="1"/>
  <c r="CO900" i="1"/>
  <c r="CO901" i="1"/>
  <c r="CO902" i="1"/>
  <c r="CO904" i="1"/>
  <c r="CO905" i="1"/>
  <c r="CO906" i="1"/>
  <c r="CO908" i="1"/>
  <c r="CO909" i="1"/>
  <c r="CO910" i="1"/>
  <c r="CO911" i="1"/>
  <c r="CO912" i="1"/>
  <c r="CO913" i="1"/>
  <c r="CO915" i="1"/>
  <c r="CO916" i="1"/>
  <c r="CO917" i="1"/>
  <c r="CO918" i="1"/>
  <c r="CO919" i="1"/>
  <c r="CO921" i="1"/>
  <c r="CO922" i="1"/>
  <c r="CO923" i="1"/>
  <c r="CO924" i="1"/>
  <c r="CO925" i="1"/>
  <c r="CO927" i="1"/>
  <c r="CO928" i="1"/>
  <c r="CO929" i="1"/>
  <c r="CO930" i="1"/>
  <c r="CO931" i="1"/>
  <c r="CO932" i="1"/>
  <c r="CO933" i="1"/>
  <c r="CO935" i="1"/>
  <c r="CO936" i="1"/>
  <c r="CO937" i="1"/>
  <c r="CO938" i="1"/>
  <c r="CO939" i="1"/>
  <c r="CO940" i="1"/>
  <c r="CO941" i="1"/>
  <c r="CO943" i="1"/>
  <c r="CO944" i="1"/>
  <c r="CO945" i="1"/>
  <c r="CO947" i="1"/>
  <c r="CO948" i="1"/>
  <c r="CO950" i="1"/>
  <c r="CO951" i="1"/>
  <c r="CO952" i="1"/>
  <c r="CO953" i="1"/>
  <c r="CO954" i="1"/>
  <c r="CO955" i="1"/>
  <c r="CO956" i="1"/>
  <c r="CO957" i="1"/>
  <c r="CO958" i="1"/>
  <c r="CO960" i="1"/>
  <c r="CO961" i="1"/>
  <c r="CO962" i="1"/>
  <c r="CO963" i="1"/>
  <c r="CO964" i="1"/>
  <c r="CO965" i="1"/>
  <c r="CO966" i="1"/>
  <c r="CO967" i="1"/>
  <c r="CO969" i="1"/>
  <c r="CO970" i="1"/>
  <c r="CO971" i="1"/>
  <c r="CO972" i="1"/>
  <c r="CO973" i="1"/>
  <c r="CO974" i="1"/>
  <c r="CO975" i="1"/>
  <c r="Z977" i="1"/>
  <c r="CO977" i="1"/>
  <c r="CO978" i="1"/>
  <c r="CO979" i="1"/>
  <c r="CO980" i="1"/>
  <c r="CO981" i="1"/>
  <c r="Z983" i="1"/>
  <c r="CO983" i="1" s="1"/>
  <c r="CO985" i="1"/>
  <c r="CO986" i="1"/>
  <c r="CO987" i="1"/>
  <c r="Z989" i="1"/>
  <c r="CO989" i="1" s="1"/>
  <c r="CO990" i="1"/>
  <c r="CO991" i="1"/>
  <c r="CO992" i="1"/>
  <c r="CO993" i="1"/>
  <c r="CO994" i="1"/>
  <c r="CO996" i="1"/>
  <c r="CO997" i="1"/>
  <c r="CO998" i="1"/>
  <c r="CO999" i="1"/>
  <c r="CO1000" i="1"/>
  <c r="CO1001" i="1"/>
  <c r="CO1002" i="1"/>
  <c r="CO1003" i="1"/>
  <c r="CO1005" i="1"/>
  <c r="CO1006" i="1"/>
  <c r="CO1007" i="1"/>
  <c r="CO1008" i="1"/>
  <c r="CO1009" i="1"/>
  <c r="CO1010" i="1"/>
  <c r="CO1011" i="1"/>
  <c r="CO1013" i="1"/>
  <c r="CO1014" i="1"/>
  <c r="CO1015" i="1"/>
  <c r="CO1016" i="1"/>
  <c r="CO1017" i="1"/>
  <c r="CO1018" i="1"/>
  <c r="CO1019" i="1"/>
  <c r="CO1020" i="1"/>
  <c r="CO1021" i="1"/>
  <c r="CO1022" i="1"/>
  <c r="CO1023" i="1"/>
  <c r="CO1025" i="1"/>
  <c r="CO1026" i="1"/>
  <c r="CO1027" i="1"/>
  <c r="CO1028" i="1"/>
  <c r="CO1029" i="1"/>
  <c r="CO1030" i="1"/>
  <c r="CO1031" i="1"/>
  <c r="CO1032" i="1"/>
  <c r="CO1033" i="1"/>
  <c r="CO1035" i="1"/>
  <c r="CO1036" i="1"/>
  <c r="CO1037" i="1"/>
  <c r="CO1038" i="1"/>
  <c r="CO1039" i="1"/>
  <c r="CO1040" i="1"/>
  <c r="CO1041" i="1"/>
  <c r="CO1042" i="1"/>
  <c r="CO1043" i="1"/>
  <c r="CO1044" i="1"/>
  <c r="CO1046" i="1"/>
  <c r="CO1047" i="1"/>
  <c r="CO1048" i="1"/>
  <c r="CO1051" i="1"/>
  <c r="CO1053" i="1"/>
  <c r="CO1054" i="1"/>
  <c r="CO1055" i="1"/>
  <c r="CO1056" i="1"/>
  <c r="CO1057" i="1"/>
  <c r="Z1059" i="1"/>
  <c r="CO1059" i="1" s="1"/>
  <c r="CO1060" i="1"/>
  <c r="CO1061" i="1"/>
  <c r="CO1062" i="1"/>
  <c r="CO1063" i="1"/>
  <c r="CO1064" i="1"/>
  <c r="CO1066" i="1"/>
  <c r="CO1067" i="1"/>
  <c r="CO1068" i="1"/>
  <c r="CO1069" i="1"/>
  <c r="CO1070" i="1"/>
  <c r="CO1071" i="1"/>
  <c r="CO1072" i="1"/>
  <c r="CO1073" i="1"/>
  <c r="CO1075" i="1"/>
  <c r="CO1076" i="1"/>
  <c r="CO1077" i="1"/>
  <c r="CO1079" i="1"/>
  <c r="CO1080" i="1"/>
  <c r="CO1081" i="1"/>
  <c r="CO1082" i="1"/>
  <c r="CO1083" i="1"/>
  <c r="CO1084" i="1"/>
  <c r="CO1086" i="1"/>
  <c r="CO1087" i="1"/>
  <c r="CO1088" i="1"/>
  <c r="CO1089" i="1"/>
  <c r="CO1090" i="1"/>
  <c r="CO1091" i="1"/>
  <c r="CO1092" i="1"/>
  <c r="CO1093" i="1"/>
  <c r="CO1094" i="1"/>
  <c r="CO1096" i="1"/>
  <c r="CO1097" i="1"/>
  <c r="CO1098" i="1"/>
  <c r="CO1099" i="1"/>
  <c r="CO1100" i="1"/>
  <c r="CO1101" i="1"/>
  <c r="CO1102" i="1"/>
  <c r="CO1103" i="1"/>
  <c r="CO1104" i="1"/>
  <c r="CO1105" i="1"/>
  <c r="CO1106" i="1"/>
  <c r="Z1108" i="1"/>
  <c r="CO1108" i="1"/>
  <c r="CO1109" i="1"/>
  <c r="CO1110" i="1"/>
  <c r="CO1111" i="1"/>
  <c r="CO1112" i="1"/>
  <c r="CO1113" i="1"/>
  <c r="CO1115" i="1"/>
  <c r="CO1116" i="1"/>
  <c r="CO1117" i="1"/>
  <c r="CO1118" i="1"/>
  <c r="CO1120" i="1"/>
  <c r="CO1122" i="1"/>
  <c r="CO1123" i="1"/>
  <c r="CO1124" i="1"/>
  <c r="Z1126" i="1"/>
  <c r="CO1126" i="1" s="1"/>
  <c r="CO1127" i="1"/>
  <c r="CO1128" i="1"/>
  <c r="CO1129" i="1"/>
  <c r="CO1130" i="1"/>
  <c r="CO1132" i="1"/>
  <c r="CO1133" i="1"/>
  <c r="CO1135" i="1"/>
  <c r="CO1136" i="1"/>
  <c r="CO1137" i="1"/>
  <c r="CO1138" i="1"/>
  <c r="CO1139" i="1"/>
  <c r="CO1140" i="1"/>
  <c r="CO1142" i="1"/>
  <c r="CO1143" i="1"/>
  <c r="CO1144" i="1"/>
  <c r="CO1145" i="1"/>
  <c r="CO1146" i="1"/>
  <c r="CO1147" i="1"/>
  <c r="CO1148" i="1"/>
  <c r="CO1149" i="1"/>
  <c r="CO1150" i="1"/>
  <c r="CO1152" i="1"/>
  <c r="CO1153" i="1"/>
  <c r="CO1154" i="1"/>
  <c r="CO1155" i="1"/>
  <c r="CO1157" i="1"/>
  <c r="CO1158" i="1"/>
  <c r="CO1159" i="1"/>
  <c r="CO1160" i="1"/>
  <c r="CO1161" i="1"/>
  <c r="CO1162" i="1"/>
  <c r="CO1163" i="1"/>
  <c r="CO1164" i="1"/>
  <c r="CO1165" i="1"/>
  <c r="Z1167" i="1"/>
  <c r="CO1167" i="1"/>
  <c r="CO1168" i="1"/>
  <c r="CO1169" i="1"/>
  <c r="CO1170" i="1"/>
  <c r="CO1172" i="1"/>
  <c r="CO1173" i="1"/>
  <c r="CO1174" i="1"/>
  <c r="CO1175" i="1"/>
  <c r="CO1177" i="1"/>
  <c r="CO1178" i="1"/>
  <c r="CO1179" i="1"/>
  <c r="CO1180" i="1"/>
  <c r="CO1181" i="1"/>
  <c r="CO1182" i="1"/>
  <c r="CO1183" i="1"/>
  <c r="CO1185" i="1"/>
  <c r="CO1186" i="1"/>
  <c r="CO1187" i="1"/>
  <c r="CO1188" i="1"/>
  <c r="CO1189" i="1"/>
  <c r="CO1190" i="1"/>
  <c r="CO1192" i="1"/>
  <c r="CO1194" i="1"/>
  <c r="CO1195" i="1"/>
  <c r="CO1196" i="1"/>
  <c r="CO1199" i="1"/>
  <c r="CO1201" i="1"/>
  <c r="CO1202" i="1"/>
  <c r="CO1203" i="1"/>
  <c r="CO1204" i="1"/>
  <c r="CO1205" i="1"/>
  <c r="CO1206" i="1"/>
  <c r="CO1207" i="1"/>
  <c r="CO1209" i="1"/>
  <c r="CO1210" i="1"/>
  <c r="CO1211" i="1"/>
  <c r="CO1212" i="1"/>
  <c r="CO1213" i="1"/>
  <c r="CO1214" i="1"/>
  <c r="CO1215" i="1"/>
  <c r="CO1216" i="1"/>
  <c r="CO1217" i="1"/>
  <c r="CO1219" i="1"/>
  <c r="CO1220" i="1"/>
  <c r="CO1222" i="1"/>
  <c r="CO1223" i="1"/>
  <c r="CO1224" i="1"/>
  <c r="CO1225" i="1"/>
  <c r="CO1226" i="1"/>
  <c r="CO1227" i="1"/>
  <c r="CO1229" i="1"/>
  <c r="CO1230" i="1"/>
  <c r="CO1231" i="1"/>
  <c r="CO1232" i="1"/>
  <c r="CO1233" i="1"/>
  <c r="CO1234" i="1"/>
  <c r="CO1235" i="1"/>
  <c r="CO1236" i="1"/>
  <c r="CO1238" i="1"/>
  <c r="CO1240" i="1"/>
  <c r="CO1241" i="1"/>
  <c r="CO1242" i="1"/>
  <c r="Z1244" i="1"/>
  <c r="CO1244" i="1"/>
  <c r="CO1245" i="1"/>
  <c r="CO1246" i="1"/>
  <c r="CO1247" i="1"/>
  <c r="CO1248" i="1"/>
  <c r="CO1250" i="1"/>
  <c r="CO1251" i="1"/>
  <c r="CO1252" i="1"/>
  <c r="CO1253" i="1"/>
  <c r="CO1254" i="1"/>
  <c r="CO1255" i="1"/>
  <c r="CO1256" i="1"/>
  <c r="CO1257" i="1"/>
  <c r="CO1258" i="1"/>
  <c r="CO1259" i="1"/>
  <c r="CO1261" i="1"/>
  <c r="CO1262" i="1"/>
  <c r="CO1263" i="1"/>
  <c r="CO1265" i="1"/>
  <c r="CO1266" i="1"/>
  <c r="CO1267" i="1"/>
  <c r="CO1268" i="1"/>
  <c r="CO1272" i="1"/>
  <c r="Z1274" i="1"/>
  <c r="CO1274" i="1" s="1"/>
  <c r="CO1275" i="1"/>
  <c r="CO1276" i="1"/>
  <c r="CO1277" i="1"/>
  <c r="CO1278" i="1"/>
  <c r="CO1279" i="1"/>
  <c r="CO1280" i="1"/>
  <c r="Z1282" i="1"/>
  <c r="CO1282" i="1"/>
  <c r="CO1283" i="1"/>
  <c r="CO1284" i="1"/>
  <c r="CO1285" i="1"/>
  <c r="CO1286" i="1"/>
  <c r="CO1287" i="1"/>
  <c r="CO1288" i="1"/>
  <c r="CO1289" i="1"/>
  <c r="CO1291" i="1"/>
  <c r="CO1292" i="1"/>
  <c r="CO1293" i="1"/>
  <c r="CO1294" i="1"/>
  <c r="CO1295" i="1"/>
  <c r="CO1296" i="1"/>
  <c r="CO1297" i="1"/>
  <c r="CO1298" i="1"/>
  <c r="CO1299" i="1"/>
  <c r="CO1300" i="1"/>
  <c r="CO1301" i="1"/>
  <c r="CO1303" i="1"/>
  <c r="CO1304" i="1"/>
  <c r="CO1305" i="1"/>
  <c r="CO1306" i="1"/>
  <c r="CO1307" i="1"/>
  <c r="CO1308" i="1"/>
  <c r="CO1309" i="1"/>
  <c r="CO1310" i="1"/>
  <c r="CO1311" i="1"/>
  <c r="CO1312" i="1"/>
  <c r="CO1313" i="1"/>
  <c r="CP67" i="1"/>
  <c r="CP68" i="1"/>
  <c r="CP69" i="1"/>
  <c r="CP70" i="1"/>
  <c r="CP71" i="1"/>
  <c r="CP72" i="1"/>
  <c r="CP73" i="1"/>
  <c r="CP74" i="1"/>
  <c r="CP76" i="1"/>
  <c r="CP77" i="1"/>
  <c r="CP78" i="1"/>
  <c r="CP79" i="1"/>
  <c r="CP80" i="1"/>
  <c r="CP81" i="1"/>
  <c r="CP82" i="1"/>
  <c r="CP84" i="1"/>
  <c r="CP85" i="1"/>
  <c r="CP86" i="1"/>
  <c r="CP87" i="1"/>
  <c r="CP88" i="1"/>
  <c r="CP89" i="1"/>
  <c r="CP90" i="1"/>
  <c r="CP92" i="1"/>
  <c r="CP93" i="1"/>
  <c r="CP94" i="1"/>
  <c r="CP95" i="1"/>
  <c r="CP96" i="1"/>
  <c r="CP97" i="1"/>
  <c r="CP98" i="1"/>
  <c r="CP101" i="1"/>
  <c r="CP103" i="1"/>
  <c r="CP104" i="1"/>
  <c r="CP105" i="1"/>
  <c r="CP106" i="1"/>
  <c r="CP107" i="1"/>
  <c r="CP108" i="1"/>
  <c r="CP109" i="1"/>
  <c r="CP111" i="1"/>
  <c r="CP112" i="1"/>
  <c r="CP113" i="1"/>
  <c r="CP114" i="1"/>
  <c r="CP115" i="1"/>
  <c r="CP116" i="1"/>
  <c r="CP117" i="1"/>
  <c r="CP118" i="1"/>
  <c r="CP119" i="1"/>
  <c r="CP120" i="1"/>
  <c r="CP122" i="1"/>
  <c r="CP124" i="1"/>
  <c r="CP125" i="1"/>
  <c r="CP126" i="1"/>
  <c r="CP129" i="1"/>
  <c r="CP131" i="1"/>
  <c r="CP132" i="1"/>
  <c r="CP136" i="1"/>
  <c r="CP138" i="1"/>
  <c r="CP139" i="1"/>
  <c r="CP140" i="1"/>
  <c r="CP141" i="1"/>
  <c r="CP142" i="1"/>
  <c r="CP144" i="1"/>
  <c r="CP145" i="1"/>
  <c r="CP146" i="1"/>
  <c r="CP147" i="1"/>
  <c r="CP148" i="1"/>
  <c r="CP149" i="1"/>
  <c r="CP151" i="1"/>
  <c r="CP152" i="1"/>
  <c r="CP153" i="1"/>
  <c r="CP154" i="1"/>
  <c r="CP155" i="1"/>
  <c r="CP156" i="1"/>
  <c r="CP157" i="1"/>
  <c r="CP158" i="1"/>
  <c r="CP160" i="1"/>
  <c r="CP161" i="1"/>
  <c r="CP162" i="1"/>
  <c r="CP163" i="1"/>
  <c r="CP165" i="1"/>
  <c r="CP166" i="1"/>
  <c r="CP167" i="1"/>
  <c r="CP168" i="1"/>
  <c r="CP169" i="1"/>
  <c r="CP170" i="1"/>
  <c r="CP172" i="1"/>
  <c r="CP173" i="1"/>
  <c r="CP175" i="1"/>
  <c r="CP176" i="1"/>
  <c r="CP177" i="1"/>
  <c r="CP178" i="1"/>
  <c r="CP179" i="1"/>
  <c r="CP180" i="1"/>
  <c r="CP181" i="1"/>
  <c r="CP182" i="1"/>
  <c r="CP183" i="1"/>
  <c r="CP184" i="1"/>
  <c r="CP186" i="1"/>
  <c r="CP187" i="1"/>
  <c r="CP188" i="1"/>
  <c r="CP189" i="1"/>
  <c r="CP190" i="1"/>
  <c r="CP191" i="1"/>
  <c r="CP192" i="1"/>
  <c r="CP193" i="1"/>
  <c r="CP195" i="1"/>
  <c r="CP196" i="1"/>
  <c r="CP197" i="1"/>
  <c r="CP198" i="1"/>
  <c r="CP200" i="1"/>
  <c r="CP201" i="1"/>
  <c r="CP202" i="1"/>
  <c r="CP203" i="1"/>
  <c r="CP204" i="1"/>
  <c r="CP205" i="1"/>
  <c r="CP206" i="1"/>
  <c r="CP207" i="1"/>
  <c r="CP209" i="1"/>
  <c r="CP210" i="1"/>
  <c r="CP211" i="1"/>
  <c r="CP212" i="1"/>
  <c r="CP213" i="1"/>
  <c r="CP214" i="1"/>
  <c r="CP215" i="1"/>
  <c r="CP217" i="1"/>
  <c r="CP218" i="1"/>
  <c r="CP219" i="1"/>
  <c r="CP220" i="1"/>
  <c r="CP221" i="1"/>
  <c r="CP222" i="1"/>
  <c r="CP224" i="1"/>
  <c r="CP225" i="1"/>
  <c r="CP226" i="1"/>
  <c r="CP227" i="1"/>
  <c r="CP228" i="1"/>
  <c r="CP229" i="1"/>
  <c r="CP231" i="1"/>
  <c r="CP232" i="1"/>
  <c r="CP233" i="1"/>
  <c r="CP234" i="1"/>
  <c r="CP235" i="1"/>
  <c r="CP236" i="1"/>
  <c r="CP237" i="1"/>
  <c r="CP238" i="1"/>
  <c r="CP240" i="1"/>
  <c r="CP241" i="1"/>
  <c r="CP242" i="1"/>
  <c r="CP243" i="1"/>
  <c r="CP244" i="1"/>
  <c r="CP245" i="1"/>
  <c r="CP246" i="1"/>
  <c r="CP247" i="1"/>
  <c r="CP249" i="1"/>
  <c r="CP250" i="1"/>
  <c r="CP251" i="1"/>
  <c r="CP252" i="1"/>
  <c r="CP253" i="1"/>
  <c r="CP254" i="1"/>
  <c r="CP255" i="1"/>
  <c r="CP256" i="1"/>
  <c r="CP258" i="1"/>
  <c r="CP259" i="1"/>
  <c r="CP260" i="1"/>
  <c r="CP261" i="1"/>
  <c r="CP262" i="1"/>
  <c r="CP263" i="1"/>
  <c r="CP264" i="1"/>
  <c r="CP265" i="1"/>
  <c r="CP266" i="1"/>
  <c r="CP268" i="1"/>
  <c r="CP269" i="1"/>
  <c r="CP270" i="1"/>
  <c r="CP271" i="1"/>
  <c r="CP272" i="1"/>
  <c r="CP273" i="1"/>
  <c r="CP274" i="1"/>
  <c r="CP275" i="1"/>
  <c r="CP276" i="1"/>
  <c r="CP278" i="1"/>
  <c r="CP279" i="1"/>
  <c r="CP280" i="1"/>
  <c r="CP281" i="1"/>
  <c r="CP282" i="1"/>
  <c r="CP283" i="1"/>
  <c r="CP285" i="1"/>
  <c r="CP286" i="1"/>
  <c r="CP287" i="1"/>
  <c r="CP288" i="1"/>
  <c r="CP291" i="1"/>
  <c r="CP292" i="1"/>
  <c r="CP293" i="1"/>
  <c r="CP294" i="1"/>
  <c r="CP296" i="1"/>
  <c r="CP297" i="1"/>
  <c r="CP298" i="1"/>
  <c r="CP299" i="1"/>
  <c r="CP300" i="1"/>
  <c r="CP301" i="1"/>
  <c r="CP302" i="1"/>
  <c r="CP303" i="1"/>
  <c r="CP306" i="1"/>
  <c r="CP307" i="1"/>
  <c r="CP308" i="1"/>
  <c r="CP309" i="1"/>
  <c r="CP310" i="1"/>
  <c r="CP311" i="1"/>
  <c r="CP312" i="1"/>
  <c r="CP313" i="1"/>
  <c r="CP314" i="1"/>
  <c r="CP316" i="1"/>
  <c r="CP317" i="1"/>
  <c r="CP318" i="1"/>
  <c r="CP319" i="1"/>
  <c r="CP320" i="1"/>
  <c r="CP321" i="1"/>
  <c r="CP322" i="1"/>
  <c r="CP323" i="1"/>
  <c r="CP324" i="1"/>
  <c r="CP325" i="1"/>
  <c r="CP326" i="1"/>
  <c r="CP327" i="1"/>
  <c r="CP329" i="1"/>
  <c r="CP330" i="1"/>
  <c r="CP332" i="1"/>
  <c r="CP333" i="1"/>
  <c r="CP334" i="1"/>
  <c r="CP335" i="1"/>
  <c r="CP336" i="1"/>
  <c r="CP337" i="1"/>
  <c r="CP338" i="1"/>
  <c r="CP340" i="1"/>
  <c r="CP341" i="1"/>
  <c r="CP342" i="1"/>
  <c r="CP343" i="1"/>
  <c r="CP344" i="1"/>
  <c r="CP345" i="1"/>
  <c r="CP346" i="1"/>
  <c r="CP347" i="1"/>
  <c r="CP348" i="1"/>
  <c r="CP349" i="1"/>
  <c r="CP351" i="1"/>
  <c r="CP352" i="1"/>
  <c r="CP353" i="1"/>
  <c r="CP354" i="1"/>
  <c r="CP355" i="1"/>
  <c r="CP356" i="1"/>
  <c r="CP358" i="1"/>
  <c r="CP359" i="1"/>
  <c r="CP360" i="1"/>
  <c r="CP361" i="1"/>
  <c r="CP362" i="1"/>
  <c r="CP363" i="1"/>
  <c r="CP364" i="1"/>
  <c r="CP365" i="1"/>
  <c r="CP367" i="1"/>
  <c r="CP368" i="1"/>
  <c r="CP369" i="1"/>
  <c r="CP371" i="1"/>
  <c r="CP372" i="1"/>
  <c r="CP373" i="1"/>
  <c r="CP375" i="1"/>
  <c r="CP376" i="1"/>
  <c r="CP378" i="1"/>
  <c r="CP379" i="1"/>
  <c r="CP380" i="1"/>
  <c r="CP381" i="1"/>
  <c r="CP382" i="1"/>
  <c r="CP383" i="1"/>
  <c r="CP385" i="1"/>
  <c r="CP386" i="1"/>
  <c r="CP387" i="1"/>
  <c r="CP388" i="1"/>
  <c r="CP389" i="1"/>
  <c r="CP390" i="1"/>
  <c r="CP391" i="1"/>
  <c r="CP393" i="1"/>
  <c r="CP394" i="1"/>
  <c r="CP395" i="1"/>
  <c r="CP396" i="1"/>
  <c r="CP397" i="1"/>
  <c r="CP398" i="1"/>
  <c r="CP399" i="1"/>
  <c r="CP400" i="1"/>
  <c r="CP401" i="1"/>
  <c r="CP403" i="1"/>
  <c r="CP404" i="1"/>
  <c r="CP405" i="1"/>
  <c r="CP406" i="1"/>
  <c r="CP407" i="1"/>
  <c r="CP408" i="1"/>
  <c r="CP409" i="1"/>
  <c r="CP410" i="1"/>
  <c r="CP411" i="1"/>
  <c r="CP413" i="1"/>
  <c r="CP414" i="1"/>
  <c r="CP415" i="1"/>
  <c r="CP416" i="1"/>
  <c r="CP417" i="1"/>
  <c r="CP418" i="1"/>
  <c r="CP421" i="1"/>
  <c r="CP422" i="1"/>
  <c r="CP423" i="1"/>
  <c r="CP424" i="1"/>
  <c r="CP425" i="1"/>
  <c r="CP426" i="1"/>
  <c r="CP427" i="1"/>
  <c r="CP428" i="1"/>
  <c r="CP430" i="1"/>
  <c r="CP431" i="1"/>
  <c r="CP432" i="1"/>
  <c r="CP433" i="1"/>
  <c r="CP434" i="1"/>
  <c r="CP435" i="1"/>
  <c r="CP436" i="1"/>
  <c r="CP438" i="1"/>
  <c r="CP439" i="1"/>
  <c r="CP440" i="1"/>
  <c r="CP441" i="1"/>
  <c r="CP442" i="1"/>
  <c r="CP443" i="1"/>
  <c r="CP445" i="1"/>
  <c r="CP446" i="1"/>
  <c r="CP447" i="1"/>
  <c r="CP448" i="1"/>
  <c r="CP449" i="1"/>
  <c r="CP450" i="1"/>
  <c r="CP451" i="1"/>
  <c r="CP452" i="1"/>
  <c r="CP454" i="1"/>
  <c r="CP455" i="1"/>
  <c r="CP456" i="1"/>
  <c r="CP457" i="1"/>
  <c r="CP459" i="1"/>
  <c r="CP460" i="1"/>
  <c r="CP461" i="1"/>
  <c r="CP462" i="1"/>
  <c r="CP463" i="1"/>
  <c r="CP464" i="1"/>
  <c r="CP465" i="1"/>
  <c r="CP466" i="1"/>
  <c r="CP468" i="1"/>
  <c r="CP469" i="1"/>
  <c r="CP470" i="1"/>
  <c r="CP471" i="1"/>
  <c r="CP472" i="1"/>
  <c r="CP473" i="1"/>
  <c r="CP474" i="1"/>
  <c r="CP475" i="1"/>
  <c r="CP476" i="1"/>
  <c r="CP478" i="1"/>
  <c r="CP479" i="1"/>
  <c r="CP480" i="1"/>
  <c r="CP481" i="1"/>
  <c r="CP482" i="1"/>
  <c r="CP483" i="1"/>
  <c r="CP485" i="1"/>
  <c r="CP486" i="1"/>
  <c r="CP487" i="1"/>
  <c r="CP488" i="1"/>
  <c r="CP489" i="1"/>
  <c r="CP490" i="1"/>
  <c r="CP491" i="1"/>
  <c r="CP492" i="1"/>
  <c r="CP493" i="1"/>
  <c r="CP495" i="1"/>
  <c r="CP496" i="1"/>
  <c r="CP497" i="1"/>
  <c r="CP498" i="1"/>
  <c r="CP499" i="1"/>
  <c r="CP500" i="1"/>
  <c r="CP502" i="1"/>
  <c r="CP503" i="1"/>
  <c r="CP504" i="1"/>
  <c r="CP505" i="1"/>
  <c r="CP506" i="1"/>
  <c r="CP507" i="1"/>
  <c r="CP508" i="1"/>
  <c r="CP510" i="1"/>
  <c r="CP511" i="1"/>
  <c r="CP512" i="1"/>
  <c r="CP514" i="1"/>
  <c r="CP515" i="1"/>
  <c r="CP516" i="1"/>
  <c r="CP517" i="1"/>
  <c r="CP518" i="1"/>
  <c r="CP520" i="1"/>
  <c r="CP521" i="1"/>
  <c r="CP522" i="1"/>
  <c r="CP523" i="1"/>
  <c r="CP524" i="1"/>
  <c r="CP525" i="1"/>
  <c r="CP526" i="1"/>
  <c r="CP527" i="1"/>
  <c r="CP529" i="1"/>
  <c r="CP530" i="1"/>
  <c r="CP531" i="1"/>
  <c r="CP532" i="1"/>
  <c r="CP533" i="1"/>
  <c r="CP534" i="1"/>
  <c r="CP535" i="1"/>
  <c r="CP536" i="1"/>
  <c r="CP538" i="1"/>
  <c r="CP539" i="1"/>
  <c r="CP540" i="1"/>
  <c r="CP541" i="1"/>
  <c r="CP542" i="1"/>
  <c r="CP543" i="1"/>
  <c r="CP544" i="1"/>
  <c r="CP545" i="1"/>
  <c r="CP546" i="1"/>
  <c r="CP548" i="1"/>
  <c r="CP549" i="1"/>
  <c r="CP550" i="1"/>
  <c r="CP551" i="1"/>
  <c r="CP552" i="1"/>
  <c r="CP553" i="1"/>
  <c r="CP554" i="1"/>
  <c r="CP555" i="1"/>
  <c r="CP557" i="1"/>
  <c r="CP558" i="1"/>
  <c r="CP559" i="1"/>
  <c r="CP560" i="1"/>
  <c r="CP561" i="1"/>
  <c r="CP562" i="1"/>
  <c r="CP564" i="1"/>
  <c r="CP565" i="1"/>
  <c r="CP566" i="1"/>
  <c r="CP567" i="1"/>
  <c r="CP569" i="1"/>
  <c r="CP570" i="1"/>
  <c r="CP572" i="1"/>
  <c r="CP573" i="1"/>
  <c r="CP574" i="1"/>
  <c r="CP576" i="1"/>
  <c r="CP577" i="1"/>
  <c r="CP578" i="1"/>
  <c r="CP579" i="1"/>
  <c r="CP580" i="1"/>
  <c r="CP581" i="1"/>
  <c r="CP583" i="1"/>
  <c r="CP584" i="1"/>
  <c r="CP586" i="1"/>
  <c r="CP587" i="1"/>
  <c r="CP588" i="1"/>
  <c r="CP590" i="1"/>
  <c r="CP591" i="1"/>
  <c r="CP592" i="1"/>
  <c r="CP593" i="1"/>
  <c r="CP594" i="1"/>
  <c r="CP595" i="1"/>
  <c r="CP596" i="1"/>
  <c r="CP597" i="1"/>
  <c r="CP598" i="1"/>
  <c r="CP600" i="1"/>
  <c r="CP601" i="1"/>
  <c r="CP603" i="1"/>
  <c r="CP604" i="1"/>
  <c r="CP605" i="1"/>
  <c r="CP607" i="1"/>
  <c r="CP608" i="1"/>
  <c r="CP609" i="1"/>
  <c r="CP610" i="1"/>
  <c r="CP611" i="1"/>
  <c r="CP612" i="1"/>
  <c r="CP614" i="1"/>
  <c r="CP615" i="1"/>
  <c r="CP617" i="1"/>
  <c r="CP618" i="1"/>
  <c r="CP619" i="1"/>
  <c r="CP620" i="1"/>
  <c r="CP622" i="1"/>
  <c r="CP623" i="1"/>
  <c r="CP624" i="1"/>
  <c r="CP625" i="1"/>
  <c r="CP626" i="1"/>
  <c r="CP628" i="1"/>
  <c r="CP629" i="1"/>
  <c r="CP630" i="1"/>
  <c r="CP631" i="1"/>
  <c r="CP632" i="1"/>
  <c r="CP633" i="1"/>
  <c r="CP634" i="1"/>
  <c r="CP637" i="1"/>
  <c r="CP638" i="1"/>
  <c r="CP639" i="1"/>
  <c r="CP641" i="1"/>
  <c r="CP643" i="1"/>
  <c r="CP644" i="1"/>
  <c r="CP645" i="1"/>
  <c r="CP647" i="1"/>
  <c r="CP648" i="1"/>
  <c r="CP649" i="1"/>
  <c r="CP650" i="1"/>
  <c r="CP651" i="1"/>
  <c r="CP652" i="1"/>
  <c r="CP654" i="1"/>
  <c r="CP655" i="1"/>
  <c r="CP656" i="1"/>
  <c r="CP657" i="1"/>
  <c r="CP658" i="1"/>
  <c r="CP659" i="1"/>
  <c r="CP660" i="1"/>
  <c r="CP662" i="1"/>
  <c r="CP663" i="1"/>
  <c r="CP665" i="1"/>
  <c r="CP666" i="1"/>
  <c r="CP667" i="1"/>
  <c r="CP669" i="1"/>
  <c r="CP670" i="1"/>
  <c r="CP671" i="1"/>
  <c r="CP672" i="1"/>
  <c r="CP674" i="1"/>
  <c r="CP675" i="1"/>
  <c r="CP676" i="1"/>
  <c r="CP677" i="1"/>
  <c r="CP678" i="1"/>
  <c r="CP679" i="1"/>
  <c r="CP681" i="1"/>
  <c r="CP682" i="1"/>
  <c r="CP683" i="1"/>
  <c r="CP684" i="1"/>
  <c r="CP685" i="1"/>
  <c r="CP686" i="1"/>
  <c r="CP687" i="1"/>
  <c r="CP688" i="1"/>
  <c r="CP689" i="1"/>
  <c r="CP690" i="1"/>
  <c r="CP691" i="1"/>
  <c r="CP693" i="1"/>
  <c r="CP694" i="1"/>
  <c r="CP695" i="1"/>
  <c r="CP696" i="1"/>
  <c r="CP698" i="1"/>
  <c r="CP699" i="1"/>
  <c r="CP702" i="1"/>
  <c r="CP703" i="1"/>
  <c r="CP704" i="1"/>
  <c r="CP706" i="1"/>
  <c r="CP707" i="1"/>
  <c r="CP708" i="1"/>
  <c r="CP709" i="1"/>
  <c r="CP711" i="1"/>
  <c r="CP712" i="1"/>
  <c r="CP713" i="1"/>
  <c r="CP714" i="1"/>
  <c r="CP715" i="1"/>
  <c r="CP716" i="1"/>
  <c r="CP717" i="1"/>
  <c r="CP718" i="1"/>
  <c r="CP720" i="1"/>
  <c r="CP721" i="1"/>
  <c r="CP723" i="1"/>
  <c r="CP724" i="1"/>
  <c r="CP725" i="1"/>
  <c r="CP726" i="1"/>
  <c r="CP729" i="1"/>
  <c r="CP731" i="1"/>
  <c r="CP732" i="1"/>
  <c r="CP733" i="1"/>
  <c r="CP734" i="1"/>
  <c r="CP735" i="1"/>
  <c r="CP736" i="1"/>
  <c r="CP738" i="1"/>
  <c r="CP739" i="1"/>
  <c r="CP740" i="1"/>
  <c r="CP741" i="1"/>
  <c r="CP742" i="1"/>
  <c r="CP743" i="1"/>
  <c r="CP744" i="1"/>
  <c r="CP745" i="1"/>
  <c r="CP748" i="1"/>
  <c r="CP750" i="1"/>
  <c r="CP751" i="1"/>
  <c r="CP752" i="1"/>
  <c r="CP753" i="1"/>
  <c r="CP754" i="1"/>
  <c r="CP755" i="1"/>
  <c r="CP756" i="1"/>
  <c r="CP758" i="1"/>
  <c r="CP760" i="1"/>
  <c r="CP761" i="1"/>
  <c r="CP763" i="1"/>
  <c r="CP764" i="1"/>
  <c r="CP766" i="1"/>
  <c r="CP767" i="1"/>
  <c r="CP768" i="1"/>
  <c r="CP769" i="1"/>
  <c r="CP774" i="1"/>
  <c r="CP775" i="1"/>
  <c r="CP777" i="1"/>
  <c r="CP778" i="1"/>
  <c r="CP779" i="1"/>
  <c r="CP780" i="1"/>
  <c r="CP782" i="1"/>
  <c r="CP783" i="1"/>
  <c r="CP784" i="1"/>
  <c r="CP785" i="1"/>
  <c r="CP786" i="1"/>
  <c r="CP787" i="1"/>
  <c r="CP789" i="1"/>
  <c r="CP790" i="1"/>
  <c r="CP791" i="1"/>
  <c r="CP793" i="1"/>
  <c r="CP794" i="1"/>
  <c r="CP795" i="1"/>
  <c r="CP796" i="1"/>
  <c r="CP797" i="1"/>
  <c r="CP798" i="1"/>
  <c r="CP800" i="1"/>
  <c r="CP801" i="1"/>
  <c r="CP802" i="1"/>
  <c r="CP803" i="1"/>
  <c r="CP804" i="1"/>
  <c r="CP805" i="1"/>
  <c r="CP806" i="1"/>
  <c r="CP807" i="1"/>
  <c r="CP808" i="1"/>
  <c r="CP810" i="1"/>
  <c r="CP811" i="1"/>
  <c r="CP812" i="1"/>
  <c r="CP813" i="1"/>
  <c r="CP814" i="1"/>
  <c r="CP815" i="1"/>
  <c r="CP816" i="1"/>
  <c r="CP818" i="1"/>
  <c r="CP819" i="1"/>
  <c r="CP820" i="1"/>
  <c r="CP822" i="1"/>
  <c r="CP823" i="1"/>
  <c r="CP824" i="1"/>
  <c r="CP825" i="1"/>
  <c r="CP826" i="1"/>
  <c r="CP827" i="1"/>
  <c r="CP829" i="1"/>
  <c r="CP830" i="1"/>
  <c r="CP831" i="1"/>
  <c r="CP832" i="1"/>
  <c r="CP834" i="1"/>
  <c r="CP835" i="1"/>
  <c r="CP836" i="1"/>
  <c r="CP838" i="1"/>
  <c r="CP839" i="1"/>
  <c r="CP840" i="1"/>
  <c r="CP841" i="1"/>
  <c r="CP842" i="1"/>
  <c r="CP843" i="1"/>
  <c r="CP845" i="1"/>
  <c r="CP846" i="1"/>
  <c r="CP847" i="1"/>
  <c r="CP848" i="1"/>
  <c r="CP849" i="1"/>
  <c r="CP850" i="1"/>
  <c r="CP852" i="1"/>
  <c r="CP854" i="1"/>
  <c r="CP855" i="1"/>
  <c r="CP856" i="1"/>
  <c r="CP857" i="1"/>
  <c r="CP859" i="1"/>
  <c r="CP860" i="1"/>
  <c r="CP862" i="1"/>
  <c r="CP863" i="1"/>
  <c r="CP864" i="1"/>
  <c r="CP865" i="1"/>
  <c r="CP866" i="1"/>
  <c r="CP867" i="1"/>
  <c r="CP868" i="1"/>
  <c r="CP869" i="1"/>
  <c r="CP870" i="1"/>
  <c r="CP872" i="1"/>
  <c r="CP873" i="1"/>
  <c r="CP874" i="1"/>
  <c r="CP875" i="1"/>
  <c r="CP876" i="1"/>
  <c r="CP877" i="1"/>
  <c r="CP878" i="1"/>
  <c r="CP879" i="1"/>
  <c r="CP880" i="1"/>
  <c r="CP881" i="1"/>
  <c r="CP884" i="1"/>
  <c r="CP886" i="1"/>
  <c r="CP887" i="1"/>
  <c r="CP888" i="1"/>
  <c r="CP889" i="1"/>
  <c r="CP890" i="1"/>
  <c r="CP891" i="1"/>
  <c r="CP892" i="1"/>
  <c r="CP893" i="1"/>
  <c r="CP894" i="1"/>
  <c r="CP895" i="1"/>
  <c r="CP897" i="1"/>
  <c r="CP898" i="1"/>
  <c r="CP899" i="1"/>
  <c r="CP900" i="1"/>
  <c r="CP901" i="1"/>
  <c r="CP902" i="1"/>
  <c r="CP904" i="1"/>
  <c r="CP905" i="1"/>
  <c r="CP906" i="1"/>
  <c r="CP908" i="1"/>
  <c r="CP909" i="1"/>
  <c r="CP910" i="1"/>
  <c r="CP911" i="1"/>
  <c r="CP912" i="1"/>
  <c r="CP913" i="1"/>
  <c r="CP915" i="1"/>
  <c r="CP916" i="1"/>
  <c r="CP917" i="1"/>
  <c r="CP918" i="1"/>
  <c r="CP919" i="1"/>
  <c r="CP921" i="1"/>
  <c r="CP922" i="1"/>
  <c r="CP923" i="1"/>
  <c r="CP924" i="1"/>
  <c r="CP925" i="1"/>
  <c r="CP927" i="1"/>
  <c r="CP928" i="1"/>
  <c r="CP929" i="1"/>
  <c r="CP930" i="1"/>
  <c r="CP931" i="1"/>
  <c r="CP932" i="1"/>
  <c r="CP933" i="1"/>
  <c r="CP935" i="1"/>
  <c r="CP936" i="1"/>
  <c r="CP937" i="1"/>
  <c r="CP938" i="1"/>
  <c r="CP939" i="1"/>
  <c r="CP940" i="1"/>
  <c r="CP941" i="1"/>
  <c r="CP943" i="1"/>
  <c r="CP944" i="1"/>
  <c r="CP945" i="1"/>
  <c r="CP947" i="1"/>
  <c r="CP948" i="1"/>
  <c r="CP950" i="1"/>
  <c r="CP951" i="1"/>
  <c r="CP952" i="1"/>
  <c r="CP953" i="1"/>
  <c r="CP954" i="1"/>
  <c r="CP955" i="1"/>
  <c r="CP956" i="1"/>
  <c r="CP957" i="1"/>
  <c r="CP958" i="1"/>
  <c r="CP960" i="1"/>
  <c r="CP961" i="1"/>
  <c r="CP962" i="1"/>
  <c r="CP963" i="1"/>
  <c r="CP964" i="1"/>
  <c r="CP965" i="1"/>
  <c r="CP966" i="1"/>
  <c r="CP967" i="1"/>
  <c r="CP969" i="1"/>
  <c r="CP970" i="1"/>
  <c r="CP971" i="1"/>
  <c r="CP972" i="1"/>
  <c r="CP973" i="1"/>
  <c r="CP974" i="1"/>
  <c r="CP975" i="1"/>
  <c r="CP977" i="1"/>
  <c r="CP978" i="1"/>
  <c r="CP979" i="1"/>
  <c r="CP980" i="1"/>
  <c r="CP981" i="1"/>
  <c r="CP983" i="1"/>
  <c r="CP985" i="1"/>
  <c r="CP986" i="1"/>
  <c r="CP987" i="1"/>
  <c r="CP989" i="1"/>
  <c r="CP990" i="1"/>
  <c r="CP991" i="1"/>
  <c r="CP992" i="1"/>
  <c r="CP993" i="1"/>
  <c r="CP994" i="1"/>
  <c r="CP996" i="1"/>
  <c r="CP997" i="1"/>
  <c r="CP998" i="1"/>
  <c r="CP999" i="1"/>
  <c r="CP1000" i="1"/>
  <c r="CP1001" i="1"/>
  <c r="CP1002" i="1"/>
  <c r="CP1003" i="1"/>
  <c r="CP1005" i="1"/>
  <c r="CP1006" i="1"/>
  <c r="CP1007" i="1"/>
  <c r="CP1008" i="1"/>
  <c r="CP1009" i="1"/>
  <c r="CP1010" i="1"/>
  <c r="CP1011" i="1"/>
  <c r="CP1013" i="1"/>
  <c r="CP1014" i="1"/>
  <c r="CP1015" i="1"/>
  <c r="CP1016" i="1"/>
  <c r="CP1017" i="1"/>
  <c r="CP1018" i="1"/>
  <c r="CP1019" i="1"/>
  <c r="CP1020" i="1"/>
  <c r="CP1021" i="1"/>
  <c r="CP1022" i="1"/>
  <c r="CP1023" i="1"/>
  <c r="CP1025" i="1"/>
  <c r="CP1026" i="1"/>
  <c r="CP1027" i="1"/>
  <c r="CP1028" i="1"/>
  <c r="CP1029" i="1"/>
  <c r="CP1030" i="1"/>
  <c r="CP1031" i="1"/>
  <c r="CP1032" i="1"/>
  <c r="CP1033" i="1"/>
  <c r="CP1035" i="1"/>
  <c r="CP1036" i="1"/>
  <c r="CP1037" i="1"/>
  <c r="CP1038" i="1"/>
  <c r="CP1039" i="1"/>
  <c r="CP1040" i="1"/>
  <c r="CP1041" i="1"/>
  <c r="CP1042" i="1"/>
  <c r="CP1043" i="1"/>
  <c r="CP1044" i="1"/>
  <c r="CP1046" i="1"/>
  <c r="CP1047" i="1"/>
  <c r="CP1048" i="1"/>
  <c r="CP1051" i="1"/>
  <c r="CP1053" i="1"/>
  <c r="CP1054" i="1"/>
  <c r="CP1055" i="1"/>
  <c r="CP1056" i="1"/>
  <c r="CP1057" i="1"/>
  <c r="CP1059" i="1"/>
  <c r="CP1060" i="1"/>
  <c r="CP1061" i="1"/>
  <c r="CP1062" i="1"/>
  <c r="CP1063" i="1"/>
  <c r="CP1064" i="1"/>
  <c r="CP1066" i="1"/>
  <c r="CP1067" i="1"/>
  <c r="CP1068" i="1"/>
  <c r="CP1069" i="1"/>
  <c r="CP1070" i="1"/>
  <c r="CP1071" i="1"/>
  <c r="CP1072" i="1"/>
  <c r="CP1073" i="1"/>
  <c r="CP1075" i="1"/>
  <c r="CP1076" i="1"/>
  <c r="CP1077" i="1"/>
  <c r="CP1079" i="1"/>
  <c r="CP1080" i="1"/>
  <c r="CP1081" i="1"/>
  <c r="CP1082" i="1"/>
  <c r="CP1083" i="1"/>
  <c r="CP1084" i="1"/>
  <c r="CP1086" i="1"/>
  <c r="CP1087" i="1"/>
  <c r="CP1088" i="1"/>
  <c r="CP1089" i="1"/>
  <c r="CP1090" i="1"/>
  <c r="CP1091" i="1"/>
  <c r="CP1092" i="1"/>
  <c r="CP1093" i="1"/>
  <c r="CP1094" i="1"/>
  <c r="CP1096" i="1"/>
  <c r="CP1097" i="1"/>
  <c r="CP1098" i="1"/>
  <c r="CP1099" i="1"/>
  <c r="CP1100" i="1"/>
  <c r="CP1101" i="1"/>
  <c r="CP1102" i="1"/>
  <c r="CP1103" i="1"/>
  <c r="CP1104" i="1"/>
  <c r="CP1105" i="1"/>
  <c r="CP1106" i="1"/>
  <c r="CP1108" i="1"/>
  <c r="CP1109" i="1"/>
  <c r="CP1110" i="1"/>
  <c r="CP1111" i="1"/>
  <c r="CP1112" i="1"/>
  <c r="CP1113" i="1"/>
  <c r="CP1115" i="1"/>
  <c r="CP1116" i="1"/>
  <c r="CP1117" i="1"/>
  <c r="CP1118" i="1"/>
  <c r="CP1120" i="1"/>
  <c r="CP1122" i="1"/>
  <c r="CP1123" i="1"/>
  <c r="CP1124" i="1"/>
  <c r="CP1126" i="1"/>
  <c r="CP1127" i="1"/>
  <c r="CP1128" i="1"/>
  <c r="CP1129" i="1"/>
  <c r="CP1130" i="1"/>
  <c r="CP1132" i="1"/>
  <c r="CP1133" i="1"/>
  <c r="CP1135" i="1"/>
  <c r="CP1136" i="1"/>
  <c r="CP1137" i="1"/>
  <c r="CP1138" i="1"/>
  <c r="CP1139" i="1"/>
  <c r="CP1140" i="1"/>
  <c r="CP1142" i="1"/>
  <c r="CP1143" i="1"/>
  <c r="CP1144" i="1"/>
  <c r="CP1145" i="1"/>
  <c r="CP1146" i="1"/>
  <c r="CP1147" i="1"/>
  <c r="CP1148" i="1"/>
  <c r="CP1149" i="1"/>
  <c r="CP1150" i="1"/>
  <c r="CP1152" i="1"/>
  <c r="CP1153" i="1"/>
  <c r="CP1154" i="1"/>
  <c r="CP1155" i="1"/>
  <c r="CP1157" i="1"/>
  <c r="CP1158" i="1"/>
  <c r="CP1159" i="1"/>
  <c r="CP1160" i="1"/>
  <c r="CP1161" i="1"/>
  <c r="CP1162" i="1"/>
  <c r="CP1163" i="1"/>
  <c r="CP1164" i="1"/>
  <c r="CP1165" i="1"/>
  <c r="CP1167" i="1"/>
  <c r="CP1168" i="1"/>
  <c r="CP1169" i="1"/>
  <c r="CP1170" i="1"/>
  <c r="CP1172" i="1"/>
  <c r="CP1173" i="1"/>
  <c r="CP1174" i="1"/>
  <c r="CP1175" i="1"/>
  <c r="CP1177" i="1"/>
  <c r="CP1178" i="1"/>
  <c r="CP1179" i="1"/>
  <c r="CP1180" i="1"/>
  <c r="CP1181" i="1"/>
  <c r="CP1182" i="1"/>
  <c r="CP1183" i="1"/>
  <c r="CP1185" i="1"/>
  <c r="CP1186" i="1"/>
  <c r="CP1187" i="1"/>
  <c r="CP1188" i="1"/>
  <c r="CP1189" i="1"/>
  <c r="CP1190" i="1"/>
  <c r="CP1192" i="1"/>
  <c r="CP1194" i="1"/>
  <c r="CP1195" i="1"/>
  <c r="CP1196" i="1"/>
  <c r="CP1199" i="1"/>
  <c r="CP1201" i="1"/>
  <c r="CP1202" i="1"/>
  <c r="CP1203" i="1"/>
  <c r="CP1204" i="1"/>
  <c r="CP1205" i="1"/>
  <c r="CP1206" i="1"/>
  <c r="CP1207" i="1"/>
  <c r="CP1209" i="1"/>
  <c r="CP1210" i="1"/>
  <c r="CP1211" i="1"/>
  <c r="CP1212" i="1"/>
  <c r="CP1213" i="1"/>
  <c r="CP1214" i="1"/>
  <c r="CP1215" i="1"/>
  <c r="CP1216" i="1"/>
  <c r="CP1217" i="1"/>
  <c r="CP1219" i="1"/>
  <c r="CP1220" i="1"/>
  <c r="CP1222" i="1"/>
  <c r="CP1223" i="1"/>
  <c r="CP1224" i="1"/>
  <c r="CP1225" i="1"/>
  <c r="CP1226" i="1"/>
  <c r="CP1227" i="1"/>
  <c r="CP1229" i="1"/>
  <c r="CP1230" i="1"/>
  <c r="CP1231" i="1"/>
  <c r="CP1232" i="1"/>
  <c r="CP1233" i="1"/>
  <c r="CP1234" i="1"/>
  <c r="CP1235" i="1"/>
  <c r="CP1236" i="1"/>
  <c r="CP1238" i="1"/>
  <c r="CP1240" i="1"/>
  <c r="CP1241" i="1"/>
  <c r="CP1242" i="1"/>
  <c r="CP1244" i="1"/>
  <c r="CP1245" i="1"/>
  <c r="CP1246" i="1"/>
  <c r="CP1247" i="1"/>
  <c r="CP1248" i="1"/>
  <c r="CP1250" i="1"/>
  <c r="CP1251" i="1"/>
  <c r="CP1252" i="1"/>
  <c r="CP1253" i="1"/>
  <c r="CP1254" i="1"/>
  <c r="CP1255" i="1"/>
  <c r="CP1256" i="1"/>
  <c r="CP1257" i="1"/>
  <c r="CP1258" i="1"/>
  <c r="CP1259" i="1"/>
  <c r="CP1261" i="1"/>
  <c r="CP1262" i="1"/>
  <c r="CP1263" i="1"/>
  <c r="CP1265" i="1"/>
  <c r="CP1266" i="1"/>
  <c r="CP1267" i="1"/>
  <c r="CP1268" i="1"/>
  <c r="CP1272" i="1"/>
  <c r="CP1274" i="1"/>
  <c r="CP1275" i="1"/>
  <c r="CP1276" i="1"/>
  <c r="CP1277" i="1"/>
  <c r="CP1278" i="1"/>
  <c r="CP1279" i="1"/>
  <c r="CP1280" i="1"/>
  <c r="CP1282" i="1"/>
  <c r="CP1283" i="1"/>
  <c r="CP1284" i="1"/>
  <c r="CP1285" i="1"/>
  <c r="CP1286" i="1"/>
  <c r="CP1287" i="1"/>
  <c r="CP1288" i="1"/>
  <c r="CP1289" i="1"/>
  <c r="CP1291" i="1"/>
  <c r="CP1292" i="1"/>
  <c r="CP1293" i="1"/>
  <c r="CP1294" i="1"/>
  <c r="CP1295" i="1"/>
  <c r="CP1296" i="1"/>
  <c r="CP1297" i="1"/>
  <c r="CP1298" i="1"/>
  <c r="CP1299" i="1"/>
  <c r="CP1300" i="1"/>
  <c r="CP1301" i="1"/>
  <c r="CP1303" i="1"/>
  <c r="CP1304" i="1"/>
  <c r="CP1305" i="1"/>
  <c r="CP1306" i="1"/>
  <c r="CP1307" i="1"/>
  <c r="CP1308" i="1"/>
  <c r="CP1309" i="1"/>
  <c r="CP1310" i="1"/>
  <c r="CP1311" i="1"/>
  <c r="CP1312" i="1"/>
  <c r="CP1313" i="1"/>
  <c r="CQ67" i="1"/>
  <c r="CQ68" i="1"/>
  <c r="CQ69" i="1"/>
  <c r="CQ70" i="1"/>
  <c r="CQ71" i="1"/>
  <c r="CQ72" i="1"/>
  <c r="CQ73" i="1"/>
  <c r="CQ74" i="1"/>
  <c r="CQ76" i="1"/>
  <c r="CQ77" i="1"/>
  <c r="CQ78" i="1"/>
  <c r="CQ79" i="1"/>
  <c r="CQ80" i="1"/>
  <c r="CQ81" i="1"/>
  <c r="CQ82" i="1"/>
  <c r="CQ84" i="1"/>
  <c r="CQ85" i="1"/>
  <c r="CQ86" i="1"/>
  <c r="CQ87" i="1"/>
  <c r="CQ88" i="1"/>
  <c r="CQ89" i="1"/>
  <c r="CQ90" i="1"/>
  <c r="CQ92" i="1"/>
  <c r="CQ93" i="1"/>
  <c r="CQ94" i="1"/>
  <c r="CQ95" i="1"/>
  <c r="CQ96" i="1"/>
  <c r="CQ97" i="1"/>
  <c r="CQ98" i="1"/>
  <c r="CQ101" i="1"/>
  <c r="CQ103" i="1"/>
  <c r="CQ104" i="1"/>
  <c r="CQ105" i="1"/>
  <c r="CQ106" i="1"/>
  <c r="CQ107" i="1"/>
  <c r="CQ108" i="1"/>
  <c r="CQ109" i="1"/>
  <c r="CQ112" i="1"/>
  <c r="CQ113" i="1"/>
  <c r="CQ114" i="1"/>
  <c r="CQ115" i="1"/>
  <c r="CQ116" i="1"/>
  <c r="CQ117" i="1"/>
  <c r="CQ118" i="1"/>
  <c r="CQ119" i="1"/>
  <c r="CQ120" i="1"/>
  <c r="CQ122" i="1"/>
  <c r="CQ124" i="1"/>
  <c r="CQ125" i="1"/>
  <c r="CQ126" i="1"/>
  <c r="CQ129" i="1"/>
  <c r="CQ131" i="1"/>
  <c r="CQ132" i="1"/>
  <c r="CQ136" i="1"/>
  <c r="CQ138" i="1"/>
  <c r="CQ139" i="1"/>
  <c r="CQ140" i="1"/>
  <c r="CQ141" i="1"/>
  <c r="CQ142" i="1"/>
  <c r="CQ144" i="1"/>
  <c r="CQ145" i="1"/>
  <c r="CQ146" i="1"/>
  <c r="CQ147" i="1"/>
  <c r="CQ148" i="1"/>
  <c r="CQ149" i="1"/>
  <c r="CQ151" i="1"/>
  <c r="CQ152" i="1"/>
  <c r="CQ153" i="1"/>
  <c r="CQ154" i="1"/>
  <c r="CQ155" i="1"/>
  <c r="CQ156" i="1"/>
  <c r="CQ157" i="1"/>
  <c r="CQ158" i="1"/>
  <c r="CQ160" i="1"/>
  <c r="CQ161" i="1"/>
  <c r="CQ162" i="1"/>
  <c r="CQ163" i="1"/>
  <c r="CQ165" i="1"/>
  <c r="CQ166" i="1"/>
  <c r="CQ167" i="1"/>
  <c r="CQ168" i="1"/>
  <c r="CQ169" i="1"/>
  <c r="CQ170" i="1"/>
  <c r="CQ172" i="1"/>
  <c r="CQ173" i="1"/>
  <c r="CQ175" i="1"/>
  <c r="CQ176" i="1"/>
  <c r="CQ177" i="1"/>
  <c r="CQ178" i="1"/>
  <c r="CQ179" i="1"/>
  <c r="CQ180" i="1"/>
  <c r="CQ181" i="1"/>
  <c r="CQ182" i="1"/>
  <c r="CQ183" i="1"/>
  <c r="CQ184" i="1"/>
  <c r="CQ186" i="1"/>
  <c r="CQ187" i="1"/>
  <c r="CQ188" i="1"/>
  <c r="CQ189" i="1"/>
  <c r="CQ190" i="1"/>
  <c r="CQ191" i="1"/>
  <c r="CQ192" i="1"/>
  <c r="CQ193" i="1"/>
  <c r="CQ195" i="1"/>
  <c r="CQ196" i="1"/>
  <c r="CQ197" i="1"/>
  <c r="CQ198" i="1"/>
  <c r="CQ200" i="1"/>
  <c r="CQ201" i="1"/>
  <c r="CQ202" i="1"/>
  <c r="CQ203" i="1"/>
  <c r="CQ204" i="1"/>
  <c r="CQ205" i="1"/>
  <c r="CQ206" i="1"/>
  <c r="CQ207" i="1"/>
  <c r="CQ209" i="1"/>
  <c r="CQ210" i="1"/>
  <c r="CQ211" i="1"/>
  <c r="CQ212" i="1"/>
  <c r="CQ213" i="1"/>
  <c r="CQ214" i="1"/>
  <c r="CQ215" i="1"/>
  <c r="CQ217" i="1"/>
  <c r="CQ218" i="1"/>
  <c r="CQ219" i="1"/>
  <c r="CQ220" i="1"/>
  <c r="CQ221" i="1"/>
  <c r="CQ222" i="1"/>
  <c r="CQ224" i="1"/>
  <c r="CQ225" i="1"/>
  <c r="CQ226" i="1"/>
  <c r="CQ227" i="1"/>
  <c r="CQ228" i="1"/>
  <c r="CQ229" i="1"/>
  <c r="CQ231" i="1"/>
  <c r="CQ232" i="1"/>
  <c r="CQ233" i="1"/>
  <c r="CQ234" i="1"/>
  <c r="CQ235" i="1"/>
  <c r="CQ236" i="1"/>
  <c r="CQ237" i="1"/>
  <c r="CQ238" i="1"/>
  <c r="CQ240" i="1"/>
  <c r="CQ241" i="1"/>
  <c r="CQ242" i="1"/>
  <c r="CQ243" i="1"/>
  <c r="CQ244" i="1"/>
  <c r="CQ245" i="1"/>
  <c r="CQ246" i="1"/>
  <c r="CQ247" i="1"/>
  <c r="CQ249" i="1"/>
  <c r="CQ250" i="1"/>
  <c r="CQ251" i="1"/>
  <c r="CQ252" i="1"/>
  <c r="CQ253" i="1"/>
  <c r="CQ254" i="1"/>
  <c r="CQ255" i="1"/>
  <c r="CQ256" i="1"/>
  <c r="CQ258" i="1"/>
  <c r="CQ259" i="1"/>
  <c r="CQ260" i="1"/>
  <c r="CQ261" i="1"/>
  <c r="CQ262" i="1"/>
  <c r="CQ263" i="1"/>
  <c r="CQ264" i="1"/>
  <c r="CQ265" i="1"/>
  <c r="CQ266" i="1"/>
  <c r="CQ268" i="1"/>
  <c r="CQ269" i="1"/>
  <c r="CQ270" i="1"/>
  <c r="CQ271" i="1"/>
  <c r="CQ272" i="1"/>
  <c r="CQ273" i="1"/>
  <c r="CQ274" i="1"/>
  <c r="CQ275" i="1"/>
  <c r="CQ276" i="1"/>
  <c r="CQ278" i="1"/>
  <c r="CQ279" i="1"/>
  <c r="CQ280" i="1"/>
  <c r="CQ281" i="1"/>
  <c r="CQ282" i="1"/>
  <c r="CQ283" i="1"/>
  <c r="CQ285" i="1"/>
  <c r="CQ286" i="1"/>
  <c r="CQ287" i="1"/>
  <c r="CQ288" i="1"/>
  <c r="CQ291" i="1"/>
  <c r="CQ292" i="1"/>
  <c r="CQ293" i="1"/>
  <c r="CQ294" i="1"/>
  <c r="CQ296" i="1"/>
  <c r="CQ297" i="1"/>
  <c r="CQ298" i="1"/>
  <c r="CQ299" i="1"/>
  <c r="CQ300" i="1"/>
  <c r="CQ301" i="1"/>
  <c r="CQ302" i="1"/>
  <c r="CQ303" i="1"/>
  <c r="CQ305" i="1"/>
  <c r="CQ306" i="1"/>
  <c r="CQ307" i="1"/>
  <c r="CQ308" i="1"/>
  <c r="CQ309" i="1"/>
  <c r="CQ310" i="1"/>
  <c r="CQ311" i="1"/>
  <c r="CQ312" i="1"/>
  <c r="CQ313" i="1"/>
  <c r="CQ314" i="1"/>
  <c r="CQ316" i="1"/>
  <c r="CQ317" i="1"/>
  <c r="CQ318" i="1"/>
  <c r="CQ319" i="1"/>
  <c r="CQ320" i="1"/>
  <c r="CQ321" i="1"/>
  <c r="CQ322" i="1"/>
  <c r="CQ323" i="1"/>
  <c r="CQ324" i="1"/>
  <c r="CQ325" i="1"/>
  <c r="CQ326" i="1"/>
  <c r="CQ327" i="1"/>
  <c r="CQ329" i="1"/>
  <c r="CQ330" i="1"/>
  <c r="CQ332" i="1"/>
  <c r="CQ333" i="1"/>
  <c r="CQ334" i="1"/>
  <c r="CQ335" i="1"/>
  <c r="CQ336" i="1"/>
  <c r="CQ337" i="1"/>
  <c r="CQ338" i="1"/>
  <c r="CQ340" i="1"/>
  <c r="CQ341" i="1"/>
  <c r="CQ342" i="1"/>
  <c r="CQ343" i="1"/>
  <c r="CQ344" i="1"/>
  <c r="CQ345" i="1"/>
  <c r="CQ346" i="1"/>
  <c r="CQ347" i="1"/>
  <c r="CQ348" i="1"/>
  <c r="CQ349" i="1"/>
  <c r="CQ351" i="1"/>
  <c r="CQ352" i="1"/>
  <c r="CQ353" i="1"/>
  <c r="CQ354" i="1"/>
  <c r="CQ355" i="1"/>
  <c r="CQ356" i="1"/>
  <c r="CQ358" i="1"/>
  <c r="CQ359" i="1"/>
  <c r="CQ360" i="1"/>
  <c r="CQ361" i="1"/>
  <c r="CQ362" i="1"/>
  <c r="CQ363" i="1"/>
  <c r="CQ364" i="1"/>
  <c r="CQ365" i="1"/>
  <c r="CQ367" i="1"/>
  <c r="CQ368" i="1"/>
  <c r="CQ369" i="1"/>
  <c r="CQ371" i="1"/>
  <c r="CQ372" i="1"/>
  <c r="CQ373" i="1"/>
  <c r="CQ375" i="1"/>
  <c r="CQ376" i="1"/>
  <c r="CQ378" i="1"/>
  <c r="CQ379" i="1"/>
  <c r="CQ380" i="1"/>
  <c r="CQ381" i="1"/>
  <c r="CQ382" i="1"/>
  <c r="CQ383" i="1"/>
  <c r="CQ385" i="1"/>
  <c r="CQ386" i="1"/>
  <c r="CQ387" i="1"/>
  <c r="CQ388" i="1"/>
  <c r="CQ389" i="1"/>
  <c r="CQ390" i="1"/>
  <c r="CQ391" i="1"/>
  <c r="CQ393" i="1"/>
  <c r="CQ394" i="1"/>
  <c r="CQ395" i="1"/>
  <c r="CQ396" i="1"/>
  <c r="CQ397" i="1"/>
  <c r="CQ398" i="1"/>
  <c r="CQ399" i="1"/>
  <c r="CQ400" i="1"/>
  <c r="CQ401" i="1"/>
  <c r="CQ403" i="1"/>
  <c r="CQ404" i="1"/>
  <c r="CQ405" i="1"/>
  <c r="CQ406" i="1"/>
  <c r="CQ407" i="1"/>
  <c r="CQ408" i="1"/>
  <c r="CQ409" i="1"/>
  <c r="CQ410" i="1"/>
  <c r="CQ411" i="1"/>
  <c r="CQ413" i="1"/>
  <c r="CQ414" i="1"/>
  <c r="CQ415" i="1"/>
  <c r="CQ416" i="1"/>
  <c r="CQ417" i="1"/>
  <c r="CQ418" i="1"/>
  <c r="CQ421" i="1"/>
  <c r="CQ422" i="1"/>
  <c r="CQ423" i="1"/>
  <c r="CQ424" i="1"/>
  <c r="CQ425" i="1"/>
  <c r="CQ426" i="1"/>
  <c r="CQ427" i="1"/>
  <c r="CQ428" i="1"/>
  <c r="CQ430" i="1"/>
  <c r="CQ431" i="1"/>
  <c r="CQ432" i="1"/>
  <c r="CQ433" i="1"/>
  <c r="CQ434" i="1"/>
  <c r="CQ435" i="1"/>
  <c r="CQ436" i="1"/>
  <c r="CQ438" i="1"/>
  <c r="CQ439" i="1"/>
  <c r="CQ440" i="1"/>
  <c r="CQ441" i="1"/>
  <c r="CQ442" i="1"/>
  <c r="CQ443" i="1"/>
  <c r="CQ445" i="1"/>
  <c r="CQ446" i="1"/>
  <c r="CQ447" i="1"/>
  <c r="CQ448" i="1"/>
  <c r="CQ449" i="1"/>
  <c r="CQ450" i="1"/>
  <c r="CQ451" i="1"/>
  <c r="CQ452" i="1"/>
  <c r="CQ454" i="1"/>
  <c r="CQ455" i="1"/>
  <c r="CQ456" i="1"/>
  <c r="CQ457" i="1"/>
  <c r="CQ459" i="1"/>
  <c r="CQ460" i="1"/>
  <c r="CQ461" i="1"/>
  <c r="CQ462" i="1"/>
  <c r="CQ463" i="1"/>
  <c r="CQ464" i="1"/>
  <c r="CQ465" i="1"/>
  <c r="CQ466" i="1"/>
  <c r="CQ468" i="1"/>
  <c r="CQ469" i="1"/>
  <c r="CQ470" i="1"/>
  <c r="CQ471" i="1"/>
  <c r="CQ472" i="1"/>
  <c r="CQ473" i="1"/>
  <c r="CQ474" i="1"/>
  <c r="CQ475" i="1"/>
  <c r="CQ476" i="1"/>
  <c r="CQ478" i="1"/>
  <c r="CQ479" i="1"/>
  <c r="CQ480" i="1"/>
  <c r="CQ481" i="1"/>
  <c r="CQ482" i="1"/>
  <c r="CQ483" i="1"/>
  <c r="CQ485" i="1"/>
  <c r="CQ486" i="1"/>
  <c r="CQ487" i="1"/>
  <c r="CQ488" i="1"/>
  <c r="CQ489" i="1"/>
  <c r="CQ490" i="1"/>
  <c r="CQ491" i="1"/>
  <c r="CQ492" i="1"/>
  <c r="CQ493" i="1"/>
  <c r="CQ495" i="1"/>
  <c r="CQ496" i="1"/>
  <c r="CQ497" i="1"/>
  <c r="CQ498" i="1"/>
  <c r="CQ499" i="1"/>
  <c r="CQ500" i="1"/>
  <c r="CQ502" i="1"/>
  <c r="CQ503" i="1"/>
  <c r="CQ504" i="1"/>
  <c r="CQ505" i="1"/>
  <c r="CQ506" i="1"/>
  <c r="CQ507" i="1"/>
  <c r="CQ508" i="1"/>
  <c r="CQ510" i="1"/>
  <c r="CQ511" i="1"/>
  <c r="CQ512" i="1"/>
  <c r="CQ514" i="1"/>
  <c r="CQ515" i="1"/>
  <c r="CQ516" i="1"/>
  <c r="CQ517" i="1"/>
  <c r="CQ518" i="1"/>
  <c r="CQ520" i="1"/>
  <c r="CQ521" i="1"/>
  <c r="CQ522" i="1"/>
  <c r="CQ523" i="1"/>
  <c r="CQ524" i="1"/>
  <c r="CQ525" i="1"/>
  <c r="CQ526" i="1"/>
  <c r="CQ527" i="1"/>
  <c r="CQ529" i="1"/>
  <c r="CQ530" i="1"/>
  <c r="CQ531" i="1"/>
  <c r="CQ532" i="1"/>
  <c r="CQ533" i="1"/>
  <c r="CQ534" i="1"/>
  <c r="CQ535" i="1"/>
  <c r="CQ536" i="1"/>
  <c r="CQ538" i="1"/>
  <c r="CQ539" i="1"/>
  <c r="CQ540" i="1"/>
  <c r="CQ541" i="1"/>
  <c r="CQ542" i="1"/>
  <c r="CQ543" i="1"/>
  <c r="CQ544" i="1"/>
  <c r="CQ545" i="1"/>
  <c r="CQ546" i="1"/>
  <c r="CQ548" i="1"/>
  <c r="CQ549" i="1"/>
  <c r="CQ550" i="1"/>
  <c r="CQ551" i="1"/>
  <c r="CQ552" i="1"/>
  <c r="CQ553" i="1"/>
  <c r="CQ554" i="1"/>
  <c r="CQ555" i="1"/>
  <c r="CQ557" i="1"/>
  <c r="CQ558" i="1"/>
  <c r="CQ559" i="1"/>
  <c r="CQ560" i="1"/>
  <c r="CQ561" i="1"/>
  <c r="CQ562" i="1"/>
  <c r="CQ564" i="1"/>
  <c r="CQ565" i="1"/>
  <c r="CQ566" i="1"/>
  <c r="CQ567" i="1"/>
  <c r="CQ569" i="1"/>
  <c r="CQ570" i="1"/>
  <c r="CQ572" i="1"/>
  <c r="CQ573" i="1"/>
  <c r="CQ574" i="1"/>
  <c r="CQ576" i="1"/>
  <c r="CQ577" i="1"/>
  <c r="CQ578" i="1"/>
  <c r="CQ579" i="1"/>
  <c r="CQ580" i="1"/>
  <c r="CQ581" i="1"/>
  <c r="CQ583" i="1"/>
  <c r="CQ584" i="1"/>
  <c r="CQ586" i="1"/>
  <c r="CQ587" i="1"/>
  <c r="CQ588" i="1"/>
  <c r="CQ590" i="1"/>
  <c r="CQ591" i="1"/>
  <c r="CQ592" i="1"/>
  <c r="CQ593" i="1"/>
  <c r="CQ594" i="1"/>
  <c r="CQ595" i="1"/>
  <c r="CQ596" i="1"/>
  <c r="CQ597" i="1"/>
  <c r="CQ598" i="1"/>
  <c r="CQ600" i="1"/>
  <c r="CQ601" i="1"/>
  <c r="CQ603" i="1"/>
  <c r="CQ604" i="1"/>
  <c r="CQ605" i="1"/>
  <c r="CQ607" i="1"/>
  <c r="CQ608" i="1"/>
  <c r="CQ609" i="1"/>
  <c r="CQ610" i="1"/>
  <c r="CQ611" i="1"/>
  <c r="CQ612" i="1"/>
  <c r="CQ614" i="1"/>
  <c r="CQ615" i="1"/>
  <c r="CQ617" i="1"/>
  <c r="CQ618" i="1"/>
  <c r="CQ619" i="1"/>
  <c r="CQ620" i="1"/>
  <c r="CQ622" i="1"/>
  <c r="CQ623" i="1"/>
  <c r="CQ624" i="1"/>
  <c r="CQ625" i="1"/>
  <c r="CQ626" i="1"/>
  <c r="CQ628" i="1"/>
  <c r="CQ629" i="1"/>
  <c r="CQ630" i="1"/>
  <c r="CQ631" i="1"/>
  <c r="CQ632" i="1"/>
  <c r="CQ633" i="1"/>
  <c r="CQ634" i="1"/>
  <c r="CQ636" i="1"/>
  <c r="CQ637" i="1"/>
  <c r="CQ638" i="1"/>
  <c r="CQ639" i="1"/>
  <c r="CQ641" i="1"/>
  <c r="CQ643" i="1"/>
  <c r="CQ644" i="1"/>
  <c r="CQ645" i="1"/>
  <c r="CQ647" i="1"/>
  <c r="CQ648" i="1"/>
  <c r="CQ649" i="1"/>
  <c r="CQ650" i="1"/>
  <c r="CQ651" i="1"/>
  <c r="CQ652" i="1"/>
  <c r="CQ654" i="1"/>
  <c r="CQ655" i="1"/>
  <c r="CQ656" i="1"/>
  <c r="CQ657" i="1"/>
  <c r="CQ658" i="1"/>
  <c r="CQ659" i="1"/>
  <c r="CQ660" i="1"/>
  <c r="CQ662" i="1"/>
  <c r="CQ663" i="1"/>
  <c r="CQ665" i="1"/>
  <c r="CQ666" i="1"/>
  <c r="CQ667" i="1"/>
  <c r="CQ669" i="1"/>
  <c r="CQ670" i="1"/>
  <c r="CQ671" i="1"/>
  <c r="CQ672" i="1"/>
  <c r="CQ674" i="1"/>
  <c r="CQ675" i="1"/>
  <c r="CQ676" i="1"/>
  <c r="CQ677" i="1"/>
  <c r="CQ678" i="1"/>
  <c r="CQ679" i="1"/>
  <c r="CQ681" i="1"/>
  <c r="CQ682" i="1"/>
  <c r="CQ683" i="1"/>
  <c r="CQ684" i="1"/>
  <c r="CQ685" i="1"/>
  <c r="CQ686" i="1"/>
  <c r="CQ687" i="1"/>
  <c r="CQ688" i="1"/>
  <c r="CQ689" i="1"/>
  <c r="CQ690" i="1"/>
  <c r="CQ691" i="1"/>
  <c r="CQ693" i="1"/>
  <c r="CQ694" i="1"/>
  <c r="CQ695" i="1"/>
  <c r="CQ696" i="1"/>
  <c r="CQ698" i="1"/>
  <c r="CQ699" i="1"/>
  <c r="CQ702" i="1"/>
  <c r="CQ703" i="1"/>
  <c r="CQ704" i="1"/>
  <c r="CQ706" i="1"/>
  <c r="CQ707" i="1"/>
  <c r="CQ708" i="1"/>
  <c r="CQ709" i="1"/>
  <c r="CQ711" i="1"/>
  <c r="CQ712" i="1"/>
  <c r="CQ713" i="1"/>
  <c r="CQ714" i="1"/>
  <c r="CQ715" i="1"/>
  <c r="CQ716" i="1"/>
  <c r="CQ717" i="1"/>
  <c r="CQ718" i="1"/>
  <c r="CQ720" i="1"/>
  <c r="CQ721" i="1"/>
  <c r="CQ723" i="1"/>
  <c r="CQ724" i="1"/>
  <c r="CQ725" i="1"/>
  <c r="CQ726" i="1"/>
  <c r="CQ729" i="1"/>
  <c r="CQ731" i="1"/>
  <c r="CQ732" i="1"/>
  <c r="CQ733" i="1"/>
  <c r="CQ734" i="1"/>
  <c r="CQ735" i="1"/>
  <c r="CQ736" i="1"/>
  <c r="CQ738" i="1"/>
  <c r="CQ739" i="1"/>
  <c r="CQ740" i="1"/>
  <c r="CQ741" i="1"/>
  <c r="CQ742" i="1"/>
  <c r="CQ743" i="1"/>
  <c r="CQ744" i="1"/>
  <c r="CQ745" i="1"/>
  <c r="CQ748" i="1"/>
  <c r="CQ750" i="1"/>
  <c r="CQ751" i="1"/>
  <c r="CQ752" i="1"/>
  <c r="CQ753" i="1"/>
  <c r="CQ754" i="1"/>
  <c r="CQ755" i="1"/>
  <c r="CQ756" i="1"/>
  <c r="CQ758" i="1"/>
  <c r="CQ760" i="1"/>
  <c r="CQ761" i="1"/>
  <c r="CQ763" i="1"/>
  <c r="CQ764" i="1"/>
  <c r="CQ766" i="1"/>
  <c r="CQ767" i="1"/>
  <c r="CQ768" i="1"/>
  <c r="CQ769" i="1"/>
  <c r="CQ774" i="1"/>
  <c r="CQ775" i="1"/>
  <c r="CQ777" i="1"/>
  <c r="CQ778" i="1"/>
  <c r="CQ779" i="1"/>
  <c r="CQ780" i="1"/>
  <c r="CQ782" i="1"/>
  <c r="CQ783" i="1"/>
  <c r="CQ784" i="1"/>
  <c r="CQ785" i="1"/>
  <c r="CQ786" i="1"/>
  <c r="CQ787" i="1"/>
  <c r="CQ789" i="1"/>
  <c r="CQ790" i="1"/>
  <c r="CQ791" i="1"/>
  <c r="CQ793" i="1"/>
  <c r="CQ794" i="1"/>
  <c r="CQ795" i="1"/>
  <c r="CQ796" i="1"/>
  <c r="CQ797" i="1"/>
  <c r="CQ798" i="1"/>
  <c r="CQ800" i="1"/>
  <c r="CQ801" i="1"/>
  <c r="CQ802" i="1"/>
  <c r="CQ803" i="1"/>
  <c r="CQ804" i="1"/>
  <c r="CQ805" i="1"/>
  <c r="CQ806" i="1"/>
  <c r="CQ807" i="1"/>
  <c r="CQ808" i="1"/>
  <c r="CQ810" i="1"/>
  <c r="CQ811" i="1"/>
  <c r="CQ812" i="1"/>
  <c r="CQ813" i="1"/>
  <c r="CQ814" i="1"/>
  <c r="CQ815" i="1"/>
  <c r="CQ816" i="1"/>
  <c r="CQ818" i="1"/>
  <c r="CQ819" i="1"/>
  <c r="CQ820" i="1"/>
  <c r="CQ822" i="1"/>
  <c r="CQ823" i="1"/>
  <c r="CQ824" i="1"/>
  <c r="CQ825" i="1"/>
  <c r="CQ826" i="1"/>
  <c r="CQ827" i="1"/>
  <c r="CQ829" i="1"/>
  <c r="CQ830" i="1"/>
  <c r="CQ831" i="1"/>
  <c r="CQ832" i="1"/>
  <c r="CQ834" i="1"/>
  <c r="CQ835" i="1"/>
  <c r="CQ836" i="1"/>
  <c r="CQ838" i="1"/>
  <c r="CQ839" i="1"/>
  <c r="CQ840" i="1"/>
  <c r="CQ841" i="1"/>
  <c r="CQ842" i="1"/>
  <c r="CQ843" i="1"/>
  <c r="CQ845" i="1"/>
  <c r="CQ846" i="1"/>
  <c r="CQ847" i="1"/>
  <c r="CQ848" i="1"/>
  <c r="CQ849" i="1"/>
  <c r="CQ850" i="1"/>
  <c r="CQ852" i="1"/>
  <c r="CQ854" i="1"/>
  <c r="CQ855" i="1"/>
  <c r="CQ856" i="1"/>
  <c r="CQ857" i="1"/>
  <c r="CQ859" i="1"/>
  <c r="CQ860" i="1"/>
  <c r="CQ862" i="1"/>
  <c r="CQ863" i="1"/>
  <c r="CQ864" i="1"/>
  <c r="CQ865" i="1"/>
  <c r="CQ866" i="1"/>
  <c r="CQ867" i="1"/>
  <c r="CQ868" i="1"/>
  <c r="CQ869" i="1"/>
  <c r="CQ870" i="1"/>
  <c r="CQ872" i="1"/>
  <c r="CQ873" i="1"/>
  <c r="CQ874" i="1"/>
  <c r="CQ875" i="1"/>
  <c r="CQ876" i="1"/>
  <c r="CQ877" i="1"/>
  <c r="CQ878" i="1"/>
  <c r="CQ879" i="1"/>
  <c r="CQ880" i="1"/>
  <c r="CQ881" i="1"/>
  <c r="CQ884" i="1"/>
  <c r="CQ886" i="1"/>
  <c r="CQ887" i="1"/>
  <c r="CQ888" i="1"/>
  <c r="CQ889" i="1"/>
  <c r="CQ890" i="1"/>
  <c r="CQ891" i="1"/>
  <c r="CQ892" i="1"/>
  <c r="CQ893" i="1"/>
  <c r="CQ894" i="1"/>
  <c r="CQ895" i="1"/>
  <c r="CQ897" i="1"/>
  <c r="CQ898" i="1"/>
  <c r="CQ899" i="1"/>
  <c r="CQ900" i="1"/>
  <c r="CQ901" i="1"/>
  <c r="CQ902" i="1"/>
  <c r="CQ904" i="1"/>
  <c r="CQ905" i="1"/>
  <c r="CQ906" i="1"/>
  <c r="CQ908" i="1"/>
  <c r="CQ909" i="1"/>
  <c r="CQ910" i="1"/>
  <c r="CQ911" i="1"/>
  <c r="CQ912" i="1"/>
  <c r="CQ913" i="1"/>
  <c r="CQ915" i="1"/>
  <c r="CQ916" i="1"/>
  <c r="CQ917" i="1"/>
  <c r="CQ918" i="1"/>
  <c r="CQ919" i="1"/>
  <c r="CQ921" i="1"/>
  <c r="CQ922" i="1"/>
  <c r="CQ923" i="1"/>
  <c r="CQ924" i="1"/>
  <c r="CQ925" i="1"/>
  <c r="CQ927" i="1"/>
  <c r="CQ928" i="1"/>
  <c r="CQ929" i="1"/>
  <c r="CQ930" i="1"/>
  <c r="CQ931" i="1"/>
  <c r="CQ932" i="1"/>
  <c r="CQ933" i="1"/>
  <c r="CQ935" i="1"/>
  <c r="CQ936" i="1"/>
  <c r="CQ937" i="1"/>
  <c r="CQ938" i="1"/>
  <c r="CQ939" i="1"/>
  <c r="CQ940" i="1"/>
  <c r="CQ941" i="1"/>
  <c r="CQ943" i="1"/>
  <c r="CQ944" i="1"/>
  <c r="CQ945" i="1"/>
  <c r="CQ947" i="1"/>
  <c r="CQ948" i="1"/>
  <c r="CQ950" i="1"/>
  <c r="CQ951" i="1"/>
  <c r="CQ952" i="1"/>
  <c r="CQ953" i="1"/>
  <c r="CQ954" i="1"/>
  <c r="CQ955" i="1"/>
  <c r="CQ956" i="1"/>
  <c r="CQ957" i="1"/>
  <c r="CQ958" i="1"/>
  <c r="CQ960" i="1"/>
  <c r="CQ961" i="1"/>
  <c r="CQ962" i="1"/>
  <c r="CQ963" i="1"/>
  <c r="CQ964" i="1"/>
  <c r="CQ965" i="1"/>
  <c r="CQ966" i="1"/>
  <c r="CQ967" i="1"/>
  <c r="CQ969" i="1"/>
  <c r="CQ970" i="1"/>
  <c r="CQ971" i="1"/>
  <c r="CQ972" i="1"/>
  <c r="CQ973" i="1"/>
  <c r="CQ974" i="1"/>
  <c r="CQ975" i="1"/>
  <c r="CQ977" i="1"/>
  <c r="CQ978" i="1"/>
  <c r="CQ979" i="1"/>
  <c r="CQ980" i="1"/>
  <c r="CQ981" i="1"/>
  <c r="CQ983" i="1"/>
  <c r="CQ985" i="1"/>
  <c r="CQ986" i="1"/>
  <c r="CQ987" i="1"/>
  <c r="CQ989" i="1"/>
  <c r="CQ990" i="1"/>
  <c r="CQ991" i="1"/>
  <c r="CQ992" i="1"/>
  <c r="CQ993" i="1"/>
  <c r="CQ994" i="1"/>
  <c r="CQ996" i="1"/>
  <c r="CQ997" i="1"/>
  <c r="CQ998" i="1"/>
  <c r="CQ999" i="1"/>
  <c r="CQ1000" i="1"/>
  <c r="CQ1001" i="1"/>
  <c r="CQ1002" i="1"/>
  <c r="CQ1003" i="1"/>
  <c r="CQ1005" i="1"/>
  <c r="CQ1006" i="1"/>
  <c r="CQ1007" i="1"/>
  <c r="CQ1008" i="1"/>
  <c r="CQ1009" i="1"/>
  <c r="CQ1010" i="1"/>
  <c r="CQ1011" i="1"/>
  <c r="CQ1013" i="1"/>
  <c r="CQ1014" i="1"/>
  <c r="CQ1015" i="1"/>
  <c r="CQ1016" i="1"/>
  <c r="CQ1017" i="1"/>
  <c r="CQ1018" i="1"/>
  <c r="CQ1019" i="1"/>
  <c r="CQ1020" i="1"/>
  <c r="CQ1021" i="1"/>
  <c r="CQ1022" i="1"/>
  <c r="CQ1023" i="1"/>
  <c r="CQ1025" i="1"/>
  <c r="CQ1026" i="1"/>
  <c r="CQ1027" i="1"/>
  <c r="CQ1028" i="1"/>
  <c r="CQ1029" i="1"/>
  <c r="CQ1030" i="1"/>
  <c r="CQ1031" i="1"/>
  <c r="CQ1032" i="1"/>
  <c r="CQ1033" i="1"/>
  <c r="CQ1035" i="1"/>
  <c r="CQ1036" i="1"/>
  <c r="CQ1037" i="1"/>
  <c r="CQ1038" i="1"/>
  <c r="CQ1039" i="1"/>
  <c r="CQ1040" i="1"/>
  <c r="CQ1041" i="1"/>
  <c r="CQ1042" i="1"/>
  <c r="CQ1043" i="1"/>
  <c r="CQ1044" i="1"/>
  <c r="CQ1046" i="1"/>
  <c r="CQ1047" i="1"/>
  <c r="CQ1048" i="1"/>
  <c r="CQ1051" i="1"/>
  <c r="CQ1053" i="1"/>
  <c r="CQ1054" i="1"/>
  <c r="CQ1055" i="1"/>
  <c r="CQ1056" i="1"/>
  <c r="CQ1057" i="1"/>
  <c r="CQ1059" i="1"/>
  <c r="CQ1060" i="1"/>
  <c r="CQ1061" i="1"/>
  <c r="CQ1062" i="1"/>
  <c r="CQ1063" i="1"/>
  <c r="CQ1064" i="1"/>
  <c r="CQ1066" i="1"/>
  <c r="CQ1067" i="1"/>
  <c r="CQ1068" i="1"/>
  <c r="CQ1069" i="1"/>
  <c r="CQ1070" i="1"/>
  <c r="CQ1071" i="1"/>
  <c r="CQ1072" i="1"/>
  <c r="CQ1073" i="1"/>
  <c r="CQ1075" i="1"/>
  <c r="CQ1076" i="1"/>
  <c r="CQ1077" i="1"/>
  <c r="CQ1079" i="1"/>
  <c r="CQ1080" i="1"/>
  <c r="CQ1081" i="1"/>
  <c r="CQ1082" i="1"/>
  <c r="CQ1083" i="1"/>
  <c r="CQ1084" i="1"/>
  <c r="CQ1086" i="1"/>
  <c r="CQ1087" i="1"/>
  <c r="CQ1088" i="1"/>
  <c r="CQ1089" i="1"/>
  <c r="CQ1090" i="1"/>
  <c r="CQ1091" i="1"/>
  <c r="CQ1092" i="1"/>
  <c r="CQ1093" i="1"/>
  <c r="CQ1094" i="1"/>
  <c r="CQ1096" i="1"/>
  <c r="CQ1097" i="1"/>
  <c r="CQ1098" i="1"/>
  <c r="CQ1099" i="1"/>
  <c r="CQ1100" i="1"/>
  <c r="CQ1101" i="1"/>
  <c r="CQ1102" i="1"/>
  <c r="CQ1103" i="1"/>
  <c r="CQ1104" i="1"/>
  <c r="CQ1105" i="1"/>
  <c r="CQ1106" i="1"/>
  <c r="CQ1108" i="1"/>
  <c r="CQ1109" i="1"/>
  <c r="CQ1110" i="1"/>
  <c r="CQ1111" i="1"/>
  <c r="CQ1112" i="1"/>
  <c r="CQ1113" i="1"/>
  <c r="CQ1115" i="1"/>
  <c r="CQ1116" i="1"/>
  <c r="CQ1117" i="1"/>
  <c r="CQ1118" i="1"/>
  <c r="CQ1120" i="1"/>
  <c r="CQ1122" i="1"/>
  <c r="CQ1123" i="1"/>
  <c r="CQ1124" i="1"/>
  <c r="CQ1126" i="1"/>
  <c r="CQ1127" i="1"/>
  <c r="CQ1128" i="1"/>
  <c r="CQ1129" i="1"/>
  <c r="CQ1130" i="1"/>
  <c r="CQ1132" i="1"/>
  <c r="CQ1133" i="1"/>
  <c r="CQ1135" i="1"/>
  <c r="CQ1136" i="1"/>
  <c r="CQ1137" i="1"/>
  <c r="CQ1138" i="1"/>
  <c r="CQ1139" i="1"/>
  <c r="CQ1140" i="1"/>
  <c r="CQ1142" i="1"/>
  <c r="CQ1143" i="1"/>
  <c r="CQ1144" i="1"/>
  <c r="CQ1145" i="1"/>
  <c r="CQ1146" i="1"/>
  <c r="CQ1147" i="1"/>
  <c r="CQ1148" i="1"/>
  <c r="CQ1149" i="1"/>
  <c r="CQ1150" i="1"/>
  <c r="CQ1152" i="1"/>
  <c r="CQ1153" i="1"/>
  <c r="CQ1154" i="1"/>
  <c r="CQ1155" i="1"/>
  <c r="CQ1157" i="1"/>
  <c r="CQ1158" i="1"/>
  <c r="CQ1159" i="1"/>
  <c r="CQ1160" i="1"/>
  <c r="CQ1161" i="1"/>
  <c r="CQ1162" i="1"/>
  <c r="CQ1163" i="1"/>
  <c r="CQ1164" i="1"/>
  <c r="CQ1165" i="1"/>
  <c r="CQ1167" i="1"/>
  <c r="CQ1168" i="1"/>
  <c r="CQ1169" i="1"/>
  <c r="CQ1170" i="1"/>
  <c r="CQ1172" i="1"/>
  <c r="CQ1173" i="1"/>
  <c r="CQ1174" i="1"/>
  <c r="CQ1175" i="1"/>
  <c r="CQ1177" i="1"/>
  <c r="CQ1178" i="1"/>
  <c r="CQ1179" i="1"/>
  <c r="CQ1180" i="1"/>
  <c r="CQ1181" i="1"/>
  <c r="CQ1182" i="1"/>
  <c r="CQ1183" i="1"/>
  <c r="CQ1185" i="1"/>
  <c r="CQ1186" i="1"/>
  <c r="CQ1187" i="1"/>
  <c r="CQ1188" i="1"/>
  <c r="CQ1189" i="1"/>
  <c r="CQ1190" i="1"/>
  <c r="CQ1192" i="1"/>
  <c r="CQ1194" i="1"/>
  <c r="CQ1195" i="1"/>
  <c r="CQ1196" i="1"/>
  <c r="CQ1199" i="1"/>
  <c r="CQ1201" i="1"/>
  <c r="CQ1202" i="1"/>
  <c r="CQ1203" i="1"/>
  <c r="CQ1204" i="1"/>
  <c r="CQ1205" i="1"/>
  <c r="CQ1206" i="1"/>
  <c r="CQ1207" i="1"/>
  <c r="CQ1209" i="1"/>
  <c r="CQ1210" i="1"/>
  <c r="CQ1211" i="1"/>
  <c r="CQ1212" i="1"/>
  <c r="CQ1213" i="1"/>
  <c r="CQ1214" i="1"/>
  <c r="CQ1215" i="1"/>
  <c r="CQ1216" i="1"/>
  <c r="CQ1217" i="1"/>
  <c r="CQ1219" i="1"/>
  <c r="CQ1220" i="1"/>
  <c r="CQ1222" i="1"/>
  <c r="CQ1223" i="1"/>
  <c r="CQ1224" i="1"/>
  <c r="CQ1225" i="1"/>
  <c r="CQ1226" i="1"/>
  <c r="CQ1227" i="1"/>
  <c r="CQ1229" i="1"/>
  <c r="CQ1230" i="1"/>
  <c r="CQ1231" i="1"/>
  <c r="CQ1232" i="1"/>
  <c r="CQ1233" i="1"/>
  <c r="CQ1234" i="1"/>
  <c r="CQ1235" i="1"/>
  <c r="CQ1236" i="1"/>
  <c r="CQ1238" i="1"/>
  <c r="CQ1240" i="1"/>
  <c r="CQ1241" i="1"/>
  <c r="CQ1242" i="1"/>
  <c r="CQ1244" i="1"/>
  <c r="CQ1245" i="1"/>
  <c r="CQ1246" i="1"/>
  <c r="CQ1247" i="1"/>
  <c r="CQ1248" i="1"/>
  <c r="CQ1250" i="1"/>
  <c r="CQ1251" i="1"/>
  <c r="CQ1252" i="1"/>
  <c r="CQ1253" i="1"/>
  <c r="CQ1254" i="1"/>
  <c r="CQ1255" i="1"/>
  <c r="CQ1256" i="1"/>
  <c r="CQ1257" i="1"/>
  <c r="CQ1258" i="1"/>
  <c r="CQ1259" i="1"/>
  <c r="CQ1261" i="1"/>
  <c r="CQ1262" i="1"/>
  <c r="CQ1263" i="1"/>
  <c r="CQ1265" i="1"/>
  <c r="CQ1266" i="1"/>
  <c r="CQ1267" i="1"/>
  <c r="CQ1268" i="1"/>
  <c r="CQ1272" i="1"/>
  <c r="CQ1274" i="1"/>
  <c r="CQ1275" i="1"/>
  <c r="CQ1276" i="1"/>
  <c r="CQ1277" i="1"/>
  <c r="CQ1278" i="1"/>
  <c r="CQ1279" i="1"/>
  <c r="CQ1280" i="1"/>
  <c r="CQ1282" i="1"/>
  <c r="CQ1283" i="1"/>
  <c r="CQ1284" i="1"/>
  <c r="CQ1285" i="1"/>
  <c r="CQ1286" i="1"/>
  <c r="CQ1287" i="1"/>
  <c r="CQ1288" i="1"/>
  <c r="CQ1289" i="1"/>
  <c r="CQ1291" i="1"/>
  <c r="CQ1292" i="1"/>
  <c r="CQ1293" i="1"/>
  <c r="CQ1294" i="1"/>
  <c r="CQ1295" i="1"/>
  <c r="CQ1296" i="1"/>
  <c r="CQ1297" i="1"/>
  <c r="CQ1298" i="1"/>
  <c r="CQ1299" i="1"/>
  <c r="CQ1300" i="1"/>
  <c r="CQ1301" i="1"/>
  <c r="CQ1303" i="1"/>
  <c r="CQ1304" i="1"/>
  <c r="CQ1305" i="1"/>
  <c r="CQ1306" i="1"/>
  <c r="CQ1307" i="1"/>
  <c r="CQ1308" i="1"/>
  <c r="CQ1309" i="1"/>
  <c r="CQ1310" i="1"/>
  <c r="CQ1311" i="1"/>
  <c r="CQ1312" i="1"/>
  <c r="CQ1313" i="1"/>
  <c r="CR67" i="1"/>
  <c r="CR68" i="1"/>
  <c r="CR69" i="1"/>
  <c r="CR70" i="1"/>
  <c r="CR71" i="1"/>
  <c r="CR72" i="1"/>
  <c r="CR73" i="1"/>
  <c r="CR74" i="1"/>
  <c r="CR76" i="1"/>
  <c r="CR77" i="1"/>
  <c r="CR78" i="1"/>
  <c r="CR79" i="1"/>
  <c r="CR80" i="1"/>
  <c r="CR81" i="1"/>
  <c r="CR82" i="1"/>
  <c r="CR84" i="1"/>
  <c r="CR85" i="1"/>
  <c r="CR86" i="1"/>
  <c r="CR87" i="1"/>
  <c r="CR88" i="1"/>
  <c r="CR89" i="1"/>
  <c r="CR90" i="1"/>
  <c r="CR92" i="1"/>
  <c r="CR93" i="1"/>
  <c r="CR94" i="1"/>
  <c r="CR95" i="1"/>
  <c r="CR96" i="1"/>
  <c r="CR97" i="1"/>
  <c r="CR98" i="1"/>
  <c r="CR101" i="1"/>
  <c r="CR103" i="1"/>
  <c r="CR104" i="1"/>
  <c r="CR105" i="1"/>
  <c r="CR106" i="1"/>
  <c r="CR107" i="1"/>
  <c r="CR108" i="1"/>
  <c r="CR109" i="1"/>
  <c r="CR111" i="1"/>
  <c r="CR112" i="1"/>
  <c r="CR113" i="1"/>
  <c r="CR114" i="1"/>
  <c r="CR115" i="1"/>
  <c r="CR116" i="1"/>
  <c r="CR117" i="1"/>
  <c r="CR118" i="1"/>
  <c r="CR119" i="1"/>
  <c r="CR120" i="1"/>
  <c r="CR122" i="1"/>
  <c r="CR124" i="1"/>
  <c r="CR125" i="1"/>
  <c r="CR126" i="1"/>
  <c r="CR129" i="1"/>
  <c r="CR131" i="1"/>
  <c r="CR132" i="1"/>
  <c r="CR136" i="1"/>
  <c r="CR138" i="1"/>
  <c r="CR139" i="1"/>
  <c r="CR140" i="1"/>
  <c r="CR141" i="1"/>
  <c r="CR142" i="1"/>
  <c r="CR144" i="1"/>
  <c r="CR145" i="1"/>
  <c r="CR146" i="1"/>
  <c r="CR147" i="1"/>
  <c r="CR148" i="1"/>
  <c r="CR149" i="1"/>
  <c r="CR151" i="1"/>
  <c r="CR152" i="1"/>
  <c r="CR153" i="1"/>
  <c r="CR154" i="1"/>
  <c r="CR155" i="1"/>
  <c r="CR156" i="1"/>
  <c r="CR157" i="1"/>
  <c r="CR158" i="1"/>
  <c r="CR160" i="1"/>
  <c r="CR161" i="1"/>
  <c r="CR162" i="1"/>
  <c r="CR163" i="1"/>
  <c r="CR165" i="1"/>
  <c r="CR166" i="1"/>
  <c r="CR167" i="1"/>
  <c r="CR168" i="1"/>
  <c r="CR169" i="1"/>
  <c r="CR170" i="1"/>
  <c r="CR172" i="1"/>
  <c r="CR173" i="1"/>
  <c r="CR175" i="1"/>
  <c r="CR176" i="1"/>
  <c r="CR177" i="1"/>
  <c r="CR178" i="1"/>
  <c r="CR179" i="1"/>
  <c r="CR180" i="1"/>
  <c r="CR181" i="1"/>
  <c r="CR182" i="1"/>
  <c r="CR183" i="1"/>
  <c r="CR184" i="1"/>
  <c r="CR186" i="1"/>
  <c r="CR187" i="1"/>
  <c r="CR188" i="1"/>
  <c r="CR189" i="1"/>
  <c r="CR190" i="1"/>
  <c r="CR191" i="1"/>
  <c r="CR192" i="1"/>
  <c r="CR193" i="1"/>
  <c r="CR195" i="1"/>
  <c r="CR196" i="1"/>
  <c r="CR197" i="1"/>
  <c r="CR198" i="1"/>
  <c r="CR200" i="1"/>
  <c r="CR201" i="1"/>
  <c r="CR202" i="1"/>
  <c r="CR203" i="1"/>
  <c r="CR204" i="1"/>
  <c r="CR205" i="1"/>
  <c r="CR206" i="1"/>
  <c r="CR207" i="1"/>
  <c r="CR209" i="1"/>
  <c r="CR210" i="1"/>
  <c r="CR211" i="1"/>
  <c r="CR212" i="1"/>
  <c r="CR213" i="1"/>
  <c r="CR214" i="1"/>
  <c r="CR215" i="1"/>
  <c r="CR217" i="1"/>
  <c r="CR218" i="1"/>
  <c r="CR219" i="1"/>
  <c r="CR220" i="1"/>
  <c r="CR221" i="1"/>
  <c r="CR222" i="1"/>
  <c r="CR224" i="1"/>
  <c r="CR225" i="1"/>
  <c r="CR226" i="1"/>
  <c r="CR227" i="1"/>
  <c r="CR228" i="1"/>
  <c r="CR229" i="1"/>
  <c r="CR231" i="1"/>
  <c r="CR232" i="1"/>
  <c r="CR233" i="1"/>
  <c r="CR234" i="1"/>
  <c r="CR235" i="1"/>
  <c r="CR236" i="1"/>
  <c r="CR237" i="1"/>
  <c r="CR238" i="1"/>
  <c r="CR240" i="1"/>
  <c r="CR241" i="1"/>
  <c r="CR242" i="1"/>
  <c r="CR243" i="1"/>
  <c r="CR244" i="1"/>
  <c r="CR245" i="1"/>
  <c r="CR246" i="1"/>
  <c r="CR247" i="1"/>
  <c r="CR249" i="1"/>
  <c r="CR250" i="1"/>
  <c r="CR251" i="1"/>
  <c r="CR252" i="1"/>
  <c r="CR253" i="1"/>
  <c r="CR254" i="1"/>
  <c r="CR255" i="1"/>
  <c r="CR256" i="1"/>
  <c r="CR259" i="1"/>
  <c r="CR260" i="1"/>
  <c r="CR261" i="1"/>
  <c r="CR262" i="1"/>
  <c r="CR263" i="1"/>
  <c r="CR264" i="1"/>
  <c r="CR265" i="1"/>
  <c r="CR266" i="1"/>
  <c r="CR268" i="1"/>
  <c r="CR269" i="1"/>
  <c r="CR270" i="1"/>
  <c r="CR271" i="1"/>
  <c r="CR272" i="1"/>
  <c r="CR273" i="1"/>
  <c r="CR274" i="1"/>
  <c r="CR275" i="1"/>
  <c r="CR276" i="1"/>
  <c r="CR278" i="1"/>
  <c r="CR279" i="1"/>
  <c r="CR280" i="1"/>
  <c r="CR281" i="1"/>
  <c r="CR282" i="1"/>
  <c r="CR283" i="1"/>
  <c r="CR285" i="1"/>
  <c r="CR286" i="1"/>
  <c r="CR287" i="1"/>
  <c r="CR288" i="1"/>
  <c r="CR291" i="1"/>
  <c r="CR292" i="1"/>
  <c r="CR293" i="1"/>
  <c r="CR294" i="1"/>
  <c r="CR296" i="1"/>
  <c r="CR297" i="1"/>
  <c r="CR298" i="1"/>
  <c r="CR299" i="1"/>
  <c r="CR300" i="1"/>
  <c r="CR301" i="1"/>
  <c r="CR302" i="1"/>
  <c r="CR303" i="1"/>
  <c r="CR305" i="1"/>
  <c r="CR306" i="1"/>
  <c r="CR307" i="1"/>
  <c r="CR308" i="1"/>
  <c r="CR309" i="1"/>
  <c r="CR310" i="1"/>
  <c r="CR311" i="1"/>
  <c r="CR312" i="1"/>
  <c r="CR313" i="1"/>
  <c r="CR314" i="1"/>
  <c r="CR316" i="1"/>
  <c r="CR317" i="1"/>
  <c r="CR318" i="1"/>
  <c r="CR319" i="1"/>
  <c r="CR320" i="1"/>
  <c r="CR321" i="1"/>
  <c r="CR322" i="1"/>
  <c r="CR323" i="1"/>
  <c r="CR324" i="1"/>
  <c r="CR325" i="1"/>
  <c r="CR326" i="1"/>
  <c r="CR327" i="1"/>
  <c r="CR329" i="1"/>
  <c r="CR330" i="1"/>
  <c r="CR332" i="1"/>
  <c r="CR333" i="1"/>
  <c r="CR334" i="1"/>
  <c r="CR335" i="1"/>
  <c r="CR336" i="1"/>
  <c r="CR337" i="1"/>
  <c r="CR338" i="1"/>
  <c r="CR340" i="1"/>
  <c r="CR341" i="1"/>
  <c r="CR342" i="1"/>
  <c r="CR343" i="1"/>
  <c r="CR344" i="1"/>
  <c r="CR345" i="1"/>
  <c r="CR346" i="1"/>
  <c r="CR347" i="1"/>
  <c r="CR348" i="1"/>
  <c r="CR349" i="1"/>
  <c r="CR351" i="1"/>
  <c r="CR352" i="1"/>
  <c r="CR353" i="1"/>
  <c r="CR354" i="1"/>
  <c r="CR355" i="1"/>
  <c r="CR356" i="1"/>
  <c r="CR358" i="1"/>
  <c r="CR359" i="1"/>
  <c r="CR360" i="1"/>
  <c r="CR361" i="1"/>
  <c r="CR362" i="1"/>
  <c r="CR363" i="1"/>
  <c r="CR364" i="1"/>
  <c r="CR365" i="1"/>
  <c r="CR367" i="1"/>
  <c r="CR368" i="1"/>
  <c r="CR369" i="1"/>
  <c r="CR371" i="1"/>
  <c r="CR372" i="1"/>
  <c r="CR373" i="1"/>
  <c r="CR375" i="1"/>
  <c r="CR376" i="1"/>
  <c r="CR378" i="1"/>
  <c r="CR379" i="1"/>
  <c r="CR380" i="1"/>
  <c r="CR381" i="1"/>
  <c r="CR382" i="1"/>
  <c r="CR383" i="1"/>
  <c r="CR385" i="1"/>
  <c r="CR386" i="1"/>
  <c r="CR387" i="1"/>
  <c r="CR388" i="1"/>
  <c r="CR389" i="1"/>
  <c r="CR390" i="1"/>
  <c r="CR391" i="1"/>
  <c r="CR393" i="1"/>
  <c r="CR394" i="1"/>
  <c r="CR395" i="1"/>
  <c r="CR396" i="1"/>
  <c r="CR397" i="1"/>
  <c r="CR398" i="1"/>
  <c r="CR399" i="1"/>
  <c r="CR400" i="1"/>
  <c r="CR401" i="1"/>
  <c r="CR403" i="1"/>
  <c r="CR404" i="1"/>
  <c r="CR405" i="1"/>
  <c r="CR406" i="1"/>
  <c r="CR407" i="1"/>
  <c r="CR408" i="1"/>
  <c r="CR409" i="1"/>
  <c r="CR410" i="1"/>
  <c r="CR411" i="1"/>
  <c r="CR413" i="1"/>
  <c r="CR414" i="1"/>
  <c r="CR415" i="1"/>
  <c r="CR416" i="1"/>
  <c r="CR417" i="1"/>
  <c r="CR418" i="1"/>
  <c r="CR421" i="1"/>
  <c r="CR422" i="1"/>
  <c r="CR423" i="1"/>
  <c r="CR424" i="1"/>
  <c r="CR425" i="1"/>
  <c r="CR426" i="1"/>
  <c r="CR427" i="1"/>
  <c r="CR428" i="1"/>
  <c r="CR430" i="1"/>
  <c r="CR431" i="1"/>
  <c r="CR432" i="1"/>
  <c r="CR433" i="1"/>
  <c r="CR434" i="1"/>
  <c r="CR435" i="1"/>
  <c r="CR436" i="1"/>
  <c r="CR438" i="1"/>
  <c r="CR439" i="1"/>
  <c r="CR440" i="1"/>
  <c r="CR441" i="1"/>
  <c r="CR442" i="1"/>
  <c r="CR443" i="1"/>
  <c r="CR445" i="1"/>
  <c r="CR446" i="1"/>
  <c r="CR447" i="1"/>
  <c r="CR448" i="1"/>
  <c r="CR449" i="1"/>
  <c r="CR450" i="1"/>
  <c r="CR451" i="1"/>
  <c r="CR452" i="1"/>
  <c r="CR454" i="1"/>
  <c r="CR455" i="1"/>
  <c r="CR456" i="1"/>
  <c r="CR457" i="1"/>
  <c r="CR459" i="1"/>
  <c r="CR460" i="1"/>
  <c r="CR461" i="1"/>
  <c r="CR462" i="1"/>
  <c r="CR463" i="1"/>
  <c r="CR464" i="1"/>
  <c r="CR465" i="1"/>
  <c r="CR466" i="1"/>
  <c r="CR468" i="1"/>
  <c r="CR469" i="1"/>
  <c r="CR470" i="1"/>
  <c r="CR471" i="1"/>
  <c r="CR472" i="1"/>
  <c r="CR473" i="1"/>
  <c r="CR474" i="1"/>
  <c r="CR475" i="1"/>
  <c r="CR476" i="1"/>
  <c r="CR478" i="1"/>
  <c r="CR479" i="1"/>
  <c r="CR480" i="1"/>
  <c r="CR481" i="1"/>
  <c r="CR482" i="1"/>
  <c r="CR483" i="1"/>
  <c r="CR485" i="1"/>
  <c r="CR486" i="1"/>
  <c r="CR487" i="1"/>
  <c r="CR488" i="1"/>
  <c r="CR489" i="1"/>
  <c r="CR490" i="1"/>
  <c r="CR491" i="1"/>
  <c r="CR492" i="1"/>
  <c r="CR493" i="1"/>
  <c r="CR495" i="1"/>
  <c r="CR496" i="1"/>
  <c r="CR497" i="1"/>
  <c r="CR498" i="1"/>
  <c r="CR499" i="1"/>
  <c r="CR500" i="1"/>
  <c r="CR502" i="1"/>
  <c r="CR503" i="1"/>
  <c r="CR504" i="1"/>
  <c r="CR505" i="1"/>
  <c r="CR506" i="1"/>
  <c r="CR507" i="1"/>
  <c r="CR508" i="1"/>
  <c r="CR510" i="1"/>
  <c r="CR511" i="1"/>
  <c r="CR512" i="1"/>
  <c r="CR514" i="1"/>
  <c r="CR515" i="1"/>
  <c r="CR516" i="1"/>
  <c r="CR517" i="1"/>
  <c r="CR518" i="1"/>
  <c r="CR520" i="1"/>
  <c r="CR521" i="1"/>
  <c r="CR522" i="1"/>
  <c r="CR523" i="1"/>
  <c r="CR524" i="1"/>
  <c r="CR525" i="1"/>
  <c r="CR526" i="1"/>
  <c r="CR527" i="1"/>
  <c r="CR529" i="1"/>
  <c r="CR530" i="1"/>
  <c r="CR531" i="1"/>
  <c r="CR532" i="1"/>
  <c r="CR533" i="1"/>
  <c r="CR534" i="1"/>
  <c r="CR535" i="1"/>
  <c r="CR536" i="1"/>
  <c r="CR538" i="1"/>
  <c r="CR539" i="1"/>
  <c r="CR540" i="1"/>
  <c r="CR541" i="1"/>
  <c r="CR542" i="1"/>
  <c r="CR543" i="1"/>
  <c r="CR544" i="1"/>
  <c r="CR545" i="1"/>
  <c r="CR546" i="1"/>
  <c r="CR548" i="1"/>
  <c r="CR549" i="1"/>
  <c r="CR550" i="1"/>
  <c r="CR551" i="1"/>
  <c r="CR552" i="1"/>
  <c r="CR553" i="1"/>
  <c r="CR554" i="1"/>
  <c r="CR555" i="1"/>
  <c r="CR557" i="1"/>
  <c r="CR558" i="1"/>
  <c r="CR559" i="1"/>
  <c r="CR560" i="1"/>
  <c r="CR561" i="1"/>
  <c r="CR562" i="1"/>
  <c r="CR564" i="1"/>
  <c r="CR565" i="1"/>
  <c r="CR566" i="1"/>
  <c r="CR567" i="1"/>
  <c r="CR569" i="1"/>
  <c r="CR570" i="1"/>
  <c r="CR572" i="1"/>
  <c r="CR573" i="1"/>
  <c r="CR574" i="1"/>
  <c r="CR576" i="1"/>
  <c r="CR577" i="1"/>
  <c r="CR578" i="1"/>
  <c r="CR579" i="1"/>
  <c r="CR580" i="1"/>
  <c r="CR581" i="1"/>
  <c r="CR583" i="1"/>
  <c r="CR584" i="1"/>
  <c r="CR586" i="1"/>
  <c r="CR587" i="1"/>
  <c r="CR588" i="1"/>
  <c r="CR590" i="1"/>
  <c r="CR591" i="1"/>
  <c r="CR592" i="1"/>
  <c r="CR593" i="1"/>
  <c r="CR594" i="1"/>
  <c r="CR595" i="1"/>
  <c r="CR596" i="1"/>
  <c r="CR597" i="1"/>
  <c r="CR598" i="1"/>
  <c r="CR600" i="1"/>
  <c r="CR601" i="1"/>
  <c r="CR603" i="1"/>
  <c r="CR604" i="1"/>
  <c r="CR605" i="1"/>
  <c r="CR607" i="1"/>
  <c r="CR608" i="1"/>
  <c r="CR609" i="1"/>
  <c r="CR610" i="1"/>
  <c r="CR611" i="1"/>
  <c r="CR612" i="1"/>
  <c r="CR614" i="1"/>
  <c r="CR615" i="1"/>
  <c r="CR617" i="1"/>
  <c r="CR618" i="1"/>
  <c r="CR619" i="1"/>
  <c r="CR620" i="1"/>
  <c r="CR622" i="1"/>
  <c r="CR623" i="1"/>
  <c r="CR624" i="1"/>
  <c r="CR625" i="1"/>
  <c r="CR626" i="1"/>
  <c r="CR628" i="1"/>
  <c r="CR629" i="1"/>
  <c r="CR630" i="1"/>
  <c r="CR631" i="1"/>
  <c r="CR632" i="1"/>
  <c r="CR633" i="1"/>
  <c r="CR634" i="1"/>
  <c r="CR636" i="1"/>
  <c r="CR637" i="1"/>
  <c r="CR638" i="1"/>
  <c r="CR639" i="1"/>
  <c r="CR641" i="1"/>
  <c r="CR643" i="1"/>
  <c r="CR644" i="1"/>
  <c r="CR645" i="1"/>
  <c r="CR647" i="1"/>
  <c r="CR648" i="1"/>
  <c r="CR649" i="1"/>
  <c r="CR650" i="1"/>
  <c r="CR651" i="1"/>
  <c r="CR652" i="1"/>
  <c r="CR654" i="1"/>
  <c r="CR655" i="1"/>
  <c r="CR656" i="1"/>
  <c r="CR657" i="1"/>
  <c r="CR658" i="1"/>
  <c r="CR659" i="1"/>
  <c r="CR660" i="1"/>
  <c r="CR662" i="1"/>
  <c r="CR663" i="1"/>
  <c r="CR665" i="1"/>
  <c r="CR666" i="1"/>
  <c r="CR667" i="1"/>
  <c r="CR669" i="1"/>
  <c r="CR670" i="1"/>
  <c r="CR671" i="1"/>
  <c r="CR672" i="1"/>
  <c r="CR674" i="1"/>
  <c r="CR675" i="1"/>
  <c r="CR676" i="1"/>
  <c r="CR677" i="1"/>
  <c r="CR678" i="1"/>
  <c r="CR679" i="1"/>
  <c r="CR681" i="1"/>
  <c r="CR682" i="1"/>
  <c r="CR683" i="1"/>
  <c r="CR684" i="1"/>
  <c r="CR685" i="1"/>
  <c r="CR686" i="1"/>
  <c r="CR687" i="1"/>
  <c r="CR688" i="1"/>
  <c r="CR689" i="1"/>
  <c r="CR690" i="1"/>
  <c r="CR691" i="1"/>
  <c r="CR693" i="1"/>
  <c r="CR694" i="1"/>
  <c r="CR695" i="1"/>
  <c r="CR696" i="1"/>
  <c r="CR698" i="1"/>
  <c r="CR699" i="1"/>
  <c r="CR702" i="1"/>
  <c r="CR703" i="1"/>
  <c r="CR704" i="1"/>
  <c r="CR706" i="1"/>
  <c r="CR707" i="1"/>
  <c r="CR708" i="1"/>
  <c r="CR709" i="1"/>
  <c r="CR711" i="1"/>
  <c r="CR712" i="1"/>
  <c r="CR713" i="1"/>
  <c r="CR714" i="1"/>
  <c r="CR715" i="1"/>
  <c r="CR716" i="1"/>
  <c r="CR717" i="1"/>
  <c r="CR718" i="1"/>
  <c r="CR720" i="1"/>
  <c r="CR721" i="1"/>
  <c r="CR723" i="1"/>
  <c r="CR724" i="1"/>
  <c r="CR725" i="1"/>
  <c r="CR726" i="1"/>
  <c r="CR729" i="1"/>
  <c r="CR731" i="1"/>
  <c r="CR732" i="1"/>
  <c r="CR733" i="1"/>
  <c r="CR734" i="1"/>
  <c r="CR735" i="1"/>
  <c r="CR736" i="1"/>
  <c r="CR738" i="1"/>
  <c r="CR739" i="1"/>
  <c r="CR740" i="1"/>
  <c r="CR741" i="1"/>
  <c r="CR742" i="1"/>
  <c r="CR743" i="1"/>
  <c r="CR744" i="1"/>
  <c r="CR745" i="1"/>
  <c r="CR748" i="1"/>
  <c r="CR750" i="1"/>
  <c r="CR751" i="1"/>
  <c r="CR752" i="1"/>
  <c r="CR753" i="1"/>
  <c r="CR754" i="1"/>
  <c r="CR755" i="1"/>
  <c r="CR756" i="1"/>
  <c r="CR758" i="1"/>
  <c r="CR760" i="1"/>
  <c r="CR761" i="1"/>
  <c r="CR763" i="1"/>
  <c r="CR764" i="1"/>
  <c r="CR766" i="1"/>
  <c r="CR767" i="1"/>
  <c r="CR768" i="1"/>
  <c r="CR769" i="1"/>
  <c r="CR774" i="1"/>
  <c r="CR775" i="1"/>
  <c r="CR777" i="1"/>
  <c r="CR778" i="1"/>
  <c r="CR779" i="1"/>
  <c r="CR780" i="1"/>
  <c r="CR782" i="1"/>
  <c r="CR783" i="1"/>
  <c r="CR784" i="1"/>
  <c r="CR785" i="1"/>
  <c r="CR786" i="1"/>
  <c r="CR787" i="1"/>
  <c r="CR789" i="1"/>
  <c r="CR790" i="1"/>
  <c r="CR791" i="1"/>
  <c r="CR793" i="1"/>
  <c r="CR794" i="1"/>
  <c r="CR795" i="1"/>
  <c r="CR796" i="1"/>
  <c r="CR797" i="1"/>
  <c r="CR798" i="1"/>
  <c r="CR800" i="1"/>
  <c r="CR801" i="1"/>
  <c r="CR802" i="1"/>
  <c r="CR803" i="1"/>
  <c r="CR804" i="1"/>
  <c r="CR805" i="1"/>
  <c r="CR806" i="1"/>
  <c r="CR807" i="1"/>
  <c r="CR808" i="1"/>
  <c r="CR810" i="1"/>
  <c r="CR811" i="1"/>
  <c r="CR812" i="1"/>
  <c r="CR813" i="1"/>
  <c r="CR814" i="1"/>
  <c r="CR815" i="1"/>
  <c r="CR816" i="1"/>
  <c r="CR818" i="1"/>
  <c r="CR819" i="1"/>
  <c r="CR820" i="1"/>
  <c r="CR822" i="1"/>
  <c r="CR823" i="1"/>
  <c r="CR824" i="1"/>
  <c r="CR825" i="1"/>
  <c r="CR826" i="1"/>
  <c r="CR827" i="1"/>
  <c r="CR829" i="1"/>
  <c r="CR830" i="1"/>
  <c r="CR831" i="1"/>
  <c r="CR832" i="1"/>
  <c r="CR834" i="1"/>
  <c r="CR835" i="1"/>
  <c r="CR836" i="1"/>
  <c r="CR838" i="1"/>
  <c r="CR839" i="1"/>
  <c r="CR840" i="1"/>
  <c r="CR841" i="1"/>
  <c r="CR842" i="1"/>
  <c r="CR843" i="1"/>
  <c r="CR845" i="1"/>
  <c r="CR846" i="1"/>
  <c r="CR847" i="1"/>
  <c r="CR848" i="1"/>
  <c r="CR849" i="1"/>
  <c r="CR850" i="1"/>
  <c r="CR852" i="1"/>
  <c r="CR854" i="1"/>
  <c r="CR855" i="1"/>
  <c r="CR856" i="1"/>
  <c r="CR857" i="1"/>
  <c r="CR859" i="1"/>
  <c r="CR860" i="1"/>
  <c r="CR862" i="1"/>
  <c r="CR863" i="1"/>
  <c r="CR864" i="1"/>
  <c r="CR865" i="1"/>
  <c r="CR866" i="1"/>
  <c r="CR867" i="1"/>
  <c r="CR868" i="1"/>
  <c r="CR869" i="1"/>
  <c r="CR870" i="1"/>
  <c r="CR872" i="1"/>
  <c r="CR873" i="1"/>
  <c r="CR874" i="1"/>
  <c r="CR875" i="1"/>
  <c r="CR876" i="1"/>
  <c r="CR877" i="1"/>
  <c r="CR878" i="1"/>
  <c r="CR879" i="1"/>
  <c r="CR880" i="1"/>
  <c r="CR881" i="1"/>
  <c r="CR884" i="1"/>
  <c r="CR886" i="1"/>
  <c r="CR887" i="1"/>
  <c r="CR888" i="1"/>
  <c r="CR889" i="1"/>
  <c r="CR890" i="1"/>
  <c r="CR891" i="1"/>
  <c r="CR892" i="1"/>
  <c r="CR893" i="1"/>
  <c r="CR894" i="1"/>
  <c r="CR895" i="1"/>
  <c r="CR897" i="1"/>
  <c r="CR898" i="1"/>
  <c r="CR899" i="1"/>
  <c r="CR900" i="1"/>
  <c r="CR901" i="1"/>
  <c r="CR902" i="1"/>
  <c r="CR904" i="1"/>
  <c r="CR905" i="1"/>
  <c r="CR906" i="1"/>
  <c r="CR908" i="1"/>
  <c r="CR909" i="1"/>
  <c r="CR910" i="1"/>
  <c r="CR911" i="1"/>
  <c r="CR912" i="1"/>
  <c r="CR913" i="1"/>
  <c r="CR915" i="1"/>
  <c r="CR916" i="1"/>
  <c r="CR917" i="1"/>
  <c r="CR918" i="1"/>
  <c r="CR919" i="1"/>
  <c r="CR921" i="1"/>
  <c r="CR922" i="1"/>
  <c r="CR923" i="1"/>
  <c r="CR924" i="1"/>
  <c r="CR925" i="1"/>
  <c r="CR927" i="1"/>
  <c r="CR928" i="1"/>
  <c r="CR929" i="1"/>
  <c r="CR930" i="1"/>
  <c r="CR931" i="1"/>
  <c r="CR932" i="1"/>
  <c r="CR933" i="1"/>
  <c r="CR935" i="1"/>
  <c r="CR936" i="1"/>
  <c r="CR937" i="1"/>
  <c r="CR938" i="1"/>
  <c r="CR939" i="1"/>
  <c r="CR940" i="1"/>
  <c r="CR941" i="1"/>
  <c r="CR943" i="1"/>
  <c r="CR944" i="1"/>
  <c r="CR945" i="1"/>
  <c r="CR947" i="1"/>
  <c r="CR948" i="1"/>
  <c r="CR950" i="1"/>
  <c r="CR951" i="1"/>
  <c r="CR952" i="1"/>
  <c r="CR953" i="1"/>
  <c r="CR954" i="1"/>
  <c r="CR955" i="1"/>
  <c r="CR956" i="1"/>
  <c r="CR957" i="1"/>
  <c r="CR958" i="1"/>
  <c r="CR960" i="1"/>
  <c r="CR961" i="1"/>
  <c r="CR962" i="1"/>
  <c r="CR963" i="1"/>
  <c r="CR964" i="1"/>
  <c r="CR965" i="1"/>
  <c r="CR966" i="1"/>
  <c r="CR967" i="1"/>
  <c r="CR969" i="1"/>
  <c r="CR970" i="1"/>
  <c r="CR971" i="1"/>
  <c r="CR972" i="1"/>
  <c r="CR973" i="1"/>
  <c r="CR974" i="1"/>
  <c r="CR975" i="1"/>
  <c r="CR977" i="1"/>
  <c r="CR978" i="1"/>
  <c r="CR979" i="1"/>
  <c r="CR980" i="1"/>
  <c r="CR981" i="1"/>
  <c r="CR983" i="1"/>
  <c r="CR985" i="1"/>
  <c r="CR986" i="1"/>
  <c r="CR987" i="1"/>
  <c r="CR989" i="1"/>
  <c r="CR990" i="1"/>
  <c r="CR991" i="1"/>
  <c r="CR992" i="1"/>
  <c r="CR993" i="1"/>
  <c r="CR994" i="1"/>
  <c r="CR996" i="1"/>
  <c r="CR997" i="1"/>
  <c r="CR998" i="1"/>
  <c r="CR999" i="1"/>
  <c r="CR1000" i="1"/>
  <c r="CR1001" i="1"/>
  <c r="CR1002" i="1"/>
  <c r="CR1003" i="1"/>
  <c r="CR1005" i="1"/>
  <c r="CR1006" i="1"/>
  <c r="CR1007" i="1"/>
  <c r="CR1008" i="1"/>
  <c r="CR1009" i="1"/>
  <c r="CR1010" i="1"/>
  <c r="CR1011" i="1"/>
  <c r="CR1013" i="1"/>
  <c r="CR1014" i="1"/>
  <c r="CR1015" i="1"/>
  <c r="CR1016" i="1"/>
  <c r="CR1017" i="1"/>
  <c r="CR1018" i="1"/>
  <c r="CR1019" i="1"/>
  <c r="CR1020" i="1"/>
  <c r="CR1021" i="1"/>
  <c r="CR1022" i="1"/>
  <c r="CR1023" i="1"/>
  <c r="CR1025" i="1"/>
  <c r="CR1026" i="1"/>
  <c r="CR1027" i="1"/>
  <c r="CR1028" i="1"/>
  <c r="CR1029" i="1"/>
  <c r="CR1030" i="1"/>
  <c r="CR1031" i="1"/>
  <c r="CR1032" i="1"/>
  <c r="CR1033" i="1"/>
  <c r="CR1035" i="1"/>
  <c r="CR1036" i="1"/>
  <c r="CR1037" i="1"/>
  <c r="CR1038" i="1"/>
  <c r="CR1039" i="1"/>
  <c r="CR1040" i="1"/>
  <c r="CR1041" i="1"/>
  <c r="CR1042" i="1"/>
  <c r="CR1043" i="1"/>
  <c r="CR1044" i="1"/>
  <c r="CR1046" i="1"/>
  <c r="CR1047" i="1"/>
  <c r="CR1048" i="1"/>
  <c r="CR1051" i="1"/>
  <c r="CR1053" i="1"/>
  <c r="CR1054" i="1"/>
  <c r="CR1055" i="1"/>
  <c r="CR1056" i="1"/>
  <c r="CR1057" i="1"/>
  <c r="CR1059" i="1"/>
  <c r="CR1060" i="1"/>
  <c r="CR1061" i="1"/>
  <c r="CR1062" i="1"/>
  <c r="CR1063" i="1"/>
  <c r="CR1064" i="1"/>
  <c r="CR1066" i="1"/>
  <c r="CR1067" i="1"/>
  <c r="CR1068" i="1"/>
  <c r="CR1069" i="1"/>
  <c r="CR1070" i="1"/>
  <c r="CR1071" i="1"/>
  <c r="CR1072" i="1"/>
  <c r="CR1073" i="1"/>
  <c r="CR1075" i="1"/>
  <c r="CR1076" i="1"/>
  <c r="CR1077" i="1"/>
  <c r="CR1079" i="1"/>
  <c r="CR1080" i="1"/>
  <c r="CR1081" i="1"/>
  <c r="CR1082" i="1"/>
  <c r="CR1083" i="1"/>
  <c r="CR1084" i="1"/>
  <c r="CR1086" i="1"/>
  <c r="CR1087" i="1"/>
  <c r="CR1088" i="1"/>
  <c r="CR1089" i="1"/>
  <c r="CR1090" i="1"/>
  <c r="CR1091" i="1"/>
  <c r="CR1092" i="1"/>
  <c r="CR1093" i="1"/>
  <c r="CR1094" i="1"/>
  <c r="CR1097" i="1"/>
  <c r="CR1098" i="1"/>
  <c r="CR1099" i="1"/>
  <c r="CR1100" i="1"/>
  <c r="CR1101" i="1"/>
  <c r="CR1102" i="1"/>
  <c r="CR1103" i="1"/>
  <c r="CR1104" i="1"/>
  <c r="CR1105" i="1"/>
  <c r="CR1106" i="1"/>
  <c r="CR1108" i="1"/>
  <c r="CR1109" i="1"/>
  <c r="CR1110" i="1"/>
  <c r="CR1111" i="1"/>
  <c r="CR1112" i="1"/>
  <c r="CR1113" i="1"/>
  <c r="CR1115" i="1"/>
  <c r="CR1116" i="1"/>
  <c r="CR1117" i="1"/>
  <c r="CR1118" i="1"/>
  <c r="CR1120" i="1"/>
  <c r="CR1122" i="1"/>
  <c r="CR1123" i="1"/>
  <c r="CR1124" i="1"/>
  <c r="CR1126" i="1"/>
  <c r="CR1127" i="1"/>
  <c r="CR1128" i="1"/>
  <c r="CR1129" i="1"/>
  <c r="CR1130" i="1"/>
  <c r="CR1132" i="1"/>
  <c r="CR1133" i="1"/>
  <c r="CR1135" i="1"/>
  <c r="CR1136" i="1"/>
  <c r="CR1137" i="1"/>
  <c r="CR1138" i="1"/>
  <c r="CR1139" i="1"/>
  <c r="CR1140" i="1"/>
  <c r="CR1142" i="1"/>
  <c r="CR1143" i="1"/>
  <c r="CR1144" i="1"/>
  <c r="CR1145" i="1"/>
  <c r="CR1146" i="1"/>
  <c r="CR1147" i="1"/>
  <c r="CR1148" i="1"/>
  <c r="CR1149" i="1"/>
  <c r="CR1150" i="1"/>
  <c r="CR1152" i="1"/>
  <c r="CR1153" i="1"/>
  <c r="CR1154" i="1"/>
  <c r="CR1155" i="1"/>
  <c r="CR1157" i="1"/>
  <c r="CR1158" i="1"/>
  <c r="CR1159" i="1"/>
  <c r="CR1160" i="1"/>
  <c r="CR1161" i="1"/>
  <c r="CR1162" i="1"/>
  <c r="CR1163" i="1"/>
  <c r="CR1164" i="1"/>
  <c r="CR1165" i="1"/>
  <c r="CR1167" i="1"/>
  <c r="CR1168" i="1"/>
  <c r="CR1169" i="1"/>
  <c r="CR1170" i="1"/>
  <c r="CR1172" i="1"/>
  <c r="CR1173" i="1"/>
  <c r="CR1174" i="1"/>
  <c r="CR1175" i="1"/>
  <c r="CR1177" i="1"/>
  <c r="CR1178" i="1"/>
  <c r="CR1179" i="1"/>
  <c r="CR1180" i="1"/>
  <c r="CR1181" i="1"/>
  <c r="CR1182" i="1"/>
  <c r="CR1183" i="1"/>
  <c r="CR1185" i="1"/>
  <c r="CR1186" i="1"/>
  <c r="CR1187" i="1"/>
  <c r="CR1188" i="1"/>
  <c r="CR1189" i="1"/>
  <c r="CR1190" i="1"/>
  <c r="CR1192" i="1"/>
  <c r="CR1194" i="1"/>
  <c r="CR1195" i="1"/>
  <c r="CR1196" i="1"/>
  <c r="CR1199" i="1"/>
  <c r="CR1201" i="1"/>
  <c r="CR1202" i="1"/>
  <c r="CR1203" i="1"/>
  <c r="CR1204" i="1"/>
  <c r="CR1205" i="1"/>
  <c r="CR1206" i="1"/>
  <c r="CR1207" i="1"/>
  <c r="CR1209" i="1"/>
  <c r="CR1210" i="1"/>
  <c r="CR1211" i="1"/>
  <c r="CR1212" i="1"/>
  <c r="CR1213" i="1"/>
  <c r="CR1214" i="1"/>
  <c r="CR1215" i="1"/>
  <c r="CR1216" i="1"/>
  <c r="CR1217" i="1"/>
  <c r="CR1219" i="1"/>
  <c r="CR1220" i="1"/>
  <c r="CR1222" i="1"/>
  <c r="CR1223" i="1"/>
  <c r="CR1224" i="1"/>
  <c r="CR1225" i="1"/>
  <c r="CR1226" i="1"/>
  <c r="CR1227" i="1"/>
  <c r="CR1229" i="1"/>
  <c r="CR1230" i="1"/>
  <c r="CR1231" i="1"/>
  <c r="CR1232" i="1"/>
  <c r="CR1233" i="1"/>
  <c r="CR1234" i="1"/>
  <c r="CR1235" i="1"/>
  <c r="CR1236" i="1"/>
  <c r="CR1238" i="1"/>
  <c r="CR1240" i="1"/>
  <c r="CR1241" i="1"/>
  <c r="CR1242" i="1"/>
  <c r="CR1244" i="1"/>
  <c r="CR1245" i="1"/>
  <c r="CR1246" i="1"/>
  <c r="CR1247" i="1"/>
  <c r="CR1248" i="1"/>
  <c r="CR1250" i="1"/>
  <c r="CR1251" i="1"/>
  <c r="CR1252" i="1"/>
  <c r="CR1253" i="1"/>
  <c r="CR1254" i="1"/>
  <c r="CR1255" i="1"/>
  <c r="CR1256" i="1"/>
  <c r="CR1257" i="1"/>
  <c r="CR1258" i="1"/>
  <c r="CR1259" i="1"/>
  <c r="CR1261" i="1"/>
  <c r="CR1262" i="1"/>
  <c r="CR1263" i="1"/>
  <c r="CR1265" i="1"/>
  <c r="CR1266" i="1"/>
  <c r="CR1267" i="1"/>
  <c r="CR1268" i="1"/>
  <c r="CR1272" i="1"/>
  <c r="CR1274" i="1"/>
  <c r="CR1275" i="1"/>
  <c r="CR1276" i="1"/>
  <c r="CR1277" i="1"/>
  <c r="CR1278" i="1"/>
  <c r="CR1279" i="1"/>
  <c r="CR1280" i="1"/>
  <c r="CR1283" i="1"/>
  <c r="CR1284" i="1"/>
  <c r="CR1285" i="1"/>
  <c r="CR1286" i="1"/>
  <c r="CR1287" i="1"/>
  <c r="CR1288" i="1"/>
  <c r="CR1289" i="1"/>
  <c r="CR1291" i="1"/>
  <c r="CR1292" i="1"/>
  <c r="CR1293" i="1"/>
  <c r="CR1294" i="1"/>
  <c r="CR1295" i="1"/>
  <c r="CR1296" i="1"/>
  <c r="CR1297" i="1"/>
  <c r="CR1298" i="1"/>
  <c r="CR1299" i="1"/>
  <c r="CR1300" i="1"/>
  <c r="CR1301" i="1"/>
  <c r="CR1303" i="1"/>
  <c r="CR1304" i="1"/>
  <c r="CR1305" i="1"/>
  <c r="CR1306" i="1"/>
  <c r="CR1307" i="1"/>
  <c r="CR1308" i="1"/>
  <c r="CR1309" i="1"/>
  <c r="CR1310" i="1"/>
  <c r="CR1311" i="1"/>
  <c r="CR1312" i="1"/>
  <c r="CR1313" i="1"/>
  <c r="CS67" i="1"/>
  <c r="CS68" i="1"/>
  <c r="CS69" i="1"/>
  <c r="CS70" i="1"/>
  <c r="CS71" i="1"/>
  <c r="CS72" i="1"/>
  <c r="CS73" i="1"/>
  <c r="CS74" i="1"/>
  <c r="CS76" i="1"/>
  <c r="CS77" i="1"/>
  <c r="CS78" i="1"/>
  <c r="CS79" i="1"/>
  <c r="CS80" i="1"/>
  <c r="CS81" i="1"/>
  <c r="CS82" i="1"/>
  <c r="CS84" i="1"/>
  <c r="CS85" i="1"/>
  <c r="CS86" i="1"/>
  <c r="CS87" i="1"/>
  <c r="CS88" i="1"/>
  <c r="CS89" i="1"/>
  <c r="CS90" i="1"/>
  <c r="CS92" i="1"/>
  <c r="CS93" i="1"/>
  <c r="CS94" i="1"/>
  <c r="CS95" i="1"/>
  <c r="CS96" i="1"/>
  <c r="CS97" i="1"/>
  <c r="CS98" i="1"/>
  <c r="CS101" i="1"/>
  <c r="CS103" i="1"/>
  <c r="CS104" i="1"/>
  <c r="CS105" i="1"/>
  <c r="CS106" i="1"/>
  <c r="CS107" i="1"/>
  <c r="CS108" i="1"/>
  <c r="CS109" i="1"/>
  <c r="CS112" i="1"/>
  <c r="CS113" i="1"/>
  <c r="CS114" i="1"/>
  <c r="CS115" i="1"/>
  <c r="CS116" i="1"/>
  <c r="CS117" i="1"/>
  <c r="CS118" i="1"/>
  <c r="CS119" i="1"/>
  <c r="CS120" i="1"/>
  <c r="CS122" i="1"/>
  <c r="CS124" i="1"/>
  <c r="CS125" i="1"/>
  <c r="CS126" i="1"/>
  <c r="CS129" i="1"/>
  <c r="CS131" i="1"/>
  <c r="CS132" i="1"/>
  <c r="CS136" i="1"/>
  <c r="CS138" i="1"/>
  <c r="CS139" i="1"/>
  <c r="CS140" i="1"/>
  <c r="CS141" i="1"/>
  <c r="CS142" i="1"/>
  <c r="CS144" i="1"/>
  <c r="CS145" i="1"/>
  <c r="CS146" i="1"/>
  <c r="CS147" i="1"/>
  <c r="CS148" i="1"/>
  <c r="CS149" i="1"/>
  <c r="CS151" i="1"/>
  <c r="CS152" i="1"/>
  <c r="CS153" i="1"/>
  <c r="CS154" i="1"/>
  <c r="CS155" i="1"/>
  <c r="CS156" i="1"/>
  <c r="CS157" i="1"/>
  <c r="CS158" i="1"/>
  <c r="CS160" i="1"/>
  <c r="CS161" i="1"/>
  <c r="CS162" i="1"/>
  <c r="CS163" i="1"/>
  <c r="CS165" i="1"/>
  <c r="CS166" i="1"/>
  <c r="CS167" i="1"/>
  <c r="CS168" i="1"/>
  <c r="CS169" i="1"/>
  <c r="CS170" i="1"/>
  <c r="CS172" i="1"/>
  <c r="CS173" i="1"/>
  <c r="CS175" i="1"/>
  <c r="CS176" i="1"/>
  <c r="CS177" i="1"/>
  <c r="CS178" i="1"/>
  <c r="CS179" i="1"/>
  <c r="CS180" i="1"/>
  <c r="CS181" i="1"/>
  <c r="CS182" i="1"/>
  <c r="CS183" i="1"/>
  <c r="CS184" i="1"/>
  <c r="CS186" i="1"/>
  <c r="CS187" i="1"/>
  <c r="CS188" i="1"/>
  <c r="CS189" i="1"/>
  <c r="CS190" i="1"/>
  <c r="CS191" i="1"/>
  <c r="CS192" i="1"/>
  <c r="CS193" i="1"/>
  <c r="CS195" i="1"/>
  <c r="CS196" i="1"/>
  <c r="CS197" i="1"/>
  <c r="CS198" i="1"/>
  <c r="CS200" i="1"/>
  <c r="CS201" i="1"/>
  <c r="CS202" i="1"/>
  <c r="CS203" i="1"/>
  <c r="CS204" i="1"/>
  <c r="CS205" i="1"/>
  <c r="CS206" i="1"/>
  <c r="CS207" i="1"/>
  <c r="CS209" i="1"/>
  <c r="CS210" i="1"/>
  <c r="CS211" i="1"/>
  <c r="CS212" i="1"/>
  <c r="CS213" i="1"/>
  <c r="CS214" i="1"/>
  <c r="CS215" i="1"/>
  <c r="CS217" i="1"/>
  <c r="CS218" i="1"/>
  <c r="CS219" i="1"/>
  <c r="CS220" i="1"/>
  <c r="CS221" i="1"/>
  <c r="CS222" i="1"/>
  <c r="CS225" i="1"/>
  <c r="CS226" i="1"/>
  <c r="CS227" i="1"/>
  <c r="CS228" i="1"/>
  <c r="CS229" i="1"/>
  <c r="CS231" i="1"/>
  <c r="CS232" i="1"/>
  <c r="CS233" i="1"/>
  <c r="CS234" i="1"/>
  <c r="CS235" i="1"/>
  <c r="CS236" i="1"/>
  <c r="CS237" i="1"/>
  <c r="CS238" i="1"/>
  <c r="CS240" i="1"/>
  <c r="CS241" i="1"/>
  <c r="CS242" i="1"/>
  <c r="CS243" i="1"/>
  <c r="CS244" i="1"/>
  <c r="CS245" i="1"/>
  <c r="CS246" i="1"/>
  <c r="CS247" i="1"/>
  <c r="CS249" i="1"/>
  <c r="CS250" i="1"/>
  <c r="CS251" i="1"/>
  <c r="CS252" i="1"/>
  <c r="CS253" i="1"/>
  <c r="CS254" i="1"/>
  <c r="CS255" i="1"/>
  <c r="CS256" i="1"/>
  <c r="CS258" i="1"/>
  <c r="CS259" i="1"/>
  <c r="CS260" i="1"/>
  <c r="CS261" i="1"/>
  <c r="CS262" i="1"/>
  <c r="CS263" i="1"/>
  <c r="CS264" i="1"/>
  <c r="CS265" i="1"/>
  <c r="CS266" i="1"/>
  <c r="CS268" i="1"/>
  <c r="CS269" i="1"/>
  <c r="CS270" i="1"/>
  <c r="CS271" i="1"/>
  <c r="CS272" i="1"/>
  <c r="CS273" i="1"/>
  <c r="CS274" i="1"/>
  <c r="CS275" i="1"/>
  <c r="CS276" i="1"/>
  <c r="CS278" i="1"/>
  <c r="CS279" i="1"/>
  <c r="CS280" i="1"/>
  <c r="CS281" i="1"/>
  <c r="CS282" i="1"/>
  <c r="CS283" i="1"/>
  <c r="CS285" i="1"/>
  <c r="CS286" i="1"/>
  <c r="CS287" i="1"/>
  <c r="CS288" i="1"/>
  <c r="CS291" i="1"/>
  <c r="CS292" i="1"/>
  <c r="CS293" i="1"/>
  <c r="CS294" i="1"/>
  <c r="CS296" i="1"/>
  <c r="CS297" i="1"/>
  <c r="CS298" i="1"/>
  <c r="CS299" i="1"/>
  <c r="CS300" i="1"/>
  <c r="CS301" i="1"/>
  <c r="CS302" i="1"/>
  <c r="CS303" i="1"/>
  <c r="CS305" i="1"/>
  <c r="CS306" i="1"/>
  <c r="CS307" i="1"/>
  <c r="CS308" i="1"/>
  <c r="CS309" i="1"/>
  <c r="CS310" i="1"/>
  <c r="CS311" i="1"/>
  <c r="CS312" i="1"/>
  <c r="CS313" i="1"/>
  <c r="CS314" i="1"/>
  <c r="CS316" i="1"/>
  <c r="CS317" i="1"/>
  <c r="CS318" i="1"/>
  <c r="CS319" i="1"/>
  <c r="CS320" i="1"/>
  <c r="CS321" i="1"/>
  <c r="CS322" i="1"/>
  <c r="CS323" i="1"/>
  <c r="CS324" i="1"/>
  <c r="CS325" i="1"/>
  <c r="CS326" i="1"/>
  <c r="CS327" i="1"/>
  <c r="CS329" i="1"/>
  <c r="CS330" i="1"/>
  <c r="CS332" i="1"/>
  <c r="CS333" i="1"/>
  <c r="CS334" i="1"/>
  <c r="CS335" i="1"/>
  <c r="CS336" i="1"/>
  <c r="CS337" i="1"/>
  <c r="CS338" i="1"/>
  <c r="CS340" i="1"/>
  <c r="CS341" i="1"/>
  <c r="CS342" i="1"/>
  <c r="CS343" i="1"/>
  <c r="CS344" i="1"/>
  <c r="CS345" i="1"/>
  <c r="CS346" i="1"/>
  <c r="CS347" i="1"/>
  <c r="CS348" i="1"/>
  <c r="CS349" i="1"/>
  <c r="CS351" i="1"/>
  <c r="CS352" i="1"/>
  <c r="CS353" i="1"/>
  <c r="CS354" i="1"/>
  <c r="CS355" i="1"/>
  <c r="CS356" i="1"/>
  <c r="CS358" i="1"/>
  <c r="CS359" i="1"/>
  <c r="CS360" i="1"/>
  <c r="CS361" i="1"/>
  <c r="CS362" i="1"/>
  <c r="CS363" i="1"/>
  <c r="CS364" i="1"/>
  <c r="CS365" i="1"/>
  <c r="CS367" i="1"/>
  <c r="CS368" i="1"/>
  <c r="CS369" i="1"/>
  <c r="CS371" i="1"/>
  <c r="CS372" i="1"/>
  <c r="CS373" i="1"/>
  <c r="CS375" i="1"/>
  <c r="CS376" i="1"/>
  <c r="CS378" i="1"/>
  <c r="CS379" i="1"/>
  <c r="CS380" i="1"/>
  <c r="CS381" i="1"/>
  <c r="CS382" i="1"/>
  <c r="CS383" i="1"/>
  <c r="CS385" i="1"/>
  <c r="CS386" i="1"/>
  <c r="CS387" i="1"/>
  <c r="CS388" i="1"/>
  <c r="CS389" i="1"/>
  <c r="CS390" i="1"/>
  <c r="CS391" i="1"/>
  <c r="CS393" i="1"/>
  <c r="CS394" i="1"/>
  <c r="CS395" i="1"/>
  <c r="CS396" i="1"/>
  <c r="CS397" i="1"/>
  <c r="CS398" i="1"/>
  <c r="CS399" i="1"/>
  <c r="CS400" i="1"/>
  <c r="CS401" i="1"/>
  <c r="CS403" i="1"/>
  <c r="CS404" i="1"/>
  <c r="CS405" i="1"/>
  <c r="CS406" i="1"/>
  <c r="CS407" i="1"/>
  <c r="CS408" i="1"/>
  <c r="CS409" i="1"/>
  <c r="CS410" i="1"/>
  <c r="CS411" i="1"/>
  <c r="CS413" i="1"/>
  <c r="CS414" i="1"/>
  <c r="CS415" i="1"/>
  <c r="CS416" i="1"/>
  <c r="CS417" i="1"/>
  <c r="CS418" i="1"/>
  <c r="CS421" i="1"/>
  <c r="CS422" i="1"/>
  <c r="CS423" i="1"/>
  <c r="CS424" i="1"/>
  <c r="CS425" i="1"/>
  <c r="CS426" i="1"/>
  <c r="CS427" i="1"/>
  <c r="CS428" i="1"/>
  <c r="CS430" i="1"/>
  <c r="CS431" i="1"/>
  <c r="CS432" i="1"/>
  <c r="CS433" i="1"/>
  <c r="CS434" i="1"/>
  <c r="CS435" i="1"/>
  <c r="CS436" i="1"/>
  <c r="CS438" i="1"/>
  <c r="CS439" i="1"/>
  <c r="CS440" i="1"/>
  <c r="CS441" i="1"/>
  <c r="CS442" i="1"/>
  <c r="CS443" i="1"/>
  <c r="CS445" i="1"/>
  <c r="CS446" i="1"/>
  <c r="CS447" i="1"/>
  <c r="CS448" i="1"/>
  <c r="CS449" i="1"/>
  <c r="CS450" i="1"/>
  <c r="CS451" i="1"/>
  <c r="CS452" i="1"/>
  <c r="CS454" i="1"/>
  <c r="CS455" i="1"/>
  <c r="CS456" i="1"/>
  <c r="CS457" i="1"/>
  <c r="CS459" i="1"/>
  <c r="CS460" i="1"/>
  <c r="CS461" i="1"/>
  <c r="CS462" i="1"/>
  <c r="CS463" i="1"/>
  <c r="CS464" i="1"/>
  <c r="CS465" i="1"/>
  <c r="CS466" i="1"/>
  <c r="CS468" i="1"/>
  <c r="CS469" i="1"/>
  <c r="CS470" i="1"/>
  <c r="CS471" i="1"/>
  <c r="CS472" i="1"/>
  <c r="CS473" i="1"/>
  <c r="CS474" i="1"/>
  <c r="CS475" i="1"/>
  <c r="CS476" i="1"/>
  <c r="CS478" i="1"/>
  <c r="CS479" i="1"/>
  <c r="CS480" i="1"/>
  <c r="CS481" i="1"/>
  <c r="CS482" i="1"/>
  <c r="CS483" i="1"/>
  <c r="CS485" i="1"/>
  <c r="CS486" i="1"/>
  <c r="CS487" i="1"/>
  <c r="CS488" i="1"/>
  <c r="CS489" i="1"/>
  <c r="CS490" i="1"/>
  <c r="CS491" i="1"/>
  <c r="CS492" i="1"/>
  <c r="CS493" i="1"/>
  <c r="CS495" i="1"/>
  <c r="CS496" i="1"/>
  <c r="CS497" i="1"/>
  <c r="CS498" i="1"/>
  <c r="CS499" i="1"/>
  <c r="CS500" i="1"/>
  <c r="CS502" i="1"/>
  <c r="CS503" i="1"/>
  <c r="CS504" i="1"/>
  <c r="CS505" i="1"/>
  <c r="CS506" i="1"/>
  <c r="CS507" i="1"/>
  <c r="CS508" i="1"/>
  <c r="CS510" i="1"/>
  <c r="CS511" i="1"/>
  <c r="CS512" i="1"/>
  <c r="CS514" i="1"/>
  <c r="CS515" i="1"/>
  <c r="CS516" i="1"/>
  <c r="CS517" i="1"/>
  <c r="CS518" i="1"/>
  <c r="CS520" i="1"/>
  <c r="CS521" i="1"/>
  <c r="CS522" i="1"/>
  <c r="CS523" i="1"/>
  <c r="CS524" i="1"/>
  <c r="CS525" i="1"/>
  <c r="CS526" i="1"/>
  <c r="CS527" i="1"/>
  <c r="CS529" i="1"/>
  <c r="CS530" i="1"/>
  <c r="CS531" i="1"/>
  <c r="CS532" i="1"/>
  <c r="CS533" i="1"/>
  <c r="CS534" i="1"/>
  <c r="CS535" i="1"/>
  <c r="CS536" i="1"/>
  <c r="CS538" i="1"/>
  <c r="CS539" i="1"/>
  <c r="CS540" i="1"/>
  <c r="CS541" i="1"/>
  <c r="CS542" i="1"/>
  <c r="CS543" i="1"/>
  <c r="CS544" i="1"/>
  <c r="CS545" i="1"/>
  <c r="CS546" i="1"/>
  <c r="CS548" i="1"/>
  <c r="CS549" i="1"/>
  <c r="CS550" i="1"/>
  <c r="CS551" i="1"/>
  <c r="CS552" i="1"/>
  <c r="CS553" i="1"/>
  <c r="CS554" i="1"/>
  <c r="CS555" i="1"/>
  <c r="CS557" i="1"/>
  <c r="CS558" i="1"/>
  <c r="CS559" i="1"/>
  <c r="CS560" i="1"/>
  <c r="CS561" i="1"/>
  <c r="CS562" i="1"/>
  <c r="CS564" i="1"/>
  <c r="CS565" i="1"/>
  <c r="CS566" i="1"/>
  <c r="CS567" i="1"/>
  <c r="CS569" i="1"/>
  <c r="CS570" i="1"/>
  <c r="CS572" i="1"/>
  <c r="CS573" i="1"/>
  <c r="CS574" i="1"/>
  <c r="CS576" i="1"/>
  <c r="CS577" i="1"/>
  <c r="CS578" i="1"/>
  <c r="CS579" i="1"/>
  <c r="CS580" i="1"/>
  <c r="CS581" i="1"/>
  <c r="CS583" i="1"/>
  <c r="CS584" i="1"/>
  <c r="CS586" i="1"/>
  <c r="CS587" i="1"/>
  <c r="CS588" i="1"/>
  <c r="CS590" i="1"/>
  <c r="CS591" i="1"/>
  <c r="CS592" i="1"/>
  <c r="CS593" i="1"/>
  <c r="CS594" i="1"/>
  <c r="CS595" i="1"/>
  <c r="CS596" i="1"/>
  <c r="CS597" i="1"/>
  <c r="CS598" i="1"/>
  <c r="CS600" i="1"/>
  <c r="CS601" i="1"/>
  <c r="CS603" i="1"/>
  <c r="CS604" i="1"/>
  <c r="CS605" i="1"/>
  <c r="CS607" i="1"/>
  <c r="CS608" i="1"/>
  <c r="CS609" i="1"/>
  <c r="CS610" i="1"/>
  <c r="CS611" i="1"/>
  <c r="CS612" i="1"/>
  <c r="CS614" i="1"/>
  <c r="CS615" i="1"/>
  <c r="CS617" i="1"/>
  <c r="CS618" i="1"/>
  <c r="CS619" i="1"/>
  <c r="CS620" i="1"/>
  <c r="CS622" i="1"/>
  <c r="CS623" i="1"/>
  <c r="CS624" i="1"/>
  <c r="CS625" i="1"/>
  <c r="CS626" i="1"/>
  <c r="CS628" i="1"/>
  <c r="CS629" i="1"/>
  <c r="CS630" i="1"/>
  <c r="CS631" i="1"/>
  <c r="CS632" i="1"/>
  <c r="CS633" i="1"/>
  <c r="CS634" i="1"/>
  <c r="CS636" i="1"/>
  <c r="CS637" i="1"/>
  <c r="CS638" i="1"/>
  <c r="CS639" i="1"/>
  <c r="CS641" i="1"/>
  <c r="CS643" i="1"/>
  <c r="CS644" i="1"/>
  <c r="CS645" i="1"/>
  <c r="CS647" i="1"/>
  <c r="CS648" i="1"/>
  <c r="CS649" i="1"/>
  <c r="CS650" i="1"/>
  <c r="CS651" i="1"/>
  <c r="CS652" i="1"/>
  <c r="CS654" i="1"/>
  <c r="CS655" i="1"/>
  <c r="CS656" i="1"/>
  <c r="CS657" i="1"/>
  <c r="CS658" i="1"/>
  <c r="CS659" i="1"/>
  <c r="CS660" i="1"/>
  <c r="CS662" i="1"/>
  <c r="CS663" i="1"/>
  <c r="CS665" i="1"/>
  <c r="CS666" i="1"/>
  <c r="CS667" i="1"/>
  <c r="CS669" i="1"/>
  <c r="CS670" i="1"/>
  <c r="CS671" i="1"/>
  <c r="CS672" i="1"/>
  <c r="CS674" i="1"/>
  <c r="CS675" i="1"/>
  <c r="CS676" i="1"/>
  <c r="CS677" i="1"/>
  <c r="CS678" i="1"/>
  <c r="CS679" i="1"/>
  <c r="CS681" i="1"/>
  <c r="CS682" i="1"/>
  <c r="CS683" i="1"/>
  <c r="CS684" i="1"/>
  <c r="CS685" i="1"/>
  <c r="CS686" i="1"/>
  <c r="CS687" i="1"/>
  <c r="CS688" i="1"/>
  <c r="CS689" i="1"/>
  <c r="CS690" i="1"/>
  <c r="CS691" i="1"/>
  <c r="CS693" i="1"/>
  <c r="CS694" i="1"/>
  <c r="CS695" i="1"/>
  <c r="CS696" i="1"/>
  <c r="CS698" i="1"/>
  <c r="CS699" i="1"/>
  <c r="CS702" i="1"/>
  <c r="CS703" i="1"/>
  <c r="CS704" i="1"/>
  <c r="CS706" i="1"/>
  <c r="CS707" i="1"/>
  <c r="CS708" i="1"/>
  <c r="CS709" i="1"/>
  <c r="CS711" i="1"/>
  <c r="CS712" i="1"/>
  <c r="CS713" i="1"/>
  <c r="CS714" i="1"/>
  <c r="CS715" i="1"/>
  <c r="CS716" i="1"/>
  <c r="CS717" i="1"/>
  <c r="CS718" i="1"/>
  <c r="CS720" i="1"/>
  <c r="CS721" i="1"/>
  <c r="CS723" i="1"/>
  <c r="CS724" i="1"/>
  <c r="CS725" i="1"/>
  <c r="CS726" i="1"/>
  <c r="CS729" i="1"/>
  <c r="CS731" i="1"/>
  <c r="CS732" i="1"/>
  <c r="CS733" i="1"/>
  <c r="CS734" i="1"/>
  <c r="CS735" i="1"/>
  <c r="CS736" i="1"/>
  <c r="CS738" i="1"/>
  <c r="CS739" i="1"/>
  <c r="CS740" i="1"/>
  <c r="CS741" i="1"/>
  <c r="CS742" i="1"/>
  <c r="CS743" i="1"/>
  <c r="CS744" i="1"/>
  <c r="CS745" i="1"/>
  <c r="CS748" i="1"/>
  <c r="CS750" i="1"/>
  <c r="CS751" i="1"/>
  <c r="CS752" i="1"/>
  <c r="CS753" i="1"/>
  <c r="CS754" i="1"/>
  <c r="CS755" i="1"/>
  <c r="CS756" i="1"/>
  <c r="CS758" i="1"/>
  <c r="CS760" i="1"/>
  <c r="CS761" i="1"/>
  <c r="CS763" i="1"/>
  <c r="CS764" i="1"/>
  <c r="CS766" i="1"/>
  <c r="CS767" i="1"/>
  <c r="CS768" i="1"/>
  <c r="CS769" i="1"/>
  <c r="CS774" i="1"/>
  <c r="CS775" i="1"/>
  <c r="CS777" i="1"/>
  <c r="CS778" i="1"/>
  <c r="CS779" i="1"/>
  <c r="CS780" i="1"/>
  <c r="CS782" i="1"/>
  <c r="CS783" i="1"/>
  <c r="CS784" i="1"/>
  <c r="CS785" i="1"/>
  <c r="CS786" i="1"/>
  <c r="CS787" i="1"/>
  <c r="CS789" i="1"/>
  <c r="CS790" i="1"/>
  <c r="CS791" i="1"/>
  <c r="CS793" i="1"/>
  <c r="CS794" i="1"/>
  <c r="CS795" i="1"/>
  <c r="CS796" i="1"/>
  <c r="CS797" i="1"/>
  <c r="CS798" i="1"/>
  <c r="CS800" i="1"/>
  <c r="CS801" i="1"/>
  <c r="CS802" i="1"/>
  <c r="CS803" i="1"/>
  <c r="CS804" i="1"/>
  <c r="CS805" i="1"/>
  <c r="CS806" i="1"/>
  <c r="CS807" i="1"/>
  <c r="CS808" i="1"/>
  <c r="CS810" i="1"/>
  <c r="CS811" i="1"/>
  <c r="CS812" i="1"/>
  <c r="CS813" i="1"/>
  <c r="CS814" i="1"/>
  <c r="CS815" i="1"/>
  <c r="CS816" i="1"/>
  <c r="CS818" i="1"/>
  <c r="CS819" i="1"/>
  <c r="CS820" i="1"/>
  <c r="CS822" i="1"/>
  <c r="CS823" i="1"/>
  <c r="CS824" i="1"/>
  <c r="CS825" i="1"/>
  <c r="CS826" i="1"/>
  <c r="CS827" i="1"/>
  <c r="CS829" i="1"/>
  <c r="CS830" i="1"/>
  <c r="CS831" i="1"/>
  <c r="CS832" i="1"/>
  <c r="CS834" i="1"/>
  <c r="CS835" i="1"/>
  <c r="CS836" i="1"/>
  <c r="CS838" i="1"/>
  <c r="CS839" i="1"/>
  <c r="CS840" i="1"/>
  <c r="CS841" i="1"/>
  <c r="CS842" i="1"/>
  <c r="CS843" i="1"/>
  <c r="CS845" i="1"/>
  <c r="CS846" i="1"/>
  <c r="CS847" i="1"/>
  <c r="CS848" i="1"/>
  <c r="CS849" i="1"/>
  <c r="CS850" i="1"/>
  <c r="CS852" i="1"/>
  <c r="CS854" i="1"/>
  <c r="CS855" i="1"/>
  <c r="CS856" i="1"/>
  <c r="CS857" i="1"/>
  <c r="CS859" i="1"/>
  <c r="CS860" i="1"/>
  <c r="CS862" i="1"/>
  <c r="CS863" i="1"/>
  <c r="CS864" i="1"/>
  <c r="CS865" i="1"/>
  <c r="CS866" i="1"/>
  <c r="CS867" i="1"/>
  <c r="CS868" i="1"/>
  <c r="CS869" i="1"/>
  <c r="CS870" i="1"/>
  <c r="CS872" i="1"/>
  <c r="CS873" i="1"/>
  <c r="CS874" i="1"/>
  <c r="CS875" i="1"/>
  <c r="CS876" i="1"/>
  <c r="CS877" i="1"/>
  <c r="CS878" i="1"/>
  <c r="CS879" i="1"/>
  <c r="CS880" i="1"/>
  <c r="CS881" i="1"/>
  <c r="CS884" i="1"/>
  <c r="CS886" i="1"/>
  <c r="CS887" i="1"/>
  <c r="CS888" i="1"/>
  <c r="CS889" i="1"/>
  <c r="CS890" i="1"/>
  <c r="CS891" i="1"/>
  <c r="CS892" i="1"/>
  <c r="CS893" i="1"/>
  <c r="CS894" i="1"/>
  <c r="CS895" i="1"/>
  <c r="CS897" i="1"/>
  <c r="CS898" i="1"/>
  <c r="CS899" i="1"/>
  <c r="CS900" i="1"/>
  <c r="CS901" i="1"/>
  <c r="CS902" i="1"/>
  <c r="CS904" i="1"/>
  <c r="CS905" i="1"/>
  <c r="CS906" i="1"/>
  <c r="CS908" i="1"/>
  <c r="CS909" i="1"/>
  <c r="CS910" i="1"/>
  <c r="CS911" i="1"/>
  <c r="CS912" i="1"/>
  <c r="CS913" i="1"/>
  <c r="CS915" i="1"/>
  <c r="CS916" i="1"/>
  <c r="CS917" i="1"/>
  <c r="CS918" i="1"/>
  <c r="CS919" i="1"/>
  <c r="CS921" i="1"/>
  <c r="CS922" i="1"/>
  <c r="CS923" i="1"/>
  <c r="CS924" i="1"/>
  <c r="CS925" i="1"/>
  <c r="CS927" i="1"/>
  <c r="CS928" i="1"/>
  <c r="CS929" i="1"/>
  <c r="CS930" i="1"/>
  <c r="CS931" i="1"/>
  <c r="CS932" i="1"/>
  <c r="CS933" i="1"/>
  <c r="CS935" i="1"/>
  <c r="CS936" i="1"/>
  <c r="CS937" i="1"/>
  <c r="CS938" i="1"/>
  <c r="CS939" i="1"/>
  <c r="CS940" i="1"/>
  <c r="CS941" i="1"/>
  <c r="CS943" i="1"/>
  <c r="CS944" i="1"/>
  <c r="CS945" i="1"/>
  <c r="CS947" i="1"/>
  <c r="CS948" i="1"/>
  <c r="CS950" i="1"/>
  <c r="CS951" i="1"/>
  <c r="CS952" i="1"/>
  <c r="CS953" i="1"/>
  <c r="CS954" i="1"/>
  <c r="CS955" i="1"/>
  <c r="CS956" i="1"/>
  <c r="CS957" i="1"/>
  <c r="CS958" i="1"/>
  <c r="CS960" i="1"/>
  <c r="CS961" i="1"/>
  <c r="CS962" i="1"/>
  <c r="CS963" i="1"/>
  <c r="CS964" i="1"/>
  <c r="CS965" i="1"/>
  <c r="CS966" i="1"/>
  <c r="CS967" i="1"/>
  <c r="CS969" i="1"/>
  <c r="CS970" i="1"/>
  <c r="CS971" i="1"/>
  <c r="CS972" i="1"/>
  <c r="CS973" i="1"/>
  <c r="CS974" i="1"/>
  <c r="CS975" i="1"/>
  <c r="CS977" i="1"/>
  <c r="CS978" i="1"/>
  <c r="CS979" i="1"/>
  <c r="CS980" i="1"/>
  <c r="CS981" i="1"/>
  <c r="CS983" i="1"/>
  <c r="CS985" i="1"/>
  <c r="CS986" i="1"/>
  <c r="CS987" i="1"/>
  <c r="CS989" i="1"/>
  <c r="CS990" i="1"/>
  <c r="CS991" i="1"/>
  <c r="CS992" i="1"/>
  <c r="CS993" i="1"/>
  <c r="CS994" i="1"/>
  <c r="CS996" i="1"/>
  <c r="CS997" i="1"/>
  <c r="CS998" i="1"/>
  <c r="CS999" i="1"/>
  <c r="CS1000" i="1"/>
  <c r="CS1001" i="1"/>
  <c r="CS1002" i="1"/>
  <c r="CS1003" i="1"/>
  <c r="CS1005" i="1"/>
  <c r="CS1006" i="1"/>
  <c r="CS1007" i="1"/>
  <c r="CS1008" i="1"/>
  <c r="CS1009" i="1"/>
  <c r="CS1010" i="1"/>
  <c r="CS1011" i="1"/>
  <c r="CS1013" i="1"/>
  <c r="CS1014" i="1"/>
  <c r="CS1015" i="1"/>
  <c r="CS1016" i="1"/>
  <c r="CS1017" i="1"/>
  <c r="CS1018" i="1"/>
  <c r="CS1019" i="1"/>
  <c r="CS1020" i="1"/>
  <c r="CS1021" i="1"/>
  <c r="CS1022" i="1"/>
  <c r="CS1023" i="1"/>
  <c r="CS1025" i="1"/>
  <c r="CS1026" i="1"/>
  <c r="CS1027" i="1"/>
  <c r="CS1028" i="1"/>
  <c r="CS1029" i="1"/>
  <c r="CS1030" i="1"/>
  <c r="CS1031" i="1"/>
  <c r="CS1032" i="1"/>
  <c r="CS1033" i="1"/>
  <c r="CS1035" i="1"/>
  <c r="CS1036" i="1"/>
  <c r="CS1037" i="1"/>
  <c r="CS1038" i="1"/>
  <c r="CS1039" i="1"/>
  <c r="CS1040" i="1"/>
  <c r="CS1041" i="1"/>
  <c r="CS1042" i="1"/>
  <c r="CS1043" i="1"/>
  <c r="CS1044" i="1"/>
  <c r="CS1046" i="1"/>
  <c r="CS1047" i="1"/>
  <c r="CS1048" i="1"/>
  <c r="CS1051" i="1"/>
  <c r="CS1053" i="1"/>
  <c r="CS1054" i="1"/>
  <c r="CS1055" i="1"/>
  <c r="CS1056" i="1"/>
  <c r="CS1057" i="1"/>
  <c r="CS1059" i="1"/>
  <c r="CS1060" i="1"/>
  <c r="CS1061" i="1"/>
  <c r="CS1062" i="1"/>
  <c r="CS1063" i="1"/>
  <c r="CS1064" i="1"/>
  <c r="CS1066" i="1"/>
  <c r="CS1067" i="1"/>
  <c r="CS1068" i="1"/>
  <c r="CS1069" i="1"/>
  <c r="CS1070" i="1"/>
  <c r="CS1071" i="1"/>
  <c r="CS1072" i="1"/>
  <c r="CS1073" i="1"/>
  <c r="CS1075" i="1"/>
  <c r="CS1076" i="1"/>
  <c r="CS1077" i="1"/>
  <c r="CS1079" i="1"/>
  <c r="CS1080" i="1"/>
  <c r="CS1081" i="1"/>
  <c r="CS1082" i="1"/>
  <c r="CS1083" i="1"/>
  <c r="CS1084" i="1"/>
  <c r="CS1086" i="1"/>
  <c r="CS1087" i="1"/>
  <c r="CS1088" i="1"/>
  <c r="CS1089" i="1"/>
  <c r="CS1090" i="1"/>
  <c r="CS1091" i="1"/>
  <c r="CS1092" i="1"/>
  <c r="CS1093" i="1"/>
  <c r="CS1094" i="1"/>
  <c r="CS1096" i="1"/>
  <c r="CS1097" i="1"/>
  <c r="CS1098" i="1"/>
  <c r="CS1099" i="1"/>
  <c r="CS1100" i="1"/>
  <c r="CS1101" i="1"/>
  <c r="CS1102" i="1"/>
  <c r="CS1103" i="1"/>
  <c r="CS1104" i="1"/>
  <c r="CS1105" i="1"/>
  <c r="CS1106" i="1"/>
  <c r="CS1108" i="1"/>
  <c r="CS1109" i="1"/>
  <c r="CS1110" i="1"/>
  <c r="CS1111" i="1"/>
  <c r="CS1112" i="1"/>
  <c r="CS1113" i="1"/>
  <c r="CS1115" i="1"/>
  <c r="CS1116" i="1"/>
  <c r="CS1117" i="1"/>
  <c r="CS1118" i="1"/>
  <c r="CS1120" i="1"/>
  <c r="CS1122" i="1"/>
  <c r="CS1123" i="1"/>
  <c r="CS1124" i="1"/>
  <c r="CS1126" i="1"/>
  <c r="CS1127" i="1"/>
  <c r="CS1128" i="1"/>
  <c r="CS1129" i="1"/>
  <c r="CS1130" i="1"/>
  <c r="CS1132" i="1"/>
  <c r="CS1133" i="1"/>
  <c r="CS1135" i="1"/>
  <c r="CS1136" i="1"/>
  <c r="CS1137" i="1"/>
  <c r="CS1138" i="1"/>
  <c r="CS1139" i="1"/>
  <c r="CS1140" i="1"/>
  <c r="CS1142" i="1"/>
  <c r="CS1143" i="1"/>
  <c r="CS1144" i="1"/>
  <c r="CS1145" i="1"/>
  <c r="CS1146" i="1"/>
  <c r="CS1147" i="1"/>
  <c r="CS1148" i="1"/>
  <c r="CS1149" i="1"/>
  <c r="CS1150" i="1"/>
  <c r="CS1152" i="1"/>
  <c r="CS1153" i="1"/>
  <c r="CS1154" i="1"/>
  <c r="CS1155" i="1"/>
  <c r="CS1157" i="1"/>
  <c r="CS1158" i="1"/>
  <c r="CS1159" i="1"/>
  <c r="CS1160" i="1"/>
  <c r="CS1161" i="1"/>
  <c r="CS1162" i="1"/>
  <c r="CS1163" i="1"/>
  <c r="CS1164" i="1"/>
  <c r="CS1165" i="1"/>
  <c r="CS1167" i="1"/>
  <c r="CS1168" i="1"/>
  <c r="CS1169" i="1"/>
  <c r="CS1170" i="1"/>
  <c r="CS1172" i="1"/>
  <c r="CS1173" i="1"/>
  <c r="CS1174" i="1"/>
  <c r="CS1175" i="1"/>
  <c r="CS1177" i="1"/>
  <c r="CS1178" i="1"/>
  <c r="CS1179" i="1"/>
  <c r="CS1180" i="1"/>
  <c r="CS1181" i="1"/>
  <c r="CS1182" i="1"/>
  <c r="CS1183" i="1"/>
  <c r="CS1185" i="1"/>
  <c r="CS1186" i="1"/>
  <c r="CS1187" i="1"/>
  <c r="CS1188" i="1"/>
  <c r="CS1189" i="1"/>
  <c r="CS1190" i="1"/>
  <c r="CS1192" i="1"/>
  <c r="CS1194" i="1"/>
  <c r="CS1195" i="1"/>
  <c r="CS1196" i="1"/>
  <c r="CS1199" i="1"/>
  <c r="CS1201" i="1"/>
  <c r="CS1202" i="1"/>
  <c r="CS1203" i="1"/>
  <c r="CS1204" i="1"/>
  <c r="CS1205" i="1"/>
  <c r="CS1206" i="1"/>
  <c r="CS1207" i="1"/>
  <c r="CS1209" i="1"/>
  <c r="CS1210" i="1"/>
  <c r="CS1211" i="1"/>
  <c r="CS1212" i="1"/>
  <c r="CS1213" i="1"/>
  <c r="CS1214" i="1"/>
  <c r="CS1215" i="1"/>
  <c r="CS1216" i="1"/>
  <c r="CS1217" i="1"/>
  <c r="CS1219" i="1"/>
  <c r="CS1220" i="1"/>
  <c r="CS1222" i="1"/>
  <c r="CS1223" i="1"/>
  <c r="CS1224" i="1"/>
  <c r="CS1225" i="1"/>
  <c r="CS1226" i="1"/>
  <c r="CS1227" i="1"/>
  <c r="CS1229" i="1"/>
  <c r="CS1230" i="1"/>
  <c r="CS1231" i="1"/>
  <c r="CS1232" i="1"/>
  <c r="CS1233" i="1"/>
  <c r="CS1234" i="1"/>
  <c r="CS1235" i="1"/>
  <c r="CS1236" i="1"/>
  <c r="CS1238" i="1"/>
  <c r="CS1240" i="1"/>
  <c r="CS1241" i="1"/>
  <c r="CS1242" i="1"/>
  <c r="CS1244" i="1"/>
  <c r="CS1245" i="1"/>
  <c r="CS1246" i="1"/>
  <c r="CS1247" i="1"/>
  <c r="CS1248" i="1"/>
  <c r="CS1250" i="1"/>
  <c r="CS1251" i="1"/>
  <c r="CS1252" i="1"/>
  <c r="CS1253" i="1"/>
  <c r="CS1254" i="1"/>
  <c r="CS1255" i="1"/>
  <c r="CS1256" i="1"/>
  <c r="CS1257" i="1"/>
  <c r="CS1258" i="1"/>
  <c r="CS1259" i="1"/>
  <c r="CS1261" i="1"/>
  <c r="CS1262" i="1"/>
  <c r="CS1263" i="1"/>
  <c r="CS1265" i="1"/>
  <c r="CS1266" i="1"/>
  <c r="CS1267" i="1"/>
  <c r="CS1268" i="1"/>
  <c r="CS1272" i="1"/>
  <c r="CS1274" i="1"/>
  <c r="CS1275" i="1"/>
  <c r="CS1276" i="1"/>
  <c r="CS1277" i="1"/>
  <c r="CS1278" i="1"/>
  <c r="CS1279" i="1"/>
  <c r="CS1280" i="1"/>
  <c r="CS1282" i="1"/>
  <c r="CS1283" i="1"/>
  <c r="CS1284" i="1"/>
  <c r="CS1285" i="1"/>
  <c r="CS1286" i="1"/>
  <c r="CS1287" i="1"/>
  <c r="CS1288" i="1"/>
  <c r="CS1289" i="1"/>
  <c r="CS1291" i="1"/>
  <c r="CS1292" i="1"/>
  <c r="CS1293" i="1"/>
  <c r="CS1294" i="1"/>
  <c r="CS1295" i="1"/>
  <c r="CS1296" i="1"/>
  <c r="CS1297" i="1"/>
  <c r="CS1298" i="1"/>
  <c r="CS1299" i="1"/>
  <c r="CS1300" i="1"/>
  <c r="CS1301" i="1"/>
  <c r="CS1303" i="1"/>
  <c r="CS1304" i="1"/>
  <c r="CS1305" i="1"/>
  <c r="CS1306" i="1"/>
  <c r="CS1307" i="1"/>
  <c r="CS1308" i="1"/>
  <c r="CS1309" i="1"/>
  <c r="CS1310" i="1"/>
  <c r="CS1311" i="1"/>
  <c r="CS1312" i="1"/>
  <c r="CS1313" i="1"/>
  <c r="CT67" i="1"/>
  <c r="CT68" i="1"/>
  <c r="CT69" i="1"/>
  <c r="CT70" i="1"/>
  <c r="CT71" i="1"/>
  <c r="CT72" i="1"/>
  <c r="CT73" i="1"/>
  <c r="CT74" i="1"/>
  <c r="CT76" i="1"/>
  <c r="CT77" i="1"/>
  <c r="CT78" i="1"/>
  <c r="CT79" i="1"/>
  <c r="CT80" i="1"/>
  <c r="CT81" i="1"/>
  <c r="CT82" i="1"/>
  <c r="CT84" i="1"/>
  <c r="CT85" i="1"/>
  <c r="CT86" i="1"/>
  <c r="CT87" i="1"/>
  <c r="CT88" i="1"/>
  <c r="CT89" i="1"/>
  <c r="CT90" i="1"/>
  <c r="CT92" i="1"/>
  <c r="CT93" i="1"/>
  <c r="CT94" i="1"/>
  <c r="CT95" i="1"/>
  <c r="CT96" i="1"/>
  <c r="CT97" i="1"/>
  <c r="CT98" i="1"/>
  <c r="CT101" i="1"/>
  <c r="CT103" i="1"/>
  <c r="CT104" i="1"/>
  <c r="CT105" i="1"/>
  <c r="CT106" i="1"/>
  <c r="CT107" i="1"/>
  <c r="CT108" i="1"/>
  <c r="CT109" i="1"/>
  <c r="CT111" i="1"/>
  <c r="CT112" i="1"/>
  <c r="CT113" i="1"/>
  <c r="CT114" i="1"/>
  <c r="CT115" i="1"/>
  <c r="CT116" i="1"/>
  <c r="CT117" i="1"/>
  <c r="CT118" i="1"/>
  <c r="CT119" i="1"/>
  <c r="CT120" i="1"/>
  <c r="CT122" i="1"/>
  <c r="CT124" i="1"/>
  <c r="CT125" i="1"/>
  <c r="CT126" i="1"/>
  <c r="CT129" i="1"/>
  <c r="CT131" i="1"/>
  <c r="CT132" i="1"/>
  <c r="CT136" i="1"/>
  <c r="CT138" i="1"/>
  <c r="CT139" i="1"/>
  <c r="CT140" i="1"/>
  <c r="CT141" i="1"/>
  <c r="CT142" i="1"/>
  <c r="CT144" i="1"/>
  <c r="CT145" i="1"/>
  <c r="CT146" i="1"/>
  <c r="CT147" i="1"/>
  <c r="CT148" i="1"/>
  <c r="CT149" i="1"/>
  <c r="CT151" i="1"/>
  <c r="CT152" i="1"/>
  <c r="CT153" i="1"/>
  <c r="CT154" i="1"/>
  <c r="CT155" i="1"/>
  <c r="CT156" i="1"/>
  <c r="CT157" i="1"/>
  <c r="CT158" i="1"/>
  <c r="CT160" i="1"/>
  <c r="CT161" i="1"/>
  <c r="CT162" i="1"/>
  <c r="CT163" i="1"/>
  <c r="CT165" i="1"/>
  <c r="CT166" i="1"/>
  <c r="CT167" i="1"/>
  <c r="CT168" i="1"/>
  <c r="CT169" i="1"/>
  <c r="CT170" i="1"/>
  <c r="CT172" i="1"/>
  <c r="CT173" i="1"/>
  <c r="CT175" i="1"/>
  <c r="CT176" i="1"/>
  <c r="CT177" i="1"/>
  <c r="CT178" i="1"/>
  <c r="CT179" i="1"/>
  <c r="CT180" i="1"/>
  <c r="CT181" i="1"/>
  <c r="CT182" i="1"/>
  <c r="CT183" i="1"/>
  <c r="CT184" i="1"/>
  <c r="CT186" i="1"/>
  <c r="CT187" i="1"/>
  <c r="CT188" i="1"/>
  <c r="CT189" i="1"/>
  <c r="CT190" i="1"/>
  <c r="CT191" i="1"/>
  <c r="CT192" i="1"/>
  <c r="CT193" i="1"/>
  <c r="CT195" i="1"/>
  <c r="CT196" i="1"/>
  <c r="CT197" i="1"/>
  <c r="CT198" i="1"/>
  <c r="CT200" i="1"/>
  <c r="CT201" i="1"/>
  <c r="CT202" i="1"/>
  <c r="CT203" i="1"/>
  <c r="CT204" i="1"/>
  <c r="CT205" i="1"/>
  <c r="CT206" i="1"/>
  <c r="CT207" i="1"/>
  <c r="CT209" i="1"/>
  <c r="CT210" i="1"/>
  <c r="CT211" i="1"/>
  <c r="CT212" i="1"/>
  <c r="CT213" i="1"/>
  <c r="CT214" i="1"/>
  <c r="CT215" i="1"/>
  <c r="CT218" i="1"/>
  <c r="CT219" i="1"/>
  <c r="CT220" i="1"/>
  <c r="CT221" i="1"/>
  <c r="CT222" i="1"/>
  <c r="CT224" i="1"/>
  <c r="CT225" i="1"/>
  <c r="CT226" i="1"/>
  <c r="CT227" i="1"/>
  <c r="CT228" i="1"/>
  <c r="CT229" i="1"/>
  <c r="CT231" i="1"/>
  <c r="CT232" i="1"/>
  <c r="CT233" i="1"/>
  <c r="CT234" i="1"/>
  <c r="CT235" i="1"/>
  <c r="CT236" i="1"/>
  <c r="CT237" i="1"/>
  <c r="CT238" i="1"/>
  <c r="CT240" i="1"/>
  <c r="CT241" i="1"/>
  <c r="CT242" i="1"/>
  <c r="CT243" i="1"/>
  <c r="CT244" i="1"/>
  <c r="CT245" i="1"/>
  <c r="CT246" i="1"/>
  <c r="CT247" i="1"/>
  <c r="CT249" i="1"/>
  <c r="CT250" i="1"/>
  <c r="CT251" i="1"/>
  <c r="CT252" i="1"/>
  <c r="CT253" i="1"/>
  <c r="CT254" i="1"/>
  <c r="CT255" i="1"/>
  <c r="CT256" i="1"/>
  <c r="CT258" i="1"/>
  <c r="CT259" i="1"/>
  <c r="CT260" i="1"/>
  <c r="CT261" i="1"/>
  <c r="CT262" i="1"/>
  <c r="CT263" i="1"/>
  <c r="CT264" i="1"/>
  <c r="CT265" i="1"/>
  <c r="CT266" i="1"/>
  <c r="CT268" i="1"/>
  <c r="CT269" i="1"/>
  <c r="CT270" i="1"/>
  <c r="CT271" i="1"/>
  <c r="CT272" i="1"/>
  <c r="CT273" i="1"/>
  <c r="CT274" i="1"/>
  <c r="CT275" i="1"/>
  <c r="CT276" i="1"/>
  <c r="CT278" i="1"/>
  <c r="CT279" i="1"/>
  <c r="CT280" i="1"/>
  <c r="CT281" i="1"/>
  <c r="CT282" i="1"/>
  <c r="CT283" i="1"/>
  <c r="CT285" i="1"/>
  <c r="CT286" i="1"/>
  <c r="CT287" i="1"/>
  <c r="CT288" i="1"/>
  <c r="CT291" i="1"/>
  <c r="CT292" i="1"/>
  <c r="CT293" i="1"/>
  <c r="CT294" i="1"/>
  <c r="CT296" i="1"/>
  <c r="CT297" i="1"/>
  <c r="CT298" i="1"/>
  <c r="CT299" i="1"/>
  <c r="CT300" i="1"/>
  <c r="CT301" i="1"/>
  <c r="CT302" i="1"/>
  <c r="CT303" i="1"/>
  <c r="CT305" i="1"/>
  <c r="CT306" i="1"/>
  <c r="CT307" i="1"/>
  <c r="CT308" i="1"/>
  <c r="CT309" i="1"/>
  <c r="CT310" i="1"/>
  <c r="CT311" i="1"/>
  <c r="CT312" i="1"/>
  <c r="CT313" i="1"/>
  <c r="CT314" i="1"/>
  <c r="CT316" i="1"/>
  <c r="CT317" i="1"/>
  <c r="CT318" i="1"/>
  <c r="CT319" i="1"/>
  <c r="CT320" i="1"/>
  <c r="CT321" i="1"/>
  <c r="CT322" i="1"/>
  <c r="CT323" i="1"/>
  <c r="CT324" i="1"/>
  <c r="CT325" i="1"/>
  <c r="CT326" i="1"/>
  <c r="CT327" i="1"/>
  <c r="CT329" i="1"/>
  <c r="CT330" i="1"/>
  <c r="CT332" i="1"/>
  <c r="CT333" i="1"/>
  <c r="CT334" i="1"/>
  <c r="CT335" i="1"/>
  <c r="CT336" i="1"/>
  <c r="CT337" i="1"/>
  <c r="CT338" i="1"/>
  <c r="CT340" i="1"/>
  <c r="CT341" i="1"/>
  <c r="CT342" i="1"/>
  <c r="CT343" i="1"/>
  <c r="CT344" i="1"/>
  <c r="CT345" i="1"/>
  <c r="CT346" i="1"/>
  <c r="CT347" i="1"/>
  <c r="CT348" i="1"/>
  <c r="CT349" i="1"/>
  <c r="CT351" i="1"/>
  <c r="CT352" i="1"/>
  <c r="CT353" i="1"/>
  <c r="CT354" i="1"/>
  <c r="CT355" i="1"/>
  <c r="CT356" i="1"/>
  <c r="CT358" i="1"/>
  <c r="CT359" i="1"/>
  <c r="CT360" i="1"/>
  <c r="CT361" i="1"/>
  <c r="CT362" i="1"/>
  <c r="CT363" i="1"/>
  <c r="CT364" i="1"/>
  <c r="CT365" i="1"/>
  <c r="CT367" i="1"/>
  <c r="CT368" i="1"/>
  <c r="CT369" i="1"/>
  <c r="CT371" i="1"/>
  <c r="CT372" i="1"/>
  <c r="CT373" i="1"/>
  <c r="CT375" i="1"/>
  <c r="CT376" i="1"/>
  <c r="CT378" i="1"/>
  <c r="CT379" i="1"/>
  <c r="CT380" i="1"/>
  <c r="CT381" i="1"/>
  <c r="CT382" i="1"/>
  <c r="CT383" i="1"/>
  <c r="CT385" i="1"/>
  <c r="CT386" i="1"/>
  <c r="CT387" i="1"/>
  <c r="CT388" i="1"/>
  <c r="CT389" i="1"/>
  <c r="CT390" i="1"/>
  <c r="CT391" i="1"/>
  <c r="CT393" i="1"/>
  <c r="CT394" i="1"/>
  <c r="CT395" i="1"/>
  <c r="CT396" i="1"/>
  <c r="CT397" i="1"/>
  <c r="CT398" i="1"/>
  <c r="CT399" i="1"/>
  <c r="CT400" i="1"/>
  <c r="CT401" i="1"/>
  <c r="CT403" i="1"/>
  <c r="CT404" i="1"/>
  <c r="CT405" i="1"/>
  <c r="CT406" i="1"/>
  <c r="CT407" i="1"/>
  <c r="CT408" i="1"/>
  <c r="CT409" i="1"/>
  <c r="CT410" i="1"/>
  <c r="CT411" i="1"/>
  <c r="CT413" i="1"/>
  <c r="CT414" i="1"/>
  <c r="CT415" i="1"/>
  <c r="CT416" i="1"/>
  <c r="CT417" i="1"/>
  <c r="CT418" i="1"/>
  <c r="CT421" i="1"/>
  <c r="CT422" i="1"/>
  <c r="CT423" i="1"/>
  <c r="CT424" i="1"/>
  <c r="CT425" i="1"/>
  <c r="CT426" i="1"/>
  <c r="CT427" i="1"/>
  <c r="CT428" i="1"/>
  <c r="CT430" i="1"/>
  <c r="CT431" i="1"/>
  <c r="CT432" i="1"/>
  <c r="CT433" i="1"/>
  <c r="CT434" i="1"/>
  <c r="CT435" i="1"/>
  <c r="CT436" i="1"/>
  <c r="CT438" i="1"/>
  <c r="CT439" i="1"/>
  <c r="CT440" i="1"/>
  <c r="CT441" i="1"/>
  <c r="CT442" i="1"/>
  <c r="CT443" i="1"/>
  <c r="CT445" i="1"/>
  <c r="CT446" i="1"/>
  <c r="CT447" i="1"/>
  <c r="CT448" i="1"/>
  <c r="CT449" i="1"/>
  <c r="CT450" i="1"/>
  <c r="CT451" i="1"/>
  <c r="CT452" i="1"/>
  <c r="CT454" i="1"/>
  <c r="CT455" i="1"/>
  <c r="CT456" i="1"/>
  <c r="CT457" i="1"/>
  <c r="CT459" i="1"/>
  <c r="CT460" i="1"/>
  <c r="CT461" i="1"/>
  <c r="CT462" i="1"/>
  <c r="CT463" i="1"/>
  <c r="CT464" i="1"/>
  <c r="CT465" i="1"/>
  <c r="CT466" i="1"/>
  <c r="CT468" i="1"/>
  <c r="CT469" i="1"/>
  <c r="CT470" i="1"/>
  <c r="CT471" i="1"/>
  <c r="CT472" i="1"/>
  <c r="CT473" i="1"/>
  <c r="CT474" i="1"/>
  <c r="CT475" i="1"/>
  <c r="CT476" i="1"/>
  <c r="CT478" i="1"/>
  <c r="CT479" i="1"/>
  <c r="CT480" i="1"/>
  <c r="CT481" i="1"/>
  <c r="CT482" i="1"/>
  <c r="CT483" i="1"/>
  <c r="CT485" i="1"/>
  <c r="CT486" i="1"/>
  <c r="CT487" i="1"/>
  <c r="CT488" i="1"/>
  <c r="CT489" i="1"/>
  <c r="CT490" i="1"/>
  <c r="CT491" i="1"/>
  <c r="CT492" i="1"/>
  <c r="CT493" i="1"/>
  <c r="CT495" i="1"/>
  <c r="CT496" i="1"/>
  <c r="CT497" i="1"/>
  <c r="CT498" i="1"/>
  <c r="CT499" i="1"/>
  <c r="CT500" i="1"/>
  <c r="CT502" i="1"/>
  <c r="CT503" i="1"/>
  <c r="CT504" i="1"/>
  <c r="CT505" i="1"/>
  <c r="CT506" i="1"/>
  <c r="CT507" i="1"/>
  <c r="CT508" i="1"/>
  <c r="CT510" i="1"/>
  <c r="CT511" i="1"/>
  <c r="CT512" i="1"/>
  <c r="CT514" i="1"/>
  <c r="CT515" i="1"/>
  <c r="CT516" i="1"/>
  <c r="CT517" i="1"/>
  <c r="CT518" i="1"/>
  <c r="CT520" i="1"/>
  <c r="CT521" i="1"/>
  <c r="CT522" i="1"/>
  <c r="CT523" i="1"/>
  <c r="CT524" i="1"/>
  <c r="CT525" i="1"/>
  <c r="CT526" i="1"/>
  <c r="CT527" i="1"/>
  <c r="CT529" i="1"/>
  <c r="CT530" i="1"/>
  <c r="CT531" i="1"/>
  <c r="CT532" i="1"/>
  <c r="CT533" i="1"/>
  <c r="CT534" i="1"/>
  <c r="CT535" i="1"/>
  <c r="CT536" i="1"/>
  <c r="CT539" i="1"/>
  <c r="CT540" i="1"/>
  <c r="CT541" i="1"/>
  <c r="CT542" i="1"/>
  <c r="CT543" i="1"/>
  <c r="CT544" i="1"/>
  <c r="CT545" i="1"/>
  <c r="CT546" i="1"/>
  <c r="CT548" i="1"/>
  <c r="CT549" i="1"/>
  <c r="CT550" i="1"/>
  <c r="CT551" i="1"/>
  <c r="CT552" i="1"/>
  <c r="CT553" i="1"/>
  <c r="CT554" i="1"/>
  <c r="CT555" i="1"/>
  <c r="CT557" i="1"/>
  <c r="CT558" i="1"/>
  <c r="CT559" i="1"/>
  <c r="CT560" i="1"/>
  <c r="CT561" i="1"/>
  <c r="CT562" i="1"/>
  <c r="CT564" i="1"/>
  <c r="CT565" i="1"/>
  <c r="CT566" i="1"/>
  <c r="CT567" i="1"/>
  <c r="CT569" i="1"/>
  <c r="CT570" i="1"/>
  <c r="CT572" i="1"/>
  <c r="CT573" i="1"/>
  <c r="CT574" i="1"/>
  <c r="CT576" i="1"/>
  <c r="CT577" i="1"/>
  <c r="CT578" i="1"/>
  <c r="CT579" i="1"/>
  <c r="CT580" i="1"/>
  <c r="CT581" i="1"/>
  <c r="CT583" i="1"/>
  <c r="CT584" i="1"/>
  <c r="CT586" i="1"/>
  <c r="CT587" i="1"/>
  <c r="CT588" i="1"/>
  <c r="CT590" i="1"/>
  <c r="CT591" i="1"/>
  <c r="CT592" i="1"/>
  <c r="CT593" i="1"/>
  <c r="CT594" i="1"/>
  <c r="CT595" i="1"/>
  <c r="CT596" i="1"/>
  <c r="CT597" i="1"/>
  <c r="CT598" i="1"/>
  <c r="CT600" i="1"/>
  <c r="CT601" i="1"/>
  <c r="CT603" i="1"/>
  <c r="CT604" i="1"/>
  <c r="CT605" i="1"/>
  <c r="CT607" i="1"/>
  <c r="CT608" i="1"/>
  <c r="CT609" i="1"/>
  <c r="CT610" i="1"/>
  <c r="CT611" i="1"/>
  <c r="CT612" i="1"/>
  <c r="CT614" i="1"/>
  <c r="CT615" i="1"/>
  <c r="CT617" i="1"/>
  <c r="CT618" i="1"/>
  <c r="CT619" i="1"/>
  <c r="CT620" i="1"/>
  <c r="CT622" i="1"/>
  <c r="CT623" i="1"/>
  <c r="CT624" i="1"/>
  <c r="CT625" i="1"/>
  <c r="CT626" i="1"/>
  <c r="CT628" i="1"/>
  <c r="CT629" i="1"/>
  <c r="CT630" i="1"/>
  <c r="CT631" i="1"/>
  <c r="CT632" i="1"/>
  <c r="CT633" i="1"/>
  <c r="CT634" i="1"/>
  <c r="CT636" i="1"/>
  <c r="CT637" i="1"/>
  <c r="CT638" i="1"/>
  <c r="CT639" i="1"/>
  <c r="CT641" i="1"/>
  <c r="CT643" i="1"/>
  <c r="CT644" i="1"/>
  <c r="CT645" i="1"/>
  <c r="CT647" i="1"/>
  <c r="CT648" i="1"/>
  <c r="CT649" i="1"/>
  <c r="CT650" i="1"/>
  <c r="CT651" i="1"/>
  <c r="CT652" i="1"/>
  <c r="CT654" i="1"/>
  <c r="CT655" i="1"/>
  <c r="CT656" i="1"/>
  <c r="CT657" i="1"/>
  <c r="CT658" i="1"/>
  <c r="CT659" i="1"/>
  <c r="CT660" i="1"/>
  <c r="CT662" i="1"/>
  <c r="CT663" i="1"/>
  <c r="CT665" i="1"/>
  <c r="CT666" i="1"/>
  <c r="CT667" i="1"/>
  <c r="CT669" i="1"/>
  <c r="CT670" i="1"/>
  <c r="CT671" i="1"/>
  <c r="CT672" i="1"/>
  <c r="CT674" i="1"/>
  <c r="CT675" i="1"/>
  <c r="CT676" i="1"/>
  <c r="CT677" i="1"/>
  <c r="CT678" i="1"/>
  <c r="CT679" i="1"/>
  <c r="CT681" i="1"/>
  <c r="CT682" i="1"/>
  <c r="CT683" i="1"/>
  <c r="CT684" i="1"/>
  <c r="CT685" i="1"/>
  <c r="CT686" i="1"/>
  <c r="CT687" i="1"/>
  <c r="CT688" i="1"/>
  <c r="CT689" i="1"/>
  <c r="CT690" i="1"/>
  <c r="CT691" i="1"/>
  <c r="CT693" i="1"/>
  <c r="CT694" i="1"/>
  <c r="CT695" i="1"/>
  <c r="CT696" i="1"/>
  <c r="CT698" i="1"/>
  <c r="CT699" i="1"/>
  <c r="CT702" i="1"/>
  <c r="CT703" i="1"/>
  <c r="CT704" i="1"/>
  <c r="CT706" i="1"/>
  <c r="CT707" i="1"/>
  <c r="CT708" i="1"/>
  <c r="CT709" i="1"/>
  <c r="CT711" i="1"/>
  <c r="CT712" i="1"/>
  <c r="CT713" i="1"/>
  <c r="CT714" i="1"/>
  <c r="CT715" i="1"/>
  <c r="CT716" i="1"/>
  <c r="CT717" i="1"/>
  <c r="CT718" i="1"/>
  <c r="CT720" i="1"/>
  <c r="CT721" i="1"/>
  <c r="CT723" i="1"/>
  <c r="CT724" i="1"/>
  <c r="CT725" i="1"/>
  <c r="CT726" i="1"/>
  <c r="CT729" i="1"/>
  <c r="CT731" i="1"/>
  <c r="CT732" i="1"/>
  <c r="CT733" i="1"/>
  <c r="CT734" i="1"/>
  <c r="CT735" i="1"/>
  <c r="CT736" i="1"/>
  <c r="CT738" i="1"/>
  <c r="CT739" i="1"/>
  <c r="CT740" i="1"/>
  <c r="CT741" i="1"/>
  <c r="CT742" i="1"/>
  <c r="CT743" i="1"/>
  <c r="CT744" i="1"/>
  <c r="CT745" i="1"/>
  <c r="CT748" i="1"/>
  <c r="CT750" i="1"/>
  <c r="CT751" i="1"/>
  <c r="CT752" i="1"/>
  <c r="CT753" i="1"/>
  <c r="CT754" i="1"/>
  <c r="CT755" i="1"/>
  <c r="CT756" i="1"/>
  <c r="CT758" i="1"/>
  <c r="CT760" i="1"/>
  <c r="CT761" i="1"/>
  <c r="CT763" i="1"/>
  <c r="CT764" i="1"/>
  <c r="CT766" i="1"/>
  <c r="CT767" i="1"/>
  <c r="CT768" i="1"/>
  <c r="CT769" i="1"/>
  <c r="CT774" i="1"/>
  <c r="CT775" i="1"/>
  <c r="CT777" i="1"/>
  <c r="CT778" i="1"/>
  <c r="CT779" i="1"/>
  <c r="CT780" i="1"/>
  <c r="CT782" i="1"/>
  <c r="CT783" i="1"/>
  <c r="CT784" i="1"/>
  <c r="CT785" i="1"/>
  <c r="CT786" i="1"/>
  <c r="CT787" i="1"/>
  <c r="CT789" i="1"/>
  <c r="CT790" i="1"/>
  <c r="CT791" i="1"/>
  <c r="CT793" i="1"/>
  <c r="CT794" i="1"/>
  <c r="CT795" i="1"/>
  <c r="CT796" i="1"/>
  <c r="CT797" i="1"/>
  <c r="CT798" i="1"/>
  <c r="CT800" i="1"/>
  <c r="CT801" i="1"/>
  <c r="CT802" i="1"/>
  <c r="CT803" i="1"/>
  <c r="CT804" i="1"/>
  <c r="CT805" i="1"/>
  <c r="CT806" i="1"/>
  <c r="CT807" i="1"/>
  <c r="CT808" i="1"/>
  <c r="CT810" i="1"/>
  <c r="CT811" i="1"/>
  <c r="CT812" i="1"/>
  <c r="CT813" i="1"/>
  <c r="CT814" i="1"/>
  <c r="CT815" i="1"/>
  <c r="CT816" i="1"/>
  <c r="CT818" i="1"/>
  <c r="CT819" i="1"/>
  <c r="CT820" i="1"/>
  <c r="CT822" i="1"/>
  <c r="CT823" i="1"/>
  <c r="CT824" i="1"/>
  <c r="CT825" i="1"/>
  <c r="CT826" i="1"/>
  <c r="CT827" i="1"/>
  <c r="CT829" i="1"/>
  <c r="CT830" i="1"/>
  <c r="CT831" i="1"/>
  <c r="CT832" i="1"/>
  <c r="CT834" i="1"/>
  <c r="CT835" i="1"/>
  <c r="CT836" i="1"/>
  <c r="CT838" i="1"/>
  <c r="CT839" i="1"/>
  <c r="CT840" i="1"/>
  <c r="CT841" i="1"/>
  <c r="CT842" i="1"/>
  <c r="CT843" i="1"/>
  <c r="CT845" i="1"/>
  <c r="CT846" i="1"/>
  <c r="CT847" i="1"/>
  <c r="CT848" i="1"/>
  <c r="CT849" i="1"/>
  <c r="CT850" i="1"/>
  <c r="CT852" i="1"/>
  <c r="CT854" i="1"/>
  <c r="CT855" i="1"/>
  <c r="CT856" i="1"/>
  <c r="CT857" i="1"/>
  <c r="CT859" i="1"/>
  <c r="CT860" i="1"/>
  <c r="CT862" i="1"/>
  <c r="CT863" i="1"/>
  <c r="CT864" i="1"/>
  <c r="CT865" i="1"/>
  <c r="CT866" i="1"/>
  <c r="CT867" i="1"/>
  <c r="CT868" i="1"/>
  <c r="CT869" i="1"/>
  <c r="CT870" i="1"/>
  <c r="CT872" i="1"/>
  <c r="CT873" i="1"/>
  <c r="CT874" i="1"/>
  <c r="CT875" i="1"/>
  <c r="CT876" i="1"/>
  <c r="CT877" i="1"/>
  <c r="CT878" i="1"/>
  <c r="CT879" i="1"/>
  <c r="CT880" i="1"/>
  <c r="CT881" i="1"/>
  <c r="CT884" i="1"/>
  <c r="CT886" i="1"/>
  <c r="CT887" i="1"/>
  <c r="CT888" i="1"/>
  <c r="CT889" i="1"/>
  <c r="CT890" i="1"/>
  <c r="CT891" i="1"/>
  <c r="CT892" i="1"/>
  <c r="CT893" i="1"/>
  <c r="CT894" i="1"/>
  <c r="CT895" i="1"/>
  <c r="CT897" i="1"/>
  <c r="CT898" i="1"/>
  <c r="CT899" i="1"/>
  <c r="CT900" i="1"/>
  <c r="CT901" i="1"/>
  <c r="CT902" i="1"/>
  <c r="CT904" i="1"/>
  <c r="CT905" i="1"/>
  <c r="CT906" i="1"/>
  <c r="CT908" i="1"/>
  <c r="CT909" i="1"/>
  <c r="CT910" i="1"/>
  <c r="CT911" i="1"/>
  <c r="CT912" i="1"/>
  <c r="CT913" i="1"/>
  <c r="CT915" i="1"/>
  <c r="CT916" i="1"/>
  <c r="CT917" i="1"/>
  <c r="CT918" i="1"/>
  <c r="CT919" i="1"/>
  <c r="CT921" i="1"/>
  <c r="CT922" i="1"/>
  <c r="CT923" i="1"/>
  <c r="CT924" i="1"/>
  <c r="CT925" i="1"/>
  <c r="CT927" i="1"/>
  <c r="CT928" i="1"/>
  <c r="CT929" i="1"/>
  <c r="CT930" i="1"/>
  <c r="CT931" i="1"/>
  <c r="CT932" i="1"/>
  <c r="CT933" i="1"/>
  <c r="CT935" i="1"/>
  <c r="CT936" i="1"/>
  <c r="CT937" i="1"/>
  <c r="CT938" i="1"/>
  <c r="CT939" i="1"/>
  <c r="CT940" i="1"/>
  <c r="CT941" i="1"/>
  <c r="CT943" i="1"/>
  <c r="CT944" i="1"/>
  <c r="CT945" i="1"/>
  <c r="CT947" i="1"/>
  <c r="CT948" i="1"/>
  <c r="CT950" i="1"/>
  <c r="CT951" i="1"/>
  <c r="CT952" i="1"/>
  <c r="CT953" i="1"/>
  <c r="CT954" i="1"/>
  <c r="CT955" i="1"/>
  <c r="CT956" i="1"/>
  <c r="CT957" i="1"/>
  <c r="CT958" i="1"/>
  <c r="CT960" i="1"/>
  <c r="CT961" i="1"/>
  <c r="CT962" i="1"/>
  <c r="CT963" i="1"/>
  <c r="CT964" i="1"/>
  <c r="CT965" i="1"/>
  <c r="CT966" i="1"/>
  <c r="CT967" i="1"/>
  <c r="CT969" i="1"/>
  <c r="CT970" i="1"/>
  <c r="CT971" i="1"/>
  <c r="CT972" i="1"/>
  <c r="CT973" i="1"/>
  <c r="CT974" i="1"/>
  <c r="CT975" i="1"/>
  <c r="CT977" i="1"/>
  <c r="CT978" i="1"/>
  <c r="CT979" i="1"/>
  <c r="CT980" i="1"/>
  <c r="CT981" i="1"/>
  <c r="CT983" i="1"/>
  <c r="CT985" i="1"/>
  <c r="CT986" i="1"/>
  <c r="CT987" i="1"/>
  <c r="CT989" i="1"/>
  <c r="CT990" i="1"/>
  <c r="CT991" i="1"/>
  <c r="CT992" i="1"/>
  <c r="CT993" i="1"/>
  <c r="CT994" i="1"/>
  <c r="CT996" i="1"/>
  <c r="CT997" i="1"/>
  <c r="CT998" i="1"/>
  <c r="CT999" i="1"/>
  <c r="CT1000" i="1"/>
  <c r="CT1001" i="1"/>
  <c r="CT1002" i="1"/>
  <c r="CT1003" i="1"/>
  <c r="CT1005" i="1"/>
  <c r="CT1006" i="1"/>
  <c r="CT1007" i="1"/>
  <c r="CT1008" i="1"/>
  <c r="CT1009" i="1"/>
  <c r="CT1010" i="1"/>
  <c r="CT1011" i="1"/>
  <c r="CT1013" i="1"/>
  <c r="CT1014" i="1"/>
  <c r="CT1015" i="1"/>
  <c r="CT1016" i="1"/>
  <c r="CT1017" i="1"/>
  <c r="CT1018" i="1"/>
  <c r="CT1019" i="1"/>
  <c r="CT1020" i="1"/>
  <c r="CT1021" i="1"/>
  <c r="CT1022" i="1"/>
  <c r="CT1023" i="1"/>
  <c r="CT1025" i="1"/>
  <c r="CT1026" i="1"/>
  <c r="CT1027" i="1"/>
  <c r="CT1028" i="1"/>
  <c r="CT1029" i="1"/>
  <c r="CT1030" i="1"/>
  <c r="CT1031" i="1"/>
  <c r="CT1032" i="1"/>
  <c r="CT1033" i="1"/>
  <c r="CT1035" i="1"/>
  <c r="CT1036" i="1"/>
  <c r="CT1037" i="1"/>
  <c r="CT1038" i="1"/>
  <c r="CT1039" i="1"/>
  <c r="CT1040" i="1"/>
  <c r="CT1041" i="1"/>
  <c r="CT1042" i="1"/>
  <c r="CT1043" i="1"/>
  <c r="CT1044" i="1"/>
  <c r="CT1046" i="1"/>
  <c r="CT1047" i="1"/>
  <c r="CT1048" i="1"/>
  <c r="CT1051" i="1"/>
  <c r="CT1053" i="1"/>
  <c r="CT1054" i="1"/>
  <c r="CT1055" i="1"/>
  <c r="CT1056" i="1"/>
  <c r="CT1057" i="1"/>
  <c r="CT1059" i="1"/>
  <c r="CT1060" i="1"/>
  <c r="CT1061" i="1"/>
  <c r="CT1062" i="1"/>
  <c r="CT1063" i="1"/>
  <c r="CT1064" i="1"/>
  <c r="CT1066" i="1"/>
  <c r="CT1067" i="1"/>
  <c r="CT1068" i="1"/>
  <c r="CT1069" i="1"/>
  <c r="CT1070" i="1"/>
  <c r="CT1071" i="1"/>
  <c r="CT1072" i="1"/>
  <c r="CT1073" i="1"/>
  <c r="CT1075" i="1"/>
  <c r="CT1076" i="1"/>
  <c r="CT1077" i="1"/>
  <c r="CT1079" i="1"/>
  <c r="CT1080" i="1"/>
  <c r="CT1081" i="1"/>
  <c r="CT1082" i="1"/>
  <c r="CT1083" i="1"/>
  <c r="CT1084" i="1"/>
  <c r="CT1086" i="1"/>
  <c r="CT1087" i="1"/>
  <c r="CT1088" i="1"/>
  <c r="CT1089" i="1"/>
  <c r="CT1090" i="1"/>
  <c r="CT1091" i="1"/>
  <c r="CT1092" i="1"/>
  <c r="CT1093" i="1"/>
  <c r="CT1094" i="1"/>
  <c r="CT1096" i="1"/>
  <c r="CT1097" i="1"/>
  <c r="CT1098" i="1"/>
  <c r="CT1099" i="1"/>
  <c r="CT1100" i="1"/>
  <c r="CT1101" i="1"/>
  <c r="CT1102" i="1"/>
  <c r="CT1103" i="1"/>
  <c r="CT1104" i="1"/>
  <c r="CT1105" i="1"/>
  <c r="CT1106" i="1"/>
  <c r="CT1108" i="1"/>
  <c r="CT1109" i="1"/>
  <c r="CT1110" i="1"/>
  <c r="CT1111" i="1"/>
  <c r="CT1112" i="1"/>
  <c r="CT1113" i="1"/>
  <c r="CT1115" i="1"/>
  <c r="CT1116" i="1"/>
  <c r="CT1117" i="1"/>
  <c r="CT1118" i="1"/>
  <c r="CT1120" i="1"/>
  <c r="CT1122" i="1"/>
  <c r="CT1123" i="1"/>
  <c r="CT1124" i="1"/>
  <c r="CT1126" i="1"/>
  <c r="CT1127" i="1"/>
  <c r="CT1128" i="1"/>
  <c r="CT1129" i="1"/>
  <c r="CT1130" i="1"/>
  <c r="CT1132" i="1"/>
  <c r="CT1133" i="1"/>
  <c r="CT1135" i="1"/>
  <c r="CT1136" i="1"/>
  <c r="CT1137" i="1"/>
  <c r="CT1138" i="1"/>
  <c r="CT1139" i="1"/>
  <c r="CT1140" i="1"/>
  <c r="CT1142" i="1"/>
  <c r="CT1143" i="1"/>
  <c r="CT1144" i="1"/>
  <c r="CT1145" i="1"/>
  <c r="CT1146" i="1"/>
  <c r="CT1147" i="1"/>
  <c r="CT1148" i="1"/>
  <c r="CT1149" i="1"/>
  <c r="CT1150" i="1"/>
  <c r="CT1152" i="1"/>
  <c r="CT1153" i="1"/>
  <c r="CT1154" i="1"/>
  <c r="CT1155" i="1"/>
  <c r="CT1157" i="1"/>
  <c r="CT1158" i="1"/>
  <c r="CT1159" i="1"/>
  <c r="CT1160" i="1"/>
  <c r="CT1161" i="1"/>
  <c r="CT1162" i="1"/>
  <c r="CT1163" i="1"/>
  <c r="CT1164" i="1"/>
  <c r="CT1165" i="1"/>
  <c r="CT1167" i="1"/>
  <c r="CT1168" i="1"/>
  <c r="CT1169" i="1"/>
  <c r="CT1170" i="1"/>
  <c r="CT1172" i="1"/>
  <c r="CT1173" i="1"/>
  <c r="CT1174" i="1"/>
  <c r="CT1175" i="1"/>
  <c r="CT1177" i="1"/>
  <c r="CT1178" i="1"/>
  <c r="CT1179" i="1"/>
  <c r="CT1180" i="1"/>
  <c r="CT1181" i="1"/>
  <c r="CT1182" i="1"/>
  <c r="CT1183" i="1"/>
  <c r="CT1185" i="1"/>
  <c r="CT1186" i="1"/>
  <c r="CT1187" i="1"/>
  <c r="CT1188" i="1"/>
  <c r="CT1189" i="1"/>
  <c r="CT1190" i="1"/>
  <c r="CT1192" i="1"/>
  <c r="CT1194" i="1"/>
  <c r="CT1195" i="1"/>
  <c r="CT1196" i="1"/>
  <c r="CT1199" i="1"/>
  <c r="CT1201" i="1"/>
  <c r="CT1202" i="1"/>
  <c r="CT1203" i="1"/>
  <c r="CT1204" i="1"/>
  <c r="CT1205" i="1"/>
  <c r="CT1206" i="1"/>
  <c r="CT1207" i="1"/>
  <c r="CT1209" i="1"/>
  <c r="CT1210" i="1"/>
  <c r="CT1211" i="1"/>
  <c r="CT1212" i="1"/>
  <c r="CT1213" i="1"/>
  <c r="CT1214" i="1"/>
  <c r="CT1215" i="1"/>
  <c r="CT1216" i="1"/>
  <c r="CT1217" i="1"/>
  <c r="CT1219" i="1"/>
  <c r="CT1220" i="1"/>
  <c r="CT1222" i="1"/>
  <c r="CT1223" i="1"/>
  <c r="CT1224" i="1"/>
  <c r="CT1225" i="1"/>
  <c r="CT1226" i="1"/>
  <c r="CT1227" i="1"/>
  <c r="CT1229" i="1"/>
  <c r="CT1230" i="1"/>
  <c r="CT1231" i="1"/>
  <c r="CT1232" i="1"/>
  <c r="CT1233" i="1"/>
  <c r="CT1234" i="1"/>
  <c r="CT1235" i="1"/>
  <c r="CT1236" i="1"/>
  <c r="CT1238" i="1"/>
  <c r="CT1240" i="1"/>
  <c r="CT1241" i="1"/>
  <c r="CT1242" i="1"/>
  <c r="CT1244" i="1"/>
  <c r="CT1245" i="1"/>
  <c r="CT1246" i="1"/>
  <c r="CT1247" i="1"/>
  <c r="CT1248" i="1"/>
  <c r="CT1250" i="1"/>
  <c r="CT1251" i="1"/>
  <c r="CT1252" i="1"/>
  <c r="CT1253" i="1"/>
  <c r="CT1254" i="1"/>
  <c r="CT1255" i="1"/>
  <c r="CT1256" i="1"/>
  <c r="CT1257" i="1"/>
  <c r="CT1258" i="1"/>
  <c r="CT1259" i="1"/>
  <c r="CT1261" i="1"/>
  <c r="CT1262" i="1"/>
  <c r="CT1263" i="1"/>
  <c r="CT1265" i="1"/>
  <c r="CT1266" i="1"/>
  <c r="CT1267" i="1"/>
  <c r="CT1268" i="1"/>
  <c r="CT1272" i="1"/>
  <c r="CT1274" i="1"/>
  <c r="CT1275" i="1"/>
  <c r="CT1276" i="1"/>
  <c r="CT1277" i="1"/>
  <c r="CT1278" i="1"/>
  <c r="CT1279" i="1"/>
  <c r="CT1280" i="1"/>
  <c r="CT1282" i="1"/>
  <c r="CT1283" i="1"/>
  <c r="CT1284" i="1"/>
  <c r="CT1285" i="1"/>
  <c r="CT1286" i="1"/>
  <c r="CT1287" i="1"/>
  <c r="CT1288" i="1"/>
  <c r="CT1289" i="1"/>
  <c r="CT1291" i="1"/>
  <c r="CT1292" i="1"/>
  <c r="CT1293" i="1"/>
  <c r="CT1294" i="1"/>
  <c r="CT1295" i="1"/>
  <c r="CT1296" i="1"/>
  <c r="CT1297" i="1"/>
  <c r="CT1298" i="1"/>
  <c r="CT1299" i="1"/>
  <c r="CT1300" i="1"/>
  <c r="CT1301" i="1"/>
  <c r="CT1303" i="1"/>
  <c r="CT1304" i="1"/>
  <c r="CT1305" i="1"/>
  <c r="CT1306" i="1"/>
  <c r="CT1307" i="1"/>
  <c r="CT1308" i="1"/>
  <c r="CT1309" i="1"/>
  <c r="CT1310" i="1"/>
  <c r="CT1311" i="1"/>
  <c r="CT1312" i="1"/>
  <c r="CT1313" i="1"/>
  <c r="CU67" i="1"/>
  <c r="CU68" i="1"/>
  <c r="CU69" i="1"/>
  <c r="CU70" i="1"/>
  <c r="CU71" i="1"/>
  <c r="CU72" i="1"/>
  <c r="CU73" i="1"/>
  <c r="CU74" i="1"/>
  <c r="CU76" i="1"/>
  <c r="CU77" i="1"/>
  <c r="CU78" i="1"/>
  <c r="CU79" i="1"/>
  <c r="CU80" i="1"/>
  <c r="CU81" i="1"/>
  <c r="CU82" i="1"/>
  <c r="CU84" i="1"/>
  <c r="CU85" i="1"/>
  <c r="CU86" i="1"/>
  <c r="CU87" i="1"/>
  <c r="CU88" i="1"/>
  <c r="CU89" i="1"/>
  <c r="CU90" i="1"/>
  <c r="CU92" i="1"/>
  <c r="CU93" i="1"/>
  <c r="CU94" i="1"/>
  <c r="CU95" i="1"/>
  <c r="CU96" i="1"/>
  <c r="CU97" i="1"/>
  <c r="CU98" i="1"/>
  <c r="CU101" i="1"/>
  <c r="CU103" i="1"/>
  <c r="CU104" i="1"/>
  <c r="CU105" i="1"/>
  <c r="CU106" i="1"/>
  <c r="CU107" i="1"/>
  <c r="CU108" i="1"/>
  <c r="CU109" i="1"/>
  <c r="CU111" i="1"/>
  <c r="CU112" i="1"/>
  <c r="CU113" i="1"/>
  <c r="CU114" i="1"/>
  <c r="CU115" i="1"/>
  <c r="CU116" i="1"/>
  <c r="CU117" i="1"/>
  <c r="CU118" i="1"/>
  <c r="CU119" i="1"/>
  <c r="CU120" i="1"/>
  <c r="CU122" i="1"/>
  <c r="CU124" i="1"/>
  <c r="CU125" i="1"/>
  <c r="CU126" i="1"/>
  <c r="CU129" i="1"/>
  <c r="CU131" i="1"/>
  <c r="CU132" i="1"/>
  <c r="CU136" i="1"/>
  <c r="CU138" i="1"/>
  <c r="CU139" i="1"/>
  <c r="CU140" i="1"/>
  <c r="CU141" i="1"/>
  <c r="CU142" i="1"/>
  <c r="CU144" i="1"/>
  <c r="CU145" i="1"/>
  <c r="CU146" i="1"/>
  <c r="CU147" i="1"/>
  <c r="CU148" i="1"/>
  <c r="CU149" i="1"/>
  <c r="CU151" i="1"/>
  <c r="CU152" i="1"/>
  <c r="CU153" i="1"/>
  <c r="CU154" i="1"/>
  <c r="CU155" i="1"/>
  <c r="CU156" i="1"/>
  <c r="CU157" i="1"/>
  <c r="CU158" i="1"/>
  <c r="CU160" i="1"/>
  <c r="CU161" i="1"/>
  <c r="CU162" i="1"/>
  <c r="CU163" i="1"/>
  <c r="CU165" i="1"/>
  <c r="CU166" i="1"/>
  <c r="CU167" i="1"/>
  <c r="CU168" i="1"/>
  <c r="CU169" i="1"/>
  <c r="CU170" i="1"/>
  <c r="CU172" i="1"/>
  <c r="CU173" i="1"/>
  <c r="CU175" i="1"/>
  <c r="CU176" i="1"/>
  <c r="CU177" i="1"/>
  <c r="CU178" i="1"/>
  <c r="CU179" i="1"/>
  <c r="CU180" i="1"/>
  <c r="CU181" i="1"/>
  <c r="CU182" i="1"/>
  <c r="CU183" i="1"/>
  <c r="CU184" i="1"/>
  <c r="CU186" i="1"/>
  <c r="CU187" i="1"/>
  <c r="CU188" i="1"/>
  <c r="CU189" i="1"/>
  <c r="CU190" i="1"/>
  <c r="CU191" i="1"/>
  <c r="CU192" i="1"/>
  <c r="CU193" i="1"/>
  <c r="CU195" i="1"/>
  <c r="CU196" i="1"/>
  <c r="CU197" i="1"/>
  <c r="CU198" i="1"/>
  <c r="CU200" i="1"/>
  <c r="CU201" i="1"/>
  <c r="CU202" i="1"/>
  <c r="CU203" i="1"/>
  <c r="CU204" i="1"/>
  <c r="CU205" i="1"/>
  <c r="CU206" i="1"/>
  <c r="CU207" i="1"/>
  <c r="CU209" i="1"/>
  <c r="CU210" i="1"/>
  <c r="CU211" i="1"/>
  <c r="CU212" i="1"/>
  <c r="CU213" i="1"/>
  <c r="CU214" i="1"/>
  <c r="CU215" i="1"/>
  <c r="CU217" i="1"/>
  <c r="CU218" i="1"/>
  <c r="CU219" i="1"/>
  <c r="CU220" i="1"/>
  <c r="CU221" i="1"/>
  <c r="CU222" i="1"/>
  <c r="CU224" i="1"/>
  <c r="CU225" i="1"/>
  <c r="CU226" i="1"/>
  <c r="CU227" i="1"/>
  <c r="CU228" i="1"/>
  <c r="CU229" i="1"/>
  <c r="CU231" i="1"/>
  <c r="CU232" i="1"/>
  <c r="CU233" i="1"/>
  <c r="CU234" i="1"/>
  <c r="CU235" i="1"/>
  <c r="CU236" i="1"/>
  <c r="CU237" i="1"/>
  <c r="CU238" i="1"/>
  <c r="CU240" i="1"/>
  <c r="CU241" i="1"/>
  <c r="CU242" i="1"/>
  <c r="CU243" i="1"/>
  <c r="CU244" i="1"/>
  <c r="CU245" i="1"/>
  <c r="CU246" i="1"/>
  <c r="CU247" i="1"/>
  <c r="CU249" i="1"/>
  <c r="CU250" i="1"/>
  <c r="CU251" i="1"/>
  <c r="CU252" i="1"/>
  <c r="CU253" i="1"/>
  <c r="CU254" i="1"/>
  <c r="CU255" i="1"/>
  <c r="CU256" i="1"/>
  <c r="CU259" i="1"/>
  <c r="CU260" i="1"/>
  <c r="CU261" i="1"/>
  <c r="CU262" i="1"/>
  <c r="CU263" i="1"/>
  <c r="CU264" i="1"/>
  <c r="CU265" i="1"/>
  <c r="CU266" i="1"/>
  <c r="CU268" i="1"/>
  <c r="CU269" i="1"/>
  <c r="CU270" i="1"/>
  <c r="CU271" i="1"/>
  <c r="CU272" i="1"/>
  <c r="CU273" i="1"/>
  <c r="CU274" i="1"/>
  <c r="CU275" i="1"/>
  <c r="CU276" i="1"/>
  <c r="CU278" i="1"/>
  <c r="CU279" i="1"/>
  <c r="CU280" i="1"/>
  <c r="CU281" i="1"/>
  <c r="CU282" i="1"/>
  <c r="CU283" i="1"/>
  <c r="CU285" i="1"/>
  <c r="CU286" i="1"/>
  <c r="CU287" i="1"/>
  <c r="CU288" i="1"/>
  <c r="CU291" i="1"/>
  <c r="CU292" i="1"/>
  <c r="CU293" i="1"/>
  <c r="CU294" i="1"/>
  <c r="CU296" i="1"/>
  <c r="CU297" i="1"/>
  <c r="CU298" i="1"/>
  <c r="CU299" i="1"/>
  <c r="CU300" i="1"/>
  <c r="CU301" i="1"/>
  <c r="CU302" i="1"/>
  <c r="CU303" i="1"/>
  <c r="CU305" i="1"/>
  <c r="CU306" i="1"/>
  <c r="CU307" i="1"/>
  <c r="CU308" i="1"/>
  <c r="CU309" i="1"/>
  <c r="CU310" i="1"/>
  <c r="CU311" i="1"/>
  <c r="CU312" i="1"/>
  <c r="CU313" i="1"/>
  <c r="CU314" i="1"/>
  <c r="CU316" i="1"/>
  <c r="CU317" i="1"/>
  <c r="CU318" i="1"/>
  <c r="CU319" i="1"/>
  <c r="CU320" i="1"/>
  <c r="CU321" i="1"/>
  <c r="CU322" i="1"/>
  <c r="CU323" i="1"/>
  <c r="CU324" i="1"/>
  <c r="CU325" i="1"/>
  <c r="CU326" i="1"/>
  <c r="CU327" i="1"/>
  <c r="CU329" i="1"/>
  <c r="CU330" i="1"/>
  <c r="CU332" i="1"/>
  <c r="CU333" i="1"/>
  <c r="CU334" i="1"/>
  <c r="CU335" i="1"/>
  <c r="CU336" i="1"/>
  <c r="CU337" i="1"/>
  <c r="CU338" i="1"/>
  <c r="CU340" i="1"/>
  <c r="CU341" i="1"/>
  <c r="CU342" i="1"/>
  <c r="CU343" i="1"/>
  <c r="CU344" i="1"/>
  <c r="CU345" i="1"/>
  <c r="CU346" i="1"/>
  <c r="CU347" i="1"/>
  <c r="CU348" i="1"/>
  <c r="CU349" i="1"/>
  <c r="CU351" i="1"/>
  <c r="CU352" i="1"/>
  <c r="CU353" i="1"/>
  <c r="CU354" i="1"/>
  <c r="CU355" i="1"/>
  <c r="CU356" i="1"/>
  <c r="CU358" i="1"/>
  <c r="CU359" i="1"/>
  <c r="CU360" i="1"/>
  <c r="CU361" i="1"/>
  <c r="CU362" i="1"/>
  <c r="CU363" i="1"/>
  <c r="CU364" i="1"/>
  <c r="CU365" i="1"/>
  <c r="CU367" i="1"/>
  <c r="CU368" i="1"/>
  <c r="CU369" i="1"/>
  <c r="CU371" i="1"/>
  <c r="CU372" i="1"/>
  <c r="CU373" i="1"/>
  <c r="CU375" i="1"/>
  <c r="CU376" i="1"/>
  <c r="CU378" i="1"/>
  <c r="CU379" i="1"/>
  <c r="CU380" i="1"/>
  <c r="CU381" i="1"/>
  <c r="CU382" i="1"/>
  <c r="CU383" i="1"/>
  <c r="CU385" i="1"/>
  <c r="CU386" i="1"/>
  <c r="CU387" i="1"/>
  <c r="CU388" i="1"/>
  <c r="CU389" i="1"/>
  <c r="CU390" i="1"/>
  <c r="CU391" i="1"/>
  <c r="CU393" i="1"/>
  <c r="CU394" i="1"/>
  <c r="CU395" i="1"/>
  <c r="CU396" i="1"/>
  <c r="CU397" i="1"/>
  <c r="CU398" i="1"/>
  <c r="CU399" i="1"/>
  <c r="CU400" i="1"/>
  <c r="CU401" i="1"/>
  <c r="CU403" i="1"/>
  <c r="CU404" i="1"/>
  <c r="CU405" i="1"/>
  <c r="CU406" i="1"/>
  <c r="CU407" i="1"/>
  <c r="CU408" i="1"/>
  <c r="CU409" i="1"/>
  <c r="CU410" i="1"/>
  <c r="CU411" i="1"/>
  <c r="CU413" i="1"/>
  <c r="CU414" i="1"/>
  <c r="CU415" i="1"/>
  <c r="CU416" i="1"/>
  <c r="CU417" i="1"/>
  <c r="CU418" i="1"/>
  <c r="CU421" i="1"/>
  <c r="CU422" i="1"/>
  <c r="CU423" i="1"/>
  <c r="CU424" i="1"/>
  <c r="CU425" i="1"/>
  <c r="CU426" i="1"/>
  <c r="CU427" i="1"/>
  <c r="CU428" i="1"/>
  <c r="CU430" i="1"/>
  <c r="CU431" i="1"/>
  <c r="CU432" i="1"/>
  <c r="CU433" i="1"/>
  <c r="CU434" i="1"/>
  <c r="CU435" i="1"/>
  <c r="CU436" i="1"/>
  <c r="CU438" i="1"/>
  <c r="CU439" i="1"/>
  <c r="CU440" i="1"/>
  <c r="CU441" i="1"/>
  <c r="CU442" i="1"/>
  <c r="CU443" i="1"/>
  <c r="CU445" i="1"/>
  <c r="CU446" i="1"/>
  <c r="CU447" i="1"/>
  <c r="CU448" i="1"/>
  <c r="CU449" i="1"/>
  <c r="CU450" i="1"/>
  <c r="CU451" i="1"/>
  <c r="CU452" i="1"/>
  <c r="CU454" i="1"/>
  <c r="CU455" i="1"/>
  <c r="CU456" i="1"/>
  <c r="CU457" i="1"/>
  <c r="CU459" i="1"/>
  <c r="CU460" i="1"/>
  <c r="CU461" i="1"/>
  <c r="CU462" i="1"/>
  <c r="CU463" i="1"/>
  <c r="CU464" i="1"/>
  <c r="CU465" i="1"/>
  <c r="CU466" i="1"/>
  <c r="CU468" i="1"/>
  <c r="CU469" i="1"/>
  <c r="CU470" i="1"/>
  <c r="CU471" i="1"/>
  <c r="CU472" i="1"/>
  <c r="CU473" i="1"/>
  <c r="CU474" i="1"/>
  <c r="CU475" i="1"/>
  <c r="CU476" i="1"/>
  <c r="CU478" i="1"/>
  <c r="CU479" i="1"/>
  <c r="CU480" i="1"/>
  <c r="CU481" i="1"/>
  <c r="CU482" i="1"/>
  <c r="CU483" i="1"/>
  <c r="CU485" i="1"/>
  <c r="CU486" i="1"/>
  <c r="CU487" i="1"/>
  <c r="CU488" i="1"/>
  <c r="CU489" i="1"/>
  <c r="CU490" i="1"/>
  <c r="CU491" i="1"/>
  <c r="CU492" i="1"/>
  <c r="CU493" i="1"/>
  <c r="CU495" i="1"/>
  <c r="CU496" i="1"/>
  <c r="CU497" i="1"/>
  <c r="CU498" i="1"/>
  <c r="CU499" i="1"/>
  <c r="CU500" i="1"/>
  <c r="CU502" i="1"/>
  <c r="CU503" i="1"/>
  <c r="CU504" i="1"/>
  <c r="CU505" i="1"/>
  <c r="CU506" i="1"/>
  <c r="CU507" i="1"/>
  <c r="CU508" i="1"/>
  <c r="CU510" i="1"/>
  <c r="CU511" i="1"/>
  <c r="CU512" i="1"/>
  <c r="CU514" i="1"/>
  <c r="CU515" i="1"/>
  <c r="CU516" i="1"/>
  <c r="CU517" i="1"/>
  <c r="CU518" i="1"/>
  <c r="CU520" i="1"/>
  <c r="CU521" i="1"/>
  <c r="CU522" i="1"/>
  <c r="CU523" i="1"/>
  <c r="CU524" i="1"/>
  <c r="CU525" i="1"/>
  <c r="CU526" i="1"/>
  <c r="CU527" i="1"/>
  <c r="CU529" i="1"/>
  <c r="CU530" i="1"/>
  <c r="CU531" i="1"/>
  <c r="CU532" i="1"/>
  <c r="CU533" i="1"/>
  <c r="CU534" i="1"/>
  <c r="CU535" i="1"/>
  <c r="CU536" i="1"/>
  <c r="CU538" i="1"/>
  <c r="CU539" i="1"/>
  <c r="CU540" i="1"/>
  <c r="CU541" i="1"/>
  <c r="CU542" i="1"/>
  <c r="CU543" i="1"/>
  <c r="CU544" i="1"/>
  <c r="CU545" i="1"/>
  <c r="CU546" i="1"/>
  <c r="CU548" i="1"/>
  <c r="CU549" i="1"/>
  <c r="CU550" i="1"/>
  <c r="CU551" i="1"/>
  <c r="CU552" i="1"/>
  <c r="CU553" i="1"/>
  <c r="CU554" i="1"/>
  <c r="CU555" i="1"/>
  <c r="CU557" i="1"/>
  <c r="CU558" i="1"/>
  <c r="CU559" i="1"/>
  <c r="CU560" i="1"/>
  <c r="CU561" i="1"/>
  <c r="CU562" i="1"/>
  <c r="CU564" i="1"/>
  <c r="CU565" i="1"/>
  <c r="CU566" i="1"/>
  <c r="CU567" i="1"/>
  <c r="CU569" i="1"/>
  <c r="CU570" i="1"/>
  <c r="CU572" i="1"/>
  <c r="CU573" i="1"/>
  <c r="CU574" i="1"/>
  <c r="CU576" i="1"/>
  <c r="CU577" i="1"/>
  <c r="CU578" i="1"/>
  <c r="CU579" i="1"/>
  <c r="CU580" i="1"/>
  <c r="CU581" i="1"/>
  <c r="CU583" i="1"/>
  <c r="CU584" i="1"/>
  <c r="CU586" i="1"/>
  <c r="CU587" i="1"/>
  <c r="CU588" i="1"/>
  <c r="CU590" i="1"/>
  <c r="CU591" i="1"/>
  <c r="CU592" i="1"/>
  <c r="CU593" i="1"/>
  <c r="CU594" i="1"/>
  <c r="CU595" i="1"/>
  <c r="CU596" i="1"/>
  <c r="CU597" i="1"/>
  <c r="CU598" i="1"/>
  <c r="CU600" i="1"/>
  <c r="CU601" i="1"/>
  <c r="CU603" i="1"/>
  <c r="CU604" i="1"/>
  <c r="CU605" i="1"/>
  <c r="CU607" i="1"/>
  <c r="CU608" i="1"/>
  <c r="CU609" i="1"/>
  <c r="CU610" i="1"/>
  <c r="CU611" i="1"/>
  <c r="CU612" i="1"/>
  <c r="CU614" i="1"/>
  <c r="CU615" i="1"/>
  <c r="CU617" i="1"/>
  <c r="CU618" i="1"/>
  <c r="CU619" i="1"/>
  <c r="CU620" i="1"/>
  <c r="CU622" i="1"/>
  <c r="CU623" i="1"/>
  <c r="CU624" i="1"/>
  <c r="CU625" i="1"/>
  <c r="CU626" i="1"/>
  <c r="CU628" i="1"/>
  <c r="CU629" i="1"/>
  <c r="CU630" i="1"/>
  <c r="CU631" i="1"/>
  <c r="CU632" i="1"/>
  <c r="CU633" i="1"/>
  <c r="CU634" i="1"/>
  <c r="CU636" i="1"/>
  <c r="CU637" i="1"/>
  <c r="CU638" i="1"/>
  <c r="CU639" i="1"/>
  <c r="CU641" i="1"/>
  <c r="CU643" i="1"/>
  <c r="CU644" i="1"/>
  <c r="CU645" i="1"/>
  <c r="CU647" i="1"/>
  <c r="CU648" i="1"/>
  <c r="CU649" i="1"/>
  <c r="CU650" i="1"/>
  <c r="CU651" i="1"/>
  <c r="CU652" i="1"/>
  <c r="CU654" i="1"/>
  <c r="CU655" i="1"/>
  <c r="CU656" i="1"/>
  <c r="CU657" i="1"/>
  <c r="CU658" i="1"/>
  <c r="CU659" i="1"/>
  <c r="CU660" i="1"/>
  <c r="CU662" i="1"/>
  <c r="CU663" i="1"/>
  <c r="CU665" i="1"/>
  <c r="CU666" i="1"/>
  <c r="CU667" i="1"/>
  <c r="CU669" i="1"/>
  <c r="CU670" i="1"/>
  <c r="CU671" i="1"/>
  <c r="CU672" i="1"/>
  <c r="CU674" i="1"/>
  <c r="CU675" i="1"/>
  <c r="CU676" i="1"/>
  <c r="CU677" i="1"/>
  <c r="CU678" i="1"/>
  <c r="CU679" i="1"/>
  <c r="CU681" i="1"/>
  <c r="CU682" i="1"/>
  <c r="CU683" i="1"/>
  <c r="CU684" i="1"/>
  <c r="CU685" i="1"/>
  <c r="CU686" i="1"/>
  <c r="CU687" i="1"/>
  <c r="CU688" i="1"/>
  <c r="CU689" i="1"/>
  <c r="CU690" i="1"/>
  <c r="CU691" i="1"/>
  <c r="CU693" i="1"/>
  <c r="CU694" i="1"/>
  <c r="CU695" i="1"/>
  <c r="CU696" i="1"/>
  <c r="CU698" i="1"/>
  <c r="CU699" i="1"/>
  <c r="CU702" i="1"/>
  <c r="CU703" i="1"/>
  <c r="CU704" i="1"/>
  <c r="CU706" i="1"/>
  <c r="CU707" i="1"/>
  <c r="CU708" i="1"/>
  <c r="CU709" i="1"/>
  <c r="CU711" i="1"/>
  <c r="CU712" i="1"/>
  <c r="CU713" i="1"/>
  <c r="CU714" i="1"/>
  <c r="CU715" i="1"/>
  <c r="CU716" i="1"/>
  <c r="CU717" i="1"/>
  <c r="CU718" i="1"/>
  <c r="CU720" i="1"/>
  <c r="CU721" i="1"/>
  <c r="CU723" i="1"/>
  <c r="CU724" i="1"/>
  <c r="CU725" i="1"/>
  <c r="CU726" i="1"/>
  <c r="CU729" i="1"/>
  <c r="CU731" i="1"/>
  <c r="CU732" i="1"/>
  <c r="CU733" i="1"/>
  <c r="CU734" i="1"/>
  <c r="CU735" i="1"/>
  <c r="CU736" i="1"/>
  <c r="CU738" i="1"/>
  <c r="CU739" i="1"/>
  <c r="CU740" i="1"/>
  <c r="CU741" i="1"/>
  <c r="CU742" i="1"/>
  <c r="CU743" i="1"/>
  <c r="CU744" i="1"/>
  <c r="CU745" i="1"/>
  <c r="CU748" i="1"/>
  <c r="CU750" i="1"/>
  <c r="CU751" i="1"/>
  <c r="CU752" i="1"/>
  <c r="CU753" i="1"/>
  <c r="CU754" i="1"/>
  <c r="CU755" i="1"/>
  <c r="CU756" i="1"/>
  <c r="CU758" i="1"/>
  <c r="CU760" i="1"/>
  <c r="CU761" i="1"/>
  <c r="CU763" i="1"/>
  <c r="CU764" i="1"/>
  <c r="CU766" i="1"/>
  <c r="CU767" i="1"/>
  <c r="CU768" i="1"/>
  <c r="CU769" i="1"/>
  <c r="CU774" i="1"/>
  <c r="CU775" i="1"/>
  <c r="CU777" i="1"/>
  <c r="CU778" i="1"/>
  <c r="CU779" i="1"/>
  <c r="CU780" i="1"/>
  <c r="CU782" i="1"/>
  <c r="CU783" i="1"/>
  <c r="CU784" i="1"/>
  <c r="CU785" i="1"/>
  <c r="CU786" i="1"/>
  <c r="CU787" i="1"/>
  <c r="CU789" i="1"/>
  <c r="CU790" i="1"/>
  <c r="CU791" i="1"/>
  <c r="CU793" i="1"/>
  <c r="CU794" i="1"/>
  <c r="CU795" i="1"/>
  <c r="CU796" i="1"/>
  <c r="CU797" i="1"/>
  <c r="CU798" i="1"/>
  <c r="CU800" i="1"/>
  <c r="CU801" i="1"/>
  <c r="CU802" i="1"/>
  <c r="CU803" i="1"/>
  <c r="CU804" i="1"/>
  <c r="CU805" i="1"/>
  <c r="CU806" i="1"/>
  <c r="CU807" i="1"/>
  <c r="CU808" i="1"/>
  <c r="CU810" i="1"/>
  <c r="CU811" i="1"/>
  <c r="CU812" i="1"/>
  <c r="CU813" i="1"/>
  <c r="CU814" i="1"/>
  <c r="CU815" i="1"/>
  <c r="CU816" i="1"/>
  <c r="CU818" i="1"/>
  <c r="CU819" i="1"/>
  <c r="CU820" i="1"/>
  <c r="CU822" i="1"/>
  <c r="CU823" i="1"/>
  <c r="CU824" i="1"/>
  <c r="CU825" i="1"/>
  <c r="CU826" i="1"/>
  <c r="CU827" i="1"/>
  <c r="CU829" i="1"/>
  <c r="CU830" i="1"/>
  <c r="CU831" i="1"/>
  <c r="CU832" i="1"/>
  <c r="CU834" i="1"/>
  <c r="CU835" i="1"/>
  <c r="CU836" i="1"/>
  <c r="CU838" i="1"/>
  <c r="CU839" i="1"/>
  <c r="CU840" i="1"/>
  <c r="CU841" i="1"/>
  <c r="CU842" i="1"/>
  <c r="CU843" i="1"/>
  <c r="CU845" i="1"/>
  <c r="CU846" i="1"/>
  <c r="CU847" i="1"/>
  <c r="CU848" i="1"/>
  <c r="CU849" i="1"/>
  <c r="CU850" i="1"/>
  <c r="CU852" i="1"/>
  <c r="CU854" i="1"/>
  <c r="CU855" i="1"/>
  <c r="CU856" i="1"/>
  <c r="CU857" i="1"/>
  <c r="CU859" i="1"/>
  <c r="CU860" i="1"/>
  <c r="CU862" i="1"/>
  <c r="CU863" i="1"/>
  <c r="CU864" i="1"/>
  <c r="CU865" i="1"/>
  <c r="CU866" i="1"/>
  <c r="CU867" i="1"/>
  <c r="CU868" i="1"/>
  <c r="CU869" i="1"/>
  <c r="CU870" i="1"/>
  <c r="CU872" i="1"/>
  <c r="CU873" i="1"/>
  <c r="CU874" i="1"/>
  <c r="CU875" i="1"/>
  <c r="CU876" i="1"/>
  <c r="CU877" i="1"/>
  <c r="CU878" i="1"/>
  <c r="CU879" i="1"/>
  <c r="CU880" i="1"/>
  <c r="CU881" i="1"/>
  <c r="CU884" i="1"/>
  <c r="CU886" i="1"/>
  <c r="CU887" i="1"/>
  <c r="CU888" i="1"/>
  <c r="CU889" i="1"/>
  <c r="CU890" i="1"/>
  <c r="CU891" i="1"/>
  <c r="CU892" i="1"/>
  <c r="CU893" i="1"/>
  <c r="CU894" i="1"/>
  <c r="CU895" i="1"/>
  <c r="CU897" i="1"/>
  <c r="CU898" i="1"/>
  <c r="CU899" i="1"/>
  <c r="CU900" i="1"/>
  <c r="CU901" i="1"/>
  <c r="CU902" i="1"/>
  <c r="CU904" i="1"/>
  <c r="CU905" i="1"/>
  <c r="CU906" i="1"/>
  <c r="CU908" i="1"/>
  <c r="CU909" i="1"/>
  <c r="CU910" i="1"/>
  <c r="CU911" i="1"/>
  <c r="CU912" i="1"/>
  <c r="CU913" i="1"/>
  <c r="CU915" i="1"/>
  <c r="CU916" i="1"/>
  <c r="CU917" i="1"/>
  <c r="CU918" i="1"/>
  <c r="CU919" i="1"/>
  <c r="CU921" i="1"/>
  <c r="CU922" i="1"/>
  <c r="CU923" i="1"/>
  <c r="CU924" i="1"/>
  <c r="CU925" i="1"/>
  <c r="CU927" i="1"/>
  <c r="CU928" i="1"/>
  <c r="CU929" i="1"/>
  <c r="CU930" i="1"/>
  <c r="CU931" i="1"/>
  <c r="CU932" i="1"/>
  <c r="CU933" i="1"/>
  <c r="CU935" i="1"/>
  <c r="CU936" i="1"/>
  <c r="CU937" i="1"/>
  <c r="CU938" i="1"/>
  <c r="CU939" i="1"/>
  <c r="CU940" i="1"/>
  <c r="CU941" i="1"/>
  <c r="CU943" i="1"/>
  <c r="CU944" i="1"/>
  <c r="CU945" i="1"/>
  <c r="CU947" i="1"/>
  <c r="CU948" i="1"/>
  <c r="CU950" i="1"/>
  <c r="CU951" i="1"/>
  <c r="CU952" i="1"/>
  <c r="CU953" i="1"/>
  <c r="CU954" i="1"/>
  <c r="CU955" i="1"/>
  <c r="CU956" i="1"/>
  <c r="CU957" i="1"/>
  <c r="CU958" i="1"/>
  <c r="CU960" i="1"/>
  <c r="CU961" i="1"/>
  <c r="CU962" i="1"/>
  <c r="CU963" i="1"/>
  <c r="CU964" i="1"/>
  <c r="CU965" i="1"/>
  <c r="CU966" i="1"/>
  <c r="CU967" i="1"/>
  <c r="CU969" i="1"/>
  <c r="CU970" i="1"/>
  <c r="CU971" i="1"/>
  <c r="CU972" i="1"/>
  <c r="CU973" i="1"/>
  <c r="CU974" i="1"/>
  <c r="CU975" i="1"/>
  <c r="CU977" i="1"/>
  <c r="CU978" i="1"/>
  <c r="CU979" i="1"/>
  <c r="CU980" i="1"/>
  <c r="CU981" i="1"/>
  <c r="CU983" i="1"/>
  <c r="CU985" i="1"/>
  <c r="CU986" i="1"/>
  <c r="CU987" i="1"/>
  <c r="CU989" i="1"/>
  <c r="CU990" i="1"/>
  <c r="CU991" i="1"/>
  <c r="CU992" i="1"/>
  <c r="CU993" i="1"/>
  <c r="CU994" i="1"/>
  <c r="CU996" i="1"/>
  <c r="CU997" i="1"/>
  <c r="CU998" i="1"/>
  <c r="CU999" i="1"/>
  <c r="CU1000" i="1"/>
  <c r="CU1001" i="1"/>
  <c r="CU1002" i="1"/>
  <c r="CU1003" i="1"/>
  <c r="CU1005" i="1"/>
  <c r="CU1006" i="1"/>
  <c r="CU1007" i="1"/>
  <c r="CU1008" i="1"/>
  <c r="CU1009" i="1"/>
  <c r="CU1010" i="1"/>
  <c r="CU1011" i="1"/>
  <c r="CU1013" i="1"/>
  <c r="CU1014" i="1"/>
  <c r="CU1015" i="1"/>
  <c r="CU1016" i="1"/>
  <c r="CU1017" i="1"/>
  <c r="CU1018" i="1"/>
  <c r="CU1019" i="1"/>
  <c r="CU1020" i="1"/>
  <c r="CU1021" i="1"/>
  <c r="CU1022" i="1"/>
  <c r="CU1023" i="1"/>
  <c r="CU1025" i="1"/>
  <c r="CU1026" i="1"/>
  <c r="CU1027" i="1"/>
  <c r="CU1028" i="1"/>
  <c r="CU1029" i="1"/>
  <c r="CU1030" i="1"/>
  <c r="CU1031" i="1"/>
  <c r="CU1032" i="1"/>
  <c r="CU1033" i="1"/>
  <c r="CU1035" i="1"/>
  <c r="CU1036" i="1"/>
  <c r="CU1037" i="1"/>
  <c r="CU1038" i="1"/>
  <c r="CU1039" i="1"/>
  <c r="CU1040" i="1"/>
  <c r="CU1041" i="1"/>
  <c r="CU1042" i="1"/>
  <c r="CU1043" i="1"/>
  <c r="CU1044" i="1"/>
  <c r="CU1046" i="1"/>
  <c r="CU1047" i="1"/>
  <c r="CU1048" i="1"/>
  <c r="CU1051" i="1"/>
  <c r="CU1053" i="1"/>
  <c r="CU1054" i="1"/>
  <c r="CU1055" i="1"/>
  <c r="CU1056" i="1"/>
  <c r="CU1057" i="1"/>
  <c r="CU1059" i="1"/>
  <c r="CU1060" i="1"/>
  <c r="CU1061" i="1"/>
  <c r="CU1062" i="1"/>
  <c r="CU1063" i="1"/>
  <c r="CU1064" i="1"/>
  <c r="CU1066" i="1"/>
  <c r="CU1067" i="1"/>
  <c r="CU1068" i="1"/>
  <c r="CU1069" i="1"/>
  <c r="CU1070" i="1"/>
  <c r="CU1071" i="1"/>
  <c r="CU1072" i="1"/>
  <c r="CU1073" i="1"/>
  <c r="CU1075" i="1"/>
  <c r="CU1076" i="1"/>
  <c r="CU1077" i="1"/>
  <c r="CU1079" i="1"/>
  <c r="CU1080" i="1"/>
  <c r="CU1081" i="1"/>
  <c r="CU1082" i="1"/>
  <c r="CU1083" i="1"/>
  <c r="CU1084" i="1"/>
  <c r="CU1086" i="1"/>
  <c r="CU1087" i="1"/>
  <c r="CU1088" i="1"/>
  <c r="CU1089" i="1"/>
  <c r="CU1090" i="1"/>
  <c r="CU1091" i="1"/>
  <c r="CU1092" i="1"/>
  <c r="CU1093" i="1"/>
  <c r="CU1094" i="1"/>
  <c r="CU1096" i="1"/>
  <c r="CU1097" i="1"/>
  <c r="CU1098" i="1"/>
  <c r="CU1099" i="1"/>
  <c r="CU1100" i="1"/>
  <c r="CU1101" i="1"/>
  <c r="CU1102" i="1"/>
  <c r="CU1103" i="1"/>
  <c r="CU1104" i="1"/>
  <c r="CU1105" i="1"/>
  <c r="CU1106" i="1"/>
  <c r="CU1108" i="1"/>
  <c r="CU1109" i="1"/>
  <c r="CU1110" i="1"/>
  <c r="CU1111" i="1"/>
  <c r="CU1112" i="1"/>
  <c r="CU1113" i="1"/>
  <c r="CU1115" i="1"/>
  <c r="CU1116" i="1"/>
  <c r="CU1117" i="1"/>
  <c r="CU1118" i="1"/>
  <c r="CU1120" i="1"/>
  <c r="CU1122" i="1"/>
  <c r="CU1123" i="1"/>
  <c r="CU1124" i="1"/>
  <c r="CU1126" i="1"/>
  <c r="CU1127" i="1"/>
  <c r="CU1128" i="1"/>
  <c r="CU1129" i="1"/>
  <c r="CU1130" i="1"/>
  <c r="CU1132" i="1"/>
  <c r="CU1133" i="1"/>
  <c r="CU1135" i="1"/>
  <c r="CU1136" i="1"/>
  <c r="CU1137" i="1"/>
  <c r="CU1138" i="1"/>
  <c r="CU1139" i="1"/>
  <c r="CU1140" i="1"/>
  <c r="CU1142" i="1"/>
  <c r="CU1143" i="1"/>
  <c r="CU1144" i="1"/>
  <c r="CU1145" i="1"/>
  <c r="CU1146" i="1"/>
  <c r="CU1147" i="1"/>
  <c r="CU1148" i="1"/>
  <c r="CU1149" i="1"/>
  <c r="CU1150" i="1"/>
  <c r="CU1152" i="1"/>
  <c r="CU1153" i="1"/>
  <c r="CU1154" i="1"/>
  <c r="CU1155" i="1"/>
  <c r="CU1157" i="1"/>
  <c r="CU1158" i="1"/>
  <c r="CU1159" i="1"/>
  <c r="CU1160" i="1"/>
  <c r="CU1161" i="1"/>
  <c r="CU1162" i="1"/>
  <c r="CU1163" i="1"/>
  <c r="CU1164" i="1"/>
  <c r="CU1165" i="1"/>
  <c r="CU1167" i="1"/>
  <c r="CU1168" i="1"/>
  <c r="CU1169" i="1"/>
  <c r="CU1170" i="1"/>
  <c r="CU1172" i="1"/>
  <c r="CU1173" i="1"/>
  <c r="CU1174" i="1"/>
  <c r="CU1175" i="1"/>
  <c r="CU1177" i="1"/>
  <c r="CU1178" i="1"/>
  <c r="CU1179" i="1"/>
  <c r="CU1180" i="1"/>
  <c r="CU1181" i="1"/>
  <c r="CU1182" i="1"/>
  <c r="CU1183" i="1"/>
  <c r="CU1185" i="1"/>
  <c r="CU1186" i="1"/>
  <c r="CU1187" i="1"/>
  <c r="CU1188" i="1"/>
  <c r="CU1189" i="1"/>
  <c r="CU1190" i="1"/>
  <c r="CU1192" i="1"/>
  <c r="CU1194" i="1"/>
  <c r="CU1195" i="1"/>
  <c r="CU1196" i="1"/>
  <c r="CU1199" i="1"/>
  <c r="CU1201" i="1"/>
  <c r="CU1202" i="1"/>
  <c r="CU1203" i="1"/>
  <c r="CU1204" i="1"/>
  <c r="CU1205" i="1"/>
  <c r="CU1206" i="1"/>
  <c r="CU1207" i="1"/>
  <c r="CU1209" i="1"/>
  <c r="CU1210" i="1"/>
  <c r="CU1211" i="1"/>
  <c r="CU1212" i="1"/>
  <c r="CU1213" i="1"/>
  <c r="CU1214" i="1"/>
  <c r="CU1215" i="1"/>
  <c r="CU1216" i="1"/>
  <c r="CU1217" i="1"/>
  <c r="CU1219" i="1"/>
  <c r="CU1220" i="1"/>
  <c r="CU1222" i="1"/>
  <c r="CU1223" i="1"/>
  <c r="CU1224" i="1"/>
  <c r="CU1225" i="1"/>
  <c r="CU1226" i="1"/>
  <c r="CU1227" i="1"/>
  <c r="CU1229" i="1"/>
  <c r="CU1230" i="1"/>
  <c r="CU1231" i="1"/>
  <c r="CU1232" i="1"/>
  <c r="CU1233" i="1"/>
  <c r="CU1234" i="1"/>
  <c r="CU1235" i="1"/>
  <c r="CU1236" i="1"/>
  <c r="CU1238" i="1"/>
  <c r="CU1240" i="1"/>
  <c r="CU1241" i="1"/>
  <c r="CU1242" i="1"/>
  <c r="CU1244" i="1"/>
  <c r="CU1245" i="1"/>
  <c r="CU1246" i="1"/>
  <c r="CU1247" i="1"/>
  <c r="CU1248" i="1"/>
  <c r="CU1250" i="1"/>
  <c r="CU1251" i="1"/>
  <c r="CU1252" i="1"/>
  <c r="CU1253" i="1"/>
  <c r="CU1254" i="1"/>
  <c r="CU1255" i="1"/>
  <c r="CU1256" i="1"/>
  <c r="CU1257" i="1"/>
  <c r="CU1258" i="1"/>
  <c r="CU1259" i="1"/>
  <c r="CU1261" i="1"/>
  <c r="CU1262" i="1"/>
  <c r="CU1263" i="1"/>
  <c r="CU1265" i="1"/>
  <c r="CU1266" i="1"/>
  <c r="CU1267" i="1"/>
  <c r="CU1268" i="1"/>
  <c r="CU1272" i="1"/>
  <c r="CU1274" i="1"/>
  <c r="CU1275" i="1"/>
  <c r="CU1276" i="1"/>
  <c r="CU1277" i="1"/>
  <c r="CU1278" i="1"/>
  <c r="CU1279" i="1"/>
  <c r="CU1280" i="1"/>
  <c r="CU1282" i="1"/>
  <c r="CU1283" i="1"/>
  <c r="CU1284" i="1"/>
  <c r="CU1285" i="1"/>
  <c r="CU1286" i="1"/>
  <c r="CU1287" i="1"/>
  <c r="CU1288" i="1"/>
  <c r="CU1289" i="1"/>
  <c r="CU1291" i="1"/>
  <c r="CU1292" i="1"/>
  <c r="CU1293" i="1"/>
  <c r="CU1294" i="1"/>
  <c r="CU1295" i="1"/>
  <c r="CU1296" i="1"/>
  <c r="CU1297" i="1"/>
  <c r="CU1298" i="1"/>
  <c r="CU1299" i="1"/>
  <c r="CU1300" i="1"/>
  <c r="CU1301" i="1"/>
  <c r="CU1303" i="1"/>
  <c r="CU1304" i="1"/>
  <c r="CU1305" i="1"/>
  <c r="CU1306" i="1"/>
  <c r="CU1307" i="1"/>
  <c r="CU1308" i="1"/>
  <c r="CU1309" i="1"/>
  <c r="CU1310" i="1"/>
  <c r="CU1311" i="1"/>
  <c r="CU1312" i="1"/>
  <c r="CU1313" i="1"/>
  <c r="CV67" i="1"/>
  <c r="CV68" i="1"/>
  <c r="CV69" i="1"/>
  <c r="CV70" i="1"/>
  <c r="CV71" i="1"/>
  <c r="CV72" i="1"/>
  <c r="CV73" i="1"/>
  <c r="CV74" i="1"/>
  <c r="CV76" i="1"/>
  <c r="CV77" i="1"/>
  <c r="CV78" i="1"/>
  <c r="CV79" i="1"/>
  <c r="CV80" i="1"/>
  <c r="CV81" i="1"/>
  <c r="CV82" i="1"/>
  <c r="CV84" i="1"/>
  <c r="CV85" i="1"/>
  <c r="CV86" i="1"/>
  <c r="CV87" i="1"/>
  <c r="CV88" i="1"/>
  <c r="CV89" i="1"/>
  <c r="CV90" i="1"/>
  <c r="CV92" i="1"/>
  <c r="CV93" i="1"/>
  <c r="CV94" i="1"/>
  <c r="CV95" i="1"/>
  <c r="CV96" i="1"/>
  <c r="CV97" i="1"/>
  <c r="CV98" i="1"/>
  <c r="CV101" i="1"/>
  <c r="CV104" i="1"/>
  <c r="CV105" i="1"/>
  <c r="CV106" i="1"/>
  <c r="CV107" i="1"/>
  <c r="CV108" i="1"/>
  <c r="CV109" i="1"/>
  <c r="CV111" i="1"/>
  <c r="CV112" i="1"/>
  <c r="CV113" i="1"/>
  <c r="CV114" i="1"/>
  <c r="CV115" i="1"/>
  <c r="CV116" i="1"/>
  <c r="CV117" i="1"/>
  <c r="CV118" i="1"/>
  <c r="CV119" i="1"/>
  <c r="CV120" i="1"/>
  <c r="CV122" i="1"/>
  <c r="CV124" i="1"/>
  <c r="CV125" i="1"/>
  <c r="CV126" i="1"/>
  <c r="CV129" i="1"/>
  <c r="CV131" i="1"/>
  <c r="CV132" i="1"/>
  <c r="CV136" i="1"/>
  <c r="CV138" i="1"/>
  <c r="CV139" i="1"/>
  <c r="CV140" i="1"/>
  <c r="CV141" i="1"/>
  <c r="CV142" i="1"/>
  <c r="CV144" i="1"/>
  <c r="CV145" i="1"/>
  <c r="CV146" i="1"/>
  <c r="CV147" i="1"/>
  <c r="CV148" i="1"/>
  <c r="CV149" i="1"/>
  <c r="CV151" i="1"/>
  <c r="CV152" i="1"/>
  <c r="CV153" i="1"/>
  <c r="CV154" i="1"/>
  <c r="CV155" i="1"/>
  <c r="CV156" i="1"/>
  <c r="CV157" i="1"/>
  <c r="CV158" i="1"/>
  <c r="CV160" i="1"/>
  <c r="CV161" i="1"/>
  <c r="CV162" i="1"/>
  <c r="CV163" i="1"/>
  <c r="CV165" i="1"/>
  <c r="CV166" i="1"/>
  <c r="CV167" i="1"/>
  <c r="CV168" i="1"/>
  <c r="CV169" i="1"/>
  <c r="CV170" i="1"/>
  <c r="CV172" i="1"/>
  <c r="CV173" i="1"/>
  <c r="CV175" i="1"/>
  <c r="CV176" i="1"/>
  <c r="CV177" i="1"/>
  <c r="CV178" i="1"/>
  <c r="CV179" i="1"/>
  <c r="CV180" i="1"/>
  <c r="CV181" i="1"/>
  <c r="CV182" i="1"/>
  <c r="CV183" i="1"/>
  <c r="CV184" i="1"/>
  <c r="CV186" i="1"/>
  <c r="CV187" i="1"/>
  <c r="CV188" i="1"/>
  <c r="CV189" i="1"/>
  <c r="CV190" i="1"/>
  <c r="CV191" i="1"/>
  <c r="CV192" i="1"/>
  <c r="CV193" i="1"/>
  <c r="CV195" i="1"/>
  <c r="CV196" i="1"/>
  <c r="CV197" i="1"/>
  <c r="CV198" i="1"/>
  <c r="CV201" i="1"/>
  <c r="CV202" i="1"/>
  <c r="CV203" i="1"/>
  <c r="CV204" i="1"/>
  <c r="CV205" i="1"/>
  <c r="CV206" i="1"/>
  <c r="CV207" i="1"/>
  <c r="CV209" i="1"/>
  <c r="CV210" i="1"/>
  <c r="CV211" i="1"/>
  <c r="CV212" i="1"/>
  <c r="CV213" i="1"/>
  <c r="CV214" i="1"/>
  <c r="CV215" i="1"/>
  <c r="CV217" i="1"/>
  <c r="CV218" i="1"/>
  <c r="CV219" i="1"/>
  <c r="CV220" i="1"/>
  <c r="CV221" i="1"/>
  <c r="CV222" i="1"/>
  <c r="CV224" i="1"/>
  <c r="CV225" i="1"/>
  <c r="CV226" i="1"/>
  <c r="CV227" i="1"/>
  <c r="CV228" i="1"/>
  <c r="CV229" i="1"/>
  <c r="CV231" i="1"/>
  <c r="CV232" i="1"/>
  <c r="CV233" i="1"/>
  <c r="CV234" i="1"/>
  <c r="CV235" i="1"/>
  <c r="CV236" i="1"/>
  <c r="CV237" i="1"/>
  <c r="CV238" i="1"/>
  <c r="CV240" i="1"/>
  <c r="CV241" i="1"/>
  <c r="CV242" i="1"/>
  <c r="CV243" i="1"/>
  <c r="CV244" i="1"/>
  <c r="CV245" i="1"/>
  <c r="CV246" i="1"/>
  <c r="CV247" i="1"/>
  <c r="CV249" i="1"/>
  <c r="CV250" i="1"/>
  <c r="CV251" i="1"/>
  <c r="CV252" i="1"/>
  <c r="CV253" i="1"/>
  <c r="CV254" i="1"/>
  <c r="CV255" i="1"/>
  <c r="CV256" i="1"/>
  <c r="CV258" i="1"/>
  <c r="CV259" i="1"/>
  <c r="CV260" i="1"/>
  <c r="CV261" i="1"/>
  <c r="CV262" i="1"/>
  <c r="CV263" i="1"/>
  <c r="CV264" i="1"/>
  <c r="CV265" i="1"/>
  <c r="CV266" i="1"/>
  <c r="CV268" i="1"/>
  <c r="CV269" i="1"/>
  <c r="CV270" i="1"/>
  <c r="CV271" i="1"/>
  <c r="CV272" i="1"/>
  <c r="CV273" i="1"/>
  <c r="CV274" i="1"/>
  <c r="CV275" i="1"/>
  <c r="CV276" i="1"/>
  <c r="CV278" i="1"/>
  <c r="CV279" i="1"/>
  <c r="CV280" i="1"/>
  <c r="CV281" i="1"/>
  <c r="CV282" i="1"/>
  <c r="CV283" i="1"/>
  <c r="CV285" i="1"/>
  <c r="CV286" i="1"/>
  <c r="CV287" i="1"/>
  <c r="CV288" i="1"/>
  <c r="CV291" i="1"/>
  <c r="CV292" i="1"/>
  <c r="CV293" i="1"/>
  <c r="CV294" i="1"/>
  <c r="CV296" i="1"/>
  <c r="CV297" i="1"/>
  <c r="CV298" i="1"/>
  <c r="CV299" i="1"/>
  <c r="CV300" i="1"/>
  <c r="CV301" i="1"/>
  <c r="CV302" i="1"/>
  <c r="CV303" i="1"/>
  <c r="CV305" i="1"/>
  <c r="CV306" i="1"/>
  <c r="CV307" i="1"/>
  <c r="CV308" i="1"/>
  <c r="CV309" i="1"/>
  <c r="CV310" i="1"/>
  <c r="CV311" i="1"/>
  <c r="CV312" i="1"/>
  <c r="CV313" i="1"/>
  <c r="CV314" i="1"/>
  <c r="CV316" i="1"/>
  <c r="CV317" i="1"/>
  <c r="CV318" i="1"/>
  <c r="CV319" i="1"/>
  <c r="CV320" i="1"/>
  <c r="CV321" i="1"/>
  <c r="CV322" i="1"/>
  <c r="CV323" i="1"/>
  <c r="CV324" i="1"/>
  <c r="CV325" i="1"/>
  <c r="CV326" i="1"/>
  <c r="CV327" i="1"/>
  <c r="CV329" i="1"/>
  <c r="CV330" i="1"/>
  <c r="CV332" i="1"/>
  <c r="CV333" i="1"/>
  <c r="CV334" i="1"/>
  <c r="CV335" i="1"/>
  <c r="CV336" i="1"/>
  <c r="CV337" i="1"/>
  <c r="CV338" i="1"/>
  <c r="CV340" i="1"/>
  <c r="CV341" i="1"/>
  <c r="CV342" i="1"/>
  <c r="CV343" i="1"/>
  <c r="CV344" i="1"/>
  <c r="CV345" i="1"/>
  <c r="CV346" i="1"/>
  <c r="CV347" i="1"/>
  <c r="CV348" i="1"/>
  <c r="CV349" i="1"/>
  <c r="CV351" i="1"/>
  <c r="CV352" i="1"/>
  <c r="CV353" i="1"/>
  <c r="CV354" i="1"/>
  <c r="CV355" i="1"/>
  <c r="CV356" i="1"/>
  <c r="CV358" i="1"/>
  <c r="CV359" i="1"/>
  <c r="CV360" i="1"/>
  <c r="CV361" i="1"/>
  <c r="CV362" i="1"/>
  <c r="CV363" i="1"/>
  <c r="CV364" i="1"/>
  <c r="CV365" i="1"/>
  <c r="CV367" i="1"/>
  <c r="CV368" i="1"/>
  <c r="CV369" i="1"/>
  <c r="CV371" i="1"/>
  <c r="CV372" i="1"/>
  <c r="CV373" i="1"/>
  <c r="CV375" i="1"/>
  <c r="CV376" i="1"/>
  <c r="CV378" i="1"/>
  <c r="CV379" i="1"/>
  <c r="CV380" i="1"/>
  <c r="CV381" i="1"/>
  <c r="CV382" i="1"/>
  <c r="CV383" i="1"/>
  <c r="CV385" i="1"/>
  <c r="CV386" i="1"/>
  <c r="CV387" i="1"/>
  <c r="CV388" i="1"/>
  <c r="CV389" i="1"/>
  <c r="CV390" i="1"/>
  <c r="CV391" i="1"/>
  <c r="CV393" i="1"/>
  <c r="CV394" i="1"/>
  <c r="CV395" i="1"/>
  <c r="CV396" i="1"/>
  <c r="CV397" i="1"/>
  <c r="CV398" i="1"/>
  <c r="CV399" i="1"/>
  <c r="CV400" i="1"/>
  <c r="CV401" i="1"/>
  <c r="CV403" i="1"/>
  <c r="CV404" i="1"/>
  <c r="CV405" i="1"/>
  <c r="CV406" i="1"/>
  <c r="CV407" i="1"/>
  <c r="CV408" i="1"/>
  <c r="CV409" i="1"/>
  <c r="CV410" i="1"/>
  <c r="CV411" i="1"/>
  <c r="CV413" i="1"/>
  <c r="CV414" i="1"/>
  <c r="CV415" i="1"/>
  <c r="CV416" i="1"/>
  <c r="CV417" i="1"/>
  <c r="CV418" i="1"/>
  <c r="CV421" i="1"/>
  <c r="CV422" i="1"/>
  <c r="CV423" i="1"/>
  <c r="CV424" i="1"/>
  <c r="CV425" i="1"/>
  <c r="CV426" i="1"/>
  <c r="CV427" i="1"/>
  <c r="CV428" i="1"/>
  <c r="CV430" i="1"/>
  <c r="CV431" i="1"/>
  <c r="CV432" i="1"/>
  <c r="CV433" i="1"/>
  <c r="CV434" i="1"/>
  <c r="CV435" i="1"/>
  <c r="CV436" i="1"/>
  <c r="CV438" i="1"/>
  <c r="CV439" i="1"/>
  <c r="CV440" i="1"/>
  <c r="CV441" i="1"/>
  <c r="CV442" i="1"/>
  <c r="CV443" i="1"/>
  <c r="CV445" i="1"/>
  <c r="CV446" i="1"/>
  <c r="CV447" i="1"/>
  <c r="CV448" i="1"/>
  <c r="CV449" i="1"/>
  <c r="CV450" i="1"/>
  <c r="CV451" i="1"/>
  <c r="CV452" i="1"/>
  <c r="CV454" i="1"/>
  <c r="CV455" i="1"/>
  <c r="CV456" i="1"/>
  <c r="CV457" i="1"/>
  <c r="CV459" i="1"/>
  <c r="CV460" i="1"/>
  <c r="CV461" i="1"/>
  <c r="CV462" i="1"/>
  <c r="CV463" i="1"/>
  <c r="CV464" i="1"/>
  <c r="CV465" i="1"/>
  <c r="CV466" i="1"/>
  <c r="CV468" i="1"/>
  <c r="CV469" i="1"/>
  <c r="CV470" i="1"/>
  <c r="CV471" i="1"/>
  <c r="CV472" i="1"/>
  <c r="CV473" i="1"/>
  <c r="CV474" i="1"/>
  <c r="CV475" i="1"/>
  <c r="CV476" i="1"/>
  <c r="CV478" i="1"/>
  <c r="CV479" i="1"/>
  <c r="CV480" i="1"/>
  <c r="CV481" i="1"/>
  <c r="CV482" i="1"/>
  <c r="CV483" i="1"/>
  <c r="CV485" i="1"/>
  <c r="CV486" i="1"/>
  <c r="CV487" i="1"/>
  <c r="CV488" i="1"/>
  <c r="CV489" i="1"/>
  <c r="CV490" i="1"/>
  <c r="CV491" i="1"/>
  <c r="CV492" i="1"/>
  <c r="CV493" i="1"/>
  <c r="CV495" i="1"/>
  <c r="CV496" i="1"/>
  <c r="CV497" i="1"/>
  <c r="CV498" i="1"/>
  <c r="CV499" i="1"/>
  <c r="CV500" i="1"/>
  <c r="CV502" i="1"/>
  <c r="CV503" i="1"/>
  <c r="CV504" i="1"/>
  <c r="CV505" i="1"/>
  <c r="CV506" i="1"/>
  <c r="CV507" i="1"/>
  <c r="CV508" i="1"/>
  <c r="CV510" i="1"/>
  <c r="CV511" i="1"/>
  <c r="CV512" i="1"/>
  <c r="CV514" i="1"/>
  <c r="CV515" i="1"/>
  <c r="CV516" i="1"/>
  <c r="CV517" i="1"/>
  <c r="CV518" i="1"/>
  <c r="CV520" i="1"/>
  <c r="CV521" i="1"/>
  <c r="CV522" i="1"/>
  <c r="CV523" i="1"/>
  <c r="CV524" i="1"/>
  <c r="CV525" i="1"/>
  <c r="CV526" i="1"/>
  <c r="CV527" i="1"/>
  <c r="CV529" i="1"/>
  <c r="CV530" i="1"/>
  <c r="CV531" i="1"/>
  <c r="CV532" i="1"/>
  <c r="CV533" i="1"/>
  <c r="CV534" i="1"/>
  <c r="CV535" i="1"/>
  <c r="CV536" i="1"/>
  <c r="CV538" i="1"/>
  <c r="CV539" i="1"/>
  <c r="CV540" i="1"/>
  <c r="CV541" i="1"/>
  <c r="CV542" i="1"/>
  <c r="CV543" i="1"/>
  <c r="CV544" i="1"/>
  <c r="CV545" i="1"/>
  <c r="CV546" i="1"/>
  <c r="CV548" i="1"/>
  <c r="CV549" i="1"/>
  <c r="CV550" i="1"/>
  <c r="CV551" i="1"/>
  <c r="CV552" i="1"/>
  <c r="CV553" i="1"/>
  <c r="CV554" i="1"/>
  <c r="CV555" i="1"/>
  <c r="CV557" i="1"/>
  <c r="CV558" i="1"/>
  <c r="CV559" i="1"/>
  <c r="CV560" i="1"/>
  <c r="CV561" i="1"/>
  <c r="CV562" i="1"/>
  <c r="CV564" i="1"/>
  <c r="CV565" i="1"/>
  <c r="CV566" i="1"/>
  <c r="CV567" i="1"/>
  <c r="CV569" i="1"/>
  <c r="CV570" i="1"/>
  <c r="CV572" i="1"/>
  <c r="CV573" i="1"/>
  <c r="CV574" i="1"/>
  <c r="CV576" i="1"/>
  <c r="CV577" i="1"/>
  <c r="CV578" i="1"/>
  <c r="CV579" i="1"/>
  <c r="CV580" i="1"/>
  <c r="CV581" i="1"/>
  <c r="CV583" i="1"/>
  <c r="CV584" i="1"/>
  <c r="CV586" i="1"/>
  <c r="CV587" i="1"/>
  <c r="CV588" i="1"/>
  <c r="CV590" i="1"/>
  <c r="CV591" i="1"/>
  <c r="CV592" i="1"/>
  <c r="CV593" i="1"/>
  <c r="CV594" i="1"/>
  <c r="CV595" i="1"/>
  <c r="CV596" i="1"/>
  <c r="CV597" i="1"/>
  <c r="CV598" i="1"/>
  <c r="CV600" i="1"/>
  <c r="CV601" i="1"/>
  <c r="CV603" i="1"/>
  <c r="CV604" i="1"/>
  <c r="CV605" i="1"/>
  <c r="CV607" i="1"/>
  <c r="CV608" i="1"/>
  <c r="CV609" i="1"/>
  <c r="CV610" i="1"/>
  <c r="CV611" i="1"/>
  <c r="CV612" i="1"/>
  <c r="CV614" i="1"/>
  <c r="CV615" i="1"/>
  <c r="CV617" i="1"/>
  <c r="CV618" i="1"/>
  <c r="CV619" i="1"/>
  <c r="CV620" i="1"/>
  <c r="CV622" i="1"/>
  <c r="CV623" i="1"/>
  <c r="CV624" i="1"/>
  <c r="CV625" i="1"/>
  <c r="CV626" i="1"/>
  <c r="CV628" i="1"/>
  <c r="CV629" i="1"/>
  <c r="CV630" i="1"/>
  <c r="CV631" i="1"/>
  <c r="CV632" i="1"/>
  <c r="CV633" i="1"/>
  <c r="CV634" i="1"/>
  <c r="CV636" i="1"/>
  <c r="CV637" i="1"/>
  <c r="CV638" i="1"/>
  <c r="CV639" i="1"/>
  <c r="CV641" i="1"/>
  <c r="CV643" i="1"/>
  <c r="CV644" i="1"/>
  <c r="CV645" i="1"/>
  <c r="CV647" i="1"/>
  <c r="CV648" i="1"/>
  <c r="CV649" i="1"/>
  <c r="CV650" i="1"/>
  <c r="CV651" i="1"/>
  <c r="CV652" i="1"/>
  <c r="CV654" i="1"/>
  <c r="CV655" i="1"/>
  <c r="CV656" i="1"/>
  <c r="CV657" i="1"/>
  <c r="CV658" i="1"/>
  <c r="CV659" i="1"/>
  <c r="CV660" i="1"/>
  <c r="CV662" i="1"/>
  <c r="CV663" i="1"/>
  <c r="CV665" i="1"/>
  <c r="CV666" i="1"/>
  <c r="CV667" i="1"/>
  <c r="CV669" i="1"/>
  <c r="CV670" i="1"/>
  <c r="CV671" i="1"/>
  <c r="CV672" i="1"/>
  <c r="CV674" i="1"/>
  <c r="CV675" i="1"/>
  <c r="CV676" i="1"/>
  <c r="CV677" i="1"/>
  <c r="CV678" i="1"/>
  <c r="CV679" i="1"/>
  <c r="CV681" i="1"/>
  <c r="CV682" i="1"/>
  <c r="CV683" i="1"/>
  <c r="CV684" i="1"/>
  <c r="CV685" i="1"/>
  <c r="CV686" i="1"/>
  <c r="CV687" i="1"/>
  <c r="CV688" i="1"/>
  <c r="CV689" i="1"/>
  <c r="CV690" i="1"/>
  <c r="CV691" i="1"/>
  <c r="CV693" i="1"/>
  <c r="CV694" i="1"/>
  <c r="CV695" i="1"/>
  <c r="CV696" i="1"/>
  <c r="CV698" i="1"/>
  <c r="CV699" i="1"/>
  <c r="CV702" i="1"/>
  <c r="CV703" i="1"/>
  <c r="CV704" i="1"/>
  <c r="CV706" i="1"/>
  <c r="CV707" i="1"/>
  <c r="CV708" i="1"/>
  <c r="CV709" i="1"/>
  <c r="CV711" i="1"/>
  <c r="CV712" i="1"/>
  <c r="CV713" i="1"/>
  <c r="CV714" i="1"/>
  <c r="CV715" i="1"/>
  <c r="CV716" i="1"/>
  <c r="CV717" i="1"/>
  <c r="CV718" i="1"/>
  <c r="CV720" i="1"/>
  <c r="CV721" i="1"/>
  <c r="CV723" i="1"/>
  <c r="CV724" i="1"/>
  <c r="CV725" i="1"/>
  <c r="CV726" i="1"/>
  <c r="CV729" i="1"/>
  <c r="CV731" i="1"/>
  <c r="CV732" i="1"/>
  <c r="CV733" i="1"/>
  <c r="CV734" i="1"/>
  <c r="CV735" i="1"/>
  <c r="CV736" i="1"/>
  <c r="CV738" i="1"/>
  <c r="CV739" i="1"/>
  <c r="CV740" i="1"/>
  <c r="CV741" i="1"/>
  <c r="CV742" i="1"/>
  <c r="CV743" i="1"/>
  <c r="CV744" i="1"/>
  <c r="CV745" i="1"/>
  <c r="CV748" i="1"/>
  <c r="CV750" i="1"/>
  <c r="CV751" i="1"/>
  <c r="CV752" i="1"/>
  <c r="CV753" i="1"/>
  <c r="CV754" i="1"/>
  <c r="CV755" i="1"/>
  <c r="CV756" i="1"/>
  <c r="CV758" i="1"/>
  <c r="CV760" i="1"/>
  <c r="CV761" i="1"/>
  <c r="CV763" i="1"/>
  <c r="CV764" i="1"/>
  <c r="CV766" i="1"/>
  <c r="CV767" i="1"/>
  <c r="CV768" i="1"/>
  <c r="CV769" i="1"/>
  <c r="CV774" i="1"/>
  <c r="CV775" i="1"/>
  <c r="CV777" i="1"/>
  <c r="CV778" i="1"/>
  <c r="CV779" i="1"/>
  <c r="CV780" i="1"/>
  <c r="CV782" i="1"/>
  <c r="CV783" i="1"/>
  <c r="CV784" i="1"/>
  <c r="CV785" i="1"/>
  <c r="CV786" i="1"/>
  <c r="CV787" i="1"/>
  <c r="CV789" i="1"/>
  <c r="CV790" i="1"/>
  <c r="CV791" i="1"/>
  <c r="CV793" i="1"/>
  <c r="CV794" i="1"/>
  <c r="CV795" i="1"/>
  <c r="CV796" i="1"/>
  <c r="CV797" i="1"/>
  <c r="CV798" i="1"/>
  <c r="CV800" i="1"/>
  <c r="CV801" i="1"/>
  <c r="CV802" i="1"/>
  <c r="CV803" i="1"/>
  <c r="CV804" i="1"/>
  <c r="CV805" i="1"/>
  <c r="CV806" i="1"/>
  <c r="CV807" i="1"/>
  <c r="CV808" i="1"/>
  <c r="CV810" i="1"/>
  <c r="CV811" i="1"/>
  <c r="CV812" i="1"/>
  <c r="CV813" i="1"/>
  <c r="CV814" i="1"/>
  <c r="CV815" i="1"/>
  <c r="CV816" i="1"/>
  <c r="CV818" i="1"/>
  <c r="CV819" i="1"/>
  <c r="CV820" i="1"/>
  <c r="CV822" i="1"/>
  <c r="CV823" i="1"/>
  <c r="CV824" i="1"/>
  <c r="CV825" i="1"/>
  <c r="CV826" i="1"/>
  <c r="CV827" i="1"/>
  <c r="CV829" i="1"/>
  <c r="CV830" i="1"/>
  <c r="CV831" i="1"/>
  <c r="CV832" i="1"/>
  <c r="CV834" i="1"/>
  <c r="CV835" i="1"/>
  <c r="CV836" i="1"/>
  <c r="CV838" i="1"/>
  <c r="CV839" i="1"/>
  <c r="CV840" i="1"/>
  <c r="CV841" i="1"/>
  <c r="CV842" i="1"/>
  <c r="CV843" i="1"/>
  <c r="CV845" i="1"/>
  <c r="CV846" i="1"/>
  <c r="CV847" i="1"/>
  <c r="CV848" i="1"/>
  <c r="CV849" i="1"/>
  <c r="CV850" i="1"/>
  <c r="CV852" i="1"/>
  <c r="CV854" i="1"/>
  <c r="CV855" i="1"/>
  <c r="CV856" i="1"/>
  <c r="CV857" i="1"/>
  <c r="CV859" i="1"/>
  <c r="CV860" i="1"/>
  <c r="CV862" i="1"/>
  <c r="CV863" i="1"/>
  <c r="CV864" i="1"/>
  <c r="CV865" i="1"/>
  <c r="CV866" i="1"/>
  <c r="CV867" i="1"/>
  <c r="CV868" i="1"/>
  <c r="CV869" i="1"/>
  <c r="CV870" i="1"/>
  <c r="CV872" i="1"/>
  <c r="CV873" i="1"/>
  <c r="CV874" i="1"/>
  <c r="CV875" i="1"/>
  <c r="CV876" i="1"/>
  <c r="CV877" i="1"/>
  <c r="CV878" i="1"/>
  <c r="CV879" i="1"/>
  <c r="CV880" i="1"/>
  <c r="CV881" i="1"/>
  <c r="CV884" i="1"/>
  <c r="CV886" i="1"/>
  <c r="CV887" i="1"/>
  <c r="CV888" i="1"/>
  <c r="CV889" i="1"/>
  <c r="CV890" i="1"/>
  <c r="CV891" i="1"/>
  <c r="CV892" i="1"/>
  <c r="CV893" i="1"/>
  <c r="CV894" i="1"/>
  <c r="CV895" i="1"/>
  <c r="CV897" i="1"/>
  <c r="CV898" i="1"/>
  <c r="CV899" i="1"/>
  <c r="CV900" i="1"/>
  <c r="CV901" i="1"/>
  <c r="CV902" i="1"/>
  <c r="CV904" i="1"/>
  <c r="CV905" i="1"/>
  <c r="CV906" i="1"/>
  <c r="CV908" i="1"/>
  <c r="CV909" i="1"/>
  <c r="CV910" i="1"/>
  <c r="CV911" i="1"/>
  <c r="CV912" i="1"/>
  <c r="CV913" i="1"/>
  <c r="CV915" i="1"/>
  <c r="CV916" i="1"/>
  <c r="CV917" i="1"/>
  <c r="CV918" i="1"/>
  <c r="CV919" i="1"/>
  <c r="CV921" i="1"/>
  <c r="CV922" i="1"/>
  <c r="CV923" i="1"/>
  <c r="CV924" i="1"/>
  <c r="CV925" i="1"/>
  <c r="CV927" i="1"/>
  <c r="CV928" i="1"/>
  <c r="CV929" i="1"/>
  <c r="CV930" i="1"/>
  <c r="CV931" i="1"/>
  <c r="CV932" i="1"/>
  <c r="CV933" i="1"/>
  <c r="CV935" i="1"/>
  <c r="CV936" i="1"/>
  <c r="CV937" i="1"/>
  <c r="CV938" i="1"/>
  <c r="CV939" i="1"/>
  <c r="CV940" i="1"/>
  <c r="CV941" i="1"/>
  <c r="CV943" i="1"/>
  <c r="CV944" i="1"/>
  <c r="CV945" i="1"/>
  <c r="CV947" i="1"/>
  <c r="CV948" i="1"/>
  <c r="CV950" i="1"/>
  <c r="CV951" i="1"/>
  <c r="CV952" i="1"/>
  <c r="CV953" i="1"/>
  <c r="CV954" i="1"/>
  <c r="CV955" i="1"/>
  <c r="CV956" i="1"/>
  <c r="CV957" i="1"/>
  <c r="CV958" i="1"/>
  <c r="CV960" i="1"/>
  <c r="CV961" i="1"/>
  <c r="CV962" i="1"/>
  <c r="CV963" i="1"/>
  <c r="CV964" i="1"/>
  <c r="CV965" i="1"/>
  <c r="CV966" i="1"/>
  <c r="CV967" i="1"/>
  <c r="CV969" i="1"/>
  <c r="CV970" i="1"/>
  <c r="CV971" i="1"/>
  <c r="CV972" i="1"/>
  <c r="CV973" i="1"/>
  <c r="CV974" i="1"/>
  <c r="CV975" i="1"/>
  <c r="CV977" i="1"/>
  <c r="CV978" i="1"/>
  <c r="CV979" i="1"/>
  <c r="CV980" i="1"/>
  <c r="CV981" i="1"/>
  <c r="CV983" i="1"/>
  <c r="CV985" i="1"/>
  <c r="CV986" i="1"/>
  <c r="CV987" i="1"/>
  <c r="CV989" i="1"/>
  <c r="CV990" i="1"/>
  <c r="CV991" i="1"/>
  <c r="CV992" i="1"/>
  <c r="CV993" i="1"/>
  <c r="CV994" i="1"/>
  <c r="CV996" i="1"/>
  <c r="CV997" i="1"/>
  <c r="CV998" i="1"/>
  <c r="CV999" i="1"/>
  <c r="CV1000" i="1"/>
  <c r="CV1001" i="1"/>
  <c r="CV1002" i="1"/>
  <c r="CV1003" i="1"/>
  <c r="CV1005" i="1"/>
  <c r="CV1006" i="1"/>
  <c r="CV1007" i="1"/>
  <c r="CV1008" i="1"/>
  <c r="CV1009" i="1"/>
  <c r="CV1010" i="1"/>
  <c r="CV1011" i="1"/>
  <c r="CV1013" i="1"/>
  <c r="CV1014" i="1"/>
  <c r="CV1015" i="1"/>
  <c r="CV1016" i="1"/>
  <c r="CV1017" i="1"/>
  <c r="CV1018" i="1"/>
  <c r="CV1019" i="1"/>
  <c r="CV1020" i="1"/>
  <c r="CV1021" i="1"/>
  <c r="CV1022" i="1"/>
  <c r="CV1023" i="1"/>
  <c r="CV1025" i="1"/>
  <c r="CV1026" i="1"/>
  <c r="CV1027" i="1"/>
  <c r="CV1028" i="1"/>
  <c r="CV1029" i="1"/>
  <c r="CV1030" i="1"/>
  <c r="CV1031" i="1"/>
  <c r="CV1032" i="1"/>
  <c r="CV1033" i="1"/>
  <c r="CV1035" i="1"/>
  <c r="CV1036" i="1"/>
  <c r="CV1037" i="1"/>
  <c r="CV1038" i="1"/>
  <c r="CV1039" i="1"/>
  <c r="CV1040" i="1"/>
  <c r="CV1041" i="1"/>
  <c r="CV1042" i="1"/>
  <c r="CV1043" i="1"/>
  <c r="CV1044" i="1"/>
  <c r="CV1046" i="1"/>
  <c r="CV1047" i="1"/>
  <c r="CV1048" i="1"/>
  <c r="CV1051" i="1"/>
  <c r="CV1053" i="1"/>
  <c r="CV1054" i="1"/>
  <c r="CV1055" i="1"/>
  <c r="CV1056" i="1"/>
  <c r="CV1057" i="1"/>
  <c r="CV1059" i="1"/>
  <c r="CV1060" i="1"/>
  <c r="CV1061" i="1"/>
  <c r="CV1062" i="1"/>
  <c r="CV1063" i="1"/>
  <c r="CV1064" i="1"/>
  <c r="CV1066" i="1"/>
  <c r="CV1067" i="1"/>
  <c r="CV1068" i="1"/>
  <c r="CV1069" i="1"/>
  <c r="CV1070" i="1"/>
  <c r="CV1071" i="1"/>
  <c r="CV1072" i="1"/>
  <c r="CV1073" i="1"/>
  <c r="CV1075" i="1"/>
  <c r="CV1076" i="1"/>
  <c r="CV1077" i="1"/>
  <c r="CV1079" i="1"/>
  <c r="CV1080" i="1"/>
  <c r="CV1081" i="1"/>
  <c r="CV1082" i="1"/>
  <c r="CV1083" i="1"/>
  <c r="CV1084" i="1"/>
  <c r="CV1086" i="1"/>
  <c r="CV1087" i="1"/>
  <c r="CV1088" i="1"/>
  <c r="CV1089" i="1"/>
  <c r="CV1090" i="1"/>
  <c r="CV1091" i="1"/>
  <c r="CV1092" i="1"/>
  <c r="CV1093" i="1"/>
  <c r="CV1094" i="1"/>
  <c r="CV1096" i="1"/>
  <c r="CV1097" i="1"/>
  <c r="CV1098" i="1"/>
  <c r="CV1099" i="1"/>
  <c r="CV1100" i="1"/>
  <c r="CV1101" i="1"/>
  <c r="CV1102" i="1"/>
  <c r="CV1103" i="1"/>
  <c r="CV1104" i="1"/>
  <c r="CV1105" i="1"/>
  <c r="CV1106" i="1"/>
  <c r="CV1108" i="1"/>
  <c r="CV1109" i="1"/>
  <c r="CV1110" i="1"/>
  <c r="CV1111" i="1"/>
  <c r="CV1112" i="1"/>
  <c r="CV1113" i="1"/>
  <c r="CV1115" i="1"/>
  <c r="CV1116" i="1"/>
  <c r="CV1117" i="1"/>
  <c r="CV1118" i="1"/>
  <c r="CV1120" i="1"/>
  <c r="CV1122" i="1"/>
  <c r="CV1123" i="1"/>
  <c r="CV1124" i="1"/>
  <c r="CV1126" i="1"/>
  <c r="CV1127" i="1"/>
  <c r="CV1128" i="1"/>
  <c r="CV1129" i="1"/>
  <c r="CV1130" i="1"/>
  <c r="CV1132" i="1"/>
  <c r="CV1133" i="1"/>
  <c r="CV1135" i="1"/>
  <c r="CV1136" i="1"/>
  <c r="CV1137" i="1"/>
  <c r="CV1138" i="1"/>
  <c r="CV1139" i="1"/>
  <c r="CV1140" i="1"/>
  <c r="CV1142" i="1"/>
  <c r="CV1143" i="1"/>
  <c r="CV1144" i="1"/>
  <c r="CV1145" i="1"/>
  <c r="CV1146" i="1"/>
  <c r="CV1147" i="1"/>
  <c r="CV1148" i="1"/>
  <c r="CV1149" i="1"/>
  <c r="CV1150" i="1"/>
  <c r="CV1152" i="1"/>
  <c r="CV1153" i="1"/>
  <c r="CV1154" i="1"/>
  <c r="CV1155" i="1"/>
  <c r="CV1157" i="1"/>
  <c r="CV1158" i="1"/>
  <c r="CV1159" i="1"/>
  <c r="CV1160" i="1"/>
  <c r="CV1161" i="1"/>
  <c r="CV1162" i="1"/>
  <c r="CV1163" i="1"/>
  <c r="CV1164" i="1"/>
  <c r="CV1165" i="1"/>
  <c r="CV1167" i="1"/>
  <c r="CV1168" i="1"/>
  <c r="CV1169" i="1"/>
  <c r="CV1170" i="1"/>
  <c r="CV1172" i="1"/>
  <c r="CV1173" i="1"/>
  <c r="CV1174" i="1"/>
  <c r="CV1175" i="1"/>
  <c r="CV1177" i="1"/>
  <c r="CV1178" i="1"/>
  <c r="CV1179" i="1"/>
  <c r="CV1180" i="1"/>
  <c r="CV1181" i="1"/>
  <c r="CV1182" i="1"/>
  <c r="CV1183" i="1"/>
  <c r="CV1185" i="1"/>
  <c r="CV1186" i="1"/>
  <c r="CV1187" i="1"/>
  <c r="CV1188" i="1"/>
  <c r="CV1189" i="1"/>
  <c r="CV1190" i="1"/>
  <c r="CV1192" i="1"/>
  <c r="CV1194" i="1"/>
  <c r="CV1195" i="1"/>
  <c r="CV1196" i="1"/>
  <c r="CV1199" i="1"/>
  <c r="CV1201" i="1"/>
  <c r="CV1202" i="1"/>
  <c r="CV1203" i="1"/>
  <c r="CV1204" i="1"/>
  <c r="CV1205" i="1"/>
  <c r="CV1206" i="1"/>
  <c r="CV1207" i="1"/>
  <c r="CV1209" i="1"/>
  <c r="CV1210" i="1"/>
  <c r="CV1211" i="1"/>
  <c r="CV1212" i="1"/>
  <c r="CV1213" i="1"/>
  <c r="CV1214" i="1"/>
  <c r="CV1215" i="1"/>
  <c r="CV1216" i="1"/>
  <c r="CV1217" i="1"/>
  <c r="CV1219" i="1"/>
  <c r="CV1220" i="1"/>
  <c r="CV1222" i="1"/>
  <c r="CV1223" i="1"/>
  <c r="CV1224" i="1"/>
  <c r="CV1225" i="1"/>
  <c r="CV1226" i="1"/>
  <c r="CV1227" i="1"/>
  <c r="CV1229" i="1"/>
  <c r="CV1230" i="1"/>
  <c r="CV1231" i="1"/>
  <c r="CV1232" i="1"/>
  <c r="CV1233" i="1"/>
  <c r="CV1234" i="1"/>
  <c r="CV1235" i="1"/>
  <c r="CV1236" i="1"/>
  <c r="CV1238" i="1"/>
  <c r="CV1240" i="1"/>
  <c r="CV1241" i="1"/>
  <c r="CV1242" i="1"/>
  <c r="CV1244" i="1"/>
  <c r="CV1245" i="1"/>
  <c r="CV1246" i="1"/>
  <c r="CV1247" i="1"/>
  <c r="CV1248" i="1"/>
  <c r="CV1250" i="1"/>
  <c r="CV1251" i="1"/>
  <c r="CV1252" i="1"/>
  <c r="CV1253" i="1"/>
  <c r="CV1254" i="1"/>
  <c r="CV1255" i="1"/>
  <c r="CV1256" i="1"/>
  <c r="CV1257" i="1"/>
  <c r="CV1258" i="1"/>
  <c r="CV1259" i="1"/>
  <c r="CV1261" i="1"/>
  <c r="CV1262" i="1"/>
  <c r="CV1263" i="1"/>
  <c r="CV1265" i="1"/>
  <c r="CV1266" i="1"/>
  <c r="CV1267" i="1"/>
  <c r="CV1268" i="1"/>
  <c r="CV1272" i="1"/>
  <c r="CV1274" i="1"/>
  <c r="CV1275" i="1"/>
  <c r="CV1276" i="1"/>
  <c r="CV1277" i="1"/>
  <c r="CV1278" i="1"/>
  <c r="CV1279" i="1"/>
  <c r="CV1280" i="1"/>
  <c r="CV1282" i="1"/>
  <c r="CV1283" i="1"/>
  <c r="CV1284" i="1"/>
  <c r="CV1285" i="1"/>
  <c r="CV1286" i="1"/>
  <c r="CV1287" i="1"/>
  <c r="CV1288" i="1"/>
  <c r="CV1289" i="1"/>
  <c r="CV1291" i="1"/>
  <c r="CV1292" i="1"/>
  <c r="CV1293" i="1"/>
  <c r="CV1294" i="1"/>
  <c r="CV1295" i="1"/>
  <c r="CV1296" i="1"/>
  <c r="CV1297" i="1"/>
  <c r="CV1298" i="1"/>
  <c r="CV1299" i="1"/>
  <c r="CV1300" i="1"/>
  <c r="CV1301" i="1"/>
  <c r="CV1303" i="1"/>
  <c r="CV1304" i="1"/>
  <c r="CV1305" i="1"/>
  <c r="CV1306" i="1"/>
  <c r="CV1307" i="1"/>
  <c r="CV1308" i="1"/>
  <c r="CV1309" i="1"/>
  <c r="CV1310" i="1"/>
  <c r="CV1311" i="1"/>
  <c r="CV1312" i="1"/>
  <c r="CV1313" i="1"/>
  <c r="CW67" i="1"/>
  <c r="CW68" i="1"/>
  <c r="CW69" i="1"/>
  <c r="CW70" i="1"/>
  <c r="CW71" i="1"/>
  <c r="CW72" i="1"/>
  <c r="CW73" i="1"/>
  <c r="CW74" i="1"/>
  <c r="CW76" i="1"/>
  <c r="CW77" i="1"/>
  <c r="CW78" i="1"/>
  <c r="CW79" i="1"/>
  <c r="CW80" i="1"/>
  <c r="CW81" i="1"/>
  <c r="CW82" i="1"/>
  <c r="CW84" i="1"/>
  <c r="CW85" i="1"/>
  <c r="CW86" i="1"/>
  <c r="CW87" i="1"/>
  <c r="CW88" i="1"/>
  <c r="CW89" i="1"/>
  <c r="CW90" i="1"/>
  <c r="CW93" i="1"/>
  <c r="CW94" i="1"/>
  <c r="CW95" i="1"/>
  <c r="CW96" i="1"/>
  <c r="CW97" i="1"/>
  <c r="CW98" i="1"/>
  <c r="CW101" i="1"/>
  <c r="CW103" i="1"/>
  <c r="CW104" i="1"/>
  <c r="CW105" i="1"/>
  <c r="CW106" i="1"/>
  <c r="CW107" i="1"/>
  <c r="CW108" i="1"/>
  <c r="CW109" i="1"/>
  <c r="CW111" i="1"/>
  <c r="CW112" i="1"/>
  <c r="CW113" i="1"/>
  <c r="CW114" i="1"/>
  <c r="CW115" i="1"/>
  <c r="CW116" i="1"/>
  <c r="CW117" i="1"/>
  <c r="CW118" i="1"/>
  <c r="CW119" i="1"/>
  <c r="CW120" i="1"/>
  <c r="CW122" i="1"/>
  <c r="CW124" i="1"/>
  <c r="CW125" i="1"/>
  <c r="CW126" i="1"/>
  <c r="CW129" i="1"/>
  <c r="CW131" i="1"/>
  <c r="CW132" i="1"/>
  <c r="CW136" i="1"/>
  <c r="CW138" i="1"/>
  <c r="CW139" i="1"/>
  <c r="CW140" i="1"/>
  <c r="CW141" i="1"/>
  <c r="CW142" i="1"/>
  <c r="CW144" i="1"/>
  <c r="CW145" i="1"/>
  <c r="CW146" i="1"/>
  <c r="CW147" i="1"/>
  <c r="CW148" i="1"/>
  <c r="CW149" i="1"/>
  <c r="CW151" i="1"/>
  <c r="CW152" i="1"/>
  <c r="CW153" i="1"/>
  <c r="CW154" i="1"/>
  <c r="CW155" i="1"/>
  <c r="CW156" i="1"/>
  <c r="CW157" i="1"/>
  <c r="CW158" i="1"/>
  <c r="CW160" i="1"/>
  <c r="CW161" i="1"/>
  <c r="CW162" i="1"/>
  <c r="CW163" i="1"/>
  <c r="CW165" i="1"/>
  <c r="CW166" i="1"/>
  <c r="CW167" i="1"/>
  <c r="CW168" i="1"/>
  <c r="CW169" i="1"/>
  <c r="CW170" i="1"/>
  <c r="CW172" i="1"/>
  <c r="CW173" i="1"/>
  <c r="CW175" i="1"/>
  <c r="CW176" i="1"/>
  <c r="CW177" i="1"/>
  <c r="CW178" i="1"/>
  <c r="CW179" i="1"/>
  <c r="CW180" i="1"/>
  <c r="CW181" i="1"/>
  <c r="CW182" i="1"/>
  <c r="CW183" i="1"/>
  <c r="CW184" i="1"/>
  <c r="CW186" i="1"/>
  <c r="CW187" i="1"/>
  <c r="CW188" i="1"/>
  <c r="CW189" i="1"/>
  <c r="CW190" i="1"/>
  <c r="CW191" i="1"/>
  <c r="CW192" i="1"/>
  <c r="CW193" i="1"/>
  <c r="CW195" i="1"/>
  <c r="CW196" i="1"/>
  <c r="CW197" i="1"/>
  <c r="CW198" i="1"/>
  <c r="CW200" i="1"/>
  <c r="CW201" i="1"/>
  <c r="CW202" i="1"/>
  <c r="CW203" i="1"/>
  <c r="CW204" i="1"/>
  <c r="CW205" i="1"/>
  <c r="CW206" i="1"/>
  <c r="CW207" i="1"/>
  <c r="CW209" i="1"/>
  <c r="CW210" i="1"/>
  <c r="CW211" i="1"/>
  <c r="CW212" i="1"/>
  <c r="CW213" i="1"/>
  <c r="CW214" i="1"/>
  <c r="CW215" i="1"/>
  <c r="CW218" i="1"/>
  <c r="CW219" i="1"/>
  <c r="CW220" i="1"/>
  <c r="CW221" i="1"/>
  <c r="CW222" i="1"/>
  <c r="CW224" i="1"/>
  <c r="CW225" i="1"/>
  <c r="CW226" i="1"/>
  <c r="CW227" i="1"/>
  <c r="CW228" i="1"/>
  <c r="CW229" i="1"/>
  <c r="CW231" i="1"/>
  <c r="CW232" i="1"/>
  <c r="CW233" i="1"/>
  <c r="CW234" i="1"/>
  <c r="CW235" i="1"/>
  <c r="CW236" i="1"/>
  <c r="CW237" i="1"/>
  <c r="CW238" i="1"/>
  <c r="CW240" i="1"/>
  <c r="CW241" i="1"/>
  <c r="CW242" i="1"/>
  <c r="CW243" i="1"/>
  <c r="CW244" i="1"/>
  <c r="CW245" i="1"/>
  <c r="CW246" i="1"/>
  <c r="CW247" i="1"/>
  <c r="CW249" i="1"/>
  <c r="CW250" i="1"/>
  <c r="CW251" i="1"/>
  <c r="CW252" i="1"/>
  <c r="CW253" i="1"/>
  <c r="CW254" i="1"/>
  <c r="CW255" i="1"/>
  <c r="CW256" i="1"/>
  <c r="CW258" i="1"/>
  <c r="CW259" i="1"/>
  <c r="CW260" i="1"/>
  <c r="CW261" i="1"/>
  <c r="CW262" i="1"/>
  <c r="CW263" i="1"/>
  <c r="CW264" i="1"/>
  <c r="CW265" i="1"/>
  <c r="CW266" i="1"/>
  <c r="CW268" i="1"/>
  <c r="CW269" i="1"/>
  <c r="CW270" i="1"/>
  <c r="CW271" i="1"/>
  <c r="CW272" i="1"/>
  <c r="CW273" i="1"/>
  <c r="CW274" i="1"/>
  <c r="CW275" i="1"/>
  <c r="CW276" i="1"/>
  <c r="CW278" i="1"/>
  <c r="CW279" i="1"/>
  <c r="CW280" i="1"/>
  <c r="CW281" i="1"/>
  <c r="CW282" i="1"/>
  <c r="CW283" i="1"/>
  <c r="CW285" i="1"/>
  <c r="CW286" i="1"/>
  <c r="CW287" i="1"/>
  <c r="CW288" i="1"/>
  <c r="CW291" i="1"/>
  <c r="CW292" i="1"/>
  <c r="CW293" i="1"/>
  <c r="CW294" i="1"/>
  <c r="CW296" i="1"/>
  <c r="CW297" i="1"/>
  <c r="CW298" i="1"/>
  <c r="CW299" i="1"/>
  <c r="CW300" i="1"/>
  <c r="CW301" i="1"/>
  <c r="CW302" i="1"/>
  <c r="CW303" i="1"/>
  <c r="CW305" i="1"/>
  <c r="CW306" i="1"/>
  <c r="CW307" i="1"/>
  <c r="CW308" i="1"/>
  <c r="CW309" i="1"/>
  <c r="CW310" i="1"/>
  <c r="CW311" i="1"/>
  <c r="CW312" i="1"/>
  <c r="CW313" i="1"/>
  <c r="CW314" i="1"/>
  <c r="CW316" i="1"/>
  <c r="CW317" i="1"/>
  <c r="CW318" i="1"/>
  <c r="CW319" i="1"/>
  <c r="CW320" i="1"/>
  <c r="CW321" i="1"/>
  <c r="CW322" i="1"/>
  <c r="CW323" i="1"/>
  <c r="CW324" i="1"/>
  <c r="CW325" i="1"/>
  <c r="CW326" i="1"/>
  <c r="CW327" i="1"/>
  <c r="CW329" i="1"/>
  <c r="CW330" i="1"/>
  <c r="CW332" i="1"/>
  <c r="CW333" i="1"/>
  <c r="CW334" i="1"/>
  <c r="CW335" i="1"/>
  <c r="CW336" i="1"/>
  <c r="CW337" i="1"/>
  <c r="CW338" i="1"/>
  <c r="CW340" i="1"/>
  <c r="CW341" i="1"/>
  <c r="CW342" i="1"/>
  <c r="CW343" i="1"/>
  <c r="CW344" i="1"/>
  <c r="CW345" i="1"/>
  <c r="CW346" i="1"/>
  <c r="CW347" i="1"/>
  <c r="CW348" i="1"/>
  <c r="CW349" i="1"/>
  <c r="CW351" i="1"/>
  <c r="CW352" i="1"/>
  <c r="CW353" i="1"/>
  <c r="CW354" i="1"/>
  <c r="CW355" i="1"/>
  <c r="CW356" i="1"/>
  <c r="CW358" i="1"/>
  <c r="CW359" i="1"/>
  <c r="CW360" i="1"/>
  <c r="CW361" i="1"/>
  <c r="CW362" i="1"/>
  <c r="CW363" i="1"/>
  <c r="CW364" i="1"/>
  <c r="CW365" i="1"/>
  <c r="CW367" i="1"/>
  <c r="CW368" i="1"/>
  <c r="CW369" i="1"/>
  <c r="CW371" i="1"/>
  <c r="CW372" i="1"/>
  <c r="CW373" i="1"/>
  <c r="CW375" i="1"/>
  <c r="CW376" i="1"/>
  <c r="CW378" i="1"/>
  <c r="CW379" i="1"/>
  <c r="CW380" i="1"/>
  <c r="CW381" i="1"/>
  <c r="CW382" i="1"/>
  <c r="CW383" i="1"/>
  <c r="CW385" i="1"/>
  <c r="CW386" i="1"/>
  <c r="CW387" i="1"/>
  <c r="CW388" i="1"/>
  <c r="CW389" i="1"/>
  <c r="CW390" i="1"/>
  <c r="CW391" i="1"/>
  <c r="CW393" i="1"/>
  <c r="CW394" i="1"/>
  <c r="CW395" i="1"/>
  <c r="CW396" i="1"/>
  <c r="CW397" i="1"/>
  <c r="CW398" i="1"/>
  <c r="CW399" i="1"/>
  <c r="CW400" i="1"/>
  <c r="CW401" i="1"/>
  <c r="CW403" i="1"/>
  <c r="CW404" i="1"/>
  <c r="CW405" i="1"/>
  <c r="CW406" i="1"/>
  <c r="CW407" i="1"/>
  <c r="CW408" i="1"/>
  <c r="CW409" i="1"/>
  <c r="CW410" i="1"/>
  <c r="CW411" i="1"/>
  <c r="CW413" i="1"/>
  <c r="CW414" i="1"/>
  <c r="CW415" i="1"/>
  <c r="CW416" i="1"/>
  <c r="CW417" i="1"/>
  <c r="CW418" i="1"/>
  <c r="CW421" i="1"/>
  <c r="CW422" i="1"/>
  <c r="CW423" i="1"/>
  <c r="CW424" i="1"/>
  <c r="CW425" i="1"/>
  <c r="CW426" i="1"/>
  <c r="CW427" i="1"/>
  <c r="CW428" i="1"/>
  <c r="CW430" i="1"/>
  <c r="CW431" i="1"/>
  <c r="CW432" i="1"/>
  <c r="CW433" i="1"/>
  <c r="CW434" i="1"/>
  <c r="CW435" i="1"/>
  <c r="CW436" i="1"/>
  <c r="CW438" i="1"/>
  <c r="CW439" i="1"/>
  <c r="CW440" i="1"/>
  <c r="CW441" i="1"/>
  <c r="CW442" i="1"/>
  <c r="CW443" i="1"/>
  <c r="CW445" i="1"/>
  <c r="CW446" i="1"/>
  <c r="CW447" i="1"/>
  <c r="CW448" i="1"/>
  <c r="CW449" i="1"/>
  <c r="CW450" i="1"/>
  <c r="CW451" i="1"/>
  <c r="CW452" i="1"/>
  <c r="CW454" i="1"/>
  <c r="CW455" i="1"/>
  <c r="CW456" i="1"/>
  <c r="CW457" i="1"/>
  <c r="CW459" i="1"/>
  <c r="CW460" i="1"/>
  <c r="CW461" i="1"/>
  <c r="CW462" i="1"/>
  <c r="CW463" i="1"/>
  <c r="CW464" i="1"/>
  <c r="CW465" i="1"/>
  <c r="CW466" i="1"/>
  <c r="CW468" i="1"/>
  <c r="CW469" i="1"/>
  <c r="CW470" i="1"/>
  <c r="CW471" i="1"/>
  <c r="CW472" i="1"/>
  <c r="CW473" i="1"/>
  <c r="CW474" i="1"/>
  <c r="CW475" i="1"/>
  <c r="CW476" i="1"/>
  <c r="CW478" i="1"/>
  <c r="CW479" i="1"/>
  <c r="CW480" i="1"/>
  <c r="CW481" i="1"/>
  <c r="CW482" i="1"/>
  <c r="CW483" i="1"/>
  <c r="CW485" i="1"/>
  <c r="CW486" i="1"/>
  <c r="CW487" i="1"/>
  <c r="CW488" i="1"/>
  <c r="CW489" i="1"/>
  <c r="CW490" i="1"/>
  <c r="CW491" i="1"/>
  <c r="CW492" i="1"/>
  <c r="CW493" i="1"/>
  <c r="CW495" i="1"/>
  <c r="CW496" i="1"/>
  <c r="CW497" i="1"/>
  <c r="CW498" i="1"/>
  <c r="CW499" i="1"/>
  <c r="CW500" i="1"/>
  <c r="CW502" i="1"/>
  <c r="CW503" i="1"/>
  <c r="CW504" i="1"/>
  <c r="CW505" i="1"/>
  <c r="CW506" i="1"/>
  <c r="CW507" i="1"/>
  <c r="CW508" i="1"/>
  <c r="CW510" i="1"/>
  <c r="CW511" i="1"/>
  <c r="CW512" i="1"/>
  <c r="CW514" i="1"/>
  <c r="CW515" i="1"/>
  <c r="CW516" i="1"/>
  <c r="CW517" i="1"/>
  <c r="CW518" i="1"/>
  <c r="CW520" i="1"/>
  <c r="CW521" i="1"/>
  <c r="CW522" i="1"/>
  <c r="CW523" i="1"/>
  <c r="CW524" i="1"/>
  <c r="CW525" i="1"/>
  <c r="CW526" i="1"/>
  <c r="CW527" i="1"/>
  <c r="CW529" i="1"/>
  <c r="CW530" i="1"/>
  <c r="CW531" i="1"/>
  <c r="CW532" i="1"/>
  <c r="CW533" i="1"/>
  <c r="CW534" i="1"/>
  <c r="CW535" i="1"/>
  <c r="CW536" i="1"/>
  <c r="CW538" i="1"/>
  <c r="CW539" i="1"/>
  <c r="CW540" i="1"/>
  <c r="CW541" i="1"/>
  <c r="CW542" i="1"/>
  <c r="CW543" i="1"/>
  <c r="CW544" i="1"/>
  <c r="CW545" i="1"/>
  <c r="CW546" i="1"/>
  <c r="CW548" i="1"/>
  <c r="CW549" i="1"/>
  <c r="CW550" i="1"/>
  <c r="CW551" i="1"/>
  <c r="CW552" i="1"/>
  <c r="CW553" i="1"/>
  <c r="CW554" i="1"/>
  <c r="CW555" i="1"/>
  <c r="CW557" i="1"/>
  <c r="CW558" i="1"/>
  <c r="CW559" i="1"/>
  <c r="CW560" i="1"/>
  <c r="CW561" i="1"/>
  <c r="CW562" i="1"/>
  <c r="CW564" i="1"/>
  <c r="CW565" i="1"/>
  <c r="CW566" i="1"/>
  <c r="CW567" i="1"/>
  <c r="CW569" i="1"/>
  <c r="CW570" i="1"/>
  <c r="CW572" i="1"/>
  <c r="CW573" i="1"/>
  <c r="CW574" i="1"/>
  <c r="CW576" i="1"/>
  <c r="CW577" i="1"/>
  <c r="CW578" i="1"/>
  <c r="CW579" i="1"/>
  <c r="CW580" i="1"/>
  <c r="CW581" i="1"/>
  <c r="CW583" i="1"/>
  <c r="CW584" i="1"/>
  <c r="CW586" i="1"/>
  <c r="CW587" i="1"/>
  <c r="CW588" i="1"/>
  <c r="CW590" i="1"/>
  <c r="CW591" i="1"/>
  <c r="CW592" i="1"/>
  <c r="CW593" i="1"/>
  <c r="CW594" i="1"/>
  <c r="CW595" i="1"/>
  <c r="CW596" i="1"/>
  <c r="CW597" i="1"/>
  <c r="CW598" i="1"/>
  <c r="CW600" i="1"/>
  <c r="CW601" i="1"/>
  <c r="CW603" i="1"/>
  <c r="CW604" i="1"/>
  <c r="CW605" i="1"/>
  <c r="CW607" i="1"/>
  <c r="CW608" i="1"/>
  <c r="CW609" i="1"/>
  <c r="CW610" i="1"/>
  <c r="CW611" i="1"/>
  <c r="CW612" i="1"/>
  <c r="CW614" i="1"/>
  <c r="CW615" i="1"/>
  <c r="CW617" i="1"/>
  <c r="CW618" i="1"/>
  <c r="CW619" i="1"/>
  <c r="CW620" i="1"/>
  <c r="CW622" i="1"/>
  <c r="CW623" i="1"/>
  <c r="CW624" i="1"/>
  <c r="CW625" i="1"/>
  <c r="CW626" i="1"/>
  <c r="CW628" i="1"/>
  <c r="CW629" i="1"/>
  <c r="CW630" i="1"/>
  <c r="CW631" i="1"/>
  <c r="CW632" i="1"/>
  <c r="CW633" i="1"/>
  <c r="CW634" i="1"/>
  <c r="CW637" i="1"/>
  <c r="CW638" i="1"/>
  <c r="CW639" i="1"/>
  <c r="CW641" i="1"/>
  <c r="CW643" i="1"/>
  <c r="CW644" i="1"/>
  <c r="CW645" i="1"/>
  <c r="CW647" i="1"/>
  <c r="CW648" i="1"/>
  <c r="CW649" i="1"/>
  <c r="CW650" i="1"/>
  <c r="CW651" i="1"/>
  <c r="CW652" i="1"/>
  <c r="CW654" i="1"/>
  <c r="CW655" i="1"/>
  <c r="CW656" i="1"/>
  <c r="CW657" i="1"/>
  <c r="CW658" i="1"/>
  <c r="CW659" i="1"/>
  <c r="CW660" i="1"/>
  <c r="CW662" i="1"/>
  <c r="CW663" i="1"/>
  <c r="CW665" i="1"/>
  <c r="CW666" i="1"/>
  <c r="CW667" i="1"/>
  <c r="CW669" i="1"/>
  <c r="CW670" i="1"/>
  <c r="CW671" i="1"/>
  <c r="CW672" i="1"/>
  <c r="CW674" i="1"/>
  <c r="CW675" i="1"/>
  <c r="CW676" i="1"/>
  <c r="CW677" i="1"/>
  <c r="CW678" i="1"/>
  <c r="CW679" i="1"/>
  <c r="CW681" i="1"/>
  <c r="CW682" i="1"/>
  <c r="CW683" i="1"/>
  <c r="CW684" i="1"/>
  <c r="CW685" i="1"/>
  <c r="CW686" i="1"/>
  <c r="CW687" i="1"/>
  <c r="CW688" i="1"/>
  <c r="CW689" i="1"/>
  <c r="CW690" i="1"/>
  <c r="CW691" i="1"/>
  <c r="CW693" i="1"/>
  <c r="CW694" i="1"/>
  <c r="CW695" i="1"/>
  <c r="CW696" i="1"/>
  <c r="CW698" i="1"/>
  <c r="CW699" i="1"/>
  <c r="CW702" i="1"/>
  <c r="CW703" i="1"/>
  <c r="CW704" i="1"/>
  <c r="CW706" i="1"/>
  <c r="CW707" i="1"/>
  <c r="CW708" i="1"/>
  <c r="CW709" i="1"/>
  <c r="CW711" i="1"/>
  <c r="CW712" i="1"/>
  <c r="CW713" i="1"/>
  <c r="CW714" i="1"/>
  <c r="CW715" i="1"/>
  <c r="CW716" i="1"/>
  <c r="CW717" i="1"/>
  <c r="CW718" i="1"/>
  <c r="CW720" i="1"/>
  <c r="CW721" i="1"/>
  <c r="CW723" i="1"/>
  <c r="CW724" i="1"/>
  <c r="CW725" i="1"/>
  <c r="CW726" i="1"/>
  <c r="CW729" i="1"/>
  <c r="CW731" i="1"/>
  <c r="CW732" i="1"/>
  <c r="CW733" i="1"/>
  <c r="CW734" i="1"/>
  <c r="CW735" i="1"/>
  <c r="CW736" i="1"/>
  <c r="CW738" i="1"/>
  <c r="CW739" i="1"/>
  <c r="CW740" i="1"/>
  <c r="CW741" i="1"/>
  <c r="CW742" i="1"/>
  <c r="CW743" i="1"/>
  <c r="CW744" i="1"/>
  <c r="CW745" i="1"/>
  <c r="CW748" i="1"/>
  <c r="CW750" i="1"/>
  <c r="CW751" i="1"/>
  <c r="CW752" i="1"/>
  <c r="CW753" i="1"/>
  <c r="CW754" i="1"/>
  <c r="CW755" i="1"/>
  <c r="CW756" i="1"/>
  <c r="CW758" i="1"/>
  <c r="CW760" i="1"/>
  <c r="CW761" i="1"/>
  <c r="CW763" i="1"/>
  <c r="CW764" i="1"/>
  <c r="CW766" i="1"/>
  <c r="CW767" i="1"/>
  <c r="CW768" i="1"/>
  <c r="CW769" i="1"/>
  <c r="CW774" i="1"/>
  <c r="CW775" i="1"/>
  <c r="CW777" i="1"/>
  <c r="CW778" i="1"/>
  <c r="CW779" i="1"/>
  <c r="CW780" i="1"/>
  <c r="CW782" i="1"/>
  <c r="CW783" i="1"/>
  <c r="CW784" i="1"/>
  <c r="CW785" i="1"/>
  <c r="CW786" i="1"/>
  <c r="CW787" i="1"/>
  <c r="CW789" i="1"/>
  <c r="CW790" i="1"/>
  <c r="CW791" i="1"/>
  <c r="CW793" i="1"/>
  <c r="CW794" i="1"/>
  <c r="CW795" i="1"/>
  <c r="CW796" i="1"/>
  <c r="CW797" i="1"/>
  <c r="CW798" i="1"/>
  <c r="CW800" i="1"/>
  <c r="CW801" i="1"/>
  <c r="CW802" i="1"/>
  <c r="CW803" i="1"/>
  <c r="CW804" i="1"/>
  <c r="CW805" i="1"/>
  <c r="CW806" i="1"/>
  <c r="CW807" i="1"/>
  <c r="CW808" i="1"/>
  <c r="CW810" i="1"/>
  <c r="CW811" i="1"/>
  <c r="CW812" i="1"/>
  <c r="CW813" i="1"/>
  <c r="CW814" i="1"/>
  <c r="CW815" i="1"/>
  <c r="CW816" i="1"/>
  <c r="CW818" i="1"/>
  <c r="CW819" i="1"/>
  <c r="CW820" i="1"/>
  <c r="CW822" i="1"/>
  <c r="CW823" i="1"/>
  <c r="CW824" i="1"/>
  <c r="CW825" i="1"/>
  <c r="CW826" i="1"/>
  <c r="CW827" i="1"/>
  <c r="CW829" i="1"/>
  <c r="CW830" i="1"/>
  <c r="CW831" i="1"/>
  <c r="CW832" i="1"/>
  <c r="CW834" i="1"/>
  <c r="CW835" i="1"/>
  <c r="CW836" i="1"/>
  <c r="CW838" i="1"/>
  <c r="CW839" i="1"/>
  <c r="CW840" i="1"/>
  <c r="CW841" i="1"/>
  <c r="CW842" i="1"/>
  <c r="CW843" i="1"/>
  <c r="CW845" i="1"/>
  <c r="CW846" i="1"/>
  <c r="CW847" i="1"/>
  <c r="CW848" i="1"/>
  <c r="CW849" i="1"/>
  <c r="CW850" i="1"/>
  <c r="CW852" i="1"/>
  <c r="CW854" i="1"/>
  <c r="CW855" i="1"/>
  <c r="CW856" i="1"/>
  <c r="CW857" i="1"/>
  <c r="CW859" i="1"/>
  <c r="CW860" i="1"/>
  <c r="CW862" i="1"/>
  <c r="CW863" i="1"/>
  <c r="CW864" i="1"/>
  <c r="CW865" i="1"/>
  <c r="CW866" i="1"/>
  <c r="CW867" i="1"/>
  <c r="CW868" i="1"/>
  <c r="CW869" i="1"/>
  <c r="CW870" i="1"/>
  <c r="CW872" i="1"/>
  <c r="CW873" i="1"/>
  <c r="CW874" i="1"/>
  <c r="CW875" i="1"/>
  <c r="CW876" i="1"/>
  <c r="CW877" i="1"/>
  <c r="CW878" i="1"/>
  <c r="CW879" i="1"/>
  <c r="CW880" i="1"/>
  <c r="CW881" i="1"/>
  <c r="CW884" i="1"/>
  <c r="CW886" i="1"/>
  <c r="CW887" i="1"/>
  <c r="CW888" i="1"/>
  <c r="CW889" i="1"/>
  <c r="CW890" i="1"/>
  <c r="CW891" i="1"/>
  <c r="CW892" i="1"/>
  <c r="CW893" i="1"/>
  <c r="CW894" i="1"/>
  <c r="CW895" i="1"/>
  <c r="CW897" i="1"/>
  <c r="CW898" i="1"/>
  <c r="CW899" i="1"/>
  <c r="CW900" i="1"/>
  <c r="CW901" i="1"/>
  <c r="CW902" i="1"/>
  <c r="CW904" i="1"/>
  <c r="CW905" i="1"/>
  <c r="CW906" i="1"/>
  <c r="CW908" i="1"/>
  <c r="CW909" i="1"/>
  <c r="CW910" i="1"/>
  <c r="CW911" i="1"/>
  <c r="CW912" i="1"/>
  <c r="CW913" i="1"/>
  <c r="CW915" i="1"/>
  <c r="CW916" i="1"/>
  <c r="CW917" i="1"/>
  <c r="CW918" i="1"/>
  <c r="CW919" i="1"/>
  <c r="CW921" i="1"/>
  <c r="CW922" i="1"/>
  <c r="CW923" i="1"/>
  <c r="CW924" i="1"/>
  <c r="CW925" i="1"/>
  <c r="CW927" i="1"/>
  <c r="CW928" i="1"/>
  <c r="CW929" i="1"/>
  <c r="CW930" i="1"/>
  <c r="CW931" i="1"/>
  <c r="CW932" i="1"/>
  <c r="CW933" i="1"/>
  <c r="CW935" i="1"/>
  <c r="CW936" i="1"/>
  <c r="CW937" i="1"/>
  <c r="CW938" i="1"/>
  <c r="CW939" i="1"/>
  <c r="CW940" i="1"/>
  <c r="CW941" i="1"/>
  <c r="CW943" i="1"/>
  <c r="CW944" i="1"/>
  <c r="CW945" i="1"/>
  <c r="CW947" i="1"/>
  <c r="CW948" i="1"/>
  <c r="CW950" i="1"/>
  <c r="CW951" i="1"/>
  <c r="CW952" i="1"/>
  <c r="CW953" i="1"/>
  <c r="CW954" i="1"/>
  <c r="CW955" i="1"/>
  <c r="CW956" i="1"/>
  <c r="CW957" i="1"/>
  <c r="CW958" i="1"/>
  <c r="CW960" i="1"/>
  <c r="CW961" i="1"/>
  <c r="CW962" i="1"/>
  <c r="CW963" i="1"/>
  <c r="CW964" i="1"/>
  <c r="CW965" i="1"/>
  <c r="CW966" i="1"/>
  <c r="CW967" i="1"/>
  <c r="CW969" i="1"/>
  <c r="CW970" i="1"/>
  <c r="CW971" i="1"/>
  <c r="CW972" i="1"/>
  <c r="CW973" i="1"/>
  <c r="CW974" i="1"/>
  <c r="CW975" i="1"/>
  <c r="CW977" i="1"/>
  <c r="CW978" i="1"/>
  <c r="CW979" i="1"/>
  <c r="CW980" i="1"/>
  <c r="CW981" i="1"/>
  <c r="CW983" i="1"/>
  <c r="CW985" i="1"/>
  <c r="CW986" i="1"/>
  <c r="CW987" i="1"/>
  <c r="CW989" i="1"/>
  <c r="CW990" i="1"/>
  <c r="CW991" i="1"/>
  <c r="CW992" i="1"/>
  <c r="CW993" i="1"/>
  <c r="CW994" i="1"/>
  <c r="CW996" i="1"/>
  <c r="CW997" i="1"/>
  <c r="CW998" i="1"/>
  <c r="CW999" i="1"/>
  <c r="CW1000" i="1"/>
  <c r="CW1001" i="1"/>
  <c r="CW1002" i="1"/>
  <c r="CW1003" i="1"/>
  <c r="CW1005" i="1"/>
  <c r="CW1006" i="1"/>
  <c r="CW1007" i="1"/>
  <c r="CW1008" i="1"/>
  <c r="CW1009" i="1"/>
  <c r="CW1010" i="1"/>
  <c r="CW1011" i="1"/>
  <c r="CW1013" i="1"/>
  <c r="CW1014" i="1"/>
  <c r="CW1015" i="1"/>
  <c r="CW1016" i="1"/>
  <c r="CW1017" i="1"/>
  <c r="CW1018" i="1"/>
  <c r="CW1019" i="1"/>
  <c r="CW1020" i="1"/>
  <c r="CW1021" i="1"/>
  <c r="CW1022" i="1"/>
  <c r="CW1023" i="1"/>
  <c r="CW1025" i="1"/>
  <c r="CW1026" i="1"/>
  <c r="CW1027" i="1"/>
  <c r="CW1028" i="1"/>
  <c r="CW1029" i="1"/>
  <c r="CW1030" i="1"/>
  <c r="CW1031" i="1"/>
  <c r="CW1032" i="1"/>
  <c r="CW1033" i="1"/>
  <c r="CW1035" i="1"/>
  <c r="CW1036" i="1"/>
  <c r="CW1037" i="1"/>
  <c r="CW1038" i="1"/>
  <c r="CW1039" i="1"/>
  <c r="CW1040" i="1"/>
  <c r="CW1041" i="1"/>
  <c r="CW1042" i="1"/>
  <c r="CW1043" i="1"/>
  <c r="CW1044" i="1"/>
  <c r="CW1046" i="1"/>
  <c r="CW1047" i="1"/>
  <c r="CW1048" i="1"/>
  <c r="CW1051" i="1"/>
  <c r="CW1053" i="1"/>
  <c r="CW1054" i="1"/>
  <c r="CW1055" i="1"/>
  <c r="CW1056" i="1"/>
  <c r="CW1057" i="1"/>
  <c r="CW1059" i="1"/>
  <c r="CW1060" i="1"/>
  <c r="CW1061" i="1"/>
  <c r="CW1062" i="1"/>
  <c r="CW1063" i="1"/>
  <c r="CW1064" i="1"/>
  <c r="CW1066" i="1"/>
  <c r="CW1067" i="1"/>
  <c r="CW1068" i="1"/>
  <c r="CW1069" i="1"/>
  <c r="CW1070" i="1"/>
  <c r="CW1071" i="1"/>
  <c r="CW1072" i="1"/>
  <c r="CW1073" i="1"/>
  <c r="CW1075" i="1"/>
  <c r="CW1076" i="1"/>
  <c r="CW1077" i="1"/>
  <c r="CW1079" i="1"/>
  <c r="CW1080" i="1"/>
  <c r="CW1081" i="1"/>
  <c r="CW1082" i="1"/>
  <c r="CW1083" i="1"/>
  <c r="CW1084" i="1"/>
  <c r="CW1086" i="1"/>
  <c r="CW1087" i="1"/>
  <c r="CW1088" i="1"/>
  <c r="CW1089" i="1"/>
  <c r="CW1090" i="1"/>
  <c r="CW1091" i="1"/>
  <c r="CW1092" i="1"/>
  <c r="CW1093" i="1"/>
  <c r="CW1094" i="1"/>
  <c r="CW1096" i="1"/>
  <c r="CW1097" i="1"/>
  <c r="CW1098" i="1"/>
  <c r="CW1099" i="1"/>
  <c r="CW1100" i="1"/>
  <c r="CW1101" i="1"/>
  <c r="CW1102" i="1"/>
  <c r="CW1103" i="1"/>
  <c r="CW1104" i="1"/>
  <c r="CW1105" i="1"/>
  <c r="CW1106" i="1"/>
  <c r="CW1108" i="1"/>
  <c r="CW1109" i="1"/>
  <c r="CW1110" i="1"/>
  <c r="CW1111" i="1"/>
  <c r="CW1112" i="1"/>
  <c r="CW1113" i="1"/>
  <c r="CW1115" i="1"/>
  <c r="CW1116" i="1"/>
  <c r="CW1117" i="1"/>
  <c r="CW1118" i="1"/>
  <c r="CW1120" i="1"/>
  <c r="CW1122" i="1"/>
  <c r="CW1123" i="1"/>
  <c r="CW1124" i="1"/>
  <c r="CW1126" i="1"/>
  <c r="CW1127" i="1"/>
  <c r="CW1128" i="1"/>
  <c r="CW1129" i="1"/>
  <c r="CW1130" i="1"/>
  <c r="CW1132" i="1"/>
  <c r="CW1133" i="1"/>
  <c r="CW1135" i="1"/>
  <c r="CW1136" i="1"/>
  <c r="CW1137" i="1"/>
  <c r="CW1138" i="1"/>
  <c r="CW1139" i="1"/>
  <c r="CW1140" i="1"/>
  <c r="CW1142" i="1"/>
  <c r="CW1143" i="1"/>
  <c r="CW1144" i="1"/>
  <c r="CW1145" i="1"/>
  <c r="CW1146" i="1"/>
  <c r="CW1147" i="1"/>
  <c r="CW1148" i="1"/>
  <c r="CW1149" i="1"/>
  <c r="CW1150" i="1"/>
  <c r="CW1152" i="1"/>
  <c r="CW1153" i="1"/>
  <c r="CW1154" i="1"/>
  <c r="CW1155" i="1"/>
  <c r="CW1157" i="1"/>
  <c r="CW1158" i="1"/>
  <c r="CW1159" i="1"/>
  <c r="CW1160" i="1"/>
  <c r="CW1161" i="1"/>
  <c r="CW1162" i="1"/>
  <c r="CW1163" i="1"/>
  <c r="CW1164" i="1"/>
  <c r="CW1165" i="1"/>
  <c r="CW1167" i="1"/>
  <c r="CW1168" i="1"/>
  <c r="CW1169" i="1"/>
  <c r="CW1170" i="1"/>
  <c r="CW1172" i="1"/>
  <c r="CW1173" i="1"/>
  <c r="CW1174" i="1"/>
  <c r="CW1175" i="1"/>
  <c r="CW1177" i="1"/>
  <c r="CW1178" i="1"/>
  <c r="CW1179" i="1"/>
  <c r="CW1180" i="1"/>
  <c r="CW1181" i="1"/>
  <c r="CW1182" i="1"/>
  <c r="CW1183" i="1"/>
  <c r="CW1185" i="1"/>
  <c r="CW1186" i="1"/>
  <c r="CW1187" i="1"/>
  <c r="CW1188" i="1"/>
  <c r="CW1189" i="1"/>
  <c r="CW1190" i="1"/>
  <c r="CW1192" i="1"/>
  <c r="CW1194" i="1"/>
  <c r="CW1195" i="1"/>
  <c r="CW1196" i="1"/>
  <c r="CW1199" i="1"/>
  <c r="CW1201" i="1"/>
  <c r="CW1202" i="1"/>
  <c r="CW1203" i="1"/>
  <c r="CW1204" i="1"/>
  <c r="CW1205" i="1"/>
  <c r="CW1206" i="1"/>
  <c r="CW1207" i="1"/>
  <c r="CW1209" i="1"/>
  <c r="CW1210" i="1"/>
  <c r="CW1211" i="1"/>
  <c r="CW1212" i="1"/>
  <c r="CW1213" i="1"/>
  <c r="CW1214" i="1"/>
  <c r="CW1215" i="1"/>
  <c r="CW1216" i="1"/>
  <c r="CW1217" i="1"/>
  <c r="CW1219" i="1"/>
  <c r="CW1220" i="1"/>
  <c r="CW1222" i="1"/>
  <c r="CW1223" i="1"/>
  <c r="CW1224" i="1"/>
  <c r="CW1225" i="1"/>
  <c r="CW1226" i="1"/>
  <c r="CW1227" i="1"/>
  <c r="CW1229" i="1"/>
  <c r="CW1230" i="1"/>
  <c r="CW1231" i="1"/>
  <c r="CW1232" i="1"/>
  <c r="CW1233" i="1"/>
  <c r="CW1234" i="1"/>
  <c r="CW1235" i="1"/>
  <c r="CW1236" i="1"/>
  <c r="CW1238" i="1"/>
  <c r="CW1240" i="1"/>
  <c r="CW1241" i="1"/>
  <c r="CW1242" i="1"/>
  <c r="CW1244" i="1"/>
  <c r="CW1245" i="1"/>
  <c r="CW1246" i="1"/>
  <c r="CW1247" i="1"/>
  <c r="CW1248" i="1"/>
  <c r="CW1250" i="1"/>
  <c r="CW1251" i="1"/>
  <c r="CW1252" i="1"/>
  <c r="CW1253" i="1"/>
  <c r="CW1254" i="1"/>
  <c r="CW1255" i="1"/>
  <c r="CW1256" i="1"/>
  <c r="CW1257" i="1"/>
  <c r="CW1258" i="1"/>
  <c r="CW1259" i="1"/>
  <c r="CW1261" i="1"/>
  <c r="CW1262" i="1"/>
  <c r="CW1263" i="1"/>
  <c r="CW1265" i="1"/>
  <c r="CW1266" i="1"/>
  <c r="CW1267" i="1"/>
  <c r="CW1268" i="1"/>
  <c r="CW1272" i="1"/>
  <c r="CW1274" i="1"/>
  <c r="CW1275" i="1"/>
  <c r="CW1276" i="1"/>
  <c r="CW1277" i="1"/>
  <c r="CW1278" i="1"/>
  <c r="CW1279" i="1"/>
  <c r="CW1280" i="1"/>
  <c r="CW1282" i="1"/>
  <c r="CW1283" i="1"/>
  <c r="CW1284" i="1"/>
  <c r="CW1285" i="1"/>
  <c r="CW1286" i="1"/>
  <c r="CW1287" i="1"/>
  <c r="CW1288" i="1"/>
  <c r="CW1289" i="1"/>
  <c r="CW1291" i="1"/>
  <c r="CW1292" i="1"/>
  <c r="CW1293" i="1"/>
  <c r="CW1294" i="1"/>
  <c r="CW1295" i="1"/>
  <c r="CW1296" i="1"/>
  <c r="CW1297" i="1"/>
  <c r="CW1298" i="1"/>
  <c r="CW1299" i="1"/>
  <c r="CW1300" i="1"/>
  <c r="CW1301" i="1"/>
  <c r="CW1303" i="1"/>
  <c r="CW1304" i="1"/>
  <c r="CW1305" i="1"/>
  <c r="CW1306" i="1"/>
  <c r="CW1307" i="1"/>
  <c r="CW1308" i="1"/>
  <c r="CW1309" i="1"/>
  <c r="CW1310" i="1"/>
  <c r="CW1311" i="1"/>
  <c r="CW1312" i="1"/>
  <c r="CW1313" i="1"/>
  <c r="CX67" i="1"/>
  <c r="CX68" i="1"/>
  <c r="CX69" i="1"/>
  <c r="CX70" i="1"/>
  <c r="CX71" i="1"/>
  <c r="CX72" i="1"/>
  <c r="CX73" i="1"/>
  <c r="CX74" i="1"/>
  <c r="CX76" i="1"/>
  <c r="CX77" i="1"/>
  <c r="CX78" i="1"/>
  <c r="CX79" i="1"/>
  <c r="CX80" i="1"/>
  <c r="CX81" i="1"/>
  <c r="CX82" i="1"/>
  <c r="CX84" i="1"/>
  <c r="CX85" i="1"/>
  <c r="CX86" i="1"/>
  <c r="CX87" i="1"/>
  <c r="CX88" i="1"/>
  <c r="CX89" i="1"/>
  <c r="CX90" i="1"/>
  <c r="CX92" i="1"/>
  <c r="CX93" i="1"/>
  <c r="CX94" i="1"/>
  <c r="CX95" i="1"/>
  <c r="CX96" i="1"/>
  <c r="CX97" i="1"/>
  <c r="CX98" i="1"/>
  <c r="CX101" i="1"/>
  <c r="CX103" i="1"/>
  <c r="CX104" i="1"/>
  <c r="CX105" i="1"/>
  <c r="CX106" i="1"/>
  <c r="CX107" i="1"/>
  <c r="CX108" i="1"/>
  <c r="CX109" i="1"/>
  <c r="CX111" i="1"/>
  <c r="CX112" i="1"/>
  <c r="CX113" i="1"/>
  <c r="CX114" i="1"/>
  <c r="CX115" i="1"/>
  <c r="CX116" i="1"/>
  <c r="CX117" i="1"/>
  <c r="CX118" i="1"/>
  <c r="CX119" i="1"/>
  <c r="CX120" i="1"/>
  <c r="CX122" i="1"/>
  <c r="CX124" i="1"/>
  <c r="CX125" i="1"/>
  <c r="CX126" i="1"/>
  <c r="CX129" i="1"/>
  <c r="CX131" i="1"/>
  <c r="CX132" i="1"/>
  <c r="CX136" i="1"/>
  <c r="CX138" i="1"/>
  <c r="CX139" i="1"/>
  <c r="CX140" i="1"/>
  <c r="CX141" i="1"/>
  <c r="CX142" i="1"/>
  <c r="CX144" i="1"/>
  <c r="CX145" i="1"/>
  <c r="CX146" i="1"/>
  <c r="CX147" i="1"/>
  <c r="CX148" i="1"/>
  <c r="CX149" i="1"/>
  <c r="CX151" i="1"/>
  <c r="CX152" i="1"/>
  <c r="CX153" i="1"/>
  <c r="CX154" i="1"/>
  <c r="CX155" i="1"/>
  <c r="CX156" i="1"/>
  <c r="CX157" i="1"/>
  <c r="CX158" i="1"/>
  <c r="CX160" i="1"/>
  <c r="CX161" i="1"/>
  <c r="CX162" i="1"/>
  <c r="CX163" i="1"/>
  <c r="CX165" i="1"/>
  <c r="CX166" i="1"/>
  <c r="CX167" i="1"/>
  <c r="CX168" i="1"/>
  <c r="CX169" i="1"/>
  <c r="CX170" i="1"/>
  <c r="CX172" i="1"/>
  <c r="CX173" i="1"/>
  <c r="CX175" i="1"/>
  <c r="CX176" i="1"/>
  <c r="CX177" i="1"/>
  <c r="CX178" i="1"/>
  <c r="CX179" i="1"/>
  <c r="CX180" i="1"/>
  <c r="CX181" i="1"/>
  <c r="CX182" i="1"/>
  <c r="CX183" i="1"/>
  <c r="CX184" i="1"/>
  <c r="CX186" i="1"/>
  <c r="CX187" i="1"/>
  <c r="CX188" i="1"/>
  <c r="CX189" i="1"/>
  <c r="CX190" i="1"/>
  <c r="CX191" i="1"/>
  <c r="CX192" i="1"/>
  <c r="CX193" i="1"/>
  <c r="CX195" i="1"/>
  <c r="CX196" i="1"/>
  <c r="CX197" i="1"/>
  <c r="CX198" i="1"/>
  <c r="CX200" i="1"/>
  <c r="CX201" i="1"/>
  <c r="CX202" i="1"/>
  <c r="CX203" i="1"/>
  <c r="CX204" i="1"/>
  <c r="CX205" i="1"/>
  <c r="CX206" i="1"/>
  <c r="CX207" i="1"/>
  <c r="CX209" i="1"/>
  <c r="CX210" i="1"/>
  <c r="CX211" i="1"/>
  <c r="CX212" i="1"/>
  <c r="CX213" i="1"/>
  <c r="CX214" i="1"/>
  <c r="CX215" i="1"/>
  <c r="CX217" i="1"/>
  <c r="CX218" i="1"/>
  <c r="CX219" i="1"/>
  <c r="CX220" i="1"/>
  <c r="CX221" i="1"/>
  <c r="CX222" i="1"/>
  <c r="CX224" i="1"/>
  <c r="CX225" i="1"/>
  <c r="CX226" i="1"/>
  <c r="CX227" i="1"/>
  <c r="CX228" i="1"/>
  <c r="CX229" i="1"/>
  <c r="CX231" i="1"/>
  <c r="CX232" i="1"/>
  <c r="CX233" i="1"/>
  <c r="CX234" i="1"/>
  <c r="CX235" i="1"/>
  <c r="CX236" i="1"/>
  <c r="CX237" i="1"/>
  <c r="CX238" i="1"/>
  <c r="CX240" i="1"/>
  <c r="CX241" i="1"/>
  <c r="CX242" i="1"/>
  <c r="CX243" i="1"/>
  <c r="CX244" i="1"/>
  <c r="CX245" i="1"/>
  <c r="CX246" i="1"/>
  <c r="CX247" i="1"/>
  <c r="CX249" i="1"/>
  <c r="CX250" i="1"/>
  <c r="CX251" i="1"/>
  <c r="CX252" i="1"/>
  <c r="CX253" i="1"/>
  <c r="CX254" i="1"/>
  <c r="CX255" i="1"/>
  <c r="CX256" i="1"/>
  <c r="CX258" i="1"/>
  <c r="CX259" i="1"/>
  <c r="CX260" i="1"/>
  <c r="CX261" i="1"/>
  <c r="CX262" i="1"/>
  <c r="CX263" i="1"/>
  <c r="CX264" i="1"/>
  <c r="CX265" i="1"/>
  <c r="CX266" i="1"/>
  <c r="CX268" i="1"/>
  <c r="CX269" i="1"/>
  <c r="CX270" i="1"/>
  <c r="CX271" i="1"/>
  <c r="CX272" i="1"/>
  <c r="CX273" i="1"/>
  <c r="CX274" i="1"/>
  <c r="CX275" i="1"/>
  <c r="CX276" i="1"/>
  <c r="CX278" i="1"/>
  <c r="CX279" i="1"/>
  <c r="CX280" i="1"/>
  <c r="CX281" i="1"/>
  <c r="CX282" i="1"/>
  <c r="CX283" i="1"/>
  <c r="CX285" i="1"/>
  <c r="CX286" i="1"/>
  <c r="CX287" i="1"/>
  <c r="CX288" i="1"/>
  <c r="CX291" i="1"/>
  <c r="CX292" i="1"/>
  <c r="CX293" i="1"/>
  <c r="CX294" i="1"/>
  <c r="CX296" i="1"/>
  <c r="CX297" i="1"/>
  <c r="CX298" i="1"/>
  <c r="CX299" i="1"/>
  <c r="CX300" i="1"/>
  <c r="CX301" i="1"/>
  <c r="CX302" i="1"/>
  <c r="CX303" i="1"/>
  <c r="CX305" i="1"/>
  <c r="CX306" i="1"/>
  <c r="CX307" i="1"/>
  <c r="CX308" i="1"/>
  <c r="CX309" i="1"/>
  <c r="CX310" i="1"/>
  <c r="CX311" i="1"/>
  <c r="CX312" i="1"/>
  <c r="CX313" i="1"/>
  <c r="CX314" i="1"/>
  <c r="CX316" i="1"/>
  <c r="CX317" i="1"/>
  <c r="CX318" i="1"/>
  <c r="CX319" i="1"/>
  <c r="CX320" i="1"/>
  <c r="CX321" i="1"/>
  <c r="CX322" i="1"/>
  <c r="CX323" i="1"/>
  <c r="CX324" i="1"/>
  <c r="CX325" i="1"/>
  <c r="CX326" i="1"/>
  <c r="CX327" i="1"/>
  <c r="CX329" i="1"/>
  <c r="CX330" i="1"/>
  <c r="CX332" i="1"/>
  <c r="CX333" i="1"/>
  <c r="CX334" i="1"/>
  <c r="CX335" i="1"/>
  <c r="CX336" i="1"/>
  <c r="CX337" i="1"/>
  <c r="CX338" i="1"/>
  <c r="CX340" i="1"/>
  <c r="CX341" i="1"/>
  <c r="CX342" i="1"/>
  <c r="CX343" i="1"/>
  <c r="CX344" i="1"/>
  <c r="CX345" i="1"/>
  <c r="CX346" i="1"/>
  <c r="CX347" i="1"/>
  <c r="CX348" i="1"/>
  <c r="CX349" i="1"/>
  <c r="CX351" i="1"/>
  <c r="CX352" i="1"/>
  <c r="CX353" i="1"/>
  <c r="CX354" i="1"/>
  <c r="CX355" i="1"/>
  <c r="CX356" i="1"/>
  <c r="CX358" i="1"/>
  <c r="CX359" i="1"/>
  <c r="CX360" i="1"/>
  <c r="CX361" i="1"/>
  <c r="CX362" i="1"/>
  <c r="CX363" i="1"/>
  <c r="CX364" i="1"/>
  <c r="CX365" i="1"/>
  <c r="CX367" i="1"/>
  <c r="CX368" i="1"/>
  <c r="CX369" i="1"/>
  <c r="CX371" i="1"/>
  <c r="CX372" i="1"/>
  <c r="CX373" i="1"/>
  <c r="CX375" i="1"/>
  <c r="CX376" i="1"/>
  <c r="CX378" i="1"/>
  <c r="CX379" i="1"/>
  <c r="CX380" i="1"/>
  <c r="CX381" i="1"/>
  <c r="CX382" i="1"/>
  <c r="CX383" i="1"/>
  <c r="CX385" i="1"/>
  <c r="CX386" i="1"/>
  <c r="CX387" i="1"/>
  <c r="CX388" i="1"/>
  <c r="CX389" i="1"/>
  <c r="CX390" i="1"/>
  <c r="CX391" i="1"/>
  <c r="CX393" i="1"/>
  <c r="CX394" i="1"/>
  <c r="CX395" i="1"/>
  <c r="CX396" i="1"/>
  <c r="CX397" i="1"/>
  <c r="CX398" i="1"/>
  <c r="CX399" i="1"/>
  <c r="CX400" i="1"/>
  <c r="CX401" i="1"/>
  <c r="CX403" i="1"/>
  <c r="CX404" i="1"/>
  <c r="CX405" i="1"/>
  <c r="CX406" i="1"/>
  <c r="CX407" i="1"/>
  <c r="CX408" i="1"/>
  <c r="CX409" i="1"/>
  <c r="CX410" i="1"/>
  <c r="CX411" i="1"/>
  <c r="CX413" i="1"/>
  <c r="CX414" i="1"/>
  <c r="CX415" i="1"/>
  <c r="CX416" i="1"/>
  <c r="CX417" i="1"/>
  <c r="CX418" i="1"/>
  <c r="CX421" i="1"/>
  <c r="CX422" i="1"/>
  <c r="CX423" i="1"/>
  <c r="CX424" i="1"/>
  <c r="CX425" i="1"/>
  <c r="CX426" i="1"/>
  <c r="CX427" i="1"/>
  <c r="CX428" i="1"/>
  <c r="CX430" i="1"/>
  <c r="CX431" i="1"/>
  <c r="CX432" i="1"/>
  <c r="CX433" i="1"/>
  <c r="CX434" i="1"/>
  <c r="CX435" i="1"/>
  <c r="CX436" i="1"/>
  <c r="CX438" i="1"/>
  <c r="CX439" i="1"/>
  <c r="CX440" i="1"/>
  <c r="CX441" i="1"/>
  <c r="CX442" i="1"/>
  <c r="CX443" i="1"/>
  <c r="CX445" i="1"/>
  <c r="CX446" i="1"/>
  <c r="CX447" i="1"/>
  <c r="CX448" i="1"/>
  <c r="CX449" i="1"/>
  <c r="CX450" i="1"/>
  <c r="CX451" i="1"/>
  <c r="CX452" i="1"/>
  <c r="CX454" i="1"/>
  <c r="CX455" i="1"/>
  <c r="CX456" i="1"/>
  <c r="CX457" i="1"/>
  <c r="CX459" i="1"/>
  <c r="CX460" i="1"/>
  <c r="CX461" i="1"/>
  <c r="CX462" i="1"/>
  <c r="CX463" i="1"/>
  <c r="CX464" i="1"/>
  <c r="CX465" i="1"/>
  <c r="CX466" i="1"/>
  <c r="CX468" i="1"/>
  <c r="CX469" i="1"/>
  <c r="CX470" i="1"/>
  <c r="CX471" i="1"/>
  <c r="CX472" i="1"/>
  <c r="CX473" i="1"/>
  <c r="CX474" i="1"/>
  <c r="CX475" i="1"/>
  <c r="CX476" i="1"/>
  <c r="CX478" i="1"/>
  <c r="CX479" i="1"/>
  <c r="CX480" i="1"/>
  <c r="CX481" i="1"/>
  <c r="CX482" i="1"/>
  <c r="CX483" i="1"/>
  <c r="CX485" i="1"/>
  <c r="CX486" i="1"/>
  <c r="CX487" i="1"/>
  <c r="CX488" i="1"/>
  <c r="CX489" i="1"/>
  <c r="CX490" i="1"/>
  <c r="CX491" i="1"/>
  <c r="CX492" i="1"/>
  <c r="CX493" i="1"/>
  <c r="CX495" i="1"/>
  <c r="CX496" i="1"/>
  <c r="CX497" i="1"/>
  <c r="CX498" i="1"/>
  <c r="CX499" i="1"/>
  <c r="CX500" i="1"/>
  <c r="CX502" i="1"/>
  <c r="CX503" i="1"/>
  <c r="CX504" i="1"/>
  <c r="CX505" i="1"/>
  <c r="CX506" i="1"/>
  <c r="CX507" i="1"/>
  <c r="CX508" i="1"/>
  <c r="CX510" i="1"/>
  <c r="CX511" i="1"/>
  <c r="CX512" i="1"/>
  <c r="CX514" i="1"/>
  <c r="CX515" i="1"/>
  <c r="CX516" i="1"/>
  <c r="CX517" i="1"/>
  <c r="CX518" i="1"/>
  <c r="CX520" i="1"/>
  <c r="CX521" i="1"/>
  <c r="CX522" i="1"/>
  <c r="CX523" i="1"/>
  <c r="CX524" i="1"/>
  <c r="CX525" i="1"/>
  <c r="CX526" i="1"/>
  <c r="CX527" i="1"/>
  <c r="CX529" i="1"/>
  <c r="CX530" i="1"/>
  <c r="CX531" i="1"/>
  <c r="CX532" i="1"/>
  <c r="CX533" i="1"/>
  <c r="CX534" i="1"/>
  <c r="CX535" i="1"/>
  <c r="CX536" i="1"/>
  <c r="CX538" i="1"/>
  <c r="CX539" i="1"/>
  <c r="CX540" i="1"/>
  <c r="CX541" i="1"/>
  <c r="CX542" i="1"/>
  <c r="CX543" i="1"/>
  <c r="CX544" i="1"/>
  <c r="CX545" i="1"/>
  <c r="CX546" i="1"/>
  <c r="CX548" i="1"/>
  <c r="CX549" i="1"/>
  <c r="CX550" i="1"/>
  <c r="CX551" i="1"/>
  <c r="CX552" i="1"/>
  <c r="CX553" i="1"/>
  <c r="CX554" i="1"/>
  <c r="CX555" i="1"/>
  <c r="CX557" i="1"/>
  <c r="CX558" i="1"/>
  <c r="CX559" i="1"/>
  <c r="CX560" i="1"/>
  <c r="CX561" i="1"/>
  <c r="CX562" i="1"/>
  <c r="CX564" i="1"/>
  <c r="CX565" i="1"/>
  <c r="CX566" i="1"/>
  <c r="CX567" i="1"/>
  <c r="CX569" i="1"/>
  <c r="CX570" i="1"/>
  <c r="CX572" i="1"/>
  <c r="CX573" i="1"/>
  <c r="CX574" i="1"/>
  <c r="CX576" i="1"/>
  <c r="CX577" i="1"/>
  <c r="CX578" i="1"/>
  <c r="CX579" i="1"/>
  <c r="CX580" i="1"/>
  <c r="CX581" i="1"/>
  <c r="CX583" i="1"/>
  <c r="CX584" i="1"/>
  <c r="CX586" i="1"/>
  <c r="CX587" i="1"/>
  <c r="CX588" i="1"/>
  <c r="CX590" i="1"/>
  <c r="CX591" i="1"/>
  <c r="CX592" i="1"/>
  <c r="CX593" i="1"/>
  <c r="CX594" i="1"/>
  <c r="CX595" i="1"/>
  <c r="CX596" i="1"/>
  <c r="CX597" i="1"/>
  <c r="CX598" i="1"/>
  <c r="CX600" i="1"/>
  <c r="CX601" i="1"/>
  <c r="CX603" i="1"/>
  <c r="CX604" i="1"/>
  <c r="CX605" i="1"/>
  <c r="CX607" i="1"/>
  <c r="CX608" i="1"/>
  <c r="CX609" i="1"/>
  <c r="CX610" i="1"/>
  <c r="CX611" i="1"/>
  <c r="CX612" i="1"/>
  <c r="CX614" i="1"/>
  <c r="CX615" i="1"/>
  <c r="CX617" i="1"/>
  <c r="CX618" i="1"/>
  <c r="CX619" i="1"/>
  <c r="CX620" i="1"/>
  <c r="CX622" i="1"/>
  <c r="CX623" i="1"/>
  <c r="CX624" i="1"/>
  <c r="CX625" i="1"/>
  <c r="CX626" i="1"/>
  <c r="CX628" i="1"/>
  <c r="CX629" i="1"/>
  <c r="CX630" i="1"/>
  <c r="CX631" i="1"/>
  <c r="CX632" i="1"/>
  <c r="CX633" i="1"/>
  <c r="CX634" i="1"/>
  <c r="CX637" i="1"/>
  <c r="CX638" i="1"/>
  <c r="CX639" i="1"/>
  <c r="CX641" i="1"/>
  <c r="CX643" i="1"/>
  <c r="CX644" i="1"/>
  <c r="CX645" i="1"/>
  <c r="CX647" i="1"/>
  <c r="CX648" i="1"/>
  <c r="CX649" i="1"/>
  <c r="CX650" i="1"/>
  <c r="CX651" i="1"/>
  <c r="CX652" i="1"/>
  <c r="CX654" i="1"/>
  <c r="CX655" i="1"/>
  <c r="CX656" i="1"/>
  <c r="CX657" i="1"/>
  <c r="CX658" i="1"/>
  <c r="CX659" i="1"/>
  <c r="CX660" i="1"/>
  <c r="CX662" i="1"/>
  <c r="CX663" i="1"/>
  <c r="CX665" i="1"/>
  <c r="CX666" i="1"/>
  <c r="CX667" i="1"/>
  <c r="CX669" i="1"/>
  <c r="CX670" i="1"/>
  <c r="CX671" i="1"/>
  <c r="CX672" i="1"/>
  <c r="CX674" i="1"/>
  <c r="CX675" i="1"/>
  <c r="CX676" i="1"/>
  <c r="CX677" i="1"/>
  <c r="CX678" i="1"/>
  <c r="CX679" i="1"/>
  <c r="CX681" i="1"/>
  <c r="CX682" i="1"/>
  <c r="CX683" i="1"/>
  <c r="CX684" i="1"/>
  <c r="CX685" i="1"/>
  <c r="CX686" i="1"/>
  <c r="CX687" i="1"/>
  <c r="CX688" i="1"/>
  <c r="CX689" i="1"/>
  <c r="CX690" i="1"/>
  <c r="CX691" i="1"/>
  <c r="CX693" i="1"/>
  <c r="CX694" i="1"/>
  <c r="CX695" i="1"/>
  <c r="CX696" i="1"/>
  <c r="CX698" i="1"/>
  <c r="CX699" i="1"/>
  <c r="CX702" i="1"/>
  <c r="CX703" i="1"/>
  <c r="CX704" i="1"/>
  <c r="CX706" i="1"/>
  <c r="CX707" i="1"/>
  <c r="CX708" i="1"/>
  <c r="CX709" i="1"/>
  <c r="CX711" i="1"/>
  <c r="CX712" i="1"/>
  <c r="CX713" i="1"/>
  <c r="CX714" i="1"/>
  <c r="CX715" i="1"/>
  <c r="CX716" i="1"/>
  <c r="CX717" i="1"/>
  <c r="CX718" i="1"/>
  <c r="CX720" i="1"/>
  <c r="CX721" i="1"/>
  <c r="CX723" i="1"/>
  <c r="CX724" i="1"/>
  <c r="CX725" i="1"/>
  <c r="CX726" i="1"/>
  <c r="CX729" i="1"/>
  <c r="CX731" i="1"/>
  <c r="CX732" i="1"/>
  <c r="CX733" i="1"/>
  <c r="CX734" i="1"/>
  <c r="CX735" i="1"/>
  <c r="CX736" i="1"/>
  <c r="CX738" i="1"/>
  <c r="CX739" i="1"/>
  <c r="CX740" i="1"/>
  <c r="CX741" i="1"/>
  <c r="CX742" i="1"/>
  <c r="CX743" i="1"/>
  <c r="CX744" i="1"/>
  <c r="CX745" i="1"/>
  <c r="CX748" i="1"/>
  <c r="CX750" i="1"/>
  <c r="CX751" i="1"/>
  <c r="CX752" i="1"/>
  <c r="CX753" i="1"/>
  <c r="CX754" i="1"/>
  <c r="CX755" i="1"/>
  <c r="CX756" i="1"/>
  <c r="CX758" i="1"/>
  <c r="CX760" i="1"/>
  <c r="CX761" i="1"/>
  <c r="CX763" i="1"/>
  <c r="CX764" i="1"/>
  <c r="CX766" i="1"/>
  <c r="CX767" i="1"/>
  <c r="CX768" i="1"/>
  <c r="CX769" i="1"/>
  <c r="CX774" i="1"/>
  <c r="CX775" i="1"/>
  <c r="CX777" i="1"/>
  <c r="CX778" i="1"/>
  <c r="CX779" i="1"/>
  <c r="CX780" i="1"/>
  <c r="CX782" i="1"/>
  <c r="CX783" i="1"/>
  <c r="CX784" i="1"/>
  <c r="CX785" i="1"/>
  <c r="CX786" i="1"/>
  <c r="CX787" i="1"/>
  <c r="CX789" i="1"/>
  <c r="CX790" i="1"/>
  <c r="CX791" i="1"/>
  <c r="CX793" i="1"/>
  <c r="CX794" i="1"/>
  <c r="CX795" i="1"/>
  <c r="CX796" i="1"/>
  <c r="CX797" i="1"/>
  <c r="CX798" i="1"/>
  <c r="CX800" i="1"/>
  <c r="CX801" i="1"/>
  <c r="CX802" i="1"/>
  <c r="CX803" i="1"/>
  <c r="CX804" i="1"/>
  <c r="CX805" i="1"/>
  <c r="CX806" i="1"/>
  <c r="CX807" i="1"/>
  <c r="CX808" i="1"/>
  <c r="CX810" i="1"/>
  <c r="CX811" i="1"/>
  <c r="CX812" i="1"/>
  <c r="CX813" i="1"/>
  <c r="CX814" i="1"/>
  <c r="CX815" i="1"/>
  <c r="CX816" i="1"/>
  <c r="CX818" i="1"/>
  <c r="CX819" i="1"/>
  <c r="CX820" i="1"/>
  <c r="CX822" i="1"/>
  <c r="CX823" i="1"/>
  <c r="CX824" i="1"/>
  <c r="CX825" i="1"/>
  <c r="CX826" i="1"/>
  <c r="CX827" i="1"/>
  <c r="CX829" i="1"/>
  <c r="CX830" i="1"/>
  <c r="CX831" i="1"/>
  <c r="CX832" i="1"/>
  <c r="CX834" i="1"/>
  <c r="CX835" i="1"/>
  <c r="CX836" i="1"/>
  <c r="CX838" i="1"/>
  <c r="CX839" i="1"/>
  <c r="CX840" i="1"/>
  <c r="CX841" i="1"/>
  <c r="CX842" i="1"/>
  <c r="CX843" i="1"/>
  <c r="CX845" i="1"/>
  <c r="CX846" i="1"/>
  <c r="CX847" i="1"/>
  <c r="CX848" i="1"/>
  <c r="CX849" i="1"/>
  <c r="CX850" i="1"/>
  <c r="CX852" i="1"/>
  <c r="CX854" i="1"/>
  <c r="CX855" i="1"/>
  <c r="CX856" i="1"/>
  <c r="CX857" i="1"/>
  <c r="CX859" i="1"/>
  <c r="CX860" i="1"/>
  <c r="CX862" i="1"/>
  <c r="CX863" i="1"/>
  <c r="CX864" i="1"/>
  <c r="CX865" i="1"/>
  <c r="CX866" i="1"/>
  <c r="CX867" i="1"/>
  <c r="CX868" i="1"/>
  <c r="CX869" i="1"/>
  <c r="CX870" i="1"/>
  <c r="CX872" i="1"/>
  <c r="CX873" i="1"/>
  <c r="CX874" i="1"/>
  <c r="CX875" i="1"/>
  <c r="CX876" i="1"/>
  <c r="CX877" i="1"/>
  <c r="CX878" i="1"/>
  <c r="CX879" i="1"/>
  <c r="CX880" i="1"/>
  <c r="CX881" i="1"/>
  <c r="CX884" i="1"/>
  <c r="CX886" i="1"/>
  <c r="CX887" i="1"/>
  <c r="CX888" i="1"/>
  <c r="CX889" i="1"/>
  <c r="CX890" i="1"/>
  <c r="CX891" i="1"/>
  <c r="CX892" i="1"/>
  <c r="CX893" i="1"/>
  <c r="CX894" i="1"/>
  <c r="CX895" i="1"/>
  <c r="CX897" i="1"/>
  <c r="CX898" i="1"/>
  <c r="CX899" i="1"/>
  <c r="CX900" i="1"/>
  <c r="CX901" i="1"/>
  <c r="CX902" i="1"/>
  <c r="CX904" i="1"/>
  <c r="CX905" i="1"/>
  <c r="CX906" i="1"/>
  <c r="CX908" i="1"/>
  <c r="CX909" i="1"/>
  <c r="CX910" i="1"/>
  <c r="CX911" i="1"/>
  <c r="CX912" i="1"/>
  <c r="CX913" i="1"/>
  <c r="CX915" i="1"/>
  <c r="CX916" i="1"/>
  <c r="CX917" i="1"/>
  <c r="CX918" i="1"/>
  <c r="CX919" i="1"/>
  <c r="CX921" i="1"/>
  <c r="CX922" i="1"/>
  <c r="CX923" i="1"/>
  <c r="CX924" i="1"/>
  <c r="CX925" i="1"/>
  <c r="CX927" i="1"/>
  <c r="CX928" i="1"/>
  <c r="CX929" i="1"/>
  <c r="CX930" i="1"/>
  <c r="CX931" i="1"/>
  <c r="CX932" i="1"/>
  <c r="CX933" i="1"/>
  <c r="CX935" i="1"/>
  <c r="CX936" i="1"/>
  <c r="CX937" i="1"/>
  <c r="CX938" i="1"/>
  <c r="CX939" i="1"/>
  <c r="CX940" i="1"/>
  <c r="CX941" i="1"/>
  <c r="CX943" i="1"/>
  <c r="CX944" i="1"/>
  <c r="CX945" i="1"/>
  <c r="CX947" i="1"/>
  <c r="CX948" i="1"/>
  <c r="CX950" i="1"/>
  <c r="CX951" i="1"/>
  <c r="CX952" i="1"/>
  <c r="CX953" i="1"/>
  <c r="CX954" i="1"/>
  <c r="CX955" i="1"/>
  <c r="CX956" i="1"/>
  <c r="CX957" i="1"/>
  <c r="CX958" i="1"/>
  <c r="CX960" i="1"/>
  <c r="CX961" i="1"/>
  <c r="CX962" i="1"/>
  <c r="CX963" i="1"/>
  <c r="CX964" i="1"/>
  <c r="CX965" i="1"/>
  <c r="CX966" i="1"/>
  <c r="CX967" i="1"/>
  <c r="CX969" i="1"/>
  <c r="CX970" i="1"/>
  <c r="CX971" i="1"/>
  <c r="CX972" i="1"/>
  <c r="CX973" i="1"/>
  <c r="CX974" i="1"/>
  <c r="CX975" i="1"/>
  <c r="CX977" i="1"/>
  <c r="CX978" i="1"/>
  <c r="CX979" i="1"/>
  <c r="CX980" i="1"/>
  <c r="CX981" i="1"/>
  <c r="CX983" i="1"/>
  <c r="CX985" i="1"/>
  <c r="CX986" i="1"/>
  <c r="CX987" i="1"/>
  <c r="CX989" i="1"/>
  <c r="CX990" i="1"/>
  <c r="CX991" i="1"/>
  <c r="CX992" i="1"/>
  <c r="CX993" i="1"/>
  <c r="CX994" i="1"/>
  <c r="CX996" i="1"/>
  <c r="CX997" i="1"/>
  <c r="CX998" i="1"/>
  <c r="CX999" i="1"/>
  <c r="CX1000" i="1"/>
  <c r="CX1001" i="1"/>
  <c r="CX1002" i="1"/>
  <c r="CX1003" i="1"/>
  <c r="CX1005" i="1"/>
  <c r="CX1006" i="1"/>
  <c r="CX1007" i="1"/>
  <c r="CX1008" i="1"/>
  <c r="CX1009" i="1"/>
  <c r="CX1010" i="1"/>
  <c r="CX1011" i="1"/>
  <c r="CX1013" i="1"/>
  <c r="CX1014" i="1"/>
  <c r="CX1015" i="1"/>
  <c r="CX1016" i="1"/>
  <c r="CX1017" i="1"/>
  <c r="CX1018" i="1"/>
  <c r="CX1019" i="1"/>
  <c r="CX1020" i="1"/>
  <c r="CX1021" i="1"/>
  <c r="CX1022" i="1"/>
  <c r="CX1023" i="1"/>
  <c r="CX1025" i="1"/>
  <c r="CX1026" i="1"/>
  <c r="CX1027" i="1"/>
  <c r="CX1028" i="1"/>
  <c r="CX1029" i="1"/>
  <c r="CX1030" i="1"/>
  <c r="CX1031" i="1"/>
  <c r="CX1032" i="1"/>
  <c r="CX1033" i="1"/>
  <c r="CX1035" i="1"/>
  <c r="CX1036" i="1"/>
  <c r="CX1037" i="1"/>
  <c r="CX1038" i="1"/>
  <c r="CX1039" i="1"/>
  <c r="CX1040" i="1"/>
  <c r="CX1041" i="1"/>
  <c r="CX1042" i="1"/>
  <c r="CX1043" i="1"/>
  <c r="CX1044" i="1"/>
  <c r="CX1046" i="1"/>
  <c r="CX1047" i="1"/>
  <c r="CX1048" i="1"/>
  <c r="CX1051" i="1"/>
  <c r="CX1053" i="1"/>
  <c r="CX1054" i="1"/>
  <c r="CX1055" i="1"/>
  <c r="CX1056" i="1"/>
  <c r="CX1057" i="1"/>
  <c r="CX1059" i="1"/>
  <c r="CX1060" i="1"/>
  <c r="CX1061" i="1"/>
  <c r="CX1062" i="1"/>
  <c r="CX1063" i="1"/>
  <c r="CX1064" i="1"/>
  <c r="CX1066" i="1"/>
  <c r="CX1067" i="1"/>
  <c r="CX1068" i="1"/>
  <c r="CX1069" i="1"/>
  <c r="CX1070" i="1"/>
  <c r="CX1071" i="1"/>
  <c r="CX1072" i="1"/>
  <c r="CX1073" i="1"/>
  <c r="CX1075" i="1"/>
  <c r="CX1076" i="1"/>
  <c r="CX1077" i="1"/>
  <c r="CX1079" i="1"/>
  <c r="CX1080" i="1"/>
  <c r="CX1081" i="1"/>
  <c r="CX1082" i="1"/>
  <c r="CX1083" i="1"/>
  <c r="CX1084" i="1"/>
  <c r="CX1086" i="1"/>
  <c r="CX1087" i="1"/>
  <c r="CX1088" i="1"/>
  <c r="CX1089" i="1"/>
  <c r="CX1090" i="1"/>
  <c r="CX1091" i="1"/>
  <c r="CX1092" i="1"/>
  <c r="CX1093" i="1"/>
  <c r="CX1094" i="1"/>
  <c r="CX1096" i="1"/>
  <c r="CX1097" i="1"/>
  <c r="CX1098" i="1"/>
  <c r="CX1099" i="1"/>
  <c r="CX1100" i="1"/>
  <c r="CX1101" i="1"/>
  <c r="CX1102" i="1"/>
  <c r="CX1103" i="1"/>
  <c r="CX1104" i="1"/>
  <c r="CX1105" i="1"/>
  <c r="CX1106" i="1"/>
  <c r="CX1108" i="1"/>
  <c r="CX1109" i="1"/>
  <c r="CX1110" i="1"/>
  <c r="CX1111" i="1"/>
  <c r="CX1112" i="1"/>
  <c r="CX1113" i="1"/>
  <c r="CX1115" i="1"/>
  <c r="CX1116" i="1"/>
  <c r="CX1117" i="1"/>
  <c r="CX1118" i="1"/>
  <c r="CX1120" i="1"/>
  <c r="CX1122" i="1"/>
  <c r="CX1123" i="1"/>
  <c r="CX1124" i="1"/>
  <c r="CX1126" i="1"/>
  <c r="CX1127" i="1"/>
  <c r="CX1128" i="1"/>
  <c r="CX1129" i="1"/>
  <c r="CX1130" i="1"/>
  <c r="CX1132" i="1"/>
  <c r="CX1133" i="1"/>
  <c r="CX1135" i="1"/>
  <c r="CX1136" i="1"/>
  <c r="CX1137" i="1"/>
  <c r="CX1138" i="1"/>
  <c r="CX1139" i="1"/>
  <c r="CX1140" i="1"/>
  <c r="CX1142" i="1"/>
  <c r="CX1143" i="1"/>
  <c r="CX1144" i="1"/>
  <c r="CX1145" i="1"/>
  <c r="CX1146" i="1"/>
  <c r="CX1147" i="1"/>
  <c r="CX1148" i="1"/>
  <c r="CX1149" i="1"/>
  <c r="CX1150" i="1"/>
  <c r="CX1152" i="1"/>
  <c r="CX1153" i="1"/>
  <c r="CX1154" i="1"/>
  <c r="CX1155" i="1"/>
  <c r="CX1157" i="1"/>
  <c r="CX1158" i="1"/>
  <c r="CX1159" i="1"/>
  <c r="CX1160" i="1"/>
  <c r="CX1161" i="1"/>
  <c r="CX1162" i="1"/>
  <c r="CX1163" i="1"/>
  <c r="CX1164" i="1"/>
  <c r="CX1165" i="1"/>
  <c r="CX1167" i="1"/>
  <c r="CX1168" i="1"/>
  <c r="CX1169" i="1"/>
  <c r="CX1170" i="1"/>
  <c r="CX1172" i="1"/>
  <c r="CX1173" i="1"/>
  <c r="CX1174" i="1"/>
  <c r="CX1175" i="1"/>
  <c r="CX1177" i="1"/>
  <c r="CX1178" i="1"/>
  <c r="CX1179" i="1"/>
  <c r="CX1180" i="1"/>
  <c r="CX1181" i="1"/>
  <c r="CX1182" i="1"/>
  <c r="CX1183" i="1"/>
  <c r="CX1185" i="1"/>
  <c r="CX1186" i="1"/>
  <c r="CX1187" i="1"/>
  <c r="CX1188" i="1"/>
  <c r="CX1189" i="1"/>
  <c r="CX1190" i="1"/>
  <c r="CX1192" i="1"/>
  <c r="CX1194" i="1"/>
  <c r="CX1195" i="1"/>
  <c r="CX1196" i="1"/>
  <c r="CX1199" i="1"/>
  <c r="CX1201" i="1"/>
  <c r="CX1202" i="1"/>
  <c r="CX1203" i="1"/>
  <c r="CX1204" i="1"/>
  <c r="CX1205" i="1"/>
  <c r="CX1206" i="1"/>
  <c r="CX1207" i="1"/>
  <c r="CX1209" i="1"/>
  <c r="CX1210" i="1"/>
  <c r="CX1211" i="1"/>
  <c r="CX1212" i="1"/>
  <c r="CX1213" i="1"/>
  <c r="CX1214" i="1"/>
  <c r="CX1215" i="1"/>
  <c r="CX1216" i="1"/>
  <c r="CX1217" i="1"/>
  <c r="CX1219" i="1"/>
  <c r="CX1220" i="1"/>
  <c r="CX1222" i="1"/>
  <c r="CX1223" i="1"/>
  <c r="CX1224" i="1"/>
  <c r="CX1225" i="1"/>
  <c r="CX1226" i="1"/>
  <c r="CX1227" i="1"/>
  <c r="CX1229" i="1"/>
  <c r="CX1230" i="1"/>
  <c r="CX1231" i="1"/>
  <c r="CX1232" i="1"/>
  <c r="CX1233" i="1"/>
  <c r="CX1234" i="1"/>
  <c r="CX1235" i="1"/>
  <c r="CX1236" i="1"/>
  <c r="CX1238" i="1"/>
  <c r="CX1240" i="1"/>
  <c r="CX1241" i="1"/>
  <c r="CX1242" i="1"/>
  <c r="CX1244" i="1"/>
  <c r="CX1245" i="1"/>
  <c r="CX1246" i="1"/>
  <c r="CX1247" i="1"/>
  <c r="CX1248" i="1"/>
  <c r="CX1250" i="1"/>
  <c r="CX1251" i="1"/>
  <c r="CX1252" i="1"/>
  <c r="CX1253" i="1"/>
  <c r="CX1254" i="1"/>
  <c r="CX1255" i="1"/>
  <c r="CX1256" i="1"/>
  <c r="CX1257" i="1"/>
  <c r="CX1258" i="1"/>
  <c r="CX1259" i="1"/>
  <c r="CX1261" i="1"/>
  <c r="CX1262" i="1"/>
  <c r="CX1263" i="1"/>
  <c r="CX1265" i="1"/>
  <c r="CX1266" i="1"/>
  <c r="CX1267" i="1"/>
  <c r="CX1268" i="1"/>
  <c r="CX1272" i="1"/>
  <c r="CX1274" i="1"/>
  <c r="CX1275" i="1"/>
  <c r="CX1276" i="1"/>
  <c r="CX1277" i="1"/>
  <c r="CX1278" i="1"/>
  <c r="CX1279" i="1"/>
  <c r="CX1280" i="1"/>
  <c r="CX1282" i="1"/>
  <c r="CX1283" i="1"/>
  <c r="CX1284" i="1"/>
  <c r="CX1285" i="1"/>
  <c r="CX1286" i="1"/>
  <c r="CX1287" i="1"/>
  <c r="CX1288" i="1"/>
  <c r="CX1289" i="1"/>
  <c r="CX1291" i="1"/>
  <c r="CX1292" i="1"/>
  <c r="CX1293" i="1"/>
  <c r="CX1294" i="1"/>
  <c r="CX1295" i="1"/>
  <c r="CX1296" i="1"/>
  <c r="CX1297" i="1"/>
  <c r="CX1298" i="1"/>
  <c r="CX1299" i="1"/>
  <c r="CX1300" i="1"/>
  <c r="CX1301" i="1"/>
  <c r="CX1303" i="1"/>
  <c r="CX1304" i="1"/>
  <c r="CX1305" i="1"/>
  <c r="CX1306" i="1"/>
  <c r="CX1307" i="1"/>
  <c r="CX1308" i="1"/>
  <c r="CX1309" i="1"/>
  <c r="CX1310" i="1"/>
  <c r="CX1311" i="1"/>
  <c r="CX1312" i="1"/>
  <c r="CX1313" i="1"/>
  <c r="CY67" i="1"/>
  <c r="CY68" i="1"/>
  <c r="CY69" i="1"/>
  <c r="CY70" i="1"/>
  <c r="CY71" i="1"/>
  <c r="CY72" i="1"/>
  <c r="CY73" i="1"/>
  <c r="CY74" i="1"/>
  <c r="CY76" i="1"/>
  <c r="CY77" i="1"/>
  <c r="CY78" i="1"/>
  <c r="CY79" i="1"/>
  <c r="CY80" i="1"/>
  <c r="CY81" i="1"/>
  <c r="CY82" i="1"/>
  <c r="CY84" i="1"/>
  <c r="CY85" i="1"/>
  <c r="CY86" i="1"/>
  <c r="CY87" i="1"/>
  <c r="CY88" i="1"/>
  <c r="CY89" i="1"/>
  <c r="CY90" i="1"/>
  <c r="CY91" i="1"/>
  <c r="CY92" i="1"/>
  <c r="CY93" i="1"/>
  <c r="CY94" i="1"/>
  <c r="CY95" i="1"/>
  <c r="CY96" i="1"/>
  <c r="CY97" i="1"/>
  <c r="CY98" i="1"/>
  <c r="CY101" i="1"/>
  <c r="CY103" i="1"/>
  <c r="CY104" i="1"/>
  <c r="CY105" i="1"/>
  <c r="CY106" i="1"/>
  <c r="CY107" i="1"/>
  <c r="CY108" i="1"/>
  <c r="CY109" i="1"/>
  <c r="CY111" i="1"/>
  <c r="CY112" i="1"/>
  <c r="CY113" i="1"/>
  <c r="CY114" i="1"/>
  <c r="CY115" i="1"/>
  <c r="CY116" i="1"/>
  <c r="CY117" i="1"/>
  <c r="CY118" i="1"/>
  <c r="CY119" i="1"/>
  <c r="CY120" i="1"/>
  <c r="CY122" i="1"/>
  <c r="CY124" i="1"/>
  <c r="CY125" i="1"/>
  <c r="CY126" i="1"/>
  <c r="CY129" i="1"/>
  <c r="CY131" i="1"/>
  <c r="CY132" i="1"/>
  <c r="CY136" i="1"/>
  <c r="CY138" i="1"/>
  <c r="CY139" i="1"/>
  <c r="CY140" i="1"/>
  <c r="CY141" i="1"/>
  <c r="CY142" i="1"/>
  <c r="CY144" i="1"/>
  <c r="CY145" i="1"/>
  <c r="CY146" i="1"/>
  <c r="CY147" i="1"/>
  <c r="CY148" i="1"/>
  <c r="CY149" i="1"/>
  <c r="CY151" i="1"/>
  <c r="CY152" i="1"/>
  <c r="CY153" i="1"/>
  <c r="CY154" i="1"/>
  <c r="CY155" i="1"/>
  <c r="CY156" i="1"/>
  <c r="CY157" i="1"/>
  <c r="CY158" i="1"/>
  <c r="CY160" i="1"/>
  <c r="CY161" i="1"/>
  <c r="CY162" i="1"/>
  <c r="CY163" i="1"/>
  <c r="CY165" i="1"/>
  <c r="CY166" i="1"/>
  <c r="CY167" i="1"/>
  <c r="CY168" i="1"/>
  <c r="CY169" i="1"/>
  <c r="CY170" i="1"/>
  <c r="CY172" i="1"/>
  <c r="CY173" i="1"/>
  <c r="CY175" i="1"/>
  <c r="CY176" i="1"/>
  <c r="CY177" i="1"/>
  <c r="CY178" i="1"/>
  <c r="CY179" i="1"/>
  <c r="CY180" i="1"/>
  <c r="CY181" i="1"/>
  <c r="CY182" i="1"/>
  <c r="CY183" i="1"/>
  <c r="CY184" i="1"/>
  <c r="CY186" i="1"/>
  <c r="CY187" i="1"/>
  <c r="CY188" i="1"/>
  <c r="CY189" i="1"/>
  <c r="CY190" i="1"/>
  <c r="CY191" i="1"/>
  <c r="CY192" i="1"/>
  <c r="CY193" i="1"/>
  <c r="CY195" i="1"/>
  <c r="CY196" i="1"/>
  <c r="CY197" i="1"/>
  <c r="CY198" i="1"/>
  <c r="CY200" i="1"/>
  <c r="CY201" i="1"/>
  <c r="CY202" i="1"/>
  <c r="CY203" i="1"/>
  <c r="CY204" i="1"/>
  <c r="CY205" i="1"/>
  <c r="CY206" i="1"/>
  <c r="CY207" i="1"/>
  <c r="CY209" i="1"/>
  <c r="CY210" i="1"/>
  <c r="CY211" i="1"/>
  <c r="CY212" i="1"/>
  <c r="CY213" i="1"/>
  <c r="CY214" i="1"/>
  <c r="CY215" i="1"/>
  <c r="CY218" i="1"/>
  <c r="CY219" i="1"/>
  <c r="CY220" i="1"/>
  <c r="CY221" i="1"/>
  <c r="CY222" i="1"/>
  <c r="CY225" i="1"/>
  <c r="CY226" i="1"/>
  <c r="CY227" i="1"/>
  <c r="CY228" i="1"/>
  <c r="CY229" i="1"/>
  <c r="CY231" i="1"/>
  <c r="CY232" i="1"/>
  <c r="CY233" i="1"/>
  <c r="CY234" i="1"/>
  <c r="CY235" i="1"/>
  <c r="CY236" i="1"/>
  <c r="CY237" i="1"/>
  <c r="CY238" i="1"/>
  <c r="CY240" i="1"/>
  <c r="CY241" i="1"/>
  <c r="CY242" i="1"/>
  <c r="CY243" i="1"/>
  <c r="CY244" i="1"/>
  <c r="CY245" i="1"/>
  <c r="CY246" i="1"/>
  <c r="CY247" i="1"/>
  <c r="CY249" i="1"/>
  <c r="CY250" i="1"/>
  <c r="CY251" i="1"/>
  <c r="CY252" i="1"/>
  <c r="CY253" i="1"/>
  <c r="CY254" i="1"/>
  <c r="CY255" i="1"/>
  <c r="CY256" i="1"/>
  <c r="CY258" i="1"/>
  <c r="CY259" i="1"/>
  <c r="CY260" i="1"/>
  <c r="CY261" i="1"/>
  <c r="CY262" i="1"/>
  <c r="CY263" i="1"/>
  <c r="CY264" i="1"/>
  <c r="CY265" i="1"/>
  <c r="CY266" i="1"/>
  <c r="CY268" i="1"/>
  <c r="CY269" i="1"/>
  <c r="CY270" i="1"/>
  <c r="CY271" i="1"/>
  <c r="CY272" i="1"/>
  <c r="CY273" i="1"/>
  <c r="CY274" i="1"/>
  <c r="CY275" i="1"/>
  <c r="CY276" i="1"/>
  <c r="CY278" i="1"/>
  <c r="CY279" i="1"/>
  <c r="CY280" i="1"/>
  <c r="CY281" i="1"/>
  <c r="CY282" i="1"/>
  <c r="CY283" i="1"/>
  <c r="CY285" i="1"/>
  <c r="CY286" i="1"/>
  <c r="CY287" i="1"/>
  <c r="CY288" i="1"/>
  <c r="CY291" i="1"/>
  <c r="CY292" i="1"/>
  <c r="CY293" i="1"/>
  <c r="CY294" i="1"/>
  <c r="CY296" i="1"/>
  <c r="CY297" i="1"/>
  <c r="CY298" i="1"/>
  <c r="CY299" i="1"/>
  <c r="CY300" i="1"/>
  <c r="CY301" i="1"/>
  <c r="CY302" i="1"/>
  <c r="CY303" i="1"/>
  <c r="CY305" i="1"/>
  <c r="CY306" i="1"/>
  <c r="CY307" i="1"/>
  <c r="CY308" i="1"/>
  <c r="CY309" i="1"/>
  <c r="CY310" i="1"/>
  <c r="CY311" i="1"/>
  <c r="CY312" i="1"/>
  <c r="CY313" i="1"/>
  <c r="CY314" i="1"/>
  <c r="CY316" i="1"/>
  <c r="CY317" i="1"/>
  <c r="CY318" i="1"/>
  <c r="CY319" i="1"/>
  <c r="CY320" i="1"/>
  <c r="CY321" i="1"/>
  <c r="CY322" i="1"/>
  <c r="CY323" i="1"/>
  <c r="CY324" i="1"/>
  <c r="CY325" i="1"/>
  <c r="CY326" i="1"/>
  <c r="CY327" i="1"/>
  <c r="CY329" i="1"/>
  <c r="CY330" i="1"/>
  <c r="CY332" i="1"/>
  <c r="CY333" i="1"/>
  <c r="CY334" i="1"/>
  <c r="CY335" i="1"/>
  <c r="CY336" i="1"/>
  <c r="CY337" i="1"/>
  <c r="CY338" i="1"/>
  <c r="CY340" i="1"/>
  <c r="CY341" i="1"/>
  <c r="CY342" i="1"/>
  <c r="CY343" i="1"/>
  <c r="CY344" i="1"/>
  <c r="CY345" i="1"/>
  <c r="CY346" i="1"/>
  <c r="CY347" i="1"/>
  <c r="CY348" i="1"/>
  <c r="CY349" i="1"/>
  <c r="CY351" i="1"/>
  <c r="CY352" i="1"/>
  <c r="CY353" i="1"/>
  <c r="CY354" i="1"/>
  <c r="CY355" i="1"/>
  <c r="CY356" i="1"/>
  <c r="CY358" i="1"/>
  <c r="CY359" i="1"/>
  <c r="CY360" i="1"/>
  <c r="CY361" i="1"/>
  <c r="CY362" i="1"/>
  <c r="CY363" i="1"/>
  <c r="CY364" i="1"/>
  <c r="CY365" i="1"/>
  <c r="CY367" i="1"/>
  <c r="CY368" i="1"/>
  <c r="CY369" i="1"/>
  <c r="CY371" i="1"/>
  <c r="CY372" i="1"/>
  <c r="CY373" i="1"/>
  <c r="CY375" i="1"/>
  <c r="CY376" i="1"/>
  <c r="CY378" i="1"/>
  <c r="CY379" i="1"/>
  <c r="CY380" i="1"/>
  <c r="CY381" i="1"/>
  <c r="CY382" i="1"/>
  <c r="CY383" i="1"/>
  <c r="CY385" i="1"/>
  <c r="CY386" i="1"/>
  <c r="CY387" i="1"/>
  <c r="CY388" i="1"/>
  <c r="CY389" i="1"/>
  <c r="CY390" i="1"/>
  <c r="CY391" i="1"/>
  <c r="CY393" i="1"/>
  <c r="CY394" i="1"/>
  <c r="CY395" i="1"/>
  <c r="CY396" i="1"/>
  <c r="CY397" i="1"/>
  <c r="CY398" i="1"/>
  <c r="CY399" i="1"/>
  <c r="CY400" i="1"/>
  <c r="CY401" i="1"/>
  <c r="CY403" i="1"/>
  <c r="CY404" i="1"/>
  <c r="CY405" i="1"/>
  <c r="CY406" i="1"/>
  <c r="CY407" i="1"/>
  <c r="CY408" i="1"/>
  <c r="CY409" i="1"/>
  <c r="CY410" i="1"/>
  <c r="CY411" i="1"/>
  <c r="CY413" i="1"/>
  <c r="CY414" i="1"/>
  <c r="CY415" i="1"/>
  <c r="CY416" i="1"/>
  <c r="CY417" i="1"/>
  <c r="CY418" i="1"/>
  <c r="CY421" i="1"/>
  <c r="CY422" i="1"/>
  <c r="CY423" i="1"/>
  <c r="CY424" i="1"/>
  <c r="CY425" i="1"/>
  <c r="CY426" i="1"/>
  <c r="CY427" i="1"/>
  <c r="CY428" i="1"/>
  <c r="CY430" i="1"/>
  <c r="CY431" i="1"/>
  <c r="CY432" i="1"/>
  <c r="CY433" i="1"/>
  <c r="CY434" i="1"/>
  <c r="CY435" i="1"/>
  <c r="CY436" i="1"/>
  <c r="CY438" i="1"/>
  <c r="CY439" i="1"/>
  <c r="CY440" i="1"/>
  <c r="CY441" i="1"/>
  <c r="CY442" i="1"/>
  <c r="CY443" i="1"/>
  <c r="CY445" i="1"/>
  <c r="CY446" i="1"/>
  <c r="CY447" i="1"/>
  <c r="CY448" i="1"/>
  <c r="CY449" i="1"/>
  <c r="CY450" i="1"/>
  <c r="CY451" i="1"/>
  <c r="CY452" i="1"/>
  <c r="CY454" i="1"/>
  <c r="CY455" i="1"/>
  <c r="CY456" i="1"/>
  <c r="CY457" i="1"/>
  <c r="CY459" i="1"/>
  <c r="CY460" i="1"/>
  <c r="CY461" i="1"/>
  <c r="CY462" i="1"/>
  <c r="CY463" i="1"/>
  <c r="CY464" i="1"/>
  <c r="CY465" i="1"/>
  <c r="CY466" i="1"/>
  <c r="CY468" i="1"/>
  <c r="CY469" i="1"/>
  <c r="CY470" i="1"/>
  <c r="CY471" i="1"/>
  <c r="CY472" i="1"/>
  <c r="CY473" i="1"/>
  <c r="CY474" i="1"/>
  <c r="CY475" i="1"/>
  <c r="CY476" i="1"/>
  <c r="CY478" i="1"/>
  <c r="CY479" i="1"/>
  <c r="CY480" i="1"/>
  <c r="CY481" i="1"/>
  <c r="CY482" i="1"/>
  <c r="CY483" i="1"/>
  <c r="CY485" i="1"/>
  <c r="CY486" i="1"/>
  <c r="CY487" i="1"/>
  <c r="CY488" i="1"/>
  <c r="CY489" i="1"/>
  <c r="CY490" i="1"/>
  <c r="CY491" i="1"/>
  <c r="CY492" i="1"/>
  <c r="CY493" i="1"/>
  <c r="CY495" i="1"/>
  <c r="CY496" i="1"/>
  <c r="CY497" i="1"/>
  <c r="CY498" i="1"/>
  <c r="CY499" i="1"/>
  <c r="CY500" i="1"/>
  <c r="CY502" i="1"/>
  <c r="CY503" i="1"/>
  <c r="CY504" i="1"/>
  <c r="CY505" i="1"/>
  <c r="CY506" i="1"/>
  <c r="CY507" i="1"/>
  <c r="CY508" i="1"/>
  <c r="CY510" i="1"/>
  <c r="CY511" i="1"/>
  <c r="CY512" i="1"/>
  <c r="CY514" i="1"/>
  <c r="CY515" i="1"/>
  <c r="CY516" i="1"/>
  <c r="CY517" i="1"/>
  <c r="CY518" i="1"/>
  <c r="CY520" i="1"/>
  <c r="CY521" i="1"/>
  <c r="CY522" i="1"/>
  <c r="CY523" i="1"/>
  <c r="CY524" i="1"/>
  <c r="CY525" i="1"/>
  <c r="CY526" i="1"/>
  <c r="CY527" i="1"/>
  <c r="CY529" i="1"/>
  <c r="CY530" i="1"/>
  <c r="CY531" i="1"/>
  <c r="CY532" i="1"/>
  <c r="CY533" i="1"/>
  <c r="CY534" i="1"/>
  <c r="CY535" i="1"/>
  <c r="CY536" i="1"/>
  <c r="CY538" i="1"/>
  <c r="CY539" i="1"/>
  <c r="CY540" i="1"/>
  <c r="CY541" i="1"/>
  <c r="CY542" i="1"/>
  <c r="CY543" i="1"/>
  <c r="CY544" i="1"/>
  <c r="CY545" i="1"/>
  <c r="CY546" i="1"/>
  <c r="CY548" i="1"/>
  <c r="CY549" i="1"/>
  <c r="CY550" i="1"/>
  <c r="CY551" i="1"/>
  <c r="CY552" i="1"/>
  <c r="CY553" i="1"/>
  <c r="CY554" i="1"/>
  <c r="CY555" i="1"/>
  <c r="CY557" i="1"/>
  <c r="CY558" i="1"/>
  <c r="CY559" i="1"/>
  <c r="CY560" i="1"/>
  <c r="CY561" i="1"/>
  <c r="CY562" i="1"/>
  <c r="CY564" i="1"/>
  <c r="CY565" i="1"/>
  <c r="CY566" i="1"/>
  <c r="CY567" i="1"/>
  <c r="CY569" i="1"/>
  <c r="CY570" i="1"/>
  <c r="CY572" i="1"/>
  <c r="CY573" i="1"/>
  <c r="CY574" i="1"/>
  <c r="CY576" i="1"/>
  <c r="CY577" i="1"/>
  <c r="CY578" i="1"/>
  <c r="CY579" i="1"/>
  <c r="CY580" i="1"/>
  <c r="CY581" i="1"/>
  <c r="CY583" i="1"/>
  <c r="CY584" i="1"/>
  <c r="CY586" i="1"/>
  <c r="CY587" i="1"/>
  <c r="CY588" i="1"/>
  <c r="CY590" i="1"/>
  <c r="CY591" i="1"/>
  <c r="CY592" i="1"/>
  <c r="CY593" i="1"/>
  <c r="CY594" i="1"/>
  <c r="CY595" i="1"/>
  <c r="CY596" i="1"/>
  <c r="CY597" i="1"/>
  <c r="CY598" i="1"/>
  <c r="CY600" i="1"/>
  <c r="CY601" i="1"/>
  <c r="CY603" i="1"/>
  <c r="CY604" i="1"/>
  <c r="CY605" i="1"/>
  <c r="CY607" i="1"/>
  <c r="CY608" i="1"/>
  <c r="CY609" i="1"/>
  <c r="CY610" i="1"/>
  <c r="CY611" i="1"/>
  <c r="CY612" i="1"/>
  <c r="CY614" i="1"/>
  <c r="CY615" i="1"/>
  <c r="CY616" i="1"/>
  <c r="CY617" i="1"/>
  <c r="CY618" i="1"/>
  <c r="CY619" i="1"/>
  <c r="CY620" i="1"/>
  <c r="CY622" i="1"/>
  <c r="CY623" i="1"/>
  <c r="CY624" i="1"/>
  <c r="CY625" i="1"/>
  <c r="CY626" i="1"/>
  <c r="CY628" i="1"/>
  <c r="CY629" i="1"/>
  <c r="CY630" i="1"/>
  <c r="CY631" i="1"/>
  <c r="CY632" i="1"/>
  <c r="CY633" i="1"/>
  <c r="CY634" i="1"/>
  <c r="CY636" i="1"/>
  <c r="CY637" i="1"/>
  <c r="CY638" i="1"/>
  <c r="CY639" i="1"/>
  <c r="CY641" i="1"/>
  <c r="CY643" i="1"/>
  <c r="CY644" i="1"/>
  <c r="CY645" i="1"/>
  <c r="CY647" i="1"/>
  <c r="CY648" i="1"/>
  <c r="CY649" i="1"/>
  <c r="CY650" i="1"/>
  <c r="CY651" i="1"/>
  <c r="CY652" i="1"/>
  <c r="CY654" i="1"/>
  <c r="CY655" i="1"/>
  <c r="CY656" i="1"/>
  <c r="CY657" i="1"/>
  <c r="CY658" i="1"/>
  <c r="CY659" i="1"/>
  <c r="CY660" i="1"/>
  <c r="CY662" i="1"/>
  <c r="CY663" i="1"/>
  <c r="CY665" i="1"/>
  <c r="CY666" i="1"/>
  <c r="CY667" i="1"/>
  <c r="CY669" i="1"/>
  <c r="CY670" i="1"/>
  <c r="CY671" i="1"/>
  <c r="CY672" i="1"/>
  <c r="CY674" i="1"/>
  <c r="CY675" i="1"/>
  <c r="CY676" i="1"/>
  <c r="CY677" i="1"/>
  <c r="CY678" i="1"/>
  <c r="CY679" i="1"/>
  <c r="CY681" i="1"/>
  <c r="CY682" i="1"/>
  <c r="CY683" i="1"/>
  <c r="CY684" i="1"/>
  <c r="CY685" i="1"/>
  <c r="CY686" i="1"/>
  <c r="CY687" i="1"/>
  <c r="CY688" i="1"/>
  <c r="CY689" i="1"/>
  <c r="CY690" i="1"/>
  <c r="CY691" i="1"/>
  <c r="CY693" i="1"/>
  <c r="CY694" i="1"/>
  <c r="CY695" i="1"/>
  <c r="CY696" i="1"/>
  <c r="CY698" i="1"/>
  <c r="CY699" i="1"/>
  <c r="CY703" i="1"/>
  <c r="CY704" i="1"/>
  <c r="CY706" i="1"/>
  <c r="CY707" i="1"/>
  <c r="CY708" i="1"/>
  <c r="CY709" i="1"/>
  <c r="CY711" i="1"/>
  <c r="CY712" i="1"/>
  <c r="CY713" i="1"/>
  <c r="CY714" i="1"/>
  <c r="CY715" i="1"/>
  <c r="CY716" i="1"/>
  <c r="CY717" i="1"/>
  <c r="CY718" i="1"/>
  <c r="CY720" i="1"/>
  <c r="CY721" i="1"/>
  <c r="CY723" i="1"/>
  <c r="CY724" i="1"/>
  <c r="CY725" i="1"/>
  <c r="CY726" i="1"/>
  <c r="CY729" i="1"/>
  <c r="CY731" i="1"/>
  <c r="CY732" i="1"/>
  <c r="CY733" i="1"/>
  <c r="CY734" i="1"/>
  <c r="CY735" i="1"/>
  <c r="CY736" i="1"/>
  <c r="CY738" i="1"/>
  <c r="CY739" i="1"/>
  <c r="CY740" i="1"/>
  <c r="CY741" i="1"/>
  <c r="CY742" i="1"/>
  <c r="CY743" i="1"/>
  <c r="CY744" i="1"/>
  <c r="CY745" i="1"/>
  <c r="CY748" i="1"/>
  <c r="CY750" i="1"/>
  <c r="CY751" i="1"/>
  <c r="CY752" i="1"/>
  <c r="CY753" i="1"/>
  <c r="CY754" i="1"/>
  <c r="CY755" i="1"/>
  <c r="CY756" i="1"/>
  <c r="CY758" i="1"/>
  <c r="CY760" i="1"/>
  <c r="CY761" i="1"/>
  <c r="CY763" i="1"/>
  <c r="CY764" i="1"/>
  <c r="CY766" i="1"/>
  <c r="CY767" i="1"/>
  <c r="CY768" i="1"/>
  <c r="CY769" i="1"/>
  <c r="CY774" i="1"/>
  <c r="CY775" i="1"/>
  <c r="CY777" i="1"/>
  <c r="CY778" i="1"/>
  <c r="CY779" i="1"/>
  <c r="CY780" i="1"/>
  <c r="CY782" i="1"/>
  <c r="CY783" i="1"/>
  <c r="CY784" i="1"/>
  <c r="CY785" i="1"/>
  <c r="CY786" i="1"/>
  <c r="CY787" i="1"/>
  <c r="CY789" i="1"/>
  <c r="CY790" i="1"/>
  <c r="CY791" i="1"/>
  <c r="CY793" i="1"/>
  <c r="CY794" i="1"/>
  <c r="CY795" i="1"/>
  <c r="CY796" i="1"/>
  <c r="CY797" i="1"/>
  <c r="CY798" i="1"/>
  <c r="CY800" i="1"/>
  <c r="CY801" i="1"/>
  <c r="CY802" i="1"/>
  <c r="CY803" i="1"/>
  <c r="CY804" i="1"/>
  <c r="CY805" i="1"/>
  <c r="CY806" i="1"/>
  <c r="CY807" i="1"/>
  <c r="CY808" i="1"/>
  <c r="CY810" i="1"/>
  <c r="CY811" i="1"/>
  <c r="CY812" i="1"/>
  <c r="CY813" i="1"/>
  <c r="CY814" i="1"/>
  <c r="CY815" i="1"/>
  <c r="CY816" i="1"/>
  <c r="CY818" i="1"/>
  <c r="CY819" i="1"/>
  <c r="CY820" i="1"/>
  <c r="CY822" i="1"/>
  <c r="CY823" i="1"/>
  <c r="CY824" i="1"/>
  <c r="CY825" i="1"/>
  <c r="CY826" i="1"/>
  <c r="CY827" i="1"/>
  <c r="CY829" i="1"/>
  <c r="CY830" i="1"/>
  <c r="CY831" i="1"/>
  <c r="CY832" i="1"/>
  <c r="CY834" i="1"/>
  <c r="CY835" i="1"/>
  <c r="CY836" i="1"/>
  <c r="CY838" i="1"/>
  <c r="CY839" i="1"/>
  <c r="CY840" i="1"/>
  <c r="CY841" i="1"/>
  <c r="CY842" i="1"/>
  <c r="CY843" i="1"/>
  <c r="CY845" i="1"/>
  <c r="CY846" i="1"/>
  <c r="CY847" i="1"/>
  <c r="CY848" i="1"/>
  <c r="CY849" i="1"/>
  <c r="CY850" i="1"/>
  <c r="CY852" i="1"/>
  <c r="CY854" i="1"/>
  <c r="CY855" i="1"/>
  <c r="CY856" i="1"/>
  <c r="CY857" i="1"/>
  <c r="CY859" i="1"/>
  <c r="CY860" i="1"/>
  <c r="CY862" i="1"/>
  <c r="CY863" i="1"/>
  <c r="CY864" i="1"/>
  <c r="CY865" i="1"/>
  <c r="CY866" i="1"/>
  <c r="CY867" i="1"/>
  <c r="CY868" i="1"/>
  <c r="CY869" i="1"/>
  <c r="CY870" i="1"/>
  <c r="CY873" i="1"/>
  <c r="CY874" i="1"/>
  <c r="CY875" i="1"/>
  <c r="CY876" i="1"/>
  <c r="CY877" i="1"/>
  <c r="CY878" i="1"/>
  <c r="CY879" i="1"/>
  <c r="CY880" i="1"/>
  <c r="CY881" i="1"/>
  <c r="CY884" i="1"/>
  <c r="CY886" i="1"/>
  <c r="CY887" i="1"/>
  <c r="CY888" i="1"/>
  <c r="CY889" i="1"/>
  <c r="CY890" i="1"/>
  <c r="CY891" i="1"/>
  <c r="CY892" i="1"/>
  <c r="CY893" i="1"/>
  <c r="CY894" i="1"/>
  <c r="CY895" i="1"/>
  <c r="CY897" i="1"/>
  <c r="CY898" i="1"/>
  <c r="CY899" i="1"/>
  <c r="CY900" i="1"/>
  <c r="CY901" i="1"/>
  <c r="CY902" i="1"/>
  <c r="CY904" i="1"/>
  <c r="CY905" i="1"/>
  <c r="CY906" i="1"/>
  <c r="CY908" i="1"/>
  <c r="CY909" i="1"/>
  <c r="CY910" i="1"/>
  <c r="CY911" i="1"/>
  <c r="CY912" i="1"/>
  <c r="CY913" i="1"/>
  <c r="CY915" i="1"/>
  <c r="CY916" i="1"/>
  <c r="CY917" i="1"/>
  <c r="CY918" i="1"/>
  <c r="CY919" i="1"/>
  <c r="CY921" i="1"/>
  <c r="CY922" i="1"/>
  <c r="CY923" i="1"/>
  <c r="CY924" i="1"/>
  <c r="CY925" i="1"/>
  <c r="CY927" i="1"/>
  <c r="CY928" i="1"/>
  <c r="CY929" i="1"/>
  <c r="CY930" i="1"/>
  <c r="CY931" i="1"/>
  <c r="CY932" i="1"/>
  <c r="CY933" i="1"/>
  <c r="CY935" i="1"/>
  <c r="CY936" i="1"/>
  <c r="CY937" i="1"/>
  <c r="CY938" i="1"/>
  <c r="CY939" i="1"/>
  <c r="CY940" i="1"/>
  <c r="CY941" i="1"/>
  <c r="CY943" i="1"/>
  <c r="CY944" i="1"/>
  <c r="CY945" i="1"/>
  <c r="CY947" i="1"/>
  <c r="CY948" i="1"/>
  <c r="CY950" i="1"/>
  <c r="CY951" i="1"/>
  <c r="CY952" i="1"/>
  <c r="CY953" i="1"/>
  <c r="CY954" i="1"/>
  <c r="CY955" i="1"/>
  <c r="CY956" i="1"/>
  <c r="CY957" i="1"/>
  <c r="CY958" i="1"/>
  <c r="CY960" i="1"/>
  <c r="CY961" i="1"/>
  <c r="CY962" i="1"/>
  <c r="CY963" i="1"/>
  <c r="CY964" i="1"/>
  <c r="CY965" i="1"/>
  <c r="CY966" i="1"/>
  <c r="CY967" i="1"/>
  <c r="CY969" i="1"/>
  <c r="CY970" i="1"/>
  <c r="CY971" i="1"/>
  <c r="CY972" i="1"/>
  <c r="CY973" i="1"/>
  <c r="CY974" i="1"/>
  <c r="CY975" i="1"/>
  <c r="CY977" i="1"/>
  <c r="CY978" i="1"/>
  <c r="CY979" i="1"/>
  <c r="CY980" i="1"/>
  <c r="CY981" i="1"/>
  <c r="CY983" i="1"/>
  <c r="CY985" i="1"/>
  <c r="CY986" i="1"/>
  <c r="CY987" i="1"/>
  <c r="CY989" i="1"/>
  <c r="CY990" i="1"/>
  <c r="CY991" i="1"/>
  <c r="CY992" i="1"/>
  <c r="CY993" i="1"/>
  <c r="CY994" i="1"/>
  <c r="CY996" i="1"/>
  <c r="CY997" i="1"/>
  <c r="CY998" i="1"/>
  <c r="CY999" i="1"/>
  <c r="CY1000" i="1"/>
  <c r="CY1001" i="1"/>
  <c r="CY1002" i="1"/>
  <c r="CY1003" i="1"/>
  <c r="CY1005" i="1"/>
  <c r="CY1006" i="1"/>
  <c r="CY1007" i="1"/>
  <c r="CY1008" i="1"/>
  <c r="CY1009" i="1"/>
  <c r="CY1010" i="1"/>
  <c r="CY1011" i="1"/>
  <c r="CY1013" i="1"/>
  <c r="CY1014" i="1"/>
  <c r="CY1015" i="1"/>
  <c r="CY1016" i="1"/>
  <c r="CY1017" i="1"/>
  <c r="CY1018" i="1"/>
  <c r="CY1019" i="1"/>
  <c r="CY1020" i="1"/>
  <c r="CY1021" i="1"/>
  <c r="CY1022" i="1"/>
  <c r="CY1023" i="1"/>
  <c r="CY1025" i="1"/>
  <c r="CY1026" i="1"/>
  <c r="CY1027" i="1"/>
  <c r="CY1028" i="1"/>
  <c r="CY1029" i="1"/>
  <c r="CY1030" i="1"/>
  <c r="CY1031" i="1"/>
  <c r="CY1032" i="1"/>
  <c r="CY1033" i="1"/>
  <c r="CY1035" i="1"/>
  <c r="CY1036" i="1"/>
  <c r="CY1037" i="1"/>
  <c r="CY1038" i="1"/>
  <c r="CY1039" i="1"/>
  <c r="CY1040" i="1"/>
  <c r="CY1041" i="1"/>
  <c r="CY1042" i="1"/>
  <c r="CY1043" i="1"/>
  <c r="CY1044" i="1"/>
  <c r="CY1046" i="1"/>
  <c r="CY1047" i="1"/>
  <c r="CY1048" i="1"/>
  <c r="CY1051" i="1"/>
  <c r="CY1053" i="1"/>
  <c r="CY1054" i="1"/>
  <c r="CY1055" i="1"/>
  <c r="CY1056" i="1"/>
  <c r="CY1057" i="1"/>
  <c r="CY1059" i="1"/>
  <c r="CY1060" i="1"/>
  <c r="CY1061" i="1"/>
  <c r="CY1062" i="1"/>
  <c r="CY1063" i="1"/>
  <c r="CY1064" i="1"/>
  <c r="CY1066" i="1"/>
  <c r="CY1067" i="1"/>
  <c r="CY1068" i="1"/>
  <c r="CY1069" i="1"/>
  <c r="CY1070" i="1"/>
  <c r="CY1071" i="1"/>
  <c r="CY1072" i="1"/>
  <c r="CY1073" i="1"/>
  <c r="CY1075" i="1"/>
  <c r="CY1076" i="1"/>
  <c r="CY1077" i="1"/>
  <c r="CY1079" i="1"/>
  <c r="CY1080" i="1"/>
  <c r="CY1081" i="1"/>
  <c r="CY1082" i="1"/>
  <c r="CY1083" i="1"/>
  <c r="CY1084" i="1"/>
  <c r="CY1086" i="1"/>
  <c r="CY1087" i="1"/>
  <c r="CY1088" i="1"/>
  <c r="CY1089" i="1"/>
  <c r="CY1090" i="1"/>
  <c r="CY1091" i="1"/>
  <c r="CY1092" i="1"/>
  <c r="CY1093" i="1"/>
  <c r="CY1094" i="1"/>
  <c r="CY1096" i="1"/>
  <c r="CY1097" i="1"/>
  <c r="CY1098" i="1"/>
  <c r="CY1099" i="1"/>
  <c r="CY1100" i="1"/>
  <c r="CY1101" i="1"/>
  <c r="CY1102" i="1"/>
  <c r="CY1103" i="1"/>
  <c r="CY1104" i="1"/>
  <c r="CY1105" i="1"/>
  <c r="CY1106" i="1"/>
  <c r="CY1108" i="1"/>
  <c r="CY1109" i="1"/>
  <c r="CY1110" i="1"/>
  <c r="CY1111" i="1"/>
  <c r="CY1112" i="1"/>
  <c r="CY1113" i="1"/>
  <c r="CY1115" i="1"/>
  <c r="CY1116" i="1"/>
  <c r="CY1117" i="1"/>
  <c r="CY1118" i="1"/>
  <c r="CY1120" i="1"/>
  <c r="CY1122" i="1"/>
  <c r="CY1123" i="1"/>
  <c r="CY1124" i="1"/>
  <c r="CY1126" i="1"/>
  <c r="CY1127" i="1"/>
  <c r="CY1128" i="1"/>
  <c r="CY1129" i="1"/>
  <c r="CY1130" i="1"/>
  <c r="CY1132" i="1"/>
  <c r="CY1133" i="1"/>
  <c r="CY1135" i="1"/>
  <c r="CY1136" i="1"/>
  <c r="CY1137" i="1"/>
  <c r="CY1138" i="1"/>
  <c r="CY1139" i="1"/>
  <c r="CY1140" i="1"/>
  <c r="CY1142" i="1"/>
  <c r="CY1143" i="1"/>
  <c r="CY1144" i="1"/>
  <c r="CY1145" i="1"/>
  <c r="CY1146" i="1"/>
  <c r="CY1147" i="1"/>
  <c r="CY1148" i="1"/>
  <c r="CY1149" i="1"/>
  <c r="CY1150" i="1"/>
  <c r="CY1152" i="1"/>
  <c r="CY1153" i="1"/>
  <c r="CY1154" i="1"/>
  <c r="CY1155" i="1"/>
  <c r="CY1157" i="1"/>
  <c r="CY1158" i="1"/>
  <c r="CY1159" i="1"/>
  <c r="CY1160" i="1"/>
  <c r="CY1161" i="1"/>
  <c r="CY1162" i="1"/>
  <c r="CY1163" i="1"/>
  <c r="CY1164" i="1"/>
  <c r="CY1165" i="1"/>
  <c r="CY1167" i="1"/>
  <c r="CY1168" i="1"/>
  <c r="CY1169" i="1"/>
  <c r="CY1170" i="1"/>
  <c r="CY1172" i="1"/>
  <c r="CY1173" i="1"/>
  <c r="CY1174" i="1"/>
  <c r="CY1175" i="1"/>
  <c r="CY1177" i="1"/>
  <c r="CY1178" i="1"/>
  <c r="CY1179" i="1"/>
  <c r="CY1180" i="1"/>
  <c r="CY1181" i="1"/>
  <c r="CY1182" i="1"/>
  <c r="CY1183" i="1"/>
  <c r="CY1185" i="1"/>
  <c r="CY1186" i="1"/>
  <c r="CY1187" i="1"/>
  <c r="CY1188" i="1"/>
  <c r="CY1189" i="1"/>
  <c r="CY1190" i="1"/>
  <c r="CY1192" i="1"/>
  <c r="CY1194" i="1"/>
  <c r="CY1195" i="1"/>
  <c r="CY1196" i="1"/>
  <c r="CY1199" i="1"/>
  <c r="CY1201" i="1"/>
  <c r="CY1202" i="1"/>
  <c r="CY1203" i="1"/>
  <c r="CY1204" i="1"/>
  <c r="CY1205" i="1"/>
  <c r="CY1206" i="1"/>
  <c r="CY1207" i="1"/>
  <c r="CY1209" i="1"/>
  <c r="CY1210" i="1"/>
  <c r="CY1211" i="1"/>
  <c r="CY1212" i="1"/>
  <c r="CY1213" i="1"/>
  <c r="CY1214" i="1"/>
  <c r="CY1215" i="1"/>
  <c r="CY1216" i="1"/>
  <c r="CY1217" i="1"/>
  <c r="CY1219" i="1"/>
  <c r="CY1220" i="1"/>
  <c r="CY1222" i="1"/>
  <c r="CY1223" i="1"/>
  <c r="CY1224" i="1"/>
  <c r="CY1225" i="1"/>
  <c r="CY1226" i="1"/>
  <c r="CY1227" i="1"/>
  <c r="CY1229" i="1"/>
  <c r="CY1230" i="1"/>
  <c r="CY1231" i="1"/>
  <c r="CY1232" i="1"/>
  <c r="CY1233" i="1"/>
  <c r="CY1234" i="1"/>
  <c r="CY1235" i="1"/>
  <c r="CY1236" i="1"/>
  <c r="CY1238" i="1"/>
  <c r="CY1240" i="1"/>
  <c r="CY1241" i="1"/>
  <c r="CY1242" i="1"/>
  <c r="CY1244" i="1"/>
  <c r="CY1245" i="1"/>
  <c r="CY1246" i="1"/>
  <c r="CY1247" i="1"/>
  <c r="CY1248" i="1"/>
  <c r="CY1250" i="1"/>
  <c r="CY1251" i="1"/>
  <c r="CY1252" i="1"/>
  <c r="CY1253" i="1"/>
  <c r="CY1254" i="1"/>
  <c r="CY1255" i="1"/>
  <c r="CY1256" i="1"/>
  <c r="CY1257" i="1"/>
  <c r="CY1258" i="1"/>
  <c r="CY1259" i="1"/>
  <c r="CY1261" i="1"/>
  <c r="CY1262" i="1"/>
  <c r="CY1263" i="1"/>
  <c r="CY1265" i="1"/>
  <c r="CY1266" i="1"/>
  <c r="CY1267" i="1"/>
  <c r="CY1268" i="1"/>
  <c r="CY1272" i="1"/>
  <c r="CY1274" i="1"/>
  <c r="CY1275" i="1"/>
  <c r="CY1276" i="1"/>
  <c r="CY1277" i="1"/>
  <c r="CY1278" i="1"/>
  <c r="CY1279" i="1"/>
  <c r="CY1280" i="1"/>
  <c r="CY1282" i="1"/>
  <c r="CY1283" i="1"/>
  <c r="CY1284" i="1"/>
  <c r="CY1285" i="1"/>
  <c r="CY1286" i="1"/>
  <c r="CY1287" i="1"/>
  <c r="CY1288" i="1"/>
  <c r="CY1289" i="1"/>
  <c r="CY1291" i="1"/>
  <c r="CY1292" i="1"/>
  <c r="CY1293" i="1"/>
  <c r="CY1294" i="1"/>
  <c r="CY1295" i="1"/>
  <c r="CY1296" i="1"/>
  <c r="CY1297" i="1"/>
  <c r="CY1298" i="1"/>
  <c r="CY1299" i="1"/>
  <c r="CY1300" i="1"/>
  <c r="CY1301" i="1"/>
  <c r="CY1303" i="1"/>
  <c r="CY1304" i="1"/>
  <c r="CY1305" i="1"/>
  <c r="CY1306" i="1"/>
  <c r="CY1307" i="1"/>
  <c r="CY1308" i="1"/>
  <c r="CY1309" i="1"/>
  <c r="CY1310" i="1"/>
  <c r="CY1311" i="1"/>
  <c r="CY1312" i="1"/>
  <c r="CY1313" i="1"/>
  <c r="CZ67" i="1"/>
  <c r="CZ68" i="1"/>
  <c r="CZ69" i="1"/>
  <c r="CZ70" i="1"/>
  <c r="CZ71" i="1"/>
  <c r="CZ72" i="1"/>
  <c r="CZ73" i="1"/>
  <c r="CZ74" i="1"/>
  <c r="CZ76" i="1"/>
  <c r="CZ77" i="1"/>
  <c r="CZ78" i="1"/>
  <c r="CZ79" i="1"/>
  <c r="CZ80" i="1"/>
  <c r="CZ81" i="1"/>
  <c r="CZ82" i="1"/>
  <c r="CZ84" i="1"/>
  <c r="CZ85" i="1"/>
  <c r="CZ86" i="1"/>
  <c r="CZ87" i="1"/>
  <c r="CZ88" i="1"/>
  <c r="CZ89" i="1"/>
  <c r="CZ90" i="1"/>
  <c r="CZ93" i="1"/>
  <c r="CZ94" i="1"/>
  <c r="CZ95" i="1"/>
  <c r="CZ96" i="1"/>
  <c r="CZ97" i="1"/>
  <c r="CZ98" i="1"/>
  <c r="CZ101" i="1"/>
  <c r="CZ103" i="1"/>
  <c r="CZ104" i="1"/>
  <c r="CZ105" i="1"/>
  <c r="CZ106" i="1"/>
  <c r="CZ107" i="1"/>
  <c r="CZ108" i="1"/>
  <c r="CZ109" i="1"/>
  <c r="CZ111" i="1"/>
  <c r="CZ112" i="1"/>
  <c r="CZ113" i="1"/>
  <c r="CZ114" i="1"/>
  <c r="CZ115" i="1"/>
  <c r="CZ116" i="1"/>
  <c r="CZ117" i="1"/>
  <c r="CZ118" i="1"/>
  <c r="CZ119" i="1"/>
  <c r="CZ120" i="1"/>
  <c r="CZ122" i="1"/>
  <c r="CZ124" i="1"/>
  <c r="CZ125" i="1"/>
  <c r="CZ126" i="1"/>
  <c r="CZ129" i="1"/>
  <c r="CZ131" i="1"/>
  <c r="CZ132" i="1"/>
  <c r="CZ136" i="1"/>
  <c r="CZ138" i="1"/>
  <c r="CZ139" i="1"/>
  <c r="CZ140" i="1"/>
  <c r="CZ141" i="1"/>
  <c r="CZ142" i="1"/>
  <c r="CZ144" i="1"/>
  <c r="CZ145" i="1"/>
  <c r="CZ146" i="1"/>
  <c r="CZ147" i="1"/>
  <c r="CZ148" i="1"/>
  <c r="CZ149" i="1"/>
  <c r="CZ151" i="1"/>
  <c r="CZ152" i="1"/>
  <c r="CZ153" i="1"/>
  <c r="CZ154" i="1"/>
  <c r="CZ155" i="1"/>
  <c r="CZ156" i="1"/>
  <c r="CZ157" i="1"/>
  <c r="CZ158" i="1"/>
  <c r="CZ160" i="1"/>
  <c r="CZ161" i="1"/>
  <c r="CZ162" i="1"/>
  <c r="CZ163" i="1"/>
  <c r="CZ165" i="1"/>
  <c r="CZ166" i="1"/>
  <c r="CZ167" i="1"/>
  <c r="CZ168" i="1"/>
  <c r="CZ169" i="1"/>
  <c r="CZ170" i="1"/>
  <c r="CZ172" i="1"/>
  <c r="CZ173" i="1"/>
  <c r="CZ175" i="1"/>
  <c r="CZ176" i="1"/>
  <c r="CZ177" i="1"/>
  <c r="CZ178" i="1"/>
  <c r="CZ179" i="1"/>
  <c r="CZ180" i="1"/>
  <c r="CZ181" i="1"/>
  <c r="CZ182" i="1"/>
  <c r="CZ183" i="1"/>
  <c r="CZ184" i="1"/>
  <c r="CZ186" i="1"/>
  <c r="CZ187" i="1"/>
  <c r="CZ188" i="1"/>
  <c r="CZ189" i="1"/>
  <c r="CZ190" i="1"/>
  <c r="CZ191" i="1"/>
  <c r="CZ192" i="1"/>
  <c r="CZ193" i="1"/>
  <c r="CZ195" i="1"/>
  <c r="CZ196" i="1"/>
  <c r="CZ197" i="1"/>
  <c r="CZ198" i="1"/>
  <c r="CZ200" i="1"/>
  <c r="CZ201" i="1"/>
  <c r="CZ202" i="1"/>
  <c r="CZ203" i="1"/>
  <c r="CZ204" i="1"/>
  <c r="CZ205" i="1"/>
  <c r="CZ206" i="1"/>
  <c r="CZ207" i="1"/>
  <c r="CZ209" i="1"/>
  <c r="CZ210" i="1"/>
  <c r="CZ211" i="1"/>
  <c r="CZ212" i="1"/>
  <c r="CZ213" i="1"/>
  <c r="CZ214" i="1"/>
  <c r="CZ215" i="1"/>
  <c r="CZ218" i="1"/>
  <c r="CZ219" i="1"/>
  <c r="CZ220" i="1"/>
  <c r="CZ221" i="1"/>
  <c r="CZ222" i="1"/>
  <c r="CZ224" i="1"/>
  <c r="CZ225" i="1"/>
  <c r="CZ226" i="1"/>
  <c r="CZ227" i="1"/>
  <c r="CZ228" i="1"/>
  <c r="CZ229" i="1"/>
  <c r="CZ231" i="1"/>
  <c r="CZ232" i="1"/>
  <c r="CZ233" i="1"/>
  <c r="CZ234" i="1"/>
  <c r="CZ235" i="1"/>
  <c r="CZ236" i="1"/>
  <c r="CZ237" i="1"/>
  <c r="CZ238" i="1"/>
  <c r="CZ240" i="1"/>
  <c r="CZ241" i="1"/>
  <c r="CZ242" i="1"/>
  <c r="CZ243" i="1"/>
  <c r="CZ244" i="1"/>
  <c r="CZ245" i="1"/>
  <c r="CZ246" i="1"/>
  <c r="CZ247" i="1"/>
  <c r="CZ249" i="1"/>
  <c r="CZ250" i="1"/>
  <c r="CZ251" i="1"/>
  <c r="CZ252" i="1"/>
  <c r="CZ253" i="1"/>
  <c r="CZ254" i="1"/>
  <c r="CZ255" i="1"/>
  <c r="CZ256" i="1"/>
  <c r="CZ258" i="1"/>
  <c r="CZ259" i="1"/>
  <c r="CZ260" i="1"/>
  <c r="CZ261" i="1"/>
  <c r="CZ262" i="1"/>
  <c r="CZ263" i="1"/>
  <c r="CZ264" i="1"/>
  <c r="CZ265" i="1"/>
  <c r="CZ266" i="1"/>
  <c r="CZ268" i="1"/>
  <c r="CZ269" i="1"/>
  <c r="CZ270" i="1"/>
  <c r="CZ271" i="1"/>
  <c r="CZ272" i="1"/>
  <c r="CZ273" i="1"/>
  <c r="CZ274" i="1"/>
  <c r="CZ275" i="1"/>
  <c r="CZ276" i="1"/>
  <c r="CZ278" i="1"/>
  <c r="CZ279" i="1"/>
  <c r="CZ280" i="1"/>
  <c r="CZ281" i="1"/>
  <c r="CZ282" i="1"/>
  <c r="CZ283" i="1"/>
  <c r="CZ285" i="1"/>
  <c r="CZ286" i="1"/>
  <c r="CZ287" i="1"/>
  <c r="CZ288" i="1"/>
  <c r="CZ291" i="1"/>
  <c r="CZ292" i="1"/>
  <c r="CZ293" i="1"/>
  <c r="CZ294" i="1"/>
  <c r="CZ296" i="1"/>
  <c r="CZ297" i="1"/>
  <c r="CZ298" i="1"/>
  <c r="CZ299" i="1"/>
  <c r="CZ300" i="1"/>
  <c r="CZ301" i="1"/>
  <c r="CZ302" i="1"/>
  <c r="CZ303" i="1"/>
  <c r="CZ305" i="1"/>
  <c r="CZ306" i="1"/>
  <c r="CZ307" i="1"/>
  <c r="CZ308" i="1"/>
  <c r="CZ309" i="1"/>
  <c r="CZ310" i="1"/>
  <c r="CZ311" i="1"/>
  <c r="CZ312" i="1"/>
  <c r="CZ313" i="1"/>
  <c r="CZ314" i="1"/>
  <c r="CZ316" i="1"/>
  <c r="CZ317" i="1"/>
  <c r="CZ318" i="1"/>
  <c r="CZ319" i="1"/>
  <c r="CZ320" i="1"/>
  <c r="CZ321" i="1"/>
  <c r="CZ322" i="1"/>
  <c r="CZ323" i="1"/>
  <c r="CZ324" i="1"/>
  <c r="CZ325" i="1"/>
  <c r="CZ326" i="1"/>
  <c r="CZ327" i="1"/>
  <c r="CZ329" i="1"/>
  <c r="CZ330" i="1"/>
  <c r="CZ332" i="1"/>
  <c r="CZ333" i="1"/>
  <c r="CZ334" i="1"/>
  <c r="CZ335" i="1"/>
  <c r="CZ336" i="1"/>
  <c r="CZ337" i="1"/>
  <c r="CZ338" i="1"/>
  <c r="CZ340" i="1"/>
  <c r="CZ341" i="1"/>
  <c r="CZ342" i="1"/>
  <c r="CZ343" i="1"/>
  <c r="CZ344" i="1"/>
  <c r="CZ345" i="1"/>
  <c r="CZ346" i="1"/>
  <c r="CZ347" i="1"/>
  <c r="CZ348" i="1"/>
  <c r="CZ349" i="1"/>
  <c r="CZ351" i="1"/>
  <c r="CZ352" i="1"/>
  <c r="CZ353" i="1"/>
  <c r="CZ354" i="1"/>
  <c r="CZ355" i="1"/>
  <c r="CZ356" i="1"/>
  <c r="CZ358" i="1"/>
  <c r="CZ359" i="1"/>
  <c r="CZ360" i="1"/>
  <c r="CZ361" i="1"/>
  <c r="CZ362" i="1"/>
  <c r="CZ363" i="1"/>
  <c r="CZ364" i="1"/>
  <c r="CZ365" i="1"/>
  <c r="CZ367" i="1"/>
  <c r="CZ368" i="1"/>
  <c r="CZ369" i="1"/>
  <c r="CZ371" i="1"/>
  <c r="CZ372" i="1"/>
  <c r="CZ373" i="1"/>
  <c r="CZ375" i="1"/>
  <c r="CZ376" i="1"/>
  <c r="CZ378" i="1"/>
  <c r="CZ379" i="1"/>
  <c r="CZ380" i="1"/>
  <c r="CZ381" i="1"/>
  <c r="CZ382" i="1"/>
  <c r="CZ383" i="1"/>
  <c r="CZ385" i="1"/>
  <c r="CZ386" i="1"/>
  <c r="CZ387" i="1"/>
  <c r="CZ388" i="1"/>
  <c r="CZ389" i="1"/>
  <c r="CZ390" i="1"/>
  <c r="CZ391" i="1"/>
  <c r="CZ393" i="1"/>
  <c r="CZ394" i="1"/>
  <c r="CZ395" i="1"/>
  <c r="CZ396" i="1"/>
  <c r="CZ397" i="1"/>
  <c r="CZ398" i="1"/>
  <c r="CZ399" i="1"/>
  <c r="CZ400" i="1"/>
  <c r="CZ401" i="1"/>
  <c r="CZ403" i="1"/>
  <c r="CZ404" i="1"/>
  <c r="CZ405" i="1"/>
  <c r="CZ406" i="1"/>
  <c r="CZ407" i="1"/>
  <c r="CZ408" i="1"/>
  <c r="CZ409" i="1"/>
  <c r="CZ410" i="1"/>
  <c r="CZ411" i="1"/>
  <c r="CZ413" i="1"/>
  <c r="CZ414" i="1"/>
  <c r="CZ415" i="1"/>
  <c r="CZ416" i="1"/>
  <c r="CZ417" i="1"/>
  <c r="CZ418" i="1"/>
  <c r="CZ421" i="1"/>
  <c r="CZ422" i="1"/>
  <c r="CZ423" i="1"/>
  <c r="CZ424" i="1"/>
  <c r="CZ425" i="1"/>
  <c r="CZ426" i="1"/>
  <c r="CZ427" i="1"/>
  <c r="CZ428" i="1"/>
  <c r="CZ431" i="1"/>
  <c r="CZ432" i="1"/>
  <c r="CZ433" i="1"/>
  <c r="CZ434" i="1"/>
  <c r="CZ435" i="1"/>
  <c r="CZ436" i="1"/>
  <c r="CZ438" i="1"/>
  <c r="CZ439" i="1"/>
  <c r="CZ440" i="1"/>
  <c r="CZ441" i="1"/>
  <c r="CZ442" i="1"/>
  <c r="CZ443" i="1"/>
  <c r="CZ445" i="1"/>
  <c r="CZ446" i="1"/>
  <c r="CZ447" i="1"/>
  <c r="CZ448" i="1"/>
  <c r="CZ449" i="1"/>
  <c r="CZ450" i="1"/>
  <c r="CZ451" i="1"/>
  <c r="CZ452" i="1"/>
  <c r="CZ454" i="1"/>
  <c r="CZ455" i="1"/>
  <c r="CZ456" i="1"/>
  <c r="CZ457" i="1"/>
  <c r="CZ459" i="1"/>
  <c r="CZ460" i="1"/>
  <c r="CZ461" i="1"/>
  <c r="CZ462" i="1"/>
  <c r="CZ463" i="1"/>
  <c r="CZ464" i="1"/>
  <c r="CZ465" i="1"/>
  <c r="CZ466" i="1"/>
  <c r="CZ468" i="1"/>
  <c r="CZ469" i="1"/>
  <c r="CZ470" i="1"/>
  <c r="CZ471" i="1"/>
  <c r="CZ472" i="1"/>
  <c r="CZ473" i="1"/>
  <c r="CZ474" i="1"/>
  <c r="CZ475" i="1"/>
  <c r="CZ476" i="1"/>
  <c r="CZ478" i="1"/>
  <c r="CZ479" i="1"/>
  <c r="CZ480" i="1"/>
  <c r="CZ481" i="1"/>
  <c r="CZ482" i="1"/>
  <c r="CZ483" i="1"/>
  <c r="CZ485" i="1"/>
  <c r="CZ486" i="1"/>
  <c r="CZ487" i="1"/>
  <c r="CZ488" i="1"/>
  <c r="CZ489" i="1"/>
  <c r="CZ490" i="1"/>
  <c r="CZ491" i="1"/>
  <c r="CZ492" i="1"/>
  <c r="CZ493" i="1"/>
  <c r="CZ495" i="1"/>
  <c r="CZ496" i="1"/>
  <c r="CZ497" i="1"/>
  <c r="CZ498" i="1"/>
  <c r="CZ499" i="1"/>
  <c r="CZ500" i="1"/>
  <c r="CZ502" i="1"/>
  <c r="CZ503" i="1"/>
  <c r="CZ504" i="1"/>
  <c r="CZ505" i="1"/>
  <c r="CZ506" i="1"/>
  <c r="CZ507" i="1"/>
  <c r="CZ508" i="1"/>
  <c r="CZ510" i="1"/>
  <c r="CZ511" i="1"/>
  <c r="CZ512" i="1"/>
  <c r="CZ514" i="1"/>
  <c r="CZ515" i="1"/>
  <c r="CZ516" i="1"/>
  <c r="CZ517" i="1"/>
  <c r="CZ518" i="1"/>
  <c r="CZ520" i="1"/>
  <c r="CZ521" i="1"/>
  <c r="CZ522" i="1"/>
  <c r="CZ523" i="1"/>
  <c r="CZ524" i="1"/>
  <c r="CZ525" i="1"/>
  <c r="CZ526" i="1"/>
  <c r="CZ527" i="1"/>
  <c r="CZ529" i="1"/>
  <c r="CZ530" i="1"/>
  <c r="CZ531" i="1"/>
  <c r="CZ532" i="1"/>
  <c r="CZ533" i="1"/>
  <c r="CZ534" i="1"/>
  <c r="CZ535" i="1"/>
  <c r="CZ536" i="1"/>
  <c r="CZ538" i="1"/>
  <c r="CZ539" i="1"/>
  <c r="CZ540" i="1"/>
  <c r="CZ541" i="1"/>
  <c r="CZ542" i="1"/>
  <c r="CZ543" i="1"/>
  <c r="CZ544" i="1"/>
  <c r="CZ545" i="1"/>
  <c r="CZ546" i="1"/>
  <c r="CZ548" i="1"/>
  <c r="CZ549" i="1"/>
  <c r="CZ550" i="1"/>
  <c r="CZ551" i="1"/>
  <c r="CZ552" i="1"/>
  <c r="CZ553" i="1"/>
  <c r="CZ554" i="1"/>
  <c r="CZ555" i="1"/>
  <c r="CZ557" i="1"/>
  <c r="CZ558" i="1"/>
  <c r="CZ559" i="1"/>
  <c r="CZ560" i="1"/>
  <c r="CZ561" i="1"/>
  <c r="CZ562" i="1"/>
  <c r="CZ564" i="1"/>
  <c r="CZ565" i="1"/>
  <c r="CZ566" i="1"/>
  <c r="CZ567" i="1"/>
  <c r="CZ569" i="1"/>
  <c r="CZ570" i="1"/>
  <c r="CZ572" i="1"/>
  <c r="CZ573" i="1"/>
  <c r="CZ574" i="1"/>
  <c r="CZ576" i="1"/>
  <c r="CZ577" i="1"/>
  <c r="CZ578" i="1"/>
  <c r="CZ579" i="1"/>
  <c r="CZ580" i="1"/>
  <c r="CZ581" i="1"/>
  <c r="CZ583" i="1"/>
  <c r="CZ584" i="1"/>
  <c r="CZ586" i="1"/>
  <c r="CZ587" i="1"/>
  <c r="CZ588" i="1"/>
  <c r="CZ590" i="1"/>
  <c r="CZ591" i="1"/>
  <c r="CZ592" i="1"/>
  <c r="CZ593" i="1"/>
  <c r="CZ594" i="1"/>
  <c r="CZ595" i="1"/>
  <c r="CZ596" i="1"/>
  <c r="CZ597" i="1"/>
  <c r="CZ598" i="1"/>
  <c r="CZ600" i="1"/>
  <c r="CZ601" i="1"/>
  <c r="CZ603" i="1"/>
  <c r="CZ604" i="1"/>
  <c r="CZ605" i="1"/>
  <c r="CZ607" i="1"/>
  <c r="CZ608" i="1"/>
  <c r="CZ609" i="1"/>
  <c r="CZ610" i="1"/>
  <c r="CZ611" i="1"/>
  <c r="CZ612" i="1"/>
  <c r="CZ614" i="1"/>
  <c r="CZ615" i="1"/>
  <c r="CZ617" i="1"/>
  <c r="CZ618" i="1"/>
  <c r="CZ619" i="1"/>
  <c r="CZ620" i="1"/>
  <c r="CZ622" i="1"/>
  <c r="CZ623" i="1"/>
  <c r="CZ624" i="1"/>
  <c r="CZ625" i="1"/>
  <c r="CZ626" i="1"/>
  <c r="CZ628" i="1"/>
  <c r="CZ629" i="1"/>
  <c r="CZ630" i="1"/>
  <c r="CZ631" i="1"/>
  <c r="CZ632" i="1"/>
  <c r="CZ633" i="1"/>
  <c r="CZ634" i="1"/>
  <c r="CZ636" i="1"/>
  <c r="CZ637" i="1"/>
  <c r="CZ638" i="1"/>
  <c r="CZ639" i="1"/>
  <c r="CZ641" i="1"/>
  <c r="CZ643" i="1"/>
  <c r="CZ644" i="1"/>
  <c r="CZ645" i="1"/>
  <c r="CZ647" i="1"/>
  <c r="CZ648" i="1"/>
  <c r="CZ649" i="1"/>
  <c r="CZ650" i="1"/>
  <c r="CZ651" i="1"/>
  <c r="CZ652" i="1"/>
  <c r="CZ654" i="1"/>
  <c r="CZ655" i="1"/>
  <c r="CZ656" i="1"/>
  <c r="CZ657" i="1"/>
  <c r="CZ658" i="1"/>
  <c r="CZ659" i="1"/>
  <c r="CZ660" i="1"/>
  <c r="CZ662" i="1"/>
  <c r="CZ663" i="1"/>
  <c r="CZ665" i="1"/>
  <c r="CZ666" i="1"/>
  <c r="CZ667" i="1"/>
  <c r="CZ669" i="1"/>
  <c r="CZ670" i="1"/>
  <c r="CZ671" i="1"/>
  <c r="CZ672" i="1"/>
  <c r="CZ674" i="1"/>
  <c r="CZ675" i="1"/>
  <c r="CZ676" i="1"/>
  <c r="CZ677" i="1"/>
  <c r="CZ678" i="1"/>
  <c r="CZ679" i="1"/>
  <c r="CZ681" i="1"/>
  <c r="CZ682" i="1"/>
  <c r="CZ683" i="1"/>
  <c r="CZ684" i="1"/>
  <c r="CZ685" i="1"/>
  <c r="CZ686" i="1"/>
  <c r="CZ687" i="1"/>
  <c r="CZ688" i="1"/>
  <c r="CZ689" i="1"/>
  <c r="CZ690" i="1"/>
  <c r="CZ691" i="1"/>
  <c r="CZ693" i="1"/>
  <c r="CZ694" i="1"/>
  <c r="CZ695" i="1"/>
  <c r="CZ696" i="1"/>
  <c r="CZ698" i="1"/>
  <c r="CZ699" i="1"/>
  <c r="CZ703" i="1"/>
  <c r="CZ704" i="1"/>
  <c r="CZ706" i="1"/>
  <c r="CZ707" i="1"/>
  <c r="CZ708" i="1"/>
  <c r="CZ709" i="1"/>
  <c r="CZ711" i="1"/>
  <c r="CZ712" i="1"/>
  <c r="CZ713" i="1"/>
  <c r="CZ714" i="1"/>
  <c r="CZ715" i="1"/>
  <c r="CZ716" i="1"/>
  <c r="CZ717" i="1"/>
  <c r="CZ718" i="1"/>
  <c r="CZ720" i="1"/>
  <c r="CZ721" i="1"/>
  <c r="CZ723" i="1"/>
  <c r="CZ724" i="1"/>
  <c r="CZ725" i="1"/>
  <c r="CZ726" i="1"/>
  <c r="CZ729" i="1"/>
  <c r="CZ731" i="1"/>
  <c r="CZ732" i="1"/>
  <c r="CZ733" i="1"/>
  <c r="CZ734" i="1"/>
  <c r="CZ735" i="1"/>
  <c r="CZ736" i="1"/>
  <c r="CZ738" i="1"/>
  <c r="CZ739" i="1"/>
  <c r="CZ740" i="1"/>
  <c r="CZ741" i="1"/>
  <c r="CZ742" i="1"/>
  <c r="CZ743" i="1"/>
  <c r="CZ744" i="1"/>
  <c r="CZ745" i="1"/>
  <c r="CZ748" i="1"/>
  <c r="CZ750" i="1"/>
  <c r="CZ751" i="1"/>
  <c r="CZ752" i="1"/>
  <c r="CZ753" i="1"/>
  <c r="CZ754" i="1"/>
  <c r="CZ755" i="1"/>
  <c r="CZ756" i="1"/>
  <c r="CZ758" i="1"/>
  <c r="CZ760" i="1"/>
  <c r="CZ761" i="1"/>
  <c r="CZ763" i="1"/>
  <c r="CZ764" i="1"/>
  <c r="CZ766" i="1"/>
  <c r="CZ767" i="1"/>
  <c r="CZ768" i="1"/>
  <c r="CZ769" i="1"/>
  <c r="CZ774" i="1"/>
  <c r="CZ775" i="1"/>
  <c r="CZ777" i="1"/>
  <c r="CZ778" i="1"/>
  <c r="CZ779" i="1"/>
  <c r="CZ780" i="1"/>
  <c r="CZ782" i="1"/>
  <c r="CZ783" i="1"/>
  <c r="CZ784" i="1"/>
  <c r="CZ785" i="1"/>
  <c r="CZ786" i="1"/>
  <c r="CZ787" i="1"/>
  <c r="CZ789" i="1"/>
  <c r="CZ790" i="1"/>
  <c r="CZ791" i="1"/>
  <c r="CZ793" i="1"/>
  <c r="CZ794" i="1"/>
  <c r="CZ795" i="1"/>
  <c r="CZ796" i="1"/>
  <c r="CZ797" i="1"/>
  <c r="CZ798" i="1"/>
  <c r="CZ800" i="1"/>
  <c r="CZ801" i="1"/>
  <c r="CZ802" i="1"/>
  <c r="CZ803" i="1"/>
  <c r="CZ804" i="1"/>
  <c r="CZ805" i="1"/>
  <c r="CZ806" i="1"/>
  <c r="CZ807" i="1"/>
  <c r="CZ808" i="1"/>
  <c r="CZ810" i="1"/>
  <c r="CZ811" i="1"/>
  <c r="CZ812" i="1"/>
  <c r="CZ813" i="1"/>
  <c r="CZ814" i="1"/>
  <c r="CZ815" i="1"/>
  <c r="CZ816" i="1"/>
  <c r="CZ818" i="1"/>
  <c r="CZ819" i="1"/>
  <c r="CZ820" i="1"/>
  <c r="CZ822" i="1"/>
  <c r="CZ823" i="1"/>
  <c r="CZ824" i="1"/>
  <c r="CZ825" i="1"/>
  <c r="CZ826" i="1"/>
  <c r="CZ827" i="1"/>
  <c r="CZ829" i="1"/>
  <c r="CZ830" i="1"/>
  <c r="CZ831" i="1"/>
  <c r="CZ832" i="1"/>
  <c r="CZ834" i="1"/>
  <c r="CZ835" i="1"/>
  <c r="CZ836" i="1"/>
  <c r="CZ838" i="1"/>
  <c r="CZ839" i="1"/>
  <c r="CZ840" i="1"/>
  <c r="CZ841" i="1"/>
  <c r="CZ842" i="1"/>
  <c r="CZ843" i="1"/>
  <c r="CZ845" i="1"/>
  <c r="CZ846" i="1"/>
  <c r="CZ847" i="1"/>
  <c r="CZ848" i="1"/>
  <c r="CZ849" i="1"/>
  <c r="CZ850" i="1"/>
  <c r="CZ852" i="1"/>
  <c r="CZ854" i="1"/>
  <c r="CZ855" i="1"/>
  <c r="CZ856" i="1"/>
  <c r="CZ857" i="1"/>
  <c r="CZ859" i="1"/>
  <c r="CZ860" i="1"/>
  <c r="CZ862" i="1"/>
  <c r="CZ863" i="1"/>
  <c r="CZ864" i="1"/>
  <c r="CZ865" i="1"/>
  <c r="CZ866" i="1"/>
  <c r="CZ867" i="1"/>
  <c r="CZ868" i="1"/>
  <c r="CZ869" i="1"/>
  <c r="CZ870" i="1"/>
  <c r="CZ872" i="1"/>
  <c r="CZ873" i="1"/>
  <c r="CZ874" i="1"/>
  <c r="CZ875" i="1"/>
  <c r="CZ876" i="1"/>
  <c r="CZ877" i="1"/>
  <c r="CZ878" i="1"/>
  <c r="CZ879" i="1"/>
  <c r="CZ880" i="1"/>
  <c r="CZ881" i="1"/>
  <c r="CZ884" i="1"/>
  <c r="CZ886" i="1"/>
  <c r="CZ887" i="1"/>
  <c r="CZ888" i="1"/>
  <c r="CZ889" i="1"/>
  <c r="CZ890" i="1"/>
  <c r="CZ891" i="1"/>
  <c r="CZ892" i="1"/>
  <c r="CZ893" i="1"/>
  <c r="CZ894" i="1"/>
  <c r="CZ895" i="1"/>
  <c r="CZ897" i="1"/>
  <c r="CZ898" i="1"/>
  <c r="CZ899" i="1"/>
  <c r="CZ900" i="1"/>
  <c r="CZ901" i="1"/>
  <c r="CZ902" i="1"/>
  <c r="CZ904" i="1"/>
  <c r="CZ905" i="1"/>
  <c r="CZ906" i="1"/>
  <c r="CZ908" i="1"/>
  <c r="CZ909" i="1"/>
  <c r="CZ910" i="1"/>
  <c r="CZ911" i="1"/>
  <c r="CZ912" i="1"/>
  <c r="CZ913" i="1"/>
  <c r="CZ915" i="1"/>
  <c r="CZ916" i="1"/>
  <c r="CZ917" i="1"/>
  <c r="CZ918" i="1"/>
  <c r="CZ919" i="1"/>
  <c r="CZ921" i="1"/>
  <c r="CZ922" i="1"/>
  <c r="CZ923" i="1"/>
  <c r="CZ924" i="1"/>
  <c r="CZ925" i="1"/>
  <c r="CZ927" i="1"/>
  <c r="CZ928" i="1"/>
  <c r="CZ929" i="1"/>
  <c r="CZ930" i="1"/>
  <c r="CZ931" i="1"/>
  <c r="CZ932" i="1"/>
  <c r="CZ933" i="1"/>
  <c r="CZ935" i="1"/>
  <c r="CZ936" i="1"/>
  <c r="CZ937" i="1"/>
  <c r="CZ938" i="1"/>
  <c r="CZ939" i="1"/>
  <c r="CZ940" i="1"/>
  <c r="CZ941" i="1"/>
  <c r="CZ943" i="1"/>
  <c r="CZ944" i="1"/>
  <c r="CZ945" i="1"/>
  <c r="CZ947" i="1"/>
  <c r="CZ948" i="1"/>
  <c r="CZ950" i="1"/>
  <c r="CZ951" i="1"/>
  <c r="CZ952" i="1"/>
  <c r="CZ953" i="1"/>
  <c r="CZ954" i="1"/>
  <c r="CZ955" i="1"/>
  <c r="CZ956" i="1"/>
  <c r="CZ957" i="1"/>
  <c r="CZ958" i="1"/>
  <c r="CZ960" i="1"/>
  <c r="CZ961" i="1"/>
  <c r="CZ962" i="1"/>
  <c r="CZ963" i="1"/>
  <c r="CZ964" i="1"/>
  <c r="CZ965" i="1"/>
  <c r="CZ966" i="1"/>
  <c r="CZ967" i="1"/>
  <c r="CZ969" i="1"/>
  <c r="CZ970" i="1"/>
  <c r="CZ971" i="1"/>
  <c r="CZ972" i="1"/>
  <c r="CZ973" i="1"/>
  <c r="CZ974" i="1"/>
  <c r="CZ975" i="1"/>
  <c r="CZ977" i="1"/>
  <c r="CZ978" i="1"/>
  <c r="CZ979" i="1"/>
  <c r="CZ980" i="1"/>
  <c r="CZ981" i="1"/>
  <c r="CZ983" i="1"/>
  <c r="CZ985" i="1"/>
  <c r="CZ986" i="1"/>
  <c r="CZ987" i="1"/>
  <c r="CZ989" i="1"/>
  <c r="CZ990" i="1"/>
  <c r="CZ991" i="1"/>
  <c r="CZ992" i="1"/>
  <c r="CZ993" i="1"/>
  <c r="CZ994" i="1"/>
  <c r="CZ996" i="1"/>
  <c r="CZ997" i="1"/>
  <c r="CZ998" i="1"/>
  <c r="CZ999" i="1"/>
  <c r="CZ1000" i="1"/>
  <c r="CZ1001" i="1"/>
  <c r="CZ1002" i="1"/>
  <c r="CZ1003" i="1"/>
  <c r="CZ1005" i="1"/>
  <c r="CZ1006" i="1"/>
  <c r="CZ1007" i="1"/>
  <c r="CZ1008" i="1"/>
  <c r="CZ1009" i="1"/>
  <c r="CZ1010" i="1"/>
  <c r="CZ1011" i="1"/>
  <c r="CZ1013" i="1"/>
  <c r="CZ1014" i="1"/>
  <c r="CZ1015" i="1"/>
  <c r="CZ1016" i="1"/>
  <c r="CZ1017" i="1"/>
  <c r="CZ1018" i="1"/>
  <c r="CZ1019" i="1"/>
  <c r="CZ1020" i="1"/>
  <c r="CZ1021" i="1"/>
  <c r="CZ1022" i="1"/>
  <c r="CZ1023" i="1"/>
  <c r="CZ1025" i="1"/>
  <c r="CZ1026" i="1"/>
  <c r="CZ1027" i="1"/>
  <c r="CZ1028" i="1"/>
  <c r="CZ1029" i="1"/>
  <c r="CZ1030" i="1"/>
  <c r="CZ1031" i="1"/>
  <c r="CZ1032" i="1"/>
  <c r="CZ1033" i="1"/>
  <c r="CZ1035" i="1"/>
  <c r="CZ1036" i="1"/>
  <c r="CZ1037" i="1"/>
  <c r="CZ1038" i="1"/>
  <c r="CZ1039" i="1"/>
  <c r="CZ1040" i="1"/>
  <c r="CZ1041" i="1"/>
  <c r="CZ1042" i="1"/>
  <c r="CZ1043" i="1"/>
  <c r="CZ1044" i="1"/>
  <c r="CZ1046" i="1"/>
  <c r="CZ1047" i="1"/>
  <c r="CZ1048" i="1"/>
  <c r="CZ1051" i="1"/>
  <c r="CZ1053" i="1"/>
  <c r="CZ1054" i="1"/>
  <c r="CZ1055" i="1"/>
  <c r="CZ1056" i="1"/>
  <c r="CZ1057" i="1"/>
  <c r="CZ1059" i="1"/>
  <c r="CZ1060" i="1"/>
  <c r="CZ1061" i="1"/>
  <c r="CZ1062" i="1"/>
  <c r="CZ1063" i="1"/>
  <c r="CZ1064" i="1"/>
  <c r="CZ1066" i="1"/>
  <c r="CZ1067" i="1"/>
  <c r="CZ1068" i="1"/>
  <c r="CZ1069" i="1"/>
  <c r="CZ1070" i="1"/>
  <c r="CZ1071" i="1"/>
  <c r="CZ1072" i="1"/>
  <c r="CZ1073" i="1"/>
  <c r="CZ1075" i="1"/>
  <c r="CZ1076" i="1"/>
  <c r="CZ1077" i="1"/>
  <c r="CZ1079" i="1"/>
  <c r="CZ1080" i="1"/>
  <c r="CZ1081" i="1"/>
  <c r="CZ1082" i="1"/>
  <c r="CZ1083" i="1"/>
  <c r="CZ1084" i="1"/>
  <c r="CZ1086" i="1"/>
  <c r="CZ1087" i="1"/>
  <c r="CZ1088" i="1"/>
  <c r="CZ1089" i="1"/>
  <c r="CZ1090" i="1"/>
  <c r="CZ1091" i="1"/>
  <c r="CZ1092" i="1"/>
  <c r="CZ1093" i="1"/>
  <c r="CZ1094" i="1"/>
  <c r="CZ1096" i="1"/>
  <c r="CZ1097" i="1"/>
  <c r="CZ1098" i="1"/>
  <c r="CZ1099" i="1"/>
  <c r="CZ1100" i="1"/>
  <c r="CZ1101" i="1"/>
  <c r="CZ1102" i="1"/>
  <c r="CZ1103" i="1"/>
  <c r="CZ1104" i="1"/>
  <c r="CZ1105" i="1"/>
  <c r="CZ1106" i="1"/>
  <c r="CZ1108" i="1"/>
  <c r="CZ1109" i="1"/>
  <c r="CZ1110" i="1"/>
  <c r="CZ1111" i="1"/>
  <c r="CZ1112" i="1"/>
  <c r="CZ1113" i="1"/>
  <c r="CZ1115" i="1"/>
  <c r="CZ1116" i="1"/>
  <c r="CZ1117" i="1"/>
  <c r="CZ1118" i="1"/>
  <c r="CZ1120" i="1"/>
  <c r="CZ1122" i="1"/>
  <c r="CZ1123" i="1"/>
  <c r="CZ1124" i="1"/>
  <c r="CZ1126" i="1"/>
  <c r="CZ1127" i="1"/>
  <c r="CZ1128" i="1"/>
  <c r="CZ1129" i="1"/>
  <c r="CZ1130" i="1"/>
  <c r="CZ1132" i="1"/>
  <c r="CZ1133" i="1"/>
  <c r="CZ1135" i="1"/>
  <c r="CZ1136" i="1"/>
  <c r="CZ1137" i="1"/>
  <c r="CZ1138" i="1"/>
  <c r="CZ1139" i="1"/>
  <c r="CZ1140" i="1"/>
  <c r="CZ1142" i="1"/>
  <c r="CZ1143" i="1"/>
  <c r="CZ1144" i="1"/>
  <c r="CZ1145" i="1"/>
  <c r="CZ1146" i="1"/>
  <c r="CZ1147" i="1"/>
  <c r="CZ1148" i="1"/>
  <c r="CZ1149" i="1"/>
  <c r="CZ1150" i="1"/>
  <c r="CZ1152" i="1"/>
  <c r="CZ1153" i="1"/>
  <c r="CZ1154" i="1"/>
  <c r="CZ1155" i="1"/>
  <c r="CZ1157" i="1"/>
  <c r="CZ1158" i="1"/>
  <c r="CZ1159" i="1"/>
  <c r="CZ1160" i="1"/>
  <c r="CZ1161" i="1"/>
  <c r="CZ1162" i="1"/>
  <c r="CZ1163" i="1"/>
  <c r="CZ1164" i="1"/>
  <c r="CZ1165" i="1"/>
  <c r="CZ1167" i="1"/>
  <c r="CZ1168" i="1"/>
  <c r="CZ1169" i="1"/>
  <c r="CZ1170" i="1"/>
  <c r="CZ1172" i="1"/>
  <c r="CZ1173" i="1"/>
  <c r="CZ1174" i="1"/>
  <c r="CZ1175" i="1"/>
  <c r="CZ1177" i="1"/>
  <c r="CZ1178" i="1"/>
  <c r="CZ1179" i="1"/>
  <c r="CZ1180" i="1"/>
  <c r="CZ1181" i="1"/>
  <c r="CZ1182" i="1"/>
  <c r="CZ1183" i="1"/>
  <c r="CZ1185" i="1"/>
  <c r="CZ1186" i="1"/>
  <c r="CZ1187" i="1"/>
  <c r="CZ1188" i="1"/>
  <c r="CZ1189" i="1"/>
  <c r="CZ1190" i="1"/>
  <c r="CZ1192" i="1"/>
  <c r="CZ1194" i="1"/>
  <c r="CZ1195" i="1"/>
  <c r="CZ1196" i="1"/>
  <c r="CZ1199" i="1"/>
  <c r="CZ1201" i="1"/>
  <c r="CZ1202" i="1"/>
  <c r="CZ1203" i="1"/>
  <c r="CZ1204" i="1"/>
  <c r="CZ1205" i="1"/>
  <c r="CZ1206" i="1"/>
  <c r="CZ1207" i="1"/>
  <c r="CZ1209" i="1"/>
  <c r="CZ1210" i="1"/>
  <c r="CZ1211" i="1"/>
  <c r="CZ1212" i="1"/>
  <c r="CZ1213" i="1"/>
  <c r="CZ1214" i="1"/>
  <c r="CZ1215" i="1"/>
  <c r="CZ1216" i="1"/>
  <c r="CZ1217" i="1"/>
  <c r="CZ1219" i="1"/>
  <c r="CZ1220" i="1"/>
  <c r="CZ1222" i="1"/>
  <c r="CZ1223" i="1"/>
  <c r="CZ1224" i="1"/>
  <c r="CZ1225" i="1"/>
  <c r="CZ1226" i="1"/>
  <c r="CZ1227" i="1"/>
  <c r="CZ1229" i="1"/>
  <c r="CZ1230" i="1"/>
  <c r="CZ1231" i="1"/>
  <c r="CZ1232" i="1"/>
  <c r="CZ1233" i="1"/>
  <c r="CZ1234" i="1"/>
  <c r="CZ1235" i="1"/>
  <c r="CZ1236" i="1"/>
  <c r="CZ1238" i="1"/>
  <c r="CZ1240" i="1"/>
  <c r="CZ1241" i="1"/>
  <c r="CZ1242" i="1"/>
  <c r="CZ1244" i="1"/>
  <c r="CZ1245" i="1"/>
  <c r="CZ1246" i="1"/>
  <c r="CZ1247" i="1"/>
  <c r="CZ1248" i="1"/>
  <c r="CZ1250" i="1"/>
  <c r="CZ1251" i="1"/>
  <c r="CZ1252" i="1"/>
  <c r="CZ1253" i="1"/>
  <c r="CZ1254" i="1"/>
  <c r="CZ1255" i="1"/>
  <c r="CZ1256" i="1"/>
  <c r="CZ1257" i="1"/>
  <c r="CZ1258" i="1"/>
  <c r="CZ1259" i="1"/>
  <c r="CZ1261" i="1"/>
  <c r="CZ1262" i="1"/>
  <c r="CZ1263" i="1"/>
  <c r="CZ1265" i="1"/>
  <c r="CZ1266" i="1"/>
  <c r="CZ1267" i="1"/>
  <c r="CZ1268" i="1"/>
  <c r="CZ1272" i="1"/>
  <c r="CZ1274" i="1"/>
  <c r="CZ1275" i="1"/>
  <c r="CZ1276" i="1"/>
  <c r="CZ1277" i="1"/>
  <c r="CZ1278" i="1"/>
  <c r="CZ1279" i="1"/>
  <c r="CZ1280" i="1"/>
  <c r="CZ1282" i="1"/>
  <c r="CZ1283" i="1"/>
  <c r="CZ1284" i="1"/>
  <c r="CZ1285" i="1"/>
  <c r="CZ1286" i="1"/>
  <c r="CZ1287" i="1"/>
  <c r="CZ1288" i="1"/>
  <c r="CZ1289" i="1"/>
  <c r="CZ1291" i="1"/>
  <c r="CZ1292" i="1"/>
  <c r="CZ1293" i="1"/>
  <c r="CZ1294" i="1"/>
  <c r="CZ1295" i="1"/>
  <c r="CZ1296" i="1"/>
  <c r="CZ1297" i="1"/>
  <c r="CZ1298" i="1"/>
  <c r="CZ1299" i="1"/>
  <c r="CZ1300" i="1"/>
  <c r="CZ1301" i="1"/>
  <c r="CZ1303" i="1"/>
  <c r="CZ1304" i="1"/>
  <c r="CZ1305" i="1"/>
  <c r="CZ1306" i="1"/>
  <c r="CZ1307" i="1"/>
  <c r="CZ1308" i="1"/>
  <c r="CZ1309" i="1"/>
  <c r="CZ1310" i="1"/>
  <c r="CZ1311" i="1"/>
  <c r="CZ1312" i="1"/>
  <c r="CZ1313" i="1"/>
  <c r="DA67" i="1"/>
  <c r="DA68" i="1"/>
  <c r="DA69" i="1"/>
  <c r="DA70" i="1"/>
  <c r="DA71" i="1"/>
  <c r="DA72" i="1"/>
  <c r="DA73" i="1"/>
  <c r="DA74" i="1"/>
  <c r="DA76" i="1"/>
  <c r="DA77" i="1"/>
  <c r="DA78" i="1"/>
  <c r="DA79" i="1"/>
  <c r="DA80" i="1"/>
  <c r="DA81" i="1"/>
  <c r="DA82" i="1"/>
  <c r="DA84" i="1"/>
  <c r="DA85" i="1"/>
  <c r="DA86" i="1"/>
  <c r="DA87" i="1"/>
  <c r="DA88" i="1"/>
  <c r="DA89" i="1"/>
  <c r="DA90" i="1"/>
  <c r="DA92" i="1"/>
  <c r="DA93" i="1"/>
  <c r="DA94" i="1"/>
  <c r="DA95" i="1"/>
  <c r="DA96" i="1"/>
  <c r="DA97" i="1"/>
  <c r="DA98" i="1"/>
  <c r="DA101" i="1"/>
  <c r="DA103" i="1"/>
  <c r="DA104" i="1"/>
  <c r="DA105" i="1"/>
  <c r="DA106" i="1"/>
  <c r="DA107" i="1"/>
  <c r="DA108" i="1"/>
  <c r="DA109" i="1"/>
  <c r="DA111" i="1"/>
  <c r="DA112" i="1"/>
  <c r="DA113" i="1"/>
  <c r="DA114" i="1"/>
  <c r="DA115" i="1"/>
  <c r="DA116" i="1"/>
  <c r="DA117" i="1"/>
  <c r="DA118" i="1"/>
  <c r="DA119" i="1"/>
  <c r="DA120" i="1"/>
  <c r="DA122" i="1"/>
  <c r="DA124" i="1"/>
  <c r="DA125" i="1"/>
  <c r="DA126" i="1"/>
  <c r="DA129" i="1"/>
  <c r="DA131" i="1"/>
  <c r="DA132" i="1"/>
  <c r="DA136" i="1"/>
  <c r="DA138" i="1"/>
  <c r="DA139" i="1"/>
  <c r="DA140" i="1"/>
  <c r="DA141" i="1"/>
  <c r="DA142" i="1"/>
  <c r="DA144" i="1"/>
  <c r="DA145" i="1"/>
  <c r="DA146" i="1"/>
  <c r="DA147" i="1"/>
  <c r="DA148" i="1"/>
  <c r="DA149" i="1"/>
  <c r="DA151" i="1"/>
  <c r="DA152" i="1"/>
  <c r="DA153" i="1"/>
  <c r="DA154" i="1"/>
  <c r="DA155" i="1"/>
  <c r="DA156" i="1"/>
  <c r="DA157" i="1"/>
  <c r="DA158" i="1"/>
  <c r="DA160" i="1"/>
  <c r="DA161" i="1"/>
  <c r="DA162" i="1"/>
  <c r="DA163" i="1"/>
  <c r="DA165" i="1"/>
  <c r="DA166" i="1"/>
  <c r="DA167" i="1"/>
  <c r="DA168" i="1"/>
  <c r="DA169" i="1"/>
  <c r="DA170" i="1"/>
  <c r="DA172" i="1"/>
  <c r="DA173" i="1"/>
  <c r="DA175" i="1"/>
  <c r="DA176" i="1"/>
  <c r="DA177" i="1"/>
  <c r="DA178" i="1"/>
  <c r="DA179" i="1"/>
  <c r="DA180" i="1"/>
  <c r="DA181" i="1"/>
  <c r="DA182" i="1"/>
  <c r="DA183" i="1"/>
  <c r="DA184" i="1"/>
  <c r="DA186" i="1"/>
  <c r="DA187" i="1"/>
  <c r="DA188" i="1"/>
  <c r="DA189" i="1"/>
  <c r="DA190" i="1"/>
  <c r="DA191" i="1"/>
  <c r="DA192" i="1"/>
  <c r="DA193" i="1"/>
  <c r="DA195" i="1"/>
  <c r="DA196" i="1"/>
  <c r="DA197" i="1"/>
  <c r="DA198" i="1"/>
  <c r="DA200" i="1"/>
  <c r="DA201" i="1"/>
  <c r="DA202" i="1"/>
  <c r="DA203" i="1"/>
  <c r="DA204" i="1"/>
  <c r="DA205" i="1"/>
  <c r="DA206" i="1"/>
  <c r="DA207" i="1"/>
  <c r="DA209" i="1"/>
  <c r="DA210" i="1"/>
  <c r="DA211" i="1"/>
  <c r="DA212" i="1"/>
  <c r="DA213" i="1"/>
  <c r="DA214" i="1"/>
  <c r="DA215" i="1"/>
  <c r="DA218" i="1"/>
  <c r="DA219" i="1"/>
  <c r="DA220" i="1"/>
  <c r="DA221" i="1"/>
  <c r="DA222" i="1"/>
  <c r="DA224" i="1"/>
  <c r="DA225" i="1"/>
  <c r="DA226" i="1"/>
  <c r="DA227" i="1"/>
  <c r="DA228" i="1"/>
  <c r="DA229" i="1"/>
  <c r="DA231" i="1"/>
  <c r="DA232" i="1"/>
  <c r="DA233" i="1"/>
  <c r="DA234" i="1"/>
  <c r="DA235" i="1"/>
  <c r="DA236" i="1"/>
  <c r="DA237" i="1"/>
  <c r="DA238" i="1"/>
  <c r="DA240" i="1"/>
  <c r="DA241" i="1"/>
  <c r="DA242" i="1"/>
  <c r="DA243" i="1"/>
  <c r="DA244" i="1"/>
  <c r="DA245" i="1"/>
  <c r="DA246" i="1"/>
  <c r="DA247" i="1"/>
  <c r="DA249" i="1"/>
  <c r="DA250" i="1"/>
  <c r="DA251" i="1"/>
  <c r="DA252" i="1"/>
  <c r="DA253" i="1"/>
  <c r="DA254" i="1"/>
  <c r="DA255" i="1"/>
  <c r="DA256" i="1"/>
  <c r="DA258" i="1"/>
  <c r="DA259" i="1"/>
  <c r="DA260" i="1"/>
  <c r="DA261" i="1"/>
  <c r="DA262" i="1"/>
  <c r="DA263" i="1"/>
  <c r="DA264" i="1"/>
  <c r="DA265" i="1"/>
  <c r="DA266" i="1"/>
  <c r="DA268" i="1"/>
  <c r="DA269" i="1"/>
  <c r="DA270" i="1"/>
  <c r="DA271" i="1"/>
  <c r="DA272" i="1"/>
  <c r="DA273" i="1"/>
  <c r="DA274" i="1"/>
  <c r="DA275" i="1"/>
  <c r="DA276" i="1"/>
  <c r="DA278" i="1"/>
  <c r="DA279" i="1"/>
  <c r="DA280" i="1"/>
  <c r="DA281" i="1"/>
  <c r="DA282" i="1"/>
  <c r="DA283" i="1"/>
  <c r="DA285" i="1"/>
  <c r="DA286" i="1"/>
  <c r="DA287" i="1"/>
  <c r="DA288" i="1"/>
  <c r="DA291" i="1"/>
  <c r="DA292" i="1"/>
  <c r="DA293" i="1"/>
  <c r="DA294" i="1"/>
  <c r="DA296" i="1"/>
  <c r="DA297" i="1"/>
  <c r="DA298" i="1"/>
  <c r="DA299" i="1"/>
  <c r="DA300" i="1"/>
  <c r="DA301" i="1"/>
  <c r="DA302" i="1"/>
  <c r="DA303" i="1"/>
  <c r="DA305" i="1"/>
  <c r="DA306" i="1"/>
  <c r="DA307" i="1"/>
  <c r="DA308" i="1"/>
  <c r="DA309" i="1"/>
  <c r="DA310" i="1"/>
  <c r="DA311" i="1"/>
  <c r="DA312" i="1"/>
  <c r="DA313" i="1"/>
  <c r="DA314" i="1"/>
  <c r="DA316" i="1"/>
  <c r="DA317" i="1"/>
  <c r="DA318" i="1"/>
  <c r="DA319" i="1"/>
  <c r="DA320" i="1"/>
  <c r="DA321" i="1"/>
  <c r="DA322" i="1"/>
  <c r="DA323" i="1"/>
  <c r="DA324" i="1"/>
  <c r="DA325" i="1"/>
  <c r="DA326" i="1"/>
  <c r="DA327" i="1"/>
  <c r="DA329" i="1"/>
  <c r="DA330" i="1"/>
  <c r="DA332" i="1"/>
  <c r="DA333" i="1"/>
  <c r="DA334" i="1"/>
  <c r="DA335" i="1"/>
  <c r="DA336" i="1"/>
  <c r="DA337" i="1"/>
  <c r="DA338" i="1"/>
  <c r="DA340" i="1"/>
  <c r="DA341" i="1"/>
  <c r="DA342" i="1"/>
  <c r="DA343" i="1"/>
  <c r="DA344" i="1"/>
  <c r="DA345" i="1"/>
  <c r="DA346" i="1"/>
  <c r="DA347" i="1"/>
  <c r="DA348" i="1"/>
  <c r="DA349" i="1"/>
  <c r="DA351" i="1"/>
  <c r="DA352" i="1"/>
  <c r="DA353" i="1"/>
  <c r="DA354" i="1"/>
  <c r="DA355" i="1"/>
  <c r="DA356" i="1"/>
  <c r="DA358" i="1"/>
  <c r="DA359" i="1"/>
  <c r="DA360" i="1"/>
  <c r="DA361" i="1"/>
  <c r="DA362" i="1"/>
  <c r="DA363" i="1"/>
  <c r="DA364" i="1"/>
  <c r="DA365" i="1"/>
  <c r="DA367" i="1"/>
  <c r="DA368" i="1"/>
  <c r="DA369" i="1"/>
  <c r="DA371" i="1"/>
  <c r="DA372" i="1"/>
  <c r="DA373" i="1"/>
  <c r="DA375" i="1"/>
  <c r="DA376" i="1"/>
  <c r="DA378" i="1"/>
  <c r="DA379" i="1"/>
  <c r="DA380" i="1"/>
  <c r="DA381" i="1"/>
  <c r="DA382" i="1"/>
  <c r="DA383" i="1"/>
  <c r="DA385" i="1"/>
  <c r="DA386" i="1"/>
  <c r="DA387" i="1"/>
  <c r="DA388" i="1"/>
  <c r="DA389" i="1"/>
  <c r="DA390" i="1"/>
  <c r="DA391" i="1"/>
  <c r="DA393" i="1"/>
  <c r="DA394" i="1"/>
  <c r="DA395" i="1"/>
  <c r="DA396" i="1"/>
  <c r="DA397" i="1"/>
  <c r="DA398" i="1"/>
  <c r="DA399" i="1"/>
  <c r="DA400" i="1"/>
  <c r="DA401" i="1"/>
  <c r="DA403" i="1"/>
  <c r="DA404" i="1"/>
  <c r="DA405" i="1"/>
  <c r="DA406" i="1"/>
  <c r="DA407" i="1"/>
  <c r="DA408" i="1"/>
  <c r="DA409" i="1"/>
  <c r="DA410" i="1"/>
  <c r="DA411" i="1"/>
  <c r="DA413" i="1"/>
  <c r="DA414" i="1"/>
  <c r="DA415" i="1"/>
  <c r="DA416" i="1"/>
  <c r="DA417" i="1"/>
  <c r="DA418" i="1"/>
  <c r="DA421" i="1"/>
  <c r="DA422" i="1"/>
  <c r="DA423" i="1"/>
  <c r="DA424" i="1"/>
  <c r="DA425" i="1"/>
  <c r="DA426" i="1"/>
  <c r="DA427" i="1"/>
  <c r="DA428" i="1"/>
  <c r="DA430" i="1"/>
  <c r="DA431" i="1"/>
  <c r="DA432" i="1"/>
  <c r="DA433" i="1"/>
  <c r="DA434" i="1"/>
  <c r="DA435" i="1"/>
  <c r="DA436" i="1"/>
  <c r="DA438" i="1"/>
  <c r="DA439" i="1"/>
  <c r="DA440" i="1"/>
  <c r="DA441" i="1"/>
  <c r="DA442" i="1"/>
  <c r="DA443" i="1"/>
  <c r="DA445" i="1"/>
  <c r="DA446" i="1"/>
  <c r="DA447" i="1"/>
  <c r="DA448" i="1"/>
  <c r="DA449" i="1"/>
  <c r="DA450" i="1"/>
  <c r="DA451" i="1"/>
  <c r="DA452" i="1"/>
  <c r="DA454" i="1"/>
  <c r="DA455" i="1"/>
  <c r="DA456" i="1"/>
  <c r="DA457" i="1"/>
  <c r="DA459" i="1"/>
  <c r="DA460" i="1"/>
  <c r="DA461" i="1"/>
  <c r="DA462" i="1"/>
  <c r="DA463" i="1"/>
  <c r="DA464" i="1"/>
  <c r="DA465" i="1"/>
  <c r="DA466" i="1"/>
  <c r="DA468" i="1"/>
  <c r="DA469" i="1"/>
  <c r="DA470" i="1"/>
  <c r="DA471" i="1"/>
  <c r="DA472" i="1"/>
  <c r="DA473" i="1"/>
  <c r="DA474" i="1"/>
  <c r="DA475" i="1"/>
  <c r="DA476" i="1"/>
  <c r="DA478" i="1"/>
  <c r="DA479" i="1"/>
  <c r="DA480" i="1"/>
  <c r="DA481" i="1"/>
  <c r="DA482" i="1"/>
  <c r="DA483" i="1"/>
  <c r="DA485" i="1"/>
  <c r="DA486" i="1"/>
  <c r="DA487" i="1"/>
  <c r="DA488" i="1"/>
  <c r="DA489" i="1"/>
  <c r="DA490" i="1"/>
  <c r="DA491" i="1"/>
  <c r="DA492" i="1"/>
  <c r="DA493" i="1"/>
  <c r="DA495" i="1"/>
  <c r="DA496" i="1"/>
  <c r="DA497" i="1"/>
  <c r="DA498" i="1"/>
  <c r="DA499" i="1"/>
  <c r="DA500" i="1"/>
  <c r="DA502" i="1"/>
  <c r="DA503" i="1"/>
  <c r="DA504" i="1"/>
  <c r="DA505" i="1"/>
  <c r="DA506" i="1"/>
  <c r="DA507" i="1"/>
  <c r="DA508" i="1"/>
  <c r="DA510" i="1"/>
  <c r="DA511" i="1"/>
  <c r="DA512" i="1"/>
  <c r="DA514" i="1"/>
  <c r="DA515" i="1"/>
  <c r="DA516" i="1"/>
  <c r="DA517" i="1"/>
  <c r="DA518" i="1"/>
  <c r="DA520" i="1"/>
  <c r="DA521" i="1"/>
  <c r="DA522" i="1"/>
  <c r="DA523" i="1"/>
  <c r="DA524" i="1"/>
  <c r="DA525" i="1"/>
  <c r="DA526" i="1"/>
  <c r="DA527" i="1"/>
  <c r="DA529" i="1"/>
  <c r="DA530" i="1"/>
  <c r="DA531" i="1"/>
  <c r="DA532" i="1"/>
  <c r="DA533" i="1"/>
  <c r="DA534" i="1"/>
  <c r="DA535" i="1"/>
  <c r="DA536" i="1"/>
  <c r="DA538" i="1"/>
  <c r="DA539" i="1"/>
  <c r="DA540" i="1"/>
  <c r="DA541" i="1"/>
  <c r="DA542" i="1"/>
  <c r="DA543" i="1"/>
  <c r="DA544" i="1"/>
  <c r="DA545" i="1"/>
  <c r="DA546" i="1"/>
  <c r="DA548" i="1"/>
  <c r="DA549" i="1"/>
  <c r="DA550" i="1"/>
  <c r="DA551" i="1"/>
  <c r="DA552" i="1"/>
  <c r="DA553" i="1"/>
  <c r="DA554" i="1"/>
  <c r="DA555" i="1"/>
  <c r="DA557" i="1"/>
  <c r="DA558" i="1"/>
  <c r="DA559" i="1"/>
  <c r="DA560" i="1"/>
  <c r="DA561" i="1"/>
  <c r="DA562" i="1"/>
  <c r="DA564" i="1"/>
  <c r="DA565" i="1"/>
  <c r="DA566" i="1"/>
  <c r="DA567" i="1"/>
  <c r="DA569" i="1"/>
  <c r="DA570" i="1"/>
  <c r="DA572" i="1"/>
  <c r="DA573" i="1"/>
  <c r="DA574" i="1"/>
  <c r="DA576" i="1"/>
  <c r="DA577" i="1"/>
  <c r="DA578" i="1"/>
  <c r="DA579" i="1"/>
  <c r="DA580" i="1"/>
  <c r="DA581" i="1"/>
  <c r="DA583" i="1"/>
  <c r="DA584" i="1"/>
  <c r="DA586" i="1"/>
  <c r="DA587" i="1"/>
  <c r="DA588" i="1"/>
  <c r="DA590" i="1"/>
  <c r="DA591" i="1"/>
  <c r="DA592" i="1"/>
  <c r="DA593" i="1"/>
  <c r="DA594" i="1"/>
  <c r="DA595" i="1"/>
  <c r="DA596" i="1"/>
  <c r="DA597" i="1"/>
  <c r="DA598" i="1"/>
  <c r="DA600" i="1"/>
  <c r="DA601" i="1"/>
  <c r="DA603" i="1"/>
  <c r="DA604" i="1"/>
  <c r="DA605" i="1"/>
  <c r="DA607" i="1"/>
  <c r="DA608" i="1"/>
  <c r="DA609" i="1"/>
  <c r="DA610" i="1"/>
  <c r="DA611" i="1"/>
  <c r="DA612" i="1"/>
  <c r="DA614" i="1"/>
  <c r="DA615" i="1"/>
  <c r="DA616" i="1"/>
  <c r="DA617" i="1"/>
  <c r="DA618" i="1"/>
  <c r="DA619" i="1"/>
  <c r="DA620" i="1"/>
  <c r="DA622" i="1"/>
  <c r="DA623" i="1"/>
  <c r="DA624" i="1"/>
  <c r="DA625" i="1"/>
  <c r="DA626" i="1"/>
  <c r="DA628" i="1"/>
  <c r="DA629" i="1"/>
  <c r="DA630" i="1"/>
  <c r="DA631" i="1"/>
  <c r="DA632" i="1"/>
  <c r="DA633" i="1"/>
  <c r="DA634" i="1"/>
  <c r="DA636" i="1"/>
  <c r="DA637" i="1"/>
  <c r="DA638" i="1"/>
  <c r="DA639" i="1"/>
  <c r="DA641" i="1"/>
  <c r="DA643" i="1"/>
  <c r="DA644" i="1"/>
  <c r="DA645" i="1"/>
  <c r="DA647" i="1"/>
  <c r="DA648" i="1"/>
  <c r="DA649" i="1"/>
  <c r="DA650" i="1"/>
  <c r="DA651" i="1"/>
  <c r="DA652" i="1"/>
  <c r="DA654" i="1"/>
  <c r="DA655" i="1"/>
  <c r="DA656" i="1"/>
  <c r="DA657" i="1"/>
  <c r="DA658" i="1"/>
  <c r="DA659" i="1"/>
  <c r="DA660" i="1"/>
  <c r="DA662" i="1"/>
  <c r="DA663" i="1"/>
  <c r="DA665" i="1"/>
  <c r="DA666" i="1"/>
  <c r="DA667" i="1"/>
  <c r="DA669" i="1"/>
  <c r="DA670" i="1"/>
  <c r="DA671" i="1"/>
  <c r="DA672" i="1"/>
  <c r="DA674" i="1"/>
  <c r="DA675" i="1"/>
  <c r="DA676" i="1"/>
  <c r="DA677" i="1"/>
  <c r="DA678" i="1"/>
  <c r="DA679" i="1"/>
  <c r="DA681" i="1"/>
  <c r="DA682" i="1"/>
  <c r="DA683" i="1"/>
  <c r="DA684" i="1"/>
  <c r="DA685" i="1"/>
  <c r="DA686" i="1"/>
  <c r="DA687" i="1"/>
  <c r="DA688" i="1"/>
  <c r="DA689" i="1"/>
  <c r="DA690" i="1"/>
  <c r="DA691" i="1"/>
  <c r="DA693" i="1"/>
  <c r="DA694" i="1"/>
  <c r="DA695" i="1"/>
  <c r="DA696" i="1"/>
  <c r="DA698" i="1"/>
  <c r="DA699" i="1"/>
  <c r="DA702" i="1"/>
  <c r="DA703" i="1"/>
  <c r="DA704" i="1"/>
  <c r="DA706" i="1"/>
  <c r="DA707" i="1"/>
  <c r="DA708" i="1"/>
  <c r="DA709" i="1"/>
  <c r="DA711" i="1"/>
  <c r="DA712" i="1"/>
  <c r="DA713" i="1"/>
  <c r="DA714" i="1"/>
  <c r="DA715" i="1"/>
  <c r="DA716" i="1"/>
  <c r="DA717" i="1"/>
  <c r="DA718" i="1"/>
  <c r="DA720" i="1"/>
  <c r="DA721" i="1"/>
  <c r="DA723" i="1"/>
  <c r="DA724" i="1"/>
  <c r="DA725" i="1"/>
  <c r="DA726" i="1"/>
  <c r="DA729" i="1"/>
  <c r="DA731" i="1"/>
  <c r="DA732" i="1"/>
  <c r="DA733" i="1"/>
  <c r="DA734" i="1"/>
  <c r="DA735" i="1"/>
  <c r="DA736" i="1"/>
  <c r="DA738" i="1"/>
  <c r="DA739" i="1"/>
  <c r="DA740" i="1"/>
  <c r="DA741" i="1"/>
  <c r="DA742" i="1"/>
  <c r="DA743" i="1"/>
  <c r="DA744" i="1"/>
  <c r="DA745" i="1"/>
  <c r="DA748" i="1"/>
  <c r="DA750" i="1"/>
  <c r="DA751" i="1"/>
  <c r="DA752" i="1"/>
  <c r="DA753" i="1"/>
  <c r="DA754" i="1"/>
  <c r="DA755" i="1"/>
  <c r="DA756" i="1"/>
  <c r="DA758" i="1"/>
  <c r="DA760" i="1"/>
  <c r="DA761" i="1"/>
  <c r="DA763" i="1"/>
  <c r="DA764" i="1"/>
  <c r="DA766" i="1"/>
  <c r="DA767" i="1"/>
  <c r="DA768" i="1"/>
  <c r="DA769" i="1"/>
  <c r="DA774" i="1"/>
  <c r="DA775" i="1"/>
  <c r="DA777" i="1"/>
  <c r="DA778" i="1"/>
  <c r="DA779" i="1"/>
  <c r="DA780" i="1"/>
  <c r="DA782" i="1"/>
  <c r="DA783" i="1"/>
  <c r="DA784" i="1"/>
  <c r="DA785" i="1"/>
  <c r="DA786" i="1"/>
  <c r="DA787" i="1"/>
  <c r="DA789" i="1"/>
  <c r="DA790" i="1"/>
  <c r="DA791" i="1"/>
  <c r="DA793" i="1"/>
  <c r="DA794" i="1"/>
  <c r="DA795" i="1"/>
  <c r="DA796" i="1"/>
  <c r="DA797" i="1"/>
  <c r="DA798" i="1"/>
  <c r="DA800" i="1"/>
  <c r="DA801" i="1"/>
  <c r="DA802" i="1"/>
  <c r="DA803" i="1"/>
  <c r="DA804" i="1"/>
  <c r="DA805" i="1"/>
  <c r="DA806" i="1"/>
  <c r="DA807" i="1"/>
  <c r="DA808" i="1"/>
  <c r="DA810" i="1"/>
  <c r="DA811" i="1"/>
  <c r="DA812" i="1"/>
  <c r="DA813" i="1"/>
  <c r="DA814" i="1"/>
  <c r="DA815" i="1"/>
  <c r="DA816" i="1"/>
  <c r="DA818" i="1"/>
  <c r="DA819" i="1"/>
  <c r="DA820" i="1"/>
  <c r="DA822" i="1"/>
  <c r="DA823" i="1"/>
  <c r="DA824" i="1"/>
  <c r="DA825" i="1"/>
  <c r="DA826" i="1"/>
  <c r="DA827" i="1"/>
  <c r="DA829" i="1"/>
  <c r="DA830" i="1"/>
  <c r="DA831" i="1"/>
  <c r="DA832" i="1"/>
  <c r="DA834" i="1"/>
  <c r="DA835" i="1"/>
  <c r="DA836" i="1"/>
  <c r="DA838" i="1"/>
  <c r="DA839" i="1"/>
  <c r="DA840" i="1"/>
  <c r="DA841" i="1"/>
  <c r="DA842" i="1"/>
  <c r="DA843" i="1"/>
  <c r="DA845" i="1"/>
  <c r="DA846" i="1"/>
  <c r="DA847" i="1"/>
  <c r="DA848" i="1"/>
  <c r="DA849" i="1"/>
  <c r="DA850" i="1"/>
  <c r="DA852" i="1"/>
  <c r="DA854" i="1"/>
  <c r="DA855" i="1"/>
  <c r="DA856" i="1"/>
  <c r="DA857" i="1"/>
  <c r="DA859" i="1"/>
  <c r="DA860" i="1"/>
  <c r="DA862" i="1"/>
  <c r="DA863" i="1"/>
  <c r="DA864" i="1"/>
  <c r="DA865" i="1"/>
  <c r="DA866" i="1"/>
  <c r="DA867" i="1"/>
  <c r="DA868" i="1"/>
  <c r="DA869" i="1"/>
  <c r="DA870" i="1"/>
  <c r="DA872" i="1"/>
  <c r="DA873" i="1"/>
  <c r="DA874" i="1"/>
  <c r="DA875" i="1"/>
  <c r="DA876" i="1"/>
  <c r="DA877" i="1"/>
  <c r="DA878" i="1"/>
  <c r="DA879" i="1"/>
  <c r="DA880" i="1"/>
  <c r="DA881" i="1"/>
  <c r="DA884" i="1"/>
  <c r="DA886" i="1"/>
  <c r="DA887" i="1"/>
  <c r="DA888" i="1"/>
  <c r="DA889" i="1"/>
  <c r="DA890" i="1"/>
  <c r="DA891" i="1"/>
  <c r="DA892" i="1"/>
  <c r="DA893" i="1"/>
  <c r="DA894" i="1"/>
  <c r="DA895" i="1"/>
  <c r="DA897" i="1"/>
  <c r="DA898" i="1"/>
  <c r="DA899" i="1"/>
  <c r="DA900" i="1"/>
  <c r="DA901" i="1"/>
  <c r="DA902" i="1"/>
  <c r="DA904" i="1"/>
  <c r="DA905" i="1"/>
  <c r="DA906" i="1"/>
  <c r="DA908" i="1"/>
  <c r="DA909" i="1"/>
  <c r="DA910" i="1"/>
  <c r="DA911" i="1"/>
  <c r="DA912" i="1"/>
  <c r="DA913" i="1"/>
  <c r="DA915" i="1"/>
  <c r="DA916" i="1"/>
  <c r="DA917" i="1"/>
  <c r="DA918" i="1"/>
  <c r="DA919" i="1"/>
  <c r="DA921" i="1"/>
  <c r="DA922" i="1"/>
  <c r="DA923" i="1"/>
  <c r="DA924" i="1"/>
  <c r="DA925" i="1"/>
  <c r="DA927" i="1"/>
  <c r="DA928" i="1"/>
  <c r="DA929" i="1"/>
  <c r="DA930" i="1"/>
  <c r="DA931" i="1"/>
  <c r="DA932" i="1"/>
  <c r="DA933" i="1"/>
  <c r="DA935" i="1"/>
  <c r="DA936" i="1"/>
  <c r="DA937" i="1"/>
  <c r="DA938" i="1"/>
  <c r="DA939" i="1"/>
  <c r="DA940" i="1"/>
  <c r="DA941" i="1"/>
  <c r="DA943" i="1"/>
  <c r="DA944" i="1"/>
  <c r="DA945" i="1"/>
  <c r="DA947" i="1"/>
  <c r="DA948" i="1"/>
  <c r="DA950" i="1"/>
  <c r="DA951" i="1"/>
  <c r="DA952" i="1"/>
  <c r="DA953" i="1"/>
  <c r="DA954" i="1"/>
  <c r="DA955" i="1"/>
  <c r="DA956" i="1"/>
  <c r="DA957" i="1"/>
  <c r="DA958" i="1"/>
  <c r="DA960" i="1"/>
  <c r="DA961" i="1"/>
  <c r="DA962" i="1"/>
  <c r="DA963" i="1"/>
  <c r="DA964" i="1"/>
  <c r="DA965" i="1"/>
  <c r="DA966" i="1"/>
  <c r="DA967" i="1"/>
  <c r="DA969" i="1"/>
  <c r="DA970" i="1"/>
  <c r="DA971" i="1"/>
  <c r="DA972" i="1"/>
  <c r="DA973" i="1"/>
  <c r="DA974" i="1"/>
  <c r="DA975" i="1"/>
  <c r="DA977" i="1"/>
  <c r="DA978" i="1"/>
  <c r="DA979" i="1"/>
  <c r="DA980" i="1"/>
  <c r="DA981" i="1"/>
  <c r="DA983" i="1"/>
  <c r="DA985" i="1"/>
  <c r="DA986" i="1"/>
  <c r="DA987" i="1"/>
  <c r="DA989" i="1"/>
  <c r="DA990" i="1"/>
  <c r="DA991" i="1"/>
  <c r="DA992" i="1"/>
  <c r="DA993" i="1"/>
  <c r="DA994" i="1"/>
  <c r="DA996" i="1"/>
  <c r="DA997" i="1"/>
  <c r="DA998" i="1"/>
  <c r="DA999" i="1"/>
  <c r="DA1000" i="1"/>
  <c r="DA1001" i="1"/>
  <c r="DA1002" i="1"/>
  <c r="DA1003" i="1"/>
  <c r="DA1005" i="1"/>
  <c r="DA1006" i="1"/>
  <c r="DA1007" i="1"/>
  <c r="DA1008" i="1"/>
  <c r="DA1009" i="1"/>
  <c r="DA1010" i="1"/>
  <c r="DA1011" i="1"/>
  <c r="DA1014" i="1"/>
  <c r="DA1015" i="1"/>
  <c r="DA1016" i="1"/>
  <c r="DA1017" i="1"/>
  <c r="DA1018" i="1"/>
  <c r="DA1019" i="1"/>
  <c r="DA1020" i="1"/>
  <c r="DA1021" i="1"/>
  <c r="DA1022" i="1"/>
  <c r="DA1023" i="1"/>
  <c r="DA1025" i="1"/>
  <c r="DA1026" i="1"/>
  <c r="DA1027" i="1"/>
  <c r="DA1028" i="1"/>
  <c r="DA1029" i="1"/>
  <c r="DA1030" i="1"/>
  <c r="DA1031" i="1"/>
  <c r="DA1032" i="1"/>
  <c r="DA1033" i="1"/>
  <c r="DA1036" i="1"/>
  <c r="DA1037" i="1"/>
  <c r="DA1038" i="1"/>
  <c r="DA1039" i="1"/>
  <c r="DA1040" i="1"/>
  <c r="DA1041" i="1"/>
  <c r="DA1042" i="1"/>
  <c r="DA1043" i="1"/>
  <c r="DA1044" i="1"/>
  <c r="DA1046" i="1"/>
  <c r="DA1047" i="1"/>
  <c r="DA1048" i="1"/>
  <c r="DA1051" i="1"/>
  <c r="DA1053" i="1"/>
  <c r="DA1054" i="1"/>
  <c r="DA1055" i="1"/>
  <c r="DA1056" i="1"/>
  <c r="DA1057" i="1"/>
  <c r="DA1059" i="1"/>
  <c r="DA1060" i="1"/>
  <c r="DA1061" i="1"/>
  <c r="DA1062" i="1"/>
  <c r="DA1063" i="1"/>
  <c r="DA1064" i="1"/>
  <c r="DA1066" i="1"/>
  <c r="DA1067" i="1"/>
  <c r="DA1068" i="1"/>
  <c r="DA1069" i="1"/>
  <c r="DA1070" i="1"/>
  <c r="DA1071" i="1"/>
  <c r="DA1072" i="1"/>
  <c r="DA1073" i="1"/>
  <c r="DA1075" i="1"/>
  <c r="DA1076" i="1"/>
  <c r="DA1077" i="1"/>
  <c r="DA1079" i="1"/>
  <c r="DA1080" i="1"/>
  <c r="DA1081" i="1"/>
  <c r="DA1082" i="1"/>
  <c r="DA1083" i="1"/>
  <c r="DA1084" i="1"/>
  <c r="DA1086" i="1"/>
  <c r="DA1087" i="1"/>
  <c r="DA1088" i="1"/>
  <c r="DA1089" i="1"/>
  <c r="DA1090" i="1"/>
  <c r="DA1091" i="1"/>
  <c r="DA1092" i="1"/>
  <c r="DA1093" i="1"/>
  <c r="DA1094" i="1"/>
  <c r="DA1096" i="1"/>
  <c r="DA1097" i="1"/>
  <c r="DA1098" i="1"/>
  <c r="DA1099" i="1"/>
  <c r="DA1100" i="1"/>
  <c r="DA1101" i="1"/>
  <c r="DA1102" i="1"/>
  <c r="DA1103" i="1"/>
  <c r="DA1104" i="1"/>
  <c r="DA1105" i="1"/>
  <c r="DA1106" i="1"/>
  <c r="DA1108" i="1"/>
  <c r="DA1109" i="1"/>
  <c r="DA1110" i="1"/>
  <c r="DA1111" i="1"/>
  <c r="DA1112" i="1"/>
  <c r="DA1113" i="1"/>
  <c r="DA1115" i="1"/>
  <c r="DA1116" i="1"/>
  <c r="DA1117" i="1"/>
  <c r="DA1118" i="1"/>
  <c r="DA1120" i="1"/>
  <c r="DA1122" i="1"/>
  <c r="DA1123" i="1"/>
  <c r="DA1124" i="1"/>
  <c r="DA1126" i="1"/>
  <c r="DA1127" i="1"/>
  <c r="DA1128" i="1"/>
  <c r="DA1129" i="1"/>
  <c r="DA1130" i="1"/>
  <c r="DA1132" i="1"/>
  <c r="DA1133" i="1"/>
  <c r="DA1135" i="1"/>
  <c r="DA1136" i="1"/>
  <c r="DA1137" i="1"/>
  <c r="DA1138" i="1"/>
  <c r="DA1139" i="1"/>
  <c r="DA1140" i="1"/>
  <c r="DA1142" i="1"/>
  <c r="DA1143" i="1"/>
  <c r="DA1144" i="1"/>
  <c r="DA1145" i="1"/>
  <c r="DA1146" i="1"/>
  <c r="DA1147" i="1"/>
  <c r="DA1148" i="1"/>
  <c r="DA1149" i="1"/>
  <c r="DA1150" i="1"/>
  <c r="DA1152" i="1"/>
  <c r="DA1153" i="1"/>
  <c r="DA1154" i="1"/>
  <c r="DA1155" i="1"/>
  <c r="DA1157" i="1"/>
  <c r="DA1158" i="1"/>
  <c r="DA1159" i="1"/>
  <c r="DA1160" i="1"/>
  <c r="DA1161" i="1"/>
  <c r="DA1162" i="1"/>
  <c r="DA1163" i="1"/>
  <c r="DA1164" i="1"/>
  <c r="DA1165" i="1"/>
  <c r="DA1167" i="1"/>
  <c r="DA1168" i="1"/>
  <c r="DA1169" i="1"/>
  <c r="DA1170" i="1"/>
  <c r="DA1172" i="1"/>
  <c r="DA1173" i="1"/>
  <c r="DA1174" i="1"/>
  <c r="DA1175" i="1"/>
  <c r="DA1177" i="1"/>
  <c r="DA1178" i="1"/>
  <c r="DA1179" i="1"/>
  <c r="DA1180" i="1"/>
  <c r="DA1181" i="1"/>
  <c r="DA1182" i="1"/>
  <c r="DA1183" i="1"/>
  <c r="DA1185" i="1"/>
  <c r="DA1186" i="1"/>
  <c r="DA1187" i="1"/>
  <c r="DA1188" i="1"/>
  <c r="DA1189" i="1"/>
  <c r="DA1190" i="1"/>
  <c r="DA1192" i="1"/>
  <c r="DA1194" i="1"/>
  <c r="DA1195" i="1"/>
  <c r="DA1196" i="1"/>
  <c r="DA1199" i="1"/>
  <c r="DA1201" i="1"/>
  <c r="DA1202" i="1"/>
  <c r="DA1203" i="1"/>
  <c r="DA1204" i="1"/>
  <c r="DA1205" i="1"/>
  <c r="DA1206" i="1"/>
  <c r="DA1207" i="1"/>
  <c r="DA1209" i="1"/>
  <c r="DA1210" i="1"/>
  <c r="DA1211" i="1"/>
  <c r="DA1212" i="1"/>
  <c r="DA1213" i="1"/>
  <c r="DA1214" i="1"/>
  <c r="DA1215" i="1"/>
  <c r="DA1216" i="1"/>
  <c r="DA1217" i="1"/>
  <c r="DA1219" i="1"/>
  <c r="DA1220" i="1"/>
  <c r="DA1222" i="1"/>
  <c r="DA1223" i="1"/>
  <c r="DA1224" i="1"/>
  <c r="DA1225" i="1"/>
  <c r="DA1226" i="1"/>
  <c r="DA1227" i="1"/>
  <c r="DA1229" i="1"/>
  <c r="DA1230" i="1"/>
  <c r="DA1231" i="1"/>
  <c r="DA1232" i="1"/>
  <c r="DA1233" i="1"/>
  <c r="DA1234" i="1"/>
  <c r="DA1235" i="1"/>
  <c r="DA1236" i="1"/>
  <c r="DA1238" i="1"/>
  <c r="DA1240" i="1"/>
  <c r="DA1241" i="1"/>
  <c r="DA1242" i="1"/>
  <c r="DA1244" i="1"/>
  <c r="DA1245" i="1"/>
  <c r="DA1246" i="1"/>
  <c r="DA1247" i="1"/>
  <c r="DA1248" i="1"/>
  <c r="DA1250" i="1"/>
  <c r="DA1251" i="1"/>
  <c r="DA1252" i="1"/>
  <c r="DA1253" i="1"/>
  <c r="DA1254" i="1"/>
  <c r="DA1255" i="1"/>
  <c r="DA1256" i="1"/>
  <c r="DA1257" i="1"/>
  <c r="DA1258" i="1"/>
  <c r="DA1259" i="1"/>
  <c r="DA1261" i="1"/>
  <c r="DA1262" i="1"/>
  <c r="DA1263" i="1"/>
  <c r="DA1265" i="1"/>
  <c r="DA1266" i="1"/>
  <c r="DA1267" i="1"/>
  <c r="DA1268" i="1"/>
  <c r="DA1272" i="1"/>
  <c r="DA1274" i="1"/>
  <c r="DA1275" i="1"/>
  <c r="DA1276" i="1"/>
  <c r="DA1277" i="1"/>
  <c r="DA1278" i="1"/>
  <c r="DA1279" i="1"/>
  <c r="DA1280" i="1"/>
  <c r="DA1282" i="1"/>
  <c r="DA1283" i="1"/>
  <c r="DA1284" i="1"/>
  <c r="DA1285" i="1"/>
  <c r="DA1286" i="1"/>
  <c r="DA1287" i="1"/>
  <c r="DA1288" i="1"/>
  <c r="DA1289" i="1"/>
  <c r="DA1291" i="1"/>
  <c r="DA1292" i="1"/>
  <c r="DA1293" i="1"/>
  <c r="DA1294" i="1"/>
  <c r="DA1295" i="1"/>
  <c r="DA1296" i="1"/>
  <c r="DA1297" i="1"/>
  <c r="DA1298" i="1"/>
  <c r="DA1299" i="1"/>
  <c r="DA1300" i="1"/>
  <c r="DA1301" i="1"/>
  <c r="DA1303" i="1"/>
  <c r="DA1304" i="1"/>
  <c r="DA1305" i="1"/>
  <c r="DA1306" i="1"/>
  <c r="DA1307" i="1"/>
  <c r="DA1308" i="1"/>
  <c r="DA1309" i="1"/>
  <c r="DA1310" i="1"/>
  <c r="DA1311" i="1"/>
  <c r="DA1312" i="1"/>
  <c r="DA1313" i="1"/>
  <c r="DB67" i="1"/>
  <c r="DB68" i="1"/>
  <c r="DB69" i="1"/>
  <c r="DB70" i="1"/>
  <c r="DB71" i="1"/>
  <c r="DB72" i="1"/>
  <c r="DB73" i="1"/>
  <c r="DB74" i="1"/>
  <c r="DB76" i="1"/>
  <c r="DB77" i="1"/>
  <c r="DB78" i="1"/>
  <c r="DB79" i="1"/>
  <c r="DB80" i="1"/>
  <c r="DB81" i="1"/>
  <c r="DB82" i="1"/>
  <c r="DB84" i="1"/>
  <c r="DB85" i="1"/>
  <c r="DB86" i="1"/>
  <c r="DB87" i="1"/>
  <c r="DB88" i="1"/>
  <c r="DB89" i="1"/>
  <c r="DB90" i="1"/>
  <c r="DB92" i="1"/>
  <c r="DB93" i="1"/>
  <c r="DB94" i="1"/>
  <c r="DB95" i="1"/>
  <c r="DB96" i="1"/>
  <c r="DB97" i="1"/>
  <c r="DB98" i="1"/>
  <c r="DB101" i="1"/>
  <c r="DB103" i="1"/>
  <c r="DB104" i="1"/>
  <c r="DB105" i="1"/>
  <c r="DB106" i="1"/>
  <c r="DB107" i="1"/>
  <c r="DB108" i="1"/>
  <c r="DB109" i="1"/>
  <c r="DB111" i="1"/>
  <c r="DB112" i="1"/>
  <c r="DB113" i="1"/>
  <c r="DB114" i="1"/>
  <c r="DB115" i="1"/>
  <c r="DB116" i="1"/>
  <c r="DB117" i="1"/>
  <c r="DB118" i="1"/>
  <c r="DB119" i="1"/>
  <c r="DB120" i="1"/>
  <c r="DB122" i="1"/>
  <c r="DB124" i="1"/>
  <c r="DB125" i="1"/>
  <c r="DB126" i="1"/>
  <c r="DB129" i="1"/>
  <c r="DB131" i="1"/>
  <c r="DB132" i="1"/>
  <c r="DB133" i="1"/>
  <c r="DB136" i="1"/>
  <c r="DB138" i="1"/>
  <c r="DB139" i="1"/>
  <c r="DB140" i="1"/>
  <c r="DB141" i="1"/>
  <c r="DB142" i="1"/>
  <c r="DB144" i="1"/>
  <c r="DB145" i="1"/>
  <c r="DB146" i="1"/>
  <c r="DB147" i="1"/>
  <c r="DB148" i="1"/>
  <c r="DB149" i="1"/>
  <c r="DB151" i="1"/>
  <c r="DB152" i="1"/>
  <c r="DB153" i="1"/>
  <c r="DB154" i="1"/>
  <c r="DB155" i="1"/>
  <c r="DB156" i="1"/>
  <c r="DB157" i="1"/>
  <c r="DB158" i="1"/>
  <c r="DB160" i="1"/>
  <c r="DB161" i="1"/>
  <c r="DB162" i="1"/>
  <c r="DB163" i="1"/>
  <c r="DB165" i="1"/>
  <c r="DB166" i="1"/>
  <c r="DB167" i="1"/>
  <c r="DB168" i="1"/>
  <c r="DB169" i="1"/>
  <c r="DB170" i="1"/>
  <c r="DB172" i="1"/>
  <c r="DB173" i="1"/>
  <c r="DB175" i="1"/>
  <c r="DB176" i="1"/>
  <c r="DB177" i="1"/>
  <c r="DB178" i="1"/>
  <c r="DB179" i="1"/>
  <c r="DB180" i="1"/>
  <c r="DB181" i="1"/>
  <c r="DB182" i="1"/>
  <c r="DB183" i="1"/>
  <c r="DB184" i="1"/>
  <c r="DB186" i="1"/>
  <c r="DB187" i="1"/>
  <c r="DB188" i="1"/>
  <c r="DB189" i="1"/>
  <c r="DB190" i="1"/>
  <c r="DB191" i="1"/>
  <c r="DB192" i="1"/>
  <c r="DB193" i="1"/>
  <c r="DB195" i="1"/>
  <c r="DB196" i="1"/>
  <c r="DB197" i="1"/>
  <c r="DB198" i="1"/>
  <c r="DB200" i="1"/>
  <c r="DB201" i="1"/>
  <c r="DB202" i="1"/>
  <c r="DB203" i="1"/>
  <c r="DB204" i="1"/>
  <c r="DB205" i="1"/>
  <c r="DB206" i="1"/>
  <c r="DB207" i="1"/>
  <c r="DB209" i="1"/>
  <c r="DB210" i="1"/>
  <c r="DB211" i="1"/>
  <c r="DB212" i="1"/>
  <c r="DB213" i="1"/>
  <c r="DB214" i="1"/>
  <c r="DB215" i="1"/>
  <c r="DB218" i="1"/>
  <c r="DB219" i="1"/>
  <c r="DB220" i="1"/>
  <c r="DB221" i="1"/>
  <c r="DB222" i="1"/>
  <c r="DB225" i="1"/>
  <c r="DB226" i="1"/>
  <c r="DB227" i="1"/>
  <c r="DB228" i="1"/>
  <c r="DB229" i="1"/>
  <c r="DB231" i="1"/>
  <c r="DB232" i="1"/>
  <c r="DB233" i="1"/>
  <c r="DB234" i="1"/>
  <c r="DB235" i="1"/>
  <c r="DB236" i="1"/>
  <c r="DB237" i="1"/>
  <c r="DB238" i="1"/>
  <c r="DB240" i="1"/>
  <c r="DB241" i="1"/>
  <c r="DB242" i="1"/>
  <c r="DB243" i="1"/>
  <c r="DB244" i="1"/>
  <c r="DB245" i="1"/>
  <c r="DB246" i="1"/>
  <c r="DB247" i="1"/>
  <c r="DB249" i="1"/>
  <c r="DB250" i="1"/>
  <c r="DB251" i="1"/>
  <c r="DB252" i="1"/>
  <c r="DB253" i="1"/>
  <c r="DB254" i="1"/>
  <c r="DB255" i="1"/>
  <c r="DB256" i="1"/>
  <c r="DB258" i="1"/>
  <c r="DB259" i="1"/>
  <c r="DB260" i="1"/>
  <c r="DB261" i="1"/>
  <c r="DB262" i="1"/>
  <c r="DB263" i="1"/>
  <c r="DB264" i="1"/>
  <c r="DB265" i="1"/>
  <c r="DB266" i="1"/>
  <c r="DB268" i="1"/>
  <c r="DB269" i="1"/>
  <c r="DB270" i="1"/>
  <c r="DB271" i="1"/>
  <c r="DB272" i="1"/>
  <c r="DB273" i="1"/>
  <c r="DB274" i="1"/>
  <c r="DB275" i="1"/>
  <c r="DB276" i="1"/>
  <c r="DB278" i="1"/>
  <c r="DB279" i="1"/>
  <c r="DB280" i="1"/>
  <c r="DB281" i="1"/>
  <c r="DB282" i="1"/>
  <c r="DB283" i="1"/>
  <c r="DB285" i="1"/>
  <c r="DB286" i="1"/>
  <c r="DB287" i="1"/>
  <c r="DB288" i="1"/>
  <c r="DB291" i="1"/>
  <c r="DB292" i="1"/>
  <c r="DB293" i="1"/>
  <c r="DB294" i="1"/>
  <c r="DB296" i="1"/>
  <c r="DB297" i="1"/>
  <c r="DB298" i="1"/>
  <c r="DB299" i="1"/>
  <c r="DB300" i="1"/>
  <c r="DB301" i="1"/>
  <c r="DB302" i="1"/>
  <c r="DB303" i="1"/>
  <c r="DB305" i="1"/>
  <c r="DB306" i="1"/>
  <c r="DB307" i="1"/>
  <c r="DB308" i="1"/>
  <c r="DB309" i="1"/>
  <c r="DB310" i="1"/>
  <c r="DB311" i="1"/>
  <c r="DB312" i="1"/>
  <c r="DB313" i="1"/>
  <c r="DB314" i="1"/>
  <c r="DB316" i="1"/>
  <c r="DB317" i="1"/>
  <c r="DB318" i="1"/>
  <c r="DB319" i="1"/>
  <c r="DB320" i="1"/>
  <c r="DB321" i="1"/>
  <c r="DB322" i="1"/>
  <c r="DB323" i="1"/>
  <c r="DB324" i="1"/>
  <c r="DB325" i="1"/>
  <c r="DB326" i="1"/>
  <c r="DB327" i="1"/>
  <c r="DB329" i="1"/>
  <c r="DB330" i="1"/>
  <c r="DB332" i="1"/>
  <c r="DB333" i="1"/>
  <c r="DB334" i="1"/>
  <c r="DB335" i="1"/>
  <c r="DB336" i="1"/>
  <c r="DB337" i="1"/>
  <c r="DB338" i="1"/>
  <c r="DB340" i="1"/>
  <c r="DB341" i="1"/>
  <c r="DB342" i="1"/>
  <c r="DB343" i="1"/>
  <c r="DB344" i="1"/>
  <c r="DB345" i="1"/>
  <c r="DB346" i="1"/>
  <c r="DB347" i="1"/>
  <c r="DB348" i="1"/>
  <c r="DB349" i="1"/>
  <c r="DB351" i="1"/>
  <c r="DB352" i="1"/>
  <c r="DB353" i="1"/>
  <c r="DB354" i="1"/>
  <c r="DB355" i="1"/>
  <c r="DB356" i="1"/>
  <c r="DB358" i="1"/>
  <c r="DB359" i="1"/>
  <c r="DB360" i="1"/>
  <c r="DB361" i="1"/>
  <c r="DB362" i="1"/>
  <c r="DB363" i="1"/>
  <c r="DB364" i="1"/>
  <c r="DB365" i="1"/>
  <c r="DB367" i="1"/>
  <c r="DB368" i="1"/>
  <c r="DB369" i="1"/>
  <c r="DB371" i="1"/>
  <c r="DB372" i="1"/>
  <c r="DB373" i="1"/>
  <c r="DB375" i="1"/>
  <c r="DB376" i="1"/>
  <c r="DB378" i="1"/>
  <c r="DB379" i="1"/>
  <c r="DB380" i="1"/>
  <c r="DB381" i="1"/>
  <c r="DB382" i="1"/>
  <c r="DB383" i="1"/>
  <c r="DB385" i="1"/>
  <c r="DB386" i="1"/>
  <c r="DB387" i="1"/>
  <c r="DB388" i="1"/>
  <c r="DB389" i="1"/>
  <c r="DB390" i="1"/>
  <c r="DB391" i="1"/>
  <c r="DB393" i="1"/>
  <c r="DB394" i="1"/>
  <c r="DB395" i="1"/>
  <c r="DB396" i="1"/>
  <c r="DB397" i="1"/>
  <c r="DB398" i="1"/>
  <c r="DB399" i="1"/>
  <c r="DB400" i="1"/>
  <c r="DB401" i="1"/>
  <c r="DB403" i="1"/>
  <c r="DB404" i="1"/>
  <c r="DB405" i="1"/>
  <c r="DB406" i="1"/>
  <c r="DB407" i="1"/>
  <c r="DB408" i="1"/>
  <c r="DB409" i="1"/>
  <c r="DB410" i="1"/>
  <c r="DB411" i="1"/>
  <c r="DB413" i="1"/>
  <c r="DB414" i="1"/>
  <c r="DB415" i="1"/>
  <c r="DB416" i="1"/>
  <c r="DB417" i="1"/>
  <c r="DB418" i="1"/>
  <c r="DB421" i="1"/>
  <c r="DB422" i="1"/>
  <c r="DB423" i="1"/>
  <c r="DB424" i="1"/>
  <c r="DB425" i="1"/>
  <c r="DB426" i="1"/>
  <c r="DB427" i="1"/>
  <c r="DB428" i="1"/>
  <c r="DB430" i="1"/>
  <c r="DB431" i="1"/>
  <c r="DB432" i="1"/>
  <c r="DB433" i="1"/>
  <c r="DB434" i="1"/>
  <c r="DB435" i="1"/>
  <c r="DB436" i="1"/>
  <c r="DB438" i="1"/>
  <c r="DB439" i="1"/>
  <c r="DB440" i="1"/>
  <c r="DB441" i="1"/>
  <c r="DB442" i="1"/>
  <c r="DB443" i="1"/>
  <c r="DB445" i="1"/>
  <c r="DB446" i="1"/>
  <c r="DB447" i="1"/>
  <c r="DB448" i="1"/>
  <c r="DB449" i="1"/>
  <c r="DB450" i="1"/>
  <c r="DB451" i="1"/>
  <c r="DB452" i="1"/>
  <c r="DB454" i="1"/>
  <c r="DB455" i="1"/>
  <c r="DB456" i="1"/>
  <c r="DB457" i="1"/>
  <c r="DB459" i="1"/>
  <c r="DB460" i="1"/>
  <c r="DB461" i="1"/>
  <c r="DB462" i="1"/>
  <c r="DB463" i="1"/>
  <c r="DB464" i="1"/>
  <c r="DB465" i="1"/>
  <c r="DB466" i="1"/>
  <c r="DB468" i="1"/>
  <c r="DB469" i="1"/>
  <c r="DB470" i="1"/>
  <c r="DB471" i="1"/>
  <c r="DB472" i="1"/>
  <c r="DB473" i="1"/>
  <c r="DB474" i="1"/>
  <c r="DB475" i="1"/>
  <c r="DB476" i="1"/>
  <c r="DB478" i="1"/>
  <c r="DB479" i="1"/>
  <c r="DB480" i="1"/>
  <c r="DB481" i="1"/>
  <c r="DB482" i="1"/>
  <c r="DB483" i="1"/>
  <c r="DB485" i="1"/>
  <c r="DB486" i="1"/>
  <c r="DB487" i="1"/>
  <c r="DB488" i="1"/>
  <c r="DB489" i="1"/>
  <c r="DB490" i="1"/>
  <c r="DB491" i="1"/>
  <c r="DB492" i="1"/>
  <c r="DB493" i="1"/>
  <c r="DB495" i="1"/>
  <c r="DB496" i="1"/>
  <c r="DB497" i="1"/>
  <c r="DB498" i="1"/>
  <c r="DB499" i="1"/>
  <c r="DB500" i="1"/>
  <c r="DB502" i="1"/>
  <c r="DB503" i="1"/>
  <c r="DB504" i="1"/>
  <c r="DB505" i="1"/>
  <c r="DB506" i="1"/>
  <c r="DB507" i="1"/>
  <c r="DB508" i="1"/>
  <c r="DB510" i="1"/>
  <c r="DB511" i="1"/>
  <c r="DB512" i="1"/>
  <c r="DB514" i="1"/>
  <c r="DB515" i="1"/>
  <c r="DB516" i="1"/>
  <c r="DB517" i="1"/>
  <c r="DB518" i="1"/>
  <c r="DB520" i="1"/>
  <c r="DB521" i="1"/>
  <c r="DB522" i="1"/>
  <c r="DB523" i="1"/>
  <c r="DB524" i="1"/>
  <c r="DB525" i="1"/>
  <c r="DB526" i="1"/>
  <c r="DB527" i="1"/>
  <c r="DB529" i="1"/>
  <c r="DB530" i="1"/>
  <c r="DB531" i="1"/>
  <c r="DB532" i="1"/>
  <c r="DB533" i="1"/>
  <c r="DB534" i="1"/>
  <c r="DB535" i="1"/>
  <c r="DB536" i="1"/>
  <c r="DB538" i="1"/>
  <c r="DB539" i="1"/>
  <c r="DB540" i="1"/>
  <c r="DB541" i="1"/>
  <c r="DB542" i="1"/>
  <c r="DB543" i="1"/>
  <c r="DB544" i="1"/>
  <c r="DB545" i="1"/>
  <c r="DB546" i="1"/>
  <c r="DB548" i="1"/>
  <c r="DB549" i="1"/>
  <c r="DB550" i="1"/>
  <c r="DB551" i="1"/>
  <c r="DB552" i="1"/>
  <c r="DB553" i="1"/>
  <c r="DB554" i="1"/>
  <c r="DB555" i="1"/>
  <c r="DB557" i="1"/>
  <c r="DB558" i="1"/>
  <c r="DB559" i="1"/>
  <c r="DB560" i="1"/>
  <c r="DB561" i="1"/>
  <c r="DB562" i="1"/>
  <c r="DB564" i="1"/>
  <c r="DB565" i="1"/>
  <c r="DB566" i="1"/>
  <c r="DB567" i="1"/>
  <c r="DB569" i="1"/>
  <c r="DB570" i="1"/>
  <c r="DB572" i="1"/>
  <c r="DB573" i="1"/>
  <c r="DB574" i="1"/>
  <c r="DB576" i="1"/>
  <c r="DB577" i="1"/>
  <c r="DB578" i="1"/>
  <c r="DB579" i="1"/>
  <c r="DB580" i="1"/>
  <c r="DB581" i="1"/>
  <c r="DB583" i="1"/>
  <c r="DB584" i="1"/>
  <c r="DB586" i="1"/>
  <c r="DB587" i="1"/>
  <c r="DB588" i="1"/>
  <c r="DB590" i="1"/>
  <c r="DB591" i="1"/>
  <c r="DB592" i="1"/>
  <c r="DB593" i="1"/>
  <c r="DB594" i="1"/>
  <c r="DB595" i="1"/>
  <c r="DB596" i="1"/>
  <c r="DB597" i="1"/>
  <c r="DB598" i="1"/>
  <c r="DB600" i="1"/>
  <c r="DB601" i="1"/>
  <c r="DB603" i="1"/>
  <c r="DB604" i="1"/>
  <c r="DB605" i="1"/>
  <c r="DB607" i="1"/>
  <c r="DB608" i="1"/>
  <c r="DB609" i="1"/>
  <c r="DB610" i="1"/>
  <c r="DB611" i="1"/>
  <c r="DB612" i="1"/>
  <c r="DB614" i="1"/>
  <c r="DB615" i="1"/>
  <c r="DB617" i="1"/>
  <c r="DB618" i="1"/>
  <c r="DB619" i="1"/>
  <c r="DB620" i="1"/>
  <c r="DB622" i="1"/>
  <c r="DB623" i="1"/>
  <c r="DB624" i="1"/>
  <c r="DB625" i="1"/>
  <c r="DB626" i="1"/>
  <c r="DB628" i="1"/>
  <c r="DB629" i="1"/>
  <c r="DB630" i="1"/>
  <c r="DB631" i="1"/>
  <c r="DB632" i="1"/>
  <c r="DB633" i="1"/>
  <c r="DB634" i="1"/>
  <c r="DB636" i="1"/>
  <c r="DB637" i="1"/>
  <c r="DB638" i="1"/>
  <c r="DB639" i="1"/>
  <c r="DB641" i="1"/>
  <c r="DB643" i="1"/>
  <c r="DB644" i="1"/>
  <c r="DB645" i="1"/>
  <c r="DB647" i="1"/>
  <c r="DB648" i="1"/>
  <c r="DB649" i="1"/>
  <c r="DB650" i="1"/>
  <c r="DB651" i="1"/>
  <c r="DB652" i="1"/>
  <c r="DB654" i="1"/>
  <c r="DB655" i="1"/>
  <c r="DB656" i="1"/>
  <c r="DB657" i="1"/>
  <c r="DB658" i="1"/>
  <c r="DB659" i="1"/>
  <c r="DB660" i="1"/>
  <c r="DB662" i="1"/>
  <c r="DB663" i="1"/>
  <c r="DB665" i="1"/>
  <c r="DB666" i="1"/>
  <c r="DB667" i="1"/>
  <c r="DB669" i="1"/>
  <c r="DB670" i="1"/>
  <c r="DB671" i="1"/>
  <c r="DB672" i="1"/>
  <c r="DB674" i="1"/>
  <c r="DB675" i="1"/>
  <c r="DB676" i="1"/>
  <c r="DB677" i="1"/>
  <c r="DB678" i="1"/>
  <c r="DB679" i="1"/>
  <c r="DB681" i="1"/>
  <c r="DB682" i="1"/>
  <c r="DB683" i="1"/>
  <c r="DB684" i="1"/>
  <c r="DB685" i="1"/>
  <c r="DB686" i="1"/>
  <c r="DB687" i="1"/>
  <c r="DB688" i="1"/>
  <c r="DB689" i="1"/>
  <c r="DB690" i="1"/>
  <c r="DB691" i="1"/>
  <c r="DB693" i="1"/>
  <c r="DB694" i="1"/>
  <c r="DB695" i="1"/>
  <c r="DB696" i="1"/>
  <c r="DB698" i="1"/>
  <c r="DB699" i="1"/>
  <c r="DB702" i="1"/>
  <c r="DB703" i="1"/>
  <c r="DB704" i="1"/>
  <c r="DB706" i="1"/>
  <c r="DB707" i="1"/>
  <c r="DB708" i="1"/>
  <c r="DB709" i="1"/>
  <c r="DB711" i="1"/>
  <c r="DB712" i="1"/>
  <c r="DB713" i="1"/>
  <c r="DB714" i="1"/>
  <c r="DB715" i="1"/>
  <c r="DB716" i="1"/>
  <c r="DB717" i="1"/>
  <c r="DB718" i="1"/>
  <c r="DB720" i="1"/>
  <c r="DB721" i="1"/>
  <c r="DB723" i="1"/>
  <c r="DB724" i="1"/>
  <c r="DB725" i="1"/>
  <c r="DB726" i="1"/>
  <c r="DB729" i="1"/>
  <c r="DB731" i="1"/>
  <c r="DB732" i="1"/>
  <c r="DB733" i="1"/>
  <c r="DB734" i="1"/>
  <c r="DB735" i="1"/>
  <c r="DB736" i="1"/>
  <c r="DB738" i="1"/>
  <c r="DB739" i="1"/>
  <c r="DB740" i="1"/>
  <c r="DB741" i="1"/>
  <c r="DB742" i="1"/>
  <c r="DB743" i="1"/>
  <c r="DB744" i="1"/>
  <c r="DB745" i="1"/>
  <c r="DB748" i="1"/>
  <c r="DB750" i="1"/>
  <c r="DB751" i="1"/>
  <c r="DB752" i="1"/>
  <c r="DB753" i="1"/>
  <c r="DB754" i="1"/>
  <c r="DB755" i="1"/>
  <c r="DB756" i="1"/>
  <c r="DB758" i="1"/>
  <c r="DB760" i="1"/>
  <c r="DB761" i="1"/>
  <c r="DB763" i="1"/>
  <c r="DB764" i="1"/>
  <c r="DB766" i="1"/>
  <c r="DB767" i="1"/>
  <c r="DB768" i="1"/>
  <c r="DB769" i="1"/>
  <c r="DB774" i="1"/>
  <c r="DB775" i="1"/>
  <c r="DB777" i="1"/>
  <c r="DB778" i="1"/>
  <c r="DB779" i="1"/>
  <c r="DB780" i="1"/>
  <c r="DB782" i="1"/>
  <c r="DB783" i="1"/>
  <c r="DB784" i="1"/>
  <c r="DB785" i="1"/>
  <c r="DB786" i="1"/>
  <c r="DB787" i="1"/>
  <c r="DB789" i="1"/>
  <c r="DB790" i="1"/>
  <c r="DB791" i="1"/>
  <c r="DB793" i="1"/>
  <c r="DB794" i="1"/>
  <c r="DB795" i="1"/>
  <c r="DB796" i="1"/>
  <c r="DB797" i="1"/>
  <c r="DB798" i="1"/>
  <c r="DB800" i="1"/>
  <c r="DB801" i="1"/>
  <c r="DB802" i="1"/>
  <c r="DB803" i="1"/>
  <c r="DB804" i="1"/>
  <c r="DB805" i="1"/>
  <c r="DB806" i="1"/>
  <c r="DB807" i="1"/>
  <c r="DB808" i="1"/>
  <c r="DB810" i="1"/>
  <c r="DB811" i="1"/>
  <c r="DB812" i="1"/>
  <c r="DB813" i="1"/>
  <c r="DB814" i="1"/>
  <c r="DB815" i="1"/>
  <c r="DB816" i="1"/>
  <c r="DB818" i="1"/>
  <c r="DB819" i="1"/>
  <c r="DB820" i="1"/>
  <c r="DB822" i="1"/>
  <c r="DB823" i="1"/>
  <c r="DB824" i="1"/>
  <c r="DB825" i="1"/>
  <c r="DB826" i="1"/>
  <c r="DB827" i="1"/>
  <c r="DB829" i="1"/>
  <c r="DB830" i="1"/>
  <c r="DB831" i="1"/>
  <c r="DB832" i="1"/>
  <c r="DB834" i="1"/>
  <c r="DB835" i="1"/>
  <c r="DB836" i="1"/>
  <c r="DB838" i="1"/>
  <c r="DB839" i="1"/>
  <c r="DB840" i="1"/>
  <c r="DB841" i="1"/>
  <c r="DB842" i="1"/>
  <c r="DB843" i="1"/>
  <c r="DB845" i="1"/>
  <c r="DB846" i="1"/>
  <c r="DB847" i="1"/>
  <c r="DB848" i="1"/>
  <c r="DB849" i="1"/>
  <c r="DB850" i="1"/>
  <c r="DB852" i="1"/>
  <c r="DB854" i="1"/>
  <c r="DB855" i="1"/>
  <c r="DB856" i="1"/>
  <c r="DB857" i="1"/>
  <c r="DB859" i="1"/>
  <c r="DB860" i="1"/>
  <c r="DB862" i="1"/>
  <c r="DB863" i="1"/>
  <c r="DB864" i="1"/>
  <c r="DB865" i="1"/>
  <c r="DB866" i="1"/>
  <c r="DB867" i="1"/>
  <c r="DB868" i="1"/>
  <c r="DB869" i="1"/>
  <c r="DB870" i="1"/>
  <c r="DB872" i="1"/>
  <c r="DB873" i="1"/>
  <c r="DB874" i="1"/>
  <c r="DB875" i="1"/>
  <c r="DB876" i="1"/>
  <c r="DB877" i="1"/>
  <c r="DB878" i="1"/>
  <c r="DB879" i="1"/>
  <c r="DB880" i="1"/>
  <c r="DB881" i="1"/>
  <c r="DB884" i="1"/>
  <c r="DB886" i="1"/>
  <c r="DB887" i="1"/>
  <c r="DB888" i="1"/>
  <c r="DB889" i="1"/>
  <c r="DB890" i="1"/>
  <c r="DB891" i="1"/>
  <c r="DB892" i="1"/>
  <c r="DB893" i="1"/>
  <c r="DB894" i="1"/>
  <c r="DB895" i="1"/>
  <c r="DB897" i="1"/>
  <c r="DB898" i="1"/>
  <c r="DB899" i="1"/>
  <c r="DB900" i="1"/>
  <c r="DB901" i="1"/>
  <c r="DB902" i="1"/>
  <c r="DB904" i="1"/>
  <c r="DB905" i="1"/>
  <c r="DB906" i="1"/>
  <c r="DB908" i="1"/>
  <c r="DB909" i="1"/>
  <c r="DB910" i="1"/>
  <c r="DB911" i="1"/>
  <c r="DB912" i="1"/>
  <c r="DB913" i="1"/>
  <c r="DB915" i="1"/>
  <c r="DB916" i="1"/>
  <c r="DB917" i="1"/>
  <c r="DB918" i="1"/>
  <c r="DB919" i="1"/>
  <c r="DB921" i="1"/>
  <c r="DB922" i="1"/>
  <c r="DB923" i="1"/>
  <c r="DB924" i="1"/>
  <c r="DB925" i="1"/>
  <c r="DB927" i="1"/>
  <c r="DB928" i="1"/>
  <c r="DB929" i="1"/>
  <c r="DB930" i="1"/>
  <c r="DB931" i="1"/>
  <c r="DB932" i="1"/>
  <c r="DB933" i="1"/>
  <c r="DB935" i="1"/>
  <c r="DB936" i="1"/>
  <c r="DB937" i="1"/>
  <c r="DB938" i="1"/>
  <c r="DB939" i="1"/>
  <c r="DB940" i="1"/>
  <c r="DB941" i="1"/>
  <c r="DB943" i="1"/>
  <c r="DB944" i="1"/>
  <c r="DB945" i="1"/>
  <c r="DB947" i="1"/>
  <c r="DB948" i="1"/>
  <c r="DB950" i="1"/>
  <c r="DB951" i="1"/>
  <c r="DB952" i="1"/>
  <c r="DB953" i="1"/>
  <c r="DB954" i="1"/>
  <c r="DB955" i="1"/>
  <c r="DB956" i="1"/>
  <c r="DB957" i="1"/>
  <c r="DB958" i="1"/>
  <c r="DB960" i="1"/>
  <c r="DB961" i="1"/>
  <c r="DB962" i="1"/>
  <c r="DB963" i="1"/>
  <c r="DB964" i="1"/>
  <c r="DB965" i="1"/>
  <c r="DB966" i="1"/>
  <c r="DB967" i="1"/>
  <c r="DB969" i="1"/>
  <c r="DB970" i="1"/>
  <c r="DB971" i="1"/>
  <c r="DB972" i="1"/>
  <c r="DB973" i="1"/>
  <c r="DB974" i="1"/>
  <c r="DB975" i="1"/>
  <c r="DB977" i="1"/>
  <c r="DB978" i="1"/>
  <c r="DB979" i="1"/>
  <c r="DB980" i="1"/>
  <c r="DB981" i="1"/>
  <c r="DB983" i="1"/>
  <c r="DB985" i="1"/>
  <c r="DB986" i="1"/>
  <c r="DB987" i="1"/>
  <c r="DB989" i="1"/>
  <c r="DB990" i="1"/>
  <c r="DB991" i="1"/>
  <c r="DB992" i="1"/>
  <c r="DB993" i="1"/>
  <c r="DB994" i="1"/>
  <c r="DB996" i="1"/>
  <c r="DB997" i="1"/>
  <c r="DB998" i="1"/>
  <c r="DB999" i="1"/>
  <c r="DB1000" i="1"/>
  <c r="DB1001" i="1"/>
  <c r="DB1002" i="1"/>
  <c r="DB1003" i="1"/>
  <c r="DB1005" i="1"/>
  <c r="DB1006" i="1"/>
  <c r="DB1007" i="1"/>
  <c r="DB1008" i="1"/>
  <c r="DB1009" i="1"/>
  <c r="DB1010" i="1"/>
  <c r="DB1011" i="1"/>
  <c r="DB1013" i="1"/>
  <c r="DB1014" i="1"/>
  <c r="DB1015" i="1"/>
  <c r="DB1016" i="1"/>
  <c r="DB1017" i="1"/>
  <c r="DB1018" i="1"/>
  <c r="DB1019" i="1"/>
  <c r="DB1020" i="1"/>
  <c r="DB1021" i="1"/>
  <c r="DB1022" i="1"/>
  <c r="DB1023" i="1"/>
  <c r="DB1025" i="1"/>
  <c r="DB1026" i="1"/>
  <c r="DB1027" i="1"/>
  <c r="DB1028" i="1"/>
  <c r="DB1029" i="1"/>
  <c r="DB1030" i="1"/>
  <c r="DB1031" i="1"/>
  <c r="DB1032" i="1"/>
  <c r="DB1033" i="1"/>
  <c r="DB1035" i="1"/>
  <c r="DB1036" i="1"/>
  <c r="DB1037" i="1"/>
  <c r="DB1038" i="1"/>
  <c r="DB1039" i="1"/>
  <c r="DB1040" i="1"/>
  <c r="DB1041" i="1"/>
  <c r="DB1042" i="1"/>
  <c r="DB1043" i="1"/>
  <c r="DB1044" i="1"/>
  <c r="DB1046" i="1"/>
  <c r="DB1047" i="1"/>
  <c r="DB1048" i="1"/>
  <c r="DB1051" i="1"/>
  <c r="DB1053" i="1"/>
  <c r="DB1054" i="1"/>
  <c r="DB1055" i="1"/>
  <c r="DB1056" i="1"/>
  <c r="DB1057" i="1"/>
  <c r="DB1059" i="1"/>
  <c r="DB1060" i="1"/>
  <c r="DB1061" i="1"/>
  <c r="DB1062" i="1"/>
  <c r="DB1063" i="1"/>
  <c r="DB1064" i="1"/>
  <c r="DB1066" i="1"/>
  <c r="DB1067" i="1"/>
  <c r="DB1068" i="1"/>
  <c r="DB1069" i="1"/>
  <c r="DB1070" i="1"/>
  <c r="DB1071" i="1"/>
  <c r="DB1072" i="1"/>
  <c r="DB1073" i="1"/>
  <c r="DB1075" i="1"/>
  <c r="DB1076" i="1"/>
  <c r="DB1077" i="1"/>
  <c r="DB1079" i="1"/>
  <c r="DB1080" i="1"/>
  <c r="DB1081" i="1"/>
  <c r="DB1082" i="1"/>
  <c r="DB1083" i="1"/>
  <c r="DB1084" i="1"/>
  <c r="DB1086" i="1"/>
  <c r="DB1087" i="1"/>
  <c r="DB1088" i="1"/>
  <c r="DB1089" i="1"/>
  <c r="DB1090" i="1"/>
  <c r="DB1091" i="1"/>
  <c r="DB1092" i="1"/>
  <c r="DB1093" i="1"/>
  <c r="DB1094" i="1"/>
  <c r="DB1097" i="1"/>
  <c r="DB1098" i="1"/>
  <c r="DB1099" i="1"/>
  <c r="DB1100" i="1"/>
  <c r="DB1101" i="1"/>
  <c r="DB1102" i="1"/>
  <c r="DB1103" i="1"/>
  <c r="DB1104" i="1"/>
  <c r="DB1105" i="1"/>
  <c r="DB1106" i="1"/>
  <c r="DB1108" i="1"/>
  <c r="DB1109" i="1"/>
  <c r="DB1110" i="1"/>
  <c r="DB1111" i="1"/>
  <c r="DB1112" i="1"/>
  <c r="DB1113" i="1"/>
  <c r="DB1115" i="1"/>
  <c r="DB1116" i="1"/>
  <c r="DB1117" i="1"/>
  <c r="DB1118" i="1"/>
  <c r="DB1120" i="1"/>
  <c r="DB1122" i="1"/>
  <c r="DB1123" i="1"/>
  <c r="DB1124" i="1"/>
  <c r="DB1126" i="1"/>
  <c r="DB1127" i="1"/>
  <c r="DB1128" i="1"/>
  <c r="DB1129" i="1"/>
  <c r="DB1130" i="1"/>
  <c r="DB1131" i="1"/>
  <c r="DB1132" i="1"/>
  <c r="DB1133" i="1"/>
  <c r="DB1135" i="1"/>
  <c r="DB1136" i="1"/>
  <c r="DB1137" i="1"/>
  <c r="DB1138" i="1"/>
  <c r="DB1139" i="1"/>
  <c r="DB1140" i="1"/>
  <c r="DB1142" i="1"/>
  <c r="DB1143" i="1"/>
  <c r="DB1144" i="1"/>
  <c r="DB1145" i="1"/>
  <c r="DB1146" i="1"/>
  <c r="DB1147" i="1"/>
  <c r="DB1148" i="1"/>
  <c r="DB1149" i="1"/>
  <c r="DB1150" i="1"/>
  <c r="DB1152" i="1"/>
  <c r="DB1153" i="1"/>
  <c r="DB1154" i="1"/>
  <c r="DB1155" i="1"/>
  <c r="DB1157" i="1"/>
  <c r="DB1158" i="1"/>
  <c r="DB1159" i="1"/>
  <c r="DB1160" i="1"/>
  <c r="DB1161" i="1"/>
  <c r="DB1162" i="1"/>
  <c r="DB1163" i="1"/>
  <c r="DB1164" i="1"/>
  <c r="DB1165" i="1"/>
  <c r="DB1167" i="1"/>
  <c r="DB1168" i="1"/>
  <c r="DB1169" i="1"/>
  <c r="DB1170" i="1"/>
  <c r="DB1172" i="1"/>
  <c r="DB1173" i="1"/>
  <c r="DB1174" i="1"/>
  <c r="DB1175" i="1"/>
  <c r="DB1177" i="1"/>
  <c r="DB1178" i="1"/>
  <c r="DB1179" i="1"/>
  <c r="DB1180" i="1"/>
  <c r="DB1181" i="1"/>
  <c r="DB1182" i="1"/>
  <c r="DB1183" i="1"/>
  <c r="DB1185" i="1"/>
  <c r="DB1186" i="1"/>
  <c r="DB1187" i="1"/>
  <c r="DB1188" i="1"/>
  <c r="DB1189" i="1"/>
  <c r="DB1190" i="1"/>
  <c r="DB1192" i="1"/>
  <c r="DB1194" i="1"/>
  <c r="DB1195" i="1"/>
  <c r="DB1196" i="1"/>
  <c r="DB1199" i="1"/>
  <c r="DB1201" i="1"/>
  <c r="DB1202" i="1"/>
  <c r="DB1203" i="1"/>
  <c r="DB1204" i="1"/>
  <c r="DB1205" i="1"/>
  <c r="DB1206" i="1"/>
  <c r="DB1207" i="1"/>
  <c r="DB1209" i="1"/>
  <c r="DB1210" i="1"/>
  <c r="DB1211" i="1"/>
  <c r="DB1212" i="1"/>
  <c r="DB1213" i="1"/>
  <c r="DB1214" i="1"/>
  <c r="DB1215" i="1"/>
  <c r="DB1216" i="1"/>
  <c r="DB1217" i="1"/>
  <c r="DB1219" i="1"/>
  <c r="DB1220" i="1"/>
  <c r="DB1222" i="1"/>
  <c r="DB1223" i="1"/>
  <c r="DB1224" i="1"/>
  <c r="DB1225" i="1"/>
  <c r="DB1226" i="1"/>
  <c r="DB1227" i="1"/>
  <c r="DB1229" i="1"/>
  <c r="DB1230" i="1"/>
  <c r="DB1231" i="1"/>
  <c r="DB1232" i="1"/>
  <c r="DB1233" i="1"/>
  <c r="DB1234" i="1"/>
  <c r="DB1235" i="1"/>
  <c r="DB1236" i="1"/>
  <c r="DB1238" i="1"/>
  <c r="DB1240" i="1"/>
  <c r="DB1241" i="1"/>
  <c r="DB1242" i="1"/>
  <c r="DB1244" i="1"/>
  <c r="DB1245" i="1"/>
  <c r="DB1246" i="1"/>
  <c r="DB1247" i="1"/>
  <c r="DB1248" i="1"/>
  <c r="DB1250" i="1"/>
  <c r="DB1251" i="1"/>
  <c r="DB1252" i="1"/>
  <c r="DB1253" i="1"/>
  <c r="DB1254" i="1"/>
  <c r="DB1255" i="1"/>
  <c r="DB1256" i="1"/>
  <c r="DB1257" i="1"/>
  <c r="DB1258" i="1"/>
  <c r="DB1259" i="1"/>
  <c r="DB1261" i="1"/>
  <c r="DB1262" i="1"/>
  <c r="DB1263" i="1"/>
  <c r="DB1265" i="1"/>
  <c r="DB1266" i="1"/>
  <c r="DB1267" i="1"/>
  <c r="DB1268" i="1"/>
  <c r="DB1272" i="1"/>
  <c r="DB1274" i="1"/>
  <c r="DB1275" i="1"/>
  <c r="DB1276" i="1"/>
  <c r="DB1277" i="1"/>
  <c r="DB1278" i="1"/>
  <c r="DB1279" i="1"/>
  <c r="DB1280" i="1"/>
  <c r="DB1282" i="1"/>
  <c r="DB1283" i="1"/>
  <c r="DB1284" i="1"/>
  <c r="DB1285" i="1"/>
  <c r="DB1286" i="1"/>
  <c r="DB1287" i="1"/>
  <c r="DB1288" i="1"/>
  <c r="DB1289" i="1"/>
  <c r="DB1291" i="1"/>
  <c r="DB1292" i="1"/>
  <c r="DB1293" i="1"/>
  <c r="DB1294" i="1"/>
  <c r="DB1295" i="1"/>
  <c r="DB1296" i="1"/>
  <c r="DB1297" i="1"/>
  <c r="DB1298" i="1"/>
  <c r="DB1299" i="1"/>
  <c r="DB1300" i="1"/>
  <c r="DB1301" i="1"/>
  <c r="DB1303" i="1"/>
  <c r="DB1304" i="1"/>
  <c r="DB1305" i="1"/>
  <c r="DB1306" i="1"/>
  <c r="DB1307" i="1"/>
  <c r="DB1308" i="1"/>
  <c r="DB1309" i="1"/>
  <c r="DB1310" i="1"/>
  <c r="DB1311" i="1"/>
  <c r="DB1312" i="1"/>
  <c r="DB1313" i="1"/>
  <c r="DC67" i="1"/>
  <c r="DC68" i="1"/>
  <c r="DC69" i="1"/>
  <c r="DC70" i="1"/>
  <c r="DC71" i="1"/>
  <c r="DC72" i="1"/>
  <c r="DC73" i="1"/>
  <c r="DC74" i="1"/>
  <c r="DC76" i="1"/>
  <c r="DC77" i="1"/>
  <c r="DC78" i="1"/>
  <c r="DC79" i="1"/>
  <c r="DC80" i="1"/>
  <c r="DC81" i="1"/>
  <c r="DC82" i="1"/>
  <c r="DC84" i="1"/>
  <c r="DC85" i="1"/>
  <c r="DC86" i="1"/>
  <c r="DC87" i="1"/>
  <c r="DC88" i="1"/>
  <c r="DC89" i="1"/>
  <c r="DC90" i="1"/>
  <c r="DC93" i="1"/>
  <c r="DC94" i="1"/>
  <c r="DC95" i="1"/>
  <c r="DC96" i="1"/>
  <c r="DC97" i="1"/>
  <c r="DC98" i="1"/>
  <c r="DC101" i="1"/>
  <c r="DC103" i="1"/>
  <c r="DC104" i="1"/>
  <c r="DC105" i="1"/>
  <c r="DC106" i="1"/>
  <c r="DC107" i="1"/>
  <c r="DC108" i="1"/>
  <c r="DC109" i="1"/>
  <c r="DC111" i="1"/>
  <c r="DC112" i="1"/>
  <c r="DC113" i="1"/>
  <c r="DC114" i="1"/>
  <c r="DC115" i="1"/>
  <c r="DC116" i="1"/>
  <c r="DC117" i="1"/>
  <c r="DC118" i="1"/>
  <c r="DC119" i="1"/>
  <c r="DC120" i="1"/>
  <c r="DC122" i="1"/>
  <c r="DC124" i="1"/>
  <c r="DC125" i="1"/>
  <c r="DC126" i="1"/>
  <c r="DC129" i="1"/>
  <c r="DC131" i="1"/>
  <c r="DC132" i="1"/>
  <c r="DC133" i="1"/>
  <c r="DC136" i="1"/>
  <c r="DC138" i="1"/>
  <c r="DC139" i="1"/>
  <c r="DC140" i="1"/>
  <c r="DC141" i="1"/>
  <c r="DC142" i="1"/>
  <c r="DC144" i="1"/>
  <c r="DC145" i="1"/>
  <c r="DC146" i="1"/>
  <c r="DC147" i="1"/>
  <c r="DC148" i="1"/>
  <c r="DC149" i="1"/>
  <c r="DC151" i="1"/>
  <c r="DC152" i="1"/>
  <c r="DC153" i="1"/>
  <c r="DC154" i="1"/>
  <c r="DC155" i="1"/>
  <c r="DC156" i="1"/>
  <c r="DC157" i="1"/>
  <c r="DC158" i="1"/>
  <c r="DC160" i="1"/>
  <c r="DC161" i="1"/>
  <c r="DC162" i="1"/>
  <c r="DC163" i="1"/>
  <c r="DC165" i="1"/>
  <c r="DC166" i="1"/>
  <c r="DC167" i="1"/>
  <c r="DC168" i="1"/>
  <c r="DC169" i="1"/>
  <c r="DC170" i="1"/>
  <c r="DC172" i="1"/>
  <c r="DC173" i="1"/>
  <c r="DC175" i="1"/>
  <c r="DC176" i="1"/>
  <c r="DC177" i="1"/>
  <c r="DC178" i="1"/>
  <c r="DC179" i="1"/>
  <c r="DC180" i="1"/>
  <c r="DC181" i="1"/>
  <c r="DC182" i="1"/>
  <c r="DC183" i="1"/>
  <c r="DC184" i="1"/>
  <c r="DC186" i="1"/>
  <c r="DC187" i="1"/>
  <c r="DC188" i="1"/>
  <c r="DC189" i="1"/>
  <c r="DC190" i="1"/>
  <c r="DC191" i="1"/>
  <c r="DC192" i="1"/>
  <c r="DC193" i="1"/>
  <c r="DC195" i="1"/>
  <c r="DC196" i="1"/>
  <c r="DC197" i="1"/>
  <c r="DC198" i="1"/>
  <c r="DC200" i="1"/>
  <c r="DC201" i="1"/>
  <c r="DC202" i="1"/>
  <c r="DC203" i="1"/>
  <c r="DC204" i="1"/>
  <c r="DC205" i="1"/>
  <c r="DC206" i="1"/>
  <c r="DC207" i="1"/>
  <c r="DC209" i="1"/>
  <c r="DC210" i="1"/>
  <c r="DC211" i="1"/>
  <c r="DC212" i="1"/>
  <c r="DC213" i="1"/>
  <c r="DC214" i="1"/>
  <c r="DC215" i="1"/>
  <c r="DC217" i="1"/>
  <c r="DC218" i="1"/>
  <c r="DC219" i="1"/>
  <c r="DC220" i="1"/>
  <c r="DC221" i="1"/>
  <c r="DC222" i="1"/>
  <c r="DC225" i="1"/>
  <c r="DC226" i="1"/>
  <c r="DC227" i="1"/>
  <c r="DC228" i="1"/>
  <c r="DC229" i="1"/>
  <c r="DC231" i="1"/>
  <c r="DC232" i="1"/>
  <c r="DC233" i="1"/>
  <c r="DC234" i="1"/>
  <c r="DC235" i="1"/>
  <c r="DC236" i="1"/>
  <c r="DC237" i="1"/>
  <c r="DC238" i="1"/>
  <c r="DC240" i="1"/>
  <c r="DC241" i="1"/>
  <c r="DC242" i="1"/>
  <c r="DC243" i="1"/>
  <c r="DC244" i="1"/>
  <c r="DC245" i="1"/>
  <c r="DC246" i="1"/>
  <c r="DC247" i="1"/>
  <c r="DC249" i="1"/>
  <c r="DC250" i="1"/>
  <c r="DC251" i="1"/>
  <c r="DC252" i="1"/>
  <c r="DC253" i="1"/>
  <c r="DC254" i="1"/>
  <c r="DC255" i="1"/>
  <c r="DC256" i="1"/>
  <c r="DC258" i="1"/>
  <c r="DC259" i="1"/>
  <c r="DC260" i="1"/>
  <c r="DC261" i="1"/>
  <c r="DC262" i="1"/>
  <c r="DC263" i="1"/>
  <c r="DC264" i="1"/>
  <c r="DC265" i="1"/>
  <c r="DC266" i="1"/>
  <c r="DC268" i="1"/>
  <c r="DC269" i="1"/>
  <c r="DC270" i="1"/>
  <c r="DC271" i="1"/>
  <c r="DC272" i="1"/>
  <c r="DC273" i="1"/>
  <c r="DC274" i="1"/>
  <c r="DC275" i="1"/>
  <c r="DC276" i="1"/>
  <c r="DC278" i="1"/>
  <c r="DC279" i="1"/>
  <c r="DC280" i="1"/>
  <c r="DC281" i="1"/>
  <c r="DC282" i="1"/>
  <c r="DC283" i="1"/>
  <c r="DC285" i="1"/>
  <c r="DC286" i="1"/>
  <c r="DC287" i="1"/>
  <c r="DC288" i="1"/>
  <c r="DC291" i="1"/>
  <c r="DC292" i="1"/>
  <c r="DC293" i="1"/>
  <c r="DC294" i="1"/>
  <c r="DC296" i="1"/>
  <c r="DC297" i="1"/>
  <c r="DC298" i="1"/>
  <c r="DC299" i="1"/>
  <c r="DC300" i="1"/>
  <c r="DC301" i="1"/>
  <c r="DC302" i="1"/>
  <c r="DC303" i="1"/>
  <c r="DC305" i="1"/>
  <c r="DC306" i="1"/>
  <c r="DC307" i="1"/>
  <c r="DC308" i="1"/>
  <c r="DC309" i="1"/>
  <c r="DC310" i="1"/>
  <c r="DC311" i="1"/>
  <c r="DC312" i="1"/>
  <c r="DC313" i="1"/>
  <c r="DC314" i="1"/>
  <c r="DC316" i="1"/>
  <c r="DC317" i="1"/>
  <c r="DC318" i="1"/>
  <c r="DC319" i="1"/>
  <c r="DC320" i="1"/>
  <c r="DC321" i="1"/>
  <c r="DC322" i="1"/>
  <c r="DC323" i="1"/>
  <c r="DC324" i="1"/>
  <c r="DC325" i="1"/>
  <c r="DC326" i="1"/>
  <c r="DC327" i="1"/>
  <c r="DC329" i="1"/>
  <c r="DC330" i="1"/>
  <c r="DC332" i="1"/>
  <c r="DC333" i="1"/>
  <c r="DC334" i="1"/>
  <c r="DC335" i="1"/>
  <c r="DC336" i="1"/>
  <c r="DC337" i="1"/>
  <c r="DC338" i="1"/>
  <c r="DC340" i="1"/>
  <c r="DC341" i="1"/>
  <c r="DC342" i="1"/>
  <c r="DC343" i="1"/>
  <c r="DC344" i="1"/>
  <c r="DC345" i="1"/>
  <c r="DC346" i="1"/>
  <c r="DC347" i="1"/>
  <c r="DC348" i="1"/>
  <c r="DC349" i="1"/>
  <c r="DC351" i="1"/>
  <c r="DC352" i="1"/>
  <c r="DC353" i="1"/>
  <c r="DC354" i="1"/>
  <c r="DC355" i="1"/>
  <c r="DC356" i="1"/>
  <c r="DC358" i="1"/>
  <c r="DC359" i="1"/>
  <c r="DC360" i="1"/>
  <c r="DC361" i="1"/>
  <c r="DC362" i="1"/>
  <c r="DC363" i="1"/>
  <c r="DC364" i="1"/>
  <c r="DC365" i="1"/>
  <c r="DC367" i="1"/>
  <c r="DC368" i="1"/>
  <c r="DC369" i="1"/>
  <c r="DC371" i="1"/>
  <c r="DC372" i="1"/>
  <c r="DC373" i="1"/>
  <c r="DC375" i="1"/>
  <c r="DC376" i="1"/>
  <c r="DC378" i="1"/>
  <c r="DC379" i="1"/>
  <c r="DC380" i="1"/>
  <c r="DC381" i="1"/>
  <c r="DC382" i="1"/>
  <c r="DC383" i="1"/>
  <c r="DC385" i="1"/>
  <c r="DC386" i="1"/>
  <c r="DC387" i="1"/>
  <c r="DC388" i="1"/>
  <c r="DC389" i="1"/>
  <c r="DC390" i="1"/>
  <c r="DC391" i="1"/>
  <c r="DC393" i="1"/>
  <c r="DC394" i="1"/>
  <c r="DC395" i="1"/>
  <c r="DC396" i="1"/>
  <c r="DC397" i="1"/>
  <c r="DC398" i="1"/>
  <c r="DC399" i="1"/>
  <c r="DC400" i="1"/>
  <c r="DC401" i="1"/>
  <c r="DC403" i="1"/>
  <c r="DC404" i="1"/>
  <c r="DC405" i="1"/>
  <c r="DC406" i="1"/>
  <c r="DC407" i="1"/>
  <c r="DC408" i="1"/>
  <c r="DC409" i="1"/>
  <c r="DC410" i="1"/>
  <c r="DC411" i="1"/>
  <c r="DC413" i="1"/>
  <c r="DC414" i="1"/>
  <c r="DC415" i="1"/>
  <c r="DC416" i="1"/>
  <c r="DC417" i="1"/>
  <c r="DC418" i="1"/>
  <c r="DC421" i="1"/>
  <c r="DC422" i="1"/>
  <c r="DC423" i="1"/>
  <c r="DC424" i="1"/>
  <c r="DC425" i="1"/>
  <c r="DC426" i="1"/>
  <c r="DC427" i="1"/>
  <c r="DC428" i="1"/>
  <c r="DC430" i="1"/>
  <c r="DC431" i="1"/>
  <c r="DC432" i="1"/>
  <c r="DC433" i="1"/>
  <c r="DC434" i="1"/>
  <c r="DC435" i="1"/>
  <c r="DC436" i="1"/>
  <c r="DC438" i="1"/>
  <c r="DC439" i="1"/>
  <c r="DC440" i="1"/>
  <c r="DC441" i="1"/>
  <c r="DC442" i="1"/>
  <c r="DC443" i="1"/>
  <c r="DC445" i="1"/>
  <c r="DC446" i="1"/>
  <c r="DC447" i="1"/>
  <c r="DC448" i="1"/>
  <c r="DC449" i="1"/>
  <c r="DC450" i="1"/>
  <c r="DC451" i="1"/>
  <c r="DC452" i="1"/>
  <c r="DC454" i="1"/>
  <c r="DC455" i="1"/>
  <c r="DC456" i="1"/>
  <c r="DC457" i="1"/>
  <c r="DC459" i="1"/>
  <c r="DC460" i="1"/>
  <c r="DC461" i="1"/>
  <c r="DC462" i="1"/>
  <c r="DC463" i="1"/>
  <c r="DC464" i="1"/>
  <c r="DC465" i="1"/>
  <c r="DC466" i="1"/>
  <c r="DC468" i="1"/>
  <c r="DC469" i="1"/>
  <c r="DC470" i="1"/>
  <c r="DC471" i="1"/>
  <c r="DC472" i="1"/>
  <c r="DC473" i="1"/>
  <c r="DC474" i="1"/>
  <c r="DC475" i="1"/>
  <c r="DC476" i="1"/>
  <c r="DC478" i="1"/>
  <c r="DC479" i="1"/>
  <c r="DC480" i="1"/>
  <c r="DC481" i="1"/>
  <c r="DC482" i="1"/>
  <c r="DC483" i="1"/>
  <c r="DC485" i="1"/>
  <c r="DC486" i="1"/>
  <c r="DC487" i="1"/>
  <c r="DC488" i="1"/>
  <c r="DC489" i="1"/>
  <c r="DC490" i="1"/>
  <c r="DC491" i="1"/>
  <c r="DC492" i="1"/>
  <c r="DC493" i="1"/>
  <c r="DC495" i="1"/>
  <c r="DC496" i="1"/>
  <c r="DC497" i="1"/>
  <c r="DC498" i="1"/>
  <c r="DC499" i="1"/>
  <c r="DC500" i="1"/>
  <c r="DC502" i="1"/>
  <c r="DC503" i="1"/>
  <c r="DC504" i="1"/>
  <c r="DC505" i="1"/>
  <c r="DC506" i="1"/>
  <c r="DC507" i="1"/>
  <c r="DC508" i="1"/>
  <c r="DC510" i="1"/>
  <c r="DC511" i="1"/>
  <c r="DC512" i="1"/>
  <c r="DC514" i="1"/>
  <c r="DC515" i="1"/>
  <c r="DC516" i="1"/>
  <c r="DC517" i="1"/>
  <c r="DC518" i="1"/>
  <c r="DC520" i="1"/>
  <c r="DC521" i="1"/>
  <c r="DC522" i="1"/>
  <c r="DC523" i="1"/>
  <c r="DC524" i="1"/>
  <c r="DC525" i="1"/>
  <c r="DC526" i="1"/>
  <c r="DC527" i="1"/>
  <c r="DC529" i="1"/>
  <c r="DC530" i="1"/>
  <c r="DC531" i="1"/>
  <c r="DC532" i="1"/>
  <c r="DC533" i="1"/>
  <c r="DC534" i="1"/>
  <c r="DC535" i="1"/>
  <c r="DC536" i="1"/>
  <c r="DC538" i="1"/>
  <c r="DC539" i="1"/>
  <c r="DC540" i="1"/>
  <c r="DC541" i="1"/>
  <c r="DC542" i="1"/>
  <c r="DC543" i="1"/>
  <c r="DC544" i="1"/>
  <c r="DC545" i="1"/>
  <c r="DC546" i="1"/>
  <c r="DC548" i="1"/>
  <c r="DC549" i="1"/>
  <c r="DC550" i="1"/>
  <c r="DC551" i="1"/>
  <c r="DC552" i="1"/>
  <c r="DC553" i="1"/>
  <c r="DC554" i="1"/>
  <c r="DC555" i="1"/>
  <c r="DC557" i="1"/>
  <c r="DC558" i="1"/>
  <c r="DC559" i="1"/>
  <c r="DC560" i="1"/>
  <c r="DC561" i="1"/>
  <c r="DC562" i="1"/>
  <c r="DC564" i="1"/>
  <c r="DC565" i="1"/>
  <c r="DC566" i="1"/>
  <c r="DC567" i="1"/>
  <c r="DC569" i="1"/>
  <c r="DC570" i="1"/>
  <c r="DC572" i="1"/>
  <c r="DC573" i="1"/>
  <c r="DC574" i="1"/>
  <c r="DC576" i="1"/>
  <c r="DC577" i="1"/>
  <c r="DC578" i="1"/>
  <c r="DC579" i="1"/>
  <c r="DC580" i="1"/>
  <c r="DC581" i="1"/>
  <c r="DC583" i="1"/>
  <c r="DC584" i="1"/>
  <c r="DC586" i="1"/>
  <c r="DC587" i="1"/>
  <c r="DC588" i="1"/>
  <c r="DC590" i="1"/>
  <c r="DC591" i="1"/>
  <c r="DC592" i="1"/>
  <c r="DC593" i="1"/>
  <c r="DC594" i="1"/>
  <c r="DC595" i="1"/>
  <c r="DC596" i="1"/>
  <c r="DC597" i="1"/>
  <c r="DC598" i="1"/>
  <c r="DC600" i="1"/>
  <c r="DC601" i="1"/>
  <c r="DC603" i="1"/>
  <c r="DC604" i="1"/>
  <c r="DC605" i="1"/>
  <c r="DC607" i="1"/>
  <c r="DC608" i="1"/>
  <c r="DC609" i="1"/>
  <c r="DC610" i="1"/>
  <c r="DC611" i="1"/>
  <c r="DC612" i="1"/>
  <c r="DC614" i="1"/>
  <c r="DC615" i="1"/>
  <c r="DC617" i="1"/>
  <c r="DC618" i="1"/>
  <c r="DC619" i="1"/>
  <c r="DC620" i="1"/>
  <c r="DC622" i="1"/>
  <c r="DC623" i="1"/>
  <c r="DC624" i="1"/>
  <c r="DC625" i="1"/>
  <c r="DC626" i="1"/>
  <c r="DC628" i="1"/>
  <c r="DC629" i="1"/>
  <c r="DC630" i="1"/>
  <c r="DC631" i="1"/>
  <c r="DC632" i="1"/>
  <c r="DC633" i="1"/>
  <c r="DC634" i="1"/>
  <c r="DC636" i="1"/>
  <c r="DC637" i="1"/>
  <c r="DC638" i="1"/>
  <c r="DC639" i="1"/>
  <c r="DC641" i="1"/>
  <c r="DC643" i="1"/>
  <c r="DC644" i="1"/>
  <c r="DC645" i="1"/>
  <c r="DC647" i="1"/>
  <c r="DC648" i="1"/>
  <c r="DC649" i="1"/>
  <c r="DC650" i="1"/>
  <c r="DC651" i="1"/>
  <c r="DC652" i="1"/>
  <c r="DC655" i="1"/>
  <c r="DC656" i="1"/>
  <c r="DC657" i="1"/>
  <c r="DC658" i="1"/>
  <c r="DC659" i="1"/>
  <c r="DC660" i="1"/>
  <c r="DC662" i="1"/>
  <c r="DC663" i="1"/>
  <c r="DC665" i="1"/>
  <c r="DC666" i="1"/>
  <c r="DC667" i="1"/>
  <c r="DC669" i="1"/>
  <c r="DC670" i="1"/>
  <c r="DC671" i="1"/>
  <c r="DC672" i="1"/>
  <c r="DC674" i="1"/>
  <c r="DC675" i="1"/>
  <c r="DC676" i="1"/>
  <c r="DC677" i="1"/>
  <c r="DC678" i="1"/>
  <c r="DC679" i="1"/>
  <c r="DC681" i="1"/>
  <c r="DC682" i="1"/>
  <c r="DC683" i="1"/>
  <c r="DC684" i="1"/>
  <c r="DC685" i="1"/>
  <c r="DC686" i="1"/>
  <c r="DC687" i="1"/>
  <c r="DC688" i="1"/>
  <c r="DC689" i="1"/>
  <c r="DC690" i="1"/>
  <c r="DC691" i="1"/>
  <c r="DC693" i="1"/>
  <c r="DC694" i="1"/>
  <c r="DC695" i="1"/>
  <c r="DC696" i="1"/>
  <c r="DC698" i="1"/>
  <c r="DC699" i="1"/>
  <c r="DC702" i="1"/>
  <c r="DC703" i="1"/>
  <c r="DC704" i="1"/>
  <c r="DC706" i="1"/>
  <c r="DC707" i="1"/>
  <c r="DC708" i="1"/>
  <c r="DC709" i="1"/>
  <c r="DC711" i="1"/>
  <c r="DC712" i="1"/>
  <c r="DC713" i="1"/>
  <c r="DC714" i="1"/>
  <c r="DC715" i="1"/>
  <c r="DC716" i="1"/>
  <c r="DC717" i="1"/>
  <c r="DC718" i="1"/>
  <c r="DC720" i="1"/>
  <c r="DC721" i="1"/>
  <c r="DC723" i="1"/>
  <c r="DC724" i="1"/>
  <c r="DC725" i="1"/>
  <c r="DC726" i="1"/>
  <c r="DC729" i="1"/>
  <c r="DC731" i="1"/>
  <c r="DC732" i="1"/>
  <c r="DC733" i="1"/>
  <c r="DC734" i="1"/>
  <c r="DC735" i="1"/>
  <c r="DC736" i="1"/>
  <c r="DC738" i="1"/>
  <c r="DC739" i="1"/>
  <c r="DC740" i="1"/>
  <c r="DC741" i="1"/>
  <c r="DC742" i="1"/>
  <c r="DC743" i="1"/>
  <c r="DC744" i="1"/>
  <c r="DC745" i="1"/>
  <c r="DC748" i="1"/>
  <c r="DC750" i="1"/>
  <c r="DC751" i="1"/>
  <c r="DC752" i="1"/>
  <c r="DC753" i="1"/>
  <c r="DC754" i="1"/>
  <c r="DC755" i="1"/>
  <c r="DC756" i="1"/>
  <c r="DC758" i="1"/>
  <c r="DC760" i="1"/>
  <c r="DC761" i="1"/>
  <c r="DC763" i="1"/>
  <c r="DC764" i="1"/>
  <c r="DC766" i="1"/>
  <c r="DC767" i="1"/>
  <c r="DC768" i="1"/>
  <c r="DC769" i="1"/>
  <c r="DC774" i="1"/>
  <c r="DC775" i="1"/>
  <c r="DC777" i="1"/>
  <c r="DC778" i="1"/>
  <c r="DC779" i="1"/>
  <c r="DC780" i="1"/>
  <c r="DC782" i="1"/>
  <c r="DC783" i="1"/>
  <c r="DC784" i="1"/>
  <c r="DC785" i="1"/>
  <c r="DC786" i="1"/>
  <c r="DC787" i="1"/>
  <c r="DC789" i="1"/>
  <c r="DC790" i="1"/>
  <c r="DC791" i="1"/>
  <c r="DC793" i="1"/>
  <c r="DC794" i="1"/>
  <c r="DC795" i="1"/>
  <c r="DC796" i="1"/>
  <c r="DC797" i="1"/>
  <c r="DC798" i="1"/>
  <c r="DC800" i="1"/>
  <c r="DC801" i="1"/>
  <c r="DC802" i="1"/>
  <c r="DC803" i="1"/>
  <c r="DC804" i="1"/>
  <c r="DC805" i="1"/>
  <c r="DC806" i="1"/>
  <c r="DC807" i="1"/>
  <c r="DC808" i="1"/>
  <c r="DC810" i="1"/>
  <c r="DC811" i="1"/>
  <c r="DC812" i="1"/>
  <c r="DC813" i="1"/>
  <c r="DC814" i="1"/>
  <c r="DC815" i="1"/>
  <c r="DC816" i="1"/>
  <c r="DC818" i="1"/>
  <c r="DC819" i="1"/>
  <c r="DC820" i="1"/>
  <c r="DC822" i="1"/>
  <c r="DC823" i="1"/>
  <c r="DC824" i="1"/>
  <c r="DC825" i="1"/>
  <c r="DC826" i="1"/>
  <c r="DC827" i="1"/>
  <c r="DC829" i="1"/>
  <c r="DC830" i="1"/>
  <c r="DC831" i="1"/>
  <c r="DC832" i="1"/>
  <c r="DC834" i="1"/>
  <c r="DC835" i="1"/>
  <c r="DC836" i="1"/>
  <c r="DC838" i="1"/>
  <c r="DC839" i="1"/>
  <c r="DC840" i="1"/>
  <c r="DC841" i="1"/>
  <c r="DC842" i="1"/>
  <c r="DC843" i="1"/>
  <c r="DC845" i="1"/>
  <c r="DC846" i="1"/>
  <c r="DC847" i="1"/>
  <c r="DC848" i="1"/>
  <c r="DC849" i="1"/>
  <c r="DC850" i="1"/>
  <c r="DC852" i="1"/>
  <c r="DC854" i="1"/>
  <c r="DC855" i="1"/>
  <c r="DC856" i="1"/>
  <c r="DC857" i="1"/>
  <c r="DC859" i="1"/>
  <c r="DC860" i="1"/>
  <c r="DC862" i="1"/>
  <c r="DC863" i="1"/>
  <c r="DC864" i="1"/>
  <c r="DC865" i="1"/>
  <c r="DC866" i="1"/>
  <c r="DC867" i="1"/>
  <c r="DC868" i="1"/>
  <c r="DC869" i="1"/>
  <c r="DC870" i="1"/>
  <c r="DC873" i="1"/>
  <c r="DC874" i="1"/>
  <c r="DC875" i="1"/>
  <c r="DC876" i="1"/>
  <c r="DC877" i="1"/>
  <c r="DC878" i="1"/>
  <c r="DC879" i="1"/>
  <c r="DC880" i="1"/>
  <c r="DC881" i="1"/>
  <c r="DC884" i="1"/>
  <c r="DC886" i="1"/>
  <c r="DC887" i="1"/>
  <c r="DC888" i="1"/>
  <c r="DC889" i="1"/>
  <c r="DC890" i="1"/>
  <c r="DC891" i="1"/>
  <c r="DC892" i="1"/>
  <c r="DC893" i="1"/>
  <c r="DC894" i="1"/>
  <c r="DC895" i="1"/>
  <c r="DC898" i="1"/>
  <c r="DC899" i="1"/>
  <c r="DC900" i="1"/>
  <c r="DC901" i="1"/>
  <c r="DC902" i="1"/>
  <c r="DC904" i="1"/>
  <c r="DC905" i="1"/>
  <c r="DC906" i="1"/>
  <c r="DC908" i="1"/>
  <c r="DC909" i="1"/>
  <c r="DC910" i="1"/>
  <c r="DC911" i="1"/>
  <c r="DC912" i="1"/>
  <c r="DC913" i="1"/>
  <c r="DC915" i="1"/>
  <c r="DC916" i="1"/>
  <c r="DC917" i="1"/>
  <c r="DC918" i="1"/>
  <c r="DC919" i="1"/>
  <c r="DC921" i="1"/>
  <c r="DC922" i="1"/>
  <c r="DC923" i="1"/>
  <c r="DC924" i="1"/>
  <c r="DC925" i="1"/>
  <c r="DC927" i="1"/>
  <c r="DC928" i="1"/>
  <c r="DC929" i="1"/>
  <c r="DC930" i="1"/>
  <c r="DC931" i="1"/>
  <c r="DC932" i="1"/>
  <c r="DC933" i="1"/>
  <c r="DC935" i="1"/>
  <c r="DC936" i="1"/>
  <c r="DC937" i="1"/>
  <c r="DC938" i="1"/>
  <c r="DC939" i="1"/>
  <c r="DC940" i="1"/>
  <c r="DC941" i="1"/>
  <c r="DC943" i="1"/>
  <c r="DC944" i="1"/>
  <c r="DC945" i="1"/>
  <c r="DC947" i="1"/>
  <c r="DC948" i="1"/>
  <c r="DC950" i="1"/>
  <c r="DC951" i="1"/>
  <c r="DC952" i="1"/>
  <c r="DC953" i="1"/>
  <c r="DC954" i="1"/>
  <c r="DC955" i="1"/>
  <c r="DC956" i="1"/>
  <c r="DC957" i="1"/>
  <c r="DC958" i="1"/>
  <c r="DC960" i="1"/>
  <c r="DC961" i="1"/>
  <c r="DC962" i="1"/>
  <c r="DC963" i="1"/>
  <c r="DC964" i="1"/>
  <c r="DC965" i="1"/>
  <c r="DC966" i="1"/>
  <c r="DC967" i="1"/>
  <c r="DC969" i="1"/>
  <c r="DC970" i="1"/>
  <c r="DC971" i="1"/>
  <c r="DC972" i="1"/>
  <c r="DC973" i="1"/>
  <c r="DC974" i="1"/>
  <c r="DC975" i="1"/>
  <c r="DC977" i="1"/>
  <c r="DC978" i="1"/>
  <c r="DC979" i="1"/>
  <c r="DC980" i="1"/>
  <c r="DC981" i="1"/>
  <c r="DC983" i="1"/>
  <c r="DC985" i="1"/>
  <c r="DC986" i="1"/>
  <c r="DC987" i="1"/>
  <c r="DC989" i="1"/>
  <c r="DC990" i="1"/>
  <c r="DC991" i="1"/>
  <c r="DC992" i="1"/>
  <c r="DC993" i="1"/>
  <c r="DC994" i="1"/>
  <c r="DC996" i="1"/>
  <c r="DC997" i="1"/>
  <c r="DC998" i="1"/>
  <c r="DC999" i="1"/>
  <c r="DC1000" i="1"/>
  <c r="DC1001" i="1"/>
  <c r="DC1002" i="1"/>
  <c r="DC1003" i="1"/>
  <c r="DC1005" i="1"/>
  <c r="DC1006" i="1"/>
  <c r="DC1007" i="1"/>
  <c r="DC1008" i="1"/>
  <c r="DC1009" i="1"/>
  <c r="DC1010" i="1"/>
  <c r="DC1011" i="1"/>
  <c r="DC1013" i="1"/>
  <c r="DC1014" i="1"/>
  <c r="DC1015" i="1"/>
  <c r="DC1016" i="1"/>
  <c r="DC1017" i="1"/>
  <c r="DC1018" i="1"/>
  <c r="DC1019" i="1"/>
  <c r="DC1020" i="1"/>
  <c r="DC1021" i="1"/>
  <c r="DC1022" i="1"/>
  <c r="DC1023" i="1"/>
  <c r="DC1025" i="1"/>
  <c r="DC1026" i="1"/>
  <c r="DC1027" i="1"/>
  <c r="DC1028" i="1"/>
  <c r="DC1029" i="1"/>
  <c r="DC1030" i="1"/>
  <c r="DC1031" i="1"/>
  <c r="DC1032" i="1"/>
  <c r="DC1033" i="1"/>
  <c r="DC1035" i="1"/>
  <c r="DC1036" i="1"/>
  <c r="DC1037" i="1"/>
  <c r="DC1038" i="1"/>
  <c r="DC1039" i="1"/>
  <c r="DC1040" i="1"/>
  <c r="DC1041" i="1"/>
  <c r="DC1042" i="1"/>
  <c r="DC1043" i="1"/>
  <c r="DC1044" i="1"/>
  <c r="DC1046" i="1"/>
  <c r="DC1047" i="1"/>
  <c r="DC1048" i="1"/>
  <c r="DC1051" i="1"/>
  <c r="DC1053" i="1"/>
  <c r="DC1054" i="1"/>
  <c r="DC1055" i="1"/>
  <c r="DC1056" i="1"/>
  <c r="DC1057" i="1"/>
  <c r="DC1059" i="1"/>
  <c r="DC1060" i="1"/>
  <c r="DC1061" i="1"/>
  <c r="DC1062" i="1"/>
  <c r="DC1063" i="1"/>
  <c r="DC1064" i="1"/>
  <c r="DC1066" i="1"/>
  <c r="DC1067" i="1"/>
  <c r="DC1068" i="1"/>
  <c r="DC1069" i="1"/>
  <c r="DC1070" i="1"/>
  <c r="DC1071" i="1"/>
  <c r="DC1072" i="1"/>
  <c r="DC1073" i="1"/>
  <c r="DC1075" i="1"/>
  <c r="DC1076" i="1"/>
  <c r="DC1077" i="1"/>
  <c r="DC1079" i="1"/>
  <c r="DC1080" i="1"/>
  <c r="DC1081" i="1"/>
  <c r="DC1082" i="1"/>
  <c r="DC1083" i="1"/>
  <c r="DC1084" i="1"/>
  <c r="DC1086" i="1"/>
  <c r="DC1087" i="1"/>
  <c r="DC1088" i="1"/>
  <c r="DC1089" i="1"/>
  <c r="DC1090" i="1"/>
  <c r="DC1091" i="1"/>
  <c r="DC1092" i="1"/>
  <c r="DC1093" i="1"/>
  <c r="DC1094" i="1"/>
  <c r="DC1097" i="1"/>
  <c r="DC1098" i="1"/>
  <c r="DC1099" i="1"/>
  <c r="DC1100" i="1"/>
  <c r="DC1101" i="1"/>
  <c r="DC1102" i="1"/>
  <c r="DC1103" i="1"/>
  <c r="DC1104" i="1"/>
  <c r="DC1105" i="1"/>
  <c r="DC1106" i="1"/>
  <c r="DC1108" i="1"/>
  <c r="DC1109" i="1"/>
  <c r="DC1110" i="1"/>
  <c r="DC1111" i="1"/>
  <c r="DC1112" i="1"/>
  <c r="DC1113" i="1"/>
  <c r="DC1115" i="1"/>
  <c r="DC1116" i="1"/>
  <c r="DC1117" i="1"/>
  <c r="DC1118" i="1"/>
  <c r="DC1120" i="1"/>
  <c r="DC1122" i="1"/>
  <c r="DC1123" i="1"/>
  <c r="DC1124" i="1"/>
  <c r="DC1126" i="1"/>
  <c r="DC1127" i="1"/>
  <c r="DC1128" i="1"/>
  <c r="DC1129" i="1"/>
  <c r="DC1130" i="1"/>
  <c r="DC1131" i="1"/>
  <c r="DC1132" i="1"/>
  <c r="DC1133" i="1"/>
  <c r="DC1135" i="1"/>
  <c r="DC1136" i="1"/>
  <c r="DC1137" i="1"/>
  <c r="DC1138" i="1"/>
  <c r="DC1139" i="1"/>
  <c r="DC1140" i="1"/>
  <c r="DC1142" i="1"/>
  <c r="DC1143" i="1"/>
  <c r="DC1144" i="1"/>
  <c r="DC1145" i="1"/>
  <c r="DC1146" i="1"/>
  <c r="DC1147" i="1"/>
  <c r="DC1148" i="1"/>
  <c r="DC1149" i="1"/>
  <c r="DC1150" i="1"/>
  <c r="DC1152" i="1"/>
  <c r="DC1153" i="1"/>
  <c r="DC1154" i="1"/>
  <c r="DC1155" i="1"/>
  <c r="DC1157" i="1"/>
  <c r="DC1158" i="1"/>
  <c r="DC1159" i="1"/>
  <c r="DC1160" i="1"/>
  <c r="DC1161" i="1"/>
  <c r="DC1162" i="1"/>
  <c r="DC1163" i="1"/>
  <c r="DC1164" i="1"/>
  <c r="DC1165" i="1"/>
  <c r="DC1167" i="1"/>
  <c r="DC1168" i="1"/>
  <c r="DC1169" i="1"/>
  <c r="DC1170" i="1"/>
  <c r="DC1172" i="1"/>
  <c r="DC1173" i="1"/>
  <c r="DC1174" i="1"/>
  <c r="DC1175" i="1"/>
  <c r="DC1177" i="1"/>
  <c r="DC1178" i="1"/>
  <c r="DC1179" i="1"/>
  <c r="DC1180" i="1"/>
  <c r="DC1181" i="1"/>
  <c r="DC1182" i="1"/>
  <c r="DC1183" i="1"/>
  <c r="DC1185" i="1"/>
  <c r="DC1186" i="1"/>
  <c r="DC1187" i="1"/>
  <c r="DC1188" i="1"/>
  <c r="DC1189" i="1"/>
  <c r="DC1190" i="1"/>
  <c r="DC1192" i="1"/>
  <c r="DC1194" i="1"/>
  <c r="DC1195" i="1"/>
  <c r="DC1196" i="1"/>
  <c r="DC1199" i="1"/>
  <c r="DC1201" i="1"/>
  <c r="DC1202" i="1"/>
  <c r="DC1203" i="1"/>
  <c r="DC1204" i="1"/>
  <c r="DC1205" i="1"/>
  <c r="DC1206" i="1"/>
  <c r="DC1207" i="1"/>
  <c r="DC1209" i="1"/>
  <c r="DC1210" i="1"/>
  <c r="DC1211" i="1"/>
  <c r="DC1212" i="1"/>
  <c r="DC1213" i="1"/>
  <c r="DC1214" i="1"/>
  <c r="DC1215" i="1"/>
  <c r="DC1216" i="1"/>
  <c r="DC1217" i="1"/>
  <c r="DC1219" i="1"/>
  <c r="DC1220" i="1"/>
  <c r="DC1222" i="1"/>
  <c r="DC1223" i="1"/>
  <c r="DC1224" i="1"/>
  <c r="DC1225" i="1"/>
  <c r="DC1226" i="1"/>
  <c r="DC1227" i="1"/>
  <c r="DC1229" i="1"/>
  <c r="DC1230" i="1"/>
  <c r="DC1231" i="1"/>
  <c r="DC1232" i="1"/>
  <c r="DC1233" i="1"/>
  <c r="DC1234" i="1"/>
  <c r="DC1235" i="1"/>
  <c r="DC1236" i="1"/>
  <c r="DC1238" i="1"/>
  <c r="DC1240" i="1"/>
  <c r="DC1241" i="1"/>
  <c r="DC1242" i="1"/>
  <c r="DC1244" i="1"/>
  <c r="DC1245" i="1"/>
  <c r="DC1246" i="1"/>
  <c r="DC1247" i="1"/>
  <c r="DC1248" i="1"/>
  <c r="DC1250" i="1"/>
  <c r="DC1251" i="1"/>
  <c r="DC1252" i="1"/>
  <c r="DC1253" i="1"/>
  <c r="DC1254" i="1"/>
  <c r="DC1255" i="1"/>
  <c r="DC1256" i="1"/>
  <c r="DC1257" i="1"/>
  <c r="DC1258" i="1"/>
  <c r="DC1259" i="1"/>
  <c r="DC1261" i="1"/>
  <c r="DC1262" i="1"/>
  <c r="DC1263" i="1"/>
  <c r="DC1265" i="1"/>
  <c r="DC1266" i="1"/>
  <c r="DC1267" i="1"/>
  <c r="DC1268" i="1"/>
  <c r="DC1272" i="1"/>
  <c r="DC1274" i="1"/>
  <c r="DC1275" i="1"/>
  <c r="DC1276" i="1"/>
  <c r="DC1277" i="1"/>
  <c r="DC1278" i="1"/>
  <c r="DC1279" i="1"/>
  <c r="DC1280" i="1"/>
  <c r="DC1282" i="1"/>
  <c r="DC1283" i="1"/>
  <c r="DC1284" i="1"/>
  <c r="DC1285" i="1"/>
  <c r="DC1286" i="1"/>
  <c r="DC1287" i="1"/>
  <c r="DC1288" i="1"/>
  <c r="DC1289" i="1"/>
  <c r="DC1291" i="1"/>
  <c r="DC1292" i="1"/>
  <c r="DC1293" i="1"/>
  <c r="DC1294" i="1"/>
  <c r="DC1295" i="1"/>
  <c r="DC1296" i="1"/>
  <c r="DC1297" i="1"/>
  <c r="DC1298" i="1"/>
  <c r="DC1299" i="1"/>
  <c r="DC1300" i="1"/>
  <c r="DC1301" i="1"/>
  <c r="DC1303" i="1"/>
  <c r="DC1304" i="1"/>
  <c r="DC1305" i="1"/>
  <c r="DC1306" i="1"/>
  <c r="DC1307" i="1"/>
  <c r="DC1308" i="1"/>
  <c r="DC1309" i="1"/>
  <c r="DC1310" i="1"/>
  <c r="DC1311" i="1"/>
  <c r="DC1312" i="1"/>
  <c r="DC1313" i="1"/>
  <c r="DD67" i="1"/>
  <c r="DD68" i="1"/>
  <c r="DD69" i="1"/>
  <c r="DD70" i="1"/>
  <c r="DD71" i="1"/>
  <c r="DD72" i="1"/>
  <c r="DD73" i="1"/>
  <c r="DD74" i="1"/>
  <c r="DD76" i="1"/>
  <c r="DD77" i="1"/>
  <c r="DD78" i="1"/>
  <c r="DD79" i="1"/>
  <c r="DD80" i="1"/>
  <c r="DD81" i="1"/>
  <c r="DD82" i="1"/>
  <c r="DD84" i="1"/>
  <c r="DD85" i="1"/>
  <c r="DD86" i="1"/>
  <c r="DD87" i="1"/>
  <c r="DD88" i="1"/>
  <c r="DD89" i="1"/>
  <c r="DD90" i="1"/>
  <c r="DD92" i="1"/>
  <c r="DD93" i="1"/>
  <c r="DD94" i="1"/>
  <c r="DD95" i="1"/>
  <c r="DD96" i="1"/>
  <c r="DD97" i="1"/>
  <c r="DD98" i="1"/>
  <c r="DD101" i="1"/>
  <c r="DD103" i="1"/>
  <c r="DD104" i="1"/>
  <c r="DD105" i="1"/>
  <c r="DD106" i="1"/>
  <c r="DD107" i="1"/>
  <c r="DD108" i="1"/>
  <c r="DD109" i="1"/>
  <c r="DD111" i="1"/>
  <c r="DD112" i="1"/>
  <c r="DD113" i="1"/>
  <c r="DD114" i="1"/>
  <c r="DD115" i="1"/>
  <c r="DD116" i="1"/>
  <c r="DD117" i="1"/>
  <c r="DD118" i="1"/>
  <c r="DD119" i="1"/>
  <c r="DD120" i="1"/>
  <c r="DD122" i="1"/>
  <c r="DD124" i="1"/>
  <c r="DD125" i="1"/>
  <c r="DD126" i="1"/>
  <c r="DD129" i="1"/>
  <c r="DD131" i="1"/>
  <c r="DD132" i="1"/>
  <c r="DD133" i="1"/>
  <c r="DD136" i="1"/>
  <c r="DD138" i="1"/>
  <c r="DD139" i="1"/>
  <c r="DD140" i="1"/>
  <c r="DD141" i="1"/>
  <c r="DD142" i="1"/>
  <c r="DD144" i="1"/>
  <c r="DD145" i="1"/>
  <c r="DD146" i="1"/>
  <c r="DD147" i="1"/>
  <c r="DD148" i="1"/>
  <c r="DD149" i="1"/>
  <c r="DD151" i="1"/>
  <c r="DD152" i="1"/>
  <c r="DD153" i="1"/>
  <c r="DD154" i="1"/>
  <c r="DD155" i="1"/>
  <c r="DD156" i="1"/>
  <c r="DD157" i="1"/>
  <c r="DD158" i="1"/>
  <c r="DD160" i="1"/>
  <c r="DD161" i="1"/>
  <c r="DD162" i="1"/>
  <c r="DD163" i="1"/>
  <c r="DD165" i="1"/>
  <c r="DD166" i="1"/>
  <c r="DD167" i="1"/>
  <c r="DD168" i="1"/>
  <c r="DD169" i="1"/>
  <c r="DD170" i="1"/>
  <c r="DD172" i="1"/>
  <c r="DD173" i="1"/>
  <c r="DD175" i="1"/>
  <c r="DD176" i="1"/>
  <c r="DD177" i="1"/>
  <c r="DD178" i="1"/>
  <c r="DD179" i="1"/>
  <c r="DD180" i="1"/>
  <c r="DD181" i="1"/>
  <c r="DD182" i="1"/>
  <c r="DD183" i="1"/>
  <c r="DD184" i="1"/>
  <c r="DD186" i="1"/>
  <c r="DD187" i="1"/>
  <c r="DD188" i="1"/>
  <c r="DD189" i="1"/>
  <c r="DD190" i="1"/>
  <c r="DD191" i="1"/>
  <c r="DD192" i="1"/>
  <c r="DD193" i="1"/>
  <c r="DD195" i="1"/>
  <c r="DD196" i="1"/>
  <c r="DD197" i="1"/>
  <c r="DD198" i="1"/>
  <c r="DD200" i="1"/>
  <c r="DD201" i="1"/>
  <c r="DD202" i="1"/>
  <c r="DD203" i="1"/>
  <c r="DD204" i="1"/>
  <c r="DD205" i="1"/>
  <c r="DD206" i="1"/>
  <c r="DD207" i="1"/>
  <c r="DD209" i="1"/>
  <c r="DD210" i="1"/>
  <c r="DD211" i="1"/>
  <c r="DD212" i="1"/>
  <c r="DD213" i="1"/>
  <c r="DD214" i="1"/>
  <c r="DD215" i="1"/>
  <c r="DD217" i="1"/>
  <c r="DD218" i="1"/>
  <c r="DD219" i="1"/>
  <c r="DD220" i="1"/>
  <c r="DD221" i="1"/>
  <c r="DD222" i="1"/>
  <c r="DD224" i="1"/>
  <c r="DD225" i="1"/>
  <c r="DD226" i="1"/>
  <c r="DD227" i="1"/>
  <c r="DD228" i="1"/>
  <c r="DD229" i="1"/>
  <c r="DD231" i="1"/>
  <c r="DD232" i="1"/>
  <c r="DD233" i="1"/>
  <c r="DD234" i="1"/>
  <c r="DD235" i="1"/>
  <c r="DD236" i="1"/>
  <c r="DD237" i="1"/>
  <c r="DD238" i="1"/>
  <c r="DD240" i="1"/>
  <c r="DD241" i="1"/>
  <c r="DD242" i="1"/>
  <c r="DD243" i="1"/>
  <c r="DD244" i="1"/>
  <c r="DD245" i="1"/>
  <c r="DD246" i="1"/>
  <c r="DD247" i="1"/>
  <c r="DD249" i="1"/>
  <c r="DD250" i="1"/>
  <c r="DD251" i="1"/>
  <c r="DD252" i="1"/>
  <c r="DD253" i="1"/>
  <c r="DD254" i="1"/>
  <c r="DD255" i="1"/>
  <c r="DD256" i="1"/>
  <c r="DD258" i="1"/>
  <c r="DD259" i="1"/>
  <c r="DD260" i="1"/>
  <c r="DD261" i="1"/>
  <c r="DD262" i="1"/>
  <c r="DD263" i="1"/>
  <c r="DD264" i="1"/>
  <c r="DD265" i="1"/>
  <c r="DD266" i="1"/>
  <c r="DD268" i="1"/>
  <c r="DD269" i="1"/>
  <c r="DD270" i="1"/>
  <c r="DD271" i="1"/>
  <c r="DD272" i="1"/>
  <c r="DD273" i="1"/>
  <c r="DD274" i="1"/>
  <c r="DD275" i="1"/>
  <c r="DD276" i="1"/>
  <c r="DD278" i="1"/>
  <c r="DD279" i="1"/>
  <c r="DD280" i="1"/>
  <c r="DD281" i="1"/>
  <c r="DD282" i="1"/>
  <c r="DD283" i="1"/>
  <c r="DD285" i="1"/>
  <c r="DD286" i="1"/>
  <c r="DD287" i="1"/>
  <c r="DD288" i="1"/>
  <c r="DD291" i="1"/>
  <c r="DD292" i="1"/>
  <c r="DD293" i="1"/>
  <c r="DD294" i="1"/>
  <c r="DD296" i="1"/>
  <c r="DD297" i="1"/>
  <c r="DD298" i="1"/>
  <c r="DD299" i="1"/>
  <c r="DD300" i="1"/>
  <c r="DD301" i="1"/>
  <c r="DD302" i="1"/>
  <c r="DD303" i="1"/>
  <c r="DD305" i="1"/>
  <c r="DD306" i="1"/>
  <c r="DD307" i="1"/>
  <c r="DD308" i="1"/>
  <c r="DD309" i="1"/>
  <c r="DD310" i="1"/>
  <c r="DD311" i="1"/>
  <c r="DD312" i="1"/>
  <c r="DD313" i="1"/>
  <c r="DD314" i="1"/>
  <c r="DD317" i="1"/>
  <c r="DD318" i="1"/>
  <c r="DD319" i="1"/>
  <c r="DD320" i="1"/>
  <c r="DD321" i="1"/>
  <c r="DD322" i="1"/>
  <c r="DD323" i="1"/>
  <c r="DD324" i="1"/>
  <c r="DD325" i="1"/>
  <c r="DD326" i="1"/>
  <c r="DD327" i="1"/>
  <c r="DD329" i="1"/>
  <c r="DD330" i="1"/>
  <c r="DD332" i="1"/>
  <c r="DD333" i="1"/>
  <c r="DD334" i="1"/>
  <c r="DD335" i="1"/>
  <c r="DD336" i="1"/>
  <c r="DD337" i="1"/>
  <c r="DD338" i="1"/>
  <c r="DD340" i="1"/>
  <c r="DD341" i="1"/>
  <c r="DD342" i="1"/>
  <c r="DD343" i="1"/>
  <c r="DD344" i="1"/>
  <c r="DD345" i="1"/>
  <c r="DD346" i="1"/>
  <c r="DD347" i="1"/>
  <c r="DD348" i="1"/>
  <c r="DD349" i="1"/>
  <c r="DD351" i="1"/>
  <c r="DD352" i="1"/>
  <c r="DD353" i="1"/>
  <c r="DD354" i="1"/>
  <c r="DD355" i="1"/>
  <c r="DD356" i="1"/>
  <c r="DD358" i="1"/>
  <c r="DD359" i="1"/>
  <c r="DD360" i="1"/>
  <c r="DD361" i="1"/>
  <c r="DD362" i="1"/>
  <c r="DD363" i="1"/>
  <c r="DD364" i="1"/>
  <c r="DD365" i="1"/>
  <c r="DD367" i="1"/>
  <c r="DD368" i="1"/>
  <c r="DD369" i="1"/>
  <c r="DD371" i="1"/>
  <c r="DD372" i="1"/>
  <c r="DD373" i="1"/>
  <c r="DD375" i="1"/>
  <c r="DD376" i="1"/>
  <c r="DD378" i="1"/>
  <c r="DD379" i="1"/>
  <c r="DD380" i="1"/>
  <c r="DD381" i="1"/>
  <c r="DD382" i="1"/>
  <c r="DD383" i="1"/>
  <c r="DD385" i="1"/>
  <c r="DD386" i="1"/>
  <c r="DD387" i="1"/>
  <c r="DD388" i="1"/>
  <c r="DD389" i="1"/>
  <c r="DD390" i="1"/>
  <c r="DD391" i="1"/>
  <c r="DD393" i="1"/>
  <c r="DD394" i="1"/>
  <c r="DD395" i="1"/>
  <c r="DD396" i="1"/>
  <c r="DD397" i="1"/>
  <c r="DD398" i="1"/>
  <c r="DD399" i="1"/>
  <c r="DD400" i="1"/>
  <c r="DD401" i="1"/>
  <c r="DD403" i="1"/>
  <c r="DD404" i="1"/>
  <c r="DD405" i="1"/>
  <c r="DD406" i="1"/>
  <c r="DD407" i="1"/>
  <c r="DD408" i="1"/>
  <c r="DD409" i="1"/>
  <c r="DD410" i="1"/>
  <c r="DD411" i="1"/>
  <c r="DD413" i="1"/>
  <c r="DD414" i="1"/>
  <c r="DD415" i="1"/>
  <c r="DD416" i="1"/>
  <c r="DD417" i="1"/>
  <c r="DD418" i="1"/>
  <c r="DD421" i="1"/>
  <c r="DD422" i="1"/>
  <c r="DD423" i="1"/>
  <c r="DD424" i="1"/>
  <c r="DD425" i="1"/>
  <c r="DD426" i="1"/>
  <c r="DD427" i="1"/>
  <c r="DD428" i="1"/>
  <c r="DD430" i="1"/>
  <c r="DD431" i="1"/>
  <c r="DD432" i="1"/>
  <c r="DD433" i="1"/>
  <c r="DD434" i="1"/>
  <c r="DD435" i="1"/>
  <c r="DD436" i="1"/>
  <c r="DD438" i="1"/>
  <c r="DD439" i="1"/>
  <c r="DD440" i="1"/>
  <c r="DD441" i="1"/>
  <c r="DD442" i="1"/>
  <c r="DD443" i="1"/>
  <c r="DD445" i="1"/>
  <c r="DD446" i="1"/>
  <c r="DD447" i="1"/>
  <c r="DD448" i="1"/>
  <c r="DD449" i="1"/>
  <c r="DD450" i="1"/>
  <c r="DD451" i="1"/>
  <c r="DD452" i="1"/>
  <c r="DD454" i="1"/>
  <c r="DD455" i="1"/>
  <c r="DD456" i="1"/>
  <c r="DD457" i="1"/>
  <c r="DD459" i="1"/>
  <c r="DD460" i="1"/>
  <c r="DD461" i="1"/>
  <c r="DD462" i="1"/>
  <c r="DD463" i="1"/>
  <c r="DD464" i="1"/>
  <c r="DD465" i="1"/>
  <c r="DD466" i="1"/>
  <c r="DD468" i="1"/>
  <c r="DD469" i="1"/>
  <c r="DD470" i="1"/>
  <c r="DD471" i="1"/>
  <c r="DD472" i="1"/>
  <c r="DD473" i="1"/>
  <c r="DD474" i="1"/>
  <c r="DD475" i="1"/>
  <c r="DD476" i="1"/>
  <c r="DD478" i="1"/>
  <c r="DD479" i="1"/>
  <c r="DD480" i="1"/>
  <c r="DD481" i="1"/>
  <c r="DD482" i="1"/>
  <c r="DD483" i="1"/>
  <c r="DD485" i="1"/>
  <c r="DD486" i="1"/>
  <c r="DD487" i="1"/>
  <c r="DD488" i="1"/>
  <c r="DD489" i="1"/>
  <c r="DD490" i="1"/>
  <c r="DD491" i="1"/>
  <c r="DD492" i="1"/>
  <c r="DD493" i="1"/>
  <c r="DD495" i="1"/>
  <c r="DD496" i="1"/>
  <c r="DD497" i="1"/>
  <c r="DD498" i="1"/>
  <c r="DD499" i="1"/>
  <c r="DD500" i="1"/>
  <c r="DD502" i="1"/>
  <c r="DD503" i="1"/>
  <c r="DD504" i="1"/>
  <c r="DD505" i="1"/>
  <c r="DD506" i="1"/>
  <c r="DD507" i="1"/>
  <c r="DD508" i="1"/>
  <c r="DD510" i="1"/>
  <c r="DD511" i="1"/>
  <c r="DD512" i="1"/>
  <c r="DD514" i="1"/>
  <c r="DD515" i="1"/>
  <c r="DD516" i="1"/>
  <c r="DD517" i="1"/>
  <c r="DD518" i="1"/>
  <c r="DD520" i="1"/>
  <c r="DD521" i="1"/>
  <c r="DD522" i="1"/>
  <c r="DD523" i="1"/>
  <c r="DD524" i="1"/>
  <c r="DD525" i="1"/>
  <c r="DD526" i="1"/>
  <c r="DD527" i="1"/>
  <c r="DD529" i="1"/>
  <c r="DD530" i="1"/>
  <c r="DD531" i="1"/>
  <c r="DD532" i="1"/>
  <c r="DD533" i="1"/>
  <c r="DD534" i="1"/>
  <c r="DD535" i="1"/>
  <c r="DD536" i="1"/>
  <c r="DD538" i="1"/>
  <c r="DD539" i="1"/>
  <c r="DD540" i="1"/>
  <c r="DD541" i="1"/>
  <c r="DD542" i="1"/>
  <c r="DD543" i="1"/>
  <c r="DD544" i="1"/>
  <c r="DD545" i="1"/>
  <c r="DD546" i="1"/>
  <c r="DD548" i="1"/>
  <c r="DD549" i="1"/>
  <c r="DD550" i="1"/>
  <c r="DD551" i="1"/>
  <c r="DD552" i="1"/>
  <c r="DD553" i="1"/>
  <c r="DD554" i="1"/>
  <c r="DD555" i="1"/>
  <c r="DD557" i="1"/>
  <c r="DD558" i="1"/>
  <c r="DD559" i="1"/>
  <c r="DD560" i="1"/>
  <c r="DD561" i="1"/>
  <c r="DD562" i="1"/>
  <c r="DD564" i="1"/>
  <c r="DD565" i="1"/>
  <c r="DD566" i="1"/>
  <c r="DD567" i="1"/>
  <c r="DD569" i="1"/>
  <c r="DD570" i="1"/>
  <c r="DD572" i="1"/>
  <c r="DD573" i="1"/>
  <c r="DD574" i="1"/>
  <c r="DD576" i="1"/>
  <c r="DD577" i="1"/>
  <c r="DD578" i="1"/>
  <c r="DD579" i="1"/>
  <c r="DD580" i="1"/>
  <c r="DD581" i="1"/>
  <c r="DD583" i="1"/>
  <c r="DD584" i="1"/>
  <c r="DD586" i="1"/>
  <c r="DD587" i="1"/>
  <c r="DD588" i="1"/>
  <c r="DD590" i="1"/>
  <c r="DD591" i="1"/>
  <c r="DD592" i="1"/>
  <c r="DD593" i="1"/>
  <c r="DD594" i="1"/>
  <c r="DD595" i="1"/>
  <c r="DD596" i="1"/>
  <c r="DD597" i="1"/>
  <c r="DD598" i="1"/>
  <c r="DD600" i="1"/>
  <c r="DD601" i="1"/>
  <c r="DD603" i="1"/>
  <c r="DD604" i="1"/>
  <c r="DD605" i="1"/>
  <c r="DD607" i="1"/>
  <c r="DD608" i="1"/>
  <c r="DD609" i="1"/>
  <c r="DD610" i="1"/>
  <c r="DD611" i="1"/>
  <c r="DD612" i="1"/>
  <c r="DD614" i="1"/>
  <c r="DD615" i="1"/>
  <c r="DD617" i="1"/>
  <c r="DD618" i="1"/>
  <c r="DD619" i="1"/>
  <c r="DD620" i="1"/>
  <c r="DD622" i="1"/>
  <c r="DD623" i="1"/>
  <c r="DD624" i="1"/>
  <c r="DD625" i="1"/>
  <c r="DD626" i="1"/>
  <c r="DD628" i="1"/>
  <c r="DD629" i="1"/>
  <c r="DD630" i="1"/>
  <c r="DD631" i="1"/>
  <c r="DD632" i="1"/>
  <c r="DD633" i="1"/>
  <c r="DD634" i="1"/>
  <c r="DD636" i="1"/>
  <c r="DD637" i="1"/>
  <c r="DD638" i="1"/>
  <c r="DD639" i="1"/>
  <c r="DD641" i="1"/>
  <c r="DD643" i="1"/>
  <c r="DD644" i="1"/>
  <c r="DD645" i="1"/>
  <c r="DD647" i="1"/>
  <c r="DD648" i="1"/>
  <c r="DD649" i="1"/>
  <c r="DD650" i="1"/>
  <c r="DD651" i="1"/>
  <c r="DD652" i="1"/>
  <c r="DD654" i="1"/>
  <c r="DD655" i="1"/>
  <c r="DD656" i="1"/>
  <c r="DD657" i="1"/>
  <c r="DD658" i="1"/>
  <c r="DD659" i="1"/>
  <c r="DD660" i="1"/>
  <c r="DD662" i="1"/>
  <c r="DD663" i="1"/>
  <c r="DD665" i="1"/>
  <c r="DD666" i="1"/>
  <c r="DD667" i="1"/>
  <c r="DD669" i="1"/>
  <c r="DD670" i="1"/>
  <c r="DD671" i="1"/>
  <c r="DD672" i="1"/>
  <c r="DD674" i="1"/>
  <c r="DD675" i="1"/>
  <c r="DD676" i="1"/>
  <c r="DD677" i="1"/>
  <c r="DD678" i="1"/>
  <c r="DD679" i="1"/>
  <c r="DD681" i="1"/>
  <c r="DD682" i="1"/>
  <c r="DD683" i="1"/>
  <c r="DD684" i="1"/>
  <c r="DD685" i="1"/>
  <c r="DD686" i="1"/>
  <c r="DD687" i="1"/>
  <c r="DD688" i="1"/>
  <c r="DD689" i="1"/>
  <c r="DD690" i="1"/>
  <c r="DD691" i="1"/>
  <c r="DD693" i="1"/>
  <c r="DD694" i="1"/>
  <c r="DD695" i="1"/>
  <c r="DD696" i="1"/>
  <c r="DD698" i="1"/>
  <c r="DD699" i="1"/>
  <c r="DD702" i="1"/>
  <c r="DD703" i="1"/>
  <c r="DD704" i="1"/>
  <c r="DD706" i="1"/>
  <c r="DD707" i="1"/>
  <c r="DD708" i="1"/>
  <c r="DD709" i="1"/>
  <c r="DD711" i="1"/>
  <c r="DD712" i="1"/>
  <c r="DD713" i="1"/>
  <c r="DD714" i="1"/>
  <c r="DD715" i="1"/>
  <c r="DD716" i="1"/>
  <c r="DD717" i="1"/>
  <c r="DD718" i="1"/>
  <c r="DD720" i="1"/>
  <c r="DD721" i="1"/>
  <c r="DD723" i="1"/>
  <c r="DD724" i="1"/>
  <c r="DD725" i="1"/>
  <c r="DD726" i="1"/>
  <c r="DD729" i="1"/>
  <c r="DD731" i="1"/>
  <c r="DD732" i="1"/>
  <c r="DD733" i="1"/>
  <c r="DD734" i="1"/>
  <c r="DD735" i="1"/>
  <c r="DD736" i="1"/>
  <c r="DD738" i="1"/>
  <c r="DD739" i="1"/>
  <c r="DD740" i="1"/>
  <c r="DD741" i="1"/>
  <c r="DD742" i="1"/>
  <c r="DD743" i="1"/>
  <c r="DD744" i="1"/>
  <c r="DD745" i="1"/>
  <c r="DD748" i="1"/>
  <c r="DD750" i="1"/>
  <c r="DD751" i="1"/>
  <c r="DD752" i="1"/>
  <c r="DD753" i="1"/>
  <c r="DD754" i="1"/>
  <c r="DD755" i="1"/>
  <c r="DD756" i="1"/>
  <c r="DD758" i="1"/>
  <c r="DD760" i="1"/>
  <c r="DD761" i="1"/>
  <c r="DD763" i="1"/>
  <c r="DD764" i="1"/>
  <c r="DD766" i="1"/>
  <c r="DD767" i="1"/>
  <c r="DD768" i="1"/>
  <c r="DD769" i="1"/>
  <c r="DD774" i="1"/>
  <c r="DD775" i="1"/>
  <c r="DD777" i="1"/>
  <c r="DD778" i="1"/>
  <c r="DD779" i="1"/>
  <c r="DD780" i="1"/>
  <c r="DD782" i="1"/>
  <c r="DD783" i="1"/>
  <c r="DD784" i="1"/>
  <c r="DD785" i="1"/>
  <c r="DD786" i="1"/>
  <c r="DD787" i="1"/>
  <c r="DD789" i="1"/>
  <c r="DD790" i="1"/>
  <c r="DD791" i="1"/>
  <c r="DD793" i="1"/>
  <c r="DD794" i="1"/>
  <c r="DD795" i="1"/>
  <c r="DD796" i="1"/>
  <c r="DD797" i="1"/>
  <c r="DD798" i="1"/>
  <c r="DD800" i="1"/>
  <c r="DD801" i="1"/>
  <c r="DD802" i="1"/>
  <c r="DD803" i="1"/>
  <c r="DD804" i="1"/>
  <c r="DD805" i="1"/>
  <c r="DD806" i="1"/>
  <c r="DD807" i="1"/>
  <c r="DD808" i="1"/>
  <c r="DD810" i="1"/>
  <c r="DD811" i="1"/>
  <c r="DD812" i="1"/>
  <c r="DD813" i="1"/>
  <c r="DD814" i="1"/>
  <c r="DD815" i="1"/>
  <c r="DD816" i="1"/>
  <c r="DD818" i="1"/>
  <c r="DD819" i="1"/>
  <c r="DD820" i="1"/>
  <c r="DD822" i="1"/>
  <c r="DD823" i="1"/>
  <c r="DD824" i="1"/>
  <c r="DD825" i="1"/>
  <c r="DD826" i="1"/>
  <c r="DD827" i="1"/>
  <c r="DD829" i="1"/>
  <c r="DD830" i="1"/>
  <c r="DD831" i="1"/>
  <c r="DD832" i="1"/>
  <c r="DD834" i="1"/>
  <c r="DD835" i="1"/>
  <c r="DD836" i="1"/>
  <c r="DD838" i="1"/>
  <c r="DD839" i="1"/>
  <c r="DD840" i="1"/>
  <c r="DD841" i="1"/>
  <c r="DD842" i="1"/>
  <c r="DD843" i="1"/>
  <c r="DD845" i="1"/>
  <c r="DD846" i="1"/>
  <c r="DD847" i="1"/>
  <c r="DD848" i="1"/>
  <c r="DD849" i="1"/>
  <c r="DD850" i="1"/>
  <c r="DD852" i="1"/>
  <c r="DD854" i="1"/>
  <c r="DD855" i="1"/>
  <c r="DD856" i="1"/>
  <c r="DD857" i="1"/>
  <c r="DD859" i="1"/>
  <c r="DD860" i="1"/>
  <c r="DD862" i="1"/>
  <c r="DD863" i="1"/>
  <c r="DD864" i="1"/>
  <c r="DD865" i="1"/>
  <c r="DD866" i="1"/>
  <c r="DD867" i="1"/>
  <c r="DD868" i="1"/>
  <c r="DD869" i="1"/>
  <c r="DD870" i="1"/>
  <c r="DD872" i="1"/>
  <c r="DD873" i="1"/>
  <c r="DD874" i="1"/>
  <c r="DD875" i="1"/>
  <c r="DD876" i="1"/>
  <c r="DD877" i="1"/>
  <c r="DD878" i="1"/>
  <c r="DD879" i="1"/>
  <c r="DD880" i="1"/>
  <c r="DD881" i="1"/>
  <c r="DD884" i="1"/>
  <c r="DD886" i="1"/>
  <c r="DD887" i="1"/>
  <c r="DD888" i="1"/>
  <c r="DD889" i="1"/>
  <c r="DD890" i="1"/>
  <c r="DD891" i="1"/>
  <c r="DD892" i="1"/>
  <c r="DD893" i="1"/>
  <c r="DD894" i="1"/>
  <c r="DD895" i="1"/>
  <c r="DD897" i="1"/>
  <c r="DD898" i="1"/>
  <c r="DD899" i="1"/>
  <c r="DD900" i="1"/>
  <c r="DD901" i="1"/>
  <c r="DD902" i="1"/>
  <c r="DD904" i="1"/>
  <c r="DD905" i="1"/>
  <c r="DD906" i="1"/>
  <c r="DD908" i="1"/>
  <c r="DD909" i="1"/>
  <c r="DD910" i="1"/>
  <c r="DD911" i="1"/>
  <c r="DD912" i="1"/>
  <c r="DD913" i="1"/>
  <c r="DD915" i="1"/>
  <c r="DD916" i="1"/>
  <c r="DD917" i="1"/>
  <c r="DD918" i="1"/>
  <c r="DD919" i="1"/>
  <c r="DD921" i="1"/>
  <c r="DD922" i="1"/>
  <c r="DD923" i="1"/>
  <c r="DD924" i="1"/>
  <c r="DD925" i="1"/>
  <c r="DD927" i="1"/>
  <c r="DD928" i="1"/>
  <c r="DD929" i="1"/>
  <c r="DD930" i="1"/>
  <c r="DD931" i="1"/>
  <c r="DD932" i="1"/>
  <c r="DD933" i="1"/>
  <c r="DD935" i="1"/>
  <c r="DD936" i="1"/>
  <c r="DD937" i="1"/>
  <c r="DD938" i="1"/>
  <c r="DD939" i="1"/>
  <c r="DD940" i="1"/>
  <c r="DD941" i="1"/>
  <c r="DD943" i="1"/>
  <c r="DD944" i="1"/>
  <c r="DD945" i="1"/>
  <c r="DD947" i="1"/>
  <c r="DD948" i="1"/>
  <c r="DD950" i="1"/>
  <c r="DD951" i="1"/>
  <c r="DD952" i="1"/>
  <c r="DD953" i="1"/>
  <c r="DD954" i="1"/>
  <c r="DD955" i="1"/>
  <c r="DD956" i="1"/>
  <c r="DD957" i="1"/>
  <c r="DD958" i="1"/>
  <c r="DD960" i="1"/>
  <c r="DD961" i="1"/>
  <c r="DD962" i="1"/>
  <c r="DD963" i="1"/>
  <c r="DD964" i="1"/>
  <c r="DD965" i="1"/>
  <c r="DD966" i="1"/>
  <c r="DD967" i="1"/>
  <c r="DD969" i="1"/>
  <c r="DD970" i="1"/>
  <c r="DD971" i="1"/>
  <c r="DD972" i="1"/>
  <c r="DD973" i="1"/>
  <c r="DD974" i="1"/>
  <c r="DD975" i="1"/>
  <c r="DD977" i="1"/>
  <c r="DD978" i="1"/>
  <c r="DD979" i="1"/>
  <c r="DD980" i="1"/>
  <c r="DD981" i="1"/>
  <c r="DD983" i="1"/>
  <c r="DD985" i="1"/>
  <c r="DD986" i="1"/>
  <c r="DD987" i="1"/>
  <c r="DD989" i="1"/>
  <c r="DD990" i="1"/>
  <c r="DD991" i="1"/>
  <c r="DD992" i="1"/>
  <c r="DD993" i="1"/>
  <c r="DD994" i="1"/>
  <c r="DD996" i="1"/>
  <c r="DD997" i="1"/>
  <c r="DD998" i="1"/>
  <c r="DD999" i="1"/>
  <c r="DD1000" i="1"/>
  <c r="DD1001" i="1"/>
  <c r="DD1002" i="1"/>
  <c r="DD1003" i="1"/>
  <c r="DD1005" i="1"/>
  <c r="DD1006" i="1"/>
  <c r="DD1007" i="1"/>
  <c r="DD1008" i="1"/>
  <c r="DD1009" i="1"/>
  <c r="DD1010" i="1"/>
  <c r="DD1011" i="1"/>
  <c r="DD1013" i="1"/>
  <c r="DD1014" i="1"/>
  <c r="DD1015" i="1"/>
  <c r="DD1016" i="1"/>
  <c r="DD1017" i="1"/>
  <c r="DD1018" i="1"/>
  <c r="DD1019" i="1"/>
  <c r="DD1020" i="1"/>
  <c r="DD1021" i="1"/>
  <c r="DD1022" i="1"/>
  <c r="DD1023" i="1"/>
  <c r="DD1026" i="1"/>
  <c r="DD1027" i="1"/>
  <c r="DD1028" i="1"/>
  <c r="DD1029" i="1"/>
  <c r="DD1030" i="1"/>
  <c r="DD1031" i="1"/>
  <c r="DD1032" i="1"/>
  <c r="DD1033" i="1"/>
  <c r="DD1035" i="1"/>
  <c r="DD1036" i="1"/>
  <c r="DD1037" i="1"/>
  <c r="DD1038" i="1"/>
  <c r="DD1039" i="1"/>
  <c r="DD1040" i="1"/>
  <c r="DD1041" i="1"/>
  <c r="DD1042" i="1"/>
  <c r="DD1043" i="1"/>
  <c r="DD1044" i="1"/>
  <c r="DD1046" i="1"/>
  <c r="DD1047" i="1"/>
  <c r="DD1048" i="1"/>
  <c r="DD1051" i="1"/>
  <c r="DD1053" i="1"/>
  <c r="DD1054" i="1"/>
  <c r="DD1055" i="1"/>
  <c r="DD1056" i="1"/>
  <c r="DD1057" i="1"/>
  <c r="DD1059" i="1"/>
  <c r="DD1060" i="1"/>
  <c r="DD1061" i="1"/>
  <c r="DD1062" i="1"/>
  <c r="DD1063" i="1"/>
  <c r="DD1064" i="1"/>
  <c r="DD1066" i="1"/>
  <c r="DD1067" i="1"/>
  <c r="DD1068" i="1"/>
  <c r="DD1069" i="1"/>
  <c r="DD1070" i="1"/>
  <c r="DD1071" i="1"/>
  <c r="DD1072" i="1"/>
  <c r="DD1073" i="1"/>
  <c r="DD1075" i="1"/>
  <c r="DD1076" i="1"/>
  <c r="DD1077" i="1"/>
  <c r="DD1079" i="1"/>
  <c r="DD1080" i="1"/>
  <c r="DD1081" i="1"/>
  <c r="DD1082" i="1"/>
  <c r="DD1083" i="1"/>
  <c r="DD1084" i="1"/>
  <c r="DD1086" i="1"/>
  <c r="DD1087" i="1"/>
  <c r="DD1088" i="1"/>
  <c r="DD1089" i="1"/>
  <c r="DD1090" i="1"/>
  <c r="DD1091" i="1"/>
  <c r="DD1092" i="1"/>
  <c r="DD1093" i="1"/>
  <c r="DD1094" i="1"/>
  <c r="DD1097" i="1"/>
  <c r="DD1098" i="1"/>
  <c r="DD1099" i="1"/>
  <c r="DD1100" i="1"/>
  <c r="DD1101" i="1"/>
  <c r="DD1102" i="1"/>
  <c r="DD1103" i="1"/>
  <c r="DD1104" i="1"/>
  <c r="DD1105" i="1"/>
  <c r="DD1106" i="1"/>
  <c r="DD1108" i="1"/>
  <c r="DD1109" i="1"/>
  <c r="DD1110" i="1"/>
  <c r="DD1111" i="1"/>
  <c r="DD1112" i="1"/>
  <c r="DD1113" i="1"/>
  <c r="DD1115" i="1"/>
  <c r="DD1116" i="1"/>
  <c r="DD1117" i="1"/>
  <c r="DD1118" i="1"/>
  <c r="DD1120" i="1"/>
  <c r="DD1122" i="1"/>
  <c r="DD1123" i="1"/>
  <c r="DD1124" i="1"/>
  <c r="DD1126" i="1"/>
  <c r="DD1127" i="1"/>
  <c r="DD1128" i="1"/>
  <c r="DD1129" i="1"/>
  <c r="DD1130" i="1"/>
  <c r="DD1131" i="1"/>
  <c r="DD1132" i="1"/>
  <c r="DD1133" i="1"/>
  <c r="DD1135" i="1"/>
  <c r="DD1136" i="1"/>
  <c r="DD1137" i="1"/>
  <c r="DD1138" i="1"/>
  <c r="DD1139" i="1"/>
  <c r="DD1140" i="1"/>
  <c r="DD1142" i="1"/>
  <c r="DD1143" i="1"/>
  <c r="DD1144" i="1"/>
  <c r="DD1145" i="1"/>
  <c r="DD1146" i="1"/>
  <c r="DD1147" i="1"/>
  <c r="DD1148" i="1"/>
  <c r="DD1149" i="1"/>
  <c r="DD1150" i="1"/>
  <c r="DD1152" i="1"/>
  <c r="DD1153" i="1"/>
  <c r="DD1154" i="1"/>
  <c r="DD1155" i="1"/>
  <c r="DD1157" i="1"/>
  <c r="DD1158" i="1"/>
  <c r="DD1159" i="1"/>
  <c r="DD1160" i="1"/>
  <c r="DD1161" i="1"/>
  <c r="DD1162" i="1"/>
  <c r="DD1163" i="1"/>
  <c r="DD1164" i="1"/>
  <c r="DD1165" i="1"/>
  <c r="DD1167" i="1"/>
  <c r="DD1168" i="1"/>
  <c r="DD1169" i="1"/>
  <c r="DD1170" i="1"/>
  <c r="DD1172" i="1"/>
  <c r="DD1173" i="1"/>
  <c r="DD1174" i="1"/>
  <c r="DD1175" i="1"/>
  <c r="DD1177" i="1"/>
  <c r="DD1178" i="1"/>
  <c r="DD1179" i="1"/>
  <c r="DD1180" i="1"/>
  <c r="DD1181" i="1"/>
  <c r="DD1182" i="1"/>
  <c r="DD1183" i="1"/>
  <c r="DD1185" i="1"/>
  <c r="DD1186" i="1"/>
  <c r="DD1187" i="1"/>
  <c r="DD1188" i="1"/>
  <c r="DD1189" i="1"/>
  <c r="DD1190" i="1"/>
  <c r="DD1192" i="1"/>
  <c r="DD1194" i="1"/>
  <c r="DD1195" i="1"/>
  <c r="DD1196" i="1"/>
  <c r="DD1199" i="1"/>
  <c r="DD1201" i="1"/>
  <c r="DD1202" i="1"/>
  <c r="DD1203" i="1"/>
  <c r="DD1204" i="1"/>
  <c r="DD1205" i="1"/>
  <c r="DD1206" i="1"/>
  <c r="DD1207" i="1"/>
  <c r="DD1209" i="1"/>
  <c r="DD1210" i="1"/>
  <c r="DD1211" i="1"/>
  <c r="DD1212" i="1"/>
  <c r="DD1213" i="1"/>
  <c r="DD1214" i="1"/>
  <c r="DD1215" i="1"/>
  <c r="DD1216" i="1"/>
  <c r="DD1217" i="1"/>
  <c r="DD1219" i="1"/>
  <c r="DD1220" i="1"/>
  <c r="DD1222" i="1"/>
  <c r="DD1223" i="1"/>
  <c r="DD1224" i="1"/>
  <c r="DD1225" i="1"/>
  <c r="DD1226" i="1"/>
  <c r="DD1227" i="1"/>
  <c r="DD1229" i="1"/>
  <c r="DD1230" i="1"/>
  <c r="DD1231" i="1"/>
  <c r="DD1232" i="1"/>
  <c r="DD1233" i="1"/>
  <c r="DD1234" i="1"/>
  <c r="DD1235" i="1"/>
  <c r="DD1236" i="1"/>
  <c r="DD1238" i="1"/>
  <c r="DD1240" i="1"/>
  <c r="DD1241" i="1"/>
  <c r="DD1242" i="1"/>
  <c r="DD1244" i="1"/>
  <c r="DD1245" i="1"/>
  <c r="DD1246" i="1"/>
  <c r="DD1247" i="1"/>
  <c r="DD1248" i="1"/>
  <c r="DD1250" i="1"/>
  <c r="DD1251" i="1"/>
  <c r="DD1252" i="1"/>
  <c r="DD1253" i="1"/>
  <c r="DD1254" i="1"/>
  <c r="DD1255" i="1"/>
  <c r="DD1256" i="1"/>
  <c r="DD1257" i="1"/>
  <c r="DD1258" i="1"/>
  <c r="DD1259" i="1"/>
  <c r="DD1261" i="1"/>
  <c r="DD1262" i="1"/>
  <c r="DD1263" i="1"/>
  <c r="DD1265" i="1"/>
  <c r="DD1266" i="1"/>
  <c r="DD1267" i="1"/>
  <c r="DD1268" i="1"/>
  <c r="DD1272" i="1"/>
  <c r="DD1274" i="1"/>
  <c r="DD1275" i="1"/>
  <c r="DD1276" i="1"/>
  <c r="DD1277" i="1"/>
  <c r="DD1278" i="1"/>
  <c r="DD1279" i="1"/>
  <c r="DD1280" i="1"/>
  <c r="DD1282" i="1"/>
  <c r="DD1283" i="1"/>
  <c r="DD1284" i="1"/>
  <c r="DD1285" i="1"/>
  <c r="DD1286" i="1"/>
  <c r="DD1287" i="1"/>
  <c r="DD1288" i="1"/>
  <c r="DD1289" i="1"/>
  <c r="DD1291" i="1"/>
  <c r="DD1292" i="1"/>
  <c r="DD1293" i="1"/>
  <c r="DD1294" i="1"/>
  <c r="DD1295" i="1"/>
  <c r="DD1296" i="1"/>
  <c r="DD1297" i="1"/>
  <c r="DD1298" i="1"/>
  <c r="DD1299" i="1"/>
  <c r="DD1300" i="1"/>
  <c r="DD1301" i="1"/>
  <c r="DD1303" i="1"/>
  <c r="DD1304" i="1"/>
  <c r="DD1305" i="1"/>
  <c r="DD1306" i="1"/>
  <c r="DD1307" i="1"/>
  <c r="DD1308" i="1"/>
  <c r="DD1309" i="1"/>
  <c r="DD1310" i="1"/>
  <c r="DD1311" i="1"/>
  <c r="DD1312" i="1"/>
  <c r="DD1313" i="1"/>
  <c r="DE67" i="1"/>
  <c r="DE68" i="1"/>
  <c r="DE69" i="1"/>
  <c r="DE70" i="1"/>
  <c r="DE71" i="1"/>
  <c r="DE72" i="1"/>
  <c r="DE73" i="1"/>
  <c r="DE74" i="1"/>
  <c r="DE76" i="1"/>
  <c r="DE77" i="1"/>
  <c r="DE78" i="1"/>
  <c r="DE79" i="1"/>
  <c r="DE80" i="1"/>
  <c r="DE81" i="1"/>
  <c r="DE82" i="1"/>
  <c r="DE84" i="1"/>
  <c r="DE85" i="1"/>
  <c r="DE86" i="1"/>
  <c r="DE87" i="1"/>
  <c r="DE88" i="1"/>
  <c r="DE89" i="1"/>
  <c r="DE90" i="1"/>
  <c r="DE92" i="1"/>
  <c r="DE93" i="1"/>
  <c r="DE94" i="1"/>
  <c r="DE95" i="1"/>
  <c r="DE96" i="1"/>
  <c r="DE97" i="1"/>
  <c r="DE98" i="1"/>
  <c r="DE101" i="1"/>
  <c r="DE103" i="1"/>
  <c r="DE104" i="1"/>
  <c r="DE105" i="1"/>
  <c r="DE106" i="1"/>
  <c r="DE107" i="1"/>
  <c r="DE108" i="1"/>
  <c r="DE109" i="1"/>
  <c r="DE111" i="1"/>
  <c r="DE112" i="1"/>
  <c r="DE113" i="1"/>
  <c r="DE114" i="1"/>
  <c r="DE115" i="1"/>
  <c r="DE116" i="1"/>
  <c r="DE117" i="1"/>
  <c r="DE118" i="1"/>
  <c r="DE119" i="1"/>
  <c r="DE120" i="1"/>
  <c r="DE122" i="1"/>
  <c r="DE124" i="1"/>
  <c r="DE125" i="1"/>
  <c r="DE126" i="1"/>
  <c r="DE129" i="1"/>
  <c r="DE131" i="1"/>
  <c r="DE132" i="1"/>
  <c r="DE133" i="1"/>
  <c r="DE136" i="1"/>
  <c r="DE138" i="1"/>
  <c r="DE139" i="1"/>
  <c r="DE140" i="1"/>
  <c r="DE141" i="1"/>
  <c r="DE142" i="1"/>
  <c r="DE144" i="1"/>
  <c r="DE145" i="1"/>
  <c r="DE146" i="1"/>
  <c r="DE147" i="1"/>
  <c r="DE148" i="1"/>
  <c r="DE149" i="1"/>
  <c r="DE151" i="1"/>
  <c r="DE152" i="1"/>
  <c r="DE153" i="1"/>
  <c r="DE154" i="1"/>
  <c r="DE155" i="1"/>
  <c r="DE156" i="1"/>
  <c r="DE157" i="1"/>
  <c r="DE158" i="1"/>
  <c r="DE160" i="1"/>
  <c r="DE161" i="1"/>
  <c r="DE162" i="1"/>
  <c r="DE163" i="1"/>
  <c r="DE165" i="1"/>
  <c r="DE166" i="1"/>
  <c r="DE167" i="1"/>
  <c r="DE168" i="1"/>
  <c r="DE169" i="1"/>
  <c r="DE170" i="1"/>
  <c r="DE172" i="1"/>
  <c r="DE173" i="1"/>
  <c r="DE175" i="1"/>
  <c r="DE176" i="1"/>
  <c r="DE177" i="1"/>
  <c r="DE178" i="1"/>
  <c r="DE179" i="1"/>
  <c r="DE180" i="1"/>
  <c r="DE181" i="1"/>
  <c r="DE182" i="1"/>
  <c r="DE183" i="1"/>
  <c r="DE184" i="1"/>
  <c r="DE186" i="1"/>
  <c r="DE187" i="1"/>
  <c r="DE188" i="1"/>
  <c r="DE189" i="1"/>
  <c r="DE190" i="1"/>
  <c r="DE191" i="1"/>
  <c r="DE192" i="1"/>
  <c r="DE193" i="1"/>
  <c r="DE195" i="1"/>
  <c r="DE196" i="1"/>
  <c r="DE197" i="1"/>
  <c r="DE198" i="1"/>
  <c r="DE200" i="1"/>
  <c r="DE201" i="1"/>
  <c r="DE202" i="1"/>
  <c r="DE203" i="1"/>
  <c r="DE204" i="1"/>
  <c r="DE205" i="1"/>
  <c r="DE206" i="1"/>
  <c r="DE207" i="1"/>
  <c r="DE209" i="1"/>
  <c r="DE210" i="1"/>
  <c r="DE211" i="1"/>
  <c r="DE212" i="1"/>
  <c r="DE213" i="1"/>
  <c r="DE214" i="1"/>
  <c r="DE215" i="1"/>
  <c r="DE217" i="1"/>
  <c r="DE218" i="1"/>
  <c r="DE219" i="1"/>
  <c r="DE220" i="1"/>
  <c r="DE221" i="1"/>
  <c r="DE222" i="1"/>
  <c r="DE224" i="1"/>
  <c r="DE225" i="1"/>
  <c r="DE226" i="1"/>
  <c r="DE227" i="1"/>
  <c r="DE228" i="1"/>
  <c r="DE229" i="1"/>
  <c r="DE231" i="1"/>
  <c r="DE232" i="1"/>
  <c r="DE233" i="1"/>
  <c r="DE234" i="1"/>
  <c r="DE235" i="1"/>
  <c r="DE236" i="1"/>
  <c r="DE237" i="1"/>
  <c r="DE238" i="1"/>
  <c r="DE240" i="1"/>
  <c r="DE241" i="1"/>
  <c r="DE242" i="1"/>
  <c r="DE243" i="1"/>
  <c r="DE244" i="1"/>
  <c r="DE245" i="1"/>
  <c r="DE246" i="1"/>
  <c r="DE247" i="1"/>
  <c r="DE249" i="1"/>
  <c r="DE250" i="1"/>
  <c r="DE251" i="1"/>
  <c r="DE252" i="1"/>
  <c r="DE253" i="1"/>
  <c r="DE254" i="1"/>
  <c r="DE255" i="1"/>
  <c r="DE256" i="1"/>
  <c r="DE258" i="1"/>
  <c r="DE259" i="1"/>
  <c r="DE260" i="1"/>
  <c r="DE261" i="1"/>
  <c r="DE262" i="1"/>
  <c r="DE263" i="1"/>
  <c r="DE264" i="1"/>
  <c r="DE265" i="1"/>
  <c r="DE266" i="1"/>
  <c r="DE268" i="1"/>
  <c r="DE269" i="1"/>
  <c r="DE270" i="1"/>
  <c r="DE271" i="1"/>
  <c r="DE272" i="1"/>
  <c r="DE273" i="1"/>
  <c r="DE274" i="1"/>
  <c r="DE275" i="1"/>
  <c r="DE276" i="1"/>
  <c r="DE278" i="1"/>
  <c r="DE279" i="1"/>
  <c r="DE280" i="1"/>
  <c r="DE281" i="1"/>
  <c r="DE282" i="1"/>
  <c r="DE283" i="1"/>
  <c r="DE285" i="1"/>
  <c r="DE286" i="1"/>
  <c r="DE287" i="1"/>
  <c r="DE288" i="1"/>
  <c r="DE291" i="1"/>
  <c r="DE292" i="1"/>
  <c r="DE293" i="1"/>
  <c r="DE294" i="1"/>
  <c r="DE296" i="1"/>
  <c r="DE297" i="1"/>
  <c r="DE298" i="1"/>
  <c r="DE299" i="1"/>
  <c r="DE300" i="1"/>
  <c r="DE301" i="1"/>
  <c r="DE302" i="1"/>
  <c r="DE303" i="1"/>
  <c r="DE305" i="1"/>
  <c r="DE306" i="1"/>
  <c r="DE307" i="1"/>
  <c r="DE308" i="1"/>
  <c r="DE309" i="1"/>
  <c r="DE310" i="1"/>
  <c r="DE311" i="1"/>
  <c r="DE312" i="1"/>
  <c r="DE313" i="1"/>
  <c r="DE314" i="1"/>
  <c r="DE316" i="1"/>
  <c r="DE317" i="1"/>
  <c r="DE318" i="1"/>
  <c r="DE319" i="1"/>
  <c r="DE320" i="1"/>
  <c r="DE321" i="1"/>
  <c r="DE322" i="1"/>
  <c r="DE323" i="1"/>
  <c r="DE324" i="1"/>
  <c r="DE325" i="1"/>
  <c r="DE326" i="1"/>
  <c r="DE327" i="1"/>
  <c r="DE329" i="1"/>
  <c r="DE330" i="1"/>
  <c r="DE332" i="1"/>
  <c r="DE333" i="1"/>
  <c r="DE334" i="1"/>
  <c r="DE335" i="1"/>
  <c r="DE336" i="1"/>
  <c r="DE337" i="1"/>
  <c r="DE338" i="1"/>
  <c r="DE340" i="1"/>
  <c r="DE341" i="1"/>
  <c r="DE342" i="1"/>
  <c r="DE343" i="1"/>
  <c r="DE344" i="1"/>
  <c r="DE345" i="1"/>
  <c r="DE346" i="1"/>
  <c r="DE347" i="1"/>
  <c r="DE348" i="1"/>
  <c r="DE349" i="1"/>
  <c r="DE351" i="1"/>
  <c r="DE352" i="1"/>
  <c r="DE353" i="1"/>
  <c r="DE354" i="1"/>
  <c r="DE355" i="1"/>
  <c r="DE356" i="1"/>
  <c r="DE358" i="1"/>
  <c r="DE359" i="1"/>
  <c r="DE360" i="1"/>
  <c r="DE361" i="1"/>
  <c r="DE362" i="1"/>
  <c r="DE363" i="1"/>
  <c r="DE364" i="1"/>
  <c r="DE365" i="1"/>
  <c r="DE367" i="1"/>
  <c r="DE368" i="1"/>
  <c r="DE369" i="1"/>
  <c r="DE371" i="1"/>
  <c r="DE372" i="1"/>
  <c r="DE373" i="1"/>
  <c r="DE375" i="1"/>
  <c r="DE376" i="1"/>
  <c r="DE378" i="1"/>
  <c r="DE379" i="1"/>
  <c r="DE380" i="1"/>
  <c r="DE381" i="1"/>
  <c r="DE382" i="1"/>
  <c r="DE383" i="1"/>
  <c r="DE385" i="1"/>
  <c r="DE386" i="1"/>
  <c r="DE387" i="1"/>
  <c r="DE388" i="1"/>
  <c r="DE389" i="1"/>
  <c r="DE390" i="1"/>
  <c r="DE391" i="1"/>
  <c r="DE393" i="1"/>
  <c r="DE394" i="1"/>
  <c r="DE395" i="1"/>
  <c r="DE396" i="1"/>
  <c r="DE397" i="1"/>
  <c r="DE398" i="1"/>
  <c r="DE399" i="1"/>
  <c r="DE400" i="1"/>
  <c r="DE401" i="1"/>
  <c r="DE403" i="1"/>
  <c r="DE404" i="1"/>
  <c r="DE405" i="1"/>
  <c r="DE406" i="1"/>
  <c r="DE407" i="1"/>
  <c r="DE408" i="1"/>
  <c r="DE409" i="1"/>
  <c r="DE410" i="1"/>
  <c r="DE411" i="1"/>
  <c r="DE413" i="1"/>
  <c r="DE414" i="1"/>
  <c r="DE415" i="1"/>
  <c r="DE416" i="1"/>
  <c r="DE417" i="1"/>
  <c r="DE418" i="1"/>
  <c r="DE421" i="1"/>
  <c r="DE422" i="1"/>
  <c r="DE423" i="1"/>
  <c r="DE424" i="1"/>
  <c r="DE425" i="1"/>
  <c r="DE426" i="1"/>
  <c r="DE427" i="1"/>
  <c r="DE428" i="1"/>
  <c r="DE430" i="1"/>
  <c r="DE431" i="1"/>
  <c r="DE432" i="1"/>
  <c r="DE433" i="1"/>
  <c r="DE434" i="1"/>
  <c r="DE435" i="1"/>
  <c r="DE436" i="1"/>
  <c r="DE438" i="1"/>
  <c r="DE439" i="1"/>
  <c r="DE440" i="1"/>
  <c r="DE441" i="1"/>
  <c r="DE442" i="1"/>
  <c r="DE443" i="1"/>
  <c r="DE445" i="1"/>
  <c r="DE446" i="1"/>
  <c r="DE447" i="1"/>
  <c r="DE448" i="1"/>
  <c r="DE449" i="1"/>
  <c r="DE450" i="1"/>
  <c r="DE451" i="1"/>
  <c r="DE452" i="1"/>
  <c r="DE454" i="1"/>
  <c r="DE455" i="1"/>
  <c r="DE456" i="1"/>
  <c r="DE457" i="1"/>
  <c r="DE459" i="1"/>
  <c r="DE460" i="1"/>
  <c r="DE461" i="1"/>
  <c r="DE462" i="1"/>
  <c r="DE463" i="1"/>
  <c r="DE464" i="1"/>
  <c r="DE465" i="1"/>
  <c r="DE466" i="1"/>
  <c r="DE468" i="1"/>
  <c r="DE469" i="1"/>
  <c r="DE470" i="1"/>
  <c r="DE471" i="1"/>
  <c r="DE472" i="1"/>
  <c r="DE473" i="1"/>
  <c r="DE474" i="1"/>
  <c r="DE475" i="1"/>
  <c r="DE476" i="1"/>
  <c r="DE478" i="1"/>
  <c r="DE479" i="1"/>
  <c r="DE480" i="1"/>
  <c r="DE481" i="1"/>
  <c r="DE482" i="1"/>
  <c r="DE483" i="1"/>
  <c r="DE485" i="1"/>
  <c r="DE486" i="1"/>
  <c r="DE487" i="1"/>
  <c r="DE488" i="1"/>
  <c r="DE489" i="1"/>
  <c r="DE490" i="1"/>
  <c r="DE491" i="1"/>
  <c r="DE492" i="1"/>
  <c r="DE493" i="1"/>
  <c r="DE495" i="1"/>
  <c r="DE496" i="1"/>
  <c r="DE497" i="1"/>
  <c r="DE498" i="1"/>
  <c r="DE499" i="1"/>
  <c r="DE500" i="1"/>
  <c r="DE502" i="1"/>
  <c r="DE503" i="1"/>
  <c r="DE504" i="1"/>
  <c r="DE505" i="1"/>
  <c r="DE506" i="1"/>
  <c r="DE507" i="1"/>
  <c r="DE508" i="1"/>
  <c r="DE510" i="1"/>
  <c r="DE511" i="1"/>
  <c r="DE512" i="1"/>
  <c r="DE514" i="1"/>
  <c r="DE515" i="1"/>
  <c r="DE516" i="1"/>
  <c r="DE517" i="1"/>
  <c r="DE518" i="1"/>
  <c r="DE520" i="1"/>
  <c r="DE521" i="1"/>
  <c r="DE522" i="1"/>
  <c r="DE523" i="1"/>
  <c r="DE524" i="1"/>
  <c r="DE525" i="1"/>
  <c r="DE526" i="1"/>
  <c r="DE527" i="1"/>
  <c r="DE530" i="1"/>
  <c r="DE531" i="1"/>
  <c r="DE532" i="1"/>
  <c r="DE533" i="1"/>
  <c r="DE534" i="1"/>
  <c r="DE535" i="1"/>
  <c r="DE536" i="1"/>
  <c r="DE538" i="1"/>
  <c r="DE539" i="1"/>
  <c r="DE540" i="1"/>
  <c r="DE541" i="1"/>
  <c r="DE542" i="1"/>
  <c r="DE543" i="1"/>
  <c r="DE544" i="1"/>
  <c r="DE545" i="1"/>
  <c r="DE546" i="1"/>
  <c r="DE548" i="1"/>
  <c r="DE549" i="1"/>
  <c r="DE550" i="1"/>
  <c r="DE551" i="1"/>
  <c r="DE552" i="1"/>
  <c r="DE553" i="1"/>
  <c r="DE554" i="1"/>
  <c r="DE555" i="1"/>
  <c r="DE557" i="1"/>
  <c r="DE558" i="1"/>
  <c r="DE559" i="1"/>
  <c r="DE560" i="1"/>
  <c r="DE561" i="1"/>
  <c r="DE562" i="1"/>
  <c r="DE564" i="1"/>
  <c r="DE565" i="1"/>
  <c r="DE566" i="1"/>
  <c r="DE567" i="1"/>
  <c r="DE569" i="1"/>
  <c r="DE570" i="1"/>
  <c r="DE572" i="1"/>
  <c r="DE573" i="1"/>
  <c r="DE574" i="1"/>
  <c r="DE576" i="1"/>
  <c r="DE577" i="1"/>
  <c r="DE578" i="1"/>
  <c r="DE579" i="1"/>
  <c r="DE580" i="1"/>
  <c r="DE581" i="1"/>
  <c r="DE583" i="1"/>
  <c r="DE584" i="1"/>
  <c r="DE586" i="1"/>
  <c r="DE587" i="1"/>
  <c r="DE588" i="1"/>
  <c r="DE590" i="1"/>
  <c r="DE591" i="1"/>
  <c r="DE592" i="1"/>
  <c r="DE593" i="1"/>
  <c r="DE594" i="1"/>
  <c r="DE595" i="1"/>
  <c r="DE596" i="1"/>
  <c r="DE597" i="1"/>
  <c r="DE598" i="1"/>
  <c r="DE600" i="1"/>
  <c r="DE601" i="1"/>
  <c r="DE603" i="1"/>
  <c r="DE604" i="1"/>
  <c r="DE605" i="1"/>
  <c r="DE607" i="1"/>
  <c r="DE608" i="1"/>
  <c r="DE609" i="1"/>
  <c r="DE610" i="1"/>
  <c r="DE611" i="1"/>
  <c r="DE612" i="1"/>
  <c r="DE614" i="1"/>
  <c r="DE615" i="1"/>
  <c r="DE617" i="1"/>
  <c r="DE618" i="1"/>
  <c r="DE619" i="1"/>
  <c r="DE620" i="1"/>
  <c r="DE622" i="1"/>
  <c r="DE623" i="1"/>
  <c r="DE624" i="1"/>
  <c r="DE625" i="1"/>
  <c r="DE626" i="1"/>
  <c r="DE628" i="1"/>
  <c r="DE629" i="1"/>
  <c r="DE630" i="1"/>
  <c r="DE631" i="1"/>
  <c r="DE632" i="1"/>
  <c r="DE633" i="1"/>
  <c r="DE634" i="1"/>
  <c r="DE636" i="1"/>
  <c r="DE637" i="1"/>
  <c r="DE638" i="1"/>
  <c r="DE639" i="1"/>
  <c r="DE641" i="1"/>
  <c r="DE643" i="1"/>
  <c r="DE644" i="1"/>
  <c r="DE645" i="1"/>
  <c r="DE647" i="1"/>
  <c r="DE648" i="1"/>
  <c r="DE649" i="1"/>
  <c r="DE650" i="1"/>
  <c r="DE651" i="1"/>
  <c r="DE652" i="1"/>
  <c r="DE654" i="1"/>
  <c r="DE655" i="1"/>
  <c r="DE656" i="1"/>
  <c r="DE657" i="1"/>
  <c r="DE658" i="1"/>
  <c r="DE659" i="1"/>
  <c r="DE660" i="1"/>
  <c r="DE662" i="1"/>
  <c r="DE663" i="1"/>
  <c r="DE665" i="1"/>
  <c r="DE666" i="1"/>
  <c r="DE667" i="1"/>
  <c r="DE669" i="1"/>
  <c r="DE670" i="1"/>
  <c r="DE671" i="1"/>
  <c r="DE672" i="1"/>
  <c r="DE674" i="1"/>
  <c r="DE675" i="1"/>
  <c r="DE676" i="1"/>
  <c r="DE677" i="1"/>
  <c r="DE678" i="1"/>
  <c r="DE679" i="1"/>
  <c r="DE681" i="1"/>
  <c r="DE682" i="1"/>
  <c r="DE683" i="1"/>
  <c r="DE684" i="1"/>
  <c r="DE685" i="1"/>
  <c r="DE686" i="1"/>
  <c r="DE687" i="1"/>
  <c r="DE688" i="1"/>
  <c r="DE689" i="1"/>
  <c r="DE690" i="1"/>
  <c r="DE691" i="1"/>
  <c r="DE693" i="1"/>
  <c r="DE694" i="1"/>
  <c r="DE695" i="1"/>
  <c r="DE696" i="1"/>
  <c r="DE698" i="1"/>
  <c r="DE699" i="1"/>
  <c r="DE702" i="1"/>
  <c r="DE703" i="1"/>
  <c r="DE704" i="1"/>
  <c r="DE706" i="1"/>
  <c r="DE707" i="1"/>
  <c r="DE708" i="1"/>
  <c r="DE709" i="1"/>
  <c r="DE711" i="1"/>
  <c r="DE712" i="1"/>
  <c r="DE713" i="1"/>
  <c r="DE714" i="1"/>
  <c r="DE715" i="1"/>
  <c r="DE716" i="1"/>
  <c r="DE717" i="1"/>
  <c r="DE718" i="1"/>
  <c r="DE720" i="1"/>
  <c r="DE721" i="1"/>
  <c r="DE723" i="1"/>
  <c r="DE724" i="1"/>
  <c r="DE725" i="1"/>
  <c r="DE726" i="1"/>
  <c r="DE729" i="1"/>
  <c r="DE731" i="1"/>
  <c r="DE732" i="1"/>
  <c r="DE733" i="1"/>
  <c r="DE734" i="1"/>
  <c r="DE735" i="1"/>
  <c r="DE736" i="1"/>
  <c r="DE738" i="1"/>
  <c r="DE739" i="1"/>
  <c r="DE740" i="1"/>
  <c r="DE741" i="1"/>
  <c r="DE742" i="1"/>
  <c r="DE743" i="1"/>
  <c r="DE744" i="1"/>
  <c r="DE745" i="1"/>
  <c r="DE748" i="1"/>
  <c r="DE750" i="1"/>
  <c r="DE751" i="1"/>
  <c r="DE752" i="1"/>
  <c r="DE753" i="1"/>
  <c r="DE754" i="1"/>
  <c r="DE755" i="1"/>
  <c r="DE756" i="1"/>
  <c r="DE758" i="1"/>
  <c r="DE760" i="1"/>
  <c r="DE761" i="1"/>
  <c r="DE763" i="1"/>
  <c r="DE764" i="1"/>
  <c r="DE766" i="1"/>
  <c r="DE767" i="1"/>
  <c r="DE768" i="1"/>
  <c r="DE769" i="1"/>
  <c r="DE774" i="1"/>
  <c r="DE775" i="1"/>
  <c r="DE777" i="1"/>
  <c r="DE778" i="1"/>
  <c r="DE779" i="1"/>
  <c r="DE780" i="1"/>
  <c r="DE782" i="1"/>
  <c r="DE783" i="1"/>
  <c r="DE784" i="1"/>
  <c r="DE785" i="1"/>
  <c r="DE786" i="1"/>
  <c r="DE787" i="1"/>
  <c r="DE789" i="1"/>
  <c r="DE790" i="1"/>
  <c r="DE791" i="1"/>
  <c r="DE793" i="1"/>
  <c r="DE794" i="1"/>
  <c r="DE795" i="1"/>
  <c r="DE796" i="1"/>
  <c r="DE797" i="1"/>
  <c r="DE798" i="1"/>
  <c r="DE800" i="1"/>
  <c r="DE801" i="1"/>
  <c r="DE802" i="1"/>
  <c r="DE803" i="1"/>
  <c r="DE804" i="1"/>
  <c r="DE805" i="1"/>
  <c r="DE806" i="1"/>
  <c r="DE807" i="1"/>
  <c r="DE808" i="1"/>
  <c r="DE810" i="1"/>
  <c r="DE811" i="1"/>
  <c r="DE812" i="1"/>
  <c r="DE813" i="1"/>
  <c r="DE814" i="1"/>
  <c r="DE815" i="1"/>
  <c r="DE816" i="1"/>
  <c r="DE818" i="1"/>
  <c r="DE819" i="1"/>
  <c r="DE820" i="1"/>
  <c r="DE822" i="1"/>
  <c r="DE823" i="1"/>
  <c r="DE824" i="1"/>
  <c r="DE825" i="1"/>
  <c r="DE826" i="1"/>
  <c r="DE827" i="1"/>
  <c r="DE829" i="1"/>
  <c r="DE830" i="1"/>
  <c r="DE831" i="1"/>
  <c r="DE832" i="1"/>
  <c r="DE834" i="1"/>
  <c r="DE835" i="1"/>
  <c r="DE836" i="1"/>
  <c r="DE838" i="1"/>
  <c r="DE839" i="1"/>
  <c r="DE840" i="1"/>
  <c r="DE841" i="1"/>
  <c r="DE842" i="1"/>
  <c r="DE843" i="1"/>
  <c r="DE845" i="1"/>
  <c r="DE846" i="1"/>
  <c r="DE847" i="1"/>
  <c r="DE848" i="1"/>
  <c r="DE849" i="1"/>
  <c r="DE850" i="1"/>
  <c r="DE852" i="1"/>
  <c r="DE854" i="1"/>
  <c r="DE855" i="1"/>
  <c r="DE856" i="1"/>
  <c r="DE857" i="1"/>
  <c r="DE859" i="1"/>
  <c r="DE860" i="1"/>
  <c r="DE862" i="1"/>
  <c r="DE863" i="1"/>
  <c r="DE864" i="1"/>
  <c r="DE865" i="1"/>
  <c r="DE866" i="1"/>
  <c r="DE867" i="1"/>
  <c r="DE868" i="1"/>
  <c r="DE869" i="1"/>
  <c r="DE870" i="1"/>
  <c r="DE872" i="1"/>
  <c r="DE873" i="1"/>
  <c r="DE874" i="1"/>
  <c r="DE875" i="1"/>
  <c r="DE876" i="1"/>
  <c r="DE877" i="1"/>
  <c r="DE878" i="1"/>
  <c r="DE879" i="1"/>
  <c r="DE880" i="1"/>
  <c r="DE881" i="1"/>
  <c r="DE884" i="1"/>
  <c r="DE886" i="1"/>
  <c r="DE887" i="1"/>
  <c r="DE888" i="1"/>
  <c r="DE889" i="1"/>
  <c r="DE890" i="1"/>
  <c r="DE891" i="1"/>
  <c r="DE892" i="1"/>
  <c r="DE893" i="1"/>
  <c r="DE894" i="1"/>
  <c r="DE895" i="1"/>
  <c r="DE897" i="1"/>
  <c r="DE898" i="1"/>
  <c r="DE899" i="1"/>
  <c r="DE900" i="1"/>
  <c r="DE901" i="1"/>
  <c r="DE902" i="1"/>
  <c r="DE904" i="1"/>
  <c r="DE905" i="1"/>
  <c r="DE906" i="1"/>
  <c r="DE908" i="1"/>
  <c r="DE909" i="1"/>
  <c r="DE910" i="1"/>
  <c r="DE911" i="1"/>
  <c r="DE912" i="1"/>
  <c r="DE913" i="1"/>
  <c r="DE915" i="1"/>
  <c r="DE916" i="1"/>
  <c r="DE917" i="1"/>
  <c r="DE918" i="1"/>
  <c r="DE919" i="1"/>
  <c r="DE921" i="1"/>
  <c r="DE922" i="1"/>
  <c r="DE923" i="1"/>
  <c r="DE924" i="1"/>
  <c r="DE925" i="1"/>
  <c r="DE927" i="1"/>
  <c r="DE928" i="1"/>
  <c r="DE929" i="1"/>
  <c r="DE930" i="1"/>
  <c r="DE931" i="1"/>
  <c r="DE932" i="1"/>
  <c r="DE933" i="1"/>
  <c r="DE935" i="1"/>
  <c r="DE936" i="1"/>
  <c r="DE937" i="1"/>
  <c r="DE938" i="1"/>
  <c r="DE939" i="1"/>
  <c r="DE940" i="1"/>
  <c r="DE941" i="1"/>
  <c r="DE943" i="1"/>
  <c r="DE944" i="1"/>
  <c r="DE945" i="1"/>
  <c r="DE947" i="1"/>
  <c r="DE948" i="1"/>
  <c r="DE950" i="1"/>
  <c r="DE951" i="1"/>
  <c r="DE952" i="1"/>
  <c r="DE953" i="1"/>
  <c r="DE954" i="1"/>
  <c r="DE955" i="1"/>
  <c r="DE956" i="1"/>
  <c r="DE957" i="1"/>
  <c r="DE958" i="1"/>
  <c r="DE961" i="1"/>
  <c r="DE962" i="1"/>
  <c r="DE963" i="1"/>
  <c r="DE964" i="1"/>
  <c r="DE965" i="1"/>
  <c r="DE966" i="1"/>
  <c r="DE967" i="1"/>
  <c r="DE969" i="1"/>
  <c r="DE970" i="1"/>
  <c r="DE971" i="1"/>
  <c r="DE972" i="1"/>
  <c r="DE973" i="1"/>
  <c r="DE974" i="1"/>
  <c r="DE975" i="1"/>
  <c r="DE977" i="1"/>
  <c r="DE978" i="1"/>
  <c r="DE979" i="1"/>
  <c r="DE980" i="1"/>
  <c r="DE981" i="1"/>
  <c r="DE983" i="1"/>
  <c r="DE985" i="1"/>
  <c r="DE986" i="1"/>
  <c r="DE987" i="1"/>
  <c r="DE989" i="1"/>
  <c r="DE990" i="1"/>
  <c r="DE991" i="1"/>
  <c r="DE992" i="1"/>
  <c r="DE993" i="1"/>
  <c r="DE994" i="1"/>
  <c r="DE996" i="1"/>
  <c r="DE997" i="1"/>
  <c r="DE998" i="1"/>
  <c r="DE999" i="1"/>
  <c r="DE1000" i="1"/>
  <c r="DE1001" i="1"/>
  <c r="DE1002" i="1"/>
  <c r="DE1003" i="1"/>
  <c r="DE1005" i="1"/>
  <c r="DE1006" i="1"/>
  <c r="DE1007" i="1"/>
  <c r="DE1008" i="1"/>
  <c r="DE1009" i="1"/>
  <c r="DE1010" i="1"/>
  <c r="DE1011" i="1"/>
  <c r="DE1013" i="1"/>
  <c r="DE1014" i="1"/>
  <c r="DE1015" i="1"/>
  <c r="DE1016" i="1"/>
  <c r="DE1017" i="1"/>
  <c r="DE1018" i="1"/>
  <c r="DE1019" i="1"/>
  <c r="DE1020" i="1"/>
  <c r="DE1021" i="1"/>
  <c r="DE1022" i="1"/>
  <c r="DE1023" i="1"/>
  <c r="DE1025" i="1"/>
  <c r="DE1026" i="1"/>
  <c r="DE1027" i="1"/>
  <c r="DE1028" i="1"/>
  <c r="DE1029" i="1"/>
  <c r="DE1030" i="1"/>
  <c r="DE1031" i="1"/>
  <c r="DE1032" i="1"/>
  <c r="DE1033" i="1"/>
  <c r="DE1035" i="1"/>
  <c r="DE1036" i="1"/>
  <c r="DE1037" i="1"/>
  <c r="DE1038" i="1"/>
  <c r="DE1039" i="1"/>
  <c r="DE1040" i="1"/>
  <c r="DE1041" i="1"/>
  <c r="DE1042" i="1"/>
  <c r="DE1043" i="1"/>
  <c r="DE1044" i="1"/>
  <c r="DE1046" i="1"/>
  <c r="DE1047" i="1"/>
  <c r="DE1048" i="1"/>
  <c r="DE1051" i="1"/>
  <c r="DE1053" i="1"/>
  <c r="DE1054" i="1"/>
  <c r="DE1055" i="1"/>
  <c r="DE1056" i="1"/>
  <c r="DE1057" i="1"/>
  <c r="DE1059" i="1"/>
  <c r="DE1060" i="1"/>
  <c r="DE1061" i="1"/>
  <c r="DE1062" i="1"/>
  <c r="DE1063" i="1"/>
  <c r="DE1064" i="1"/>
  <c r="DE1066" i="1"/>
  <c r="DE1067" i="1"/>
  <c r="DE1068" i="1"/>
  <c r="DE1069" i="1"/>
  <c r="DE1070" i="1"/>
  <c r="DE1071" i="1"/>
  <c r="DE1072" i="1"/>
  <c r="DE1073" i="1"/>
  <c r="DE1075" i="1"/>
  <c r="DE1076" i="1"/>
  <c r="DE1077" i="1"/>
  <c r="DE1079" i="1"/>
  <c r="DE1080" i="1"/>
  <c r="DE1081" i="1"/>
  <c r="DE1082" i="1"/>
  <c r="DE1083" i="1"/>
  <c r="DE1084" i="1"/>
  <c r="DE1086" i="1"/>
  <c r="DE1087" i="1"/>
  <c r="DE1088" i="1"/>
  <c r="DE1089" i="1"/>
  <c r="DE1090" i="1"/>
  <c r="DE1091" i="1"/>
  <c r="DE1092" i="1"/>
  <c r="DE1093" i="1"/>
  <c r="DE1094" i="1"/>
  <c r="DE1097" i="1"/>
  <c r="DE1098" i="1"/>
  <c r="DE1099" i="1"/>
  <c r="DE1100" i="1"/>
  <c r="DE1101" i="1"/>
  <c r="DE1102" i="1"/>
  <c r="DE1103" i="1"/>
  <c r="DE1104" i="1"/>
  <c r="DE1105" i="1"/>
  <c r="DE1106" i="1"/>
  <c r="DE1108" i="1"/>
  <c r="DE1109" i="1"/>
  <c r="DE1110" i="1"/>
  <c r="DE1111" i="1"/>
  <c r="DE1112" i="1"/>
  <c r="DE1113" i="1"/>
  <c r="DE1115" i="1"/>
  <c r="DE1116" i="1"/>
  <c r="DE1117" i="1"/>
  <c r="DE1118" i="1"/>
  <c r="DE1120" i="1"/>
  <c r="DE1122" i="1"/>
  <c r="DE1123" i="1"/>
  <c r="DE1124" i="1"/>
  <c r="DE1126" i="1"/>
  <c r="DE1127" i="1"/>
  <c r="DE1128" i="1"/>
  <c r="DE1129" i="1"/>
  <c r="DE1130" i="1"/>
  <c r="DE1131" i="1"/>
  <c r="DE1132" i="1"/>
  <c r="DE1133" i="1"/>
  <c r="DE1135" i="1"/>
  <c r="DE1136" i="1"/>
  <c r="DE1137" i="1"/>
  <c r="DE1138" i="1"/>
  <c r="DE1139" i="1"/>
  <c r="DE1140" i="1"/>
  <c r="DE1142" i="1"/>
  <c r="DE1143" i="1"/>
  <c r="DE1144" i="1"/>
  <c r="DE1145" i="1"/>
  <c r="DE1146" i="1"/>
  <c r="DE1147" i="1"/>
  <c r="DE1148" i="1"/>
  <c r="DE1149" i="1"/>
  <c r="DE1150" i="1"/>
  <c r="DE1152" i="1"/>
  <c r="DE1153" i="1"/>
  <c r="DE1154" i="1"/>
  <c r="DE1155" i="1"/>
  <c r="DE1157" i="1"/>
  <c r="DE1158" i="1"/>
  <c r="DE1159" i="1"/>
  <c r="DE1160" i="1"/>
  <c r="DE1161" i="1"/>
  <c r="DE1162" i="1"/>
  <c r="DE1163" i="1"/>
  <c r="DE1164" i="1"/>
  <c r="DE1165" i="1"/>
  <c r="DE1167" i="1"/>
  <c r="DE1168" i="1"/>
  <c r="DE1169" i="1"/>
  <c r="DE1170" i="1"/>
  <c r="DE1172" i="1"/>
  <c r="DE1173" i="1"/>
  <c r="DE1174" i="1"/>
  <c r="DE1175" i="1"/>
  <c r="DE1177" i="1"/>
  <c r="DE1178" i="1"/>
  <c r="DE1179" i="1"/>
  <c r="DE1180" i="1"/>
  <c r="DE1181" i="1"/>
  <c r="DE1182" i="1"/>
  <c r="DE1183" i="1"/>
  <c r="DE1185" i="1"/>
  <c r="DE1186" i="1"/>
  <c r="DE1187" i="1"/>
  <c r="DE1188" i="1"/>
  <c r="DE1189" i="1"/>
  <c r="DE1190" i="1"/>
  <c r="DE1192" i="1"/>
  <c r="DE1194" i="1"/>
  <c r="DE1195" i="1"/>
  <c r="DE1196" i="1"/>
  <c r="DE1199" i="1"/>
  <c r="DE1201" i="1"/>
  <c r="DE1202" i="1"/>
  <c r="DE1203" i="1"/>
  <c r="DE1204" i="1"/>
  <c r="DE1205" i="1"/>
  <c r="DE1206" i="1"/>
  <c r="DE1207" i="1"/>
  <c r="DE1209" i="1"/>
  <c r="DE1210" i="1"/>
  <c r="DE1211" i="1"/>
  <c r="DE1212" i="1"/>
  <c r="DE1213" i="1"/>
  <c r="DE1214" i="1"/>
  <c r="DE1215" i="1"/>
  <c r="DE1216" i="1"/>
  <c r="DE1217" i="1"/>
  <c r="DE1219" i="1"/>
  <c r="DE1220" i="1"/>
  <c r="DE1222" i="1"/>
  <c r="DE1223" i="1"/>
  <c r="DE1224" i="1"/>
  <c r="DE1225" i="1"/>
  <c r="DE1226" i="1"/>
  <c r="DE1227" i="1"/>
  <c r="DE1229" i="1"/>
  <c r="DE1230" i="1"/>
  <c r="DE1231" i="1"/>
  <c r="DE1232" i="1"/>
  <c r="DE1233" i="1"/>
  <c r="DE1234" i="1"/>
  <c r="DE1235" i="1"/>
  <c r="DE1236" i="1"/>
  <c r="DE1238" i="1"/>
  <c r="DE1240" i="1"/>
  <c r="DE1241" i="1"/>
  <c r="DE1242" i="1"/>
  <c r="DE1244" i="1"/>
  <c r="DE1245" i="1"/>
  <c r="DE1246" i="1"/>
  <c r="DE1247" i="1"/>
  <c r="DE1248" i="1"/>
  <c r="DE1250" i="1"/>
  <c r="DE1251" i="1"/>
  <c r="DE1252" i="1"/>
  <c r="DE1253" i="1"/>
  <c r="DE1254" i="1"/>
  <c r="DE1255" i="1"/>
  <c r="DE1256" i="1"/>
  <c r="DE1257" i="1"/>
  <c r="DE1258" i="1"/>
  <c r="DE1259" i="1"/>
  <c r="DE1261" i="1"/>
  <c r="DE1262" i="1"/>
  <c r="DE1263" i="1"/>
  <c r="DE1265" i="1"/>
  <c r="DE1266" i="1"/>
  <c r="DE1267" i="1"/>
  <c r="DE1268" i="1"/>
  <c r="DE1272" i="1"/>
  <c r="DE1274" i="1"/>
  <c r="DE1275" i="1"/>
  <c r="DE1276" i="1"/>
  <c r="DE1277" i="1"/>
  <c r="DE1278" i="1"/>
  <c r="DE1279" i="1"/>
  <c r="DE1280" i="1"/>
  <c r="DE1282" i="1"/>
  <c r="DE1283" i="1"/>
  <c r="DE1284" i="1"/>
  <c r="DE1285" i="1"/>
  <c r="DE1286" i="1"/>
  <c r="DE1287" i="1"/>
  <c r="DE1288" i="1"/>
  <c r="DE1289" i="1"/>
  <c r="DE1291" i="1"/>
  <c r="DE1292" i="1"/>
  <c r="DE1293" i="1"/>
  <c r="DE1294" i="1"/>
  <c r="DE1295" i="1"/>
  <c r="DE1296" i="1"/>
  <c r="DE1297" i="1"/>
  <c r="DE1298" i="1"/>
  <c r="DE1299" i="1"/>
  <c r="DE1300" i="1"/>
  <c r="DE1301" i="1"/>
  <c r="DE1303" i="1"/>
  <c r="DE1304" i="1"/>
  <c r="DE1305" i="1"/>
  <c r="DE1306" i="1"/>
  <c r="DE1307" i="1"/>
  <c r="DE1308" i="1"/>
  <c r="DE1309" i="1"/>
  <c r="DE1310" i="1"/>
  <c r="DE1311" i="1"/>
  <c r="DE1312" i="1"/>
  <c r="DE1313" i="1"/>
  <c r="DF67" i="1"/>
  <c r="DF68" i="1"/>
  <c r="DF69" i="1"/>
  <c r="DF70" i="1"/>
  <c r="DF71" i="1"/>
  <c r="DF72" i="1"/>
  <c r="DF73" i="1"/>
  <c r="DF74" i="1"/>
  <c r="DF76" i="1"/>
  <c r="DF77" i="1"/>
  <c r="DF78" i="1"/>
  <c r="DF79" i="1"/>
  <c r="DF80" i="1"/>
  <c r="DF81" i="1"/>
  <c r="DF82" i="1"/>
  <c r="DF84" i="1"/>
  <c r="DF85" i="1"/>
  <c r="DF86" i="1"/>
  <c r="DF87" i="1"/>
  <c r="DF88" i="1"/>
  <c r="DF89" i="1"/>
  <c r="DF90" i="1"/>
  <c r="DF93" i="1"/>
  <c r="DF94" i="1"/>
  <c r="DF95" i="1"/>
  <c r="DF96" i="1"/>
  <c r="DF97" i="1"/>
  <c r="DF98" i="1"/>
  <c r="DF101" i="1"/>
  <c r="DF103" i="1"/>
  <c r="DF104" i="1"/>
  <c r="DF105" i="1"/>
  <c r="DF106" i="1"/>
  <c r="DF107" i="1"/>
  <c r="DF108" i="1"/>
  <c r="DF109" i="1"/>
  <c r="DF111" i="1"/>
  <c r="DF112" i="1"/>
  <c r="DF113" i="1"/>
  <c r="DF114" i="1"/>
  <c r="DF115" i="1"/>
  <c r="DF116" i="1"/>
  <c r="DF117" i="1"/>
  <c r="DF118" i="1"/>
  <c r="DF119" i="1"/>
  <c r="DF120" i="1"/>
  <c r="DF122" i="1"/>
  <c r="DF124" i="1"/>
  <c r="DF125" i="1"/>
  <c r="DF126" i="1"/>
  <c r="DF129" i="1"/>
  <c r="DF131" i="1"/>
  <c r="DF132" i="1"/>
  <c r="DF133" i="1"/>
  <c r="DF136" i="1"/>
  <c r="DF138" i="1"/>
  <c r="DF139" i="1"/>
  <c r="DF140" i="1"/>
  <c r="DF141" i="1"/>
  <c r="DF142" i="1"/>
  <c r="DF144" i="1"/>
  <c r="DF145" i="1"/>
  <c r="DF146" i="1"/>
  <c r="DF147" i="1"/>
  <c r="DF148" i="1"/>
  <c r="DF149" i="1"/>
  <c r="DF151" i="1"/>
  <c r="DF152" i="1"/>
  <c r="DF153" i="1"/>
  <c r="DF154" i="1"/>
  <c r="DF155" i="1"/>
  <c r="DF156" i="1"/>
  <c r="DF157" i="1"/>
  <c r="DF158" i="1"/>
  <c r="DF160" i="1"/>
  <c r="DF161" i="1"/>
  <c r="DF162" i="1"/>
  <c r="DF163" i="1"/>
  <c r="DF165" i="1"/>
  <c r="DF166" i="1"/>
  <c r="DF167" i="1"/>
  <c r="DF168" i="1"/>
  <c r="DF169" i="1"/>
  <c r="DF170" i="1"/>
  <c r="DF172" i="1"/>
  <c r="DF173" i="1"/>
  <c r="DF175" i="1"/>
  <c r="DF176" i="1"/>
  <c r="DF177" i="1"/>
  <c r="DF178" i="1"/>
  <c r="DF179" i="1"/>
  <c r="DF180" i="1"/>
  <c r="DF181" i="1"/>
  <c r="DF182" i="1"/>
  <c r="DF183" i="1"/>
  <c r="DF184" i="1"/>
  <c r="DF186" i="1"/>
  <c r="DF187" i="1"/>
  <c r="DF188" i="1"/>
  <c r="DF189" i="1"/>
  <c r="DF190" i="1"/>
  <c r="DF191" i="1"/>
  <c r="DF192" i="1"/>
  <c r="DF193" i="1"/>
  <c r="DF195" i="1"/>
  <c r="DF196" i="1"/>
  <c r="DF197" i="1"/>
  <c r="DF198" i="1"/>
  <c r="DF200" i="1"/>
  <c r="DF201" i="1"/>
  <c r="DF202" i="1"/>
  <c r="DF203" i="1"/>
  <c r="DF204" i="1"/>
  <c r="DF205" i="1"/>
  <c r="DF206" i="1"/>
  <c r="DF207" i="1"/>
  <c r="DF209" i="1"/>
  <c r="DF210" i="1"/>
  <c r="DF211" i="1"/>
  <c r="DF212" i="1"/>
  <c r="DF213" i="1"/>
  <c r="DF214" i="1"/>
  <c r="DF215" i="1"/>
  <c r="DF217" i="1"/>
  <c r="DF218" i="1"/>
  <c r="DF219" i="1"/>
  <c r="DF220" i="1"/>
  <c r="DF221" i="1"/>
  <c r="DF222" i="1"/>
  <c r="DF224" i="1"/>
  <c r="DF225" i="1"/>
  <c r="DF226" i="1"/>
  <c r="DF227" i="1"/>
  <c r="DF228" i="1"/>
  <c r="DF229" i="1"/>
  <c r="DF231" i="1"/>
  <c r="DF232" i="1"/>
  <c r="DF233" i="1"/>
  <c r="DF234" i="1"/>
  <c r="DF235" i="1"/>
  <c r="DF236" i="1"/>
  <c r="DF237" i="1"/>
  <c r="DF238" i="1"/>
  <c r="DF240" i="1"/>
  <c r="DF241" i="1"/>
  <c r="DF242" i="1"/>
  <c r="DF243" i="1"/>
  <c r="DF244" i="1"/>
  <c r="DF245" i="1"/>
  <c r="DF246" i="1"/>
  <c r="DF247" i="1"/>
  <c r="DF249" i="1"/>
  <c r="DF250" i="1"/>
  <c r="DF251" i="1"/>
  <c r="DF252" i="1"/>
  <c r="DF253" i="1"/>
  <c r="DF254" i="1"/>
  <c r="DF255" i="1"/>
  <c r="DF256" i="1"/>
  <c r="DF258" i="1"/>
  <c r="DF259" i="1"/>
  <c r="DF260" i="1"/>
  <c r="DF261" i="1"/>
  <c r="DF262" i="1"/>
  <c r="DF263" i="1"/>
  <c r="DF264" i="1"/>
  <c r="DF265" i="1"/>
  <c r="DF266" i="1"/>
  <c r="DF268" i="1"/>
  <c r="DF269" i="1"/>
  <c r="DF270" i="1"/>
  <c r="DF271" i="1"/>
  <c r="DF272" i="1"/>
  <c r="DF273" i="1"/>
  <c r="DF274" i="1"/>
  <c r="DF275" i="1"/>
  <c r="DF276" i="1"/>
  <c r="DF278" i="1"/>
  <c r="DF279" i="1"/>
  <c r="DF280" i="1"/>
  <c r="DF281" i="1"/>
  <c r="DF282" i="1"/>
  <c r="DF283" i="1"/>
  <c r="DF285" i="1"/>
  <c r="DF286" i="1"/>
  <c r="DF287" i="1"/>
  <c r="DF288" i="1"/>
  <c r="DF291" i="1"/>
  <c r="DF292" i="1"/>
  <c r="DF293" i="1"/>
  <c r="DF294" i="1"/>
  <c r="DF296" i="1"/>
  <c r="DF297" i="1"/>
  <c r="DF298" i="1"/>
  <c r="DF299" i="1"/>
  <c r="DF300" i="1"/>
  <c r="DF301" i="1"/>
  <c r="DF302" i="1"/>
  <c r="DF303" i="1"/>
  <c r="DF305" i="1"/>
  <c r="DF306" i="1"/>
  <c r="DF307" i="1"/>
  <c r="DF308" i="1"/>
  <c r="DF309" i="1"/>
  <c r="DF310" i="1"/>
  <c r="DF311" i="1"/>
  <c r="DF312" i="1"/>
  <c r="DF313" i="1"/>
  <c r="DF314" i="1"/>
  <c r="DF316" i="1"/>
  <c r="DF317" i="1"/>
  <c r="DF318" i="1"/>
  <c r="DF319" i="1"/>
  <c r="DF320" i="1"/>
  <c r="DF321" i="1"/>
  <c r="DF322" i="1"/>
  <c r="DF323" i="1"/>
  <c r="DF324" i="1"/>
  <c r="DF325" i="1"/>
  <c r="DF326" i="1"/>
  <c r="DF327" i="1"/>
  <c r="DF329" i="1"/>
  <c r="DF330" i="1"/>
  <c r="DF332" i="1"/>
  <c r="DF333" i="1"/>
  <c r="DF334" i="1"/>
  <c r="DF335" i="1"/>
  <c r="DF336" i="1"/>
  <c r="DF337" i="1"/>
  <c r="DF338" i="1"/>
  <c r="DF340" i="1"/>
  <c r="DF341" i="1"/>
  <c r="DF342" i="1"/>
  <c r="DF343" i="1"/>
  <c r="DF344" i="1"/>
  <c r="DF345" i="1"/>
  <c r="DF346" i="1"/>
  <c r="DF347" i="1"/>
  <c r="DF348" i="1"/>
  <c r="DF349" i="1"/>
  <c r="DF351" i="1"/>
  <c r="DF352" i="1"/>
  <c r="DF353" i="1"/>
  <c r="DF354" i="1"/>
  <c r="DF355" i="1"/>
  <c r="DF356" i="1"/>
  <c r="DF358" i="1"/>
  <c r="DF359" i="1"/>
  <c r="DF360" i="1"/>
  <c r="DF361" i="1"/>
  <c r="DF362" i="1"/>
  <c r="DF363" i="1"/>
  <c r="DF364" i="1"/>
  <c r="DF365" i="1"/>
  <c r="DF367" i="1"/>
  <c r="DF368" i="1"/>
  <c r="DF369" i="1"/>
  <c r="DF371" i="1"/>
  <c r="DF372" i="1"/>
  <c r="DF373" i="1"/>
  <c r="DF375" i="1"/>
  <c r="DF376" i="1"/>
  <c r="DF378" i="1"/>
  <c r="DF379" i="1"/>
  <c r="DF380" i="1"/>
  <c r="DF381" i="1"/>
  <c r="DF382" i="1"/>
  <c r="DF383" i="1"/>
  <c r="DF385" i="1"/>
  <c r="DF386" i="1"/>
  <c r="DF387" i="1"/>
  <c r="DF388" i="1"/>
  <c r="DF389" i="1"/>
  <c r="DF390" i="1"/>
  <c r="DF391" i="1"/>
  <c r="DF393" i="1"/>
  <c r="DF394" i="1"/>
  <c r="DF395" i="1"/>
  <c r="DF396" i="1"/>
  <c r="DF397" i="1"/>
  <c r="DF398" i="1"/>
  <c r="DF399" i="1"/>
  <c r="DF400" i="1"/>
  <c r="DF401" i="1"/>
  <c r="DF403" i="1"/>
  <c r="DF404" i="1"/>
  <c r="DF405" i="1"/>
  <c r="DF406" i="1"/>
  <c r="DF407" i="1"/>
  <c r="DF408" i="1"/>
  <c r="DF409" i="1"/>
  <c r="DF410" i="1"/>
  <c r="DF411" i="1"/>
  <c r="DF413" i="1"/>
  <c r="DF414" i="1"/>
  <c r="DF415" i="1"/>
  <c r="DF416" i="1"/>
  <c r="DF417" i="1"/>
  <c r="DF418" i="1"/>
  <c r="DF421" i="1"/>
  <c r="DF422" i="1"/>
  <c r="DF423" i="1"/>
  <c r="DF424" i="1"/>
  <c r="DF425" i="1"/>
  <c r="DF426" i="1"/>
  <c r="DF427" i="1"/>
  <c r="DF428" i="1"/>
  <c r="DF430" i="1"/>
  <c r="DF431" i="1"/>
  <c r="DF432" i="1"/>
  <c r="DF433" i="1"/>
  <c r="DF434" i="1"/>
  <c r="DF435" i="1"/>
  <c r="DF436" i="1"/>
  <c r="DF438" i="1"/>
  <c r="DF439" i="1"/>
  <c r="DF440" i="1"/>
  <c r="DF441" i="1"/>
  <c r="DF442" i="1"/>
  <c r="DF443" i="1"/>
  <c r="DF445" i="1"/>
  <c r="DF446" i="1"/>
  <c r="DF447" i="1"/>
  <c r="DF448" i="1"/>
  <c r="DF449" i="1"/>
  <c r="DF450" i="1"/>
  <c r="DF451" i="1"/>
  <c r="DF452" i="1"/>
  <c r="DF454" i="1"/>
  <c r="DF455" i="1"/>
  <c r="DF456" i="1"/>
  <c r="DF457" i="1"/>
  <c r="DF460" i="1"/>
  <c r="DF461" i="1"/>
  <c r="DF462" i="1"/>
  <c r="DF463" i="1"/>
  <c r="DF464" i="1"/>
  <c r="DF465" i="1"/>
  <c r="DF466" i="1"/>
  <c r="DF468" i="1"/>
  <c r="DF469" i="1"/>
  <c r="DF470" i="1"/>
  <c r="DF471" i="1"/>
  <c r="DF472" i="1"/>
  <c r="DF473" i="1"/>
  <c r="DF474" i="1"/>
  <c r="DF475" i="1"/>
  <c r="DF476" i="1"/>
  <c r="DF478" i="1"/>
  <c r="DF479" i="1"/>
  <c r="DF480" i="1"/>
  <c r="DF481" i="1"/>
  <c r="DF482" i="1"/>
  <c r="DF483" i="1"/>
  <c r="DF485" i="1"/>
  <c r="DF486" i="1"/>
  <c r="DF487" i="1"/>
  <c r="DF488" i="1"/>
  <c r="DF489" i="1"/>
  <c r="DF490" i="1"/>
  <c r="DF491" i="1"/>
  <c r="DF492" i="1"/>
  <c r="DF493" i="1"/>
  <c r="DF495" i="1"/>
  <c r="DF496" i="1"/>
  <c r="DF497" i="1"/>
  <c r="DF498" i="1"/>
  <c r="DF499" i="1"/>
  <c r="DF500" i="1"/>
  <c r="DF502" i="1"/>
  <c r="DF503" i="1"/>
  <c r="DF504" i="1"/>
  <c r="DF505" i="1"/>
  <c r="DF506" i="1"/>
  <c r="DF507" i="1"/>
  <c r="DF508" i="1"/>
  <c r="DF510" i="1"/>
  <c r="DF511" i="1"/>
  <c r="DF512" i="1"/>
  <c r="DF514" i="1"/>
  <c r="DF515" i="1"/>
  <c r="DF516" i="1"/>
  <c r="DF517" i="1"/>
  <c r="DF518" i="1"/>
  <c r="DF520" i="1"/>
  <c r="DF521" i="1"/>
  <c r="DF522" i="1"/>
  <c r="DF523" i="1"/>
  <c r="DF524" i="1"/>
  <c r="DF525" i="1"/>
  <c r="DF526" i="1"/>
  <c r="DF527" i="1"/>
  <c r="DF529" i="1"/>
  <c r="DF530" i="1"/>
  <c r="DF531" i="1"/>
  <c r="DF532" i="1"/>
  <c r="DF533" i="1"/>
  <c r="DF534" i="1"/>
  <c r="DF535" i="1"/>
  <c r="DF536" i="1"/>
  <c r="DF538" i="1"/>
  <c r="DF539" i="1"/>
  <c r="DF540" i="1"/>
  <c r="DF541" i="1"/>
  <c r="DF542" i="1"/>
  <c r="DF543" i="1"/>
  <c r="DF544" i="1"/>
  <c r="DF545" i="1"/>
  <c r="DF546" i="1"/>
  <c r="DF548" i="1"/>
  <c r="DF549" i="1"/>
  <c r="DF550" i="1"/>
  <c r="DF551" i="1"/>
  <c r="DF552" i="1"/>
  <c r="DF553" i="1"/>
  <c r="DF554" i="1"/>
  <c r="DF555" i="1"/>
  <c r="DF557" i="1"/>
  <c r="DF558" i="1"/>
  <c r="DF559" i="1"/>
  <c r="DF560" i="1"/>
  <c r="DF561" i="1"/>
  <c r="DF562" i="1"/>
  <c r="DF564" i="1"/>
  <c r="DF565" i="1"/>
  <c r="DF566" i="1"/>
  <c r="DF567" i="1"/>
  <c r="DF569" i="1"/>
  <c r="DF570" i="1"/>
  <c r="DF572" i="1"/>
  <c r="DF573" i="1"/>
  <c r="DF574" i="1"/>
  <c r="DF576" i="1"/>
  <c r="DF577" i="1"/>
  <c r="DF578" i="1"/>
  <c r="DF579" i="1"/>
  <c r="DF580" i="1"/>
  <c r="DF581" i="1"/>
  <c r="DF583" i="1"/>
  <c r="DF584" i="1"/>
  <c r="DF586" i="1"/>
  <c r="DF587" i="1"/>
  <c r="DF588" i="1"/>
  <c r="DF590" i="1"/>
  <c r="DF591" i="1"/>
  <c r="DF592" i="1"/>
  <c r="DF593" i="1"/>
  <c r="DF594" i="1"/>
  <c r="DF595" i="1"/>
  <c r="DF596" i="1"/>
  <c r="DF597" i="1"/>
  <c r="DF598" i="1"/>
  <c r="DF600" i="1"/>
  <c r="DF601" i="1"/>
  <c r="DF603" i="1"/>
  <c r="DF604" i="1"/>
  <c r="DF605" i="1"/>
  <c r="DF607" i="1"/>
  <c r="DF608" i="1"/>
  <c r="DF609" i="1"/>
  <c r="DF610" i="1"/>
  <c r="DF611" i="1"/>
  <c r="DF612" i="1"/>
  <c r="DF614" i="1"/>
  <c r="DF615" i="1"/>
  <c r="DF617" i="1"/>
  <c r="DF618" i="1"/>
  <c r="DF619" i="1"/>
  <c r="DF620" i="1"/>
  <c r="DF622" i="1"/>
  <c r="DF623" i="1"/>
  <c r="DF624" i="1"/>
  <c r="DF625" i="1"/>
  <c r="DF626" i="1"/>
  <c r="DF628" i="1"/>
  <c r="DF629" i="1"/>
  <c r="DF630" i="1"/>
  <c r="DF631" i="1"/>
  <c r="DF632" i="1"/>
  <c r="DF633" i="1"/>
  <c r="DF634" i="1"/>
  <c r="DF636" i="1"/>
  <c r="DF637" i="1"/>
  <c r="DF638" i="1"/>
  <c r="DF639" i="1"/>
  <c r="DF641" i="1"/>
  <c r="DF643" i="1"/>
  <c r="DF644" i="1"/>
  <c r="DF645" i="1"/>
  <c r="DF647" i="1"/>
  <c r="DF648" i="1"/>
  <c r="DF649" i="1"/>
  <c r="DF650" i="1"/>
  <c r="DF651" i="1"/>
  <c r="DF652" i="1"/>
  <c r="DF654" i="1"/>
  <c r="DF655" i="1"/>
  <c r="DF656" i="1"/>
  <c r="DF657" i="1"/>
  <c r="DF658" i="1"/>
  <c r="DF659" i="1"/>
  <c r="DF660" i="1"/>
  <c r="DF662" i="1"/>
  <c r="DF663" i="1"/>
  <c r="DF665" i="1"/>
  <c r="DF666" i="1"/>
  <c r="DF667" i="1"/>
  <c r="DF669" i="1"/>
  <c r="DF670" i="1"/>
  <c r="DF671" i="1"/>
  <c r="DF672" i="1"/>
  <c r="DF674" i="1"/>
  <c r="DF675" i="1"/>
  <c r="DF676" i="1"/>
  <c r="DF677" i="1"/>
  <c r="DF678" i="1"/>
  <c r="DF679" i="1"/>
  <c r="DF681" i="1"/>
  <c r="DF682" i="1"/>
  <c r="DF683" i="1"/>
  <c r="DF684" i="1"/>
  <c r="DF685" i="1"/>
  <c r="DF686" i="1"/>
  <c r="DF687" i="1"/>
  <c r="DF688" i="1"/>
  <c r="DF689" i="1"/>
  <c r="DF690" i="1"/>
  <c r="DF691" i="1"/>
  <c r="DF693" i="1"/>
  <c r="DF694" i="1"/>
  <c r="DF695" i="1"/>
  <c r="DF696" i="1"/>
  <c r="DF698" i="1"/>
  <c r="DF699" i="1"/>
  <c r="DF702" i="1"/>
  <c r="DF703" i="1"/>
  <c r="DF704" i="1"/>
  <c r="DF706" i="1"/>
  <c r="DF707" i="1"/>
  <c r="DF708" i="1"/>
  <c r="DF709" i="1"/>
  <c r="DF711" i="1"/>
  <c r="DF712" i="1"/>
  <c r="DF713" i="1"/>
  <c r="DF714" i="1"/>
  <c r="DF715" i="1"/>
  <c r="DF716" i="1"/>
  <c r="DF717" i="1"/>
  <c r="DF718" i="1"/>
  <c r="DF720" i="1"/>
  <c r="DF721" i="1"/>
  <c r="DF723" i="1"/>
  <c r="DF724" i="1"/>
  <c r="DF725" i="1"/>
  <c r="DF726" i="1"/>
  <c r="DF729" i="1"/>
  <c r="DF731" i="1"/>
  <c r="DF732" i="1"/>
  <c r="DF733" i="1"/>
  <c r="DF734" i="1"/>
  <c r="DF735" i="1"/>
  <c r="DF736" i="1"/>
  <c r="DF738" i="1"/>
  <c r="DF739" i="1"/>
  <c r="DF740" i="1"/>
  <c r="DF741" i="1"/>
  <c r="DF742" i="1"/>
  <c r="DF743" i="1"/>
  <c r="DF744" i="1"/>
  <c r="DF745" i="1"/>
  <c r="DF748" i="1"/>
  <c r="DF750" i="1"/>
  <c r="DF751" i="1"/>
  <c r="DF752" i="1"/>
  <c r="DF753" i="1"/>
  <c r="DF754" i="1"/>
  <c r="DF755" i="1"/>
  <c r="DF756" i="1"/>
  <c r="DF758" i="1"/>
  <c r="DF760" i="1"/>
  <c r="DF761" i="1"/>
  <c r="DF763" i="1"/>
  <c r="DF764" i="1"/>
  <c r="DF766" i="1"/>
  <c r="DF767" i="1"/>
  <c r="DF768" i="1"/>
  <c r="DF769" i="1"/>
  <c r="DF774" i="1"/>
  <c r="DF775" i="1"/>
  <c r="DF777" i="1"/>
  <c r="DF778" i="1"/>
  <c r="DF779" i="1"/>
  <c r="DF780" i="1"/>
  <c r="DF783" i="1"/>
  <c r="DF784" i="1"/>
  <c r="DF785" i="1"/>
  <c r="DF786" i="1"/>
  <c r="DF787" i="1"/>
  <c r="DF789" i="1"/>
  <c r="DF790" i="1"/>
  <c r="DF791" i="1"/>
  <c r="DF793" i="1"/>
  <c r="DF794" i="1"/>
  <c r="DF795" i="1"/>
  <c r="DF796" i="1"/>
  <c r="DF797" i="1"/>
  <c r="DF798" i="1"/>
  <c r="DF800" i="1"/>
  <c r="DF801" i="1"/>
  <c r="DF802" i="1"/>
  <c r="DF803" i="1"/>
  <c r="DF804" i="1"/>
  <c r="DF805" i="1"/>
  <c r="DF806" i="1"/>
  <c r="DF807" i="1"/>
  <c r="DF808" i="1"/>
  <c r="DF810" i="1"/>
  <c r="DF811" i="1"/>
  <c r="DF812" i="1"/>
  <c r="DF813" i="1"/>
  <c r="DF814" i="1"/>
  <c r="DF815" i="1"/>
  <c r="DF816" i="1"/>
  <c r="DF818" i="1"/>
  <c r="DF819" i="1"/>
  <c r="DF820" i="1"/>
  <c r="DF822" i="1"/>
  <c r="DF823" i="1"/>
  <c r="DF824" i="1"/>
  <c r="DF825" i="1"/>
  <c r="DF826" i="1"/>
  <c r="DF827" i="1"/>
  <c r="DF829" i="1"/>
  <c r="DF830" i="1"/>
  <c r="DF831" i="1"/>
  <c r="DF832" i="1"/>
  <c r="DF834" i="1"/>
  <c r="DF835" i="1"/>
  <c r="DF836" i="1"/>
  <c r="DF838" i="1"/>
  <c r="DF839" i="1"/>
  <c r="DF840" i="1"/>
  <c r="DF841" i="1"/>
  <c r="DF842" i="1"/>
  <c r="DF843" i="1"/>
  <c r="DF845" i="1"/>
  <c r="DF846" i="1"/>
  <c r="DF847" i="1"/>
  <c r="DF848" i="1"/>
  <c r="DF849" i="1"/>
  <c r="DF850" i="1"/>
  <c r="DF852" i="1"/>
  <c r="DF854" i="1"/>
  <c r="DF855" i="1"/>
  <c r="DF856" i="1"/>
  <c r="DF857" i="1"/>
  <c r="DF859" i="1"/>
  <c r="DF860" i="1"/>
  <c r="DF862" i="1"/>
  <c r="DF863" i="1"/>
  <c r="DF864" i="1"/>
  <c r="DF865" i="1"/>
  <c r="DF866" i="1"/>
  <c r="DF867" i="1"/>
  <c r="DF868" i="1"/>
  <c r="DF869" i="1"/>
  <c r="DF870" i="1"/>
  <c r="DF871" i="1"/>
  <c r="DF872" i="1"/>
  <c r="DF873" i="1"/>
  <c r="DF874" i="1"/>
  <c r="DF875" i="1"/>
  <c r="DF876" i="1"/>
  <c r="DF877" i="1"/>
  <c r="DF878" i="1"/>
  <c r="DF879" i="1"/>
  <c r="DF880" i="1"/>
  <c r="DF881" i="1"/>
  <c r="DF884" i="1"/>
  <c r="DF886" i="1"/>
  <c r="DF887" i="1"/>
  <c r="DF888" i="1"/>
  <c r="DF889" i="1"/>
  <c r="DF890" i="1"/>
  <c r="DF891" i="1"/>
  <c r="DF892" i="1"/>
  <c r="DF893" i="1"/>
  <c r="DF894" i="1"/>
  <c r="DF895" i="1"/>
  <c r="DF897" i="1"/>
  <c r="DF898" i="1"/>
  <c r="DF899" i="1"/>
  <c r="DF900" i="1"/>
  <c r="DF901" i="1"/>
  <c r="DF902" i="1"/>
  <c r="DF904" i="1"/>
  <c r="DF905" i="1"/>
  <c r="DF906" i="1"/>
  <c r="DF908" i="1"/>
  <c r="DF909" i="1"/>
  <c r="DF910" i="1"/>
  <c r="DF911" i="1"/>
  <c r="DF912" i="1"/>
  <c r="DF913" i="1"/>
  <c r="DF915" i="1"/>
  <c r="DF916" i="1"/>
  <c r="DF917" i="1"/>
  <c r="DF918" i="1"/>
  <c r="DF919" i="1"/>
  <c r="DF921" i="1"/>
  <c r="DF922" i="1"/>
  <c r="DF923" i="1"/>
  <c r="DF924" i="1"/>
  <c r="DF925" i="1"/>
  <c r="DF927" i="1"/>
  <c r="DF928" i="1"/>
  <c r="DF929" i="1"/>
  <c r="DF930" i="1"/>
  <c r="DF931" i="1"/>
  <c r="DF932" i="1"/>
  <c r="DF933" i="1"/>
  <c r="DF935" i="1"/>
  <c r="DF936" i="1"/>
  <c r="DF937" i="1"/>
  <c r="DF938" i="1"/>
  <c r="DF939" i="1"/>
  <c r="DF940" i="1"/>
  <c r="DF941" i="1"/>
  <c r="DF943" i="1"/>
  <c r="DF944" i="1"/>
  <c r="DF945" i="1"/>
  <c r="DF947" i="1"/>
  <c r="DF948" i="1"/>
  <c r="DF950" i="1"/>
  <c r="DF951" i="1"/>
  <c r="DF952" i="1"/>
  <c r="DF953" i="1"/>
  <c r="DF954" i="1"/>
  <c r="DF955" i="1"/>
  <c r="DF956" i="1"/>
  <c r="DF957" i="1"/>
  <c r="DF958" i="1"/>
  <c r="DF960" i="1"/>
  <c r="DF961" i="1"/>
  <c r="DF962" i="1"/>
  <c r="DF963" i="1"/>
  <c r="DF964" i="1"/>
  <c r="DF965" i="1"/>
  <c r="DF966" i="1"/>
  <c r="DF967" i="1"/>
  <c r="DF969" i="1"/>
  <c r="DF970" i="1"/>
  <c r="DF971" i="1"/>
  <c r="DF972" i="1"/>
  <c r="DF973" i="1"/>
  <c r="DF974" i="1"/>
  <c r="DF975" i="1"/>
  <c r="DF977" i="1"/>
  <c r="DF978" i="1"/>
  <c r="DF979" i="1"/>
  <c r="DF980" i="1"/>
  <c r="DF981" i="1"/>
  <c r="DF983" i="1"/>
  <c r="DF985" i="1"/>
  <c r="DF986" i="1"/>
  <c r="DF987" i="1"/>
  <c r="DF989" i="1"/>
  <c r="DF990" i="1"/>
  <c r="DF991" i="1"/>
  <c r="DF992" i="1"/>
  <c r="DF993" i="1"/>
  <c r="DF994" i="1"/>
  <c r="DF996" i="1"/>
  <c r="DF997" i="1"/>
  <c r="DF998" i="1"/>
  <c r="DF999" i="1"/>
  <c r="DF1000" i="1"/>
  <c r="DF1001" i="1"/>
  <c r="DF1002" i="1"/>
  <c r="DF1003" i="1"/>
  <c r="DF1005" i="1"/>
  <c r="DF1006" i="1"/>
  <c r="DF1007" i="1"/>
  <c r="DF1008" i="1"/>
  <c r="DF1009" i="1"/>
  <c r="DF1010" i="1"/>
  <c r="DF1011" i="1"/>
  <c r="DF1013" i="1"/>
  <c r="DF1014" i="1"/>
  <c r="DF1015" i="1"/>
  <c r="DF1016" i="1"/>
  <c r="DF1017" i="1"/>
  <c r="DF1018" i="1"/>
  <c r="DF1019" i="1"/>
  <c r="DF1020" i="1"/>
  <c r="DF1021" i="1"/>
  <c r="DF1022" i="1"/>
  <c r="DF1023" i="1"/>
  <c r="DF1025" i="1"/>
  <c r="DF1026" i="1"/>
  <c r="DF1027" i="1"/>
  <c r="DF1028" i="1"/>
  <c r="DF1029" i="1"/>
  <c r="DF1030" i="1"/>
  <c r="DF1031" i="1"/>
  <c r="DF1032" i="1"/>
  <c r="DF1033" i="1"/>
  <c r="DF1035" i="1"/>
  <c r="DF1036" i="1"/>
  <c r="DF1037" i="1"/>
  <c r="DF1038" i="1"/>
  <c r="DF1039" i="1"/>
  <c r="DF1040" i="1"/>
  <c r="DF1041" i="1"/>
  <c r="DF1042" i="1"/>
  <c r="DF1043" i="1"/>
  <c r="DF1044" i="1"/>
  <c r="DF1046" i="1"/>
  <c r="DF1047" i="1"/>
  <c r="DF1048" i="1"/>
  <c r="DF1051" i="1"/>
  <c r="DF1053" i="1"/>
  <c r="DF1054" i="1"/>
  <c r="DF1055" i="1"/>
  <c r="DF1056" i="1"/>
  <c r="DF1057" i="1"/>
  <c r="DF1059" i="1"/>
  <c r="DF1060" i="1"/>
  <c r="DF1061" i="1"/>
  <c r="DF1062" i="1"/>
  <c r="DF1063" i="1"/>
  <c r="DF1064" i="1"/>
  <c r="DF1066" i="1"/>
  <c r="DF1067" i="1"/>
  <c r="DF1068" i="1"/>
  <c r="DF1069" i="1"/>
  <c r="DF1070" i="1"/>
  <c r="DF1071" i="1"/>
  <c r="DF1072" i="1"/>
  <c r="DF1073" i="1"/>
  <c r="DF1075" i="1"/>
  <c r="DF1076" i="1"/>
  <c r="DF1077" i="1"/>
  <c r="DF1079" i="1"/>
  <c r="DF1080" i="1"/>
  <c r="DF1081" i="1"/>
  <c r="DF1082" i="1"/>
  <c r="DF1083" i="1"/>
  <c r="DF1084" i="1"/>
  <c r="DF1086" i="1"/>
  <c r="DF1087" i="1"/>
  <c r="DF1088" i="1"/>
  <c r="DF1089" i="1"/>
  <c r="DF1090" i="1"/>
  <c r="DF1091" i="1"/>
  <c r="DF1092" i="1"/>
  <c r="DF1093" i="1"/>
  <c r="DF1094" i="1"/>
  <c r="DF1097" i="1"/>
  <c r="DF1098" i="1"/>
  <c r="DF1099" i="1"/>
  <c r="DF1100" i="1"/>
  <c r="DF1101" i="1"/>
  <c r="DF1102" i="1"/>
  <c r="DF1103" i="1"/>
  <c r="DF1104" i="1"/>
  <c r="DF1105" i="1"/>
  <c r="DF1106" i="1"/>
  <c r="DF1108" i="1"/>
  <c r="DF1109" i="1"/>
  <c r="DF1110" i="1"/>
  <c r="DF1111" i="1"/>
  <c r="DF1112" i="1"/>
  <c r="DF1113" i="1"/>
  <c r="DF1115" i="1"/>
  <c r="DF1116" i="1"/>
  <c r="DF1117" i="1"/>
  <c r="DF1118" i="1"/>
  <c r="DF1120" i="1"/>
  <c r="DF1122" i="1"/>
  <c r="DF1123" i="1"/>
  <c r="DF1124" i="1"/>
  <c r="DF1126" i="1"/>
  <c r="DF1127" i="1"/>
  <c r="DF1128" i="1"/>
  <c r="DF1129" i="1"/>
  <c r="DF1130" i="1"/>
  <c r="DF1131" i="1"/>
  <c r="DF1132" i="1"/>
  <c r="DF1133" i="1"/>
  <c r="DF1135" i="1"/>
  <c r="DF1136" i="1"/>
  <c r="DF1137" i="1"/>
  <c r="DF1138" i="1"/>
  <c r="DF1139" i="1"/>
  <c r="DF1140" i="1"/>
  <c r="DF1142" i="1"/>
  <c r="DF1143" i="1"/>
  <c r="DF1144" i="1"/>
  <c r="DF1145" i="1"/>
  <c r="DF1146" i="1"/>
  <c r="DF1147" i="1"/>
  <c r="DF1148" i="1"/>
  <c r="DF1149" i="1"/>
  <c r="DF1150" i="1"/>
  <c r="DF1152" i="1"/>
  <c r="DF1153" i="1"/>
  <c r="DF1154" i="1"/>
  <c r="DF1155" i="1"/>
  <c r="DF1157" i="1"/>
  <c r="DF1158" i="1"/>
  <c r="DF1159" i="1"/>
  <c r="DF1160" i="1"/>
  <c r="DF1161" i="1"/>
  <c r="DF1162" i="1"/>
  <c r="DF1163" i="1"/>
  <c r="DF1164" i="1"/>
  <c r="DF1165" i="1"/>
  <c r="DF1167" i="1"/>
  <c r="DF1168" i="1"/>
  <c r="DF1169" i="1"/>
  <c r="DF1170" i="1"/>
  <c r="DF1172" i="1"/>
  <c r="DF1173" i="1"/>
  <c r="DF1174" i="1"/>
  <c r="DF1175" i="1"/>
  <c r="DF1177" i="1"/>
  <c r="DF1178" i="1"/>
  <c r="DF1179" i="1"/>
  <c r="DF1180" i="1"/>
  <c r="DF1181" i="1"/>
  <c r="DF1182" i="1"/>
  <c r="DF1183" i="1"/>
  <c r="DF1185" i="1"/>
  <c r="DF1186" i="1"/>
  <c r="DF1187" i="1"/>
  <c r="DF1188" i="1"/>
  <c r="DF1189" i="1"/>
  <c r="DF1190" i="1"/>
  <c r="DF1192" i="1"/>
  <c r="DF1194" i="1"/>
  <c r="DF1195" i="1"/>
  <c r="DF1196" i="1"/>
  <c r="DF1199" i="1"/>
  <c r="DF1201" i="1"/>
  <c r="DF1202" i="1"/>
  <c r="DF1203" i="1"/>
  <c r="DF1204" i="1"/>
  <c r="DF1205" i="1"/>
  <c r="DF1206" i="1"/>
  <c r="DF1207" i="1"/>
  <c r="DF1209" i="1"/>
  <c r="DF1210" i="1"/>
  <c r="DF1211" i="1"/>
  <c r="DF1212" i="1"/>
  <c r="DF1213" i="1"/>
  <c r="DF1214" i="1"/>
  <c r="DF1215" i="1"/>
  <c r="DF1216" i="1"/>
  <c r="DF1217" i="1"/>
  <c r="DF1219" i="1"/>
  <c r="DF1220" i="1"/>
  <c r="DF1222" i="1"/>
  <c r="DF1223" i="1"/>
  <c r="DF1224" i="1"/>
  <c r="DF1225" i="1"/>
  <c r="DF1226" i="1"/>
  <c r="DF1227" i="1"/>
  <c r="DF1229" i="1"/>
  <c r="DF1230" i="1"/>
  <c r="DF1231" i="1"/>
  <c r="DF1232" i="1"/>
  <c r="DF1233" i="1"/>
  <c r="DF1234" i="1"/>
  <c r="DF1235" i="1"/>
  <c r="DF1236" i="1"/>
  <c r="DF1238" i="1"/>
  <c r="DF1240" i="1"/>
  <c r="DF1241" i="1"/>
  <c r="DF1242" i="1"/>
  <c r="DF1244" i="1"/>
  <c r="DF1245" i="1"/>
  <c r="DF1246" i="1"/>
  <c r="DF1247" i="1"/>
  <c r="DF1248" i="1"/>
  <c r="DF1250" i="1"/>
  <c r="DF1251" i="1"/>
  <c r="DF1252" i="1"/>
  <c r="DF1253" i="1"/>
  <c r="DF1254" i="1"/>
  <c r="DF1255" i="1"/>
  <c r="DF1256" i="1"/>
  <c r="DF1257" i="1"/>
  <c r="DF1258" i="1"/>
  <c r="DF1259" i="1"/>
  <c r="DF1261" i="1"/>
  <c r="DF1262" i="1"/>
  <c r="DF1263" i="1"/>
  <c r="DF1265" i="1"/>
  <c r="DF1266" i="1"/>
  <c r="DF1267" i="1"/>
  <c r="DF1268" i="1"/>
  <c r="DF1272" i="1"/>
  <c r="DF1274" i="1"/>
  <c r="DF1275" i="1"/>
  <c r="DF1276" i="1"/>
  <c r="DF1277" i="1"/>
  <c r="DF1278" i="1"/>
  <c r="DF1279" i="1"/>
  <c r="DF1280" i="1"/>
  <c r="DF1282" i="1"/>
  <c r="DF1283" i="1"/>
  <c r="DF1284" i="1"/>
  <c r="DF1285" i="1"/>
  <c r="DF1286" i="1"/>
  <c r="DF1287" i="1"/>
  <c r="DF1288" i="1"/>
  <c r="DF1289" i="1"/>
  <c r="DF1291" i="1"/>
  <c r="DF1292" i="1"/>
  <c r="DF1293" i="1"/>
  <c r="DF1294" i="1"/>
  <c r="DF1295" i="1"/>
  <c r="DF1296" i="1"/>
  <c r="DF1297" i="1"/>
  <c r="DF1298" i="1"/>
  <c r="DF1299" i="1"/>
  <c r="DF1300" i="1"/>
  <c r="DF1301" i="1"/>
  <c r="DF1303" i="1"/>
  <c r="DF1304" i="1"/>
  <c r="DF1305" i="1"/>
  <c r="DF1306" i="1"/>
  <c r="DF1307" i="1"/>
  <c r="DF1308" i="1"/>
  <c r="DF1309" i="1"/>
  <c r="DF1310" i="1"/>
  <c r="DF1311" i="1"/>
  <c r="DF1312" i="1"/>
  <c r="DF1313" i="1"/>
  <c r="DG67" i="1"/>
  <c r="DG68" i="1"/>
  <c r="DG69" i="1"/>
  <c r="DG70" i="1"/>
  <c r="DG71" i="1"/>
  <c r="DG72" i="1"/>
  <c r="DG73" i="1"/>
  <c r="DG74" i="1"/>
  <c r="DG77" i="1"/>
  <c r="DG78" i="1"/>
  <c r="DG79" i="1"/>
  <c r="DG80" i="1"/>
  <c r="DG81" i="1"/>
  <c r="DG82" i="1"/>
  <c r="DG84" i="1"/>
  <c r="DG85" i="1"/>
  <c r="DG86" i="1"/>
  <c r="DG87" i="1"/>
  <c r="DG88" i="1"/>
  <c r="DG89" i="1"/>
  <c r="DG90" i="1"/>
  <c r="DG92" i="1"/>
  <c r="DG93" i="1"/>
  <c r="DG94" i="1"/>
  <c r="DG95" i="1"/>
  <c r="DG96" i="1"/>
  <c r="DG97" i="1"/>
  <c r="DG98" i="1"/>
  <c r="DG101" i="1"/>
  <c r="DG104" i="1"/>
  <c r="DG105" i="1"/>
  <c r="DG106" i="1"/>
  <c r="DG107" i="1"/>
  <c r="DG108" i="1"/>
  <c r="DG109" i="1"/>
  <c r="DG111" i="1"/>
  <c r="DG112" i="1"/>
  <c r="DG113" i="1"/>
  <c r="DG114" i="1"/>
  <c r="DG115" i="1"/>
  <c r="DG116" i="1"/>
  <c r="DG117" i="1"/>
  <c r="DG118" i="1"/>
  <c r="DG119" i="1"/>
  <c r="DG120" i="1"/>
  <c r="DG122" i="1"/>
  <c r="DG124" i="1"/>
  <c r="DG125" i="1"/>
  <c r="DG126" i="1"/>
  <c r="DG129" i="1"/>
  <c r="DG131" i="1"/>
  <c r="DG132" i="1"/>
  <c r="DG133" i="1"/>
  <c r="DG136" i="1"/>
  <c r="DG138" i="1"/>
  <c r="DG139" i="1"/>
  <c r="DG140" i="1"/>
  <c r="DG141" i="1"/>
  <c r="DG142" i="1"/>
  <c r="DG144" i="1"/>
  <c r="DG145" i="1"/>
  <c r="DG146" i="1"/>
  <c r="DG147" i="1"/>
  <c r="DG148" i="1"/>
  <c r="DG149" i="1"/>
  <c r="DG151" i="1"/>
  <c r="DG152" i="1"/>
  <c r="DG153" i="1"/>
  <c r="DG154" i="1"/>
  <c r="DG155" i="1"/>
  <c r="DG156" i="1"/>
  <c r="DG157" i="1"/>
  <c r="DG158" i="1"/>
  <c r="DG160" i="1"/>
  <c r="DG161" i="1"/>
  <c r="DG162" i="1"/>
  <c r="DG163" i="1"/>
  <c r="DG165" i="1"/>
  <c r="DG166" i="1"/>
  <c r="DG167" i="1"/>
  <c r="DG168" i="1"/>
  <c r="DG169" i="1"/>
  <c r="DG170" i="1"/>
  <c r="DG172" i="1"/>
  <c r="DG173" i="1"/>
  <c r="DG175" i="1"/>
  <c r="DG176" i="1"/>
  <c r="DG177" i="1"/>
  <c r="DG178" i="1"/>
  <c r="DG179" i="1"/>
  <c r="DG180" i="1"/>
  <c r="DG181" i="1"/>
  <c r="DG182" i="1"/>
  <c r="DG183" i="1"/>
  <c r="DG184" i="1"/>
  <c r="DG186" i="1"/>
  <c r="DG187" i="1"/>
  <c r="DG188" i="1"/>
  <c r="DG189" i="1"/>
  <c r="DG190" i="1"/>
  <c r="DG191" i="1"/>
  <c r="DG192" i="1"/>
  <c r="DG193" i="1"/>
  <c r="DG195" i="1"/>
  <c r="DG196" i="1"/>
  <c r="DG197" i="1"/>
  <c r="DG198" i="1"/>
  <c r="DG200" i="1"/>
  <c r="DG201" i="1"/>
  <c r="DG202" i="1"/>
  <c r="DG203" i="1"/>
  <c r="DG204" i="1"/>
  <c r="DG205" i="1"/>
  <c r="DG206" i="1"/>
  <c r="DG207" i="1"/>
  <c r="DG209" i="1"/>
  <c r="DG210" i="1"/>
  <c r="DG211" i="1"/>
  <c r="DG212" i="1"/>
  <c r="DG213" i="1"/>
  <c r="DG214" i="1"/>
  <c r="DG215" i="1"/>
  <c r="DG217" i="1"/>
  <c r="DG218" i="1"/>
  <c r="DG219" i="1"/>
  <c r="DG220" i="1"/>
  <c r="DG221" i="1"/>
  <c r="DG222" i="1"/>
  <c r="DG224" i="1"/>
  <c r="DG225" i="1"/>
  <c r="DG226" i="1"/>
  <c r="DG227" i="1"/>
  <c r="DG228" i="1"/>
  <c r="DG229" i="1"/>
  <c r="DG231" i="1"/>
  <c r="DG232" i="1"/>
  <c r="DG233" i="1"/>
  <c r="DG234" i="1"/>
  <c r="DG235" i="1"/>
  <c r="DG236" i="1"/>
  <c r="DG237" i="1"/>
  <c r="DG238" i="1"/>
  <c r="DG240" i="1"/>
  <c r="DG241" i="1"/>
  <c r="DG242" i="1"/>
  <c r="DG243" i="1"/>
  <c r="DG244" i="1"/>
  <c r="DG245" i="1"/>
  <c r="DG246" i="1"/>
  <c r="DG247" i="1"/>
  <c r="DG249" i="1"/>
  <c r="DG250" i="1"/>
  <c r="DG251" i="1"/>
  <c r="DG252" i="1"/>
  <c r="DG253" i="1"/>
  <c r="DG254" i="1"/>
  <c r="DG255" i="1"/>
  <c r="DG256" i="1"/>
  <c r="DG258" i="1"/>
  <c r="DG259" i="1"/>
  <c r="DG260" i="1"/>
  <c r="DG261" i="1"/>
  <c r="DG262" i="1"/>
  <c r="DG263" i="1"/>
  <c r="DG264" i="1"/>
  <c r="DG265" i="1"/>
  <c r="DG266" i="1"/>
  <c r="DG268" i="1"/>
  <c r="DG269" i="1"/>
  <c r="DG270" i="1"/>
  <c r="DG271" i="1"/>
  <c r="DG272" i="1"/>
  <c r="DG273" i="1"/>
  <c r="DG274" i="1"/>
  <c r="DG275" i="1"/>
  <c r="DG276" i="1"/>
  <c r="DG278" i="1"/>
  <c r="DG279" i="1"/>
  <c r="DG280" i="1"/>
  <c r="DG281" i="1"/>
  <c r="DG282" i="1"/>
  <c r="DG283" i="1"/>
  <c r="DG285" i="1"/>
  <c r="DG286" i="1"/>
  <c r="DG287" i="1"/>
  <c r="DG288" i="1"/>
  <c r="DG291" i="1"/>
  <c r="DG292" i="1"/>
  <c r="DG293" i="1"/>
  <c r="DG294" i="1"/>
  <c r="DG296" i="1"/>
  <c r="DG297" i="1"/>
  <c r="DG298" i="1"/>
  <c r="DG299" i="1"/>
  <c r="DG300" i="1"/>
  <c r="DG301" i="1"/>
  <c r="DG302" i="1"/>
  <c r="DG303" i="1"/>
  <c r="DG305" i="1"/>
  <c r="DG306" i="1"/>
  <c r="DG307" i="1"/>
  <c r="DG308" i="1"/>
  <c r="DG309" i="1"/>
  <c r="DG310" i="1"/>
  <c r="DG311" i="1"/>
  <c r="DG312" i="1"/>
  <c r="DG313" i="1"/>
  <c r="DG314" i="1"/>
  <c r="DG316" i="1"/>
  <c r="DG317" i="1"/>
  <c r="DG318" i="1"/>
  <c r="DG319" i="1"/>
  <c r="DG320" i="1"/>
  <c r="DG321" i="1"/>
  <c r="DG322" i="1"/>
  <c r="DG323" i="1"/>
  <c r="DG324" i="1"/>
  <c r="DG325" i="1"/>
  <c r="DG326" i="1"/>
  <c r="DG327" i="1"/>
  <c r="DG329" i="1"/>
  <c r="DG330" i="1"/>
  <c r="DG332" i="1"/>
  <c r="DG333" i="1"/>
  <c r="DG334" i="1"/>
  <c r="DG335" i="1"/>
  <c r="DG336" i="1"/>
  <c r="DG337" i="1"/>
  <c r="DG338" i="1"/>
  <c r="DG340" i="1"/>
  <c r="DG341" i="1"/>
  <c r="DG342" i="1"/>
  <c r="DG343" i="1"/>
  <c r="DG344" i="1"/>
  <c r="DG345" i="1"/>
  <c r="DG346" i="1"/>
  <c r="DG347" i="1"/>
  <c r="DG348" i="1"/>
  <c r="DG349" i="1"/>
  <c r="DG351" i="1"/>
  <c r="DG352" i="1"/>
  <c r="DG353" i="1"/>
  <c r="DG354" i="1"/>
  <c r="DG355" i="1"/>
  <c r="DG356" i="1"/>
  <c r="DG358" i="1"/>
  <c r="DG359" i="1"/>
  <c r="DG360" i="1"/>
  <c r="DG361" i="1"/>
  <c r="DG362" i="1"/>
  <c r="DG363" i="1"/>
  <c r="DG364" i="1"/>
  <c r="DG365" i="1"/>
  <c r="DG367" i="1"/>
  <c r="DG368" i="1"/>
  <c r="DG369" i="1"/>
  <c r="DG371" i="1"/>
  <c r="DG372" i="1"/>
  <c r="DG373" i="1"/>
  <c r="DG375" i="1"/>
  <c r="DG376" i="1"/>
  <c r="DG378" i="1"/>
  <c r="DG379" i="1"/>
  <c r="DG380" i="1"/>
  <c r="DG381" i="1"/>
  <c r="DG382" i="1"/>
  <c r="DG383" i="1"/>
  <c r="DG385" i="1"/>
  <c r="DG386" i="1"/>
  <c r="DG387" i="1"/>
  <c r="DG388" i="1"/>
  <c r="DG389" i="1"/>
  <c r="DG390" i="1"/>
  <c r="DG391" i="1"/>
  <c r="DG393" i="1"/>
  <c r="DG394" i="1"/>
  <c r="DG395" i="1"/>
  <c r="DG396" i="1"/>
  <c r="DG397" i="1"/>
  <c r="DG398" i="1"/>
  <c r="DG399" i="1"/>
  <c r="DG400" i="1"/>
  <c r="DG401" i="1"/>
  <c r="DG403" i="1"/>
  <c r="DG404" i="1"/>
  <c r="DG405" i="1"/>
  <c r="DG406" i="1"/>
  <c r="DG407" i="1"/>
  <c r="DG408" i="1"/>
  <c r="DG409" i="1"/>
  <c r="DG410" i="1"/>
  <c r="DG411" i="1"/>
  <c r="DG413" i="1"/>
  <c r="DG414" i="1"/>
  <c r="DG415" i="1"/>
  <c r="DG416" i="1"/>
  <c r="DG417" i="1"/>
  <c r="DG418" i="1"/>
  <c r="DG421" i="1"/>
  <c r="DG422" i="1"/>
  <c r="DG423" i="1"/>
  <c r="DG424" i="1"/>
  <c r="DG425" i="1"/>
  <c r="DG426" i="1"/>
  <c r="DG427" i="1"/>
  <c r="DG428" i="1"/>
  <c r="DG431" i="1"/>
  <c r="DG432" i="1"/>
  <c r="DG433" i="1"/>
  <c r="DG434" i="1"/>
  <c r="DG435" i="1"/>
  <c r="DG436" i="1"/>
  <c r="DG438" i="1"/>
  <c r="DG439" i="1"/>
  <c r="DG440" i="1"/>
  <c r="DG441" i="1"/>
  <c r="DG442" i="1"/>
  <c r="DG443" i="1"/>
  <c r="DG445" i="1"/>
  <c r="DG446" i="1"/>
  <c r="DG447" i="1"/>
  <c r="DG448" i="1"/>
  <c r="DG449" i="1"/>
  <c r="DG450" i="1"/>
  <c r="DG451" i="1"/>
  <c r="DG452" i="1"/>
  <c r="DG454" i="1"/>
  <c r="DG455" i="1"/>
  <c r="DG456" i="1"/>
  <c r="DG457" i="1"/>
  <c r="DG459" i="1"/>
  <c r="DG460" i="1"/>
  <c r="DG461" i="1"/>
  <c r="DG462" i="1"/>
  <c r="DG463" i="1"/>
  <c r="DG464" i="1"/>
  <c r="DG465" i="1"/>
  <c r="DG466" i="1"/>
  <c r="DG468" i="1"/>
  <c r="DG469" i="1"/>
  <c r="DG470" i="1"/>
  <c r="DG471" i="1"/>
  <c r="DG472" i="1"/>
  <c r="DG473" i="1"/>
  <c r="DG474" i="1"/>
  <c r="DG475" i="1"/>
  <c r="DG476" i="1"/>
  <c r="DG478" i="1"/>
  <c r="DG479" i="1"/>
  <c r="DG480" i="1"/>
  <c r="DG481" i="1"/>
  <c r="DG482" i="1"/>
  <c r="DG483" i="1"/>
  <c r="DG485" i="1"/>
  <c r="DG486" i="1"/>
  <c r="DG487" i="1"/>
  <c r="DG488" i="1"/>
  <c r="DG489" i="1"/>
  <c r="DG490" i="1"/>
  <c r="DG491" i="1"/>
  <c r="DG492" i="1"/>
  <c r="DG493" i="1"/>
  <c r="DG495" i="1"/>
  <c r="DG496" i="1"/>
  <c r="DG497" i="1"/>
  <c r="DG498" i="1"/>
  <c r="DG499" i="1"/>
  <c r="DG500" i="1"/>
  <c r="DG502" i="1"/>
  <c r="DG503" i="1"/>
  <c r="DG504" i="1"/>
  <c r="DG505" i="1"/>
  <c r="DG506" i="1"/>
  <c r="DG507" i="1"/>
  <c r="DG508" i="1"/>
  <c r="DG510" i="1"/>
  <c r="DG511" i="1"/>
  <c r="DG512" i="1"/>
  <c r="DG514" i="1"/>
  <c r="DG515" i="1"/>
  <c r="DG516" i="1"/>
  <c r="DG517" i="1"/>
  <c r="DG518" i="1"/>
  <c r="DG520" i="1"/>
  <c r="DG521" i="1"/>
  <c r="DG522" i="1"/>
  <c r="DG523" i="1"/>
  <c r="DG524" i="1"/>
  <c r="DG525" i="1"/>
  <c r="DG526" i="1"/>
  <c r="DG527" i="1"/>
  <c r="DG529" i="1"/>
  <c r="DG530" i="1"/>
  <c r="DG531" i="1"/>
  <c r="DG532" i="1"/>
  <c r="DG533" i="1"/>
  <c r="DG534" i="1"/>
  <c r="DG535" i="1"/>
  <c r="DG536" i="1"/>
  <c r="DG538" i="1"/>
  <c r="DG539" i="1"/>
  <c r="DG540" i="1"/>
  <c r="DG541" i="1"/>
  <c r="DG542" i="1"/>
  <c r="DG543" i="1"/>
  <c r="DG544" i="1"/>
  <c r="DG545" i="1"/>
  <c r="DG546" i="1"/>
  <c r="DG548" i="1"/>
  <c r="DG549" i="1"/>
  <c r="DG550" i="1"/>
  <c r="DG551" i="1"/>
  <c r="DG552" i="1"/>
  <c r="DG553" i="1"/>
  <c r="DG554" i="1"/>
  <c r="DG555" i="1"/>
  <c r="DG557" i="1"/>
  <c r="DG558" i="1"/>
  <c r="DG559" i="1"/>
  <c r="DG560" i="1"/>
  <c r="DG561" i="1"/>
  <c r="DG562" i="1"/>
  <c r="DG564" i="1"/>
  <c r="DG565" i="1"/>
  <c r="DG566" i="1"/>
  <c r="DG567" i="1"/>
  <c r="DG569" i="1"/>
  <c r="DG570" i="1"/>
  <c r="DG572" i="1"/>
  <c r="DG573" i="1"/>
  <c r="DG574" i="1"/>
  <c r="DG576" i="1"/>
  <c r="DG577" i="1"/>
  <c r="DG578" i="1"/>
  <c r="DG579" i="1"/>
  <c r="DG580" i="1"/>
  <c r="DG581" i="1"/>
  <c r="DG583" i="1"/>
  <c r="DG584" i="1"/>
  <c r="DG586" i="1"/>
  <c r="DG587" i="1"/>
  <c r="DG588" i="1"/>
  <c r="DG590" i="1"/>
  <c r="DG591" i="1"/>
  <c r="DG592" i="1"/>
  <c r="DG593" i="1"/>
  <c r="DG594" i="1"/>
  <c r="DG595" i="1"/>
  <c r="DG596" i="1"/>
  <c r="DG597" i="1"/>
  <c r="DG598" i="1"/>
  <c r="DG600" i="1"/>
  <c r="DG601" i="1"/>
  <c r="DG603" i="1"/>
  <c r="DG604" i="1"/>
  <c r="DG605" i="1"/>
  <c r="DG607" i="1"/>
  <c r="DG608" i="1"/>
  <c r="DG609" i="1"/>
  <c r="DG610" i="1"/>
  <c r="DG611" i="1"/>
  <c r="DG612" i="1"/>
  <c r="DG614" i="1"/>
  <c r="DG615" i="1"/>
  <c r="DG617" i="1"/>
  <c r="DG618" i="1"/>
  <c r="DG619" i="1"/>
  <c r="DG620" i="1"/>
  <c r="DG622" i="1"/>
  <c r="DG623" i="1"/>
  <c r="DG624" i="1"/>
  <c r="DG625" i="1"/>
  <c r="DG626" i="1"/>
  <c r="DG628" i="1"/>
  <c r="DG629" i="1"/>
  <c r="DG630" i="1"/>
  <c r="DG631" i="1"/>
  <c r="DG632" i="1"/>
  <c r="DG633" i="1"/>
  <c r="DG634" i="1"/>
  <c r="DG636" i="1"/>
  <c r="DG637" i="1"/>
  <c r="DG638" i="1"/>
  <c r="DG639" i="1"/>
  <c r="DG641" i="1"/>
  <c r="DG643" i="1"/>
  <c r="DG644" i="1"/>
  <c r="DG645" i="1"/>
  <c r="DG647" i="1"/>
  <c r="DG648" i="1"/>
  <c r="DG649" i="1"/>
  <c r="DG650" i="1"/>
  <c r="DG651" i="1"/>
  <c r="DG652" i="1"/>
  <c r="DG654" i="1"/>
  <c r="DG655" i="1"/>
  <c r="DG656" i="1"/>
  <c r="DG657" i="1"/>
  <c r="DG658" i="1"/>
  <c r="DG659" i="1"/>
  <c r="DG660" i="1"/>
  <c r="DG662" i="1"/>
  <c r="DG663" i="1"/>
  <c r="DG665" i="1"/>
  <c r="DG666" i="1"/>
  <c r="DG667" i="1"/>
  <c r="DG669" i="1"/>
  <c r="DG670" i="1"/>
  <c r="DG671" i="1"/>
  <c r="DG672" i="1"/>
  <c r="DG674" i="1"/>
  <c r="DG675" i="1"/>
  <c r="DG676" i="1"/>
  <c r="DG677" i="1"/>
  <c r="DG678" i="1"/>
  <c r="DG679" i="1"/>
  <c r="DG681" i="1"/>
  <c r="DG682" i="1"/>
  <c r="DG683" i="1"/>
  <c r="DG684" i="1"/>
  <c r="DG685" i="1"/>
  <c r="DG686" i="1"/>
  <c r="DG687" i="1"/>
  <c r="DG688" i="1"/>
  <c r="DG689" i="1"/>
  <c r="DG690" i="1"/>
  <c r="DG691" i="1"/>
  <c r="DG693" i="1"/>
  <c r="DG694" i="1"/>
  <c r="DG695" i="1"/>
  <c r="DG696" i="1"/>
  <c r="DG698" i="1"/>
  <c r="DG699" i="1"/>
  <c r="DG702" i="1"/>
  <c r="DG703" i="1"/>
  <c r="DG704" i="1"/>
  <c r="DG706" i="1"/>
  <c r="DG707" i="1"/>
  <c r="DG708" i="1"/>
  <c r="DG709" i="1"/>
  <c r="DG711" i="1"/>
  <c r="DG712" i="1"/>
  <c r="DG713" i="1"/>
  <c r="DG714" i="1"/>
  <c r="DG715" i="1"/>
  <c r="DG716" i="1"/>
  <c r="DG717" i="1"/>
  <c r="DG718" i="1"/>
  <c r="DG720" i="1"/>
  <c r="DG721" i="1"/>
  <c r="DG723" i="1"/>
  <c r="DG724" i="1"/>
  <c r="DG725" i="1"/>
  <c r="DG726" i="1"/>
  <c r="DG729" i="1"/>
  <c r="DG731" i="1"/>
  <c r="DG732" i="1"/>
  <c r="DG733" i="1"/>
  <c r="DG734" i="1"/>
  <c r="DG735" i="1"/>
  <c r="DG736" i="1"/>
  <c r="DG738" i="1"/>
  <c r="DG739" i="1"/>
  <c r="DG740" i="1"/>
  <c r="DG741" i="1"/>
  <c r="DG742" i="1"/>
  <c r="DG743" i="1"/>
  <c r="DG744" i="1"/>
  <c r="DG745" i="1"/>
  <c r="DG748" i="1"/>
  <c r="DG750" i="1"/>
  <c r="DG751" i="1"/>
  <c r="DG752" i="1"/>
  <c r="DG753" i="1"/>
  <c r="DG754" i="1"/>
  <c r="DG755" i="1"/>
  <c r="DG756" i="1"/>
  <c r="DG758" i="1"/>
  <c r="DG760" i="1"/>
  <c r="DG761" i="1"/>
  <c r="DG763" i="1"/>
  <c r="DG764" i="1"/>
  <c r="DG766" i="1"/>
  <c r="DG767" i="1"/>
  <c r="DG768" i="1"/>
  <c r="DG769" i="1"/>
  <c r="DG774" i="1"/>
  <c r="DG775" i="1"/>
  <c r="DG777" i="1"/>
  <c r="DG778" i="1"/>
  <c r="DG779" i="1"/>
  <c r="DG780" i="1"/>
  <c r="DG783" i="1"/>
  <c r="DG784" i="1"/>
  <c r="DG785" i="1"/>
  <c r="DG786" i="1"/>
  <c r="DG787" i="1"/>
  <c r="DG789" i="1"/>
  <c r="DG790" i="1"/>
  <c r="DG791" i="1"/>
  <c r="DG793" i="1"/>
  <c r="DG794" i="1"/>
  <c r="DG795" i="1"/>
  <c r="DG796" i="1"/>
  <c r="DG797" i="1"/>
  <c r="DG798" i="1"/>
  <c r="DG800" i="1"/>
  <c r="DG801" i="1"/>
  <c r="DG802" i="1"/>
  <c r="DG803" i="1"/>
  <c r="DG804" i="1"/>
  <c r="DG805" i="1"/>
  <c r="DG806" i="1"/>
  <c r="DG807" i="1"/>
  <c r="DG808" i="1"/>
  <c r="DG810" i="1"/>
  <c r="DG811" i="1"/>
  <c r="DG812" i="1"/>
  <c r="DG813" i="1"/>
  <c r="DG814" i="1"/>
  <c r="DG815" i="1"/>
  <c r="DG816" i="1"/>
  <c r="DG818" i="1"/>
  <c r="DG819" i="1"/>
  <c r="DG820" i="1"/>
  <c r="DG822" i="1"/>
  <c r="DG823" i="1"/>
  <c r="DG824" i="1"/>
  <c r="DG825" i="1"/>
  <c r="DG826" i="1"/>
  <c r="DG827" i="1"/>
  <c r="DG829" i="1"/>
  <c r="DG830" i="1"/>
  <c r="DG831" i="1"/>
  <c r="DG832" i="1"/>
  <c r="DG834" i="1"/>
  <c r="DG835" i="1"/>
  <c r="DG836" i="1"/>
  <c r="DG838" i="1"/>
  <c r="DG839" i="1"/>
  <c r="DG840" i="1"/>
  <c r="DG841" i="1"/>
  <c r="DG842" i="1"/>
  <c r="DG843" i="1"/>
  <c r="DG845" i="1"/>
  <c r="DG846" i="1"/>
  <c r="DG847" i="1"/>
  <c r="DG848" i="1"/>
  <c r="DG849" i="1"/>
  <c r="DG850" i="1"/>
  <c r="DG852" i="1"/>
  <c r="DG854" i="1"/>
  <c r="DG855" i="1"/>
  <c r="DG856" i="1"/>
  <c r="DG857" i="1"/>
  <c r="DG859" i="1"/>
  <c r="DG860" i="1"/>
  <c r="DG862" i="1"/>
  <c r="DG863" i="1"/>
  <c r="DG864" i="1"/>
  <c r="DG865" i="1"/>
  <c r="DG866" i="1"/>
  <c r="DG867" i="1"/>
  <c r="DG868" i="1"/>
  <c r="DG869" i="1"/>
  <c r="DG870" i="1"/>
  <c r="DG872" i="1"/>
  <c r="DG873" i="1"/>
  <c r="DG874" i="1"/>
  <c r="DG875" i="1"/>
  <c r="DG876" i="1"/>
  <c r="DG877" i="1"/>
  <c r="DG878" i="1"/>
  <c r="DG879" i="1"/>
  <c r="DG880" i="1"/>
  <c r="DG881" i="1"/>
  <c r="DG884" i="1"/>
  <c r="DG886" i="1"/>
  <c r="DG887" i="1"/>
  <c r="DG888" i="1"/>
  <c r="DG889" i="1"/>
  <c r="DG890" i="1"/>
  <c r="DG891" i="1"/>
  <c r="DG892" i="1"/>
  <c r="DG893" i="1"/>
  <c r="DG894" i="1"/>
  <c r="DG895" i="1"/>
  <c r="DG897" i="1"/>
  <c r="DG898" i="1"/>
  <c r="DG899" i="1"/>
  <c r="DG900" i="1"/>
  <c r="DG901" i="1"/>
  <c r="DG902" i="1"/>
  <c r="DG904" i="1"/>
  <c r="DG905" i="1"/>
  <c r="DG906" i="1"/>
  <c r="DG908" i="1"/>
  <c r="DG909" i="1"/>
  <c r="DG910" i="1"/>
  <c r="DG911" i="1"/>
  <c r="DG912" i="1"/>
  <c r="DG913" i="1"/>
  <c r="DG915" i="1"/>
  <c r="DG916" i="1"/>
  <c r="DG917" i="1"/>
  <c r="DG918" i="1"/>
  <c r="DG919" i="1"/>
  <c r="DG921" i="1"/>
  <c r="DG922" i="1"/>
  <c r="DG923" i="1"/>
  <c r="DG924" i="1"/>
  <c r="DG925" i="1"/>
  <c r="DG927" i="1"/>
  <c r="DG928" i="1"/>
  <c r="DG929" i="1"/>
  <c r="DG930" i="1"/>
  <c r="DG931" i="1"/>
  <c r="DG932" i="1"/>
  <c r="DG933" i="1"/>
  <c r="DG935" i="1"/>
  <c r="DG936" i="1"/>
  <c r="DG937" i="1"/>
  <c r="DG938" i="1"/>
  <c r="DG939" i="1"/>
  <c r="DG940" i="1"/>
  <c r="DG941" i="1"/>
  <c r="DG943" i="1"/>
  <c r="DG944" i="1"/>
  <c r="DG945" i="1"/>
  <c r="DG947" i="1"/>
  <c r="DG948" i="1"/>
  <c r="DG950" i="1"/>
  <c r="DG951" i="1"/>
  <c r="DG952" i="1"/>
  <c r="DG953" i="1"/>
  <c r="DG954" i="1"/>
  <c r="DG955" i="1"/>
  <c r="DG956" i="1"/>
  <c r="DG957" i="1"/>
  <c r="DG958" i="1"/>
  <c r="DG960" i="1"/>
  <c r="DG961" i="1"/>
  <c r="DG962" i="1"/>
  <c r="DG963" i="1"/>
  <c r="DG964" i="1"/>
  <c r="DG965" i="1"/>
  <c r="DG966" i="1"/>
  <c r="DG967" i="1"/>
  <c r="DG969" i="1"/>
  <c r="DG970" i="1"/>
  <c r="DG971" i="1"/>
  <c r="DG972" i="1"/>
  <c r="DG973" i="1"/>
  <c r="DG974" i="1"/>
  <c r="DG975" i="1"/>
  <c r="DG977" i="1"/>
  <c r="DG978" i="1"/>
  <c r="DG979" i="1"/>
  <c r="DG980" i="1"/>
  <c r="DG981" i="1"/>
  <c r="DG983" i="1"/>
  <c r="DG985" i="1"/>
  <c r="DG986" i="1"/>
  <c r="DG987" i="1"/>
  <c r="DG989" i="1"/>
  <c r="DG990" i="1"/>
  <c r="DG991" i="1"/>
  <c r="DG992" i="1"/>
  <c r="DG993" i="1"/>
  <c r="DG994" i="1"/>
  <c r="DG996" i="1"/>
  <c r="DG997" i="1"/>
  <c r="DG998" i="1"/>
  <c r="DG999" i="1"/>
  <c r="DG1000" i="1"/>
  <c r="DG1001" i="1"/>
  <c r="DG1002" i="1"/>
  <c r="DG1003" i="1"/>
  <c r="DG1005" i="1"/>
  <c r="DG1006" i="1"/>
  <c r="DG1007" i="1"/>
  <c r="DG1008" i="1"/>
  <c r="DG1009" i="1"/>
  <c r="DG1010" i="1"/>
  <c r="DG1011" i="1"/>
  <c r="DG1013" i="1"/>
  <c r="DG1014" i="1"/>
  <c r="DG1015" i="1"/>
  <c r="DG1016" i="1"/>
  <c r="DG1017" i="1"/>
  <c r="DG1018" i="1"/>
  <c r="DG1019" i="1"/>
  <c r="DG1020" i="1"/>
  <c r="DG1021" i="1"/>
  <c r="DG1022" i="1"/>
  <c r="DG1023" i="1"/>
  <c r="DG1025" i="1"/>
  <c r="DG1026" i="1"/>
  <c r="DG1027" i="1"/>
  <c r="DG1028" i="1"/>
  <c r="DG1029" i="1"/>
  <c r="DG1030" i="1"/>
  <c r="DG1031" i="1"/>
  <c r="DG1032" i="1"/>
  <c r="DG1033" i="1"/>
  <c r="DG1035" i="1"/>
  <c r="DG1036" i="1"/>
  <c r="DG1037" i="1"/>
  <c r="DG1038" i="1"/>
  <c r="DG1039" i="1"/>
  <c r="DG1040" i="1"/>
  <c r="DG1041" i="1"/>
  <c r="DG1042" i="1"/>
  <c r="DG1043" i="1"/>
  <c r="DG1044" i="1"/>
  <c r="DG1046" i="1"/>
  <c r="DG1047" i="1"/>
  <c r="DG1048" i="1"/>
  <c r="DG1051" i="1"/>
  <c r="DG1053" i="1"/>
  <c r="DG1054" i="1"/>
  <c r="DG1055" i="1"/>
  <c r="DG1056" i="1"/>
  <c r="DG1057" i="1"/>
  <c r="DG1059" i="1"/>
  <c r="DG1060" i="1"/>
  <c r="DG1061" i="1"/>
  <c r="DG1062" i="1"/>
  <c r="DG1063" i="1"/>
  <c r="DG1064" i="1"/>
  <c r="DG1066" i="1"/>
  <c r="DG1067" i="1"/>
  <c r="DG1068" i="1"/>
  <c r="DG1069" i="1"/>
  <c r="DG1070" i="1"/>
  <c r="DG1071" i="1"/>
  <c r="DG1072" i="1"/>
  <c r="DG1073" i="1"/>
  <c r="DG1075" i="1"/>
  <c r="DG1076" i="1"/>
  <c r="DG1077" i="1"/>
  <c r="DG1079" i="1"/>
  <c r="DG1080" i="1"/>
  <c r="DG1081" i="1"/>
  <c r="DG1082" i="1"/>
  <c r="DG1083" i="1"/>
  <c r="DG1084" i="1"/>
  <c r="DG1086" i="1"/>
  <c r="DG1087" i="1"/>
  <c r="DG1088" i="1"/>
  <c r="DG1089" i="1"/>
  <c r="DG1090" i="1"/>
  <c r="DG1091" i="1"/>
  <c r="DG1092" i="1"/>
  <c r="DG1093" i="1"/>
  <c r="DG1094" i="1"/>
  <c r="DG1097" i="1"/>
  <c r="DG1098" i="1"/>
  <c r="DG1099" i="1"/>
  <c r="DG1100" i="1"/>
  <c r="DG1101" i="1"/>
  <c r="DG1102" i="1"/>
  <c r="DG1103" i="1"/>
  <c r="DG1104" i="1"/>
  <c r="DG1105" i="1"/>
  <c r="DG1106" i="1"/>
  <c r="DG1108" i="1"/>
  <c r="DG1109" i="1"/>
  <c r="DG1110" i="1"/>
  <c r="DG1111" i="1"/>
  <c r="DG1112" i="1"/>
  <c r="DG1113" i="1"/>
  <c r="DG1115" i="1"/>
  <c r="DG1116" i="1"/>
  <c r="DG1117" i="1"/>
  <c r="DG1118" i="1"/>
  <c r="DG1120" i="1"/>
  <c r="DG1122" i="1"/>
  <c r="DG1123" i="1"/>
  <c r="DG1124" i="1"/>
  <c r="DG1126" i="1"/>
  <c r="DG1127" i="1"/>
  <c r="DG1128" i="1"/>
  <c r="DG1129" i="1"/>
  <c r="DG1130" i="1"/>
  <c r="DG1132" i="1"/>
  <c r="DG1133" i="1"/>
  <c r="DG1135" i="1"/>
  <c r="DG1136" i="1"/>
  <c r="DG1137" i="1"/>
  <c r="DG1138" i="1"/>
  <c r="DG1139" i="1"/>
  <c r="DG1140" i="1"/>
  <c r="DG1142" i="1"/>
  <c r="DG1143" i="1"/>
  <c r="DG1144" i="1"/>
  <c r="DG1145" i="1"/>
  <c r="DG1146" i="1"/>
  <c r="DG1147" i="1"/>
  <c r="DG1148" i="1"/>
  <c r="DG1149" i="1"/>
  <c r="DG1150" i="1"/>
  <c r="DG1152" i="1"/>
  <c r="DG1153" i="1"/>
  <c r="DG1154" i="1"/>
  <c r="DG1155" i="1"/>
  <c r="DG1157" i="1"/>
  <c r="DG1158" i="1"/>
  <c r="DG1159" i="1"/>
  <c r="DG1160" i="1"/>
  <c r="DG1161" i="1"/>
  <c r="DG1162" i="1"/>
  <c r="DG1163" i="1"/>
  <c r="DG1164" i="1"/>
  <c r="DG1165" i="1"/>
  <c r="DG1167" i="1"/>
  <c r="DG1168" i="1"/>
  <c r="DG1169" i="1"/>
  <c r="DG1170" i="1"/>
  <c r="DG1172" i="1"/>
  <c r="DG1173" i="1"/>
  <c r="DG1174" i="1"/>
  <c r="DG1175" i="1"/>
  <c r="DG1177" i="1"/>
  <c r="DG1178" i="1"/>
  <c r="DG1179" i="1"/>
  <c r="DG1180" i="1"/>
  <c r="DG1181" i="1"/>
  <c r="DG1182" i="1"/>
  <c r="DG1183" i="1"/>
  <c r="DG1185" i="1"/>
  <c r="DG1186" i="1"/>
  <c r="DG1187" i="1"/>
  <c r="DG1188" i="1"/>
  <c r="DG1189" i="1"/>
  <c r="DG1190" i="1"/>
  <c r="DG1192" i="1"/>
  <c r="DG1194" i="1"/>
  <c r="DG1195" i="1"/>
  <c r="DG1196" i="1"/>
  <c r="DG1199" i="1"/>
  <c r="DG1201" i="1"/>
  <c r="DG1202" i="1"/>
  <c r="DG1203" i="1"/>
  <c r="DG1204" i="1"/>
  <c r="DG1205" i="1"/>
  <c r="DG1206" i="1"/>
  <c r="DG1207" i="1"/>
  <c r="DG1209" i="1"/>
  <c r="DG1210" i="1"/>
  <c r="DG1211" i="1"/>
  <c r="DG1212" i="1"/>
  <c r="DG1213" i="1"/>
  <c r="DG1214" i="1"/>
  <c r="DG1215" i="1"/>
  <c r="DG1216" i="1"/>
  <c r="DG1217" i="1"/>
  <c r="DG1219" i="1"/>
  <c r="DG1220" i="1"/>
  <c r="DG1222" i="1"/>
  <c r="DG1223" i="1"/>
  <c r="DG1224" i="1"/>
  <c r="DG1225" i="1"/>
  <c r="DG1226" i="1"/>
  <c r="DG1227" i="1"/>
  <c r="DG1229" i="1"/>
  <c r="DG1230" i="1"/>
  <c r="DG1231" i="1"/>
  <c r="DG1232" i="1"/>
  <c r="DG1233" i="1"/>
  <c r="DG1234" i="1"/>
  <c r="DG1235" i="1"/>
  <c r="DG1236" i="1"/>
  <c r="DG1238" i="1"/>
  <c r="DG1240" i="1"/>
  <c r="DG1241" i="1"/>
  <c r="DG1242" i="1"/>
  <c r="DG1244" i="1"/>
  <c r="DG1245" i="1"/>
  <c r="DG1246" i="1"/>
  <c r="DG1247" i="1"/>
  <c r="DG1248" i="1"/>
  <c r="DG1250" i="1"/>
  <c r="DG1251" i="1"/>
  <c r="DG1252" i="1"/>
  <c r="DG1253" i="1"/>
  <c r="DG1254" i="1"/>
  <c r="DG1255" i="1"/>
  <c r="DG1256" i="1"/>
  <c r="DG1257" i="1"/>
  <c r="DG1258" i="1"/>
  <c r="DG1259" i="1"/>
  <c r="DG1261" i="1"/>
  <c r="DG1262" i="1"/>
  <c r="DG1263" i="1"/>
  <c r="DG1265" i="1"/>
  <c r="DG1266" i="1"/>
  <c r="DG1267" i="1"/>
  <c r="DG1268" i="1"/>
  <c r="DG1272" i="1"/>
  <c r="DG1274" i="1"/>
  <c r="DG1275" i="1"/>
  <c r="DG1276" i="1"/>
  <c r="DG1277" i="1"/>
  <c r="DG1278" i="1"/>
  <c r="DG1279" i="1"/>
  <c r="DG1280" i="1"/>
  <c r="DG1282" i="1"/>
  <c r="DG1283" i="1"/>
  <c r="DG1284" i="1"/>
  <c r="DG1285" i="1"/>
  <c r="DG1286" i="1"/>
  <c r="DG1287" i="1"/>
  <c r="DG1288" i="1"/>
  <c r="DG1289" i="1"/>
  <c r="DG1291" i="1"/>
  <c r="DG1292" i="1"/>
  <c r="DG1293" i="1"/>
  <c r="DG1294" i="1"/>
  <c r="DG1295" i="1"/>
  <c r="DG1296" i="1"/>
  <c r="DG1297" i="1"/>
  <c r="DG1298" i="1"/>
  <c r="DG1299" i="1"/>
  <c r="DG1300" i="1"/>
  <c r="DG1301" i="1"/>
  <c r="DG1302" i="1"/>
  <c r="DG1303" i="1"/>
  <c r="DG1304" i="1"/>
  <c r="DG1305" i="1"/>
  <c r="DG1306" i="1"/>
  <c r="DG1307" i="1"/>
  <c r="DG1308" i="1"/>
  <c r="DG1309" i="1"/>
  <c r="DG1310" i="1"/>
  <c r="DG1311" i="1"/>
  <c r="DG1312" i="1"/>
  <c r="DG1313" i="1"/>
  <c r="DH67" i="1"/>
  <c r="DH68" i="1"/>
  <c r="DH69" i="1"/>
  <c r="DH70" i="1"/>
  <c r="DH71" i="1"/>
  <c r="DH72" i="1"/>
  <c r="DH73" i="1"/>
  <c r="DH74" i="1"/>
  <c r="DH76" i="1"/>
  <c r="DH77" i="1"/>
  <c r="DH78" i="1"/>
  <c r="DH79" i="1"/>
  <c r="DH80" i="1"/>
  <c r="DH81" i="1"/>
  <c r="DH82" i="1"/>
  <c r="DH84" i="1"/>
  <c r="DH85" i="1"/>
  <c r="DH86" i="1"/>
  <c r="DH87" i="1"/>
  <c r="DH88" i="1"/>
  <c r="DH89" i="1"/>
  <c r="DH90" i="1"/>
  <c r="DH92" i="1"/>
  <c r="DH93" i="1"/>
  <c r="DH94" i="1"/>
  <c r="DH95" i="1"/>
  <c r="DH96" i="1"/>
  <c r="DH97" i="1"/>
  <c r="DH98" i="1"/>
  <c r="DH101" i="1"/>
  <c r="DH104" i="1"/>
  <c r="DH105" i="1"/>
  <c r="DH106" i="1"/>
  <c r="DH107" i="1"/>
  <c r="DH108" i="1"/>
  <c r="DH109" i="1"/>
  <c r="DH111" i="1"/>
  <c r="DH112" i="1"/>
  <c r="DH113" i="1"/>
  <c r="DH114" i="1"/>
  <c r="DH115" i="1"/>
  <c r="DH116" i="1"/>
  <c r="DH117" i="1"/>
  <c r="DH118" i="1"/>
  <c r="DH119" i="1"/>
  <c r="DH120" i="1"/>
  <c r="DH122" i="1"/>
  <c r="DH124" i="1"/>
  <c r="DH125" i="1"/>
  <c r="DH126" i="1"/>
  <c r="DH129" i="1"/>
  <c r="DH131" i="1"/>
  <c r="DH132" i="1"/>
  <c r="DH133" i="1"/>
  <c r="DH136" i="1"/>
  <c r="DH138" i="1"/>
  <c r="DH139" i="1"/>
  <c r="DH140" i="1"/>
  <c r="DH141" i="1"/>
  <c r="DH142" i="1"/>
  <c r="DH144" i="1"/>
  <c r="DH145" i="1"/>
  <c r="DH146" i="1"/>
  <c r="DH147" i="1"/>
  <c r="DH148" i="1"/>
  <c r="DH149" i="1"/>
  <c r="DH151" i="1"/>
  <c r="DH152" i="1"/>
  <c r="DH153" i="1"/>
  <c r="DH154" i="1"/>
  <c r="DH155" i="1"/>
  <c r="DH156" i="1"/>
  <c r="DH157" i="1"/>
  <c r="DH158" i="1"/>
  <c r="DH160" i="1"/>
  <c r="DH161" i="1"/>
  <c r="DH162" i="1"/>
  <c r="DH163" i="1"/>
  <c r="DH165" i="1"/>
  <c r="DH166" i="1"/>
  <c r="DH167" i="1"/>
  <c r="DH168" i="1"/>
  <c r="DH169" i="1"/>
  <c r="DH170" i="1"/>
  <c r="DH172" i="1"/>
  <c r="DH173" i="1"/>
  <c r="DH175" i="1"/>
  <c r="DH176" i="1"/>
  <c r="DH177" i="1"/>
  <c r="DH178" i="1"/>
  <c r="DH179" i="1"/>
  <c r="DH180" i="1"/>
  <c r="DH181" i="1"/>
  <c r="DH182" i="1"/>
  <c r="DH183" i="1"/>
  <c r="DH184" i="1"/>
  <c r="DH186" i="1"/>
  <c r="DH187" i="1"/>
  <c r="DH188" i="1"/>
  <c r="DH189" i="1"/>
  <c r="DH190" i="1"/>
  <c r="DH191" i="1"/>
  <c r="DH192" i="1"/>
  <c r="DH193" i="1"/>
  <c r="DH195" i="1"/>
  <c r="DH196" i="1"/>
  <c r="DH197" i="1"/>
  <c r="DH198" i="1"/>
  <c r="DH200" i="1"/>
  <c r="DH201" i="1"/>
  <c r="DH202" i="1"/>
  <c r="DH203" i="1"/>
  <c r="DH204" i="1"/>
  <c r="DH205" i="1"/>
  <c r="DH206" i="1"/>
  <c r="DH207" i="1"/>
  <c r="DH209" i="1"/>
  <c r="DH210" i="1"/>
  <c r="DH211" i="1"/>
  <c r="DH212" i="1"/>
  <c r="DH213" i="1"/>
  <c r="DH214" i="1"/>
  <c r="DH215" i="1"/>
  <c r="DH218" i="1"/>
  <c r="DH219" i="1"/>
  <c r="DH220" i="1"/>
  <c r="DH221" i="1"/>
  <c r="DH222" i="1"/>
  <c r="DH224" i="1"/>
  <c r="DH225" i="1"/>
  <c r="DH226" i="1"/>
  <c r="DH227" i="1"/>
  <c r="DH228" i="1"/>
  <c r="DH229" i="1"/>
  <c r="DH232" i="1"/>
  <c r="DH233" i="1"/>
  <c r="DH234" i="1"/>
  <c r="DH235" i="1"/>
  <c r="DH236" i="1"/>
  <c r="DH237" i="1"/>
  <c r="DH238" i="1"/>
  <c r="DH240" i="1"/>
  <c r="DH241" i="1"/>
  <c r="DH242" i="1"/>
  <c r="DH243" i="1"/>
  <c r="DH244" i="1"/>
  <c r="DH245" i="1"/>
  <c r="DH246" i="1"/>
  <c r="DH247" i="1"/>
  <c r="DH249" i="1"/>
  <c r="DH250" i="1"/>
  <c r="DH251" i="1"/>
  <c r="DH252" i="1"/>
  <c r="DH253" i="1"/>
  <c r="DH254" i="1"/>
  <c r="DH255" i="1"/>
  <c r="DH256" i="1"/>
  <c r="DH258" i="1"/>
  <c r="DH259" i="1"/>
  <c r="DH260" i="1"/>
  <c r="DH261" i="1"/>
  <c r="DH262" i="1"/>
  <c r="DH263" i="1"/>
  <c r="DH264" i="1"/>
  <c r="DH265" i="1"/>
  <c r="DH266" i="1"/>
  <c r="DH268" i="1"/>
  <c r="DH269" i="1"/>
  <c r="DH270" i="1"/>
  <c r="DH271" i="1"/>
  <c r="DH272" i="1"/>
  <c r="DH273" i="1"/>
  <c r="DH274" i="1"/>
  <c r="DH275" i="1"/>
  <c r="DH276" i="1"/>
  <c r="DH278" i="1"/>
  <c r="DH279" i="1"/>
  <c r="DH280" i="1"/>
  <c r="DH281" i="1"/>
  <c r="DH282" i="1"/>
  <c r="DH283" i="1"/>
  <c r="DH285" i="1"/>
  <c r="DH286" i="1"/>
  <c r="DH287" i="1"/>
  <c r="DH288" i="1"/>
  <c r="DH291" i="1"/>
  <c r="DH292" i="1"/>
  <c r="DH293" i="1"/>
  <c r="DH294" i="1"/>
  <c r="DH296" i="1"/>
  <c r="DH297" i="1"/>
  <c r="DH298" i="1"/>
  <c r="DH299" i="1"/>
  <c r="DH300" i="1"/>
  <c r="DH301" i="1"/>
  <c r="DH302" i="1"/>
  <c r="DH303" i="1"/>
  <c r="DH305" i="1"/>
  <c r="DH306" i="1"/>
  <c r="DH307" i="1"/>
  <c r="DH308" i="1"/>
  <c r="DH309" i="1"/>
  <c r="DH310" i="1"/>
  <c r="DH311" i="1"/>
  <c r="DH312" i="1"/>
  <c r="DH313" i="1"/>
  <c r="DH314" i="1"/>
  <c r="DH316" i="1"/>
  <c r="DH317" i="1"/>
  <c r="DH318" i="1"/>
  <c r="DH319" i="1"/>
  <c r="DH320" i="1"/>
  <c r="DH321" i="1"/>
  <c r="DH322" i="1"/>
  <c r="DH323" i="1"/>
  <c r="DH324" i="1"/>
  <c r="DH325" i="1"/>
  <c r="DH326" i="1"/>
  <c r="DH327" i="1"/>
  <c r="DH329" i="1"/>
  <c r="DH330" i="1"/>
  <c r="DH332" i="1"/>
  <c r="DH333" i="1"/>
  <c r="DH334" i="1"/>
  <c r="DH335" i="1"/>
  <c r="DH336" i="1"/>
  <c r="DH337" i="1"/>
  <c r="DH338" i="1"/>
  <c r="DH340" i="1"/>
  <c r="DH341" i="1"/>
  <c r="DH342" i="1"/>
  <c r="DH343" i="1"/>
  <c r="DH344" i="1"/>
  <c r="DH345" i="1"/>
  <c r="DH346" i="1"/>
  <c r="DH347" i="1"/>
  <c r="DH348" i="1"/>
  <c r="DH349" i="1"/>
  <c r="DH351" i="1"/>
  <c r="DH352" i="1"/>
  <c r="DH353" i="1"/>
  <c r="DH354" i="1"/>
  <c r="DH355" i="1"/>
  <c r="DH356" i="1"/>
  <c r="DH358" i="1"/>
  <c r="DH359" i="1"/>
  <c r="DH360" i="1"/>
  <c r="DH361" i="1"/>
  <c r="DH362" i="1"/>
  <c r="DH363" i="1"/>
  <c r="DH364" i="1"/>
  <c r="DH365" i="1"/>
  <c r="DH367" i="1"/>
  <c r="DH368" i="1"/>
  <c r="DH369" i="1"/>
  <c r="DH371" i="1"/>
  <c r="DH372" i="1"/>
  <c r="DH373" i="1"/>
  <c r="DH375" i="1"/>
  <c r="DH376" i="1"/>
  <c r="DH378" i="1"/>
  <c r="DH379" i="1"/>
  <c r="DH380" i="1"/>
  <c r="DH381" i="1"/>
  <c r="DH382" i="1"/>
  <c r="DH383" i="1"/>
  <c r="DH385" i="1"/>
  <c r="DH386" i="1"/>
  <c r="DH387" i="1"/>
  <c r="DH388" i="1"/>
  <c r="DH389" i="1"/>
  <c r="DH390" i="1"/>
  <c r="DH391" i="1"/>
  <c r="DH393" i="1"/>
  <c r="DH394" i="1"/>
  <c r="DH395" i="1"/>
  <c r="DH396" i="1"/>
  <c r="DH397" i="1"/>
  <c r="DH398" i="1"/>
  <c r="DH399" i="1"/>
  <c r="DH400" i="1"/>
  <c r="DH401" i="1"/>
  <c r="DH403" i="1"/>
  <c r="DH404" i="1"/>
  <c r="DH405" i="1"/>
  <c r="DH406" i="1"/>
  <c r="DH407" i="1"/>
  <c r="DH408" i="1"/>
  <c r="DH409" i="1"/>
  <c r="DH410" i="1"/>
  <c r="DH411" i="1"/>
  <c r="DH413" i="1"/>
  <c r="DH414" i="1"/>
  <c r="DH415" i="1"/>
  <c r="DH416" i="1"/>
  <c r="DH417" i="1"/>
  <c r="DH418" i="1"/>
  <c r="DH421" i="1"/>
  <c r="DH422" i="1"/>
  <c r="DH423" i="1"/>
  <c r="DH424" i="1"/>
  <c r="DH425" i="1"/>
  <c r="DH426" i="1"/>
  <c r="DH427" i="1"/>
  <c r="DH428" i="1"/>
  <c r="DH431" i="1"/>
  <c r="DH432" i="1"/>
  <c r="DH433" i="1"/>
  <c r="DH434" i="1"/>
  <c r="DH435" i="1"/>
  <c r="DH436" i="1"/>
  <c r="DH438" i="1"/>
  <c r="DH439" i="1"/>
  <c r="DH440" i="1"/>
  <c r="DH441" i="1"/>
  <c r="DH442" i="1"/>
  <c r="DH443" i="1"/>
  <c r="DH445" i="1"/>
  <c r="DH446" i="1"/>
  <c r="DH447" i="1"/>
  <c r="DH448" i="1"/>
  <c r="DH449" i="1"/>
  <c r="DH450" i="1"/>
  <c r="DH451" i="1"/>
  <c r="DH452" i="1"/>
  <c r="DH454" i="1"/>
  <c r="DH455" i="1"/>
  <c r="DH456" i="1"/>
  <c r="DH457" i="1"/>
  <c r="DH459" i="1"/>
  <c r="DH460" i="1"/>
  <c r="DH461" i="1"/>
  <c r="DH462" i="1"/>
  <c r="DH463" i="1"/>
  <c r="DH464" i="1"/>
  <c r="DH465" i="1"/>
  <c r="DH466" i="1"/>
  <c r="DH468" i="1"/>
  <c r="DH469" i="1"/>
  <c r="DH470" i="1"/>
  <c r="DH471" i="1"/>
  <c r="DH472" i="1"/>
  <c r="DH473" i="1"/>
  <c r="DH474" i="1"/>
  <c r="DH475" i="1"/>
  <c r="DH476" i="1"/>
  <c r="DH478" i="1"/>
  <c r="DH479" i="1"/>
  <c r="DH480" i="1"/>
  <c r="DH481" i="1"/>
  <c r="DH482" i="1"/>
  <c r="DH483" i="1"/>
  <c r="DH485" i="1"/>
  <c r="DH486" i="1"/>
  <c r="DH487" i="1"/>
  <c r="DH488" i="1"/>
  <c r="DH489" i="1"/>
  <c r="DH490" i="1"/>
  <c r="DH491" i="1"/>
  <c r="DH492" i="1"/>
  <c r="DH493" i="1"/>
  <c r="DH495" i="1"/>
  <c r="DH496" i="1"/>
  <c r="DH497" i="1"/>
  <c r="DH498" i="1"/>
  <c r="DH499" i="1"/>
  <c r="DH500" i="1"/>
  <c r="DH502" i="1"/>
  <c r="DH503" i="1"/>
  <c r="DH504" i="1"/>
  <c r="DH505" i="1"/>
  <c r="DH506" i="1"/>
  <c r="DH507" i="1"/>
  <c r="DH508" i="1"/>
  <c r="DH510" i="1"/>
  <c r="DH511" i="1"/>
  <c r="DH512" i="1"/>
  <c r="DH514" i="1"/>
  <c r="DH515" i="1"/>
  <c r="DH516" i="1"/>
  <c r="DH517" i="1"/>
  <c r="DH518" i="1"/>
  <c r="DH520" i="1"/>
  <c r="DH521" i="1"/>
  <c r="DH522" i="1"/>
  <c r="DH523" i="1"/>
  <c r="DH524" i="1"/>
  <c r="DH525" i="1"/>
  <c r="DH526" i="1"/>
  <c r="DH527" i="1"/>
  <c r="DH529" i="1"/>
  <c r="DH530" i="1"/>
  <c r="DH531" i="1"/>
  <c r="DH532" i="1"/>
  <c r="DH533" i="1"/>
  <c r="DH534" i="1"/>
  <c r="DH535" i="1"/>
  <c r="DH536" i="1"/>
  <c r="DH538" i="1"/>
  <c r="DH539" i="1"/>
  <c r="DH540" i="1"/>
  <c r="DH541" i="1"/>
  <c r="DH542" i="1"/>
  <c r="DH543" i="1"/>
  <c r="DH544" i="1"/>
  <c r="DH545" i="1"/>
  <c r="DH546" i="1"/>
  <c r="DH548" i="1"/>
  <c r="DH549" i="1"/>
  <c r="DH550" i="1"/>
  <c r="DH551" i="1"/>
  <c r="DH552" i="1"/>
  <c r="DH553" i="1"/>
  <c r="DH554" i="1"/>
  <c r="DH555" i="1"/>
  <c r="DH557" i="1"/>
  <c r="DH558" i="1"/>
  <c r="DH559" i="1"/>
  <c r="DH560" i="1"/>
  <c r="DH561" i="1"/>
  <c r="DH562" i="1"/>
  <c r="DH564" i="1"/>
  <c r="DH565" i="1"/>
  <c r="DH566" i="1"/>
  <c r="DH567" i="1"/>
  <c r="DH569" i="1"/>
  <c r="DH570" i="1"/>
  <c r="DH572" i="1"/>
  <c r="DH573" i="1"/>
  <c r="DH574" i="1"/>
  <c r="DH576" i="1"/>
  <c r="DH577" i="1"/>
  <c r="DH578" i="1"/>
  <c r="DH579" i="1"/>
  <c r="DH580" i="1"/>
  <c r="DH581" i="1"/>
  <c r="DH583" i="1"/>
  <c r="DH584" i="1"/>
  <c r="DH586" i="1"/>
  <c r="DH587" i="1"/>
  <c r="DH588" i="1"/>
  <c r="DH590" i="1"/>
  <c r="DH591" i="1"/>
  <c r="DH592" i="1"/>
  <c r="DH593" i="1"/>
  <c r="DH594" i="1"/>
  <c r="DH595" i="1"/>
  <c r="DH596" i="1"/>
  <c r="DH597" i="1"/>
  <c r="DH598" i="1"/>
  <c r="DH600" i="1"/>
  <c r="DH601" i="1"/>
  <c r="DH603" i="1"/>
  <c r="DH604" i="1"/>
  <c r="DH605" i="1"/>
  <c r="DH607" i="1"/>
  <c r="DH608" i="1"/>
  <c r="DH609" i="1"/>
  <c r="DH610" i="1"/>
  <c r="DH611" i="1"/>
  <c r="DH612" i="1"/>
  <c r="DH614" i="1"/>
  <c r="DH615" i="1"/>
  <c r="DH617" i="1"/>
  <c r="DH618" i="1"/>
  <c r="DH619" i="1"/>
  <c r="DH620" i="1"/>
  <c r="DH622" i="1"/>
  <c r="DH623" i="1"/>
  <c r="DH624" i="1"/>
  <c r="DH625" i="1"/>
  <c r="DH626" i="1"/>
  <c r="DH628" i="1"/>
  <c r="DH629" i="1"/>
  <c r="DH630" i="1"/>
  <c r="DH631" i="1"/>
  <c r="DH632" i="1"/>
  <c r="DH633" i="1"/>
  <c r="DH634" i="1"/>
  <c r="DH636" i="1"/>
  <c r="DH637" i="1"/>
  <c r="DH638" i="1"/>
  <c r="DH639" i="1"/>
  <c r="DH641" i="1"/>
  <c r="DH643" i="1"/>
  <c r="DH644" i="1"/>
  <c r="DH645" i="1"/>
  <c r="DH647" i="1"/>
  <c r="DH648" i="1"/>
  <c r="DH649" i="1"/>
  <c r="DH650" i="1"/>
  <c r="DH651" i="1"/>
  <c r="DH652" i="1"/>
  <c r="DH654" i="1"/>
  <c r="DH655" i="1"/>
  <c r="DH656" i="1"/>
  <c r="DH657" i="1"/>
  <c r="DH658" i="1"/>
  <c r="DH659" i="1"/>
  <c r="DH660" i="1"/>
  <c r="DH662" i="1"/>
  <c r="DH663" i="1"/>
  <c r="DH665" i="1"/>
  <c r="DH666" i="1"/>
  <c r="DH667" i="1"/>
  <c r="DH669" i="1"/>
  <c r="DH670" i="1"/>
  <c r="DH671" i="1"/>
  <c r="DH672" i="1"/>
  <c r="DH674" i="1"/>
  <c r="DH675" i="1"/>
  <c r="DH676" i="1"/>
  <c r="DH677" i="1"/>
  <c r="DH678" i="1"/>
  <c r="DH679" i="1"/>
  <c r="DH681" i="1"/>
  <c r="DH682" i="1"/>
  <c r="DH683" i="1"/>
  <c r="DH684" i="1"/>
  <c r="DH685" i="1"/>
  <c r="DH686" i="1"/>
  <c r="DH687" i="1"/>
  <c r="DH688" i="1"/>
  <c r="DH689" i="1"/>
  <c r="DH690" i="1"/>
  <c r="DH691" i="1"/>
  <c r="DH693" i="1"/>
  <c r="DH694" i="1"/>
  <c r="DH695" i="1"/>
  <c r="DH696" i="1"/>
  <c r="DH698" i="1"/>
  <c r="DH699" i="1"/>
  <c r="DH702" i="1"/>
  <c r="DH703" i="1"/>
  <c r="DH704" i="1"/>
  <c r="DH706" i="1"/>
  <c r="DH707" i="1"/>
  <c r="DH708" i="1"/>
  <c r="DH709" i="1"/>
  <c r="DH711" i="1"/>
  <c r="DH712" i="1"/>
  <c r="DH713" i="1"/>
  <c r="DH714" i="1"/>
  <c r="DH715" i="1"/>
  <c r="DH716" i="1"/>
  <c r="DH717" i="1"/>
  <c r="DH718" i="1"/>
  <c r="DH720" i="1"/>
  <c r="DH721" i="1"/>
  <c r="DH723" i="1"/>
  <c r="DH724" i="1"/>
  <c r="DH725" i="1"/>
  <c r="DH726" i="1"/>
  <c r="DH729" i="1"/>
  <c r="DH731" i="1"/>
  <c r="DH732" i="1"/>
  <c r="DH733" i="1"/>
  <c r="DH734" i="1"/>
  <c r="DH735" i="1"/>
  <c r="DH736" i="1"/>
  <c r="DH738" i="1"/>
  <c r="DH739" i="1"/>
  <c r="DH740" i="1"/>
  <c r="DH741" i="1"/>
  <c r="DH742" i="1"/>
  <c r="DH743" i="1"/>
  <c r="DH744" i="1"/>
  <c r="DH745" i="1"/>
  <c r="DH748" i="1"/>
  <c r="DH750" i="1"/>
  <c r="DH751" i="1"/>
  <c r="DH752" i="1"/>
  <c r="DH753" i="1"/>
  <c r="DH754" i="1"/>
  <c r="DH755" i="1"/>
  <c r="DH756" i="1"/>
  <c r="DH758" i="1"/>
  <c r="DH760" i="1"/>
  <c r="DH761" i="1"/>
  <c r="DH763" i="1"/>
  <c r="DH764" i="1"/>
  <c r="DH766" i="1"/>
  <c r="DH767" i="1"/>
  <c r="DH768" i="1"/>
  <c r="DH769" i="1"/>
  <c r="DH774" i="1"/>
  <c r="DH775" i="1"/>
  <c r="DH777" i="1"/>
  <c r="DH778" i="1"/>
  <c r="DH779" i="1"/>
  <c r="DH780" i="1"/>
  <c r="DH783" i="1"/>
  <c r="DH784" i="1"/>
  <c r="DH785" i="1"/>
  <c r="DH786" i="1"/>
  <c r="DH787" i="1"/>
  <c r="DH789" i="1"/>
  <c r="DH790" i="1"/>
  <c r="DH791" i="1"/>
  <c r="DH793" i="1"/>
  <c r="DH794" i="1"/>
  <c r="DH795" i="1"/>
  <c r="DH796" i="1"/>
  <c r="DH797" i="1"/>
  <c r="DH798" i="1"/>
  <c r="DH800" i="1"/>
  <c r="DH801" i="1"/>
  <c r="DH802" i="1"/>
  <c r="DH803" i="1"/>
  <c r="DH804" i="1"/>
  <c r="DH805" i="1"/>
  <c r="DH806" i="1"/>
  <c r="DH807" i="1"/>
  <c r="DH808" i="1"/>
  <c r="DH810" i="1"/>
  <c r="DH811" i="1"/>
  <c r="DH812" i="1"/>
  <c r="DH813" i="1"/>
  <c r="DH814" i="1"/>
  <c r="DH815" i="1"/>
  <c r="DH816" i="1"/>
  <c r="DH818" i="1"/>
  <c r="DH819" i="1"/>
  <c r="DH820" i="1"/>
  <c r="DH822" i="1"/>
  <c r="DH823" i="1"/>
  <c r="DH824" i="1"/>
  <c r="DH825" i="1"/>
  <c r="DH826" i="1"/>
  <c r="DH827" i="1"/>
  <c r="DH829" i="1"/>
  <c r="DH830" i="1"/>
  <c r="DH831" i="1"/>
  <c r="DH832" i="1"/>
  <c r="DH834" i="1"/>
  <c r="DH835" i="1"/>
  <c r="DH836" i="1"/>
  <c r="DH838" i="1"/>
  <c r="DH839" i="1"/>
  <c r="DH840" i="1"/>
  <c r="DH841" i="1"/>
  <c r="DH842" i="1"/>
  <c r="DH843" i="1"/>
  <c r="DH845" i="1"/>
  <c r="DH846" i="1"/>
  <c r="DH847" i="1"/>
  <c r="DH848" i="1"/>
  <c r="DH849" i="1"/>
  <c r="DH850" i="1"/>
  <c r="DH852" i="1"/>
  <c r="DH854" i="1"/>
  <c r="DH855" i="1"/>
  <c r="DH856" i="1"/>
  <c r="DH857" i="1"/>
  <c r="DH859" i="1"/>
  <c r="DH860" i="1"/>
  <c r="DH863" i="1"/>
  <c r="DH864" i="1"/>
  <c r="DH865" i="1"/>
  <c r="DH866" i="1"/>
  <c r="DH867" i="1"/>
  <c r="DH868" i="1"/>
  <c r="DH869" i="1"/>
  <c r="DH870" i="1"/>
  <c r="DH872" i="1"/>
  <c r="DH873" i="1"/>
  <c r="DH874" i="1"/>
  <c r="DH875" i="1"/>
  <c r="DH876" i="1"/>
  <c r="DH877" i="1"/>
  <c r="DH878" i="1"/>
  <c r="DH879" i="1"/>
  <c r="DH880" i="1"/>
  <c r="DH881" i="1"/>
  <c r="DH884" i="1"/>
  <c r="DH886" i="1"/>
  <c r="DH887" i="1"/>
  <c r="DH888" i="1"/>
  <c r="DH889" i="1"/>
  <c r="DH890" i="1"/>
  <c r="DH891" i="1"/>
  <c r="DH892" i="1"/>
  <c r="DH893" i="1"/>
  <c r="DH894" i="1"/>
  <c r="DH895" i="1"/>
  <c r="DH897" i="1"/>
  <c r="DH898" i="1"/>
  <c r="DH899" i="1"/>
  <c r="DH900" i="1"/>
  <c r="DH901" i="1"/>
  <c r="DH902" i="1"/>
  <c r="DH904" i="1"/>
  <c r="DH905" i="1"/>
  <c r="DH906" i="1"/>
  <c r="DH908" i="1"/>
  <c r="DH909" i="1"/>
  <c r="DH910" i="1"/>
  <c r="DH911" i="1"/>
  <c r="DH912" i="1"/>
  <c r="DH913" i="1"/>
  <c r="DH915" i="1"/>
  <c r="DH916" i="1"/>
  <c r="DH917" i="1"/>
  <c r="DH918" i="1"/>
  <c r="DH919" i="1"/>
  <c r="DH921" i="1"/>
  <c r="DH922" i="1"/>
  <c r="DH923" i="1"/>
  <c r="DH924" i="1"/>
  <c r="DH925" i="1"/>
  <c r="DH927" i="1"/>
  <c r="DH928" i="1"/>
  <c r="DH929" i="1"/>
  <c r="DH930" i="1"/>
  <c r="DH931" i="1"/>
  <c r="DH932" i="1"/>
  <c r="DH933" i="1"/>
  <c r="DH935" i="1"/>
  <c r="DH936" i="1"/>
  <c r="DH937" i="1"/>
  <c r="DH938" i="1"/>
  <c r="DH939" i="1"/>
  <c r="DH940" i="1"/>
  <c r="DH941" i="1"/>
  <c r="DH943" i="1"/>
  <c r="DH944" i="1"/>
  <c r="DH945" i="1"/>
  <c r="DH947" i="1"/>
  <c r="DH948" i="1"/>
  <c r="DH950" i="1"/>
  <c r="DH951" i="1"/>
  <c r="DH952" i="1"/>
  <c r="DH953" i="1"/>
  <c r="DH954" i="1"/>
  <c r="DH955" i="1"/>
  <c r="DH956" i="1"/>
  <c r="DH957" i="1"/>
  <c r="DH958" i="1"/>
  <c r="DH960" i="1"/>
  <c r="DH961" i="1"/>
  <c r="DH962" i="1"/>
  <c r="DH963" i="1"/>
  <c r="DH964" i="1"/>
  <c r="DH965" i="1"/>
  <c r="DH966" i="1"/>
  <c r="DH967" i="1"/>
  <c r="DH969" i="1"/>
  <c r="DH970" i="1"/>
  <c r="DH971" i="1"/>
  <c r="DH972" i="1"/>
  <c r="DH973" i="1"/>
  <c r="DH974" i="1"/>
  <c r="DH975" i="1"/>
  <c r="DH977" i="1"/>
  <c r="DH978" i="1"/>
  <c r="DH979" i="1"/>
  <c r="DH980" i="1"/>
  <c r="DH981" i="1"/>
  <c r="DH983" i="1"/>
  <c r="DH985" i="1"/>
  <c r="DH986" i="1"/>
  <c r="DH987" i="1"/>
  <c r="DH989" i="1"/>
  <c r="DH990" i="1"/>
  <c r="DH991" i="1"/>
  <c r="DH992" i="1"/>
  <c r="DH993" i="1"/>
  <c r="DH994" i="1"/>
  <c r="DH996" i="1"/>
  <c r="DH997" i="1"/>
  <c r="DH998" i="1"/>
  <c r="DH999" i="1"/>
  <c r="DH1000" i="1"/>
  <c r="DH1001" i="1"/>
  <c r="DH1002" i="1"/>
  <c r="DH1003" i="1"/>
  <c r="DH1005" i="1"/>
  <c r="DH1006" i="1"/>
  <c r="DH1007" i="1"/>
  <c r="DH1008" i="1"/>
  <c r="DH1009" i="1"/>
  <c r="DH1010" i="1"/>
  <c r="DH1011" i="1"/>
  <c r="DH1013" i="1"/>
  <c r="DH1014" i="1"/>
  <c r="DH1015" i="1"/>
  <c r="DH1016" i="1"/>
  <c r="DH1017" i="1"/>
  <c r="DH1018" i="1"/>
  <c r="DH1019" i="1"/>
  <c r="DH1020" i="1"/>
  <c r="DH1021" i="1"/>
  <c r="DH1022" i="1"/>
  <c r="DH1023" i="1"/>
  <c r="DH1025" i="1"/>
  <c r="DH1026" i="1"/>
  <c r="DH1027" i="1"/>
  <c r="DH1028" i="1"/>
  <c r="DH1029" i="1"/>
  <c r="DH1030" i="1"/>
  <c r="DH1031" i="1"/>
  <c r="DH1032" i="1"/>
  <c r="DH1033" i="1"/>
  <c r="DH1035" i="1"/>
  <c r="DH1036" i="1"/>
  <c r="DH1037" i="1"/>
  <c r="DH1038" i="1"/>
  <c r="DH1039" i="1"/>
  <c r="DH1040" i="1"/>
  <c r="DH1041" i="1"/>
  <c r="DH1042" i="1"/>
  <c r="DH1043" i="1"/>
  <c r="DH1044" i="1"/>
  <c r="DH1046" i="1"/>
  <c r="DH1047" i="1"/>
  <c r="DH1048" i="1"/>
  <c r="DH1051" i="1"/>
  <c r="DH1053" i="1"/>
  <c r="DH1054" i="1"/>
  <c r="DH1055" i="1"/>
  <c r="DH1056" i="1"/>
  <c r="DH1057" i="1"/>
  <c r="DH1059" i="1"/>
  <c r="DH1060" i="1"/>
  <c r="DH1061" i="1"/>
  <c r="DH1062" i="1"/>
  <c r="DH1063" i="1"/>
  <c r="DH1064" i="1"/>
  <c r="DH1066" i="1"/>
  <c r="DH1067" i="1"/>
  <c r="DH1068" i="1"/>
  <c r="DH1069" i="1"/>
  <c r="DH1070" i="1"/>
  <c r="DH1071" i="1"/>
  <c r="DH1072" i="1"/>
  <c r="DH1073" i="1"/>
  <c r="DH1075" i="1"/>
  <c r="DH1076" i="1"/>
  <c r="DH1077" i="1"/>
  <c r="DH1079" i="1"/>
  <c r="DH1080" i="1"/>
  <c r="DH1081" i="1"/>
  <c r="DH1082" i="1"/>
  <c r="DH1083" i="1"/>
  <c r="DH1084" i="1"/>
  <c r="DH1086" i="1"/>
  <c r="DH1087" i="1"/>
  <c r="DH1088" i="1"/>
  <c r="DH1089" i="1"/>
  <c r="DH1090" i="1"/>
  <c r="DH1091" i="1"/>
  <c r="DH1092" i="1"/>
  <c r="DH1093" i="1"/>
  <c r="DH1094" i="1"/>
  <c r="DH1097" i="1"/>
  <c r="DH1098" i="1"/>
  <c r="DH1099" i="1"/>
  <c r="DH1100" i="1"/>
  <c r="DH1101" i="1"/>
  <c r="DH1102" i="1"/>
  <c r="DH1103" i="1"/>
  <c r="DH1104" i="1"/>
  <c r="DH1105" i="1"/>
  <c r="DH1106" i="1"/>
  <c r="DH1108" i="1"/>
  <c r="DH1109" i="1"/>
  <c r="DH1110" i="1"/>
  <c r="DH1111" i="1"/>
  <c r="DH1112" i="1"/>
  <c r="DH1113" i="1"/>
  <c r="DH1115" i="1"/>
  <c r="DH1116" i="1"/>
  <c r="DH1117" i="1"/>
  <c r="DH1118" i="1"/>
  <c r="DH1120" i="1"/>
  <c r="DH1122" i="1"/>
  <c r="DH1123" i="1"/>
  <c r="DH1124" i="1"/>
  <c r="DH1126" i="1"/>
  <c r="DH1127" i="1"/>
  <c r="DH1128" i="1"/>
  <c r="DH1129" i="1"/>
  <c r="DH1130" i="1"/>
  <c r="DH1132" i="1"/>
  <c r="DH1133" i="1"/>
  <c r="DH1135" i="1"/>
  <c r="DH1136" i="1"/>
  <c r="DH1137" i="1"/>
  <c r="DH1138" i="1"/>
  <c r="DH1139" i="1"/>
  <c r="DH1140" i="1"/>
  <c r="DH1142" i="1"/>
  <c r="DH1143" i="1"/>
  <c r="DH1144" i="1"/>
  <c r="DH1145" i="1"/>
  <c r="DH1146" i="1"/>
  <c r="DH1147" i="1"/>
  <c r="DH1148" i="1"/>
  <c r="DH1149" i="1"/>
  <c r="DH1150" i="1"/>
  <c r="DH1152" i="1"/>
  <c r="DH1153" i="1"/>
  <c r="DH1154" i="1"/>
  <c r="DH1155" i="1"/>
  <c r="DH1157" i="1"/>
  <c r="DH1158" i="1"/>
  <c r="DH1159" i="1"/>
  <c r="DH1160" i="1"/>
  <c r="DH1161" i="1"/>
  <c r="DH1162" i="1"/>
  <c r="DH1163" i="1"/>
  <c r="DH1164" i="1"/>
  <c r="DH1165" i="1"/>
  <c r="DH1167" i="1"/>
  <c r="DH1168" i="1"/>
  <c r="DH1169" i="1"/>
  <c r="DH1170" i="1"/>
  <c r="DH1172" i="1"/>
  <c r="DH1173" i="1"/>
  <c r="DH1174" i="1"/>
  <c r="DH1175" i="1"/>
  <c r="DH1177" i="1"/>
  <c r="DH1178" i="1"/>
  <c r="DH1179" i="1"/>
  <c r="DH1180" i="1"/>
  <c r="DH1181" i="1"/>
  <c r="DH1182" i="1"/>
  <c r="DH1183" i="1"/>
  <c r="DH1185" i="1"/>
  <c r="DH1186" i="1"/>
  <c r="DH1187" i="1"/>
  <c r="DH1188" i="1"/>
  <c r="DH1189" i="1"/>
  <c r="DH1190" i="1"/>
  <c r="DH1192" i="1"/>
  <c r="DH1194" i="1"/>
  <c r="DH1195" i="1"/>
  <c r="DH1196" i="1"/>
  <c r="DH1199" i="1"/>
  <c r="DH1201" i="1"/>
  <c r="DH1202" i="1"/>
  <c r="DH1203" i="1"/>
  <c r="DH1204" i="1"/>
  <c r="DH1205" i="1"/>
  <c r="DH1206" i="1"/>
  <c r="DH1207" i="1"/>
  <c r="DH1209" i="1"/>
  <c r="DH1210" i="1"/>
  <c r="DH1211" i="1"/>
  <c r="DH1212" i="1"/>
  <c r="DH1213" i="1"/>
  <c r="DH1214" i="1"/>
  <c r="DH1215" i="1"/>
  <c r="DH1216" i="1"/>
  <c r="DH1217" i="1"/>
  <c r="DH1219" i="1"/>
  <c r="DH1220" i="1"/>
  <c r="DH1222" i="1"/>
  <c r="DH1223" i="1"/>
  <c r="DH1224" i="1"/>
  <c r="DH1225" i="1"/>
  <c r="DH1226" i="1"/>
  <c r="DH1227" i="1"/>
  <c r="DH1229" i="1"/>
  <c r="DH1230" i="1"/>
  <c r="DH1231" i="1"/>
  <c r="DH1232" i="1"/>
  <c r="DH1233" i="1"/>
  <c r="DH1234" i="1"/>
  <c r="DH1235" i="1"/>
  <c r="DH1236" i="1"/>
  <c r="DH1238" i="1"/>
  <c r="DH1240" i="1"/>
  <c r="DH1241" i="1"/>
  <c r="DH1242" i="1"/>
  <c r="DH1244" i="1"/>
  <c r="DH1245" i="1"/>
  <c r="DH1246" i="1"/>
  <c r="DH1247" i="1"/>
  <c r="DH1248" i="1"/>
  <c r="DH1250" i="1"/>
  <c r="DH1251" i="1"/>
  <c r="DH1252" i="1"/>
  <c r="DH1253" i="1"/>
  <c r="DH1254" i="1"/>
  <c r="DH1255" i="1"/>
  <c r="DH1256" i="1"/>
  <c r="DH1257" i="1"/>
  <c r="DH1258" i="1"/>
  <c r="DH1259" i="1"/>
  <c r="DH1261" i="1"/>
  <c r="DH1262" i="1"/>
  <c r="DH1263" i="1"/>
  <c r="DH1265" i="1"/>
  <c r="DH1266" i="1"/>
  <c r="DH1267" i="1"/>
  <c r="DH1268" i="1"/>
  <c r="DH1272" i="1"/>
  <c r="DH1275" i="1"/>
  <c r="DH1276" i="1"/>
  <c r="DH1277" i="1"/>
  <c r="DH1278" i="1"/>
  <c r="DH1279" i="1"/>
  <c r="DH1280" i="1"/>
  <c r="DH1282" i="1"/>
  <c r="DH1283" i="1"/>
  <c r="DH1284" i="1"/>
  <c r="DH1285" i="1"/>
  <c r="DH1286" i="1"/>
  <c r="DH1287" i="1"/>
  <c r="DH1288" i="1"/>
  <c r="DH1289" i="1"/>
  <c r="DH1291" i="1"/>
  <c r="DH1292" i="1"/>
  <c r="DH1293" i="1"/>
  <c r="DH1294" i="1"/>
  <c r="DH1295" i="1"/>
  <c r="DH1296" i="1"/>
  <c r="DH1297" i="1"/>
  <c r="DH1298" i="1"/>
  <c r="DH1299" i="1"/>
  <c r="DH1300" i="1"/>
  <c r="DH1301" i="1"/>
  <c r="DH1303" i="1"/>
  <c r="DH1304" i="1"/>
  <c r="DH1305" i="1"/>
  <c r="DH1306" i="1"/>
  <c r="DH1307" i="1"/>
  <c r="DH1308" i="1"/>
  <c r="DH1309" i="1"/>
  <c r="DH1310" i="1"/>
  <c r="DH1311" i="1"/>
  <c r="DH1312" i="1"/>
  <c r="DH1313" i="1"/>
  <c r="DI67" i="1"/>
  <c r="DI68" i="1"/>
  <c r="DI69" i="1"/>
  <c r="DI70" i="1"/>
  <c r="DI71" i="1"/>
  <c r="DI72" i="1"/>
  <c r="DI73" i="1"/>
  <c r="DI74" i="1"/>
  <c r="DI76" i="1"/>
  <c r="DI77" i="1"/>
  <c r="DI78" i="1"/>
  <c r="DI79" i="1"/>
  <c r="DI80" i="1"/>
  <c r="DI81" i="1"/>
  <c r="DI82" i="1"/>
  <c r="DI85" i="1"/>
  <c r="DI86" i="1"/>
  <c r="DI87" i="1"/>
  <c r="DI88" i="1"/>
  <c r="DI89" i="1"/>
  <c r="DI90" i="1"/>
  <c r="DI92" i="1"/>
  <c r="DI93" i="1"/>
  <c r="DI94" i="1"/>
  <c r="DI95" i="1"/>
  <c r="DI96" i="1"/>
  <c r="DI97" i="1"/>
  <c r="DI98" i="1"/>
  <c r="DI101" i="1"/>
  <c r="DI103" i="1"/>
  <c r="DI104" i="1"/>
  <c r="DI105" i="1"/>
  <c r="DI106" i="1"/>
  <c r="DI107" i="1"/>
  <c r="DI108" i="1"/>
  <c r="DI109" i="1"/>
  <c r="DI111" i="1"/>
  <c r="DI112" i="1"/>
  <c r="DI113" i="1"/>
  <c r="DI114" i="1"/>
  <c r="DI115" i="1"/>
  <c r="DI116" i="1"/>
  <c r="DI117" i="1"/>
  <c r="DI118" i="1"/>
  <c r="DI119" i="1"/>
  <c r="DI120" i="1"/>
  <c r="DI122" i="1"/>
  <c r="DI124" i="1"/>
  <c r="DI125" i="1"/>
  <c r="DI126" i="1"/>
  <c r="DI129" i="1"/>
  <c r="DI131" i="1"/>
  <c r="DI132" i="1"/>
  <c r="DI133" i="1"/>
  <c r="DI136" i="1"/>
  <c r="DI138" i="1"/>
  <c r="DI139" i="1"/>
  <c r="DI140" i="1"/>
  <c r="DI141" i="1"/>
  <c r="DI142" i="1"/>
  <c r="DI144" i="1"/>
  <c r="DI145" i="1"/>
  <c r="DI146" i="1"/>
  <c r="DI147" i="1"/>
  <c r="DI148" i="1"/>
  <c r="DI149" i="1"/>
  <c r="DI151" i="1"/>
  <c r="DI152" i="1"/>
  <c r="DI153" i="1"/>
  <c r="DI154" i="1"/>
  <c r="DI155" i="1"/>
  <c r="DI156" i="1"/>
  <c r="DI157" i="1"/>
  <c r="DI158" i="1"/>
  <c r="DI160" i="1"/>
  <c r="DI161" i="1"/>
  <c r="DI162" i="1"/>
  <c r="DI163" i="1"/>
  <c r="DI165" i="1"/>
  <c r="DI166" i="1"/>
  <c r="DI167" i="1"/>
  <c r="DI168" i="1"/>
  <c r="DI169" i="1"/>
  <c r="DI170" i="1"/>
  <c r="DI172" i="1"/>
  <c r="DI173" i="1"/>
  <c r="DI175" i="1"/>
  <c r="DI176" i="1"/>
  <c r="DI177" i="1"/>
  <c r="DI178" i="1"/>
  <c r="DI179" i="1"/>
  <c r="DI180" i="1"/>
  <c r="DI181" i="1"/>
  <c r="DI182" i="1"/>
  <c r="DI183" i="1"/>
  <c r="DI184" i="1"/>
  <c r="DI186" i="1"/>
  <c r="DI187" i="1"/>
  <c r="DI188" i="1"/>
  <c r="DI189" i="1"/>
  <c r="DI190" i="1"/>
  <c r="DI191" i="1"/>
  <c r="DI192" i="1"/>
  <c r="DI193" i="1"/>
  <c r="DI195" i="1"/>
  <c r="DI196" i="1"/>
  <c r="DI197" i="1"/>
  <c r="DI198" i="1"/>
  <c r="DI200" i="1"/>
  <c r="DI201" i="1"/>
  <c r="DI202" i="1"/>
  <c r="DI203" i="1"/>
  <c r="DI204" i="1"/>
  <c r="DI205" i="1"/>
  <c r="DI206" i="1"/>
  <c r="DI207" i="1"/>
  <c r="DI209" i="1"/>
  <c r="DI210" i="1"/>
  <c r="DI211" i="1"/>
  <c r="DI212" i="1"/>
  <c r="DI213" i="1"/>
  <c r="DI214" i="1"/>
  <c r="DI215" i="1"/>
  <c r="DI218" i="1"/>
  <c r="DI219" i="1"/>
  <c r="DI220" i="1"/>
  <c r="DI221" i="1"/>
  <c r="DI222" i="1"/>
  <c r="DI224" i="1"/>
  <c r="DI225" i="1"/>
  <c r="DI226" i="1"/>
  <c r="DI227" i="1"/>
  <c r="DI228" i="1"/>
  <c r="DI229" i="1"/>
  <c r="DI231" i="1"/>
  <c r="DI232" i="1"/>
  <c r="DI233" i="1"/>
  <c r="DI234" i="1"/>
  <c r="DI235" i="1"/>
  <c r="DI236" i="1"/>
  <c r="DI237" i="1"/>
  <c r="DI238" i="1"/>
  <c r="DI240" i="1"/>
  <c r="DI241" i="1"/>
  <c r="DI242" i="1"/>
  <c r="DI243" i="1"/>
  <c r="DI244" i="1"/>
  <c r="DI245" i="1"/>
  <c r="DI246" i="1"/>
  <c r="DI247" i="1"/>
  <c r="DI250" i="1"/>
  <c r="DI251" i="1"/>
  <c r="DI252" i="1"/>
  <c r="DI253" i="1"/>
  <c r="DI254" i="1"/>
  <c r="DI255" i="1"/>
  <c r="DI256" i="1"/>
  <c r="DI258" i="1"/>
  <c r="DI259" i="1"/>
  <c r="DI260" i="1"/>
  <c r="DI261" i="1"/>
  <c r="DI262" i="1"/>
  <c r="DI263" i="1"/>
  <c r="DI264" i="1"/>
  <c r="DI265" i="1"/>
  <c r="DI266" i="1"/>
  <c r="DI268" i="1"/>
  <c r="DI269" i="1"/>
  <c r="DI270" i="1"/>
  <c r="DI271" i="1"/>
  <c r="DI272" i="1"/>
  <c r="DI273" i="1"/>
  <c r="DI274" i="1"/>
  <c r="DI275" i="1"/>
  <c r="DI276" i="1"/>
  <c r="DI278" i="1"/>
  <c r="DI279" i="1"/>
  <c r="DI280" i="1"/>
  <c r="DI281" i="1"/>
  <c r="DI282" i="1"/>
  <c r="DI283" i="1"/>
  <c r="DI285" i="1"/>
  <c r="DI286" i="1"/>
  <c r="DI287" i="1"/>
  <c r="DI288" i="1"/>
  <c r="DI291" i="1"/>
  <c r="DI292" i="1"/>
  <c r="DI293" i="1"/>
  <c r="DI294" i="1"/>
  <c r="DI296" i="1"/>
  <c r="DI297" i="1"/>
  <c r="DI298" i="1"/>
  <c r="DI299" i="1"/>
  <c r="DI300" i="1"/>
  <c r="DI301" i="1"/>
  <c r="DI302" i="1"/>
  <c r="DI303" i="1"/>
  <c r="DI305" i="1"/>
  <c r="DI306" i="1"/>
  <c r="DI307" i="1"/>
  <c r="DI308" i="1"/>
  <c r="DI309" i="1"/>
  <c r="DI310" i="1"/>
  <c r="DI311" i="1"/>
  <c r="DI312" i="1"/>
  <c r="DI313" i="1"/>
  <c r="DI314" i="1"/>
  <c r="DI316" i="1"/>
  <c r="DI317" i="1"/>
  <c r="DI318" i="1"/>
  <c r="DI319" i="1"/>
  <c r="DI320" i="1"/>
  <c r="DI321" i="1"/>
  <c r="DI322" i="1"/>
  <c r="DI323" i="1"/>
  <c r="DI324" i="1"/>
  <c r="DI325" i="1"/>
  <c r="DI326" i="1"/>
  <c r="DI327" i="1"/>
  <c r="DI329" i="1"/>
  <c r="DI330" i="1"/>
  <c r="DI332" i="1"/>
  <c r="DI333" i="1"/>
  <c r="DI334" i="1"/>
  <c r="DI335" i="1"/>
  <c r="DI336" i="1"/>
  <c r="DI337" i="1"/>
  <c r="DI338" i="1"/>
  <c r="DI340" i="1"/>
  <c r="DI341" i="1"/>
  <c r="DI342" i="1"/>
  <c r="DI343" i="1"/>
  <c r="DI344" i="1"/>
  <c r="DI345" i="1"/>
  <c r="DI346" i="1"/>
  <c r="DI347" i="1"/>
  <c r="DI348" i="1"/>
  <c r="DI349" i="1"/>
  <c r="DI351" i="1"/>
  <c r="DI352" i="1"/>
  <c r="DI353" i="1"/>
  <c r="DI354" i="1"/>
  <c r="DI355" i="1"/>
  <c r="DI356" i="1"/>
  <c r="DI358" i="1"/>
  <c r="DI359" i="1"/>
  <c r="DI360" i="1"/>
  <c r="DI361" i="1"/>
  <c r="DI362" i="1"/>
  <c r="DI363" i="1"/>
  <c r="DI364" i="1"/>
  <c r="DI365" i="1"/>
  <c r="DI367" i="1"/>
  <c r="DI368" i="1"/>
  <c r="DI369" i="1"/>
  <c r="DI371" i="1"/>
  <c r="DI372" i="1"/>
  <c r="DI373" i="1"/>
  <c r="DI375" i="1"/>
  <c r="DI376" i="1"/>
  <c r="DI378" i="1"/>
  <c r="DI379" i="1"/>
  <c r="DI380" i="1"/>
  <c r="DI381" i="1"/>
  <c r="DI382" i="1"/>
  <c r="DI383" i="1"/>
  <c r="DI385" i="1"/>
  <c r="DI386" i="1"/>
  <c r="DI387" i="1"/>
  <c r="DI388" i="1"/>
  <c r="DI389" i="1"/>
  <c r="DI390" i="1"/>
  <c r="DI391" i="1"/>
  <c r="DI393" i="1"/>
  <c r="DI394" i="1"/>
  <c r="DI395" i="1"/>
  <c r="DI396" i="1"/>
  <c r="DI397" i="1"/>
  <c r="DI398" i="1"/>
  <c r="DI399" i="1"/>
  <c r="DI400" i="1"/>
  <c r="DI401" i="1"/>
  <c r="DI403" i="1"/>
  <c r="DI404" i="1"/>
  <c r="DI405" i="1"/>
  <c r="DI406" i="1"/>
  <c r="DI407" i="1"/>
  <c r="DI408" i="1"/>
  <c r="DI409" i="1"/>
  <c r="DI410" i="1"/>
  <c r="DI411" i="1"/>
  <c r="DI413" i="1"/>
  <c r="DI414" i="1"/>
  <c r="DI415" i="1"/>
  <c r="DI416" i="1"/>
  <c r="DI417" i="1"/>
  <c r="DI418" i="1"/>
  <c r="DI421" i="1"/>
  <c r="DI422" i="1"/>
  <c r="DI423" i="1"/>
  <c r="DI424" i="1"/>
  <c r="DI425" i="1"/>
  <c r="DI426" i="1"/>
  <c r="DI427" i="1"/>
  <c r="DI428" i="1"/>
  <c r="DI430" i="1"/>
  <c r="DI431" i="1"/>
  <c r="DI432" i="1"/>
  <c r="DI433" i="1"/>
  <c r="DI434" i="1"/>
  <c r="DI435" i="1"/>
  <c r="DI436" i="1"/>
  <c r="DI438" i="1"/>
  <c r="DI439" i="1"/>
  <c r="DI440" i="1"/>
  <c r="DI441" i="1"/>
  <c r="DI442" i="1"/>
  <c r="DI443" i="1"/>
  <c r="DI445" i="1"/>
  <c r="DI446" i="1"/>
  <c r="DI447" i="1"/>
  <c r="DI448" i="1"/>
  <c r="DI449" i="1"/>
  <c r="DI450" i="1"/>
  <c r="DI451" i="1"/>
  <c r="DI452" i="1"/>
  <c r="DI454" i="1"/>
  <c r="DI455" i="1"/>
  <c r="DI456" i="1"/>
  <c r="DI457" i="1"/>
  <c r="DI459" i="1"/>
  <c r="DI460" i="1"/>
  <c r="DI461" i="1"/>
  <c r="DI462" i="1"/>
  <c r="DI463" i="1"/>
  <c r="DI464" i="1"/>
  <c r="DI465" i="1"/>
  <c r="DI466" i="1"/>
  <c r="DI468" i="1"/>
  <c r="DI469" i="1"/>
  <c r="DI470" i="1"/>
  <c r="DI471" i="1"/>
  <c r="DI472" i="1"/>
  <c r="DI473" i="1"/>
  <c r="DI474" i="1"/>
  <c r="DI475" i="1"/>
  <c r="DI476" i="1"/>
  <c r="DI478" i="1"/>
  <c r="DI479" i="1"/>
  <c r="DI480" i="1"/>
  <c r="DI481" i="1"/>
  <c r="DI482" i="1"/>
  <c r="DI483" i="1"/>
  <c r="DI485" i="1"/>
  <c r="DI486" i="1"/>
  <c r="DI487" i="1"/>
  <c r="DI488" i="1"/>
  <c r="DI489" i="1"/>
  <c r="DI490" i="1"/>
  <c r="DI491" i="1"/>
  <c r="DI492" i="1"/>
  <c r="DI493" i="1"/>
  <c r="DI495" i="1"/>
  <c r="DI496" i="1"/>
  <c r="DI497" i="1"/>
  <c r="DI498" i="1"/>
  <c r="DI499" i="1"/>
  <c r="DI500" i="1"/>
  <c r="DI502" i="1"/>
  <c r="DI503" i="1"/>
  <c r="DI504" i="1"/>
  <c r="DI505" i="1"/>
  <c r="DI506" i="1"/>
  <c r="DI507" i="1"/>
  <c r="DI508" i="1"/>
  <c r="DI510" i="1"/>
  <c r="DI511" i="1"/>
  <c r="DI512" i="1"/>
  <c r="DI514" i="1"/>
  <c r="DI515" i="1"/>
  <c r="DI516" i="1"/>
  <c r="DI517" i="1"/>
  <c r="DI518" i="1"/>
  <c r="DI520" i="1"/>
  <c r="DI521" i="1"/>
  <c r="DI522" i="1"/>
  <c r="DI523" i="1"/>
  <c r="DI524" i="1"/>
  <c r="DI525" i="1"/>
  <c r="DI526" i="1"/>
  <c r="DI527" i="1"/>
  <c r="DI529" i="1"/>
  <c r="DI530" i="1"/>
  <c r="DI531" i="1"/>
  <c r="DI532" i="1"/>
  <c r="DI533" i="1"/>
  <c r="DI534" i="1"/>
  <c r="DI535" i="1"/>
  <c r="DI536" i="1"/>
  <c r="DI538" i="1"/>
  <c r="DI539" i="1"/>
  <c r="DI540" i="1"/>
  <c r="DI541" i="1"/>
  <c r="DI542" i="1"/>
  <c r="DI543" i="1"/>
  <c r="DI544" i="1"/>
  <c r="DI545" i="1"/>
  <c r="DI546" i="1"/>
  <c r="DI548" i="1"/>
  <c r="DI549" i="1"/>
  <c r="DI550" i="1"/>
  <c r="DI551" i="1"/>
  <c r="DI552" i="1"/>
  <c r="DI553" i="1"/>
  <c r="DI554" i="1"/>
  <c r="DI555" i="1"/>
  <c r="DI557" i="1"/>
  <c r="DI558" i="1"/>
  <c r="DI559" i="1"/>
  <c r="DI560" i="1"/>
  <c r="DI561" i="1"/>
  <c r="DI562" i="1"/>
  <c r="DI564" i="1"/>
  <c r="DI565" i="1"/>
  <c r="DI566" i="1"/>
  <c r="DI567" i="1"/>
  <c r="DI569" i="1"/>
  <c r="DI570" i="1"/>
  <c r="DI572" i="1"/>
  <c r="DI573" i="1"/>
  <c r="DI574" i="1"/>
  <c r="DI576" i="1"/>
  <c r="DI577" i="1"/>
  <c r="DI578" i="1"/>
  <c r="DI579" i="1"/>
  <c r="DI580" i="1"/>
  <c r="DI581" i="1"/>
  <c r="DI583" i="1"/>
  <c r="DI584" i="1"/>
  <c r="DI586" i="1"/>
  <c r="DI587" i="1"/>
  <c r="DI588" i="1"/>
  <c r="DI590" i="1"/>
  <c r="DI591" i="1"/>
  <c r="DI592" i="1"/>
  <c r="DI593" i="1"/>
  <c r="DI594" i="1"/>
  <c r="DI595" i="1"/>
  <c r="DI596" i="1"/>
  <c r="DI597" i="1"/>
  <c r="DI598" i="1"/>
  <c r="DI600" i="1"/>
  <c r="DI601" i="1"/>
  <c r="DI603" i="1"/>
  <c r="DI604" i="1"/>
  <c r="DI605" i="1"/>
  <c r="DI607" i="1"/>
  <c r="DI608" i="1"/>
  <c r="DI609" i="1"/>
  <c r="DI610" i="1"/>
  <c r="DI611" i="1"/>
  <c r="DI612" i="1"/>
  <c r="DI614" i="1"/>
  <c r="DI615" i="1"/>
  <c r="DI616" i="1"/>
  <c r="DI617" i="1"/>
  <c r="DI618" i="1"/>
  <c r="DI619" i="1"/>
  <c r="DI620" i="1"/>
  <c r="DI622" i="1"/>
  <c r="DI623" i="1"/>
  <c r="DI624" i="1"/>
  <c r="DI625" i="1"/>
  <c r="DI626" i="1"/>
  <c r="DI628" i="1"/>
  <c r="DI629" i="1"/>
  <c r="DI630" i="1"/>
  <c r="DI631" i="1"/>
  <c r="DI632" i="1"/>
  <c r="DI633" i="1"/>
  <c r="DI634" i="1"/>
  <c r="DI636" i="1"/>
  <c r="DI637" i="1"/>
  <c r="DI638" i="1"/>
  <c r="DI639" i="1"/>
  <c r="DI641" i="1"/>
  <c r="DI643" i="1"/>
  <c r="DI644" i="1"/>
  <c r="DI645" i="1"/>
  <c r="DI647" i="1"/>
  <c r="DI648" i="1"/>
  <c r="DI649" i="1"/>
  <c r="DI650" i="1"/>
  <c r="DI651" i="1"/>
  <c r="DI652" i="1"/>
  <c r="DI654" i="1"/>
  <c r="DI655" i="1"/>
  <c r="DI656" i="1"/>
  <c r="DI657" i="1"/>
  <c r="DI658" i="1"/>
  <c r="DI659" i="1"/>
  <c r="DI660" i="1"/>
  <c r="DI662" i="1"/>
  <c r="DI663" i="1"/>
  <c r="DI665" i="1"/>
  <c r="DI666" i="1"/>
  <c r="DI667" i="1"/>
  <c r="DI669" i="1"/>
  <c r="DI670" i="1"/>
  <c r="DI671" i="1"/>
  <c r="DI672" i="1"/>
  <c r="DI674" i="1"/>
  <c r="DI675" i="1"/>
  <c r="DI676" i="1"/>
  <c r="DI677" i="1"/>
  <c r="DI678" i="1"/>
  <c r="DI679" i="1"/>
  <c r="DI681" i="1"/>
  <c r="DI682" i="1"/>
  <c r="DI683" i="1"/>
  <c r="DI684" i="1"/>
  <c r="DI685" i="1"/>
  <c r="DI686" i="1"/>
  <c r="DI687" i="1"/>
  <c r="DI688" i="1"/>
  <c r="DI689" i="1"/>
  <c r="DI690" i="1"/>
  <c r="DI691" i="1"/>
  <c r="DI693" i="1"/>
  <c r="DI694" i="1"/>
  <c r="DI695" i="1"/>
  <c r="DI696" i="1"/>
  <c r="DI698" i="1"/>
  <c r="DI699" i="1"/>
  <c r="DI702" i="1"/>
  <c r="DI703" i="1"/>
  <c r="DI704" i="1"/>
  <c r="DI706" i="1"/>
  <c r="DI707" i="1"/>
  <c r="DI708" i="1"/>
  <c r="DI709" i="1"/>
  <c r="DI711" i="1"/>
  <c r="DI712" i="1"/>
  <c r="DI713" i="1"/>
  <c r="DI714" i="1"/>
  <c r="DI715" i="1"/>
  <c r="DI716" i="1"/>
  <c r="DI717" i="1"/>
  <c r="DI718" i="1"/>
  <c r="DI720" i="1"/>
  <c r="DI721" i="1"/>
  <c r="DI723" i="1"/>
  <c r="DI724" i="1"/>
  <c r="DI725" i="1"/>
  <c r="DI726" i="1"/>
  <c r="DI729" i="1"/>
  <c r="DI731" i="1"/>
  <c r="DI732" i="1"/>
  <c r="DI733" i="1"/>
  <c r="DI734" i="1"/>
  <c r="DI735" i="1"/>
  <c r="DI736" i="1"/>
  <c r="DI738" i="1"/>
  <c r="DI739" i="1"/>
  <c r="DI740" i="1"/>
  <c r="DI741" i="1"/>
  <c r="DI742" i="1"/>
  <c r="DI743" i="1"/>
  <c r="DI744" i="1"/>
  <c r="DI745" i="1"/>
  <c r="DI748" i="1"/>
  <c r="DI750" i="1"/>
  <c r="DI751" i="1"/>
  <c r="DI752" i="1"/>
  <c r="DI753" i="1"/>
  <c r="DI754" i="1"/>
  <c r="DI755" i="1"/>
  <c r="DI756" i="1"/>
  <c r="DI758" i="1"/>
  <c r="DI760" i="1"/>
  <c r="DI761" i="1"/>
  <c r="DI763" i="1"/>
  <c r="DI764" i="1"/>
  <c r="DI766" i="1"/>
  <c r="DI767" i="1"/>
  <c r="DI768" i="1"/>
  <c r="DI769" i="1"/>
  <c r="DI774" i="1"/>
  <c r="DI775" i="1"/>
  <c r="DI777" i="1"/>
  <c r="DI778" i="1"/>
  <c r="DI779" i="1"/>
  <c r="DI780" i="1"/>
  <c r="DI782" i="1"/>
  <c r="DI783" i="1"/>
  <c r="DI784" i="1"/>
  <c r="DI785" i="1"/>
  <c r="DI786" i="1"/>
  <c r="DI787" i="1"/>
  <c r="DI789" i="1"/>
  <c r="DI790" i="1"/>
  <c r="DI791" i="1"/>
  <c r="DI793" i="1"/>
  <c r="DI794" i="1"/>
  <c r="DI795" i="1"/>
  <c r="DI796" i="1"/>
  <c r="DI797" i="1"/>
  <c r="DI798" i="1"/>
  <c r="DI800" i="1"/>
  <c r="DI801" i="1"/>
  <c r="DI802" i="1"/>
  <c r="DI803" i="1"/>
  <c r="DI804" i="1"/>
  <c r="DI805" i="1"/>
  <c r="DI806" i="1"/>
  <c r="DI807" i="1"/>
  <c r="DI808" i="1"/>
  <c r="DI811" i="1"/>
  <c r="DI812" i="1"/>
  <c r="DI813" i="1"/>
  <c r="DI814" i="1"/>
  <c r="DI815" i="1"/>
  <c r="DI816" i="1"/>
  <c r="DI818" i="1"/>
  <c r="DI819" i="1"/>
  <c r="DI820" i="1"/>
  <c r="DI822" i="1"/>
  <c r="DI823" i="1"/>
  <c r="DI824" i="1"/>
  <c r="DI825" i="1"/>
  <c r="DI826" i="1"/>
  <c r="DI827" i="1"/>
  <c r="DI829" i="1"/>
  <c r="DI830" i="1"/>
  <c r="DI831" i="1"/>
  <c r="DI832" i="1"/>
  <c r="DI834" i="1"/>
  <c r="DI835" i="1"/>
  <c r="DI836" i="1"/>
  <c r="DI838" i="1"/>
  <c r="DI839" i="1"/>
  <c r="DI840" i="1"/>
  <c r="DI841" i="1"/>
  <c r="DI842" i="1"/>
  <c r="DI843" i="1"/>
  <c r="DI845" i="1"/>
  <c r="DI846" i="1"/>
  <c r="DI847" i="1"/>
  <c r="DI848" i="1"/>
  <c r="DI849" i="1"/>
  <c r="DI850" i="1"/>
  <c r="DI852" i="1"/>
  <c r="DI854" i="1"/>
  <c r="DI855" i="1"/>
  <c r="DI856" i="1"/>
  <c r="DI857" i="1"/>
  <c r="DI859" i="1"/>
  <c r="DI860" i="1"/>
  <c r="DI863" i="1"/>
  <c r="DI864" i="1"/>
  <c r="DI865" i="1"/>
  <c r="DI866" i="1"/>
  <c r="DI867" i="1"/>
  <c r="DI868" i="1"/>
  <c r="DI869" i="1"/>
  <c r="DI870" i="1"/>
  <c r="DI872" i="1"/>
  <c r="DI873" i="1"/>
  <c r="DI874" i="1"/>
  <c r="DI875" i="1"/>
  <c r="DI876" i="1"/>
  <c r="DI877" i="1"/>
  <c r="DI878" i="1"/>
  <c r="DI879" i="1"/>
  <c r="DI880" i="1"/>
  <c r="DI881" i="1"/>
  <c r="DI884" i="1"/>
  <c r="DI886" i="1"/>
  <c r="DI887" i="1"/>
  <c r="DI888" i="1"/>
  <c r="DI889" i="1"/>
  <c r="DI890" i="1"/>
  <c r="DI891" i="1"/>
  <c r="DI892" i="1"/>
  <c r="DI893" i="1"/>
  <c r="DI894" i="1"/>
  <c r="DI895" i="1"/>
  <c r="DI897" i="1"/>
  <c r="DI898" i="1"/>
  <c r="DI899" i="1"/>
  <c r="DI900" i="1"/>
  <c r="DI901" i="1"/>
  <c r="DI902" i="1"/>
  <c r="DI904" i="1"/>
  <c r="DI905" i="1"/>
  <c r="DI906" i="1"/>
  <c r="DI908" i="1"/>
  <c r="DI909" i="1"/>
  <c r="DI910" i="1"/>
  <c r="DI911" i="1"/>
  <c r="DI912" i="1"/>
  <c r="DI913" i="1"/>
  <c r="DI915" i="1"/>
  <c r="DI916" i="1"/>
  <c r="DI917" i="1"/>
  <c r="DI918" i="1"/>
  <c r="DI919" i="1"/>
  <c r="DI921" i="1"/>
  <c r="DI922" i="1"/>
  <c r="DI923" i="1"/>
  <c r="DI924" i="1"/>
  <c r="DI925" i="1"/>
  <c r="DI927" i="1"/>
  <c r="DI928" i="1"/>
  <c r="DI929" i="1"/>
  <c r="DI930" i="1"/>
  <c r="DI931" i="1"/>
  <c r="DI932" i="1"/>
  <c r="DI933" i="1"/>
  <c r="DI935" i="1"/>
  <c r="DI936" i="1"/>
  <c r="DI937" i="1"/>
  <c r="DI938" i="1"/>
  <c r="DI939" i="1"/>
  <c r="DI940" i="1"/>
  <c r="DI941" i="1"/>
  <c r="DI943" i="1"/>
  <c r="DI944" i="1"/>
  <c r="DI945" i="1"/>
  <c r="DI947" i="1"/>
  <c r="DI948" i="1"/>
  <c r="DI950" i="1"/>
  <c r="DI951" i="1"/>
  <c r="DI952" i="1"/>
  <c r="DI953" i="1"/>
  <c r="DI954" i="1"/>
  <c r="DI955" i="1"/>
  <c r="DI956" i="1"/>
  <c r="DI957" i="1"/>
  <c r="DI958" i="1"/>
  <c r="DI960" i="1"/>
  <c r="DI961" i="1"/>
  <c r="DI962" i="1"/>
  <c r="DI963" i="1"/>
  <c r="DI964" i="1"/>
  <c r="DI965" i="1"/>
  <c r="DI966" i="1"/>
  <c r="DI967" i="1"/>
  <c r="DI969" i="1"/>
  <c r="DI970" i="1"/>
  <c r="DI971" i="1"/>
  <c r="DI972" i="1"/>
  <c r="DI973" i="1"/>
  <c r="DI974" i="1"/>
  <c r="DI975" i="1"/>
  <c r="DI977" i="1"/>
  <c r="DI978" i="1"/>
  <c r="DI979" i="1"/>
  <c r="DI980" i="1"/>
  <c r="DI981" i="1"/>
  <c r="DI983" i="1"/>
  <c r="DI985" i="1"/>
  <c r="DI986" i="1"/>
  <c r="DI987" i="1"/>
  <c r="DI989" i="1"/>
  <c r="DI990" i="1"/>
  <c r="DI991" i="1"/>
  <c r="DI992" i="1"/>
  <c r="DI993" i="1"/>
  <c r="DI994" i="1"/>
  <c r="DI996" i="1"/>
  <c r="DI997" i="1"/>
  <c r="DI998" i="1"/>
  <c r="DI999" i="1"/>
  <c r="DI1000" i="1"/>
  <c r="DI1001" i="1"/>
  <c r="DI1002" i="1"/>
  <c r="DI1003" i="1"/>
  <c r="DI1005" i="1"/>
  <c r="DI1006" i="1"/>
  <c r="DI1007" i="1"/>
  <c r="DI1008" i="1"/>
  <c r="DI1009" i="1"/>
  <c r="DI1010" i="1"/>
  <c r="DI1011" i="1"/>
  <c r="DI1013" i="1"/>
  <c r="DI1014" i="1"/>
  <c r="DI1015" i="1"/>
  <c r="DI1016" i="1"/>
  <c r="DI1017" i="1"/>
  <c r="DI1018" i="1"/>
  <c r="DI1019" i="1"/>
  <c r="DI1020" i="1"/>
  <c r="DI1021" i="1"/>
  <c r="DI1022" i="1"/>
  <c r="DI1023" i="1"/>
  <c r="DI1025" i="1"/>
  <c r="DI1026" i="1"/>
  <c r="DI1027" i="1"/>
  <c r="DI1028" i="1"/>
  <c r="DI1029" i="1"/>
  <c r="DI1030" i="1"/>
  <c r="DI1031" i="1"/>
  <c r="DI1032" i="1"/>
  <c r="DI1033" i="1"/>
  <c r="DI1035" i="1"/>
  <c r="DI1036" i="1"/>
  <c r="DI1037" i="1"/>
  <c r="DI1038" i="1"/>
  <c r="DI1039" i="1"/>
  <c r="DI1040" i="1"/>
  <c r="DI1041" i="1"/>
  <c r="DI1042" i="1"/>
  <c r="DI1043" i="1"/>
  <c r="DI1044" i="1"/>
  <c r="DI1046" i="1"/>
  <c r="DI1047" i="1"/>
  <c r="DI1048" i="1"/>
  <c r="DI1051" i="1"/>
  <c r="DI1053" i="1"/>
  <c r="DI1054" i="1"/>
  <c r="DI1055" i="1"/>
  <c r="DI1056" i="1"/>
  <c r="DI1057" i="1"/>
  <c r="DI1060" i="1"/>
  <c r="DI1061" i="1"/>
  <c r="DI1062" i="1"/>
  <c r="DI1063" i="1"/>
  <c r="DI1064" i="1"/>
  <c r="DI1066" i="1"/>
  <c r="DI1067" i="1"/>
  <c r="DI1068" i="1"/>
  <c r="DI1069" i="1"/>
  <c r="DI1070" i="1"/>
  <c r="DI1071" i="1"/>
  <c r="DI1072" i="1"/>
  <c r="DI1073" i="1"/>
  <c r="DI1075" i="1"/>
  <c r="DI1076" i="1"/>
  <c r="DI1077" i="1"/>
  <c r="DI1079" i="1"/>
  <c r="DI1080" i="1"/>
  <c r="DI1081" i="1"/>
  <c r="DI1082" i="1"/>
  <c r="DI1083" i="1"/>
  <c r="DI1084" i="1"/>
  <c r="DI1086" i="1"/>
  <c r="DI1087" i="1"/>
  <c r="DI1088" i="1"/>
  <c r="DI1089" i="1"/>
  <c r="DI1090" i="1"/>
  <c r="DI1091" i="1"/>
  <c r="DI1092" i="1"/>
  <c r="DI1093" i="1"/>
  <c r="DI1094" i="1"/>
  <c r="DI1097" i="1"/>
  <c r="DI1098" i="1"/>
  <c r="DI1099" i="1"/>
  <c r="DI1100" i="1"/>
  <c r="DI1101" i="1"/>
  <c r="DI1102" i="1"/>
  <c r="DI1103" i="1"/>
  <c r="DI1104" i="1"/>
  <c r="DI1105" i="1"/>
  <c r="DI1106" i="1"/>
  <c r="DI1108" i="1"/>
  <c r="DI1109" i="1"/>
  <c r="DI1110" i="1"/>
  <c r="DI1111" i="1"/>
  <c r="DI1112" i="1"/>
  <c r="DI1113" i="1"/>
  <c r="DI1115" i="1"/>
  <c r="DI1116" i="1"/>
  <c r="DI1117" i="1"/>
  <c r="DI1118" i="1"/>
  <c r="DI1120" i="1"/>
  <c r="DI1122" i="1"/>
  <c r="DI1123" i="1"/>
  <c r="DI1124" i="1"/>
  <c r="DI1126" i="1"/>
  <c r="DI1127" i="1"/>
  <c r="DI1128" i="1"/>
  <c r="DI1129" i="1"/>
  <c r="DI1130" i="1"/>
  <c r="DI1132" i="1"/>
  <c r="DI1133" i="1"/>
  <c r="DI1135" i="1"/>
  <c r="DI1136" i="1"/>
  <c r="DI1137" i="1"/>
  <c r="DI1138" i="1"/>
  <c r="DI1139" i="1"/>
  <c r="DI1140" i="1"/>
  <c r="DI1142" i="1"/>
  <c r="DI1143" i="1"/>
  <c r="DI1144" i="1"/>
  <c r="DI1145" i="1"/>
  <c r="DI1146" i="1"/>
  <c r="DI1147" i="1"/>
  <c r="DI1148" i="1"/>
  <c r="DI1149" i="1"/>
  <c r="DI1150" i="1"/>
  <c r="DI1152" i="1"/>
  <c r="DI1153" i="1"/>
  <c r="DI1154" i="1"/>
  <c r="DI1155" i="1"/>
  <c r="DI1157" i="1"/>
  <c r="DI1158" i="1"/>
  <c r="DI1159" i="1"/>
  <c r="DI1160" i="1"/>
  <c r="DI1161" i="1"/>
  <c r="DI1162" i="1"/>
  <c r="DI1163" i="1"/>
  <c r="DI1164" i="1"/>
  <c r="DI1165" i="1"/>
  <c r="DI1167" i="1"/>
  <c r="DI1168" i="1"/>
  <c r="DI1169" i="1"/>
  <c r="DI1170" i="1"/>
  <c r="DI1172" i="1"/>
  <c r="DI1173" i="1"/>
  <c r="DI1174" i="1"/>
  <c r="DI1175" i="1"/>
  <c r="DI1177" i="1"/>
  <c r="DI1178" i="1"/>
  <c r="DI1179" i="1"/>
  <c r="DI1180" i="1"/>
  <c r="DI1181" i="1"/>
  <c r="DI1182" i="1"/>
  <c r="DI1183" i="1"/>
  <c r="DI1185" i="1"/>
  <c r="DI1186" i="1"/>
  <c r="DI1187" i="1"/>
  <c r="DI1188" i="1"/>
  <c r="DI1189" i="1"/>
  <c r="DI1190" i="1"/>
  <c r="DI1192" i="1"/>
  <c r="DI1194" i="1"/>
  <c r="DI1195" i="1"/>
  <c r="DI1196" i="1"/>
  <c r="DI1199" i="1"/>
  <c r="DI1201" i="1"/>
  <c r="DI1202" i="1"/>
  <c r="DI1203" i="1"/>
  <c r="DI1204" i="1"/>
  <c r="DI1205" i="1"/>
  <c r="DI1206" i="1"/>
  <c r="DI1207" i="1"/>
  <c r="DI1209" i="1"/>
  <c r="DI1210" i="1"/>
  <c r="DI1211" i="1"/>
  <c r="DI1212" i="1"/>
  <c r="DI1213" i="1"/>
  <c r="DI1214" i="1"/>
  <c r="DI1215" i="1"/>
  <c r="DI1216" i="1"/>
  <c r="DI1217" i="1"/>
  <c r="DI1219" i="1"/>
  <c r="DI1220" i="1"/>
  <c r="DI1222" i="1"/>
  <c r="DI1223" i="1"/>
  <c r="DI1224" i="1"/>
  <c r="DI1225" i="1"/>
  <c r="DI1226" i="1"/>
  <c r="DI1227" i="1"/>
  <c r="DI1229" i="1"/>
  <c r="DI1230" i="1"/>
  <c r="DI1231" i="1"/>
  <c r="DI1232" i="1"/>
  <c r="DI1233" i="1"/>
  <c r="DI1234" i="1"/>
  <c r="DI1235" i="1"/>
  <c r="DI1236" i="1"/>
  <c r="DI1238" i="1"/>
  <c r="DI1240" i="1"/>
  <c r="DI1241" i="1"/>
  <c r="DI1242" i="1"/>
  <c r="DI1244" i="1"/>
  <c r="DI1245" i="1"/>
  <c r="DI1246" i="1"/>
  <c r="DI1247" i="1"/>
  <c r="DI1248" i="1"/>
  <c r="DI1250" i="1"/>
  <c r="DI1251" i="1"/>
  <c r="DI1252" i="1"/>
  <c r="DI1253" i="1"/>
  <c r="DI1254" i="1"/>
  <c r="DI1255" i="1"/>
  <c r="DI1256" i="1"/>
  <c r="DI1257" i="1"/>
  <c r="DI1258" i="1"/>
  <c r="DI1259" i="1"/>
  <c r="DI1261" i="1"/>
  <c r="DI1262" i="1"/>
  <c r="DI1263" i="1"/>
  <c r="DI1265" i="1"/>
  <c r="DI1266" i="1"/>
  <c r="DI1267" i="1"/>
  <c r="DI1268" i="1"/>
  <c r="DI1272" i="1"/>
  <c r="DI1274" i="1"/>
  <c r="DI1275" i="1"/>
  <c r="DI1276" i="1"/>
  <c r="DI1277" i="1"/>
  <c r="DI1278" i="1"/>
  <c r="DI1279" i="1"/>
  <c r="DI1280" i="1"/>
  <c r="DI1282" i="1"/>
  <c r="DI1283" i="1"/>
  <c r="DI1284" i="1"/>
  <c r="DI1285" i="1"/>
  <c r="DI1286" i="1"/>
  <c r="DI1287" i="1"/>
  <c r="DI1288" i="1"/>
  <c r="DI1289" i="1"/>
  <c r="DI1291" i="1"/>
  <c r="DI1292" i="1"/>
  <c r="DI1293" i="1"/>
  <c r="DI1294" i="1"/>
  <c r="DI1295" i="1"/>
  <c r="DI1296" i="1"/>
  <c r="DI1297" i="1"/>
  <c r="DI1298" i="1"/>
  <c r="DI1299" i="1"/>
  <c r="DI1300" i="1"/>
  <c r="DI1301" i="1"/>
  <c r="DI1303" i="1"/>
  <c r="DI1304" i="1"/>
  <c r="DI1305" i="1"/>
  <c r="DI1306" i="1"/>
  <c r="DI1307" i="1"/>
  <c r="DI1308" i="1"/>
  <c r="DI1309" i="1"/>
  <c r="DI1310" i="1"/>
  <c r="DI1311" i="1"/>
  <c r="DI1312" i="1"/>
  <c r="DI1313" i="1"/>
  <c r="DJ67" i="1"/>
  <c r="DJ68" i="1"/>
  <c r="DJ69" i="1"/>
  <c r="DJ70" i="1"/>
  <c r="DJ71" i="1"/>
  <c r="DJ72" i="1"/>
  <c r="DJ73" i="1"/>
  <c r="DJ74" i="1"/>
  <c r="DJ76" i="1"/>
  <c r="DJ77" i="1"/>
  <c r="DJ78" i="1"/>
  <c r="DJ79" i="1"/>
  <c r="DJ80" i="1"/>
  <c r="DJ81" i="1"/>
  <c r="DJ82" i="1"/>
  <c r="DJ84" i="1"/>
  <c r="DJ85" i="1"/>
  <c r="DJ86" i="1"/>
  <c r="DJ87" i="1"/>
  <c r="DJ88" i="1"/>
  <c r="DJ89" i="1"/>
  <c r="DJ90" i="1"/>
  <c r="DJ93" i="1"/>
  <c r="DJ94" i="1"/>
  <c r="DJ95" i="1"/>
  <c r="DJ96" i="1"/>
  <c r="DJ97" i="1"/>
  <c r="DJ98" i="1"/>
  <c r="DJ101" i="1"/>
  <c r="DJ103" i="1"/>
  <c r="DJ104" i="1"/>
  <c r="DJ105" i="1"/>
  <c r="DJ106" i="1"/>
  <c r="DJ107" i="1"/>
  <c r="DJ108" i="1"/>
  <c r="DJ109" i="1"/>
  <c r="DJ111" i="1"/>
  <c r="DJ112" i="1"/>
  <c r="DJ113" i="1"/>
  <c r="DJ114" i="1"/>
  <c r="DJ115" i="1"/>
  <c r="DJ116" i="1"/>
  <c r="DJ117" i="1"/>
  <c r="DJ118" i="1"/>
  <c r="DJ119" i="1"/>
  <c r="DJ120" i="1"/>
  <c r="DJ122" i="1"/>
  <c r="DJ124" i="1"/>
  <c r="DJ125" i="1"/>
  <c r="DJ126" i="1"/>
  <c r="DJ129" i="1"/>
  <c r="DJ131" i="1"/>
  <c r="DJ132" i="1"/>
  <c r="DJ133" i="1"/>
  <c r="DJ136" i="1"/>
  <c r="DJ138" i="1"/>
  <c r="DJ139" i="1"/>
  <c r="DJ140" i="1"/>
  <c r="DJ141" i="1"/>
  <c r="DJ142" i="1"/>
  <c r="DJ144" i="1"/>
  <c r="DJ145" i="1"/>
  <c r="DJ146" i="1"/>
  <c r="DJ147" i="1"/>
  <c r="DJ148" i="1"/>
  <c r="DJ149" i="1"/>
  <c r="DJ151" i="1"/>
  <c r="DJ152" i="1"/>
  <c r="DJ153" i="1"/>
  <c r="DJ154" i="1"/>
  <c r="DJ155" i="1"/>
  <c r="DJ156" i="1"/>
  <c r="DJ157" i="1"/>
  <c r="DJ158" i="1"/>
  <c r="DJ160" i="1"/>
  <c r="DJ161" i="1"/>
  <c r="DJ162" i="1"/>
  <c r="DJ163" i="1"/>
  <c r="DJ165" i="1"/>
  <c r="DJ166" i="1"/>
  <c r="DJ167" i="1"/>
  <c r="DJ168" i="1"/>
  <c r="DJ169" i="1"/>
  <c r="DJ170" i="1"/>
  <c r="DJ172" i="1"/>
  <c r="DJ173" i="1"/>
  <c r="DJ175" i="1"/>
  <c r="DJ176" i="1"/>
  <c r="DJ177" i="1"/>
  <c r="DJ178" i="1"/>
  <c r="DJ179" i="1"/>
  <c r="DJ180" i="1"/>
  <c r="DJ181" i="1"/>
  <c r="DJ182" i="1"/>
  <c r="DJ183" i="1"/>
  <c r="DJ184" i="1"/>
  <c r="DJ186" i="1"/>
  <c r="DJ187" i="1"/>
  <c r="DJ188" i="1"/>
  <c r="DJ189" i="1"/>
  <c r="DJ190" i="1"/>
  <c r="DJ191" i="1"/>
  <c r="DJ192" i="1"/>
  <c r="DJ193" i="1"/>
  <c r="DJ195" i="1"/>
  <c r="DJ196" i="1"/>
  <c r="DJ197" i="1"/>
  <c r="DJ198" i="1"/>
  <c r="DJ200" i="1"/>
  <c r="DJ201" i="1"/>
  <c r="DJ202" i="1"/>
  <c r="DJ203" i="1"/>
  <c r="DJ204" i="1"/>
  <c r="DJ205" i="1"/>
  <c r="DJ206" i="1"/>
  <c r="DJ207" i="1"/>
  <c r="DJ209" i="1"/>
  <c r="DJ210" i="1"/>
  <c r="DJ211" i="1"/>
  <c r="DJ212" i="1"/>
  <c r="DJ213" i="1"/>
  <c r="DJ214" i="1"/>
  <c r="DJ215" i="1"/>
  <c r="DJ218" i="1"/>
  <c r="DJ219" i="1"/>
  <c r="DJ220" i="1"/>
  <c r="DJ221" i="1"/>
  <c r="DJ222" i="1"/>
  <c r="DJ224" i="1"/>
  <c r="DJ225" i="1"/>
  <c r="DJ226" i="1"/>
  <c r="DJ227" i="1"/>
  <c r="DJ228" i="1"/>
  <c r="DJ229" i="1"/>
  <c r="DJ231" i="1"/>
  <c r="DJ232" i="1"/>
  <c r="DJ233" i="1"/>
  <c r="DJ234" i="1"/>
  <c r="DJ235" i="1"/>
  <c r="DJ236" i="1"/>
  <c r="DJ237" i="1"/>
  <c r="DJ238" i="1"/>
  <c r="DJ240" i="1"/>
  <c r="DJ241" i="1"/>
  <c r="DJ242" i="1"/>
  <c r="DJ243" i="1"/>
  <c r="DJ244" i="1"/>
  <c r="DJ245" i="1"/>
  <c r="DJ246" i="1"/>
  <c r="DJ247" i="1"/>
  <c r="DJ249" i="1"/>
  <c r="DJ250" i="1"/>
  <c r="DJ251" i="1"/>
  <c r="DJ252" i="1"/>
  <c r="DJ253" i="1"/>
  <c r="DJ254" i="1"/>
  <c r="DJ255" i="1"/>
  <c r="DJ256" i="1"/>
  <c r="DJ258" i="1"/>
  <c r="DJ259" i="1"/>
  <c r="DJ260" i="1"/>
  <c r="DJ261" i="1"/>
  <c r="DJ262" i="1"/>
  <c r="DJ263" i="1"/>
  <c r="DJ264" i="1"/>
  <c r="DJ265" i="1"/>
  <c r="DJ266" i="1"/>
  <c r="DJ268" i="1"/>
  <c r="DJ269" i="1"/>
  <c r="DJ270" i="1"/>
  <c r="DJ271" i="1"/>
  <c r="DJ272" i="1"/>
  <c r="DJ273" i="1"/>
  <c r="DJ274" i="1"/>
  <c r="DJ275" i="1"/>
  <c r="DJ276" i="1"/>
  <c r="DJ278" i="1"/>
  <c r="DJ279" i="1"/>
  <c r="DJ280" i="1"/>
  <c r="DJ281" i="1"/>
  <c r="DJ282" i="1"/>
  <c r="DJ283" i="1"/>
  <c r="DJ285" i="1"/>
  <c r="DJ286" i="1"/>
  <c r="DJ287" i="1"/>
  <c r="DJ288" i="1"/>
  <c r="DJ291" i="1"/>
  <c r="DJ292" i="1"/>
  <c r="DJ293" i="1"/>
  <c r="DJ294" i="1"/>
  <c r="DJ296" i="1"/>
  <c r="DJ297" i="1"/>
  <c r="DJ298" i="1"/>
  <c r="DJ299" i="1"/>
  <c r="DJ300" i="1"/>
  <c r="DJ301" i="1"/>
  <c r="DJ302" i="1"/>
  <c r="DJ303" i="1"/>
  <c r="DJ305" i="1"/>
  <c r="DJ306" i="1"/>
  <c r="DJ307" i="1"/>
  <c r="DJ308" i="1"/>
  <c r="DJ309" i="1"/>
  <c r="DJ310" i="1"/>
  <c r="DJ311" i="1"/>
  <c r="DJ312" i="1"/>
  <c r="DJ313" i="1"/>
  <c r="DJ314" i="1"/>
  <c r="DJ316" i="1"/>
  <c r="DJ317" i="1"/>
  <c r="DJ318" i="1"/>
  <c r="DJ319" i="1"/>
  <c r="DJ320" i="1"/>
  <c r="DJ321" i="1"/>
  <c r="DJ322" i="1"/>
  <c r="DJ323" i="1"/>
  <c r="DJ324" i="1"/>
  <c r="DJ325" i="1"/>
  <c r="DJ326" i="1"/>
  <c r="DJ327" i="1"/>
  <c r="DJ329" i="1"/>
  <c r="DJ330" i="1"/>
  <c r="DJ332" i="1"/>
  <c r="DJ333" i="1"/>
  <c r="DJ334" i="1"/>
  <c r="DJ335" i="1"/>
  <c r="DJ336" i="1"/>
  <c r="DJ337" i="1"/>
  <c r="DJ338" i="1"/>
  <c r="DJ340" i="1"/>
  <c r="DJ341" i="1"/>
  <c r="DJ342" i="1"/>
  <c r="DJ343" i="1"/>
  <c r="DJ344" i="1"/>
  <c r="DJ345" i="1"/>
  <c r="DJ346" i="1"/>
  <c r="DJ347" i="1"/>
  <c r="DJ348" i="1"/>
  <c r="DJ349" i="1"/>
  <c r="DJ351" i="1"/>
  <c r="DJ352" i="1"/>
  <c r="DJ353" i="1"/>
  <c r="DJ354" i="1"/>
  <c r="DJ355" i="1"/>
  <c r="DJ356" i="1"/>
  <c r="DJ358" i="1"/>
  <c r="DJ359" i="1"/>
  <c r="DJ360" i="1"/>
  <c r="DJ361" i="1"/>
  <c r="DJ362" i="1"/>
  <c r="DJ363" i="1"/>
  <c r="DJ364" i="1"/>
  <c r="DJ365" i="1"/>
  <c r="DJ367" i="1"/>
  <c r="DJ368" i="1"/>
  <c r="DJ369" i="1"/>
  <c r="DJ371" i="1"/>
  <c r="DJ372" i="1"/>
  <c r="DJ373" i="1"/>
  <c r="DJ375" i="1"/>
  <c r="DJ376" i="1"/>
  <c r="DJ378" i="1"/>
  <c r="DJ379" i="1"/>
  <c r="DJ380" i="1"/>
  <c r="DJ381" i="1"/>
  <c r="DJ382" i="1"/>
  <c r="DJ383" i="1"/>
  <c r="DJ385" i="1"/>
  <c r="DJ386" i="1"/>
  <c r="DJ387" i="1"/>
  <c r="DJ388" i="1"/>
  <c r="DJ389" i="1"/>
  <c r="DJ390" i="1"/>
  <c r="DJ391" i="1"/>
  <c r="DJ393" i="1"/>
  <c r="DJ394" i="1"/>
  <c r="DJ395" i="1"/>
  <c r="DJ396" i="1"/>
  <c r="DJ397" i="1"/>
  <c r="DJ398" i="1"/>
  <c r="DJ399" i="1"/>
  <c r="DJ400" i="1"/>
  <c r="DJ401" i="1"/>
  <c r="DJ403" i="1"/>
  <c r="DJ404" i="1"/>
  <c r="DJ405" i="1"/>
  <c r="DJ406" i="1"/>
  <c r="DJ407" i="1"/>
  <c r="DJ408" i="1"/>
  <c r="DJ409" i="1"/>
  <c r="DJ410" i="1"/>
  <c r="DJ411" i="1"/>
  <c r="DJ413" i="1"/>
  <c r="DJ414" i="1"/>
  <c r="DJ415" i="1"/>
  <c r="DJ416" i="1"/>
  <c r="DJ417" i="1"/>
  <c r="DJ418" i="1"/>
  <c r="DJ421" i="1"/>
  <c r="DJ422" i="1"/>
  <c r="DJ423" i="1"/>
  <c r="DJ424" i="1"/>
  <c r="DJ425" i="1"/>
  <c r="DJ426" i="1"/>
  <c r="DJ427" i="1"/>
  <c r="DJ428" i="1"/>
  <c r="DJ430" i="1"/>
  <c r="DJ431" i="1"/>
  <c r="DJ432" i="1"/>
  <c r="DJ433" i="1"/>
  <c r="DJ434" i="1"/>
  <c r="DJ435" i="1"/>
  <c r="DJ436" i="1"/>
  <c r="DJ438" i="1"/>
  <c r="DJ439" i="1"/>
  <c r="DJ440" i="1"/>
  <c r="DJ441" i="1"/>
  <c r="DJ442" i="1"/>
  <c r="DJ443" i="1"/>
  <c r="DJ445" i="1"/>
  <c r="DJ446" i="1"/>
  <c r="DJ447" i="1"/>
  <c r="DJ448" i="1"/>
  <c r="DJ449" i="1"/>
  <c r="DJ450" i="1"/>
  <c r="DJ451" i="1"/>
  <c r="DJ452" i="1"/>
  <c r="DJ454" i="1"/>
  <c r="DJ455" i="1"/>
  <c r="DJ456" i="1"/>
  <c r="DJ457" i="1"/>
  <c r="DJ459" i="1"/>
  <c r="DJ460" i="1"/>
  <c r="DJ461" i="1"/>
  <c r="DJ462" i="1"/>
  <c r="DJ463" i="1"/>
  <c r="DJ464" i="1"/>
  <c r="DJ465" i="1"/>
  <c r="DJ466" i="1"/>
  <c r="DJ468" i="1"/>
  <c r="DJ469" i="1"/>
  <c r="DJ470" i="1"/>
  <c r="DJ471" i="1"/>
  <c r="DJ472" i="1"/>
  <c r="DJ473" i="1"/>
  <c r="DJ474" i="1"/>
  <c r="DJ475" i="1"/>
  <c r="DJ476" i="1"/>
  <c r="DJ478" i="1"/>
  <c r="DJ479" i="1"/>
  <c r="DJ480" i="1"/>
  <c r="DJ481" i="1"/>
  <c r="DJ482" i="1"/>
  <c r="DJ483" i="1"/>
  <c r="DJ485" i="1"/>
  <c r="DJ486" i="1"/>
  <c r="DJ487" i="1"/>
  <c r="DJ488" i="1"/>
  <c r="DJ489" i="1"/>
  <c r="DJ490" i="1"/>
  <c r="DJ491" i="1"/>
  <c r="DJ492" i="1"/>
  <c r="DJ493" i="1"/>
  <c r="DJ495" i="1"/>
  <c r="DJ496" i="1"/>
  <c r="DJ497" i="1"/>
  <c r="DJ498" i="1"/>
  <c r="DJ499" i="1"/>
  <c r="DJ500" i="1"/>
  <c r="DJ502" i="1"/>
  <c r="DJ503" i="1"/>
  <c r="DJ504" i="1"/>
  <c r="DJ505" i="1"/>
  <c r="DJ506" i="1"/>
  <c r="DJ507" i="1"/>
  <c r="DJ508" i="1"/>
  <c r="DJ510" i="1"/>
  <c r="DJ511" i="1"/>
  <c r="DJ512" i="1"/>
  <c r="DJ514" i="1"/>
  <c r="DJ515" i="1"/>
  <c r="DJ516" i="1"/>
  <c r="DJ517" i="1"/>
  <c r="DJ518" i="1"/>
  <c r="DJ520" i="1"/>
  <c r="DJ521" i="1"/>
  <c r="DJ522" i="1"/>
  <c r="DJ523" i="1"/>
  <c r="DJ524" i="1"/>
  <c r="DJ525" i="1"/>
  <c r="DJ526" i="1"/>
  <c r="DJ527" i="1"/>
  <c r="DJ529" i="1"/>
  <c r="DJ530" i="1"/>
  <c r="DJ531" i="1"/>
  <c r="DJ532" i="1"/>
  <c r="DJ533" i="1"/>
  <c r="DJ534" i="1"/>
  <c r="DJ535" i="1"/>
  <c r="DJ536" i="1"/>
  <c r="DJ538" i="1"/>
  <c r="DJ539" i="1"/>
  <c r="DJ540" i="1"/>
  <c r="DJ541" i="1"/>
  <c r="DJ542" i="1"/>
  <c r="DJ543" i="1"/>
  <c r="DJ544" i="1"/>
  <c r="DJ545" i="1"/>
  <c r="DJ546" i="1"/>
  <c r="DJ548" i="1"/>
  <c r="DJ549" i="1"/>
  <c r="DJ550" i="1"/>
  <c r="DJ551" i="1"/>
  <c r="DJ552" i="1"/>
  <c r="DJ553" i="1"/>
  <c r="DJ554" i="1"/>
  <c r="DJ555" i="1"/>
  <c r="DJ557" i="1"/>
  <c r="DJ558" i="1"/>
  <c r="DJ559" i="1"/>
  <c r="DJ560" i="1"/>
  <c r="DJ561" i="1"/>
  <c r="DJ562" i="1"/>
  <c r="DJ564" i="1"/>
  <c r="DJ565" i="1"/>
  <c r="DJ566" i="1"/>
  <c r="DJ567" i="1"/>
  <c r="DJ569" i="1"/>
  <c r="DJ570" i="1"/>
  <c r="DJ572" i="1"/>
  <c r="DJ573" i="1"/>
  <c r="DJ574" i="1"/>
  <c r="DJ576" i="1"/>
  <c r="DJ577" i="1"/>
  <c r="DJ578" i="1"/>
  <c r="DJ579" i="1"/>
  <c r="DJ580" i="1"/>
  <c r="DJ581" i="1"/>
  <c r="DJ583" i="1"/>
  <c r="DJ584" i="1"/>
  <c r="DJ586" i="1"/>
  <c r="DJ587" i="1"/>
  <c r="DJ588" i="1"/>
  <c r="DJ590" i="1"/>
  <c r="DJ591" i="1"/>
  <c r="DJ592" i="1"/>
  <c r="DJ593" i="1"/>
  <c r="DJ594" i="1"/>
  <c r="DJ595" i="1"/>
  <c r="DJ596" i="1"/>
  <c r="DJ597" i="1"/>
  <c r="DJ598" i="1"/>
  <c r="DJ600" i="1"/>
  <c r="DJ601" i="1"/>
  <c r="DJ603" i="1"/>
  <c r="DJ604" i="1"/>
  <c r="DJ605" i="1"/>
  <c r="DJ607" i="1"/>
  <c r="DJ608" i="1"/>
  <c r="DJ609" i="1"/>
  <c r="DJ610" i="1"/>
  <c r="DJ611" i="1"/>
  <c r="DJ612" i="1"/>
  <c r="DJ614" i="1"/>
  <c r="DJ615" i="1"/>
  <c r="DJ616" i="1"/>
  <c r="DJ617" i="1"/>
  <c r="DJ618" i="1"/>
  <c r="DJ619" i="1"/>
  <c r="DJ620" i="1"/>
  <c r="DJ622" i="1"/>
  <c r="DJ623" i="1"/>
  <c r="DJ624" i="1"/>
  <c r="DJ625" i="1"/>
  <c r="DJ626" i="1"/>
  <c r="DJ628" i="1"/>
  <c r="DJ629" i="1"/>
  <c r="DJ630" i="1"/>
  <c r="DJ631" i="1"/>
  <c r="DJ632" i="1"/>
  <c r="DJ633" i="1"/>
  <c r="DJ634" i="1"/>
  <c r="DJ636" i="1"/>
  <c r="DJ637" i="1"/>
  <c r="DJ638" i="1"/>
  <c r="DJ639" i="1"/>
  <c r="DJ641" i="1"/>
  <c r="DJ643" i="1"/>
  <c r="DJ644" i="1"/>
  <c r="DJ645" i="1"/>
  <c r="DJ647" i="1"/>
  <c r="DJ648" i="1"/>
  <c r="DJ649" i="1"/>
  <c r="DJ650" i="1"/>
  <c r="DJ651" i="1"/>
  <c r="DJ652" i="1"/>
  <c r="DJ654" i="1"/>
  <c r="DJ655" i="1"/>
  <c r="DJ656" i="1"/>
  <c r="DJ657" i="1"/>
  <c r="DJ658" i="1"/>
  <c r="DJ659" i="1"/>
  <c r="DJ660" i="1"/>
  <c r="DJ662" i="1"/>
  <c r="DJ663" i="1"/>
  <c r="DJ665" i="1"/>
  <c r="DJ666" i="1"/>
  <c r="DJ667" i="1"/>
  <c r="DJ669" i="1"/>
  <c r="DJ670" i="1"/>
  <c r="DJ671" i="1"/>
  <c r="DJ672" i="1"/>
  <c r="DJ674" i="1"/>
  <c r="DJ675" i="1"/>
  <c r="DJ676" i="1"/>
  <c r="DJ677" i="1"/>
  <c r="DJ678" i="1"/>
  <c r="DJ679" i="1"/>
  <c r="DJ681" i="1"/>
  <c r="DJ682" i="1"/>
  <c r="DJ683" i="1"/>
  <c r="DJ684" i="1"/>
  <c r="DJ685" i="1"/>
  <c r="DJ686" i="1"/>
  <c r="DJ687" i="1"/>
  <c r="DJ688" i="1"/>
  <c r="DJ689" i="1"/>
  <c r="DJ690" i="1"/>
  <c r="DJ691" i="1"/>
  <c r="DJ693" i="1"/>
  <c r="DJ694" i="1"/>
  <c r="DJ695" i="1"/>
  <c r="DJ696" i="1"/>
  <c r="DJ698" i="1"/>
  <c r="DJ699" i="1"/>
  <c r="DJ702" i="1"/>
  <c r="DJ703" i="1"/>
  <c r="DJ704" i="1"/>
  <c r="DJ706" i="1"/>
  <c r="DJ707" i="1"/>
  <c r="DJ708" i="1"/>
  <c r="DJ709" i="1"/>
  <c r="DJ711" i="1"/>
  <c r="DJ712" i="1"/>
  <c r="DJ713" i="1"/>
  <c r="DJ714" i="1"/>
  <c r="DJ715" i="1"/>
  <c r="DJ716" i="1"/>
  <c r="DJ717" i="1"/>
  <c r="DJ718" i="1"/>
  <c r="DJ720" i="1"/>
  <c r="DJ721" i="1"/>
  <c r="DJ723" i="1"/>
  <c r="DJ724" i="1"/>
  <c r="DJ725" i="1"/>
  <c r="DJ726" i="1"/>
  <c r="DJ729" i="1"/>
  <c r="DJ731" i="1"/>
  <c r="DJ732" i="1"/>
  <c r="DJ733" i="1"/>
  <c r="DJ734" i="1"/>
  <c r="DJ735" i="1"/>
  <c r="DJ736" i="1"/>
  <c r="DJ738" i="1"/>
  <c r="DJ739" i="1"/>
  <c r="DJ740" i="1"/>
  <c r="DJ741" i="1"/>
  <c r="DJ742" i="1"/>
  <c r="DJ743" i="1"/>
  <c r="DJ744" i="1"/>
  <c r="DJ745" i="1"/>
  <c r="DJ748" i="1"/>
  <c r="DJ750" i="1"/>
  <c r="DJ751" i="1"/>
  <c r="DJ752" i="1"/>
  <c r="DJ753" i="1"/>
  <c r="DJ754" i="1"/>
  <c r="DJ755" i="1"/>
  <c r="DJ756" i="1"/>
  <c r="DJ758" i="1"/>
  <c r="DJ760" i="1"/>
  <c r="DJ761" i="1"/>
  <c r="DJ763" i="1"/>
  <c r="DJ764" i="1"/>
  <c r="DJ766" i="1"/>
  <c r="DJ767" i="1"/>
  <c r="DJ768" i="1"/>
  <c r="DJ769" i="1"/>
  <c r="DJ774" i="1"/>
  <c r="DJ775" i="1"/>
  <c r="DJ777" i="1"/>
  <c r="DJ778" i="1"/>
  <c r="DJ779" i="1"/>
  <c r="DJ780" i="1"/>
  <c r="DJ782" i="1"/>
  <c r="DJ783" i="1"/>
  <c r="DJ784" i="1"/>
  <c r="DJ785" i="1"/>
  <c r="DJ786" i="1"/>
  <c r="DJ787" i="1"/>
  <c r="DJ789" i="1"/>
  <c r="DJ790" i="1"/>
  <c r="DJ791" i="1"/>
  <c r="DJ793" i="1"/>
  <c r="DJ794" i="1"/>
  <c r="DJ795" i="1"/>
  <c r="DJ796" i="1"/>
  <c r="DJ797" i="1"/>
  <c r="DJ798" i="1"/>
  <c r="DJ800" i="1"/>
  <c r="DJ801" i="1"/>
  <c r="DJ802" i="1"/>
  <c r="DJ803" i="1"/>
  <c r="DJ804" i="1"/>
  <c r="DJ805" i="1"/>
  <c r="DJ806" i="1"/>
  <c r="DJ807" i="1"/>
  <c r="DJ808" i="1"/>
  <c r="DJ810" i="1"/>
  <c r="DJ811" i="1"/>
  <c r="DJ812" i="1"/>
  <c r="DJ813" i="1"/>
  <c r="DJ814" i="1"/>
  <c r="DJ815" i="1"/>
  <c r="DJ816" i="1"/>
  <c r="DJ818" i="1"/>
  <c r="DJ819" i="1"/>
  <c r="DJ820" i="1"/>
  <c r="DJ822" i="1"/>
  <c r="DJ823" i="1"/>
  <c r="DJ824" i="1"/>
  <c r="DJ825" i="1"/>
  <c r="DJ826" i="1"/>
  <c r="DJ827" i="1"/>
  <c r="DJ829" i="1"/>
  <c r="DJ830" i="1"/>
  <c r="DJ831" i="1"/>
  <c r="DJ832" i="1"/>
  <c r="DJ834" i="1"/>
  <c r="DJ835" i="1"/>
  <c r="DJ836" i="1"/>
  <c r="DJ838" i="1"/>
  <c r="DJ839" i="1"/>
  <c r="DJ840" i="1"/>
  <c r="DJ841" i="1"/>
  <c r="DJ842" i="1"/>
  <c r="DJ843" i="1"/>
  <c r="DJ845" i="1"/>
  <c r="DJ846" i="1"/>
  <c r="DJ847" i="1"/>
  <c r="DJ848" i="1"/>
  <c r="DJ849" i="1"/>
  <c r="DJ850" i="1"/>
  <c r="DJ852" i="1"/>
  <c r="DJ854" i="1"/>
  <c r="DJ855" i="1"/>
  <c r="DJ856" i="1"/>
  <c r="DJ857" i="1"/>
  <c r="DJ859" i="1"/>
  <c r="DJ860" i="1"/>
  <c r="DJ863" i="1"/>
  <c r="DJ864" i="1"/>
  <c r="DJ865" i="1"/>
  <c r="DJ866" i="1"/>
  <c r="DJ867" i="1"/>
  <c r="DJ868" i="1"/>
  <c r="DJ869" i="1"/>
  <c r="DJ870" i="1"/>
  <c r="DJ872" i="1"/>
  <c r="DJ873" i="1"/>
  <c r="DJ874" i="1"/>
  <c r="DJ875" i="1"/>
  <c r="DJ876" i="1"/>
  <c r="DJ877" i="1"/>
  <c r="DJ878" i="1"/>
  <c r="DJ879" i="1"/>
  <c r="DJ880" i="1"/>
  <c r="DJ881" i="1"/>
  <c r="DJ884" i="1"/>
  <c r="DJ886" i="1"/>
  <c r="DJ887" i="1"/>
  <c r="DJ888" i="1"/>
  <c r="DJ889" i="1"/>
  <c r="DJ890" i="1"/>
  <c r="DJ891" i="1"/>
  <c r="DJ892" i="1"/>
  <c r="DJ893" i="1"/>
  <c r="DJ894" i="1"/>
  <c r="DJ895" i="1"/>
  <c r="DJ897" i="1"/>
  <c r="DJ898" i="1"/>
  <c r="DJ899" i="1"/>
  <c r="DJ900" i="1"/>
  <c r="DJ901" i="1"/>
  <c r="DJ902" i="1"/>
  <c r="DJ904" i="1"/>
  <c r="DJ905" i="1"/>
  <c r="DJ906" i="1"/>
  <c r="DJ908" i="1"/>
  <c r="DJ909" i="1"/>
  <c r="DJ910" i="1"/>
  <c r="DJ911" i="1"/>
  <c r="DJ912" i="1"/>
  <c r="DJ913" i="1"/>
  <c r="DJ915" i="1"/>
  <c r="DJ916" i="1"/>
  <c r="DJ917" i="1"/>
  <c r="DJ918" i="1"/>
  <c r="DJ919" i="1"/>
  <c r="DJ921" i="1"/>
  <c r="DJ922" i="1"/>
  <c r="DJ923" i="1"/>
  <c r="DJ924" i="1"/>
  <c r="DJ925" i="1"/>
  <c r="DJ927" i="1"/>
  <c r="DJ928" i="1"/>
  <c r="DJ929" i="1"/>
  <c r="DJ930" i="1"/>
  <c r="DJ931" i="1"/>
  <c r="DJ932" i="1"/>
  <c r="DJ933" i="1"/>
  <c r="DJ935" i="1"/>
  <c r="DJ936" i="1"/>
  <c r="DJ937" i="1"/>
  <c r="DJ938" i="1"/>
  <c r="DJ939" i="1"/>
  <c r="DJ940" i="1"/>
  <c r="DJ941" i="1"/>
  <c r="DJ943" i="1"/>
  <c r="DJ944" i="1"/>
  <c r="DJ945" i="1"/>
  <c r="DJ947" i="1"/>
  <c r="DJ948" i="1"/>
  <c r="DJ950" i="1"/>
  <c r="DJ951" i="1"/>
  <c r="DJ952" i="1"/>
  <c r="DJ953" i="1"/>
  <c r="DJ954" i="1"/>
  <c r="DJ955" i="1"/>
  <c r="DJ956" i="1"/>
  <c r="DJ957" i="1"/>
  <c r="DJ958" i="1"/>
  <c r="DJ960" i="1"/>
  <c r="DJ961" i="1"/>
  <c r="DJ962" i="1"/>
  <c r="DJ963" i="1"/>
  <c r="DJ964" i="1"/>
  <c r="DJ965" i="1"/>
  <c r="DJ966" i="1"/>
  <c r="DJ967" i="1"/>
  <c r="DJ969" i="1"/>
  <c r="DJ970" i="1"/>
  <c r="DJ971" i="1"/>
  <c r="DJ972" i="1"/>
  <c r="DJ973" i="1"/>
  <c r="DJ974" i="1"/>
  <c r="DJ975" i="1"/>
  <c r="DJ977" i="1"/>
  <c r="DJ978" i="1"/>
  <c r="DJ979" i="1"/>
  <c r="DJ980" i="1"/>
  <c r="DJ981" i="1"/>
  <c r="DJ983" i="1"/>
  <c r="DJ985" i="1"/>
  <c r="DJ986" i="1"/>
  <c r="DJ987" i="1"/>
  <c r="DJ989" i="1"/>
  <c r="DJ990" i="1"/>
  <c r="DJ991" i="1"/>
  <c r="DJ992" i="1"/>
  <c r="DJ993" i="1"/>
  <c r="DJ994" i="1"/>
  <c r="DJ996" i="1"/>
  <c r="DJ997" i="1"/>
  <c r="DJ998" i="1"/>
  <c r="DJ999" i="1"/>
  <c r="DJ1000" i="1"/>
  <c r="DJ1001" i="1"/>
  <c r="DJ1002" i="1"/>
  <c r="DJ1003" i="1"/>
  <c r="DJ1005" i="1"/>
  <c r="DJ1006" i="1"/>
  <c r="DJ1007" i="1"/>
  <c r="DJ1008" i="1"/>
  <c r="DJ1009" i="1"/>
  <c r="DJ1010" i="1"/>
  <c r="DJ1011" i="1"/>
  <c r="DJ1013" i="1"/>
  <c r="DJ1014" i="1"/>
  <c r="DJ1015" i="1"/>
  <c r="DJ1016" i="1"/>
  <c r="DJ1017" i="1"/>
  <c r="DJ1018" i="1"/>
  <c r="DJ1019" i="1"/>
  <c r="DJ1020" i="1"/>
  <c r="DJ1021" i="1"/>
  <c r="DJ1022" i="1"/>
  <c r="DJ1023" i="1"/>
  <c r="DJ1025" i="1"/>
  <c r="DJ1026" i="1"/>
  <c r="DJ1027" i="1"/>
  <c r="DJ1028" i="1"/>
  <c r="DJ1029" i="1"/>
  <c r="DJ1030" i="1"/>
  <c r="DJ1031" i="1"/>
  <c r="DJ1032" i="1"/>
  <c r="DJ1033" i="1"/>
  <c r="DJ1035" i="1"/>
  <c r="DJ1036" i="1"/>
  <c r="DJ1037" i="1"/>
  <c r="DJ1038" i="1"/>
  <c r="DJ1039" i="1"/>
  <c r="DJ1040" i="1"/>
  <c r="DJ1041" i="1"/>
  <c r="DJ1042" i="1"/>
  <c r="DJ1043" i="1"/>
  <c r="DJ1044" i="1"/>
  <c r="DJ1046" i="1"/>
  <c r="DJ1047" i="1"/>
  <c r="DJ1048" i="1"/>
  <c r="DJ1051" i="1"/>
  <c r="DJ1053" i="1"/>
  <c r="DJ1054" i="1"/>
  <c r="DJ1055" i="1"/>
  <c r="DJ1056" i="1"/>
  <c r="DJ1057" i="1"/>
  <c r="DJ1059" i="1"/>
  <c r="DJ1060" i="1"/>
  <c r="DJ1061" i="1"/>
  <c r="DJ1062" i="1"/>
  <c r="DJ1063" i="1"/>
  <c r="DJ1064" i="1"/>
  <c r="DJ1066" i="1"/>
  <c r="DJ1067" i="1"/>
  <c r="DJ1068" i="1"/>
  <c r="DJ1069" i="1"/>
  <c r="DJ1070" i="1"/>
  <c r="DJ1071" i="1"/>
  <c r="DJ1072" i="1"/>
  <c r="DJ1073" i="1"/>
  <c r="DJ1075" i="1"/>
  <c r="DJ1076" i="1"/>
  <c r="DJ1077" i="1"/>
  <c r="DJ1079" i="1"/>
  <c r="DJ1080" i="1"/>
  <c r="DJ1081" i="1"/>
  <c r="DJ1082" i="1"/>
  <c r="DJ1083" i="1"/>
  <c r="DJ1084" i="1"/>
  <c r="DJ1086" i="1"/>
  <c r="DJ1087" i="1"/>
  <c r="DJ1088" i="1"/>
  <c r="DJ1089" i="1"/>
  <c r="DJ1090" i="1"/>
  <c r="DJ1091" i="1"/>
  <c r="DJ1092" i="1"/>
  <c r="DJ1093" i="1"/>
  <c r="DJ1094" i="1"/>
  <c r="DJ1097" i="1"/>
  <c r="DJ1098" i="1"/>
  <c r="DJ1099" i="1"/>
  <c r="DJ1100" i="1"/>
  <c r="DJ1101" i="1"/>
  <c r="DJ1102" i="1"/>
  <c r="DJ1103" i="1"/>
  <c r="DJ1104" i="1"/>
  <c r="DJ1105" i="1"/>
  <c r="DJ1106" i="1"/>
  <c r="DJ1108" i="1"/>
  <c r="DJ1109" i="1"/>
  <c r="DJ1110" i="1"/>
  <c r="DJ1111" i="1"/>
  <c r="DJ1112" i="1"/>
  <c r="DJ1113" i="1"/>
  <c r="DJ1115" i="1"/>
  <c r="DJ1116" i="1"/>
  <c r="DJ1117" i="1"/>
  <c r="DJ1118" i="1"/>
  <c r="DJ1120" i="1"/>
  <c r="DJ1122" i="1"/>
  <c r="DJ1123" i="1"/>
  <c r="DJ1124" i="1"/>
  <c r="DJ1126" i="1"/>
  <c r="DJ1127" i="1"/>
  <c r="DJ1128" i="1"/>
  <c r="DJ1129" i="1"/>
  <c r="DJ1130" i="1"/>
  <c r="DJ1132" i="1"/>
  <c r="DJ1133" i="1"/>
  <c r="DJ1135" i="1"/>
  <c r="DJ1136" i="1"/>
  <c r="DJ1137" i="1"/>
  <c r="DJ1138" i="1"/>
  <c r="DJ1139" i="1"/>
  <c r="DJ1140" i="1"/>
  <c r="DJ1142" i="1"/>
  <c r="DJ1143" i="1"/>
  <c r="DJ1144" i="1"/>
  <c r="DJ1145" i="1"/>
  <c r="DJ1146" i="1"/>
  <c r="DJ1147" i="1"/>
  <c r="DJ1148" i="1"/>
  <c r="DJ1149" i="1"/>
  <c r="DJ1150" i="1"/>
  <c r="DJ1152" i="1"/>
  <c r="DJ1153" i="1"/>
  <c r="DJ1154" i="1"/>
  <c r="DJ1155" i="1"/>
  <c r="DJ1157" i="1"/>
  <c r="DJ1158" i="1"/>
  <c r="DJ1159" i="1"/>
  <c r="DJ1160" i="1"/>
  <c r="DJ1161" i="1"/>
  <c r="DJ1162" i="1"/>
  <c r="DJ1163" i="1"/>
  <c r="DJ1164" i="1"/>
  <c r="DJ1165" i="1"/>
  <c r="DJ1167" i="1"/>
  <c r="DJ1168" i="1"/>
  <c r="DJ1169" i="1"/>
  <c r="DJ1170" i="1"/>
  <c r="DJ1172" i="1"/>
  <c r="DJ1173" i="1"/>
  <c r="DJ1174" i="1"/>
  <c r="DJ1175" i="1"/>
  <c r="DJ1177" i="1"/>
  <c r="DJ1178" i="1"/>
  <c r="DJ1179" i="1"/>
  <c r="DJ1180" i="1"/>
  <c r="DJ1181" i="1"/>
  <c r="DJ1182" i="1"/>
  <c r="DJ1183" i="1"/>
  <c r="DJ1185" i="1"/>
  <c r="DJ1186" i="1"/>
  <c r="DJ1187" i="1"/>
  <c r="DJ1188" i="1"/>
  <c r="DJ1189" i="1"/>
  <c r="DJ1190" i="1"/>
  <c r="DJ1192" i="1"/>
  <c r="DJ1194" i="1"/>
  <c r="DJ1195" i="1"/>
  <c r="DJ1196" i="1"/>
  <c r="DJ1199" i="1"/>
  <c r="DJ1201" i="1"/>
  <c r="DJ1202" i="1"/>
  <c r="DJ1203" i="1"/>
  <c r="DJ1204" i="1"/>
  <c r="DJ1205" i="1"/>
  <c r="DJ1206" i="1"/>
  <c r="DJ1207" i="1"/>
  <c r="DJ1209" i="1"/>
  <c r="DJ1210" i="1"/>
  <c r="DJ1211" i="1"/>
  <c r="DJ1212" i="1"/>
  <c r="DJ1213" i="1"/>
  <c r="DJ1214" i="1"/>
  <c r="DJ1215" i="1"/>
  <c r="DJ1216" i="1"/>
  <c r="DJ1217" i="1"/>
  <c r="DJ1219" i="1"/>
  <c r="DJ1220" i="1"/>
  <c r="DJ1222" i="1"/>
  <c r="DJ1223" i="1"/>
  <c r="DJ1224" i="1"/>
  <c r="DJ1225" i="1"/>
  <c r="DJ1226" i="1"/>
  <c r="DJ1227" i="1"/>
  <c r="DJ1229" i="1"/>
  <c r="DJ1230" i="1"/>
  <c r="DJ1231" i="1"/>
  <c r="DJ1232" i="1"/>
  <c r="DJ1233" i="1"/>
  <c r="DJ1234" i="1"/>
  <c r="DJ1235" i="1"/>
  <c r="DJ1236" i="1"/>
  <c r="DJ1238" i="1"/>
  <c r="DJ1240" i="1"/>
  <c r="DJ1241" i="1"/>
  <c r="DJ1242" i="1"/>
  <c r="DJ1244" i="1"/>
  <c r="DJ1245" i="1"/>
  <c r="DJ1246" i="1"/>
  <c r="DJ1247" i="1"/>
  <c r="DJ1248" i="1"/>
  <c r="DJ1250" i="1"/>
  <c r="DJ1251" i="1"/>
  <c r="DJ1252" i="1"/>
  <c r="DJ1253" i="1"/>
  <c r="DJ1254" i="1"/>
  <c r="DJ1255" i="1"/>
  <c r="DJ1256" i="1"/>
  <c r="DJ1257" i="1"/>
  <c r="DJ1258" i="1"/>
  <c r="DJ1259" i="1"/>
  <c r="DJ1261" i="1"/>
  <c r="DJ1262" i="1"/>
  <c r="DJ1263" i="1"/>
  <c r="DJ1265" i="1"/>
  <c r="DJ1266" i="1"/>
  <c r="DJ1267" i="1"/>
  <c r="DJ1268" i="1"/>
  <c r="DJ1272" i="1"/>
  <c r="DJ1274" i="1"/>
  <c r="DJ1275" i="1"/>
  <c r="DJ1276" i="1"/>
  <c r="DJ1277" i="1"/>
  <c r="DJ1278" i="1"/>
  <c r="DJ1279" i="1"/>
  <c r="DJ1280" i="1"/>
  <c r="DJ1282" i="1"/>
  <c r="DJ1283" i="1"/>
  <c r="DJ1284" i="1"/>
  <c r="DJ1285" i="1"/>
  <c r="DJ1286" i="1"/>
  <c r="DJ1287" i="1"/>
  <c r="DJ1288" i="1"/>
  <c r="DJ1289" i="1"/>
  <c r="DJ1291" i="1"/>
  <c r="DJ1292" i="1"/>
  <c r="DJ1293" i="1"/>
  <c r="DJ1294" i="1"/>
  <c r="DJ1295" i="1"/>
  <c r="DJ1296" i="1"/>
  <c r="DJ1297" i="1"/>
  <c r="DJ1298" i="1"/>
  <c r="DJ1299" i="1"/>
  <c r="DJ1300" i="1"/>
  <c r="DJ1301" i="1"/>
  <c r="DJ1303" i="1"/>
  <c r="DJ1304" i="1"/>
  <c r="DJ1305" i="1"/>
  <c r="DJ1306" i="1"/>
  <c r="DJ1307" i="1"/>
  <c r="DJ1308" i="1"/>
  <c r="DJ1309" i="1"/>
  <c r="DJ1310" i="1"/>
  <c r="DJ1311" i="1"/>
  <c r="DJ1312" i="1"/>
  <c r="DJ1313" i="1"/>
  <c r="DK67" i="1"/>
  <c r="DK68" i="1"/>
  <c r="DK69" i="1"/>
  <c r="DK70" i="1"/>
  <c r="DK71" i="1"/>
  <c r="DK72" i="1"/>
  <c r="DK73" i="1"/>
  <c r="DK74" i="1"/>
  <c r="DK76" i="1"/>
  <c r="DK77" i="1"/>
  <c r="DK78" i="1"/>
  <c r="DK79" i="1"/>
  <c r="DK80" i="1"/>
  <c r="DK81" i="1"/>
  <c r="DK82" i="1"/>
  <c r="DK84" i="1"/>
  <c r="DK85" i="1"/>
  <c r="DK86" i="1"/>
  <c r="DK87" i="1"/>
  <c r="DK88" i="1"/>
  <c r="DK89" i="1"/>
  <c r="DK90" i="1"/>
  <c r="DK92" i="1"/>
  <c r="DK93" i="1"/>
  <c r="DK94" i="1"/>
  <c r="DK95" i="1"/>
  <c r="DK96" i="1"/>
  <c r="DK97" i="1"/>
  <c r="DK98" i="1"/>
  <c r="DK101" i="1"/>
  <c r="DK103" i="1"/>
  <c r="DK104" i="1"/>
  <c r="DK105" i="1"/>
  <c r="DK106" i="1"/>
  <c r="DK107" i="1"/>
  <c r="DK108" i="1"/>
  <c r="DK109" i="1"/>
  <c r="DK111" i="1"/>
  <c r="DK112" i="1"/>
  <c r="DK113" i="1"/>
  <c r="DK114" i="1"/>
  <c r="DK115" i="1"/>
  <c r="DK116" i="1"/>
  <c r="DK117" i="1"/>
  <c r="DK118" i="1"/>
  <c r="DK119" i="1"/>
  <c r="DK120" i="1"/>
  <c r="DK122" i="1"/>
  <c r="DK124" i="1"/>
  <c r="DK125" i="1"/>
  <c r="DK126" i="1"/>
  <c r="DK129" i="1"/>
  <c r="DK131" i="1"/>
  <c r="DK132" i="1"/>
  <c r="DK133" i="1"/>
  <c r="DK136" i="1"/>
  <c r="DK138" i="1"/>
  <c r="DK139" i="1"/>
  <c r="DK140" i="1"/>
  <c r="DK141" i="1"/>
  <c r="DK142" i="1"/>
  <c r="DK144" i="1"/>
  <c r="DK145" i="1"/>
  <c r="DK146" i="1"/>
  <c r="DK147" i="1"/>
  <c r="DK148" i="1"/>
  <c r="DK149" i="1"/>
  <c r="DK151" i="1"/>
  <c r="DK152" i="1"/>
  <c r="DK153" i="1"/>
  <c r="DK154" i="1"/>
  <c r="DK155" i="1"/>
  <c r="DK156" i="1"/>
  <c r="DK157" i="1"/>
  <c r="DK158" i="1"/>
  <c r="DK160" i="1"/>
  <c r="DK161" i="1"/>
  <c r="DK162" i="1"/>
  <c r="DK163" i="1"/>
  <c r="DK165" i="1"/>
  <c r="DK166" i="1"/>
  <c r="DK167" i="1"/>
  <c r="DK168" i="1"/>
  <c r="DK169" i="1"/>
  <c r="DK170" i="1"/>
  <c r="DK172" i="1"/>
  <c r="DK173" i="1"/>
  <c r="DK175" i="1"/>
  <c r="DK176" i="1"/>
  <c r="DK177" i="1"/>
  <c r="DK178" i="1"/>
  <c r="DK179" i="1"/>
  <c r="DK180" i="1"/>
  <c r="DK181" i="1"/>
  <c r="DK182" i="1"/>
  <c r="DK183" i="1"/>
  <c r="DK184" i="1"/>
  <c r="DK186" i="1"/>
  <c r="DK187" i="1"/>
  <c r="DK188" i="1"/>
  <c r="DK189" i="1"/>
  <c r="DK190" i="1"/>
  <c r="DK191" i="1"/>
  <c r="DK192" i="1"/>
  <c r="DK193" i="1"/>
  <c r="DK195" i="1"/>
  <c r="DK196" i="1"/>
  <c r="DK197" i="1"/>
  <c r="DK198" i="1"/>
  <c r="DK200" i="1"/>
  <c r="DK201" i="1"/>
  <c r="DK202" i="1"/>
  <c r="DK203" i="1"/>
  <c r="DK204" i="1"/>
  <c r="DK205" i="1"/>
  <c r="DK206" i="1"/>
  <c r="DK207" i="1"/>
  <c r="DK209" i="1"/>
  <c r="DK210" i="1"/>
  <c r="DK211" i="1"/>
  <c r="DK212" i="1"/>
  <c r="DK213" i="1"/>
  <c r="DK214" i="1"/>
  <c r="DK215" i="1"/>
  <c r="DK217" i="1"/>
  <c r="DK218" i="1"/>
  <c r="DK219" i="1"/>
  <c r="DK220" i="1"/>
  <c r="DK221" i="1"/>
  <c r="DK222" i="1"/>
  <c r="DK224" i="1"/>
  <c r="DK225" i="1"/>
  <c r="DK226" i="1"/>
  <c r="DK227" i="1"/>
  <c r="DK228" i="1"/>
  <c r="DK229" i="1"/>
  <c r="DK231" i="1"/>
  <c r="DK232" i="1"/>
  <c r="DK233" i="1"/>
  <c r="DK234" i="1"/>
  <c r="DK235" i="1"/>
  <c r="DK236" i="1"/>
  <c r="DK237" i="1"/>
  <c r="DK238" i="1"/>
  <c r="DK240" i="1"/>
  <c r="DK241" i="1"/>
  <c r="DK242" i="1"/>
  <c r="DK243" i="1"/>
  <c r="DK244" i="1"/>
  <c r="DK245" i="1"/>
  <c r="DK246" i="1"/>
  <c r="DK247" i="1"/>
  <c r="DK249" i="1"/>
  <c r="DK250" i="1"/>
  <c r="DK251" i="1"/>
  <c r="DK252" i="1"/>
  <c r="DK253" i="1"/>
  <c r="DK254" i="1"/>
  <c r="DK255" i="1"/>
  <c r="DK256" i="1"/>
  <c r="DK258" i="1"/>
  <c r="DK259" i="1"/>
  <c r="DK260" i="1"/>
  <c r="DK261" i="1"/>
  <c r="DK262" i="1"/>
  <c r="DK263" i="1"/>
  <c r="DK264" i="1"/>
  <c r="DK265" i="1"/>
  <c r="DK266" i="1"/>
  <c r="DK269" i="1"/>
  <c r="DK270" i="1"/>
  <c r="DK271" i="1"/>
  <c r="DK272" i="1"/>
  <c r="DK273" i="1"/>
  <c r="DK274" i="1"/>
  <c r="DK275" i="1"/>
  <c r="DK276" i="1"/>
  <c r="DK278" i="1"/>
  <c r="DK279" i="1"/>
  <c r="DK280" i="1"/>
  <c r="DK281" i="1"/>
  <c r="DK282" i="1"/>
  <c r="DK283" i="1"/>
  <c r="DK285" i="1"/>
  <c r="DK286" i="1"/>
  <c r="DK287" i="1"/>
  <c r="DK288" i="1"/>
  <c r="DK291" i="1"/>
  <c r="DK292" i="1"/>
  <c r="DK293" i="1"/>
  <c r="DK294" i="1"/>
  <c r="DK297" i="1"/>
  <c r="DK298" i="1"/>
  <c r="DK299" i="1"/>
  <c r="DK300" i="1"/>
  <c r="DK301" i="1"/>
  <c r="DK302" i="1"/>
  <c r="DK303" i="1"/>
  <c r="DK305" i="1"/>
  <c r="DK306" i="1"/>
  <c r="DK307" i="1"/>
  <c r="DK308" i="1"/>
  <c r="DK309" i="1"/>
  <c r="DK310" i="1"/>
  <c r="DK311" i="1"/>
  <c r="DK312" i="1"/>
  <c r="DK313" i="1"/>
  <c r="DK314" i="1"/>
  <c r="DK316" i="1"/>
  <c r="DK317" i="1"/>
  <c r="DK318" i="1"/>
  <c r="DK319" i="1"/>
  <c r="DK320" i="1"/>
  <c r="DK321" i="1"/>
  <c r="DK322" i="1"/>
  <c r="DK323" i="1"/>
  <c r="DK324" i="1"/>
  <c r="DK325" i="1"/>
  <c r="DK326" i="1"/>
  <c r="DK327" i="1"/>
  <c r="DK329" i="1"/>
  <c r="DK330" i="1"/>
  <c r="DK332" i="1"/>
  <c r="DK333" i="1"/>
  <c r="DK334" i="1"/>
  <c r="DK335" i="1"/>
  <c r="DK336" i="1"/>
  <c r="DK337" i="1"/>
  <c r="DK338" i="1"/>
  <c r="DK340" i="1"/>
  <c r="DK341" i="1"/>
  <c r="DK342" i="1"/>
  <c r="DK343" i="1"/>
  <c r="DK344" i="1"/>
  <c r="DK345" i="1"/>
  <c r="DK346" i="1"/>
  <c r="DK347" i="1"/>
  <c r="DK348" i="1"/>
  <c r="DK349" i="1"/>
  <c r="DK351" i="1"/>
  <c r="DK352" i="1"/>
  <c r="DK353" i="1"/>
  <c r="DK354" i="1"/>
  <c r="DK355" i="1"/>
  <c r="DK356" i="1"/>
  <c r="DK358" i="1"/>
  <c r="DK359" i="1"/>
  <c r="DK360" i="1"/>
  <c r="DK361" i="1"/>
  <c r="DK362" i="1"/>
  <c r="DK363" i="1"/>
  <c r="DK364" i="1"/>
  <c r="DK365" i="1"/>
  <c r="DK367" i="1"/>
  <c r="DK368" i="1"/>
  <c r="DK369" i="1"/>
  <c r="DK371" i="1"/>
  <c r="DK372" i="1"/>
  <c r="DK373" i="1"/>
  <c r="DK375" i="1"/>
  <c r="DK376" i="1"/>
  <c r="DK378" i="1"/>
  <c r="DK379" i="1"/>
  <c r="DK380" i="1"/>
  <c r="DK381" i="1"/>
  <c r="DK382" i="1"/>
  <c r="DK383" i="1"/>
  <c r="DK385" i="1"/>
  <c r="DK386" i="1"/>
  <c r="DK387" i="1"/>
  <c r="DK388" i="1"/>
  <c r="DK389" i="1"/>
  <c r="DK390" i="1"/>
  <c r="DK391" i="1"/>
  <c r="DK393" i="1"/>
  <c r="DK394" i="1"/>
  <c r="DK395" i="1"/>
  <c r="DK396" i="1"/>
  <c r="DK397" i="1"/>
  <c r="DK398" i="1"/>
  <c r="DK399" i="1"/>
  <c r="DK400" i="1"/>
  <c r="DK401" i="1"/>
  <c r="DK403" i="1"/>
  <c r="DK404" i="1"/>
  <c r="DK405" i="1"/>
  <c r="DK406" i="1"/>
  <c r="DK407" i="1"/>
  <c r="DK408" i="1"/>
  <c r="DK409" i="1"/>
  <c r="DK410" i="1"/>
  <c r="DK411" i="1"/>
  <c r="DK413" i="1"/>
  <c r="DK414" i="1"/>
  <c r="DK415" i="1"/>
  <c r="DK416" i="1"/>
  <c r="DK417" i="1"/>
  <c r="DK418" i="1"/>
  <c r="DK421" i="1"/>
  <c r="DK422" i="1"/>
  <c r="DK423" i="1"/>
  <c r="DK424" i="1"/>
  <c r="DK425" i="1"/>
  <c r="DK426" i="1"/>
  <c r="DK427" i="1"/>
  <c r="DK428" i="1"/>
  <c r="DK431" i="1"/>
  <c r="DK432" i="1"/>
  <c r="DK433" i="1"/>
  <c r="DK434" i="1"/>
  <c r="DK435" i="1"/>
  <c r="DK436" i="1"/>
  <c r="DK438" i="1"/>
  <c r="DK439" i="1"/>
  <c r="DK440" i="1"/>
  <c r="DK441" i="1"/>
  <c r="DK442" i="1"/>
  <c r="DK443" i="1"/>
  <c r="DK445" i="1"/>
  <c r="DK446" i="1"/>
  <c r="DK447" i="1"/>
  <c r="DK448" i="1"/>
  <c r="DK449" i="1"/>
  <c r="DK450" i="1"/>
  <c r="DK451" i="1"/>
  <c r="DK452" i="1"/>
  <c r="DK454" i="1"/>
  <c r="DK455" i="1"/>
  <c r="DK456" i="1"/>
  <c r="DK457" i="1"/>
  <c r="DK459" i="1"/>
  <c r="DK460" i="1"/>
  <c r="DK461" i="1"/>
  <c r="DK462" i="1"/>
  <c r="DK463" i="1"/>
  <c r="DK464" i="1"/>
  <c r="DK465" i="1"/>
  <c r="DK466" i="1"/>
  <c r="DK468" i="1"/>
  <c r="DK469" i="1"/>
  <c r="DK470" i="1"/>
  <c r="DK471" i="1"/>
  <c r="DK472" i="1"/>
  <c r="DK473" i="1"/>
  <c r="DK474" i="1"/>
  <c r="DK475" i="1"/>
  <c r="DK476" i="1"/>
  <c r="DK478" i="1"/>
  <c r="DK479" i="1"/>
  <c r="DK480" i="1"/>
  <c r="DK481" i="1"/>
  <c r="DK482" i="1"/>
  <c r="DK483" i="1"/>
  <c r="DK485" i="1"/>
  <c r="DK486" i="1"/>
  <c r="DK487" i="1"/>
  <c r="DK488" i="1"/>
  <c r="DK489" i="1"/>
  <c r="DK490" i="1"/>
  <c r="DK491" i="1"/>
  <c r="DK492" i="1"/>
  <c r="DK493" i="1"/>
  <c r="DK495" i="1"/>
  <c r="DK496" i="1"/>
  <c r="DK497" i="1"/>
  <c r="DK498" i="1"/>
  <c r="DK499" i="1"/>
  <c r="DK500" i="1"/>
  <c r="DK502" i="1"/>
  <c r="DK503" i="1"/>
  <c r="DK504" i="1"/>
  <c r="DK505" i="1"/>
  <c r="DK506" i="1"/>
  <c r="DK507" i="1"/>
  <c r="DK508" i="1"/>
  <c r="DK510" i="1"/>
  <c r="DK511" i="1"/>
  <c r="DK512" i="1"/>
  <c r="DK514" i="1"/>
  <c r="DK515" i="1"/>
  <c r="DK516" i="1"/>
  <c r="DK517" i="1"/>
  <c r="DK518" i="1"/>
  <c r="DK520" i="1"/>
  <c r="DK521" i="1"/>
  <c r="DK522" i="1"/>
  <c r="DK523" i="1"/>
  <c r="DK524" i="1"/>
  <c r="DK525" i="1"/>
  <c r="DK526" i="1"/>
  <c r="DK527" i="1"/>
  <c r="DK529" i="1"/>
  <c r="DK530" i="1"/>
  <c r="DK531" i="1"/>
  <c r="DK532" i="1"/>
  <c r="DK533" i="1"/>
  <c r="DK534" i="1"/>
  <c r="DK535" i="1"/>
  <c r="DK536" i="1"/>
  <c r="DK538" i="1"/>
  <c r="DK539" i="1"/>
  <c r="DK540" i="1"/>
  <c r="DK541" i="1"/>
  <c r="DK542" i="1"/>
  <c r="DK543" i="1"/>
  <c r="DK544" i="1"/>
  <c r="DK545" i="1"/>
  <c r="DK546" i="1"/>
  <c r="DK548" i="1"/>
  <c r="DK549" i="1"/>
  <c r="DK550" i="1"/>
  <c r="DK551" i="1"/>
  <c r="DK552" i="1"/>
  <c r="DK553" i="1"/>
  <c r="DK554" i="1"/>
  <c r="DK555" i="1"/>
  <c r="DK557" i="1"/>
  <c r="DK558" i="1"/>
  <c r="DK559" i="1"/>
  <c r="DK560" i="1"/>
  <c r="DK561" i="1"/>
  <c r="DK562" i="1"/>
  <c r="DK564" i="1"/>
  <c r="DK565" i="1"/>
  <c r="DK566" i="1"/>
  <c r="DK567" i="1"/>
  <c r="DK569" i="1"/>
  <c r="DK570" i="1"/>
  <c r="DK572" i="1"/>
  <c r="DK573" i="1"/>
  <c r="DK574" i="1"/>
  <c r="DK577" i="1"/>
  <c r="DK578" i="1"/>
  <c r="DK579" i="1"/>
  <c r="DK580" i="1"/>
  <c r="DK581" i="1"/>
  <c r="DK583" i="1"/>
  <c r="DK584" i="1"/>
  <c r="DK586" i="1"/>
  <c r="DK587" i="1"/>
  <c r="DK588" i="1"/>
  <c r="DK590" i="1"/>
  <c r="DK591" i="1"/>
  <c r="DK592" i="1"/>
  <c r="DK593" i="1"/>
  <c r="DK594" i="1"/>
  <c r="DK595" i="1"/>
  <c r="DK596" i="1"/>
  <c r="DK597" i="1"/>
  <c r="DK598" i="1"/>
  <c r="DK600" i="1"/>
  <c r="DK601" i="1"/>
  <c r="DK603" i="1"/>
  <c r="DK604" i="1"/>
  <c r="DK605" i="1"/>
  <c r="DK607" i="1"/>
  <c r="DK608" i="1"/>
  <c r="DK609" i="1"/>
  <c r="DK610" i="1"/>
  <c r="DK611" i="1"/>
  <c r="DK612" i="1"/>
  <c r="DK614" i="1"/>
  <c r="DK615" i="1"/>
  <c r="DK616" i="1"/>
  <c r="DK617" i="1"/>
  <c r="DK618" i="1"/>
  <c r="DK619" i="1"/>
  <c r="DK620" i="1"/>
  <c r="DK622" i="1"/>
  <c r="DK623" i="1"/>
  <c r="DK624" i="1"/>
  <c r="DK625" i="1"/>
  <c r="DK626" i="1"/>
  <c r="DK628" i="1"/>
  <c r="DK629" i="1"/>
  <c r="DK630" i="1"/>
  <c r="DK631" i="1"/>
  <c r="DK632" i="1"/>
  <c r="DK633" i="1"/>
  <c r="DK634" i="1"/>
  <c r="DK636" i="1"/>
  <c r="DK637" i="1"/>
  <c r="DK638" i="1"/>
  <c r="DK639" i="1"/>
  <c r="DK641" i="1"/>
  <c r="DK643" i="1"/>
  <c r="DK644" i="1"/>
  <c r="DK645" i="1"/>
  <c r="DK647" i="1"/>
  <c r="DK648" i="1"/>
  <c r="DK649" i="1"/>
  <c r="DK650" i="1"/>
  <c r="DK651" i="1"/>
  <c r="DK652" i="1"/>
  <c r="DK654" i="1"/>
  <c r="DK655" i="1"/>
  <c r="DK656" i="1"/>
  <c r="DK657" i="1"/>
  <c r="DK658" i="1"/>
  <c r="DK659" i="1"/>
  <c r="DK660" i="1"/>
  <c r="DK662" i="1"/>
  <c r="DK663" i="1"/>
  <c r="DK665" i="1"/>
  <c r="DK666" i="1"/>
  <c r="DK667" i="1"/>
  <c r="DK669" i="1"/>
  <c r="DK670" i="1"/>
  <c r="DK671" i="1"/>
  <c r="DK672" i="1"/>
  <c r="DK674" i="1"/>
  <c r="DK675" i="1"/>
  <c r="DK676" i="1"/>
  <c r="DK677" i="1"/>
  <c r="DK678" i="1"/>
  <c r="DK679" i="1"/>
  <c r="DK681" i="1"/>
  <c r="DK682" i="1"/>
  <c r="DK683" i="1"/>
  <c r="DK684" i="1"/>
  <c r="DK685" i="1"/>
  <c r="DK686" i="1"/>
  <c r="DK687" i="1"/>
  <c r="DK688" i="1"/>
  <c r="DK689" i="1"/>
  <c r="DK690" i="1"/>
  <c r="DK691" i="1"/>
  <c r="DK693" i="1"/>
  <c r="DK694" i="1"/>
  <c r="DK695" i="1"/>
  <c r="DK696" i="1"/>
  <c r="DK698" i="1"/>
  <c r="DK699" i="1"/>
  <c r="DK702" i="1"/>
  <c r="DK703" i="1"/>
  <c r="DK704" i="1"/>
  <c r="DK706" i="1"/>
  <c r="DK707" i="1"/>
  <c r="DK708" i="1"/>
  <c r="DK709" i="1"/>
  <c r="DK711" i="1"/>
  <c r="DK712" i="1"/>
  <c r="DK713" i="1"/>
  <c r="DK714" i="1"/>
  <c r="DK715" i="1"/>
  <c r="DK716" i="1"/>
  <c r="DK717" i="1"/>
  <c r="DK718" i="1"/>
  <c r="DK720" i="1"/>
  <c r="DK721" i="1"/>
  <c r="DK723" i="1"/>
  <c r="DK724" i="1"/>
  <c r="DK725" i="1"/>
  <c r="DK726" i="1"/>
  <c r="DK729" i="1"/>
  <c r="DK731" i="1"/>
  <c r="DK732" i="1"/>
  <c r="DK733" i="1"/>
  <c r="DK734" i="1"/>
  <c r="DK735" i="1"/>
  <c r="DK736" i="1"/>
  <c r="DK738" i="1"/>
  <c r="DK739" i="1"/>
  <c r="DK740" i="1"/>
  <c r="DK741" i="1"/>
  <c r="DK742" i="1"/>
  <c r="DK743" i="1"/>
  <c r="DK744" i="1"/>
  <c r="DK745" i="1"/>
  <c r="DK748" i="1"/>
  <c r="DK750" i="1"/>
  <c r="DK751" i="1"/>
  <c r="DK752" i="1"/>
  <c r="DK753" i="1"/>
  <c r="DK754" i="1"/>
  <c r="DK755" i="1"/>
  <c r="DK756" i="1"/>
  <c r="DK758" i="1"/>
  <c r="DK760" i="1"/>
  <c r="DK761" i="1"/>
  <c r="DK763" i="1"/>
  <c r="DK764" i="1"/>
  <c r="DK766" i="1"/>
  <c r="DK767" i="1"/>
  <c r="DK768" i="1"/>
  <c r="DK769" i="1"/>
  <c r="DK774" i="1"/>
  <c r="DK775" i="1"/>
  <c r="DK777" i="1"/>
  <c r="DK778" i="1"/>
  <c r="DK779" i="1"/>
  <c r="DK780" i="1"/>
  <c r="DK782" i="1"/>
  <c r="DK783" i="1"/>
  <c r="DK784" i="1"/>
  <c r="DK785" i="1"/>
  <c r="DK786" i="1"/>
  <c r="DK787" i="1"/>
  <c r="DK789" i="1"/>
  <c r="DK790" i="1"/>
  <c r="DK791" i="1"/>
  <c r="DK793" i="1"/>
  <c r="DK794" i="1"/>
  <c r="DK795" i="1"/>
  <c r="DK796" i="1"/>
  <c r="DK797" i="1"/>
  <c r="DK798" i="1"/>
  <c r="DK800" i="1"/>
  <c r="DK801" i="1"/>
  <c r="DK802" i="1"/>
  <c r="DK803" i="1"/>
  <c r="DK804" i="1"/>
  <c r="DK805" i="1"/>
  <c r="DK806" i="1"/>
  <c r="DK807" i="1"/>
  <c r="DK808" i="1"/>
  <c r="DK810" i="1"/>
  <c r="DK811" i="1"/>
  <c r="DK812" i="1"/>
  <c r="DK813" i="1"/>
  <c r="DK814" i="1"/>
  <c r="DK815" i="1"/>
  <c r="DK816" i="1"/>
  <c r="DK818" i="1"/>
  <c r="DK819" i="1"/>
  <c r="DK820" i="1"/>
  <c r="DK822" i="1"/>
  <c r="DK823" i="1"/>
  <c r="DK824" i="1"/>
  <c r="DK825" i="1"/>
  <c r="DK826" i="1"/>
  <c r="DK827" i="1"/>
  <c r="DK829" i="1"/>
  <c r="DK830" i="1"/>
  <c r="DK831" i="1"/>
  <c r="DK832" i="1"/>
  <c r="DK834" i="1"/>
  <c r="DK835" i="1"/>
  <c r="DK836" i="1"/>
  <c r="DK838" i="1"/>
  <c r="DK839" i="1"/>
  <c r="DK840" i="1"/>
  <c r="DK841" i="1"/>
  <c r="DK842" i="1"/>
  <c r="DK843" i="1"/>
  <c r="DK845" i="1"/>
  <c r="DK846" i="1"/>
  <c r="DK847" i="1"/>
  <c r="DK848" i="1"/>
  <c r="DK849" i="1"/>
  <c r="DK850" i="1"/>
  <c r="DK852" i="1"/>
  <c r="DK854" i="1"/>
  <c r="DK855" i="1"/>
  <c r="DK856" i="1"/>
  <c r="DK857" i="1"/>
  <c r="DK859" i="1"/>
  <c r="DK860" i="1"/>
  <c r="DK863" i="1"/>
  <c r="DK864" i="1"/>
  <c r="DK865" i="1"/>
  <c r="DK866" i="1"/>
  <c r="DK867" i="1"/>
  <c r="DK868" i="1"/>
  <c r="DK869" i="1"/>
  <c r="DK870" i="1"/>
  <c r="DK872" i="1"/>
  <c r="DK873" i="1"/>
  <c r="DK874" i="1"/>
  <c r="DK875" i="1"/>
  <c r="DK876" i="1"/>
  <c r="DK877" i="1"/>
  <c r="DK878" i="1"/>
  <c r="DK879" i="1"/>
  <c r="DK880" i="1"/>
  <c r="DK881" i="1"/>
  <c r="DK884" i="1"/>
  <c r="DK886" i="1"/>
  <c r="DK887" i="1"/>
  <c r="DK888" i="1"/>
  <c r="DK889" i="1"/>
  <c r="DK890" i="1"/>
  <c r="DK891" i="1"/>
  <c r="DK892" i="1"/>
  <c r="DK893" i="1"/>
  <c r="DK894" i="1"/>
  <c r="DK895" i="1"/>
  <c r="DK897" i="1"/>
  <c r="DK898" i="1"/>
  <c r="DK899" i="1"/>
  <c r="DK900" i="1"/>
  <c r="DK901" i="1"/>
  <c r="DK902" i="1"/>
  <c r="DK904" i="1"/>
  <c r="DK905" i="1"/>
  <c r="DK906" i="1"/>
  <c r="DK908" i="1"/>
  <c r="DK909" i="1"/>
  <c r="DK910" i="1"/>
  <c r="DK911" i="1"/>
  <c r="DK912" i="1"/>
  <c r="DK913" i="1"/>
  <c r="DK915" i="1"/>
  <c r="DK916" i="1"/>
  <c r="DK917" i="1"/>
  <c r="DK918" i="1"/>
  <c r="DK919" i="1"/>
  <c r="DK921" i="1"/>
  <c r="DK922" i="1"/>
  <c r="DK923" i="1"/>
  <c r="DK924" i="1"/>
  <c r="DK925" i="1"/>
  <c r="DK927" i="1"/>
  <c r="DK928" i="1"/>
  <c r="DK929" i="1"/>
  <c r="DK930" i="1"/>
  <c r="DK931" i="1"/>
  <c r="DK932" i="1"/>
  <c r="DK933" i="1"/>
  <c r="DK935" i="1"/>
  <c r="DK936" i="1"/>
  <c r="DK937" i="1"/>
  <c r="DK938" i="1"/>
  <c r="DK939" i="1"/>
  <c r="DK940" i="1"/>
  <c r="DK941" i="1"/>
  <c r="DK943" i="1"/>
  <c r="DK944" i="1"/>
  <c r="DK945" i="1"/>
  <c r="DK947" i="1"/>
  <c r="DK948" i="1"/>
  <c r="DK950" i="1"/>
  <c r="DK951" i="1"/>
  <c r="DK952" i="1"/>
  <c r="DK953" i="1"/>
  <c r="DK954" i="1"/>
  <c r="DK955" i="1"/>
  <c r="DK956" i="1"/>
  <c r="DK957" i="1"/>
  <c r="DK958" i="1"/>
  <c r="DK960" i="1"/>
  <c r="DK961" i="1"/>
  <c r="DK962" i="1"/>
  <c r="DK963" i="1"/>
  <c r="DK964" i="1"/>
  <c r="DK965" i="1"/>
  <c r="DK966" i="1"/>
  <c r="DK967" i="1"/>
  <c r="DK969" i="1"/>
  <c r="DK970" i="1"/>
  <c r="DK971" i="1"/>
  <c r="DK972" i="1"/>
  <c r="DK973" i="1"/>
  <c r="DK974" i="1"/>
  <c r="DK975" i="1"/>
  <c r="DK977" i="1"/>
  <c r="DK978" i="1"/>
  <c r="DK979" i="1"/>
  <c r="DK980" i="1"/>
  <c r="DK981" i="1"/>
  <c r="DK983" i="1"/>
  <c r="DK985" i="1"/>
  <c r="DK986" i="1"/>
  <c r="DK987" i="1"/>
  <c r="DK989" i="1"/>
  <c r="DK990" i="1"/>
  <c r="DK991" i="1"/>
  <c r="DK992" i="1"/>
  <c r="DK993" i="1"/>
  <c r="DK994" i="1"/>
  <c r="DK996" i="1"/>
  <c r="DK997" i="1"/>
  <c r="DK998" i="1"/>
  <c r="DK999" i="1"/>
  <c r="DK1000" i="1"/>
  <c r="DK1001" i="1"/>
  <c r="DK1002" i="1"/>
  <c r="DK1003" i="1"/>
  <c r="DK1005" i="1"/>
  <c r="DK1006" i="1"/>
  <c r="DK1007" i="1"/>
  <c r="DK1008" i="1"/>
  <c r="DK1009" i="1"/>
  <c r="DK1010" i="1"/>
  <c r="DK1011" i="1"/>
  <c r="DK1013" i="1"/>
  <c r="DK1014" i="1"/>
  <c r="DK1015" i="1"/>
  <c r="DK1016" i="1"/>
  <c r="DK1017" i="1"/>
  <c r="DK1018" i="1"/>
  <c r="DK1019" i="1"/>
  <c r="DK1020" i="1"/>
  <c r="DK1021" i="1"/>
  <c r="DK1022" i="1"/>
  <c r="DK1023" i="1"/>
  <c r="DK1026" i="1"/>
  <c r="DK1027" i="1"/>
  <c r="DK1028" i="1"/>
  <c r="DK1029" i="1"/>
  <c r="DK1030" i="1"/>
  <c r="DK1031" i="1"/>
  <c r="DK1032" i="1"/>
  <c r="DK1033" i="1"/>
  <c r="DK1035" i="1"/>
  <c r="DK1036" i="1"/>
  <c r="DK1037" i="1"/>
  <c r="DK1038" i="1"/>
  <c r="DK1039" i="1"/>
  <c r="DK1040" i="1"/>
  <c r="DK1041" i="1"/>
  <c r="DK1042" i="1"/>
  <c r="DK1043" i="1"/>
  <c r="DK1044" i="1"/>
  <c r="DK1046" i="1"/>
  <c r="DK1047" i="1"/>
  <c r="DK1048" i="1"/>
  <c r="DK1051" i="1"/>
  <c r="DK1053" i="1"/>
  <c r="DK1054" i="1"/>
  <c r="DK1055" i="1"/>
  <c r="DK1056" i="1"/>
  <c r="DK1057" i="1"/>
  <c r="DK1059" i="1"/>
  <c r="DK1060" i="1"/>
  <c r="DK1061" i="1"/>
  <c r="DK1062" i="1"/>
  <c r="DK1063" i="1"/>
  <c r="DK1064" i="1"/>
  <c r="DK1066" i="1"/>
  <c r="DK1067" i="1"/>
  <c r="DK1068" i="1"/>
  <c r="DK1069" i="1"/>
  <c r="DK1070" i="1"/>
  <c r="DK1071" i="1"/>
  <c r="DK1072" i="1"/>
  <c r="DK1073" i="1"/>
  <c r="DK1075" i="1"/>
  <c r="DK1076" i="1"/>
  <c r="DK1077" i="1"/>
  <c r="DK1079" i="1"/>
  <c r="DK1080" i="1"/>
  <c r="DK1081" i="1"/>
  <c r="DK1082" i="1"/>
  <c r="DK1083" i="1"/>
  <c r="DK1084" i="1"/>
  <c r="DK1086" i="1"/>
  <c r="DK1087" i="1"/>
  <c r="DK1088" i="1"/>
  <c r="DK1089" i="1"/>
  <c r="DK1090" i="1"/>
  <c r="DK1091" i="1"/>
  <c r="DK1092" i="1"/>
  <c r="DK1093" i="1"/>
  <c r="DK1094" i="1"/>
  <c r="DK1096" i="1"/>
  <c r="DK1097" i="1"/>
  <c r="DK1098" i="1"/>
  <c r="DK1099" i="1"/>
  <c r="DK1100" i="1"/>
  <c r="DK1101" i="1"/>
  <c r="DK1102" i="1"/>
  <c r="DK1103" i="1"/>
  <c r="DK1104" i="1"/>
  <c r="DK1105" i="1"/>
  <c r="DK1106" i="1"/>
  <c r="DK1108" i="1"/>
  <c r="DK1109" i="1"/>
  <c r="DK1110" i="1"/>
  <c r="DK1111" i="1"/>
  <c r="DK1112" i="1"/>
  <c r="DK1113" i="1"/>
  <c r="DK1115" i="1"/>
  <c r="DK1116" i="1"/>
  <c r="DK1117" i="1"/>
  <c r="DK1118" i="1"/>
  <c r="DK1120" i="1"/>
  <c r="DK1122" i="1"/>
  <c r="DK1123" i="1"/>
  <c r="DK1124" i="1"/>
  <c r="DK1126" i="1"/>
  <c r="DK1127" i="1"/>
  <c r="DK1128" i="1"/>
  <c r="DK1129" i="1"/>
  <c r="DK1130" i="1"/>
  <c r="DK1132" i="1"/>
  <c r="DK1133" i="1"/>
  <c r="DK1135" i="1"/>
  <c r="DK1136" i="1"/>
  <c r="DK1137" i="1"/>
  <c r="DK1138" i="1"/>
  <c r="DK1139" i="1"/>
  <c r="DK1140" i="1"/>
  <c r="DK1142" i="1"/>
  <c r="DK1143" i="1"/>
  <c r="DK1144" i="1"/>
  <c r="DK1145" i="1"/>
  <c r="DK1146" i="1"/>
  <c r="DK1147" i="1"/>
  <c r="DK1148" i="1"/>
  <c r="DK1149" i="1"/>
  <c r="DK1150" i="1"/>
  <c r="DK1152" i="1"/>
  <c r="DK1153" i="1"/>
  <c r="DK1154" i="1"/>
  <c r="DK1155" i="1"/>
  <c r="DK1157" i="1"/>
  <c r="DK1158" i="1"/>
  <c r="DK1159" i="1"/>
  <c r="DK1160" i="1"/>
  <c r="DK1161" i="1"/>
  <c r="DK1162" i="1"/>
  <c r="DK1163" i="1"/>
  <c r="DK1164" i="1"/>
  <c r="DK1165" i="1"/>
  <c r="DK1167" i="1"/>
  <c r="DK1168" i="1"/>
  <c r="DK1169" i="1"/>
  <c r="DK1170" i="1"/>
  <c r="DK1172" i="1"/>
  <c r="DK1173" i="1"/>
  <c r="DK1174" i="1"/>
  <c r="DK1175" i="1"/>
  <c r="DK1177" i="1"/>
  <c r="DK1178" i="1"/>
  <c r="DK1179" i="1"/>
  <c r="DK1180" i="1"/>
  <c r="DK1181" i="1"/>
  <c r="DK1182" i="1"/>
  <c r="DK1183" i="1"/>
  <c r="DK1185" i="1"/>
  <c r="DK1186" i="1"/>
  <c r="DK1187" i="1"/>
  <c r="DK1188" i="1"/>
  <c r="DK1189" i="1"/>
  <c r="DK1190" i="1"/>
  <c r="DK1192" i="1"/>
  <c r="DK1194" i="1"/>
  <c r="DK1195" i="1"/>
  <c r="DK1196" i="1"/>
  <c r="DK1199" i="1"/>
  <c r="DK1201" i="1"/>
  <c r="DK1202" i="1"/>
  <c r="DK1203" i="1"/>
  <c r="DK1204" i="1"/>
  <c r="DK1205" i="1"/>
  <c r="DK1206" i="1"/>
  <c r="DK1207" i="1"/>
  <c r="DK1208" i="1"/>
  <c r="DK1209" i="1"/>
  <c r="DK1210" i="1"/>
  <c r="DK1211" i="1"/>
  <c r="DK1212" i="1"/>
  <c r="DK1213" i="1"/>
  <c r="DK1214" i="1"/>
  <c r="DK1215" i="1"/>
  <c r="DK1216" i="1"/>
  <c r="DK1217" i="1"/>
  <c r="DK1219" i="1"/>
  <c r="DK1220" i="1"/>
  <c r="DK1222" i="1"/>
  <c r="DK1223" i="1"/>
  <c r="DK1224" i="1"/>
  <c r="DK1225" i="1"/>
  <c r="DK1226" i="1"/>
  <c r="DK1227" i="1"/>
  <c r="DK1229" i="1"/>
  <c r="DK1230" i="1"/>
  <c r="DK1231" i="1"/>
  <c r="DK1232" i="1"/>
  <c r="DK1233" i="1"/>
  <c r="DK1234" i="1"/>
  <c r="DK1235" i="1"/>
  <c r="DK1236" i="1"/>
  <c r="DK1238" i="1"/>
  <c r="DK1240" i="1"/>
  <c r="DK1241" i="1"/>
  <c r="DK1242" i="1"/>
  <c r="DK1244" i="1"/>
  <c r="DK1245" i="1"/>
  <c r="DK1246" i="1"/>
  <c r="DK1247" i="1"/>
  <c r="DK1248" i="1"/>
  <c r="DK1250" i="1"/>
  <c r="DK1251" i="1"/>
  <c r="DK1252" i="1"/>
  <c r="DK1253" i="1"/>
  <c r="DK1254" i="1"/>
  <c r="DK1255" i="1"/>
  <c r="DK1256" i="1"/>
  <c r="DK1257" i="1"/>
  <c r="DK1258" i="1"/>
  <c r="DK1259" i="1"/>
  <c r="DK1261" i="1"/>
  <c r="DK1262" i="1"/>
  <c r="DK1263" i="1"/>
  <c r="DK1265" i="1"/>
  <c r="DK1266" i="1"/>
  <c r="DK1267" i="1"/>
  <c r="DK1268" i="1"/>
  <c r="DK1272" i="1"/>
  <c r="DK1274" i="1"/>
  <c r="DK1275" i="1"/>
  <c r="DK1276" i="1"/>
  <c r="DK1277" i="1"/>
  <c r="DK1278" i="1"/>
  <c r="DK1279" i="1"/>
  <c r="DK1280" i="1"/>
  <c r="DK1282" i="1"/>
  <c r="DK1283" i="1"/>
  <c r="DK1284" i="1"/>
  <c r="DK1285" i="1"/>
  <c r="DK1286" i="1"/>
  <c r="DK1287" i="1"/>
  <c r="DK1288" i="1"/>
  <c r="DK1289" i="1"/>
  <c r="DK1291" i="1"/>
  <c r="DK1292" i="1"/>
  <c r="DK1293" i="1"/>
  <c r="DK1294" i="1"/>
  <c r="DK1295" i="1"/>
  <c r="DK1296" i="1"/>
  <c r="DK1297" i="1"/>
  <c r="DK1298" i="1"/>
  <c r="DK1299" i="1"/>
  <c r="DK1300" i="1"/>
  <c r="DK1301" i="1"/>
  <c r="DK1303" i="1"/>
  <c r="DK1304" i="1"/>
  <c r="DK1305" i="1"/>
  <c r="DK1306" i="1"/>
  <c r="DK1307" i="1"/>
  <c r="DK1308" i="1"/>
  <c r="DK1309" i="1"/>
  <c r="DK1310" i="1"/>
  <c r="DK1311" i="1"/>
  <c r="DK1312" i="1"/>
  <c r="DK1313" i="1"/>
  <c r="DL67" i="1"/>
  <c r="DL68" i="1"/>
  <c r="DL69" i="1"/>
  <c r="DL70" i="1"/>
  <c r="DL71" i="1"/>
  <c r="DL72" i="1"/>
  <c r="DL73" i="1"/>
  <c r="DL74" i="1"/>
  <c r="DL76" i="1"/>
  <c r="DL77" i="1"/>
  <c r="DL78" i="1"/>
  <c r="DL79" i="1"/>
  <c r="DL80" i="1"/>
  <c r="DL81" i="1"/>
  <c r="DL82" i="1"/>
  <c r="DL84" i="1"/>
  <c r="DL85" i="1"/>
  <c r="DL86" i="1"/>
  <c r="DL87" i="1"/>
  <c r="DL88" i="1"/>
  <c r="DL89" i="1"/>
  <c r="DL90" i="1"/>
  <c r="DL92" i="1"/>
  <c r="DL93" i="1"/>
  <c r="DL94" i="1"/>
  <c r="DL95" i="1"/>
  <c r="DL96" i="1"/>
  <c r="DL97" i="1"/>
  <c r="DL98" i="1"/>
  <c r="DL101" i="1"/>
  <c r="DL103" i="1"/>
  <c r="DL104" i="1"/>
  <c r="DL105" i="1"/>
  <c r="DL106" i="1"/>
  <c r="DL107" i="1"/>
  <c r="DL108" i="1"/>
  <c r="DL109" i="1"/>
  <c r="DL111" i="1"/>
  <c r="DL112" i="1"/>
  <c r="DL113" i="1"/>
  <c r="DL114" i="1"/>
  <c r="DL115" i="1"/>
  <c r="DL116" i="1"/>
  <c r="DL117" i="1"/>
  <c r="DL118" i="1"/>
  <c r="DL119" i="1"/>
  <c r="DL120" i="1"/>
  <c r="DL122" i="1"/>
  <c r="DL124" i="1"/>
  <c r="DL125" i="1"/>
  <c r="DL126" i="1"/>
  <c r="DL129" i="1"/>
  <c r="DL131" i="1"/>
  <c r="DL132" i="1"/>
  <c r="DL133" i="1"/>
  <c r="DL136" i="1"/>
  <c r="DL138" i="1"/>
  <c r="DL139" i="1"/>
  <c r="DL140" i="1"/>
  <c r="DL141" i="1"/>
  <c r="DL142" i="1"/>
  <c r="DL144" i="1"/>
  <c r="DL145" i="1"/>
  <c r="DL146" i="1"/>
  <c r="DL147" i="1"/>
  <c r="DL148" i="1"/>
  <c r="DL149" i="1"/>
  <c r="DL151" i="1"/>
  <c r="DL152" i="1"/>
  <c r="DL153" i="1"/>
  <c r="DL154" i="1"/>
  <c r="DL155" i="1"/>
  <c r="DL156" i="1"/>
  <c r="DL157" i="1"/>
  <c r="DL158" i="1"/>
  <c r="DL160" i="1"/>
  <c r="DL161" i="1"/>
  <c r="DL162" i="1"/>
  <c r="DL163" i="1"/>
  <c r="DL165" i="1"/>
  <c r="DL166" i="1"/>
  <c r="DL167" i="1"/>
  <c r="DL168" i="1"/>
  <c r="DL169" i="1"/>
  <c r="DL170" i="1"/>
  <c r="DL172" i="1"/>
  <c r="DL173" i="1"/>
  <c r="DL176" i="1"/>
  <c r="DL177" i="1"/>
  <c r="DL178" i="1"/>
  <c r="DL179" i="1"/>
  <c r="DL180" i="1"/>
  <c r="DL181" i="1"/>
  <c r="DL182" i="1"/>
  <c r="DL183" i="1"/>
  <c r="DL184" i="1"/>
  <c r="DL186" i="1"/>
  <c r="DL187" i="1"/>
  <c r="DL188" i="1"/>
  <c r="DL189" i="1"/>
  <c r="DL190" i="1"/>
  <c r="DL191" i="1"/>
  <c r="DL192" i="1"/>
  <c r="DL193" i="1"/>
  <c r="DL195" i="1"/>
  <c r="DL196" i="1"/>
  <c r="DL197" i="1"/>
  <c r="DL198" i="1"/>
  <c r="DL200" i="1"/>
  <c r="DL201" i="1"/>
  <c r="DL202" i="1"/>
  <c r="DL203" i="1"/>
  <c r="DL204" i="1"/>
  <c r="DL205" i="1"/>
  <c r="DL206" i="1"/>
  <c r="DL207" i="1"/>
  <c r="DL209" i="1"/>
  <c r="DL210" i="1"/>
  <c r="DL211" i="1"/>
  <c r="DL212" i="1"/>
  <c r="DL213" i="1"/>
  <c r="DL214" i="1"/>
  <c r="DL215" i="1"/>
  <c r="DL218" i="1"/>
  <c r="DL219" i="1"/>
  <c r="DL220" i="1"/>
  <c r="DL221" i="1"/>
  <c r="DL222" i="1"/>
  <c r="DL224" i="1"/>
  <c r="DL225" i="1"/>
  <c r="DL226" i="1"/>
  <c r="DL227" i="1"/>
  <c r="DL228" i="1"/>
  <c r="DL229" i="1"/>
  <c r="DL231" i="1"/>
  <c r="DL232" i="1"/>
  <c r="DL233" i="1"/>
  <c r="DL234" i="1"/>
  <c r="DL235" i="1"/>
  <c r="DL236" i="1"/>
  <c r="DL237" i="1"/>
  <c r="DL238" i="1"/>
  <c r="DL240" i="1"/>
  <c r="DL241" i="1"/>
  <c r="DL242" i="1"/>
  <c r="DL243" i="1"/>
  <c r="DL244" i="1"/>
  <c r="DL245" i="1"/>
  <c r="DL246" i="1"/>
  <c r="DL247" i="1"/>
  <c r="DL249" i="1"/>
  <c r="DL250" i="1"/>
  <c r="DL251" i="1"/>
  <c r="DL252" i="1"/>
  <c r="DL253" i="1"/>
  <c r="DL254" i="1"/>
  <c r="DL255" i="1"/>
  <c r="DL256" i="1"/>
  <c r="DL258" i="1"/>
  <c r="DL259" i="1"/>
  <c r="DL260" i="1"/>
  <c r="DL261" i="1"/>
  <c r="DL262" i="1"/>
  <c r="DL263" i="1"/>
  <c r="DL264" i="1"/>
  <c r="DL265" i="1"/>
  <c r="DL266" i="1"/>
  <c r="DL268" i="1"/>
  <c r="DL269" i="1"/>
  <c r="DL270" i="1"/>
  <c r="DL271" i="1"/>
  <c r="DL272" i="1"/>
  <c r="DL273" i="1"/>
  <c r="DL274" i="1"/>
  <c r="DL275" i="1"/>
  <c r="DL276" i="1"/>
  <c r="DL278" i="1"/>
  <c r="DL279" i="1"/>
  <c r="DL280" i="1"/>
  <c r="DL281" i="1"/>
  <c r="DL282" i="1"/>
  <c r="DL283" i="1"/>
  <c r="DL285" i="1"/>
  <c r="DL286" i="1"/>
  <c r="DL287" i="1"/>
  <c r="DL288" i="1"/>
  <c r="DL291" i="1"/>
  <c r="DL292" i="1"/>
  <c r="DL293" i="1"/>
  <c r="DL294" i="1"/>
  <c r="DL296" i="1"/>
  <c r="DL297" i="1"/>
  <c r="DL298" i="1"/>
  <c r="DL299" i="1"/>
  <c r="DL300" i="1"/>
  <c r="DL301" i="1"/>
  <c r="DL302" i="1"/>
  <c r="DL303" i="1"/>
  <c r="DL305" i="1"/>
  <c r="DL306" i="1"/>
  <c r="DL307" i="1"/>
  <c r="DL308" i="1"/>
  <c r="DL309" i="1"/>
  <c r="DL310" i="1"/>
  <c r="DL311" i="1"/>
  <c r="DL312" i="1"/>
  <c r="DL313" i="1"/>
  <c r="DL314" i="1"/>
  <c r="DL316" i="1"/>
  <c r="DL317" i="1"/>
  <c r="DL318" i="1"/>
  <c r="DL319" i="1"/>
  <c r="DL320" i="1"/>
  <c r="DL321" i="1"/>
  <c r="DL322" i="1"/>
  <c r="DL323" i="1"/>
  <c r="DL324" i="1"/>
  <c r="DL325" i="1"/>
  <c r="DL326" i="1"/>
  <c r="DL327" i="1"/>
  <c r="DL329" i="1"/>
  <c r="DL330" i="1"/>
  <c r="DL332" i="1"/>
  <c r="DL333" i="1"/>
  <c r="DL334" i="1"/>
  <c r="DL335" i="1"/>
  <c r="DL336" i="1"/>
  <c r="DL337" i="1"/>
  <c r="DL338" i="1"/>
  <c r="DL340" i="1"/>
  <c r="DL341" i="1"/>
  <c r="DL342" i="1"/>
  <c r="DL343" i="1"/>
  <c r="DL344" i="1"/>
  <c r="DL345" i="1"/>
  <c r="DL346" i="1"/>
  <c r="DL347" i="1"/>
  <c r="DL348" i="1"/>
  <c r="DL349" i="1"/>
  <c r="DL351" i="1"/>
  <c r="DL352" i="1"/>
  <c r="DL353" i="1"/>
  <c r="DL354" i="1"/>
  <c r="DL355" i="1"/>
  <c r="DL356" i="1"/>
  <c r="DL358" i="1"/>
  <c r="DL359" i="1"/>
  <c r="DL360" i="1"/>
  <c r="DL361" i="1"/>
  <c r="DL362" i="1"/>
  <c r="DL363" i="1"/>
  <c r="DL364" i="1"/>
  <c r="DL365" i="1"/>
  <c r="DL367" i="1"/>
  <c r="DL368" i="1"/>
  <c r="DL369" i="1"/>
  <c r="DL371" i="1"/>
  <c r="DL372" i="1"/>
  <c r="DL373" i="1"/>
  <c r="DL375" i="1"/>
  <c r="DL376" i="1"/>
  <c r="DL378" i="1"/>
  <c r="DL379" i="1"/>
  <c r="DL380" i="1"/>
  <c r="DL381" i="1"/>
  <c r="DL382" i="1"/>
  <c r="DL383" i="1"/>
  <c r="DL385" i="1"/>
  <c r="DL386" i="1"/>
  <c r="DL387" i="1"/>
  <c r="DL388" i="1"/>
  <c r="DL389" i="1"/>
  <c r="DL390" i="1"/>
  <c r="DL391" i="1"/>
  <c r="DL393" i="1"/>
  <c r="DL394" i="1"/>
  <c r="DL395" i="1"/>
  <c r="DL396" i="1"/>
  <c r="DL397" i="1"/>
  <c r="DL398" i="1"/>
  <c r="DL399" i="1"/>
  <c r="DL400" i="1"/>
  <c r="DL401" i="1"/>
  <c r="DL403" i="1"/>
  <c r="DL404" i="1"/>
  <c r="DL405" i="1"/>
  <c r="DL406" i="1"/>
  <c r="DL407" i="1"/>
  <c r="DL408" i="1"/>
  <c r="DL409" i="1"/>
  <c r="DL410" i="1"/>
  <c r="DL411" i="1"/>
  <c r="DL413" i="1"/>
  <c r="DL414" i="1"/>
  <c r="DL415" i="1"/>
  <c r="DL416" i="1"/>
  <c r="DL417" i="1"/>
  <c r="DL418" i="1"/>
  <c r="DL421" i="1"/>
  <c r="DL422" i="1"/>
  <c r="DL423" i="1"/>
  <c r="DL424" i="1"/>
  <c r="DL425" i="1"/>
  <c r="DL426" i="1"/>
  <c r="DL427" i="1"/>
  <c r="DL428" i="1"/>
  <c r="DL430" i="1"/>
  <c r="DL431" i="1"/>
  <c r="DL432" i="1"/>
  <c r="DL433" i="1"/>
  <c r="DL434" i="1"/>
  <c r="DL435" i="1"/>
  <c r="DL436" i="1"/>
  <c r="DL438" i="1"/>
  <c r="DL439" i="1"/>
  <c r="DL440" i="1"/>
  <c r="DL441" i="1"/>
  <c r="DL442" i="1"/>
  <c r="DL443" i="1"/>
  <c r="DL445" i="1"/>
  <c r="DL446" i="1"/>
  <c r="DL447" i="1"/>
  <c r="DL448" i="1"/>
  <c r="DL449" i="1"/>
  <c r="DL450" i="1"/>
  <c r="DL451" i="1"/>
  <c r="DL452" i="1"/>
  <c r="DL454" i="1"/>
  <c r="DL455" i="1"/>
  <c r="DL456" i="1"/>
  <c r="DL457" i="1"/>
  <c r="DL459" i="1"/>
  <c r="DL460" i="1"/>
  <c r="DL461" i="1"/>
  <c r="DL462" i="1"/>
  <c r="DL463" i="1"/>
  <c r="DL464" i="1"/>
  <c r="DL465" i="1"/>
  <c r="DL466" i="1"/>
  <c r="DL468" i="1"/>
  <c r="DL469" i="1"/>
  <c r="DL470" i="1"/>
  <c r="DL471" i="1"/>
  <c r="DL472" i="1"/>
  <c r="DL473" i="1"/>
  <c r="DL474" i="1"/>
  <c r="DL475" i="1"/>
  <c r="DL476" i="1"/>
  <c r="DL478" i="1"/>
  <c r="DL479" i="1"/>
  <c r="DL480" i="1"/>
  <c r="DL481" i="1"/>
  <c r="DL482" i="1"/>
  <c r="DL483" i="1"/>
  <c r="DL485" i="1"/>
  <c r="DL486" i="1"/>
  <c r="DL487" i="1"/>
  <c r="DL488" i="1"/>
  <c r="DL489" i="1"/>
  <c r="DL490" i="1"/>
  <c r="DL491" i="1"/>
  <c r="DL492" i="1"/>
  <c r="DL493" i="1"/>
  <c r="DL495" i="1"/>
  <c r="DL496" i="1"/>
  <c r="DL497" i="1"/>
  <c r="DL498" i="1"/>
  <c r="DL499" i="1"/>
  <c r="DL500" i="1"/>
  <c r="DL502" i="1"/>
  <c r="DL503" i="1"/>
  <c r="DL504" i="1"/>
  <c r="DL505" i="1"/>
  <c r="DL506" i="1"/>
  <c r="DL507" i="1"/>
  <c r="DL508" i="1"/>
  <c r="DL510" i="1"/>
  <c r="DL511" i="1"/>
  <c r="DL512" i="1"/>
  <c r="DL514" i="1"/>
  <c r="DL515" i="1"/>
  <c r="DL516" i="1"/>
  <c r="DL517" i="1"/>
  <c r="DL518" i="1"/>
  <c r="DL520" i="1"/>
  <c r="DL521" i="1"/>
  <c r="DL522" i="1"/>
  <c r="DL523" i="1"/>
  <c r="DL524" i="1"/>
  <c r="DL525" i="1"/>
  <c r="DL526" i="1"/>
  <c r="DL527" i="1"/>
  <c r="DL529" i="1"/>
  <c r="DL530" i="1"/>
  <c r="DL531" i="1"/>
  <c r="DL532" i="1"/>
  <c r="DL533" i="1"/>
  <c r="DL534" i="1"/>
  <c r="DL535" i="1"/>
  <c r="DL536" i="1"/>
  <c r="DL539" i="1"/>
  <c r="DL540" i="1"/>
  <c r="DL541" i="1"/>
  <c r="DL542" i="1"/>
  <c r="DL543" i="1"/>
  <c r="DL544" i="1"/>
  <c r="DL545" i="1"/>
  <c r="DL546" i="1"/>
  <c r="DL548" i="1"/>
  <c r="DL549" i="1"/>
  <c r="DL550" i="1"/>
  <c r="DL551" i="1"/>
  <c r="DL552" i="1"/>
  <c r="DL553" i="1"/>
  <c r="DL554" i="1"/>
  <c r="DL555" i="1"/>
  <c r="DL557" i="1"/>
  <c r="DL558" i="1"/>
  <c r="DL559" i="1"/>
  <c r="DL560" i="1"/>
  <c r="DL561" i="1"/>
  <c r="DL562" i="1"/>
  <c r="DL564" i="1"/>
  <c r="DL565" i="1"/>
  <c r="DL566" i="1"/>
  <c r="DL567" i="1"/>
  <c r="DL569" i="1"/>
  <c r="DL570" i="1"/>
  <c r="DL572" i="1"/>
  <c r="DL573" i="1"/>
  <c r="DL574" i="1"/>
  <c r="DL576" i="1"/>
  <c r="DL577" i="1"/>
  <c r="DL578" i="1"/>
  <c r="DL579" i="1"/>
  <c r="DL580" i="1"/>
  <c r="DL581" i="1"/>
  <c r="DL583" i="1"/>
  <c r="DL584" i="1"/>
  <c r="DL586" i="1"/>
  <c r="DL587" i="1"/>
  <c r="DL588" i="1"/>
  <c r="DL591" i="1"/>
  <c r="DL592" i="1"/>
  <c r="DL593" i="1"/>
  <c r="DL594" i="1"/>
  <c r="DL595" i="1"/>
  <c r="DL596" i="1"/>
  <c r="DL597" i="1"/>
  <c r="DL598" i="1"/>
  <c r="DL600" i="1"/>
  <c r="DL601" i="1"/>
  <c r="DL603" i="1"/>
  <c r="DL604" i="1"/>
  <c r="DL605" i="1"/>
  <c r="DL607" i="1"/>
  <c r="DL608" i="1"/>
  <c r="DL609" i="1"/>
  <c r="DL610" i="1"/>
  <c r="DL611" i="1"/>
  <c r="DL612" i="1"/>
  <c r="DL614" i="1"/>
  <c r="DL615" i="1"/>
  <c r="DL616" i="1"/>
  <c r="DL617" i="1"/>
  <c r="DL618" i="1"/>
  <c r="DL619" i="1"/>
  <c r="DL620" i="1"/>
  <c r="DL622" i="1"/>
  <c r="DL623" i="1"/>
  <c r="DL624" i="1"/>
  <c r="DL625" i="1"/>
  <c r="DL626" i="1"/>
  <c r="DL628" i="1"/>
  <c r="DL629" i="1"/>
  <c r="DL630" i="1"/>
  <c r="DL631" i="1"/>
  <c r="DL632" i="1"/>
  <c r="DL633" i="1"/>
  <c r="DL634" i="1"/>
  <c r="DL636" i="1"/>
  <c r="DL637" i="1"/>
  <c r="DL638" i="1"/>
  <c r="DL639" i="1"/>
  <c r="DL641" i="1"/>
  <c r="DL643" i="1"/>
  <c r="DL644" i="1"/>
  <c r="DL645" i="1"/>
  <c r="DL647" i="1"/>
  <c r="DL648" i="1"/>
  <c r="DL649" i="1"/>
  <c r="DL650" i="1"/>
  <c r="DL651" i="1"/>
  <c r="DL652" i="1"/>
  <c r="DL654" i="1"/>
  <c r="DL655" i="1"/>
  <c r="DL656" i="1"/>
  <c r="DL657" i="1"/>
  <c r="DL658" i="1"/>
  <c r="DL659" i="1"/>
  <c r="DL660" i="1"/>
  <c r="DL662" i="1"/>
  <c r="DL663" i="1"/>
  <c r="DL665" i="1"/>
  <c r="DL666" i="1"/>
  <c r="DL667" i="1"/>
  <c r="DL669" i="1"/>
  <c r="DL670" i="1"/>
  <c r="DL671" i="1"/>
  <c r="DL672" i="1"/>
  <c r="DL674" i="1"/>
  <c r="DL675" i="1"/>
  <c r="DL676" i="1"/>
  <c r="DL677" i="1"/>
  <c r="DL678" i="1"/>
  <c r="DL679" i="1"/>
  <c r="DL681" i="1"/>
  <c r="DL682" i="1"/>
  <c r="DL683" i="1"/>
  <c r="DL684" i="1"/>
  <c r="DL685" i="1"/>
  <c r="DL686" i="1"/>
  <c r="DL687" i="1"/>
  <c r="DL688" i="1"/>
  <c r="DL689" i="1"/>
  <c r="DL690" i="1"/>
  <c r="DL691" i="1"/>
  <c r="DL693" i="1"/>
  <c r="DL694" i="1"/>
  <c r="DL695" i="1"/>
  <c r="DL696" i="1"/>
  <c r="DL698" i="1"/>
  <c r="DL699" i="1"/>
  <c r="DL702" i="1"/>
  <c r="DL703" i="1"/>
  <c r="DL704" i="1"/>
  <c r="DL706" i="1"/>
  <c r="DL707" i="1"/>
  <c r="DL708" i="1"/>
  <c r="DL709" i="1"/>
  <c r="DL711" i="1"/>
  <c r="DL712" i="1"/>
  <c r="DL713" i="1"/>
  <c r="DL714" i="1"/>
  <c r="DL715" i="1"/>
  <c r="DL716" i="1"/>
  <c r="DL717" i="1"/>
  <c r="DL718" i="1"/>
  <c r="DL720" i="1"/>
  <c r="DL721" i="1"/>
  <c r="DL723" i="1"/>
  <c r="DL724" i="1"/>
  <c r="DL725" i="1"/>
  <c r="DL726" i="1"/>
  <c r="DL729" i="1"/>
  <c r="DL731" i="1"/>
  <c r="DL732" i="1"/>
  <c r="DL733" i="1"/>
  <c r="DL734" i="1"/>
  <c r="DL735" i="1"/>
  <c r="DL736" i="1"/>
  <c r="DL738" i="1"/>
  <c r="DL739" i="1"/>
  <c r="DL740" i="1"/>
  <c r="DL741" i="1"/>
  <c r="DL742" i="1"/>
  <c r="DL743" i="1"/>
  <c r="DL744" i="1"/>
  <c r="DL745" i="1"/>
  <c r="DL748" i="1"/>
  <c r="DL750" i="1"/>
  <c r="DL751" i="1"/>
  <c r="DL752" i="1"/>
  <c r="DL753" i="1"/>
  <c r="DL754" i="1"/>
  <c r="DL755" i="1"/>
  <c r="DL756" i="1"/>
  <c r="DL758" i="1"/>
  <c r="DL760" i="1"/>
  <c r="DL761" i="1"/>
  <c r="DL763" i="1"/>
  <c r="DL764" i="1"/>
  <c r="DL766" i="1"/>
  <c r="DL767" i="1"/>
  <c r="DL768" i="1"/>
  <c r="DL769" i="1"/>
  <c r="DL774" i="1"/>
  <c r="DL775" i="1"/>
  <c r="DL777" i="1"/>
  <c r="DL778" i="1"/>
  <c r="DL779" i="1"/>
  <c r="DL780" i="1"/>
  <c r="DL782" i="1"/>
  <c r="DL783" i="1"/>
  <c r="DL784" i="1"/>
  <c r="DL785" i="1"/>
  <c r="DL786" i="1"/>
  <c r="DL787" i="1"/>
  <c r="DL789" i="1"/>
  <c r="DL790" i="1"/>
  <c r="DL791" i="1"/>
  <c r="DL793" i="1"/>
  <c r="DL794" i="1"/>
  <c r="DL795" i="1"/>
  <c r="DL796" i="1"/>
  <c r="DL797" i="1"/>
  <c r="DL798" i="1"/>
  <c r="DL800" i="1"/>
  <c r="DL801" i="1"/>
  <c r="DL802" i="1"/>
  <c r="DL803" i="1"/>
  <c r="DL804" i="1"/>
  <c r="DL805" i="1"/>
  <c r="DL806" i="1"/>
  <c r="DL807" i="1"/>
  <c r="DL808" i="1"/>
  <c r="DL810" i="1"/>
  <c r="DL811" i="1"/>
  <c r="DL812" i="1"/>
  <c r="DL813" i="1"/>
  <c r="DL814" i="1"/>
  <c r="DL815" i="1"/>
  <c r="DL816" i="1"/>
  <c r="DL818" i="1"/>
  <c r="DL819" i="1"/>
  <c r="DL820" i="1"/>
  <c r="DL822" i="1"/>
  <c r="DL823" i="1"/>
  <c r="DL824" i="1"/>
  <c r="DL825" i="1"/>
  <c r="DL826" i="1"/>
  <c r="DL827" i="1"/>
  <c r="DL829" i="1"/>
  <c r="DL830" i="1"/>
  <c r="DL831" i="1"/>
  <c r="DL832" i="1"/>
  <c r="DL834" i="1"/>
  <c r="DL835" i="1"/>
  <c r="DL836" i="1"/>
  <c r="DL838" i="1"/>
  <c r="DL839" i="1"/>
  <c r="DL840" i="1"/>
  <c r="DL841" i="1"/>
  <c r="DL842" i="1"/>
  <c r="DL843" i="1"/>
  <c r="DL845" i="1"/>
  <c r="DL846" i="1"/>
  <c r="DL847" i="1"/>
  <c r="DL848" i="1"/>
  <c r="DL849" i="1"/>
  <c r="DL850" i="1"/>
  <c r="DL852" i="1"/>
  <c r="DL854" i="1"/>
  <c r="DL855" i="1"/>
  <c r="DL856" i="1"/>
  <c r="DL857" i="1"/>
  <c r="DL859" i="1"/>
  <c r="DL860" i="1"/>
  <c r="DL862" i="1"/>
  <c r="DL863" i="1"/>
  <c r="DL864" i="1"/>
  <c r="DL865" i="1"/>
  <c r="DL866" i="1"/>
  <c r="DL867" i="1"/>
  <c r="DL868" i="1"/>
  <c r="DL869" i="1"/>
  <c r="DL870" i="1"/>
  <c r="DL872" i="1"/>
  <c r="DL873" i="1"/>
  <c r="DL874" i="1"/>
  <c r="DL875" i="1"/>
  <c r="DL876" i="1"/>
  <c r="DL877" i="1"/>
  <c r="DL878" i="1"/>
  <c r="DL879" i="1"/>
  <c r="DL880" i="1"/>
  <c r="DL881" i="1"/>
  <c r="DL884" i="1"/>
  <c r="DL886" i="1"/>
  <c r="DL887" i="1"/>
  <c r="DL888" i="1"/>
  <c r="DL889" i="1"/>
  <c r="DL890" i="1"/>
  <c r="DL891" i="1"/>
  <c r="DL892" i="1"/>
  <c r="DL893" i="1"/>
  <c r="DL894" i="1"/>
  <c r="DL895" i="1"/>
  <c r="DL897" i="1"/>
  <c r="DL898" i="1"/>
  <c r="DL899" i="1"/>
  <c r="DL900" i="1"/>
  <c r="DL901" i="1"/>
  <c r="DL902" i="1"/>
  <c r="DL904" i="1"/>
  <c r="DL905" i="1"/>
  <c r="DL906" i="1"/>
  <c r="DL908" i="1"/>
  <c r="DL909" i="1"/>
  <c r="DL910" i="1"/>
  <c r="DL911" i="1"/>
  <c r="DL912" i="1"/>
  <c r="DL913" i="1"/>
  <c r="DL916" i="1"/>
  <c r="DL917" i="1"/>
  <c r="DL918" i="1"/>
  <c r="DL919" i="1"/>
  <c r="DL921" i="1"/>
  <c r="DL922" i="1"/>
  <c r="DL923" i="1"/>
  <c r="DL924" i="1"/>
  <c r="DL925" i="1"/>
  <c r="DL927" i="1"/>
  <c r="DL928" i="1"/>
  <c r="DL929" i="1"/>
  <c r="DL930" i="1"/>
  <c r="DL931" i="1"/>
  <c r="DL932" i="1"/>
  <c r="DL933" i="1"/>
  <c r="DL935" i="1"/>
  <c r="DL936" i="1"/>
  <c r="DL937" i="1"/>
  <c r="DL938" i="1"/>
  <c r="DL939" i="1"/>
  <c r="DL940" i="1"/>
  <c r="DL941" i="1"/>
  <c r="DL943" i="1"/>
  <c r="DL944" i="1"/>
  <c r="DL945" i="1"/>
  <c r="DL947" i="1"/>
  <c r="DL948" i="1"/>
  <c r="DL950" i="1"/>
  <c r="DL951" i="1"/>
  <c r="DL952" i="1"/>
  <c r="DL953" i="1"/>
  <c r="DL954" i="1"/>
  <c r="DL955" i="1"/>
  <c r="DL956" i="1"/>
  <c r="DL957" i="1"/>
  <c r="DL958" i="1"/>
  <c r="DL960" i="1"/>
  <c r="DL961" i="1"/>
  <c r="DL962" i="1"/>
  <c r="DL963" i="1"/>
  <c r="DL964" i="1"/>
  <c r="DL965" i="1"/>
  <c r="DL966" i="1"/>
  <c r="DL967" i="1"/>
  <c r="DL969" i="1"/>
  <c r="DL970" i="1"/>
  <c r="DL971" i="1"/>
  <c r="DL972" i="1"/>
  <c r="DL973" i="1"/>
  <c r="DL974" i="1"/>
  <c r="DL975" i="1"/>
  <c r="DL977" i="1"/>
  <c r="DL978" i="1"/>
  <c r="DL979" i="1"/>
  <c r="DL980" i="1"/>
  <c r="DL981" i="1"/>
  <c r="DL983" i="1"/>
  <c r="DL985" i="1"/>
  <c r="DL986" i="1"/>
  <c r="DL987" i="1"/>
  <c r="DL989" i="1"/>
  <c r="DL990" i="1"/>
  <c r="DL991" i="1"/>
  <c r="DL992" i="1"/>
  <c r="DL993" i="1"/>
  <c r="DL994" i="1"/>
  <c r="DL996" i="1"/>
  <c r="DL997" i="1"/>
  <c r="DL998" i="1"/>
  <c r="DL999" i="1"/>
  <c r="DL1000" i="1"/>
  <c r="DL1001" i="1"/>
  <c r="DL1002" i="1"/>
  <c r="DL1003" i="1"/>
  <c r="DL1005" i="1"/>
  <c r="DL1006" i="1"/>
  <c r="DL1007" i="1"/>
  <c r="DL1008" i="1"/>
  <c r="DL1009" i="1"/>
  <c r="DL1010" i="1"/>
  <c r="DL1011" i="1"/>
  <c r="DL1013" i="1"/>
  <c r="DL1014" i="1"/>
  <c r="DL1015" i="1"/>
  <c r="DL1016" i="1"/>
  <c r="DL1017" i="1"/>
  <c r="DL1018" i="1"/>
  <c r="DL1019" i="1"/>
  <c r="DL1020" i="1"/>
  <c r="DL1021" i="1"/>
  <c r="DL1022" i="1"/>
  <c r="DL1023" i="1"/>
  <c r="DL1025" i="1"/>
  <c r="DL1026" i="1"/>
  <c r="DL1027" i="1"/>
  <c r="DL1028" i="1"/>
  <c r="DL1029" i="1"/>
  <c r="DL1030" i="1"/>
  <c r="DL1031" i="1"/>
  <c r="DL1032" i="1"/>
  <c r="DL1033" i="1"/>
  <c r="DL1035" i="1"/>
  <c r="DL1036" i="1"/>
  <c r="DL1037" i="1"/>
  <c r="DL1038" i="1"/>
  <c r="DL1039" i="1"/>
  <c r="DL1040" i="1"/>
  <c r="DL1041" i="1"/>
  <c r="DL1042" i="1"/>
  <c r="DL1043" i="1"/>
  <c r="DL1044" i="1"/>
  <c r="DL1046" i="1"/>
  <c r="DL1047" i="1"/>
  <c r="DL1048" i="1"/>
  <c r="DL1051" i="1"/>
  <c r="DL1053" i="1"/>
  <c r="DL1054" i="1"/>
  <c r="DL1055" i="1"/>
  <c r="DL1056" i="1"/>
  <c r="DL1057" i="1"/>
  <c r="DL1059" i="1"/>
  <c r="DL1060" i="1"/>
  <c r="DL1061" i="1"/>
  <c r="DL1062" i="1"/>
  <c r="DL1063" i="1"/>
  <c r="DL1064" i="1"/>
  <c r="DL1066" i="1"/>
  <c r="DL1067" i="1"/>
  <c r="DL1068" i="1"/>
  <c r="DL1069" i="1"/>
  <c r="DL1070" i="1"/>
  <c r="DL1071" i="1"/>
  <c r="DL1072" i="1"/>
  <c r="DL1073" i="1"/>
  <c r="DL1075" i="1"/>
  <c r="DL1076" i="1"/>
  <c r="DL1077" i="1"/>
  <c r="DL1079" i="1"/>
  <c r="DL1080" i="1"/>
  <c r="DL1081" i="1"/>
  <c r="DL1082" i="1"/>
  <c r="DL1083" i="1"/>
  <c r="DL1084" i="1"/>
  <c r="DL1086" i="1"/>
  <c r="DL1087" i="1"/>
  <c r="DL1088" i="1"/>
  <c r="DL1089" i="1"/>
  <c r="DL1090" i="1"/>
  <c r="DL1091" i="1"/>
  <c r="DL1092" i="1"/>
  <c r="DL1093" i="1"/>
  <c r="DL1094" i="1"/>
  <c r="DL1096" i="1"/>
  <c r="DL1097" i="1"/>
  <c r="DL1098" i="1"/>
  <c r="DL1099" i="1"/>
  <c r="DL1100" i="1"/>
  <c r="DL1101" i="1"/>
  <c r="DL1102" i="1"/>
  <c r="DL1103" i="1"/>
  <c r="DL1104" i="1"/>
  <c r="DL1105" i="1"/>
  <c r="DL1106" i="1"/>
  <c r="DL1108" i="1"/>
  <c r="DL1109" i="1"/>
  <c r="DL1110" i="1"/>
  <c r="DL1111" i="1"/>
  <c r="DL1112" i="1"/>
  <c r="DL1113" i="1"/>
  <c r="DL1115" i="1"/>
  <c r="DL1116" i="1"/>
  <c r="DL1117" i="1"/>
  <c r="DL1118" i="1"/>
  <c r="DL1120" i="1"/>
  <c r="DL1122" i="1"/>
  <c r="DL1123" i="1"/>
  <c r="DL1124" i="1"/>
  <c r="DL1126" i="1"/>
  <c r="DL1127" i="1"/>
  <c r="DL1128" i="1"/>
  <c r="DL1129" i="1"/>
  <c r="DL1130" i="1"/>
  <c r="DL1132" i="1"/>
  <c r="DL1133" i="1"/>
  <c r="DL1135" i="1"/>
  <c r="DL1136" i="1"/>
  <c r="DL1137" i="1"/>
  <c r="DL1138" i="1"/>
  <c r="DL1139" i="1"/>
  <c r="DL1140" i="1"/>
  <c r="DL1142" i="1"/>
  <c r="DL1143" i="1"/>
  <c r="DL1144" i="1"/>
  <c r="DL1145" i="1"/>
  <c r="DL1146" i="1"/>
  <c r="DL1147" i="1"/>
  <c r="DL1148" i="1"/>
  <c r="DL1149" i="1"/>
  <c r="DL1150" i="1"/>
  <c r="DL1152" i="1"/>
  <c r="DL1153" i="1"/>
  <c r="DL1154" i="1"/>
  <c r="DL1155" i="1"/>
  <c r="DL1157" i="1"/>
  <c r="DL1158" i="1"/>
  <c r="DL1159" i="1"/>
  <c r="DL1160" i="1"/>
  <c r="DL1161" i="1"/>
  <c r="DL1162" i="1"/>
  <c r="DL1163" i="1"/>
  <c r="DL1164" i="1"/>
  <c r="DL1165" i="1"/>
  <c r="DL1167" i="1"/>
  <c r="DL1168" i="1"/>
  <c r="DL1169" i="1"/>
  <c r="DL1170" i="1"/>
  <c r="DL1172" i="1"/>
  <c r="DL1173" i="1"/>
  <c r="DL1174" i="1"/>
  <c r="DL1175" i="1"/>
  <c r="DL1177" i="1"/>
  <c r="DL1178" i="1"/>
  <c r="DL1179" i="1"/>
  <c r="DL1180" i="1"/>
  <c r="DL1181" i="1"/>
  <c r="DL1182" i="1"/>
  <c r="DL1183" i="1"/>
  <c r="DL1185" i="1"/>
  <c r="DL1186" i="1"/>
  <c r="DL1187" i="1"/>
  <c r="DL1188" i="1"/>
  <c r="DL1189" i="1"/>
  <c r="DL1190" i="1"/>
  <c r="DL1192" i="1"/>
  <c r="DL1194" i="1"/>
  <c r="DL1195" i="1"/>
  <c r="DL1196" i="1"/>
  <c r="DL1199" i="1"/>
  <c r="DL1201" i="1"/>
  <c r="DL1202" i="1"/>
  <c r="DL1203" i="1"/>
  <c r="DL1204" i="1"/>
  <c r="DL1205" i="1"/>
  <c r="DL1206" i="1"/>
  <c r="DL1207" i="1"/>
  <c r="DL1209" i="1"/>
  <c r="DL1210" i="1"/>
  <c r="DL1211" i="1"/>
  <c r="DL1212" i="1"/>
  <c r="DL1213" i="1"/>
  <c r="DL1214" i="1"/>
  <c r="DL1215" i="1"/>
  <c r="DL1216" i="1"/>
  <c r="DL1217" i="1"/>
  <c r="DL1219" i="1"/>
  <c r="DL1220" i="1"/>
  <c r="DL1222" i="1"/>
  <c r="DL1223" i="1"/>
  <c r="DL1224" i="1"/>
  <c r="DL1225" i="1"/>
  <c r="DL1226" i="1"/>
  <c r="DL1227" i="1"/>
  <c r="DL1229" i="1"/>
  <c r="DL1230" i="1"/>
  <c r="DL1231" i="1"/>
  <c r="DL1232" i="1"/>
  <c r="DL1233" i="1"/>
  <c r="DL1234" i="1"/>
  <c r="DL1235" i="1"/>
  <c r="DL1236" i="1"/>
  <c r="DL1238" i="1"/>
  <c r="DL1240" i="1"/>
  <c r="DL1241" i="1"/>
  <c r="DL1242" i="1"/>
  <c r="DL1244" i="1"/>
  <c r="DL1245" i="1"/>
  <c r="DL1246" i="1"/>
  <c r="DL1247" i="1"/>
  <c r="DL1248" i="1"/>
  <c r="DL1250" i="1"/>
  <c r="DL1251" i="1"/>
  <c r="DL1252" i="1"/>
  <c r="DL1253" i="1"/>
  <c r="DL1254" i="1"/>
  <c r="DL1255" i="1"/>
  <c r="DL1256" i="1"/>
  <c r="DL1257" i="1"/>
  <c r="DL1258" i="1"/>
  <c r="DL1259" i="1"/>
  <c r="DL1261" i="1"/>
  <c r="DL1262" i="1"/>
  <c r="DL1263" i="1"/>
  <c r="DL1265" i="1"/>
  <c r="DL1266" i="1"/>
  <c r="DL1267" i="1"/>
  <c r="DL1268" i="1"/>
  <c r="DL1272" i="1"/>
  <c r="DL1274" i="1"/>
  <c r="DL1275" i="1"/>
  <c r="DL1276" i="1"/>
  <c r="DL1277" i="1"/>
  <c r="DL1278" i="1"/>
  <c r="DL1279" i="1"/>
  <c r="DL1280" i="1"/>
  <c r="DL1282" i="1"/>
  <c r="DL1283" i="1"/>
  <c r="DL1284" i="1"/>
  <c r="DL1285" i="1"/>
  <c r="DL1286" i="1"/>
  <c r="DL1287" i="1"/>
  <c r="DL1288" i="1"/>
  <c r="DL1289" i="1"/>
  <c r="DL1291" i="1"/>
  <c r="DL1292" i="1"/>
  <c r="DL1293" i="1"/>
  <c r="DL1294" i="1"/>
  <c r="DL1295" i="1"/>
  <c r="DL1296" i="1"/>
  <c r="DL1297" i="1"/>
  <c r="DL1298" i="1"/>
  <c r="DL1299" i="1"/>
  <c r="DL1300" i="1"/>
  <c r="DL1301" i="1"/>
  <c r="DL1303" i="1"/>
  <c r="DL1304" i="1"/>
  <c r="DL1305" i="1"/>
  <c r="DL1306" i="1"/>
  <c r="DL1307" i="1"/>
  <c r="DL1308" i="1"/>
  <c r="DL1309" i="1"/>
  <c r="DL1310" i="1"/>
  <c r="DL1311" i="1"/>
  <c r="DL1312" i="1"/>
  <c r="DL1313" i="1"/>
  <c r="DM67" i="1"/>
  <c r="DM68" i="1"/>
  <c r="DM69" i="1"/>
  <c r="DM70" i="1"/>
  <c r="DM71" i="1"/>
  <c r="DM72" i="1"/>
  <c r="DM73" i="1"/>
  <c r="DM74" i="1"/>
  <c r="DM76" i="1"/>
  <c r="DM77" i="1"/>
  <c r="DM78" i="1"/>
  <c r="DM79" i="1"/>
  <c r="DM80" i="1"/>
  <c r="DM81" i="1"/>
  <c r="DM82" i="1"/>
  <c r="DM84" i="1"/>
  <c r="DM85" i="1"/>
  <c r="DM86" i="1"/>
  <c r="DM87" i="1"/>
  <c r="DM88" i="1"/>
  <c r="DM89" i="1"/>
  <c r="DM90" i="1"/>
  <c r="DM92" i="1"/>
  <c r="DM93" i="1"/>
  <c r="DM94" i="1"/>
  <c r="DM95" i="1"/>
  <c r="DM96" i="1"/>
  <c r="DM97" i="1"/>
  <c r="DM98" i="1"/>
  <c r="DM101" i="1"/>
  <c r="DM103" i="1"/>
  <c r="DM104" i="1"/>
  <c r="DM105" i="1"/>
  <c r="DM106" i="1"/>
  <c r="DM107" i="1"/>
  <c r="DM108" i="1"/>
  <c r="DM109" i="1"/>
  <c r="DM111" i="1"/>
  <c r="DM112" i="1"/>
  <c r="DM113" i="1"/>
  <c r="DM114" i="1"/>
  <c r="DM115" i="1"/>
  <c r="DM116" i="1"/>
  <c r="DM117" i="1"/>
  <c r="DM118" i="1"/>
  <c r="DM119" i="1"/>
  <c r="DM120" i="1"/>
  <c r="DM122" i="1"/>
  <c r="DM124" i="1"/>
  <c r="DM125" i="1"/>
  <c r="DM126" i="1"/>
  <c r="DM129" i="1"/>
  <c r="DM131" i="1"/>
  <c r="DM132" i="1"/>
  <c r="DM133" i="1"/>
  <c r="DM136" i="1"/>
  <c r="DM138" i="1"/>
  <c r="DM139" i="1"/>
  <c r="DM140" i="1"/>
  <c r="DM141" i="1"/>
  <c r="DM142" i="1"/>
  <c r="DM144" i="1"/>
  <c r="DM145" i="1"/>
  <c r="DM146" i="1"/>
  <c r="DM147" i="1"/>
  <c r="DM148" i="1"/>
  <c r="DM149" i="1"/>
  <c r="DM151" i="1"/>
  <c r="DM152" i="1"/>
  <c r="DM153" i="1"/>
  <c r="DM154" i="1"/>
  <c r="DM155" i="1"/>
  <c r="DM156" i="1"/>
  <c r="DM157" i="1"/>
  <c r="DM158" i="1"/>
  <c r="DM160" i="1"/>
  <c r="DM161" i="1"/>
  <c r="DM162" i="1"/>
  <c r="DM163" i="1"/>
  <c r="DM165" i="1"/>
  <c r="DM166" i="1"/>
  <c r="DM167" i="1"/>
  <c r="DM168" i="1"/>
  <c r="DM169" i="1"/>
  <c r="DM170" i="1"/>
  <c r="DM172" i="1"/>
  <c r="DM173" i="1"/>
  <c r="DM175" i="1"/>
  <c r="DM176" i="1"/>
  <c r="DM177" i="1"/>
  <c r="DM178" i="1"/>
  <c r="DM179" i="1"/>
  <c r="DM180" i="1"/>
  <c r="DM181" i="1"/>
  <c r="DM182" i="1"/>
  <c r="DM183" i="1"/>
  <c r="DM184" i="1"/>
  <c r="DM186" i="1"/>
  <c r="DM187" i="1"/>
  <c r="DM188" i="1"/>
  <c r="DM189" i="1"/>
  <c r="DM190" i="1"/>
  <c r="DM191" i="1"/>
  <c r="DM192" i="1"/>
  <c r="DM193" i="1"/>
  <c r="DM195" i="1"/>
  <c r="DM196" i="1"/>
  <c r="DM197" i="1"/>
  <c r="DM198" i="1"/>
  <c r="DM200" i="1"/>
  <c r="DM201" i="1"/>
  <c r="DM202" i="1"/>
  <c r="DM203" i="1"/>
  <c r="DM204" i="1"/>
  <c r="DM205" i="1"/>
  <c r="DM206" i="1"/>
  <c r="DM207" i="1"/>
  <c r="DM209" i="1"/>
  <c r="DM210" i="1"/>
  <c r="DM211" i="1"/>
  <c r="DM212" i="1"/>
  <c r="DM213" i="1"/>
  <c r="DM214" i="1"/>
  <c r="DM215" i="1"/>
  <c r="DM217" i="1"/>
  <c r="DM218" i="1"/>
  <c r="DM219" i="1"/>
  <c r="DM220" i="1"/>
  <c r="DM221" i="1"/>
  <c r="DM222" i="1"/>
  <c r="DM224" i="1"/>
  <c r="DM225" i="1"/>
  <c r="DM226" i="1"/>
  <c r="DM227" i="1"/>
  <c r="DM228" i="1"/>
  <c r="DM229" i="1"/>
  <c r="DM231" i="1"/>
  <c r="DM232" i="1"/>
  <c r="DM233" i="1"/>
  <c r="DM234" i="1"/>
  <c r="DM235" i="1"/>
  <c r="DM236" i="1"/>
  <c r="DM237" i="1"/>
  <c r="DM238" i="1"/>
  <c r="DM240" i="1"/>
  <c r="DM241" i="1"/>
  <c r="DM242" i="1"/>
  <c r="DM243" i="1"/>
  <c r="DM244" i="1"/>
  <c r="DM245" i="1"/>
  <c r="DM246" i="1"/>
  <c r="DM247" i="1"/>
  <c r="DM249" i="1"/>
  <c r="DM250" i="1"/>
  <c r="DM251" i="1"/>
  <c r="DM252" i="1"/>
  <c r="DM253" i="1"/>
  <c r="DM254" i="1"/>
  <c r="DM255" i="1"/>
  <c r="DM256" i="1"/>
  <c r="DM258" i="1"/>
  <c r="DM259" i="1"/>
  <c r="DM260" i="1"/>
  <c r="DM261" i="1"/>
  <c r="DM262" i="1"/>
  <c r="DM263" i="1"/>
  <c r="DM264" i="1"/>
  <c r="DM265" i="1"/>
  <c r="DM266" i="1"/>
  <c r="DM268" i="1"/>
  <c r="DM269" i="1"/>
  <c r="DM270" i="1"/>
  <c r="DM271" i="1"/>
  <c r="DM272" i="1"/>
  <c r="DM273" i="1"/>
  <c r="DM274" i="1"/>
  <c r="DM275" i="1"/>
  <c r="DM276" i="1"/>
  <c r="DM278" i="1"/>
  <c r="DM279" i="1"/>
  <c r="DM280" i="1"/>
  <c r="DM281" i="1"/>
  <c r="DM282" i="1"/>
  <c r="DM283" i="1"/>
  <c r="DM285" i="1"/>
  <c r="DM286" i="1"/>
  <c r="DM287" i="1"/>
  <c r="DM288" i="1"/>
  <c r="DM291" i="1"/>
  <c r="DM292" i="1"/>
  <c r="DM293" i="1"/>
  <c r="DM294" i="1"/>
  <c r="DM296" i="1"/>
  <c r="DM297" i="1"/>
  <c r="DM298" i="1"/>
  <c r="DM299" i="1"/>
  <c r="DM300" i="1"/>
  <c r="DM301" i="1"/>
  <c r="DM302" i="1"/>
  <c r="DM303" i="1"/>
  <c r="DM305" i="1"/>
  <c r="DM306" i="1"/>
  <c r="DM307" i="1"/>
  <c r="DM308" i="1"/>
  <c r="DM309" i="1"/>
  <c r="DM310" i="1"/>
  <c r="DM311" i="1"/>
  <c r="DM312" i="1"/>
  <c r="DM313" i="1"/>
  <c r="DM314" i="1"/>
  <c r="DM316" i="1"/>
  <c r="DM317" i="1"/>
  <c r="DM318" i="1"/>
  <c r="DM319" i="1"/>
  <c r="DM320" i="1"/>
  <c r="DM321" i="1"/>
  <c r="DM322" i="1"/>
  <c r="DM323" i="1"/>
  <c r="DM324" i="1"/>
  <c r="DM325" i="1"/>
  <c r="DM326" i="1"/>
  <c r="DM327" i="1"/>
  <c r="DM329" i="1"/>
  <c r="DM330" i="1"/>
  <c r="DM332" i="1"/>
  <c r="DM333" i="1"/>
  <c r="DM334" i="1"/>
  <c r="DM335" i="1"/>
  <c r="DM336" i="1"/>
  <c r="DM337" i="1"/>
  <c r="DM338" i="1"/>
  <c r="DM340" i="1"/>
  <c r="DM341" i="1"/>
  <c r="DM342" i="1"/>
  <c r="DM343" i="1"/>
  <c r="DM344" i="1"/>
  <c r="DM345" i="1"/>
  <c r="DM346" i="1"/>
  <c r="DM347" i="1"/>
  <c r="DM348" i="1"/>
  <c r="DM349" i="1"/>
  <c r="DM351" i="1"/>
  <c r="DM352" i="1"/>
  <c r="DM353" i="1"/>
  <c r="DM354" i="1"/>
  <c r="DM355" i="1"/>
  <c r="DM356" i="1"/>
  <c r="DM358" i="1"/>
  <c r="DM359" i="1"/>
  <c r="DM360" i="1"/>
  <c r="DM361" i="1"/>
  <c r="DM362" i="1"/>
  <c r="DM363" i="1"/>
  <c r="DM364" i="1"/>
  <c r="DM365" i="1"/>
  <c r="DM367" i="1"/>
  <c r="DM368" i="1"/>
  <c r="DM369" i="1"/>
  <c r="DM371" i="1"/>
  <c r="DM372" i="1"/>
  <c r="DM373" i="1"/>
  <c r="DM375" i="1"/>
  <c r="DM376" i="1"/>
  <c r="DM378" i="1"/>
  <c r="DM379" i="1"/>
  <c r="DM380" i="1"/>
  <c r="DM381" i="1"/>
  <c r="DM382" i="1"/>
  <c r="DM383" i="1"/>
  <c r="DM385" i="1"/>
  <c r="DM386" i="1"/>
  <c r="DM387" i="1"/>
  <c r="DM388" i="1"/>
  <c r="DM389" i="1"/>
  <c r="DM390" i="1"/>
  <c r="DM391" i="1"/>
  <c r="DM393" i="1"/>
  <c r="DM394" i="1"/>
  <c r="DM395" i="1"/>
  <c r="DM396" i="1"/>
  <c r="DM397" i="1"/>
  <c r="DM398" i="1"/>
  <c r="DM399" i="1"/>
  <c r="DM400" i="1"/>
  <c r="DM401" i="1"/>
  <c r="DM403" i="1"/>
  <c r="DM404" i="1"/>
  <c r="DM405" i="1"/>
  <c r="DM406" i="1"/>
  <c r="DM407" i="1"/>
  <c r="DM408" i="1"/>
  <c r="DM409" i="1"/>
  <c r="DM410" i="1"/>
  <c r="DM411" i="1"/>
  <c r="DM413" i="1"/>
  <c r="DM414" i="1"/>
  <c r="DM415" i="1"/>
  <c r="DM416" i="1"/>
  <c r="DM417" i="1"/>
  <c r="DM418" i="1"/>
  <c r="DM421" i="1"/>
  <c r="DM422" i="1"/>
  <c r="DM423" i="1"/>
  <c r="DM424" i="1"/>
  <c r="DM425" i="1"/>
  <c r="DM426" i="1"/>
  <c r="DM427" i="1"/>
  <c r="DM428" i="1"/>
  <c r="DM431" i="1"/>
  <c r="DM432" i="1"/>
  <c r="DM433" i="1"/>
  <c r="DM434" i="1"/>
  <c r="DM435" i="1"/>
  <c r="DM436" i="1"/>
  <c r="DM438" i="1"/>
  <c r="DM439" i="1"/>
  <c r="DM440" i="1"/>
  <c r="DM441" i="1"/>
  <c r="DM442" i="1"/>
  <c r="DM443" i="1"/>
  <c r="DM445" i="1"/>
  <c r="DM446" i="1"/>
  <c r="DM447" i="1"/>
  <c r="DM448" i="1"/>
  <c r="DM449" i="1"/>
  <c r="DM450" i="1"/>
  <c r="DM451" i="1"/>
  <c r="DM452" i="1"/>
  <c r="DM454" i="1"/>
  <c r="DM455" i="1"/>
  <c r="DM456" i="1"/>
  <c r="DM457" i="1"/>
  <c r="DM459" i="1"/>
  <c r="DM460" i="1"/>
  <c r="DM461" i="1"/>
  <c r="DM462" i="1"/>
  <c r="DM463" i="1"/>
  <c r="DM464" i="1"/>
  <c r="DM465" i="1"/>
  <c r="DM466" i="1"/>
  <c r="DM468" i="1"/>
  <c r="DM469" i="1"/>
  <c r="DM470" i="1"/>
  <c r="DM471" i="1"/>
  <c r="DM472" i="1"/>
  <c r="DM473" i="1"/>
  <c r="DM474" i="1"/>
  <c r="DM475" i="1"/>
  <c r="DM476" i="1"/>
  <c r="DM478" i="1"/>
  <c r="DM479" i="1"/>
  <c r="DM480" i="1"/>
  <c r="DM481" i="1"/>
  <c r="DM482" i="1"/>
  <c r="DM483" i="1"/>
  <c r="DM485" i="1"/>
  <c r="DM486" i="1"/>
  <c r="DM487" i="1"/>
  <c r="DM488" i="1"/>
  <c r="DM489" i="1"/>
  <c r="DM490" i="1"/>
  <c r="DM491" i="1"/>
  <c r="DM492" i="1"/>
  <c r="DM493" i="1"/>
  <c r="DM495" i="1"/>
  <c r="DM496" i="1"/>
  <c r="DM497" i="1"/>
  <c r="DM498" i="1"/>
  <c r="DM499" i="1"/>
  <c r="DM500" i="1"/>
  <c r="DM502" i="1"/>
  <c r="DM503" i="1"/>
  <c r="DM504" i="1"/>
  <c r="DM505" i="1"/>
  <c r="DM506" i="1"/>
  <c r="DM507" i="1"/>
  <c r="DM508" i="1"/>
  <c r="DM510" i="1"/>
  <c r="DM511" i="1"/>
  <c r="DM512" i="1"/>
  <c r="DM514" i="1"/>
  <c r="DM515" i="1"/>
  <c r="DM516" i="1"/>
  <c r="DM517" i="1"/>
  <c r="DM518" i="1"/>
  <c r="DM520" i="1"/>
  <c r="DM521" i="1"/>
  <c r="DM522" i="1"/>
  <c r="DM523" i="1"/>
  <c r="DM524" i="1"/>
  <c r="DM525" i="1"/>
  <c r="DM526" i="1"/>
  <c r="DM527" i="1"/>
  <c r="DM529" i="1"/>
  <c r="DM530" i="1"/>
  <c r="DM531" i="1"/>
  <c r="DM532" i="1"/>
  <c r="DM533" i="1"/>
  <c r="DM534" i="1"/>
  <c r="DM535" i="1"/>
  <c r="DM536" i="1"/>
  <c r="DM538" i="1"/>
  <c r="DM539" i="1"/>
  <c r="DM540" i="1"/>
  <c r="DM541" i="1"/>
  <c r="DM542" i="1"/>
  <c r="DM543" i="1"/>
  <c r="DM544" i="1"/>
  <c r="DM545" i="1"/>
  <c r="DM546" i="1"/>
  <c r="DM548" i="1"/>
  <c r="DM549" i="1"/>
  <c r="DM550" i="1"/>
  <c r="DM551" i="1"/>
  <c r="DM552" i="1"/>
  <c r="DM553" i="1"/>
  <c r="DM554" i="1"/>
  <c r="DM555" i="1"/>
  <c r="DM557" i="1"/>
  <c r="DM558" i="1"/>
  <c r="DM559" i="1"/>
  <c r="DM560" i="1"/>
  <c r="DM561" i="1"/>
  <c r="DM562" i="1"/>
  <c r="DM564" i="1"/>
  <c r="DM565" i="1"/>
  <c r="DM566" i="1"/>
  <c r="DM567" i="1"/>
  <c r="DM569" i="1"/>
  <c r="DM570" i="1"/>
  <c r="DM572" i="1"/>
  <c r="DM573" i="1"/>
  <c r="DM574" i="1"/>
  <c r="DM576" i="1"/>
  <c r="DM577" i="1"/>
  <c r="DM578" i="1"/>
  <c r="DM579" i="1"/>
  <c r="DM580" i="1"/>
  <c r="DM581" i="1"/>
  <c r="DM583" i="1"/>
  <c r="DM584" i="1"/>
  <c r="DM586" i="1"/>
  <c r="DM587" i="1"/>
  <c r="DM588" i="1"/>
  <c r="DM590" i="1"/>
  <c r="DM591" i="1"/>
  <c r="DM592" i="1"/>
  <c r="DM593" i="1"/>
  <c r="DM594" i="1"/>
  <c r="DM595" i="1"/>
  <c r="DM596" i="1"/>
  <c r="DM597" i="1"/>
  <c r="DM598" i="1"/>
  <c r="DM600" i="1"/>
  <c r="DM601" i="1"/>
  <c r="DM603" i="1"/>
  <c r="DM604" i="1"/>
  <c r="DM605" i="1"/>
  <c r="DM607" i="1"/>
  <c r="DM608" i="1"/>
  <c r="DM609" i="1"/>
  <c r="DM610" i="1"/>
  <c r="DM611" i="1"/>
  <c r="DM612" i="1"/>
  <c r="DM614" i="1"/>
  <c r="DM615" i="1"/>
  <c r="DM616" i="1"/>
  <c r="DM617" i="1"/>
  <c r="DM618" i="1"/>
  <c r="DM619" i="1"/>
  <c r="DM620" i="1"/>
  <c r="DM622" i="1"/>
  <c r="DM623" i="1"/>
  <c r="DM624" i="1"/>
  <c r="DM625" i="1"/>
  <c r="DM626" i="1"/>
  <c r="DM628" i="1"/>
  <c r="DM629" i="1"/>
  <c r="DM630" i="1"/>
  <c r="DM631" i="1"/>
  <c r="DM632" i="1"/>
  <c r="DM633" i="1"/>
  <c r="DM634" i="1"/>
  <c r="DM636" i="1"/>
  <c r="DM637" i="1"/>
  <c r="DM638" i="1"/>
  <c r="DM639" i="1"/>
  <c r="DM641" i="1"/>
  <c r="DM643" i="1"/>
  <c r="DM644" i="1"/>
  <c r="DM645" i="1"/>
  <c r="DM647" i="1"/>
  <c r="DM648" i="1"/>
  <c r="DM649" i="1"/>
  <c r="DM650" i="1"/>
  <c r="DM651" i="1"/>
  <c r="DM652" i="1"/>
  <c r="DM654" i="1"/>
  <c r="DM655" i="1"/>
  <c r="DM656" i="1"/>
  <c r="DM657" i="1"/>
  <c r="DM658" i="1"/>
  <c r="DM659" i="1"/>
  <c r="DM660" i="1"/>
  <c r="DM662" i="1"/>
  <c r="DM663" i="1"/>
  <c r="DM665" i="1"/>
  <c r="DM666" i="1"/>
  <c r="DM667" i="1"/>
  <c r="DM669" i="1"/>
  <c r="DM670" i="1"/>
  <c r="DM671" i="1"/>
  <c r="DM672" i="1"/>
  <c r="DM674" i="1"/>
  <c r="DM675" i="1"/>
  <c r="DM676" i="1"/>
  <c r="DM677" i="1"/>
  <c r="DM678" i="1"/>
  <c r="DM679" i="1"/>
  <c r="DM681" i="1"/>
  <c r="DM682" i="1"/>
  <c r="DM683" i="1"/>
  <c r="DM684" i="1"/>
  <c r="DM685" i="1"/>
  <c r="DM686" i="1"/>
  <c r="DM687" i="1"/>
  <c r="DM688" i="1"/>
  <c r="DM689" i="1"/>
  <c r="DM690" i="1"/>
  <c r="DM691" i="1"/>
  <c r="DM693" i="1"/>
  <c r="DM694" i="1"/>
  <c r="DM695" i="1"/>
  <c r="DM696" i="1"/>
  <c r="DM698" i="1"/>
  <c r="DM699" i="1"/>
  <c r="DM702" i="1"/>
  <c r="DM703" i="1"/>
  <c r="DM704" i="1"/>
  <c r="DM706" i="1"/>
  <c r="DM707" i="1"/>
  <c r="DM708" i="1"/>
  <c r="DM709" i="1"/>
  <c r="DM711" i="1"/>
  <c r="DM712" i="1"/>
  <c r="DM713" i="1"/>
  <c r="DM714" i="1"/>
  <c r="DM715" i="1"/>
  <c r="DM716" i="1"/>
  <c r="DM717" i="1"/>
  <c r="DM718" i="1"/>
  <c r="DM720" i="1"/>
  <c r="DM721" i="1"/>
  <c r="DM723" i="1"/>
  <c r="DM724" i="1"/>
  <c r="DM725" i="1"/>
  <c r="DM726" i="1"/>
  <c r="DM729" i="1"/>
  <c r="DM731" i="1"/>
  <c r="DM732" i="1"/>
  <c r="DM733" i="1"/>
  <c r="DM734" i="1"/>
  <c r="DM735" i="1"/>
  <c r="DM736" i="1"/>
  <c r="DM738" i="1"/>
  <c r="DM739" i="1"/>
  <c r="DM740" i="1"/>
  <c r="DM741" i="1"/>
  <c r="DM742" i="1"/>
  <c r="DM743" i="1"/>
  <c r="DM744" i="1"/>
  <c r="DM745" i="1"/>
  <c r="DM748" i="1"/>
  <c r="DM750" i="1"/>
  <c r="DM751" i="1"/>
  <c r="DM752" i="1"/>
  <c r="DM753" i="1"/>
  <c r="DM754" i="1"/>
  <c r="DM755" i="1"/>
  <c r="DM756" i="1"/>
  <c r="DM758" i="1"/>
  <c r="DM760" i="1"/>
  <c r="DM761" i="1"/>
  <c r="DM763" i="1"/>
  <c r="DM764" i="1"/>
  <c r="DM766" i="1"/>
  <c r="DM767" i="1"/>
  <c r="DM768" i="1"/>
  <c r="DM769" i="1"/>
  <c r="DM774" i="1"/>
  <c r="DM775" i="1"/>
  <c r="DM777" i="1"/>
  <c r="DM778" i="1"/>
  <c r="DM779" i="1"/>
  <c r="DM780" i="1"/>
  <c r="DM782" i="1"/>
  <c r="DM783" i="1"/>
  <c r="DM784" i="1"/>
  <c r="DM785" i="1"/>
  <c r="DM786" i="1"/>
  <c r="DM787" i="1"/>
  <c r="DM789" i="1"/>
  <c r="DM790" i="1"/>
  <c r="DM791" i="1"/>
  <c r="DM793" i="1"/>
  <c r="DM794" i="1"/>
  <c r="DM795" i="1"/>
  <c r="DM796" i="1"/>
  <c r="DM797" i="1"/>
  <c r="DM798" i="1"/>
  <c r="DM800" i="1"/>
  <c r="DM801" i="1"/>
  <c r="DM802" i="1"/>
  <c r="DM803" i="1"/>
  <c r="DM804" i="1"/>
  <c r="DM805" i="1"/>
  <c r="DM806" i="1"/>
  <c r="DM807" i="1"/>
  <c r="DM808" i="1"/>
  <c r="DM810" i="1"/>
  <c r="DM811" i="1"/>
  <c r="DM812" i="1"/>
  <c r="DM813" i="1"/>
  <c r="DM814" i="1"/>
  <c r="DM815" i="1"/>
  <c r="DM816" i="1"/>
  <c r="DM818" i="1"/>
  <c r="DM819" i="1"/>
  <c r="DM820" i="1"/>
  <c r="DM822" i="1"/>
  <c r="DM823" i="1"/>
  <c r="DM824" i="1"/>
  <c r="DM825" i="1"/>
  <c r="DM826" i="1"/>
  <c r="DM827" i="1"/>
  <c r="DM829" i="1"/>
  <c r="DM830" i="1"/>
  <c r="DM831" i="1"/>
  <c r="DM832" i="1"/>
  <c r="DM834" i="1"/>
  <c r="DM835" i="1"/>
  <c r="DM836" i="1"/>
  <c r="DM838" i="1"/>
  <c r="DM839" i="1"/>
  <c r="DM840" i="1"/>
  <c r="DM841" i="1"/>
  <c r="DM842" i="1"/>
  <c r="DM843" i="1"/>
  <c r="DM845" i="1"/>
  <c r="DM846" i="1"/>
  <c r="DM847" i="1"/>
  <c r="DM848" i="1"/>
  <c r="DM849" i="1"/>
  <c r="DM850" i="1"/>
  <c r="DM852" i="1"/>
  <c r="DM854" i="1"/>
  <c r="DM855" i="1"/>
  <c r="DM856" i="1"/>
  <c r="DM857" i="1"/>
  <c r="DM859" i="1"/>
  <c r="DM860" i="1"/>
  <c r="DM862" i="1"/>
  <c r="DM863" i="1"/>
  <c r="DM864" i="1"/>
  <c r="DM865" i="1"/>
  <c r="DM866" i="1"/>
  <c r="DM867" i="1"/>
  <c r="DM868" i="1"/>
  <c r="DM869" i="1"/>
  <c r="DM870" i="1"/>
  <c r="DM872" i="1"/>
  <c r="DM873" i="1"/>
  <c r="DM874" i="1"/>
  <c r="DM875" i="1"/>
  <c r="DM876" i="1"/>
  <c r="DM877" i="1"/>
  <c r="DM878" i="1"/>
  <c r="DM879" i="1"/>
  <c r="DM880" i="1"/>
  <c r="DM881" i="1"/>
  <c r="DM884" i="1"/>
  <c r="DM886" i="1"/>
  <c r="DM887" i="1"/>
  <c r="DM888" i="1"/>
  <c r="DM889" i="1"/>
  <c r="DM890" i="1"/>
  <c r="DM891" i="1"/>
  <c r="DM892" i="1"/>
  <c r="DM893" i="1"/>
  <c r="DM894" i="1"/>
  <c r="DM895" i="1"/>
  <c r="DM897" i="1"/>
  <c r="DM898" i="1"/>
  <c r="DM899" i="1"/>
  <c r="DM900" i="1"/>
  <c r="DM901" i="1"/>
  <c r="DM902" i="1"/>
  <c r="DM904" i="1"/>
  <c r="DM905" i="1"/>
  <c r="DM906" i="1"/>
  <c r="DM908" i="1"/>
  <c r="DM909" i="1"/>
  <c r="DM910" i="1"/>
  <c r="DM911" i="1"/>
  <c r="DM912" i="1"/>
  <c r="DM913" i="1"/>
  <c r="DM915" i="1"/>
  <c r="DM916" i="1"/>
  <c r="DM917" i="1"/>
  <c r="DM918" i="1"/>
  <c r="DM919" i="1"/>
  <c r="DM921" i="1"/>
  <c r="DM922" i="1"/>
  <c r="DM923" i="1"/>
  <c r="DM924" i="1"/>
  <c r="DM925" i="1"/>
  <c r="DM927" i="1"/>
  <c r="DM928" i="1"/>
  <c r="DM929" i="1"/>
  <c r="DM930" i="1"/>
  <c r="DM931" i="1"/>
  <c r="DM932" i="1"/>
  <c r="DM933" i="1"/>
  <c r="DM935" i="1"/>
  <c r="DM936" i="1"/>
  <c r="DM937" i="1"/>
  <c r="DM938" i="1"/>
  <c r="DM939" i="1"/>
  <c r="DM940" i="1"/>
  <c r="DM941" i="1"/>
  <c r="DM943" i="1"/>
  <c r="DM944" i="1"/>
  <c r="DM945" i="1"/>
  <c r="DM947" i="1"/>
  <c r="DM948" i="1"/>
  <c r="DM950" i="1"/>
  <c r="DM951" i="1"/>
  <c r="DM952" i="1"/>
  <c r="DM953" i="1"/>
  <c r="DM954" i="1"/>
  <c r="DM955" i="1"/>
  <c r="DM956" i="1"/>
  <c r="DM957" i="1"/>
  <c r="DM958" i="1"/>
  <c r="DM960" i="1"/>
  <c r="DM961" i="1"/>
  <c r="DM962" i="1"/>
  <c r="DM963" i="1"/>
  <c r="DM964" i="1"/>
  <c r="DM965" i="1"/>
  <c r="DM966" i="1"/>
  <c r="DM967" i="1"/>
  <c r="DM969" i="1"/>
  <c r="DM970" i="1"/>
  <c r="DM971" i="1"/>
  <c r="DM972" i="1"/>
  <c r="DM973" i="1"/>
  <c r="DM974" i="1"/>
  <c r="DM975" i="1"/>
  <c r="DM977" i="1"/>
  <c r="DM978" i="1"/>
  <c r="DM979" i="1"/>
  <c r="DM980" i="1"/>
  <c r="DM981" i="1"/>
  <c r="DM983" i="1"/>
  <c r="DM985" i="1"/>
  <c r="DM986" i="1"/>
  <c r="DM987" i="1"/>
  <c r="DM989" i="1"/>
  <c r="DM990" i="1"/>
  <c r="DM991" i="1"/>
  <c r="DM992" i="1"/>
  <c r="DM993" i="1"/>
  <c r="DM994" i="1"/>
  <c r="DM996" i="1"/>
  <c r="DM997" i="1"/>
  <c r="DM998" i="1"/>
  <c r="DM999" i="1"/>
  <c r="DM1000" i="1"/>
  <c r="DM1001" i="1"/>
  <c r="DM1002" i="1"/>
  <c r="DM1003" i="1"/>
  <c r="DM1005" i="1"/>
  <c r="DM1006" i="1"/>
  <c r="DM1007" i="1"/>
  <c r="DM1008" i="1"/>
  <c r="DM1009" i="1"/>
  <c r="DM1010" i="1"/>
  <c r="DM1011" i="1"/>
  <c r="DM1012" i="1"/>
  <c r="DM1013" i="1"/>
  <c r="DM1014" i="1"/>
  <c r="DM1015" i="1"/>
  <c r="DM1016" i="1"/>
  <c r="DM1017" i="1"/>
  <c r="DM1018" i="1"/>
  <c r="DM1019" i="1"/>
  <c r="DM1020" i="1"/>
  <c r="DM1021" i="1"/>
  <c r="DM1022" i="1"/>
  <c r="DM1023" i="1"/>
  <c r="DM1025" i="1"/>
  <c r="DM1026" i="1"/>
  <c r="DM1027" i="1"/>
  <c r="DM1028" i="1"/>
  <c r="DM1029" i="1"/>
  <c r="DM1030" i="1"/>
  <c r="DM1031" i="1"/>
  <c r="DM1032" i="1"/>
  <c r="DM1033" i="1"/>
  <c r="DM1035" i="1"/>
  <c r="DM1036" i="1"/>
  <c r="DM1037" i="1"/>
  <c r="DM1038" i="1"/>
  <c r="DM1039" i="1"/>
  <c r="DM1040" i="1"/>
  <c r="DM1041" i="1"/>
  <c r="DM1042" i="1"/>
  <c r="DM1043" i="1"/>
  <c r="DM1044" i="1"/>
  <c r="DM1046" i="1"/>
  <c r="DM1047" i="1"/>
  <c r="DM1048" i="1"/>
  <c r="DM1051" i="1"/>
  <c r="DM1053" i="1"/>
  <c r="DM1054" i="1"/>
  <c r="DM1055" i="1"/>
  <c r="DM1056" i="1"/>
  <c r="DM1057" i="1"/>
  <c r="DM1059" i="1"/>
  <c r="DM1060" i="1"/>
  <c r="DM1061" i="1"/>
  <c r="DM1062" i="1"/>
  <c r="DM1063" i="1"/>
  <c r="DM1064" i="1"/>
  <c r="DM1066" i="1"/>
  <c r="DM1067" i="1"/>
  <c r="DM1068" i="1"/>
  <c r="DM1069" i="1"/>
  <c r="DM1070" i="1"/>
  <c r="DM1071" i="1"/>
  <c r="DM1072" i="1"/>
  <c r="DM1073" i="1"/>
  <c r="DM1075" i="1"/>
  <c r="DM1076" i="1"/>
  <c r="DM1077" i="1"/>
  <c r="DM1079" i="1"/>
  <c r="DM1080" i="1"/>
  <c r="DM1081" i="1"/>
  <c r="DM1082" i="1"/>
  <c r="DM1083" i="1"/>
  <c r="DM1084" i="1"/>
  <c r="DM1086" i="1"/>
  <c r="DM1087" i="1"/>
  <c r="DM1088" i="1"/>
  <c r="DM1089" i="1"/>
  <c r="DM1090" i="1"/>
  <c r="DM1091" i="1"/>
  <c r="DM1092" i="1"/>
  <c r="DM1093" i="1"/>
  <c r="DM1094" i="1"/>
  <c r="DM1096" i="1"/>
  <c r="DM1097" i="1"/>
  <c r="DM1098" i="1"/>
  <c r="DM1099" i="1"/>
  <c r="DM1100" i="1"/>
  <c r="DM1101" i="1"/>
  <c r="DM1102" i="1"/>
  <c r="DM1103" i="1"/>
  <c r="DM1104" i="1"/>
  <c r="DM1105" i="1"/>
  <c r="DM1106" i="1"/>
  <c r="DM1108" i="1"/>
  <c r="DM1109" i="1"/>
  <c r="DM1110" i="1"/>
  <c r="DM1111" i="1"/>
  <c r="DM1112" i="1"/>
  <c r="DM1113" i="1"/>
  <c r="DM1115" i="1"/>
  <c r="DM1116" i="1"/>
  <c r="DM1117" i="1"/>
  <c r="DM1118" i="1"/>
  <c r="DM1120" i="1"/>
  <c r="DM1122" i="1"/>
  <c r="DM1123" i="1"/>
  <c r="DM1124" i="1"/>
  <c r="DM1126" i="1"/>
  <c r="DM1127" i="1"/>
  <c r="DM1128" i="1"/>
  <c r="DM1129" i="1"/>
  <c r="DM1130" i="1"/>
  <c r="DM1132" i="1"/>
  <c r="DM1133" i="1"/>
  <c r="DM1135" i="1"/>
  <c r="DM1136" i="1"/>
  <c r="DM1137" i="1"/>
  <c r="DM1138" i="1"/>
  <c r="DM1139" i="1"/>
  <c r="DM1140" i="1"/>
  <c r="DM1142" i="1"/>
  <c r="DM1143" i="1"/>
  <c r="DM1144" i="1"/>
  <c r="DM1145" i="1"/>
  <c r="DM1146" i="1"/>
  <c r="DM1147" i="1"/>
  <c r="DM1148" i="1"/>
  <c r="DM1149" i="1"/>
  <c r="DM1150" i="1"/>
  <c r="DM1152" i="1"/>
  <c r="DM1153" i="1"/>
  <c r="DM1154" i="1"/>
  <c r="DM1155" i="1"/>
  <c r="DM1157" i="1"/>
  <c r="DM1158" i="1"/>
  <c r="DM1159" i="1"/>
  <c r="DM1160" i="1"/>
  <c r="DM1161" i="1"/>
  <c r="DM1162" i="1"/>
  <c r="DM1163" i="1"/>
  <c r="DM1164" i="1"/>
  <c r="DM1165" i="1"/>
  <c r="DM1167" i="1"/>
  <c r="DM1168" i="1"/>
  <c r="DM1169" i="1"/>
  <c r="DM1170" i="1"/>
  <c r="DM1172" i="1"/>
  <c r="DM1173" i="1"/>
  <c r="DM1174" i="1"/>
  <c r="DM1175" i="1"/>
  <c r="DM1177" i="1"/>
  <c r="DM1178" i="1"/>
  <c r="DM1179" i="1"/>
  <c r="DM1180" i="1"/>
  <c r="DM1181" i="1"/>
  <c r="DM1182" i="1"/>
  <c r="DM1183" i="1"/>
  <c r="DM1185" i="1"/>
  <c r="DM1186" i="1"/>
  <c r="DM1187" i="1"/>
  <c r="DM1188" i="1"/>
  <c r="DM1189" i="1"/>
  <c r="DM1190" i="1"/>
  <c r="DM1192" i="1"/>
  <c r="DM1194" i="1"/>
  <c r="DM1195" i="1"/>
  <c r="DM1196" i="1"/>
  <c r="DM1199" i="1"/>
  <c r="DM1201" i="1"/>
  <c r="DM1202" i="1"/>
  <c r="DM1203" i="1"/>
  <c r="DM1204" i="1"/>
  <c r="DM1205" i="1"/>
  <c r="DM1206" i="1"/>
  <c r="DM1207" i="1"/>
  <c r="DM1209" i="1"/>
  <c r="DM1210" i="1"/>
  <c r="DM1211" i="1"/>
  <c r="DM1212" i="1"/>
  <c r="DM1213" i="1"/>
  <c r="DM1214" i="1"/>
  <c r="DM1215" i="1"/>
  <c r="DM1216" i="1"/>
  <c r="DM1217" i="1"/>
  <c r="DM1219" i="1"/>
  <c r="DM1220" i="1"/>
  <c r="DM1222" i="1"/>
  <c r="DM1223" i="1"/>
  <c r="DM1224" i="1"/>
  <c r="DM1225" i="1"/>
  <c r="DM1226" i="1"/>
  <c r="DM1227" i="1"/>
  <c r="DM1229" i="1"/>
  <c r="DM1230" i="1"/>
  <c r="DM1231" i="1"/>
  <c r="DM1232" i="1"/>
  <c r="DM1233" i="1"/>
  <c r="DM1234" i="1"/>
  <c r="DM1235" i="1"/>
  <c r="DM1236" i="1"/>
  <c r="DM1238" i="1"/>
  <c r="DM1240" i="1"/>
  <c r="DM1241" i="1"/>
  <c r="DM1242" i="1"/>
  <c r="DM1244" i="1"/>
  <c r="DM1245" i="1"/>
  <c r="DM1246" i="1"/>
  <c r="DM1247" i="1"/>
  <c r="DM1248" i="1"/>
  <c r="DM1250" i="1"/>
  <c r="DM1251" i="1"/>
  <c r="DM1252" i="1"/>
  <c r="DM1253" i="1"/>
  <c r="DM1254" i="1"/>
  <c r="DM1255" i="1"/>
  <c r="DM1256" i="1"/>
  <c r="DM1257" i="1"/>
  <c r="DM1258" i="1"/>
  <c r="DM1259" i="1"/>
  <c r="DM1261" i="1"/>
  <c r="DM1262" i="1"/>
  <c r="DM1263" i="1"/>
  <c r="DM1265" i="1"/>
  <c r="DM1266" i="1"/>
  <c r="DM1267" i="1"/>
  <c r="DM1268" i="1"/>
  <c r="DM1272" i="1"/>
  <c r="DM1274" i="1"/>
  <c r="DM1275" i="1"/>
  <c r="DM1276" i="1"/>
  <c r="DM1277" i="1"/>
  <c r="DM1278" i="1"/>
  <c r="DM1279" i="1"/>
  <c r="DM1280" i="1"/>
  <c r="DM1282" i="1"/>
  <c r="DM1283" i="1"/>
  <c r="DM1284" i="1"/>
  <c r="DM1285" i="1"/>
  <c r="DM1286" i="1"/>
  <c r="DM1287" i="1"/>
  <c r="DM1288" i="1"/>
  <c r="DM1289" i="1"/>
  <c r="DM1291" i="1"/>
  <c r="DM1292" i="1"/>
  <c r="DM1293" i="1"/>
  <c r="DM1294" i="1"/>
  <c r="DM1295" i="1"/>
  <c r="DM1296" i="1"/>
  <c r="DM1297" i="1"/>
  <c r="DM1298" i="1"/>
  <c r="DM1299" i="1"/>
  <c r="DM1300" i="1"/>
  <c r="DM1301" i="1"/>
  <c r="DM1303" i="1"/>
  <c r="DM1304" i="1"/>
  <c r="DM1305" i="1"/>
  <c r="DM1306" i="1"/>
  <c r="DM1307" i="1"/>
  <c r="DM1308" i="1"/>
  <c r="DM1309" i="1"/>
  <c r="DM1310" i="1"/>
  <c r="DM1311" i="1"/>
  <c r="DM1312" i="1"/>
  <c r="DM1313" i="1"/>
  <c r="DN67" i="1"/>
  <c r="DN68" i="1"/>
  <c r="DN69" i="1"/>
  <c r="DN70" i="1"/>
  <c r="DN71" i="1"/>
  <c r="DN72" i="1"/>
  <c r="DN73" i="1"/>
  <c r="DN74" i="1"/>
  <c r="DN76" i="1"/>
  <c r="DN77" i="1"/>
  <c r="DN78" i="1"/>
  <c r="DN79" i="1"/>
  <c r="DN80" i="1"/>
  <c r="DN81" i="1"/>
  <c r="DN82" i="1"/>
  <c r="DN84" i="1"/>
  <c r="DN85" i="1"/>
  <c r="DN86" i="1"/>
  <c r="DN87" i="1"/>
  <c r="DN88" i="1"/>
  <c r="DN89" i="1"/>
  <c r="DN90" i="1"/>
  <c r="DN92" i="1"/>
  <c r="DN93" i="1"/>
  <c r="DN94" i="1"/>
  <c r="DN95" i="1"/>
  <c r="DN96" i="1"/>
  <c r="DN97" i="1"/>
  <c r="DN98" i="1"/>
  <c r="DN101" i="1"/>
  <c r="DN103" i="1"/>
  <c r="DN104" i="1"/>
  <c r="DN105" i="1"/>
  <c r="DN106" i="1"/>
  <c r="DN107" i="1"/>
  <c r="DN108" i="1"/>
  <c r="DN109" i="1"/>
  <c r="DN111" i="1"/>
  <c r="DN112" i="1"/>
  <c r="DN113" i="1"/>
  <c r="DN114" i="1"/>
  <c r="DN115" i="1"/>
  <c r="DN116" i="1"/>
  <c r="DN117" i="1"/>
  <c r="DN118" i="1"/>
  <c r="DN119" i="1"/>
  <c r="DN120" i="1"/>
  <c r="DN122" i="1"/>
  <c r="DN124" i="1"/>
  <c r="DN125" i="1"/>
  <c r="DN126" i="1"/>
  <c r="DN129" i="1"/>
  <c r="DN131" i="1"/>
  <c r="DN132" i="1"/>
  <c r="DN133" i="1"/>
  <c r="DN136" i="1"/>
  <c r="DN138" i="1"/>
  <c r="DN139" i="1"/>
  <c r="DN140" i="1"/>
  <c r="DN141" i="1"/>
  <c r="DN142" i="1"/>
  <c r="DN144" i="1"/>
  <c r="DN145" i="1"/>
  <c r="DN146" i="1"/>
  <c r="DN147" i="1"/>
  <c r="DN148" i="1"/>
  <c r="DN149" i="1"/>
  <c r="DN151" i="1"/>
  <c r="DN152" i="1"/>
  <c r="DN153" i="1"/>
  <c r="DN154" i="1"/>
  <c r="DN155" i="1"/>
  <c r="DN156" i="1"/>
  <c r="DN157" i="1"/>
  <c r="DN158" i="1"/>
  <c r="DN160" i="1"/>
  <c r="DN161" i="1"/>
  <c r="DN162" i="1"/>
  <c r="DN163" i="1"/>
  <c r="DN165" i="1"/>
  <c r="DN166" i="1"/>
  <c r="DN167" i="1"/>
  <c r="DN168" i="1"/>
  <c r="DN169" i="1"/>
  <c r="DN170" i="1"/>
  <c r="DN172" i="1"/>
  <c r="DN173" i="1"/>
  <c r="DN175" i="1"/>
  <c r="DN176" i="1"/>
  <c r="DN177" i="1"/>
  <c r="DN178" i="1"/>
  <c r="DN179" i="1"/>
  <c r="DN180" i="1"/>
  <c r="DN181" i="1"/>
  <c r="DN182" i="1"/>
  <c r="DN183" i="1"/>
  <c r="DN184" i="1"/>
  <c r="DN186" i="1"/>
  <c r="DN187" i="1"/>
  <c r="DN188" i="1"/>
  <c r="DN189" i="1"/>
  <c r="DN190" i="1"/>
  <c r="DN191" i="1"/>
  <c r="DN192" i="1"/>
  <c r="DN193" i="1"/>
  <c r="DN195" i="1"/>
  <c r="DN196" i="1"/>
  <c r="DN197" i="1"/>
  <c r="DN198" i="1"/>
  <c r="DN200" i="1"/>
  <c r="DN201" i="1"/>
  <c r="DN202" i="1"/>
  <c r="DN203" i="1"/>
  <c r="DN204" i="1"/>
  <c r="DN205" i="1"/>
  <c r="DN206" i="1"/>
  <c r="DN207" i="1"/>
  <c r="DN209" i="1"/>
  <c r="DN210" i="1"/>
  <c r="DN211" i="1"/>
  <c r="DN212" i="1"/>
  <c r="DN213" i="1"/>
  <c r="DN214" i="1"/>
  <c r="DN215" i="1"/>
  <c r="DN217" i="1"/>
  <c r="DN218" i="1"/>
  <c r="DN219" i="1"/>
  <c r="DN220" i="1"/>
  <c r="DN221" i="1"/>
  <c r="DN222" i="1"/>
  <c r="DN224" i="1"/>
  <c r="DN225" i="1"/>
  <c r="DN226" i="1"/>
  <c r="DN227" i="1"/>
  <c r="DN228" i="1"/>
  <c r="DN229" i="1"/>
  <c r="DN231" i="1"/>
  <c r="DN232" i="1"/>
  <c r="DN233" i="1"/>
  <c r="DN234" i="1"/>
  <c r="DN235" i="1"/>
  <c r="DN236" i="1"/>
  <c r="DN237" i="1"/>
  <c r="DN238" i="1"/>
  <c r="DN240" i="1"/>
  <c r="DN241" i="1"/>
  <c r="DN242" i="1"/>
  <c r="DN243" i="1"/>
  <c r="DN244" i="1"/>
  <c r="DN245" i="1"/>
  <c r="DN246" i="1"/>
  <c r="DN247" i="1"/>
  <c r="DN249" i="1"/>
  <c r="DN250" i="1"/>
  <c r="DN251" i="1"/>
  <c r="DN252" i="1"/>
  <c r="DN253" i="1"/>
  <c r="DN254" i="1"/>
  <c r="DN255" i="1"/>
  <c r="DN256" i="1"/>
  <c r="DN258" i="1"/>
  <c r="DN259" i="1"/>
  <c r="DN260" i="1"/>
  <c r="DN261" i="1"/>
  <c r="DN262" i="1"/>
  <c r="DN263" i="1"/>
  <c r="DN264" i="1"/>
  <c r="DN265" i="1"/>
  <c r="DN266" i="1"/>
  <c r="DN268" i="1"/>
  <c r="DN269" i="1"/>
  <c r="DN270" i="1"/>
  <c r="DN271" i="1"/>
  <c r="DN272" i="1"/>
  <c r="DN273" i="1"/>
  <c r="DN274" i="1"/>
  <c r="DN275" i="1"/>
  <c r="DN276" i="1"/>
  <c r="DN278" i="1"/>
  <c r="DN279" i="1"/>
  <c r="DN280" i="1"/>
  <c r="DN281" i="1"/>
  <c r="DN282" i="1"/>
  <c r="DN283" i="1"/>
  <c r="DN285" i="1"/>
  <c r="DN286" i="1"/>
  <c r="DN287" i="1"/>
  <c r="DN288" i="1"/>
  <c r="DN291" i="1"/>
  <c r="DN292" i="1"/>
  <c r="DN293" i="1"/>
  <c r="DN294" i="1"/>
  <c r="DN296" i="1"/>
  <c r="DN297" i="1"/>
  <c r="DN298" i="1"/>
  <c r="DN299" i="1"/>
  <c r="DN300" i="1"/>
  <c r="DN301" i="1"/>
  <c r="DN302" i="1"/>
  <c r="DN303" i="1"/>
  <c r="DN305" i="1"/>
  <c r="DN306" i="1"/>
  <c r="DN307" i="1"/>
  <c r="DN308" i="1"/>
  <c r="DN309" i="1"/>
  <c r="DN310" i="1"/>
  <c r="DN311" i="1"/>
  <c r="DN312" i="1"/>
  <c r="DN313" i="1"/>
  <c r="DN314" i="1"/>
  <c r="DN316" i="1"/>
  <c r="DN317" i="1"/>
  <c r="DN318" i="1"/>
  <c r="DN319" i="1"/>
  <c r="DN320" i="1"/>
  <c r="DN321" i="1"/>
  <c r="DN322" i="1"/>
  <c r="DN323" i="1"/>
  <c r="DN324" i="1"/>
  <c r="DN325" i="1"/>
  <c r="DN326" i="1"/>
  <c r="DN327" i="1"/>
  <c r="DN329" i="1"/>
  <c r="DN330" i="1"/>
  <c r="DN332" i="1"/>
  <c r="DN333" i="1"/>
  <c r="DN334" i="1"/>
  <c r="DN335" i="1"/>
  <c r="DN336" i="1"/>
  <c r="DN337" i="1"/>
  <c r="DN338" i="1"/>
  <c r="DN340" i="1"/>
  <c r="DN341" i="1"/>
  <c r="DN342" i="1"/>
  <c r="DN343" i="1"/>
  <c r="DN344" i="1"/>
  <c r="DN345" i="1"/>
  <c r="DN346" i="1"/>
  <c r="DN347" i="1"/>
  <c r="DN348" i="1"/>
  <c r="DN349" i="1"/>
  <c r="DN351" i="1"/>
  <c r="DN352" i="1"/>
  <c r="DN353" i="1"/>
  <c r="DN354" i="1"/>
  <c r="DN355" i="1"/>
  <c r="DN356" i="1"/>
  <c r="DN358" i="1"/>
  <c r="DN359" i="1"/>
  <c r="DN360" i="1"/>
  <c r="DN361" i="1"/>
  <c r="DN362" i="1"/>
  <c r="DN363" i="1"/>
  <c r="DN364" i="1"/>
  <c r="DN365" i="1"/>
  <c r="DN367" i="1"/>
  <c r="DN368" i="1"/>
  <c r="DN369" i="1"/>
  <c r="DN371" i="1"/>
  <c r="DN372" i="1"/>
  <c r="DN373" i="1"/>
  <c r="DN375" i="1"/>
  <c r="DN376" i="1"/>
  <c r="DN378" i="1"/>
  <c r="DN379" i="1"/>
  <c r="DN380" i="1"/>
  <c r="DN381" i="1"/>
  <c r="DN382" i="1"/>
  <c r="DN383" i="1"/>
  <c r="DN385" i="1"/>
  <c r="DN386" i="1"/>
  <c r="DN387" i="1"/>
  <c r="DN388" i="1"/>
  <c r="DN389" i="1"/>
  <c r="DN390" i="1"/>
  <c r="DN391" i="1"/>
  <c r="DN393" i="1"/>
  <c r="DN394" i="1"/>
  <c r="DN395" i="1"/>
  <c r="DN396" i="1"/>
  <c r="DN397" i="1"/>
  <c r="DN398" i="1"/>
  <c r="DN399" i="1"/>
  <c r="DN400" i="1"/>
  <c r="DN401" i="1"/>
  <c r="DN403" i="1"/>
  <c r="DN404" i="1"/>
  <c r="DN405" i="1"/>
  <c r="DN406" i="1"/>
  <c r="DN407" i="1"/>
  <c r="DN408" i="1"/>
  <c r="DN409" i="1"/>
  <c r="DN410" i="1"/>
  <c r="DN411" i="1"/>
  <c r="DN413" i="1"/>
  <c r="DN414" i="1"/>
  <c r="DN415" i="1"/>
  <c r="DN416" i="1"/>
  <c r="DN417" i="1"/>
  <c r="DN418" i="1"/>
  <c r="DN421" i="1"/>
  <c r="DN422" i="1"/>
  <c r="DN423" i="1"/>
  <c r="DN424" i="1"/>
  <c r="DN425" i="1"/>
  <c r="DN426" i="1"/>
  <c r="DN427" i="1"/>
  <c r="DN428" i="1"/>
  <c r="DN430" i="1"/>
  <c r="DN431" i="1"/>
  <c r="DN432" i="1"/>
  <c r="DN433" i="1"/>
  <c r="DN434" i="1"/>
  <c r="DN435" i="1"/>
  <c r="DN436" i="1"/>
  <c r="DN438" i="1"/>
  <c r="DN439" i="1"/>
  <c r="DN440" i="1"/>
  <c r="DN441" i="1"/>
  <c r="DN442" i="1"/>
  <c r="DN443" i="1"/>
  <c r="DN445" i="1"/>
  <c r="DN446" i="1"/>
  <c r="DN447" i="1"/>
  <c r="DN448" i="1"/>
  <c r="DN449" i="1"/>
  <c r="DN450" i="1"/>
  <c r="DN451" i="1"/>
  <c r="DN452" i="1"/>
  <c r="DN454" i="1"/>
  <c r="DN455" i="1"/>
  <c r="DN456" i="1"/>
  <c r="DN457" i="1"/>
  <c r="DN459" i="1"/>
  <c r="DN460" i="1"/>
  <c r="DN461" i="1"/>
  <c r="DN462" i="1"/>
  <c r="DN463" i="1"/>
  <c r="DN464" i="1"/>
  <c r="DN465" i="1"/>
  <c r="DN466" i="1"/>
  <c r="DN468" i="1"/>
  <c r="DN469" i="1"/>
  <c r="DN470" i="1"/>
  <c r="DN471" i="1"/>
  <c r="DN472" i="1"/>
  <c r="DN473" i="1"/>
  <c r="DN474" i="1"/>
  <c r="DN475" i="1"/>
  <c r="DN476" i="1"/>
  <c r="DN478" i="1"/>
  <c r="DN479" i="1"/>
  <c r="DN480" i="1"/>
  <c r="DN481" i="1"/>
  <c r="DN482" i="1"/>
  <c r="DN483" i="1"/>
  <c r="DN485" i="1"/>
  <c r="DN486" i="1"/>
  <c r="DN487" i="1"/>
  <c r="DN488" i="1"/>
  <c r="DN489" i="1"/>
  <c r="DN490" i="1"/>
  <c r="DN491" i="1"/>
  <c r="DN492" i="1"/>
  <c r="DN493" i="1"/>
  <c r="DN495" i="1"/>
  <c r="DN496" i="1"/>
  <c r="DN497" i="1"/>
  <c r="DN498" i="1"/>
  <c r="DN499" i="1"/>
  <c r="DN500" i="1"/>
  <c r="DN502" i="1"/>
  <c r="DN503" i="1"/>
  <c r="DN504" i="1"/>
  <c r="DN505" i="1"/>
  <c r="DN506" i="1"/>
  <c r="DN507" i="1"/>
  <c r="DN508" i="1"/>
  <c r="DN510" i="1"/>
  <c r="DN511" i="1"/>
  <c r="DN512" i="1"/>
  <c r="DN514" i="1"/>
  <c r="DN515" i="1"/>
  <c r="DN516" i="1"/>
  <c r="DN517" i="1"/>
  <c r="DN518" i="1"/>
  <c r="DN520" i="1"/>
  <c r="DN521" i="1"/>
  <c r="DN522" i="1"/>
  <c r="DN523" i="1"/>
  <c r="DN524" i="1"/>
  <c r="DN525" i="1"/>
  <c r="DN526" i="1"/>
  <c r="DN527" i="1"/>
  <c r="DN529" i="1"/>
  <c r="DN530" i="1"/>
  <c r="DN531" i="1"/>
  <c r="DN532" i="1"/>
  <c r="DN533" i="1"/>
  <c r="DN534" i="1"/>
  <c r="DN535" i="1"/>
  <c r="DN536" i="1"/>
  <c r="DN538" i="1"/>
  <c r="DN539" i="1"/>
  <c r="DN540" i="1"/>
  <c r="DN541" i="1"/>
  <c r="DN542" i="1"/>
  <c r="DN543" i="1"/>
  <c r="DN544" i="1"/>
  <c r="DN545" i="1"/>
  <c r="DN546" i="1"/>
  <c r="DN548" i="1"/>
  <c r="DN549" i="1"/>
  <c r="DN550" i="1"/>
  <c r="DN551" i="1"/>
  <c r="DN552" i="1"/>
  <c r="DN553" i="1"/>
  <c r="DN554" i="1"/>
  <c r="DN555" i="1"/>
  <c r="DN557" i="1"/>
  <c r="DN558" i="1"/>
  <c r="DN559" i="1"/>
  <c r="DN560" i="1"/>
  <c r="DN561" i="1"/>
  <c r="DN562" i="1"/>
  <c r="DN564" i="1"/>
  <c r="DN565" i="1"/>
  <c r="DN566" i="1"/>
  <c r="DN567" i="1"/>
  <c r="DN569" i="1"/>
  <c r="DN570" i="1"/>
  <c r="DN572" i="1"/>
  <c r="DN573" i="1"/>
  <c r="DN574" i="1"/>
  <c r="DN576" i="1"/>
  <c r="DN577" i="1"/>
  <c r="DN578" i="1"/>
  <c r="DN579" i="1"/>
  <c r="DN580" i="1"/>
  <c r="DN581" i="1"/>
  <c r="DN583" i="1"/>
  <c r="DN584" i="1"/>
  <c r="DN586" i="1"/>
  <c r="DN587" i="1"/>
  <c r="DN588" i="1"/>
  <c r="DN590" i="1"/>
  <c r="DN591" i="1"/>
  <c r="DN592" i="1"/>
  <c r="DN593" i="1"/>
  <c r="DN594" i="1"/>
  <c r="DN595" i="1"/>
  <c r="DN596" i="1"/>
  <c r="DN597" i="1"/>
  <c r="DN598" i="1"/>
  <c r="DN600" i="1"/>
  <c r="DN601" i="1"/>
  <c r="DN603" i="1"/>
  <c r="DN604" i="1"/>
  <c r="DN605" i="1"/>
  <c r="DN607" i="1"/>
  <c r="DN608" i="1"/>
  <c r="DN609" i="1"/>
  <c r="DN610" i="1"/>
  <c r="DN611" i="1"/>
  <c r="DN612" i="1"/>
  <c r="DN614" i="1"/>
  <c r="DN615" i="1"/>
  <c r="DN616" i="1"/>
  <c r="DN617" i="1"/>
  <c r="DN618" i="1"/>
  <c r="DN619" i="1"/>
  <c r="DN620" i="1"/>
  <c r="DN622" i="1"/>
  <c r="DN623" i="1"/>
  <c r="DN624" i="1"/>
  <c r="DN625" i="1"/>
  <c r="DN626" i="1"/>
  <c r="DN628" i="1"/>
  <c r="DN629" i="1"/>
  <c r="DN630" i="1"/>
  <c r="DN631" i="1"/>
  <c r="DN632" i="1"/>
  <c r="DN633" i="1"/>
  <c r="DN634" i="1"/>
  <c r="DN636" i="1"/>
  <c r="DN637" i="1"/>
  <c r="DN638" i="1"/>
  <c r="DN639" i="1"/>
  <c r="DN641" i="1"/>
  <c r="DN643" i="1"/>
  <c r="DN644" i="1"/>
  <c r="DN645" i="1"/>
  <c r="DN647" i="1"/>
  <c r="DN648" i="1"/>
  <c r="DN649" i="1"/>
  <c r="DN650" i="1"/>
  <c r="DN651" i="1"/>
  <c r="DN652" i="1"/>
  <c r="DN654" i="1"/>
  <c r="DN655" i="1"/>
  <c r="DN656" i="1"/>
  <c r="DN657" i="1"/>
  <c r="DN658" i="1"/>
  <c r="DN659" i="1"/>
  <c r="DN660" i="1"/>
  <c r="DN662" i="1"/>
  <c r="DN663" i="1"/>
  <c r="DN665" i="1"/>
  <c r="DN666" i="1"/>
  <c r="DN667" i="1"/>
  <c r="DN669" i="1"/>
  <c r="DN670" i="1"/>
  <c r="DN671" i="1"/>
  <c r="DN672" i="1"/>
  <c r="DN674" i="1"/>
  <c r="DN675" i="1"/>
  <c r="DN676" i="1"/>
  <c r="DN677" i="1"/>
  <c r="DN678" i="1"/>
  <c r="DN679" i="1"/>
  <c r="DN681" i="1"/>
  <c r="DN682" i="1"/>
  <c r="DN683" i="1"/>
  <c r="DN684" i="1"/>
  <c r="DN685" i="1"/>
  <c r="DN686" i="1"/>
  <c r="DN687" i="1"/>
  <c r="DN688" i="1"/>
  <c r="DN689" i="1"/>
  <c r="DN690" i="1"/>
  <c r="DN691" i="1"/>
  <c r="DN693" i="1"/>
  <c r="DN694" i="1"/>
  <c r="DN695" i="1"/>
  <c r="DN696" i="1"/>
  <c r="DN698" i="1"/>
  <c r="DN699" i="1"/>
  <c r="DN702" i="1"/>
  <c r="DN703" i="1"/>
  <c r="DN704" i="1"/>
  <c r="DN706" i="1"/>
  <c r="DN707" i="1"/>
  <c r="DN708" i="1"/>
  <c r="DN709" i="1"/>
  <c r="DN711" i="1"/>
  <c r="DN712" i="1"/>
  <c r="DN713" i="1"/>
  <c r="DN714" i="1"/>
  <c r="DN715" i="1"/>
  <c r="DN716" i="1"/>
  <c r="DN717" i="1"/>
  <c r="DN718" i="1"/>
  <c r="DN720" i="1"/>
  <c r="DN721" i="1"/>
  <c r="DN723" i="1"/>
  <c r="DN724" i="1"/>
  <c r="DN725" i="1"/>
  <c r="DN726" i="1"/>
  <c r="DN729" i="1"/>
  <c r="DN731" i="1"/>
  <c r="DN732" i="1"/>
  <c r="DN733" i="1"/>
  <c r="DN734" i="1"/>
  <c r="DN735" i="1"/>
  <c r="DN736" i="1"/>
  <c r="DN739" i="1"/>
  <c r="DN740" i="1"/>
  <c r="DN741" i="1"/>
  <c r="DN742" i="1"/>
  <c r="DN743" i="1"/>
  <c r="DN744" i="1"/>
  <c r="DN745" i="1"/>
  <c r="DN748" i="1"/>
  <c r="DN750" i="1"/>
  <c r="DN751" i="1"/>
  <c r="DN752" i="1"/>
  <c r="DN753" i="1"/>
  <c r="DN754" i="1"/>
  <c r="DN755" i="1"/>
  <c r="DN756" i="1"/>
  <c r="DN758" i="1"/>
  <c r="DN760" i="1"/>
  <c r="DN761" i="1"/>
  <c r="DN763" i="1"/>
  <c r="DN764" i="1"/>
  <c r="DN766" i="1"/>
  <c r="DN767" i="1"/>
  <c r="DN768" i="1"/>
  <c r="DN769" i="1"/>
  <c r="DN774" i="1"/>
  <c r="DN775" i="1"/>
  <c r="DN777" i="1"/>
  <c r="DN778" i="1"/>
  <c r="DN779" i="1"/>
  <c r="DN780" i="1"/>
  <c r="DN782" i="1"/>
  <c r="DN783" i="1"/>
  <c r="DN784" i="1"/>
  <c r="DN785" i="1"/>
  <c r="DN786" i="1"/>
  <c r="DN787" i="1"/>
  <c r="DN789" i="1"/>
  <c r="DN790" i="1"/>
  <c r="DN791" i="1"/>
  <c r="DN793" i="1"/>
  <c r="DN794" i="1"/>
  <c r="DN795" i="1"/>
  <c r="DN796" i="1"/>
  <c r="DN797" i="1"/>
  <c r="DN798" i="1"/>
  <c r="DN800" i="1"/>
  <c r="DN801" i="1"/>
  <c r="DN802" i="1"/>
  <c r="DN803" i="1"/>
  <c r="DN804" i="1"/>
  <c r="DN805" i="1"/>
  <c r="DN806" i="1"/>
  <c r="DN807" i="1"/>
  <c r="DN808" i="1"/>
  <c r="DN810" i="1"/>
  <c r="DN811" i="1"/>
  <c r="DN812" i="1"/>
  <c r="DN813" i="1"/>
  <c r="DN814" i="1"/>
  <c r="DN815" i="1"/>
  <c r="DN816" i="1"/>
  <c r="DN818" i="1"/>
  <c r="DN819" i="1"/>
  <c r="DN820" i="1"/>
  <c r="DN822" i="1"/>
  <c r="DN823" i="1"/>
  <c r="DN824" i="1"/>
  <c r="DN825" i="1"/>
  <c r="DN826" i="1"/>
  <c r="DN827" i="1"/>
  <c r="DN829" i="1"/>
  <c r="DN830" i="1"/>
  <c r="DN831" i="1"/>
  <c r="DN832" i="1"/>
  <c r="DN834" i="1"/>
  <c r="DN835" i="1"/>
  <c r="DN836" i="1"/>
  <c r="DN838" i="1"/>
  <c r="DN839" i="1"/>
  <c r="DN840" i="1"/>
  <c r="DN841" i="1"/>
  <c r="DN842" i="1"/>
  <c r="DN843" i="1"/>
  <c r="DN845" i="1"/>
  <c r="DN846" i="1"/>
  <c r="DN847" i="1"/>
  <c r="DN848" i="1"/>
  <c r="DN849" i="1"/>
  <c r="DN850" i="1"/>
  <c r="DN852" i="1"/>
  <c r="DN854" i="1"/>
  <c r="DN855" i="1"/>
  <c r="DN856" i="1"/>
  <c r="DN857" i="1"/>
  <c r="DN859" i="1"/>
  <c r="DN860" i="1"/>
  <c r="DN862" i="1"/>
  <c r="DN863" i="1"/>
  <c r="DN864" i="1"/>
  <c r="DN865" i="1"/>
  <c r="DN866" i="1"/>
  <c r="DN867" i="1"/>
  <c r="DN868" i="1"/>
  <c r="DN869" i="1"/>
  <c r="DN870" i="1"/>
  <c r="DN872" i="1"/>
  <c r="DN873" i="1"/>
  <c r="DN874" i="1"/>
  <c r="DN875" i="1"/>
  <c r="DN876" i="1"/>
  <c r="DN877" i="1"/>
  <c r="DN878" i="1"/>
  <c r="DN879" i="1"/>
  <c r="DN880" i="1"/>
  <c r="DN881" i="1"/>
  <c r="DN884" i="1"/>
  <c r="DN886" i="1"/>
  <c r="DN887" i="1"/>
  <c r="DN888" i="1"/>
  <c r="DN889" i="1"/>
  <c r="DN890" i="1"/>
  <c r="DN891" i="1"/>
  <c r="DN892" i="1"/>
  <c r="DN893" i="1"/>
  <c r="DN894" i="1"/>
  <c r="DN895" i="1"/>
  <c r="DN897" i="1"/>
  <c r="DN898" i="1"/>
  <c r="DN899" i="1"/>
  <c r="DN900" i="1"/>
  <c r="DN901" i="1"/>
  <c r="DN902" i="1"/>
  <c r="DN904" i="1"/>
  <c r="DN905" i="1"/>
  <c r="DN906" i="1"/>
  <c r="DN908" i="1"/>
  <c r="DN909" i="1"/>
  <c r="DN910" i="1"/>
  <c r="DN911" i="1"/>
  <c r="DN912" i="1"/>
  <c r="DN913" i="1"/>
  <c r="DN915" i="1"/>
  <c r="DN916" i="1"/>
  <c r="DN917" i="1"/>
  <c r="DN918" i="1"/>
  <c r="DN919" i="1"/>
  <c r="DN921" i="1"/>
  <c r="DN922" i="1"/>
  <c r="DN923" i="1"/>
  <c r="DN924" i="1"/>
  <c r="DN925" i="1"/>
  <c r="DN927" i="1"/>
  <c r="DN928" i="1"/>
  <c r="DN929" i="1"/>
  <c r="DN930" i="1"/>
  <c r="DN931" i="1"/>
  <c r="DN932" i="1"/>
  <c r="DN933" i="1"/>
  <c r="DN935" i="1"/>
  <c r="DN936" i="1"/>
  <c r="DN937" i="1"/>
  <c r="DN938" i="1"/>
  <c r="DN939" i="1"/>
  <c r="DN940" i="1"/>
  <c r="DN941" i="1"/>
  <c r="DN943" i="1"/>
  <c r="DN944" i="1"/>
  <c r="DN945" i="1"/>
  <c r="DN947" i="1"/>
  <c r="DN948" i="1"/>
  <c r="DN950" i="1"/>
  <c r="DN951" i="1"/>
  <c r="DN952" i="1"/>
  <c r="DN953" i="1"/>
  <c r="DN954" i="1"/>
  <c r="DN955" i="1"/>
  <c r="DN956" i="1"/>
  <c r="DN957" i="1"/>
  <c r="DN958" i="1"/>
  <c r="DN960" i="1"/>
  <c r="DN961" i="1"/>
  <c r="DN962" i="1"/>
  <c r="DN963" i="1"/>
  <c r="DN964" i="1"/>
  <c r="DN965" i="1"/>
  <c r="DN966" i="1"/>
  <c r="DN967" i="1"/>
  <c r="DN969" i="1"/>
  <c r="DN970" i="1"/>
  <c r="DN971" i="1"/>
  <c r="DN972" i="1"/>
  <c r="DN973" i="1"/>
  <c r="DN974" i="1"/>
  <c r="DN975" i="1"/>
  <c r="DN977" i="1"/>
  <c r="DN978" i="1"/>
  <c r="DN979" i="1"/>
  <c r="DN980" i="1"/>
  <c r="DN981" i="1"/>
  <c r="DN983" i="1"/>
  <c r="DN985" i="1"/>
  <c r="DN986" i="1"/>
  <c r="DN987" i="1"/>
  <c r="DN989" i="1"/>
  <c r="DN990" i="1"/>
  <c r="DN991" i="1"/>
  <c r="DN992" i="1"/>
  <c r="DN993" i="1"/>
  <c r="DN994" i="1"/>
  <c r="DN996" i="1"/>
  <c r="DN997" i="1"/>
  <c r="DN998" i="1"/>
  <c r="DN999" i="1"/>
  <c r="DN1000" i="1"/>
  <c r="DN1001" i="1"/>
  <c r="DN1002" i="1"/>
  <c r="DN1003" i="1"/>
  <c r="DN1005" i="1"/>
  <c r="DN1006" i="1"/>
  <c r="DN1007" i="1"/>
  <c r="DN1008" i="1"/>
  <c r="DN1009" i="1"/>
  <c r="DN1010" i="1"/>
  <c r="DN1011" i="1"/>
  <c r="DN1013" i="1"/>
  <c r="DN1014" i="1"/>
  <c r="DN1015" i="1"/>
  <c r="DN1016" i="1"/>
  <c r="DN1017" i="1"/>
  <c r="DN1018" i="1"/>
  <c r="DN1019" i="1"/>
  <c r="DN1020" i="1"/>
  <c r="DN1021" i="1"/>
  <c r="DN1022" i="1"/>
  <c r="DN1023" i="1"/>
  <c r="DN1026" i="1"/>
  <c r="DN1027" i="1"/>
  <c r="DN1028" i="1"/>
  <c r="DN1029" i="1"/>
  <c r="DN1030" i="1"/>
  <c r="DN1031" i="1"/>
  <c r="DN1032" i="1"/>
  <c r="DN1033" i="1"/>
  <c r="DN1035" i="1"/>
  <c r="DN1036" i="1"/>
  <c r="DN1037" i="1"/>
  <c r="DN1038" i="1"/>
  <c r="DN1039" i="1"/>
  <c r="DN1040" i="1"/>
  <c r="DN1041" i="1"/>
  <c r="DN1042" i="1"/>
  <c r="DN1043" i="1"/>
  <c r="DN1044" i="1"/>
  <c r="DN1046" i="1"/>
  <c r="DN1047" i="1"/>
  <c r="DN1048" i="1"/>
  <c r="DN1051" i="1"/>
  <c r="DN1053" i="1"/>
  <c r="DN1054" i="1"/>
  <c r="DN1055" i="1"/>
  <c r="DN1056" i="1"/>
  <c r="DN1057" i="1"/>
  <c r="DN1059" i="1"/>
  <c r="DN1060" i="1"/>
  <c r="DN1061" i="1"/>
  <c r="DN1062" i="1"/>
  <c r="DN1063" i="1"/>
  <c r="DN1064" i="1"/>
  <c r="DN1066" i="1"/>
  <c r="DN1067" i="1"/>
  <c r="DN1068" i="1"/>
  <c r="DN1069" i="1"/>
  <c r="DN1070" i="1"/>
  <c r="DN1071" i="1"/>
  <c r="DN1072" i="1"/>
  <c r="DN1073" i="1"/>
  <c r="DN1075" i="1"/>
  <c r="DN1076" i="1"/>
  <c r="DN1077" i="1"/>
  <c r="DN1079" i="1"/>
  <c r="DN1080" i="1"/>
  <c r="DN1081" i="1"/>
  <c r="DN1082" i="1"/>
  <c r="DN1083" i="1"/>
  <c r="DN1084" i="1"/>
  <c r="DN1086" i="1"/>
  <c r="DN1087" i="1"/>
  <c r="DN1088" i="1"/>
  <c r="DN1089" i="1"/>
  <c r="DN1090" i="1"/>
  <c r="DN1091" i="1"/>
  <c r="DN1092" i="1"/>
  <c r="DN1093" i="1"/>
  <c r="DN1094" i="1"/>
  <c r="DN1096" i="1"/>
  <c r="DN1097" i="1"/>
  <c r="DN1098" i="1"/>
  <c r="DN1099" i="1"/>
  <c r="DN1100" i="1"/>
  <c r="DN1101" i="1"/>
  <c r="DN1102" i="1"/>
  <c r="DN1103" i="1"/>
  <c r="DN1104" i="1"/>
  <c r="DN1105" i="1"/>
  <c r="DN1106" i="1"/>
  <c r="DN1108" i="1"/>
  <c r="DN1109" i="1"/>
  <c r="DN1110" i="1"/>
  <c r="DN1111" i="1"/>
  <c r="DN1112" i="1"/>
  <c r="DN1113" i="1"/>
  <c r="DN1115" i="1"/>
  <c r="DN1116" i="1"/>
  <c r="DN1117" i="1"/>
  <c r="DN1118" i="1"/>
  <c r="DN1120" i="1"/>
  <c r="DN1122" i="1"/>
  <c r="DN1123" i="1"/>
  <c r="DN1124" i="1"/>
  <c r="DN1126" i="1"/>
  <c r="DN1127" i="1"/>
  <c r="DN1128" i="1"/>
  <c r="DN1129" i="1"/>
  <c r="DN1130" i="1"/>
  <c r="DN1132" i="1"/>
  <c r="DN1133" i="1"/>
  <c r="DN1135" i="1"/>
  <c r="DN1136" i="1"/>
  <c r="DN1137" i="1"/>
  <c r="DN1138" i="1"/>
  <c r="DN1139" i="1"/>
  <c r="DN1140" i="1"/>
  <c r="DN1142" i="1"/>
  <c r="DN1143" i="1"/>
  <c r="DN1144" i="1"/>
  <c r="DN1145" i="1"/>
  <c r="DN1146" i="1"/>
  <c r="DN1147" i="1"/>
  <c r="DN1148" i="1"/>
  <c r="DN1149" i="1"/>
  <c r="DN1150" i="1"/>
  <c r="DN1152" i="1"/>
  <c r="DN1153" i="1"/>
  <c r="DN1154" i="1"/>
  <c r="DN1155" i="1"/>
  <c r="DN1158" i="1"/>
  <c r="DN1159" i="1"/>
  <c r="DN1160" i="1"/>
  <c r="DN1161" i="1"/>
  <c r="DN1162" i="1"/>
  <c r="DN1163" i="1"/>
  <c r="DN1164" i="1"/>
  <c r="DN1165" i="1"/>
  <c r="DN1167" i="1"/>
  <c r="DN1168" i="1"/>
  <c r="DN1169" i="1"/>
  <c r="DN1170" i="1"/>
  <c r="DN1172" i="1"/>
  <c r="DN1173" i="1"/>
  <c r="DN1174" i="1"/>
  <c r="DN1175" i="1"/>
  <c r="DN1177" i="1"/>
  <c r="DN1178" i="1"/>
  <c r="DN1179" i="1"/>
  <c r="DN1180" i="1"/>
  <c r="DN1181" i="1"/>
  <c r="DN1182" i="1"/>
  <c r="DN1183" i="1"/>
  <c r="DN1185" i="1"/>
  <c r="DN1186" i="1"/>
  <c r="DN1187" i="1"/>
  <c r="DN1188" i="1"/>
  <c r="DN1189" i="1"/>
  <c r="DN1190" i="1"/>
  <c r="DN1192" i="1"/>
  <c r="DN1194" i="1"/>
  <c r="DN1195" i="1"/>
  <c r="DN1196" i="1"/>
  <c r="DN1199" i="1"/>
  <c r="DN1201" i="1"/>
  <c r="DN1202" i="1"/>
  <c r="DN1203" i="1"/>
  <c r="DN1204" i="1"/>
  <c r="DN1205" i="1"/>
  <c r="DN1206" i="1"/>
  <c r="DN1207" i="1"/>
  <c r="DN1209" i="1"/>
  <c r="DN1210" i="1"/>
  <c r="DN1211" i="1"/>
  <c r="DN1212" i="1"/>
  <c r="DN1213" i="1"/>
  <c r="DN1214" i="1"/>
  <c r="DN1215" i="1"/>
  <c r="DN1216" i="1"/>
  <c r="DN1217" i="1"/>
  <c r="DN1219" i="1"/>
  <c r="DN1220" i="1"/>
  <c r="DN1222" i="1"/>
  <c r="DN1223" i="1"/>
  <c r="DN1224" i="1"/>
  <c r="DN1225" i="1"/>
  <c r="DN1226" i="1"/>
  <c r="DN1227" i="1"/>
  <c r="DN1229" i="1"/>
  <c r="DN1230" i="1"/>
  <c r="DN1231" i="1"/>
  <c r="DN1232" i="1"/>
  <c r="DN1233" i="1"/>
  <c r="DN1234" i="1"/>
  <c r="DN1235" i="1"/>
  <c r="DN1236" i="1"/>
  <c r="DN1238" i="1"/>
  <c r="DN1240" i="1"/>
  <c r="DN1241" i="1"/>
  <c r="DN1242" i="1"/>
  <c r="DN1244" i="1"/>
  <c r="DN1245" i="1"/>
  <c r="DN1246" i="1"/>
  <c r="DN1247" i="1"/>
  <c r="DN1248" i="1"/>
  <c r="DN1250" i="1"/>
  <c r="DN1251" i="1"/>
  <c r="DN1252" i="1"/>
  <c r="DN1253" i="1"/>
  <c r="DN1254" i="1"/>
  <c r="DN1255" i="1"/>
  <c r="DN1256" i="1"/>
  <c r="DN1257" i="1"/>
  <c r="DN1258" i="1"/>
  <c r="DN1259" i="1"/>
  <c r="DN1261" i="1"/>
  <c r="DN1262" i="1"/>
  <c r="DN1263" i="1"/>
  <c r="DN1265" i="1"/>
  <c r="DN1266" i="1"/>
  <c r="DN1267" i="1"/>
  <c r="DN1268" i="1"/>
  <c r="DN1272" i="1"/>
  <c r="DN1275" i="1"/>
  <c r="DN1276" i="1"/>
  <c r="DN1277" i="1"/>
  <c r="DN1278" i="1"/>
  <c r="DN1279" i="1"/>
  <c r="DN1280" i="1"/>
  <c r="DN1282" i="1"/>
  <c r="DN1283" i="1"/>
  <c r="DN1284" i="1"/>
  <c r="DN1285" i="1"/>
  <c r="DN1286" i="1"/>
  <c r="DN1287" i="1"/>
  <c r="DN1288" i="1"/>
  <c r="DN1289" i="1"/>
  <c r="DN1291" i="1"/>
  <c r="DN1292" i="1"/>
  <c r="DN1293" i="1"/>
  <c r="DN1294" i="1"/>
  <c r="DN1295" i="1"/>
  <c r="DN1296" i="1"/>
  <c r="DN1297" i="1"/>
  <c r="DN1298" i="1"/>
  <c r="DN1299" i="1"/>
  <c r="DN1300" i="1"/>
  <c r="DN1301" i="1"/>
  <c r="DN1304" i="1"/>
  <c r="DN1305" i="1"/>
  <c r="DN1306" i="1"/>
  <c r="DN1307" i="1"/>
  <c r="DN1308" i="1"/>
  <c r="DN1309" i="1"/>
  <c r="DN1310" i="1"/>
  <c r="DN1311" i="1"/>
  <c r="DN1312" i="1"/>
  <c r="DN1313" i="1"/>
  <c r="DO67" i="1"/>
  <c r="DO68" i="1"/>
  <c r="DO69" i="1"/>
  <c r="DO70" i="1"/>
  <c r="DO71" i="1"/>
  <c r="DO72" i="1"/>
  <c r="DO73" i="1"/>
  <c r="DO74" i="1"/>
  <c r="DO76" i="1"/>
  <c r="DO77" i="1"/>
  <c r="DO78" i="1"/>
  <c r="DO79" i="1"/>
  <c r="DO80" i="1"/>
  <c r="DO81" i="1"/>
  <c r="DO82" i="1"/>
  <c r="DO84" i="1"/>
  <c r="DO85" i="1"/>
  <c r="DO86" i="1"/>
  <c r="DO87" i="1"/>
  <c r="DO88" i="1"/>
  <c r="DO89" i="1"/>
  <c r="DO90" i="1"/>
  <c r="DO93" i="1"/>
  <c r="DO94" i="1"/>
  <c r="DO95" i="1"/>
  <c r="DO96" i="1"/>
  <c r="DO97" i="1"/>
  <c r="DO98" i="1"/>
  <c r="DO101" i="1"/>
  <c r="DO103" i="1"/>
  <c r="DO104" i="1"/>
  <c r="DO105" i="1"/>
  <c r="DO106" i="1"/>
  <c r="DO107" i="1"/>
  <c r="DO108" i="1"/>
  <c r="DO109" i="1"/>
  <c r="DO111" i="1"/>
  <c r="DO112" i="1"/>
  <c r="DO113" i="1"/>
  <c r="DO114" i="1"/>
  <c r="DO115" i="1"/>
  <c r="DO116" i="1"/>
  <c r="DO117" i="1"/>
  <c r="DO118" i="1"/>
  <c r="DO119" i="1"/>
  <c r="DO120" i="1"/>
  <c r="DO122" i="1"/>
  <c r="DO124" i="1"/>
  <c r="DO125" i="1"/>
  <c r="DO126" i="1"/>
  <c r="DO129" i="1"/>
  <c r="DO131" i="1"/>
  <c r="DO132" i="1"/>
  <c r="DO133" i="1"/>
  <c r="DO136" i="1"/>
  <c r="DO138" i="1"/>
  <c r="DO139" i="1"/>
  <c r="DO140" i="1"/>
  <c r="DO141" i="1"/>
  <c r="DO142" i="1"/>
  <c r="DO144" i="1"/>
  <c r="DO145" i="1"/>
  <c r="DO146" i="1"/>
  <c r="DO147" i="1"/>
  <c r="DO148" i="1"/>
  <c r="DO149" i="1"/>
  <c r="DO151" i="1"/>
  <c r="DO152" i="1"/>
  <c r="DO153" i="1"/>
  <c r="DO154" i="1"/>
  <c r="DO155" i="1"/>
  <c r="DO156" i="1"/>
  <c r="DO157" i="1"/>
  <c r="DO158" i="1"/>
  <c r="DO160" i="1"/>
  <c r="DO161" i="1"/>
  <c r="DO162" i="1"/>
  <c r="DO163" i="1"/>
  <c r="DO165" i="1"/>
  <c r="DO166" i="1"/>
  <c r="DO167" i="1"/>
  <c r="DO168" i="1"/>
  <c r="DO169" i="1"/>
  <c r="DO170" i="1"/>
  <c r="DO172" i="1"/>
  <c r="DO173" i="1"/>
  <c r="DO175" i="1"/>
  <c r="DO176" i="1"/>
  <c r="DO177" i="1"/>
  <c r="DO178" i="1"/>
  <c r="DO179" i="1"/>
  <c r="DO180" i="1"/>
  <c r="DO181" i="1"/>
  <c r="DO182" i="1"/>
  <c r="DO183" i="1"/>
  <c r="DO184" i="1"/>
  <c r="DO186" i="1"/>
  <c r="DO187" i="1"/>
  <c r="DO188" i="1"/>
  <c r="DO189" i="1"/>
  <c r="DO190" i="1"/>
  <c r="DO191" i="1"/>
  <c r="DO192" i="1"/>
  <c r="DO193" i="1"/>
  <c r="DO195" i="1"/>
  <c r="DO196" i="1"/>
  <c r="DO197" i="1"/>
  <c r="DO198" i="1"/>
  <c r="DO200" i="1"/>
  <c r="DO201" i="1"/>
  <c r="DO202" i="1"/>
  <c r="DO203" i="1"/>
  <c r="DO204" i="1"/>
  <c r="DO205" i="1"/>
  <c r="DO206" i="1"/>
  <c r="DO207" i="1"/>
  <c r="DO209" i="1"/>
  <c r="DO210" i="1"/>
  <c r="DO211" i="1"/>
  <c r="DO212" i="1"/>
  <c r="DO213" i="1"/>
  <c r="DO214" i="1"/>
  <c r="DO215" i="1"/>
  <c r="DO218" i="1"/>
  <c r="DO219" i="1"/>
  <c r="DO220" i="1"/>
  <c r="DO221" i="1"/>
  <c r="DO222" i="1"/>
  <c r="DO224" i="1"/>
  <c r="DO225" i="1"/>
  <c r="DO226" i="1"/>
  <c r="DO227" i="1"/>
  <c r="DO228" i="1"/>
  <c r="DO229" i="1"/>
  <c r="DO231" i="1"/>
  <c r="DO232" i="1"/>
  <c r="DO233" i="1"/>
  <c r="DO234" i="1"/>
  <c r="DO235" i="1"/>
  <c r="DO236" i="1"/>
  <c r="DO237" i="1"/>
  <c r="DO238" i="1"/>
  <c r="DO240" i="1"/>
  <c r="DO241" i="1"/>
  <c r="DO242" i="1"/>
  <c r="DO243" i="1"/>
  <c r="DO244" i="1"/>
  <c r="DO245" i="1"/>
  <c r="DO246" i="1"/>
  <c r="DO247" i="1"/>
  <c r="DO249" i="1"/>
  <c r="DO250" i="1"/>
  <c r="DO251" i="1"/>
  <c r="DO252" i="1"/>
  <c r="DO253" i="1"/>
  <c r="DO254" i="1"/>
  <c r="DO255" i="1"/>
  <c r="DO256" i="1"/>
  <c r="DO258" i="1"/>
  <c r="DO259" i="1"/>
  <c r="DO260" i="1"/>
  <c r="DO261" i="1"/>
  <c r="DO262" i="1"/>
  <c r="DO263" i="1"/>
  <c r="DO264" i="1"/>
  <c r="DO265" i="1"/>
  <c r="DO266" i="1"/>
  <c r="DO268" i="1"/>
  <c r="DO269" i="1"/>
  <c r="DO270" i="1"/>
  <c r="DO271" i="1"/>
  <c r="DO272" i="1"/>
  <c r="DO273" i="1"/>
  <c r="DO274" i="1"/>
  <c r="DO275" i="1"/>
  <c r="DO276" i="1"/>
  <c r="DO278" i="1"/>
  <c r="DO279" i="1"/>
  <c r="DO280" i="1"/>
  <c r="DO281" i="1"/>
  <c r="DO282" i="1"/>
  <c r="DO283" i="1"/>
  <c r="DO285" i="1"/>
  <c r="DO286" i="1"/>
  <c r="DO287" i="1"/>
  <c r="DO288" i="1"/>
  <c r="DO291" i="1"/>
  <c r="DO292" i="1"/>
  <c r="DO293" i="1"/>
  <c r="DO294" i="1"/>
  <c r="DO296" i="1"/>
  <c r="DO297" i="1"/>
  <c r="DO298" i="1"/>
  <c r="DO299" i="1"/>
  <c r="DO300" i="1"/>
  <c r="DO301" i="1"/>
  <c r="DO302" i="1"/>
  <c r="DO303" i="1"/>
  <c r="DO305" i="1"/>
  <c r="DO306" i="1"/>
  <c r="DO307" i="1"/>
  <c r="DO308" i="1"/>
  <c r="DO309" i="1"/>
  <c r="DO310" i="1"/>
  <c r="DO311" i="1"/>
  <c r="DO312" i="1"/>
  <c r="DO313" i="1"/>
  <c r="DO314" i="1"/>
  <c r="DO316" i="1"/>
  <c r="DO317" i="1"/>
  <c r="DO318" i="1"/>
  <c r="DO319" i="1"/>
  <c r="DO320" i="1"/>
  <c r="DO321" i="1"/>
  <c r="DO322" i="1"/>
  <c r="DO323" i="1"/>
  <c r="DO324" i="1"/>
  <c r="DO325" i="1"/>
  <c r="DO326" i="1"/>
  <c r="DO327" i="1"/>
  <c r="DO329" i="1"/>
  <c r="DO330" i="1"/>
  <c r="DO332" i="1"/>
  <c r="DO333" i="1"/>
  <c r="DO334" i="1"/>
  <c r="DO335" i="1"/>
  <c r="DO336" i="1"/>
  <c r="DO337" i="1"/>
  <c r="DO338" i="1"/>
  <c r="DO340" i="1"/>
  <c r="DO341" i="1"/>
  <c r="DO342" i="1"/>
  <c r="DO343" i="1"/>
  <c r="DO344" i="1"/>
  <c r="DO345" i="1"/>
  <c r="DO346" i="1"/>
  <c r="DO347" i="1"/>
  <c r="DO348" i="1"/>
  <c r="DO349" i="1"/>
  <c r="DO351" i="1"/>
  <c r="DO352" i="1"/>
  <c r="DO353" i="1"/>
  <c r="DO354" i="1"/>
  <c r="DO355" i="1"/>
  <c r="DO356" i="1"/>
  <c r="DO358" i="1"/>
  <c r="DO359" i="1"/>
  <c r="DO360" i="1"/>
  <c r="DO361" i="1"/>
  <c r="DO362" i="1"/>
  <c r="DO363" i="1"/>
  <c r="DO364" i="1"/>
  <c r="DO365" i="1"/>
  <c r="DO367" i="1"/>
  <c r="DO368" i="1"/>
  <c r="DO369" i="1"/>
  <c r="DO371" i="1"/>
  <c r="DO372" i="1"/>
  <c r="DO373" i="1"/>
  <c r="DO375" i="1"/>
  <c r="DO376" i="1"/>
  <c r="DO378" i="1"/>
  <c r="DO379" i="1"/>
  <c r="DO380" i="1"/>
  <c r="DO381" i="1"/>
  <c r="DO382" i="1"/>
  <c r="DO383" i="1"/>
  <c r="DO385" i="1"/>
  <c r="DO386" i="1"/>
  <c r="DO387" i="1"/>
  <c r="DO388" i="1"/>
  <c r="DO389" i="1"/>
  <c r="DO390" i="1"/>
  <c r="DO391" i="1"/>
  <c r="DO393" i="1"/>
  <c r="DO394" i="1"/>
  <c r="DO395" i="1"/>
  <c r="DO396" i="1"/>
  <c r="DO397" i="1"/>
  <c r="DO398" i="1"/>
  <c r="DO399" i="1"/>
  <c r="DO400" i="1"/>
  <c r="DO401" i="1"/>
  <c r="DO403" i="1"/>
  <c r="DO404" i="1"/>
  <c r="DO405" i="1"/>
  <c r="DO406" i="1"/>
  <c r="DO407" i="1"/>
  <c r="DO408" i="1"/>
  <c r="DO409" i="1"/>
  <c r="DO410" i="1"/>
  <c r="DO411" i="1"/>
  <c r="DO413" i="1"/>
  <c r="DO414" i="1"/>
  <c r="DO415" i="1"/>
  <c r="DO416" i="1"/>
  <c r="DO417" i="1"/>
  <c r="DO418" i="1"/>
  <c r="DO421" i="1"/>
  <c r="DO422" i="1"/>
  <c r="DO423" i="1"/>
  <c r="DO424" i="1"/>
  <c r="DO425" i="1"/>
  <c r="DO426" i="1"/>
  <c r="DO427" i="1"/>
  <c r="DO428" i="1"/>
  <c r="DO430" i="1"/>
  <c r="DO431" i="1"/>
  <c r="DO432" i="1"/>
  <c r="DO433" i="1"/>
  <c r="DO434" i="1"/>
  <c r="DO435" i="1"/>
  <c r="DO436" i="1"/>
  <c r="DO438" i="1"/>
  <c r="DO439" i="1"/>
  <c r="DO440" i="1"/>
  <c r="DO441" i="1"/>
  <c r="DO442" i="1"/>
  <c r="DO443" i="1"/>
  <c r="DO445" i="1"/>
  <c r="DO446" i="1"/>
  <c r="DO447" i="1"/>
  <c r="DO448" i="1"/>
  <c r="DO449" i="1"/>
  <c r="DO450" i="1"/>
  <c r="DO451" i="1"/>
  <c r="DO452" i="1"/>
  <c r="DO454" i="1"/>
  <c r="DO455" i="1"/>
  <c r="DO456" i="1"/>
  <c r="DO457" i="1"/>
  <c r="DO459" i="1"/>
  <c r="DO460" i="1"/>
  <c r="DO461" i="1"/>
  <c r="DO462" i="1"/>
  <c r="DO463" i="1"/>
  <c r="DO464" i="1"/>
  <c r="DO465" i="1"/>
  <c r="DO466" i="1"/>
  <c r="DO468" i="1"/>
  <c r="DO469" i="1"/>
  <c r="DO470" i="1"/>
  <c r="DO471" i="1"/>
  <c r="DO472" i="1"/>
  <c r="DO473" i="1"/>
  <c r="DO474" i="1"/>
  <c r="DO475" i="1"/>
  <c r="DO476" i="1"/>
  <c r="DO478" i="1"/>
  <c r="DO479" i="1"/>
  <c r="DO480" i="1"/>
  <c r="DO481" i="1"/>
  <c r="DO482" i="1"/>
  <c r="DO483" i="1"/>
  <c r="DO485" i="1"/>
  <c r="DO486" i="1"/>
  <c r="DO487" i="1"/>
  <c r="DO488" i="1"/>
  <c r="DO489" i="1"/>
  <c r="DO490" i="1"/>
  <c r="DO491" i="1"/>
  <c r="DO492" i="1"/>
  <c r="DO493" i="1"/>
  <c r="DO495" i="1"/>
  <c r="DO496" i="1"/>
  <c r="DO497" i="1"/>
  <c r="DO498" i="1"/>
  <c r="DO499" i="1"/>
  <c r="DO500" i="1"/>
  <c r="DO502" i="1"/>
  <c r="DO503" i="1"/>
  <c r="DO504" i="1"/>
  <c r="DO505" i="1"/>
  <c r="DO506" i="1"/>
  <c r="DO507" i="1"/>
  <c r="DO508" i="1"/>
  <c r="DO510" i="1"/>
  <c r="DO511" i="1"/>
  <c r="DO512" i="1"/>
  <c r="DO513" i="1"/>
  <c r="DO514" i="1"/>
  <c r="DO515" i="1"/>
  <c r="DO516" i="1"/>
  <c r="DO517" i="1"/>
  <c r="DO518" i="1"/>
  <c r="DO520" i="1"/>
  <c r="DO521" i="1"/>
  <c r="DO522" i="1"/>
  <c r="DO523" i="1"/>
  <c r="DO524" i="1"/>
  <c r="DO525" i="1"/>
  <c r="DO526" i="1"/>
  <c r="DO527" i="1"/>
  <c r="DO530" i="1"/>
  <c r="DO531" i="1"/>
  <c r="DO532" i="1"/>
  <c r="DO533" i="1"/>
  <c r="DO534" i="1"/>
  <c r="DO535" i="1"/>
  <c r="DO536" i="1"/>
  <c r="DO538" i="1"/>
  <c r="DO539" i="1"/>
  <c r="DO540" i="1"/>
  <c r="DO541" i="1"/>
  <c r="DO542" i="1"/>
  <c r="DO543" i="1"/>
  <c r="DO544" i="1"/>
  <c r="DO545" i="1"/>
  <c r="DO546" i="1"/>
  <c r="DO548" i="1"/>
  <c r="DO549" i="1"/>
  <c r="DO550" i="1"/>
  <c r="DO551" i="1"/>
  <c r="DO552" i="1"/>
  <c r="DO553" i="1"/>
  <c r="DO554" i="1"/>
  <c r="DO555" i="1"/>
  <c r="DO557" i="1"/>
  <c r="DO558" i="1"/>
  <c r="DO559" i="1"/>
  <c r="DO560" i="1"/>
  <c r="DO561" i="1"/>
  <c r="DO562" i="1"/>
  <c r="DO564" i="1"/>
  <c r="DO565" i="1"/>
  <c r="DO566" i="1"/>
  <c r="DO567" i="1"/>
  <c r="DO569" i="1"/>
  <c r="DO570" i="1"/>
  <c r="DO572" i="1"/>
  <c r="DO573" i="1"/>
  <c r="DO574" i="1"/>
  <c r="DO576" i="1"/>
  <c r="DO577" i="1"/>
  <c r="DO578" i="1"/>
  <c r="DO579" i="1"/>
  <c r="DO580" i="1"/>
  <c r="DO581" i="1"/>
  <c r="DO583" i="1"/>
  <c r="DO584" i="1"/>
  <c r="DO586" i="1"/>
  <c r="DO587" i="1"/>
  <c r="DO588" i="1"/>
  <c r="DO591" i="1"/>
  <c r="DO592" i="1"/>
  <c r="DO593" i="1"/>
  <c r="DO594" i="1"/>
  <c r="DO595" i="1"/>
  <c r="DO596" i="1"/>
  <c r="DO597" i="1"/>
  <c r="DO598" i="1"/>
  <c r="DO600" i="1"/>
  <c r="DO601" i="1"/>
  <c r="DO603" i="1"/>
  <c r="DO604" i="1"/>
  <c r="DO605" i="1"/>
  <c r="DO607" i="1"/>
  <c r="DO608" i="1"/>
  <c r="DO609" i="1"/>
  <c r="DO610" i="1"/>
  <c r="DO611" i="1"/>
  <c r="DO612" i="1"/>
  <c r="DO614" i="1"/>
  <c r="DO615" i="1"/>
  <c r="DO616" i="1"/>
  <c r="DO617" i="1"/>
  <c r="DO618" i="1"/>
  <c r="DO619" i="1"/>
  <c r="DO620" i="1"/>
  <c r="DO622" i="1"/>
  <c r="DO623" i="1"/>
  <c r="DO624" i="1"/>
  <c r="DO625" i="1"/>
  <c r="DO626" i="1"/>
  <c r="DO628" i="1"/>
  <c r="DO629" i="1"/>
  <c r="DO630" i="1"/>
  <c r="DO631" i="1"/>
  <c r="DO632" i="1"/>
  <c r="DO633" i="1"/>
  <c r="DO634" i="1"/>
  <c r="DO636" i="1"/>
  <c r="DO637" i="1"/>
  <c r="DO638" i="1"/>
  <c r="DO639" i="1"/>
  <c r="DO641" i="1"/>
  <c r="DO643" i="1"/>
  <c r="DO644" i="1"/>
  <c r="DO645" i="1"/>
  <c r="DO647" i="1"/>
  <c r="DO648" i="1"/>
  <c r="DO649" i="1"/>
  <c r="DO650" i="1"/>
  <c r="DO651" i="1"/>
  <c r="DO652" i="1"/>
  <c r="DO654" i="1"/>
  <c r="DO655" i="1"/>
  <c r="DO656" i="1"/>
  <c r="DO657" i="1"/>
  <c r="DO658" i="1"/>
  <c r="DO659" i="1"/>
  <c r="DO660" i="1"/>
  <c r="DO662" i="1"/>
  <c r="DO663" i="1"/>
  <c r="DO665" i="1"/>
  <c r="DO666" i="1"/>
  <c r="DO667" i="1"/>
  <c r="DO669" i="1"/>
  <c r="DO670" i="1"/>
  <c r="DO671" i="1"/>
  <c r="DO672" i="1"/>
  <c r="DO674" i="1"/>
  <c r="DO675" i="1"/>
  <c r="DO676" i="1"/>
  <c r="DO677" i="1"/>
  <c r="DO678" i="1"/>
  <c r="DO679" i="1"/>
  <c r="DO681" i="1"/>
  <c r="DO682" i="1"/>
  <c r="DO683" i="1"/>
  <c r="DO684" i="1"/>
  <c r="DO685" i="1"/>
  <c r="DO686" i="1"/>
  <c r="DO687" i="1"/>
  <c r="DO688" i="1"/>
  <c r="DO689" i="1"/>
  <c r="DO690" i="1"/>
  <c r="DO691" i="1"/>
  <c r="DO693" i="1"/>
  <c r="DO694" i="1"/>
  <c r="DO695" i="1"/>
  <c r="DO696" i="1"/>
  <c r="DO698" i="1"/>
  <c r="DO699" i="1"/>
  <c r="DO702" i="1"/>
  <c r="DO703" i="1"/>
  <c r="DO704" i="1"/>
  <c r="DO706" i="1"/>
  <c r="DO707" i="1"/>
  <c r="DO708" i="1"/>
  <c r="DO709" i="1"/>
  <c r="DO711" i="1"/>
  <c r="DO712" i="1"/>
  <c r="DO713" i="1"/>
  <c r="DO714" i="1"/>
  <c r="DO715" i="1"/>
  <c r="DO716" i="1"/>
  <c r="DO717" i="1"/>
  <c r="DO718" i="1"/>
  <c r="DO720" i="1"/>
  <c r="DO721" i="1"/>
  <c r="DO723" i="1"/>
  <c r="DO724" i="1"/>
  <c r="DO725" i="1"/>
  <c r="DO726" i="1"/>
  <c r="DO729" i="1"/>
  <c r="DO731" i="1"/>
  <c r="DO732" i="1"/>
  <c r="DO733" i="1"/>
  <c r="DO734" i="1"/>
  <c r="DO735" i="1"/>
  <c r="DO736" i="1"/>
  <c r="DO738" i="1"/>
  <c r="DO739" i="1"/>
  <c r="DO740" i="1"/>
  <c r="DO741" i="1"/>
  <c r="DO742" i="1"/>
  <c r="DO743" i="1"/>
  <c r="DO744" i="1"/>
  <c r="DO745" i="1"/>
  <c r="DO748" i="1"/>
  <c r="DO750" i="1"/>
  <c r="DO751" i="1"/>
  <c r="DO752" i="1"/>
  <c r="DO753" i="1"/>
  <c r="DO754" i="1"/>
  <c r="DO755" i="1"/>
  <c r="DO756" i="1"/>
  <c r="DO758" i="1"/>
  <c r="DO760" i="1"/>
  <c r="DO761" i="1"/>
  <c r="DO763" i="1"/>
  <c r="DO764" i="1"/>
  <c r="DO766" i="1"/>
  <c r="DO767" i="1"/>
  <c r="DO768" i="1"/>
  <c r="DO769" i="1"/>
  <c r="DO774" i="1"/>
  <c r="DO775" i="1"/>
  <c r="DO777" i="1"/>
  <c r="DO778" i="1"/>
  <c r="DO779" i="1"/>
  <c r="DO780" i="1"/>
  <c r="DO782" i="1"/>
  <c r="DO783" i="1"/>
  <c r="DO784" i="1"/>
  <c r="DO785" i="1"/>
  <c r="DO786" i="1"/>
  <c r="DO787" i="1"/>
  <c r="DO789" i="1"/>
  <c r="DO790" i="1"/>
  <c r="DO791" i="1"/>
  <c r="DO793" i="1"/>
  <c r="DO794" i="1"/>
  <c r="DO795" i="1"/>
  <c r="DO796" i="1"/>
  <c r="DO797" i="1"/>
  <c r="DO798" i="1"/>
  <c r="DO800" i="1"/>
  <c r="DO801" i="1"/>
  <c r="DO802" i="1"/>
  <c r="DO803" i="1"/>
  <c r="DO804" i="1"/>
  <c r="DO805" i="1"/>
  <c r="DO806" i="1"/>
  <c r="DO807" i="1"/>
  <c r="DO808" i="1"/>
  <c r="DO810" i="1"/>
  <c r="DO811" i="1"/>
  <c r="DO812" i="1"/>
  <c r="DO813" i="1"/>
  <c r="DO814" i="1"/>
  <c r="DO815" i="1"/>
  <c r="DO816" i="1"/>
  <c r="DO818" i="1"/>
  <c r="DO819" i="1"/>
  <c r="DO820" i="1"/>
  <c r="DO822" i="1"/>
  <c r="DO823" i="1"/>
  <c r="DO824" i="1"/>
  <c r="DO825" i="1"/>
  <c r="DO826" i="1"/>
  <c r="DO827" i="1"/>
  <c r="DO829" i="1"/>
  <c r="DO830" i="1"/>
  <c r="DO831" i="1"/>
  <c r="DO832" i="1"/>
  <c r="DO834" i="1"/>
  <c r="DO835" i="1"/>
  <c r="DO836" i="1"/>
  <c r="DO838" i="1"/>
  <c r="DO839" i="1"/>
  <c r="DO840" i="1"/>
  <c r="DO841" i="1"/>
  <c r="DO842" i="1"/>
  <c r="DO843" i="1"/>
  <c r="DO845" i="1"/>
  <c r="DO846" i="1"/>
  <c r="DO847" i="1"/>
  <c r="DO848" i="1"/>
  <c r="DO849" i="1"/>
  <c r="DO850" i="1"/>
  <c r="DO852" i="1"/>
  <c r="DO854" i="1"/>
  <c r="DO855" i="1"/>
  <c r="DO856" i="1"/>
  <c r="DO857" i="1"/>
  <c r="DO859" i="1"/>
  <c r="DO860" i="1"/>
  <c r="DO862" i="1"/>
  <c r="DO863" i="1"/>
  <c r="DO864" i="1"/>
  <c r="DO865" i="1"/>
  <c r="DO866" i="1"/>
  <c r="DO867" i="1"/>
  <c r="DO868" i="1"/>
  <c r="DO869" i="1"/>
  <c r="DO870" i="1"/>
  <c r="DO872" i="1"/>
  <c r="DO873" i="1"/>
  <c r="DO874" i="1"/>
  <c r="DO875" i="1"/>
  <c r="DO876" i="1"/>
  <c r="DO877" i="1"/>
  <c r="DO878" i="1"/>
  <c r="DO879" i="1"/>
  <c r="DO880" i="1"/>
  <c r="DO881" i="1"/>
  <c r="DO884" i="1"/>
  <c r="DO886" i="1"/>
  <c r="DO887" i="1"/>
  <c r="DO888" i="1"/>
  <c r="DO889" i="1"/>
  <c r="DO890" i="1"/>
  <c r="DO891" i="1"/>
  <c r="DO892" i="1"/>
  <c r="DO893" i="1"/>
  <c r="DO894" i="1"/>
  <c r="DO895" i="1"/>
  <c r="DO897" i="1"/>
  <c r="DO898" i="1"/>
  <c r="DO899" i="1"/>
  <c r="DO900" i="1"/>
  <c r="DO901" i="1"/>
  <c r="DO902" i="1"/>
  <c r="DO904" i="1"/>
  <c r="DO905" i="1"/>
  <c r="DO906" i="1"/>
  <c r="DO908" i="1"/>
  <c r="DO909" i="1"/>
  <c r="DO910" i="1"/>
  <c r="DO911" i="1"/>
  <c r="DO912" i="1"/>
  <c r="DO913" i="1"/>
  <c r="DO915" i="1"/>
  <c r="DO916" i="1"/>
  <c r="DO917" i="1"/>
  <c r="DO918" i="1"/>
  <c r="DO919" i="1"/>
  <c r="DO921" i="1"/>
  <c r="DO922" i="1"/>
  <c r="DO923" i="1"/>
  <c r="DO924" i="1"/>
  <c r="DO925" i="1"/>
  <c r="DO927" i="1"/>
  <c r="DO928" i="1"/>
  <c r="DO929" i="1"/>
  <c r="DO930" i="1"/>
  <c r="DO931" i="1"/>
  <c r="DO932" i="1"/>
  <c r="DO933" i="1"/>
  <c r="DO935" i="1"/>
  <c r="DO936" i="1"/>
  <c r="DO937" i="1"/>
  <c r="DO938" i="1"/>
  <c r="DO939" i="1"/>
  <c r="DO940" i="1"/>
  <c r="DO941" i="1"/>
  <c r="DO943" i="1"/>
  <c r="DO944" i="1"/>
  <c r="DO945" i="1"/>
  <c r="DO947" i="1"/>
  <c r="DO948" i="1"/>
  <c r="DO950" i="1"/>
  <c r="DO951" i="1"/>
  <c r="DO952" i="1"/>
  <c r="DO953" i="1"/>
  <c r="DO954" i="1"/>
  <c r="DO955" i="1"/>
  <c r="DO956" i="1"/>
  <c r="DO957" i="1"/>
  <c r="DO958" i="1"/>
  <c r="DO960" i="1"/>
  <c r="DO961" i="1"/>
  <c r="DO962" i="1"/>
  <c r="DO963" i="1"/>
  <c r="DO964" i="1"/>
  <c r="DO965" i="1"/>
  <c r="DO966" i="1"/>
  <c r="DO967" i="1"/>
  <c r="DO969" i="1"/>
  <c r="DO970" i="1"/>
  <c r="DO971" i="1"/>
  <c r="DO972" i="1"/>
  <c r="DO973" i="1"/>
  <c r="DO974" i="1"/>
  <c r="DO975" i="1"/>
  <c r="DO977" i="1"/>
  <c r="DO978" i="1"/>
  <c r="DO979" i="1"/>
  <c r="DO980" i="1"/>
  <c r="DO981" i="1"/>
  <c r="DO983" i="1"/>
  <c r="DO985" i="1"/>
  <c r="DO986" i="1"/>
  <c r="DO987" i="1"/>
  <c r="DO989" i="1"/>
  <c r="DO990" i="1"/>
  <c r="DO991" i="1"/>
  <c r="DO992" i="1"/>
  <c r="DO993" i="1"/>
  <c r="DO994" i="1"/>
  <c r="DO996" i="1"/>
  <c r="DO997" i="1"/>
  <c r="DO998" i="1"/>
  <c r="DO999" i="1"/>
  <c r="DO1000" i="1"/>
  <c r="DO1001" i="1"/>
  <c r="DO1002" i="1"/>
  <c r="DO1003" i="1"/>
  <c r="DO1005" i="1"/>
  <c r="DO1006" i="1"/>
  <c r="DO1007" i="1"/>
  <c r="DO1008" i="1"/>
  <c r="DO1009" i="1"/>
  <c r="DO1010" i="1"/>
  <c r="DO1011" i="1"/>
  <c r="DO1013" i="1"/>
  <c r="DO1014" i="1"/>
  <c r="DO1015" i="1"/>
  <c r="DO1016" i="1"/>
  <c r="DO1017" i="1"/>
  <c r="DO1018" i="1"/>
  <c r="DO1019" i="1"/>
  <c r="DO1020" i="1"/>
  <c r="DO1021" i="1"/>
  <c r="DO1022" i="1"/>
  <c r="DO1023" i="1"/>
  <c r="DO1025" i="1"/>
  <c r="DO1026" i="1"/>
  <c r="DO1027" i="1"/>
  <c r="DO1028" i="1"/>
  <c r="DO1029" i="1"/>
  <c r="DO1030" i="1"/>
  <c r="DO1031" i="1"/>
  <c r="DO1032" i="1"/>
  <c r="DO1033" i="1"/>
  <c r="DO1035" i="1"/>
  <c r="DO1036" i="1"/>
  <c r="DO1037" i="1"/>
  <c r="DO1038" i="1"/>
  <c r="DO1039" i="1"/>
  <c r="DO1040" i="1"/>
  <c r="DO1041" i="1"/>
  <c r="DO1042" i="1"/>
  <c r="DO1043" i="1"/>
  <c r="DO1044" i="1"/>
  <c r="DO1046" i="1"/>
  <c r="DO1047" i="1"/>
  <c r="DO1048" i="1"/>
  <c r="DO1051" i="1"/>
  <c r="DO1053" i="1"/>
  <c r="DO1054" i="1"/>
  <c r="DO1055" i="1"/>
  <c r="DO1056" i="1"/>
  <c r="DO1057" i="1"/>
  <c r="DO1059" i="1"/>
  <c r="DO1060" i="1"/>
  <c r="DO1061" i="1"/>
  <c r="DO1062" i="1"/>
  <c r="DO1063" i="1"/>
  <c r="DO1064" i="1"/>
  <c r="DO1066" i="1"/>
  <c r="DO1067" i="1"/>
  <c r="DO1068" i="1"/>
  <c r="DO1069" i="1"/>
  <c r="DO1070" i="1"/>
  <c r="DO1071" i="1"/>
  <c r="DO1072" i="1"/>
  <c r="DO1073" i="1"/>
  <c r="DO1075" i="1"/>
  <c r="DO1076" i="1"/>
  <c r="DO1077" i="1"/>
  <c r="DO1079" i="1"/>
  <c r="DO1080" i="1"/>
  <c r="DO1081" i="1"/>
  <c r="DO1082" i="1"/>
  <c r="DO1083" i="1"/>
  <c r="DO1084" i="1"/>
  <c r="DO1086" i="1"/>
  <c r="DO1087" i="1"/>
  <c r="DO1088" i="1"/>
  <c r="DO1089" i="1"/>
  <c r="DO1090" i="1"/>
  <c r="DO1091" i="1"/>
  <c r="DO1092" i="1"/>
  <c r="DO1093" i="1"/>
  <c r="DO1094" i="1"/>
  <c r="DO1096" i="1"/>
  <c r="DO1097" i="1"/>
  <c r="DO1098" i="1"/>
  <c r="DO1099" i="1"/>
  <c r="DO1100" i="1"/>
  <c r="DO1101" i="1"/>
  <c r="DO1102" i="1"/>
  <c r="DO1103" i="1"/>
  <c r="DO1104" i="1"/>
  <c r="DO1105" i="1"/>
  <c r="DO1106" i="1"/>
  <c r="DO1108" i="1"/>
  <c r="DO1109" i="1"/>
  <c r="DO1110" i="1"/>
  <c r="DO1111" i="1"/>
  <c r="DO1112" i="1"/>
  <c r="DO1113" i="1"/>
  <c r="DO1115" i="1"/>
  <c r="DO1116" i="1"/>
  <c r="DO1117" i="1"/>
  <c r="DO1118" i="1"/>
  <c r="DO1120" i="1"/>
  <c r="DO1122" i="1"/>
  <c r="DO1123" i="1"/>
  <c r="DO1124" i="1"/>
  <c r="DO1126" i="1"/>
  <c r="DO1127" i="1"/>
  <c r="DO1128" i="1"/>
  <c r="DO1129" i="1"/>
  <c r="DO1130" i="1"/>
  <c r="DO1132" i="1"/>
  <c r="DO1133" i="1"/>
  <c r="DO1135" i="1"/>
  <c r="DO1136" i="1"/>
  <c r="DO1137" i="1"/>
  <c r="DO1138" i="1"/>
  <c r="DO1139" i="1"/>
  <c r="DO1140" i="1"/>
  <c r="DO1142" i="1"/>
  <c r="DO1143" i="1"/>
  <c r="DO1144" i="1"/>
  <c r="DO1145" i="1"/>
  <c r="DO1146" i="1"/>
  <c r="DO1147" i="1"/>
  <c r="DO1148" i="1"/>
  <c r="DO1149" i="1"/>
  <c r="DO1150" i="1"/>
  <c r="DO1152" i="1"/>
  <c r="DO1153" i="1"/>
  <c r="DO1154" i="1"/>
  <c r="DO1155" i="1"/>
  <c r="DO1157" i="1"/>
  <c r="DO1158" i="1"/>
  <c r="DO1159" i="1"/>
  <c r="DO1160" i="1"/>
  <c r="DO1161" i="1"/>
  <c r="DO1162" i="1"/>
  <c r="DO1163" i="1"/>
  <c r="DO1164" i="1"/>
  <c r="DO1165" i="1"/>
  <c r="DO1167" i="1"/>
  <c r="DO1168" i="1"/>
  <c r="DO1169" i="1"/>
  <c r="DO1170" i="1"/>
  <c r="DO1172" i="1"/>
  <c r="DO1173" i="1"/>
  <c r="DO1174" i="1"/>
  <c r="DO1175" i="1"/>
  <c r="DO1177" i="1"/>
  <c r="DO1178" i="1"/>
  <c r="DO1179" i="1"/>
  <c r="DO1180" i="1"/>
  <c r="DO1181" i="1"/>
  <c r="DO1182" i="1"/>
  <c r="DO1183" i="1"/>
  <c r="DO1185" i="1"/>
  <c r="DO1186" i="1"/>
  <c r="DO1187" i="1"/>
  <c r="DO1188" i="1"/>
  <c r="DO1189" i="1"/>
  <c r="DO1190" i="1"/>
  <c r="DO1192" i="1"/>
  <c r="DO1194" i="1"/>
  <c r="DO1195" i="1"/>
  <c r="DO1196" i="1"/>
  <c r="DO1199" i="1"/>
  <c r="DO1201" i="1"/>
  <c r="DO1202" i="1"/>
  <c r="DO1203" i="1"/>
  <c r="DO1204" i="1"/>
  <c r="DO1205" i="1"/>
  <c r="DO1206" i="1"/>
  <c r="DO1207" i="1"/>
  <c r="DO1209" i="1"/>
  <c r="DO1210" i="1"/>
  <c r="DO1211" i="1"/>
  <c r="DO1212" i="1"/>
  <c r="DO1213" i="1"/>
  <c r="DO1214" i="1"/>
  <c r="DO1215" i="1"/>
  <c r="DO1216" i="1"/>
  <c r="DO1217" i="1"/>
  <c r="DO1219" i="1"/>
  <c r="DO1220" i="1"/>
  <c r="DO1222" i="1"/>
  <c r="DO1223" i="1"/>
  <c r="DO1224" i="1"/>
  <c r="DO1225" i="1"/>
  <c r="DO1226" i="1"/>
  <c r="DO1227" i="1"/>
  <c r="DO1229" i="1"/>
  <c r="DO1230" i="1"/>
  <c r="DO1231" i="1"/>
  <c r="DO1232" i="1"/>
  <c r="DO1233" i="1"/>
  <c r="DO1234" i="1"/>
  <c r="DO1235" i="1"/>
  <c r="DO1236" i="1"/>
  <c r="DO1238" i="1"/>
  <c r="DO1240" i="1"/>
  <c r="DO1241" i="1"/>
  <c r="DO1242" i="1"/>
  <c r="DO1244" i="1"/>
  <c r="DO1245" i="1"/>
  <c r="DO1246" i="1"/>
  <c r="DO1247" i="1"/>
  <c r="DO1248" i="1"/>
  <c r="DO1250" i="1"/>
  <c r="DO1251" i="1"/>
  <c r="DO1252" i="1"/>
  <c r="DO1253" i="1"/>
  <c r="DO1254" i="1"/>
  <c r="DO1255" i="1"/>
  <c r="DO1256" i="1"/>
  <c r="DO1257" i="1"/>
  <c r="DO1258" i="1"/>
  <c r="DO1259" i="1"/>
  <c r="DO1261" i="1"/>
  <c r="DO1262" i="1"/>
  <c r="DO1263" i="1"/>
  <c r="DO1265" i="1"/>
  <c r="DO1266" i="1"/>
  <c r="DO1267" i="1"/>
  <c r="DO1268" i="1"/>
  <c r="DO1272" i="1"/>
  <c r="DO1274" i="1"/>
  <c r="DO1275" i="1"/>
  <c r="DO1276" i="1"/>
  <c r="DO1277" i="1"/>
  <c r="DO1278" i="1"/>
  <c r="DO1279" i="1"/>
  <c r="DO1280" i="1"/>
  <c r="DO1282" i="1"/>
  <c r="DO1283" i="1"/>
  <c r="DO1284" i="1"/>
  <c r="DO1285" i="1"/>
  <c r="DO1286" i="1"/>
  <c r="DO1287" i="1"/>
  <c r="DO1288" i="1"/>
  <c r="DO1289" i="1"/>
  <c r="DO1291" i="1"/>
  <c r="DO1292" i="1"/>
  <c r="DO1293" i="1"/>
  <c r="DO1294" i="1"/>
  <c r="DO1295" i="1"/>
  <c r="DO1296" i="1"/>
  <c r="DO1297" i="1"/>
  <c r="DO1298" i="1"/>
  <c r="DO1299" i="1"/>
  <c r="DO1300" i="1"/>
  <c r="DO1301" i="1"/>
  <c r="DO1303" i="1"/>
  <c r="DO1304" i="1"/>
  <c r="DO1305" i="1"/>
  <c r="DO1306" i="1"/>
  <c r="DO1307" i="1"/>
  <c r="DO1308" i="1"/>
  <c r="DO1309" i="1"/>
  <c r="DO1310" i="1"/>
  <c r="DO1311" i="1"/>
  <c r="DO1312" i="1"/>
  <c r="DO1313" i="1"/>
  <c r="DP67" i="1"/>
  <c r="DP68" i="1"/>
  <c r="DP69" i="1"/>
  <c r="DP70" i="1"/>
  <c r="DP71" i="1"/>
  <c r="DP72" i="1"/>
  <c r="DP73" i="1"/>
  <c r="DP74" i="1"/>
  <c r="DP76" i="1"/>
  <c r="DP77" i="1"/>
  <c r="DP78" i="1"/>
  <c r="DP79" i="1"/>
  <c r="DP80" i="1"/>
  <c r="DP81" i="1"/>
  <c r="DP82" i="1"/>
  <c r="DP84" i="1"/>
  <c r="DP85" i="1"/>
  <c r="DP86" i="1"/>
  <c r="DP87" i="1"/>
  <c r="DP88" i="1"/>
  <c r="DP89" i="1"/>
  <c r="DP90" i="1"/>
  <c r="DP92" i="1"/>
  <c r="DP93" i="1"/>
  <c r="DP94" i="1"/>
  <c r="DP95" i="1"/>
  <c r="DP96" i="1"/>
  <c r="DP97" i="1"/>
  <c r="DP98" i="1"/>
  <c r="DP101" i="1"/>
  <c r="DP103" i="1"/>
  <c r="DP104" i="1"/>
  <c r="DP105" i="1"/>
  <c r="DP106" i="1"/>
  <c r="DP107" i="1"/>
  <c r="DP108" i="1"/>
  <c r="DP109" i="1"/>
  <c r="DP111" i="1"/>
  <c r="DP112" i="1"/>
  <c r="DP113" i="1"/>
  <c r="DP114" i="1"/>
  <c r="DP115" i="1"/>
  <c r="DP116" i="1"/>
  <c r="DP117" i="1"/>
  <c r="DP118" i="1"/>
  <c r="DP119" i="1"/>
  <c r="DP120" i="1"/>
  <c r="DP122" i="1"/>
  <c r="DP124" i="1"/>
  <c r="DP125" i="1"/>
  <c r="DP126" i="1"/>
  <c r="DP129" i="1"/>
  <c r="DP131" i="1"/>
  <c r="DP132" i="1"/>
  <c r="DP133" i="1"/>
  <c r="DP136" i="1"/>
  <c r="DP138" i="1"/>
  <c r="DP139" i="1"/>
  <c r="DP140" i="1"/>
  <c r="DP141" i="1"/>
  <c r="DP142" i="1"/>
  <c r="DP144" i="1"/>
  <c r="DP145" i="1"/>
  <c r="DP146" i="1"/>
  <c r="DP147" i="1"/>
  <c r="DP148" i="1"/>
  <c r="DP149" i="1"/>
  <c r="DP151" i="1"/>
  <c r="DP152" i="1"/>
  <c r="DP153" i="1"/>
  <c r="DP154" i="1"/>
  <c r="DP155" i="1"/>
  <c r="DP156" i="1"/>
  <c r="DP157" i="1"/>
  <c r="DP158" i="1"/>
  <c r="DP160" i="1"/>
  <c r="DP161" i="1"/>
  <c r="DP162" i="1"/>
  <c r="DP163" i="1"/>
  <c r="DP165" i="1"/>
  <c r="DP166" i="1"/>
  <c r="DP167" i="1"/>
  <c r="DP168" i="1"/>
  <c r="DP169" i="1"/>
  <c r="DP170" i="1"/>
  <c r="DP172" i="1"/>
  <c r="DP173" i="1"/>
  <c r="DP175" i="1"/>
  <c r="DP176" i="1"/>
  <c r="DP177" i="1"/>
  <c r="DP178" i="1"/>
  <c r="DP179" i="1"/>
  <c r="DP180" i="1"/>
  <c r="DP181" i="1"/>
  <c r="DP182" i="1"/>
  <c r="DP183" i="1"/>
  <c r="DP184" i="1"/>
  <c r="DP186" i="1"/>
  <c r="DP187" i="1"/>
  <c r="DP188" i="1"/>
  <c r="DP189" i="1"/>
  <c r="DP190" i="1"/>
  <c r="DP191" i="1"/>
  <c r="DP192" i="1"/>
  <c r="DP193" i="1"/>
  <c r="DP195" i="1"/>
  <c r="DP196" i="1"/>
  <c r="DP197" i="1"/>
  <c r="DP198" i="1"/>
  <c r="DP200" i="1"/>
  <c r="DP201" i="1"/>
  <c r="DP202" i="1"/>
  <c r="DP203" i="1"/>
  <c r="DP204" i="1"/>
  <c r="DP205" i="1"/>
  <c r="DP206" i="1"/>
  <c r="DP207" i="1"/>
  <c r="DP209" i="1"/>
  <c r="DP210" i="1"/>
  <c r="DP211" i="1"/>
  <c r="DP212" i="1"/>
  <c r="DP213" i="1"/>
  <c r="DP214" i="1"/>
  <c r="DP215" i="1"/>
  <c r="DP217" i="1"/>
  <c r="DP218" i="1"/>
  <c r="DP219" i="1"/>
  <c r="DP220" i="1"/>
  <c r="DP221" i="1"/>
  <c r="DP222" i="1"/>
  <c r="DP224" i="1"/>
  <c r="DP225" i="1"/>
  <c r="DP226" i="1"/>
  <c r="DP227" i="1"/>
  <c r="DP228" i="1"/>
  <c r="DP229" i="1"/>
  <c r="DP231" i="1"/>
  <c r="DP232" i="1"/>
  <c r="DP233" i="1"/>
  <c r="DP234" i="1"/>
  <c r="DP235" i="1"/>
  <c r="DP236" i="1"/>
  <c r="DP237" i="1"/>
  <c r="DP238" i="1"/>
  <c r="DP240" i="1"/>
  <c r="DP241" i="1"/>
  <c r="DP242" i="1"/>
  <c r="DP243" i="1"/>
  <c r="DP244" i="1"/>
  <c r="DP245" i="1"/>
  <c r="DP246" i="1"/>
  <c r="DP247" i="1"/>
  <c r="DP249" i="1"/>
  <c r="DP250" i="1"/>
  <c r="DP251" i="1"/>
  <c r="DP252" i="1"/>
  <c r="DP253" i="1"/>
  <c r="DP254" i="1"/>
  <c r="DP255" i="1"/>
  <c r="DP256" i="1"/>
  <c r="DP258" i="1"/>
  <c r="DP259" i="1"/>
  <c r="DP260" i="1"/>
  <c r="DP261" i="1"/>
  <c r="DP262" i="1"/>
  <c r="DP263" i="1"/>
  <c r="DP264" i="1"/>
  <c r="DP265" i="1"/>
  <c r="DP266" i="1"/>
  <c r="DP268" i="1"/>
  <c r="DP269" i="1"/>
  <c r="DP270" i="1"/>
  <c r="DP271" i="1"/>
  <c r="DP272" i="1"/>
  <c r="DP273" i="1"/>
  <c r="DP274" i="1"/>
  <c r="DP275" i="1"/>
  <c r="DP276" i="1"/>
  <c r="DP278" i="1"/>
  <c r="DP279" i="1"/>
  <c r="DP280" i="1"/>
  <c r="DP281" i="1"/>
  <c r="DP282" i="1"/>
  <c r="DP283" i="1"/>
  <c r="DP285" i="1"/>
  <c r="DP286" i="1"/>
  <c r="DP287" i="1"/>
  <c r="DP288" i="1"/>
  <c r="DP291" i="1"/>
  <c r="DP292" i="1"/>
  <c r="DP293" i="1"/>
  <c r="DP294" i="1"/>
  <c r="DP296" i="1"/>
  <c r="DP297" i="1"/>
  <c r="DP298" i="1"/>
  <c r="DP299" i="1"/>
  <c r="DP300" i="1"/>
  <c r="DP301" i="1"/>
  <c r="DP302" i="1"/>
  <c r="DP303" i="1"/>
  <c r="DP305" i="1"/>
  <c r="DP306" i="1"/>
  <c r="DP307" i="1"/>
  <c r="DP308" i="1"/>
  <c r="DP309" i="1"/>
  <c r="DP310" i="1"/>
  <c r="DP311" i="1"/>
  <c r="DP312" i="1"/>
  <c r="DP313" i="1"/>
  <c r="DP314" i="1"/>
  <c r="DP316" i="1"/>
  <c r="DP317" i="1"/>
  <c r="DP318" i="1"/>
  <c r="DP319" i="1"/>
  <c r="DP320" i="1"/>
  <c r="DP321" i="1"/>
  <c r="DP322" i="1"/>
  <c r="DP323" i="1"/>
  <c r="DP324" i="1"/>
  <c r="DP325" i="1"/>
  <c r="DP326" i="1"/>
  <c r="DP327" i="1"/>
  <c r="DP329" i="1"/>
  <c r="DP330" i="1"/>
  <c r="DP332" i="1"/>
  <c r="DP333" i="1"/>
  <c r="DP334" i="1"/>
  <c r="DP335" i="1"/>
  <c r="DP336" i="1"/>
  <c r="DP337" i="1"/>
  <c r="DP338" i="1"/>
  <c r="DP340" i="1"/>
  <c r="DP341" i="1"/>
  <c r="DP342" i="1"/>
  <c r="DP343" i="1"/>
  <c r="DP344" i="1"/>
  <c r="DP345" i="1"/>
  <c r="DP346" i="1"/>
  <c r="DP347" i="1"/>
  <c r="DP348" i="1"/>
  <c r="DP349" i="1"/>
  <c r="DP351" i="1"/>
  <c r="DP352" i="1"/>
  <c r="DP353" i="1"/>
  <c r="DP354" i="1"/>
  <c r="DP355" i="1"/>
  <c r="DP356" i="1"/>
  <c r="DP358" i="1"/>
  <c r="DP359" i="1"/>
  <c r="DP360" i="1"/>
  <c r="DP361" i="1"/>
  <c r="DP362" i="1"/>
  <c r="DP363" i="1"/>
  <c r="DP364" i="1"/>
  <c r="DP365" i="1"/>
  <c r="DP367" i="1"/>
  <c r="DP368" i="1"/>
  <c r="DP369" i="1"/>
  <c r="DP371" i="1"/>
  <c r="DP372" i="1"/>
  <c r="DP373" i="1"/>
  <c r="DP375" i="1"/>
  <c r="DP376" i="1"/>
  <c r="DP378" i="1"/>
  <c r="DP379" i="1"/>
  <c r="DP380" i="1"/>
  <c r="DP381" i="1"/>
  <c r="DP382" i="1"/>
  <c r="DP383" i="1"/>
  <c r="DP385" i="1"/>
  <c r="DP386" i="1"/>
  <c r="DP387" i="1"/>
  <c r="DP388" i="1"/>
  <c r="DP389" i="1"/>
  <c r="DP390" i="1"/>
  <c r="DP391" i="1"/>
  <c r="DP393" i="1"/>
  <c r="DP394" i="1"/>
  <c r="DP395" i="1"/>
  <c r="DP396" i="1"/>
  <c r="DP397" i="1"/>
  <c r="DP398" i="1"/>
  <c r="DP399" i="1"/>
  <c r="DP400" i="1"/>
  <c r="DP401" i="1"/>
  <c r="DP403" i="1"/>
  <c r="DP404" i="1"/>
  <c r="DP405" i="1"/>
  <c r="DP406" i="1"/>
  <c r="DP407" i="1"/>
  <c r="DP408" i="1"/>
  <c r="DP409" i="1"/>
  <c r="DP410" i="1"/>
  <c r="DP411" i="1"/>
  <c r="DP413" i="1"/>
  <c r="DP414" i="1"/>
  <c r="DP415" i="1"/>
  <c r="DP416" i="1"/>
  <c r="DP417" i="1"/>
  <c r="DP418" i="1"/>
  <c r="DP421" i="1"/>
  <c r="DP422" i="1"/>
  <c r="DP423" i="1"/>
  <c r="DP424" i="1"/>
  <c r="DP425" i="1"/>
  <c r="DP426" i="1"/>
  <c r="DP427" i="1"/>
  <c r="DP428" i="1"/>
  <c r="DP430" i="1"/>
  <c r="DP431" i="1"/>
  <c r="DP432" i="1"/>
  <c r="DP433" i="1"/>
  <c r="DP434" i="1"/>
  <c r="DP435" i="1"/>
  <c r="DP436" i="1"/>
  <c r="DP438" i="1"/>
  <c r="DP439" i="1"/>
  <c r="DP440" i="1"/>
  <c r="DP441" i="1"/>
  <c r="DP442" i="1"/>
  <c r="DP443" i="1"/>
  <c r="DP445" i="1"/>
  <c r="DP446" i="1"/>
  <c r="DP447" i="1"/>
  <c r="DP448" i="1"/>
  <c r="DP449" i="1"/>
  <c r="DP450" i="1"/>
  <c r="DP451" i="1"/>
  <c r="DP452" i="1"/>
  <c r="DP454" i="1"/>
  <c r="DP455" i="1"/>
  <c r="DP456" i="1"/>
  <c r="DP457" i="1"/>
  <c r="DP459" i="1"/>
  <c r="DP460" i="1"/>
  <c r="DP461" i="1"/>
  <c r="DP462" i="1"/>
  <c r="DP463" i="1"/>
  <c r="DP464" i="1"/>
  <c r="DP465" i="1"/>
  <c r="DP466" i="1"/>
  <c r="DP468" i="1"/>
  <c r="DP469" i="1"/>
  <c r="DP470" i="1"/>
  <c r="DP471" i="1"/>
  <c r="DP472" i="1"/>
  <c r="DP473" i="1"/>
  <c r="DP474" i="1"/>
  <c r="DP475" i="1"/>
  <c r="DP476" i="1"/>
  <c r="DP478" i="1"/>
  <c r="DP479" i="1"/>
  <c r="DP480" i="1"/>
  <c r="DP481" i="1"/>
  <c r="DP482" i="1"/>
  <c r="DP483" i="1"/>
  <c r="DP485" i="1"/>
  <c r="DP486" i="1"/>
  <c r="DP487" i="1"/>
  <c r="DP488" i="1"/>
  <c r="DP489" i="1"/>
  <c r="DP490" i="1"/>
  <c r="DP491" i="1"/>
  <c r="DP492" i="1"/>
  <c r="DP493" i="1"/>
  <c r="DP495" i="1"/>
  <c r="DP496" i="1"/>
  <c r="DP497" i="1"/>
  <c r="DP498" i="1"/>
  <c r="DP499" i="1"/>
  <c r="DP500" i="1"/>
  <c r="DP502" i="1"/>
  <c r="DP503" i="1"/>
  <c r="DP504" i="1"/>
  <c r="DP505" i="1"/>
  <c r="DP506" i="1"/>
  <c r="DP507" i="1"/>
  <c r="DP508" i="1"/>
  <c r="DP510" i="1"/>
  <c r="DP511" i="1"/>
  <c r="DP512" i="1"/>
  <c r="DP513" i="1"/>
  <c r="DP514" i="1"/>
  <c r="DP515" i="1"/>
  <c r="DP516" i="1"/>
  <c r="DP517" i="1"/>
  <c r="DP518" i="1"/>
  <c r="DP520" i="1"/>
  <c r="DP521" i="1"/>
  <c r="DP522" i="1"/>
  <c r="DP523" i="1"/>
  <c r="DP524" i="1"/>
  <c r="DP525" i="1"/>
  <c r="DP526" i="1"/>
  <c r="DP527" i="1"/>
  <c r="DP529" i="1"/>
  <c r="DP530" i="1"/>
  <c r="DP531" i="1"/>
  <c r="DP532" i="1"/>
  <c r="DP533" i="1"/>
  <c r="DP534" i="1"/>
  <c r="DP535" i="1"/>
  <c r="DP536" i="1"/>
  <c r="DP538" i="1"/>
  <c r="DP539" i="1"/>
  <c r="DP540" i="1"/>
  <c r="DP541" i="1"/>
  <c r="DP542" i="1"/>
  <c r="DP543" i="1"/>
  <c r="DP544" i="1"/>
  <c r="DP545" i="1"/>
  <c r="DP546" i="1"/>
  <c r="DP548" i="1"/>
  <c r="DP549" i="1"/>
  <c r="DP550" i="1"/>
  <c r="DP551" i="1"/>
  <c r="DP552" i="1"/>
  <c r="DP553" i="1"/>
  <c r="DP554" i="1"/>
  <c r="DP555" i="1"/>
  <c r="DP557" i="1"/>
  <c r="DP558" i="1"/>
  <c r="DP559" i="1"/>
  <c r="DP560" i="1"/>
  <c r="DP561" i="1"/>
  <c r="DP562" i="1"/>
  <c r="DP564" i="1"/>
  <c r="DP565" i="1"/>
  <c r="DP566" i="1"/>
  <c r="DP567" i="1"/>
  <c r="DP569" i="1"/>
  <c r="DP570" i="1"/>
  <c r="DP572" i="1"/>
  <c r="DP573" i="1"/>
  <c r="DP574" i="1"/>
  <c r="DP576" i="1"/>
  <c r="DP577" i="1"/>
  <c r="DP578" i="1"/>
  <c r="DP579" i="1"/>
  <c r="DP580" i="1"/>
  <c r="DP581" i="1"/>
  <c r="DP583" i="1"/>
  <c r="DP584" i="1"/>
  <c r="DP586" i="1"/>
  <c r="DP587" i="1"/>
  <c r="DP588" i="1"/>
  <c r="DP590" i="1"/>
  <c r="DP591" i="1"/>
  <c r="DP592" i="1"/>
  <c r="DP593" i="1"/>
  <c r="DP594" i="1"/>
  <c r="DP595" i="1"/>
  <c r="DP596" i="1"/>
  <c r="DP597" i="1"/>
  <c r="DP598" i="1"/>
  <c r="DP600" i="1"/>
  <c r="DP601" i="1"/>
  <c r="DP603" i="1"/>
  <c r="DP604" i="1"/>
  <c r="DP605" i="1"/>
  <c r="DP607" i="1"/>
  <c r="DP608" i="1"/>
  <c r="DP609" i="1"/>
  <c r="DP610" i="1"/>
  <c r="DP611" i="1"/>
  <c r="DP612" i="1"/>
  <c r="DP614" i="1"/>
  <c r="DP615" i="1"/>
  <c r="DP616" i="1"/>
  <c r="DP617" i="1"/>
  <c r="DP618" i="1"/>
  <c r="DP619" i="1"/>
  <c r="DP620" i="1"/>
  <c r="DP622" i="1"/>
  <c r="DP623" i="1"/>
  <c r="DP624" i="1"/>
  <c r="DP625" i="1"/>
  <c r="DP626" i="1"/>
  <c r="DP628" i="1"/>
  <c r="DP629" i="1"/>
  <c r="DP630" i="1"/>
  <c r="DP631" i="1"/>
  <c r="DP632" i="1"/>
  <c r="DP633" i="1"/>
  <c r="DP634" i="1"/>
  <c r="DP636" i="1"/>
  <c r="DP637" i="1"/>
  <c r="DP638" i="1"/>
  <c r="DP639" i="1"/>
  <c r="DP641" i="1"/>
  <c r="DP643" i="1"/>
  <c r="DP644" i="1"/>
  <c r="DP645" i="1"/>
  <c r="DP647" i="1"/>
  <c r="DP648" i="1"/>
  <c r="DP649" i="1"/>
  <c r="DP650" i="1"/>
  <c r="DP651" i="1"/>
  <c r="DP652" i="1"/>
  <c r="DP654" i="1"/>
  <c r="DP655" i="1"/>
  <c r="DP656" i="1"/>
  <c r="DP657" i="1"/>
  <c r="DP658" i="1"/>
  <c r="DP659" i="1"/>
  <c r="DP660" i="1"/>
  <c r="DP662" i="1"/>
  <c r="DP663" i="1"/>
  <c r="DP665" i="1"/>
  <c r="DP666" i="1"/>
  <c r="DP667" i="1"/>
  <c r="DP669" i="1"/>
  <c r="DP670" i="1"/>
  <c r="DP671" i="1"/>
  <c r="DP672" i="1"/>
  <c r="DP674" i="1"/>
  <c r="DP675" i="1"/>
  <c r="DP676" i="1"/>
  <c r="DP677" i="1"/>
  <c r="DP678" i="1"/>
  <c r="DP679" i="1"/>
  <c r="DP681" i="1"/>
  <c r="DP682" i="1"/>
  <c r="DP683" i="1"/>
  <c r="DP684" i="1"/>
  <c r="DP685" i="1"/>
  <c r="DP686" i="1"/>
  <c r="DP687" i="1"/>
  <c r="DP688" i="1"/>
  <c r="DP689" i="1"/>
  <c r="DP690" i="1"/>
  <c r="DP691" i="1"/>
  <c r="DP693" i="1"/>
  <c r="DP694" i="1"/>
  <c r="DP695" i="1"/>
  <c r="DP696" i="1"/>
  <c r="DP698" i="1"/>
  <c r="DP699" i="1"/>
  <c r="DP702" i="1"/>
  <c r="DP703" i="1"/>
  <c r="DP704" i="1"/>
  <c r="DP706" i="1"/>
  <c r="DP707" i="1"/>
  <c r="DP708" i="1"/>
  <c r="DP709" i="1"/>
  <c r="DP711" i="1"/>
  <c r="DP712" i="1"/>
  <c r="DP713" i="1"/>
  <c r="DP714" i="1"/>
  <c r="DP715" i="1"/>
  <c r="DP716" i="1"/>
  <c r="DP717" i="1"/>
  <c r="DP718" i="1"/>
  <c r="DP720" i="1"/>
  <c r="DP721" i="1"/>
  <c r="DP723" i="1"/>
  <c r="DP724" i="1"/>
  <c r="DP725" i="1"/>
  <c r="DP726" i="1"/>
  <c r="DP729" i="1"/>
  <c r="DP731" i="1"/>
  <c r="DP732" i="1"/>
  <c r="DP733" i="1"/>
  <c r="DP734" i="1"/>
  <c r="DP735" i="1"/>
  <c r="DP736" i="1"/>
  <c r="DP738" i="1"/>
  <c r="DP739" i="1"/>
  <c r="DP740" i="1"/>
  <c r="DP741" i="1"/>
  <c r="DP742" i="1"/>
  <c r="DP743" i="1"/>
  <c r="DP744" i="1"/>
  <c r="DP745" i="1"/>
  <c r="DP748" i="1"/>
  <c r="DP750" i="1"/>
  <c r="DP751" i="1"/>
  <c r="DP752" i="1"/>
  <c r="DP753" i="1"/>
  <c r="DP754" i="1"/>
  <c r="DP755" i="1"/>
  <c r="DP756" i="1"/>
  <c r="DP758" i="1"/>
  <c r="DP760" i="1"/>
  <c r="DP761" i="1"/>
  <c r="DP763" i="1"/>
  <c r="DP764" i="1"/>
  <c r="DP766" i="1"/>
  <c r="DP767" i="1"/>
  <c r="DP768" i="1"/>
  <c r="DP769" i="1"/>
  <c r="DP774" i="1"/>
  <c r="DP775" i="1"/>
  <c r="DP777" i="1"/>
  <c r="DP778" i="1"/>
  <c r="DP779" i="1"/>
  <c r="DP780" i="1"/>
  <c r="DP782" i="1"/>
  <c r="DP783" i="1"/>
  <c r="DP784" i="1"/>
  <c r="DP785" i="1"/>
  <c r="DP786" i="1"/>
  <c r="DP787" i="1"/>
  <c r="DP789" i="1"/>
  <c r="DP790" i="1"/>
  <c r="DP791" i="1"/>
  <c r="DP793" i="1"/>
  <c r="DP794" i="1"/>
  <c r="DP795" i="1"/>
  <c r="DP796" i="1"/>
  <c r="DP797" i="1"/>
  <c r="DP798" i="1"/>
  <c r="DP800" i="1"/>
  <c r="DP801" i="1"/>
  <c r="DP802" i="1"/>
  <c r="DP803" i="1"/>
  <c r="DP804" i="1"/>
  <c r="DP805" i="1"/>
  <c r="DP806" i="1"/>
  <c r="DP807" i="1"/>
  <c r="DP808" i="1"/>
  <c r="DP810" i="1"/>
  <c r="DP811" i="1"/>
  <c r="DP812" i="1"/>
  <c r="DP813" i="1"/>
  <c r="DP814" i="1"/>
  <c r="DP815" i="1"/>
  <c r="DP816" i="1"/>
  <c r="DP818" i="1"/>
  <c r="DP819" i="1"/>
  <c r="DP820" i="1"/>
  <c r="DP822" i="1"/>
  <c r="DP823" i="1"/>
  <c r="DP824" i="1"/>
  <c r="DP825" i="1"/>
  <c r="DP826" i="1"/>
  <c r="DP827" i="1"/>
  <c r="DP829" i="1"/>
  <c r="DP830" i="1"/>
  <c r="DP831" i="1"/>
  <c r="DP832" i="1"/>
  <c r="DP834" i="1"/>
  <c r="DP835" i="1"/>
  <c r="DP836" i="1"/>
  <c r="DP838" i="1"/>
  <c r="DP839" i="1"/>
  <c r="DP840" i="1"/>
  <c r="DP841" i="1"/>
  <c r="DP842" i="1"/>
  <c r="DP843" i="1"/>
  <c r="DP845" i="1"/>
  <c r="DP846" i="1"/>
  <c r="DP847" i="1"/>
  <c r="DP848" i="1"/>
  <c r="DP849" i="1"/>
  <c r="DP850" i="1"/>
  <c r="DP852" i="1"/>
  <c r="DP854" i="1"/>
  <c r="DP855" i="1"/>
  <c r="DP856" i="1"/>
  <c r="DP857" i="1"/>
  <c r="DP859" i="1"/>
  <c r="DP860" i="1"/>
  <c r="DP862" i="1"/>
  <c r="DP863" i="1"/>
  <c r="DP864" i="1"/>
  <c r="DP865" i="1"/>
  <c r="DP866" i="1"/>
  <c r="DP867" i="1"/>
  <c r="DP868" i="1"/>
  <c r="DP869" i="1"/>
  <c r="DP870" i="1"/>
  <c r="DP872" i="1"/>
  <c r="DP873" i="1"/>
  <c r="DP874" i="1"/>
  <c r="DP875" i="1"/>
  <c r="DP876" i="1"/>
  <c r="DP877" i="1"/>
  <c r="DP878" i="1"/>
  <c r="DP879" i="1"/>
  <c r="DP880" i="1"/>
  <c r="DP881" i="1"/>
  <c r="DP884" i="1"/>
  <c r="DP886" i="1"/>
  <c r="DP887" i="1"/>
  <c r="DP888" i="1"/>
  <c r="DP889" i="1"/>
  <c r="DP890" i="1"/>
  <c r="DP891" i="1"/>
  <c r="DP892" i="1"/>
  <c r="DP893" i="1"/>
  <c r="DP894" i="1"/>
  <c r="DP895" i="1"/>
  <c r="DP897" i="1"/>
  <c r="DP898" i="1"/>
  <c r="DP899" i="1"/>
  <c r="DP900" i="1"/>
  <c r="DP901" i="1"/>
  <c r="DP902" i="1"/>
  <c r="DP904" i="1"/>
  <c r="DP905" i="1"/>
  <c r="DP906" i="1"/>
  <c r="DP908" i="1"/>
  <c r="DP909" i="1"/>
  <c r="DP910" i="1"/>
  <c r="DP911" i="1"/>
  <c r="DP912" i="1"/>
  <c r="DP913" i="1"/>
  <c r="DP916" i="1"/>
  <c r="DP917" i="1"/>
  <c r="DP918" i="1"/>
  <c r="DP919" i="1"/>
  <c r="DP921" i="1"/>
  <c r="DP922" i="1"/>
  <c r="DP923" i="1"/>
  <c r="DP924" i="1"/>
  <c r="DP925" i="1"/>
  <c r="DP927" i="1"/>
  <c r="DP928" i="1"/>
  <c r="DP929" i="1"/>
  <c r="DP930" i="1"/>
  <c r="DP931" i="1"/>
  <c r="DP932" i="1"/>
  <c r="DP933" i="1"/>
  <c r="DP935" i="1"/>
  <c r="DP936" i="1"/>
  <c r="DP937" i="1"/>
  <c r="DP938" i="1"/>
  <c r="DP939" i="1"/>
  <c r="DP940" i="1"/>
  <c r="DP941" i="1"/>
  <c r="DP943" i="1"/>
  <c r="DP944" i="1"/>
  <c r="DP945" i="1"/>
  <c r="DP947" i="1"/>
  <c r="DP948" i="1"/>
  <c r="DP950" i="1"/>
  <c r="DP951" i="1"/>
  <c r="DP952" i="1"/>
  <c r="DP953" i="1"/>
  <c r="DP954" i="1"/>
  <c r="DP955" i="1"/>
  <c r="DP956" i="1"/>
  <c r="DP957" i="1"/>
  <c r="DP958" i="1"/>
  <c r="DP960" i="1"/>
  <c r="DP961" i="1"/>
  <c r="DP962" i="1"/>
  <c r="DP963" i="1"/>
  <c r="DP964" i="1"/>
  <c r="DP965" i="1"/>
  <c r="DP966" i="1"/>
  <c r="DP967" i="1"/>
  <c r="DP969" i="1"/>
  <c r="DP970" i="1"/>
  <c r="DP971" i="1"/>
  <c r="DP972" i="1"/>
  <c r="DP973" i="1"/>
  <c r="DP974" i="1"/>
  <c r="DP975" i="1"/>
  <c r="DP977" i="1"/>
  <c r="DP978" i="1"/>
  <c r="DP979" i="1"/>
  <c r="DP980" i="1"/>
  <c r="DP981" i="1"/>
  <c r="DP983" i="1"/>
  <c r="DP985" i="1"/>
  <c r="DP986" i="1"/>
  <c r="DP987" i="1"/>
  <c r="DP989" i="1"/>
  <c r="DP990" i="1"/>
  <c r="DP991" i="1"/>
  <c r="DP992" i="1"/>
  <c r="DP993" i="1"/>
  <c r="DP994" i="1"/>
  <c r="DP996" i="1"/>
  <c r="DP997" i="1"/>
  <c r="DP998" i="1"/>
  <c r="DP999" i="1"/>
  <c r="DP1000" i="1"/>
  <c r="DP1001" i="1"/>
  <c r="DP1002" i="1"/>
  <c r="DP1003" i="1"/>
  <c r="DP1005" i="1"/>
  <c r="DP1006" i="1"/>
  <c r="DP1007" i="1"/>
  <c r="DP1008" i="1"/>
  <c r="DP1009" i="1"/>
  <c r="DP1010" i="1"/>
  <c r="DP1011" i="1"/>
  <c r="DP1013" i="1"/>
  <c r="DP1014" i="1"/>
  <c r="DP1015" i="1"/>
  <c r="DP1016" i="1"/>
  <c r="DP1017" i="1"/>
  <c r="DP1018" i="1"/>
  <c r="DP1019" i="1"/>
  <c r="DP1020" i="1"/>
  <c r="DP1021" i="1"/>
  <c r="DP1022" i="1"/>
  <c r="DP1023" i="1"/>
  <c r="DP1025" i="1"/>
  <c r="DP1026" i="1"/>
  <c r="DP1027" i="1"/>
  <c r="DP1028" i="1"/>
  <c r="DP1029" i="1"/>
  <c r="DP1030" i="1"/>
  <c r="DP1031" i="1"/>
  <c r="DP1032" i="1"/>
  <c r="DP1033" i="1"/>
  <c r="DP1035" i="1"/>
  <c r="DP1036" i="1"/>
  <c r="DP1037" i="1"/>
  <c r="DP1038" i="1"/>
  <c r="DP1039" i="1"/>
  <c r="DP1040" i="1"/>
  <c r="DP1041" i="1"/>
  <c r="DP1042" i="1"/>
  <c r="DP1043" i="1"/>
  <c r="DP1044" i="1"/>
  <c r="DP1046" i="1"/>
  <c r="DP1047" i="1"/>
  <c r="DP1048" i="1"/>
  <c r="DP1051" i="1"/>
  <c r="DP1053" i="1"/>
  <c r="DP1054" i="1"/>
  <c r="DP1055" i="1"/>
  <c r="DP1056" i="1"/>
  <c r="DP1057" i="1"/>
  <c r="DP1059" i="1"/>
  <c r="DP1060" i="1"/>
  <c r="DP1061" i="1"/>
  <c r="DP1062" i="1"/>
  <c r="DP1063" i="1"/>
  <c r="DP1064" i="1"/>
  <c r="DP1066" i="1"/>
  <c r="DP1067" i="1"/>
  <c r="DP1068" i="1"/>
  <c r="DP1069" i="1"/>
  <c r="DP1070" i="1"/>
  <c r="DP1071" i="1"/>
  <c r="DP1072" i="1"/>
  <c r="DP1073" i="1"/>
  <c r="DP1075" i="1"/>
  <c r="DP1076" i="1"/>
  <c r="DP1077" i="1"/>
  <c r="DP1079" i="1"/>
  <c r="DP1080" i="1"/>
  <c r="DP1081" i="1"/>
  <c r="DP1082" i="1"/>
  <c r="DP1083" i="1"/>
  <c r="DP1084" i="1"/>
  <c r="DP1086" i="1"/>
  <c r="DP1087" i="1"/>
  <c r="DP1088" i="1"/>
  <c r="DP1089" i="1"/>
  <c r="DP1090" i="1"/>
  <c r="DP1091" i="1"/>
  <c r="DP1092" i="1"/>
  <c r="DP1093" i="1"/>
  <c r="DP1094" i="1"/>
  <c r="DP1097" i="1"/>
  <c r="DP1098" i="1"/>
  <c r="DP1099" i="1"/>
  <c r="DP1100" i="1"/>
  <c r="DP1101" i="1"/>
  <c r="DP1102" i="1"/>
  <c r="DP1103" i="1"/>
  <c r="DP1104" i="1"/>
  <c r="DP1105" i="1"/>
  <c r="DP1106" i="1"/>
  <c r="DP1108" i="1"/>
  <c r="DP1109" i="1"/>
  <c r="DP1110" i="1"/>
  <c r="DP1111" i="1"/>
  <c r="DP1112" i="1"/>
  <c r="DP1113" i="1"/>
  <c r="DP1115" i="1"/>
  <c r="DP1116" i="1"/>
  <c r="DP1117" i="1"/>
  <c r="DP1118" i="1"/>
  <c r="DP1120" i="1"/>
  <c r="DP1122" i="1"/>
  <c r="DP1123" i="1"/>
  <c r="DP1124" i="1"/>
  <c r="DP1126" i="1"/>
  <c r="DP1127" i="1"/>
  <c r="DP1128" i="1"/>
  <c r="DP1129" i="1"/>
  <c r="DP1130" i="1"/>
  <c r="DP1132" i="1"/>
  <c r="DP1133" i="1"/>
  <c r="DP1135" i="1"/>
  <c r="DP1136" i="1"/>
  <c r="DP1137" i="1"/>
  <c r="DP1138" i="1"/>
  <c r="DP1139" i="1"/>
  <c r="DP1140" i="1"/>
  <c r="DP1142" i="1"/>
  <c r="DP1143" i="1"/>
  <c r="DP1144" i="1"/>
  <c r="DP1145" i="1"/>
  <c r="DP1146" i="1"/>
  <c r="DP1147" i="1"/>
  <c r="DP1148" i="1"/>
  <c r="DP1149" i="1"/>
  <c r="DP1150" i="1"/>
  <c r="DP1152" i="1"/>
  <c r="DP1153" i="1"/>
  <c r="DP1154" i="1"/>
  <c r="DP1155" i="1"/>
  <c r="DP1157" i="1"/>
  <c r="DP1158" i="1"/>
  <c r="DP1159" i="1"/>
  <c r="DP1160" i="1"/>
  <c r="DP1161" i="1"/>
  <c r="DP1162" i="1"/>
  <c r="DP1163" i="1"/>
  <c r="DP1164" i="1"/>
  <c r="DP1165" i="1"/>
  <c r="DP1167" i="1"/>
  <c r="DP1168" i="1"/>
  <c r="DP1169" i="1"/>
  <c r="DP1170" i="1"/>
  <c r="DP1172" i="1"/>
  <c r="DP1173" i="1"/>
  <c r="DP1174" i="1"/>
  <c r="DP1175" i="1"/>
  <c r="DP1177" i="1"/>
  <c r="DP1178" i="1"/>
  <c r="DP1179" i="1"/>
  <c r="DP1180" i="1"/>
  <c r="DP1181" i="1"/>
  <c r="DP1182" i="1"/>
  <c r="DP1183" i="1"/>
  <c r="DP1185" i="1"/>
  <c r="DP1186" i="1"/>
  <c r="DP1187" i="1"/>
  <c r="DP1188" i="1"/>
  <c r="DP1189" i="1"/>
  <c r="DP1190" i="1"/>
  <c r="DP1192" i="1"/>
  <c r="DP1194" i="1"/>
  <c r="DP1195" i="1"/>
  <c r="DP1196" i="1"/>
  <c r="DP1199" i="1"/>
  <c r="DP1201" i="1"/>
  <c r="DP1202" i="1"/>
  <c r="DP1203" i="1"/>
  <c r="DP1204" i="1"/>
  <c r="DP1205" i="1"/>
  <c r="DP1206" i="1"/>
  <c r="DP1207" i="1"/>
  <c r="DP1209" i="1"/>
  <c r="DP1210" i="1"/>
  <c r="DP1211" i="1"/>
  <c r="DP1212" i="1"/>
  <c r="DP1213" i="1"/>
  <c r="DP1214" i="1"/>
  <c r="DP1215" i="1"/>
  <c r="DP1216" i="1"/>
  <c r="DP1217" i="1"/>
  <c r="DP1219" i="1"/>
  <c r="DP1220" i="1"/>
  <c r="DP1222" i="1"/>
  <c r="DP1223" i="1"/>
  <c r="DP1224" i="1"/>
  <c r="DP1225" i="1"/>
  <c r="DP1226" i="1"/>
  <c r="DP1227" i="1"/>
  <c r="DP1229" i="1"/>
  <c r="DP1230" i="1"/>
  <c r="DP1231" i="1"/>
  <c r="DP1232" i="1"/>
  <c r="DP1233" i="1"/>
  <c r="DP1234" i="1"/>
  <c r="DP1235" i="1"/>
  <c r="DP1236" i="1"/>
  <c r="DP1238" i="1"/>
  <c r="DP1240" i="1"/>
  <c r="DP1241" i="1"/>
  <c r="DP1242" i="1"/>
  <c r="DP1244" i="1"/>
  <c r="DP1245" i="1"/>
  <c r="DP1246" i="1"/>
  <c r="DP1247" i="1"/>
  <c r="DP1248" i="1"/>
  <c r="DP1250" i="1"/>
  <c r="DP1251" i="1"/>
  <c r="DP1252" i="1"/>
  <c r="DP1253" i="1"/>
  <c r="DP1254" i="1"/>
  <c r="DP1255" i="1"/>
  <c r="DP1256" i="1"/>
  <c r="DP1257" i="1"/>
  <c r="DP1258" i="1"/>
  <c r="DP1259" i="1"/>
  <c r="DP1261" i="1"/>
  <c r="DP1262" i="1"/>
  <c r="DP1263" i="1"/>
  <c r="DP1265" i="1"/>
  <c r="DP1266" i="1"/>
  <c r="DP1267" i="1"/>
  <c r="DP1268" i="1"/>
  <c r="DP1272" i="1"/>
  <c r="DP1274" i="1"/>
  <c r="DP1275" i="1"/>
  <c r="DP1276" i="1"/>
  <c r="DP1277" i="1"/>
  <c r="DP1278" i="1"/>
  <c r="DP1279" i="1"/>
  <c r="DP1280" i="1"/>
  <c r="DP1282" i="1"/>
  <c r="DP1283" i="1"/>
  <c r="DP1284" i="1"/>
  <c r="DP1285" i="1"/>
  <c r="DP1286" i="1"/>
  <c r="DP1287" i="1"/>
  <c r="DP1288" i="1"/>
  <c r="DP1289" i="1"/>
  <c r="DP1291" i="1"/>
  <c r="DP1292" i="1"/>
  <c r="DP1293" i="1"/>
  <c r="DP1294" i="1"/>
  <c r="DP1295" i="1"/>
  <c r="DP1296" i="1"/>
  <c r="DP1297" i="1"/>
  <c r="DP1298" i="1"/>
  <c r="DP1299" i="1"/>
  <c r="DP1300" i="1"/>
  <c r="DP1301" i="1"/>
  <c r="DP1303" i="1"/>
  <c r="DP1304" i="1"/>
  <c r="DP1305" i="1"/>
  <c r="DP1306" i="1"/>
  <c r="DP1307" i="1"/>
  <c r="DP1308" i="1"/>
  <c r="DP1309" i="1"/>
  <c r="DP1310" i="1"/>
  <c r="DP1311" i="1"/>
  <c r="DP1312" i="1"/>
  <c r="DP1313" i="1"/>
  <c r="DQ67" i="1"/>
  <c r="DQ68" i="1"/>
  <c r="DQ69" i="1"/>
  <c r="DQ70" i="1"/>
  <c r="DQ71" i="1"/>
  <c r="DQ72" i="1"/>
  <c r="DQ73" i="1"/>
  <c r="DQ74" i="1"/>
  <c r="DQ76" i="1"/>
  <c r="DQ77" i="1"/>
  <c r="DQ78" i="1"/>
  <c r="DQ79" i="1"/>
  <c r="DQ80" i="1"/>
  <c r="DQ81" i="1"/>
  <c r="DQ82" i="1"/>
  <c r="DQ84" i="1"/>
  <c r="DQ85" i="1"/>
  <c r="DQ86" i="1"/>
  <c r="DQ87" i="1"/>
  <c r="DQ88" i="1"/>
  <c r="DQ89" i="1"/>
  <c r="DQ90" i="1"/>
  <c r="DQ92" i="1"/>
  <c r="DQ93" i="1"/>
  <c r="DQ94" i="1"/>
  <c r="DQ95" i="1"/>
  <c r="DQ96" i="1"/>
  <c r="DQ97" i="1"/>
  <c r="DQ98" i="1"/>
  <c r="DQ101" i="1"/>
  <c r="DQ103" i="1"/>
  <c r="DQ104" i="1"/>
  <c r="DQ105" i="1"/>
  <c r="DQ106" i="1"/>
  <c r="DQ107" i="1"/>
  <c r="DQ108" i="1"/>
  <c r="DQ109" i="1"/>
  <c r="DQ111" i="1"/>
  <c r="DQ112" i="1"/>
  <c r="DQ113" i="1"/>
  <c r="DQ114" i="1"/>
  <c r="DQ115" i="1"/>
  <c r="DQ116" i="1"/>
  <c r="DQ117" i="1"/>
  <c r="DQ118" i="1"/>
  <c r="DQ119" i="1"/>
  <c r="DQ120" i="1"/>
  <c r="DQ122" i="1"/>
  <c r="DQ124" i="1"/>
  <c r="DQ125" i="1"/>
  <c r="DQ126" i="1"/>
  <c r="DQ129" i="1"/>
  <c r="DQ131" i="1"/>
  <c r="DQ132" i="1"/>
  <c r="DQ133" i="1"/>
  <c r="DQ136" i="1"/>
  <c r="DQ138" i="1"/>
  <c r="DQ139" i="1"/>
  <c r="DQ140" i="1"/>
  <c r="DQ141" i="1"/>
  <c r="DQ142" i="1"/>
  <c r="DQ144" i="1"/>
  <c r="DQ145" i="1"/>
  <c r="DQ146" i="1"/>
  <c r="DQ147" i="1"/>
  <c r="DQ148" i="1"/>
  <c r="DQ149" i="1"/>
  <c r="DQ151" i="1"/>
  <c r="DQ152" i="1"/>
  <c r="DQ153" i="1"/>
  <c r="DQ154" i="1"/>
  <c r="DQ155" i="1"/>
  <c r="DQ156" i="1"/>
  <c r="DQ157" i="1"/>
  <c r="DQ158" i="1"/>
  <c r="DQ160" i="1"/>
  <c r="DQ161" i="1"/>
  <c r="DQ162" i="1"/>
  <c r="DQ163" i="1"/>
  <c r="DQ166" i="1"/>
  <c r="DQ167" i="1"/>
  <c r="DQ168" i="1"/>
  <c r="DQ169" i="1"/>
  <c r="DQ170" i="1"/>
  <c r="DQ172" i="1"/>
  <c r="DQ173" i="1"/>
  <c r="DQ175" i="1"/>
  <c r="DQ176" i="1"/>
  <c r="DQ177" i="1"/>
  <c r="DQ178" i="1"/>
  <c r="DQ179" i="1"/>
  <c r="DQ180" i="1"/>
  <c r="DQ181" i="1"/>
  <c r="DQ182" i="1"/>
  <c r="DQ183" i="1"/>
  <c r="DQ184" i="1"/>
  <c r="DQ186" i="1"/>
  <c r="DQ187" i="1"/>
  <c r="DQ188" i="1"/>
  <c r="DQ189" i="1"/>
  <c r="DQ190" i="1"/>
  <c r="DQ191" i="1"/>
  <c r="DQ192" i="1"/>
  <c r="DQ193" i="1"/>
  <c r="DQ195" i="1"/>
  <c r="DQ196" i="1"/>
  <c r="DQ197" i="1"/>
  <c r="DQ198" i="1"/>
  <c r="DQ200" i="1"/>
  <c r="DQ201" i="1"/>
  <c r="DQ202" i="1"/>
  <c r="DQ203" i="1"/>
  <c r="DQ204" i="1"/>
  <c r="DQ205" i="1"/>
  <c r="DQ206" i="1"/>
  <c r="DQ207" i="1"/>
  <c r="DQ209" i="1"/>
  <c r="DQ210" i="1"/>
  <c r="DQ211" i="1"/>
  <c r="DQ212" i="1"/>
  <c r="DQ213" i="1"/>
  <c r="DQ214" i="1"/>
  <c r="DQ215" i="1"/>
  <c r="DQ218" i="1"/>
  <c r="DQ219" i="1"/>
  <c r="DQ220" i="1"/>
  <c r="DQ221" i="1"/>
  <c r="DQ222" i="1"/>
  <c r="DQ224" i="1"/>
  <c r="DQ225" i="1"/>
  <c r="DQ226" i="1"/>
  <c r="DQ227" i="1"/>
  <c r="DQ228" i="1"/>
  <c r="DQ229" i="1"/>
  <c r="DQ231" i="1"/>
  <c r="DQ232" i="1"/>
  <c r="DQ233" i="1"/>
  <c r="DQ234" i="1"/>
  <c r="DQ235" i="1"/>
  <c r="DQ236" i="1"/>
  <c r="DQ237" i="1"/>
  <c r="DQ238" i="1"/>
  <c r="DQ240" i="1"/>
  <c r="DQ241" i="1"/>
  <c r="DQ242" i="1"/>
  <c r="DQ243" i="1"/>
  <c r="DQ244" i="1"/>
  <c r="DQ245" i="1"/>
  <c r="DQ246" i="1"/>
  <c r="DQ247" i="1"/>
  <c r="DQ249" i="1"/>
  <c r="DQ250" i="1"/>
  <c r="DQ251" i="1"/>
  <c r="DQ252" i="1"/>
  <c r="DQ253" i="1"/>
  <c r="DQ254" i="1"/>
  <c r="DQ255" i="1"/>
  <c r="DQ256" i="1"/>
  <c r="DQ258" i="1"/>
  <c r="DQ259" i="1"/>
  <c r="DQ260" i="1"/>
  <c r="DQ261" i="1"/>
  <c r="DQ262" i="1"/>
  <c r="DQ263" i="1"/>
  <c r="DQ264" i="1"/>
  <c r="DQ265" i="1"/>
  <c r="DQ266" i="1"/>
  <c r="DQ268" i="1"/>
  <c r="DQ269" i="1"/>
  <c r="DQ270" i="1"/>
  <c r="DQ271" i="1"/>
  <c r="DQ272" i="1"/>
  <c r="DQ273" i="1"/>
  <c r="DQ274" i="1"/>
  <c r="DQ275" i="1"/>
  <c r="DQ276" i="1"/>
  <c r="DQ278" i="1"/>
  <c r="DQ279" i="1"/>
  <c r="DQ280" i="1"/>
  <c r="DQ281" i="1"/>
  <c r="DQ282" i="1"/>
  <c r="DQ283" i="1"/>
  <c r="DQ285" i="1"/>
  <c r="DQ286" i="1"/>
  <c r="DQ287" i="1"/>
  <c r="DQ288" i="1"/>
  <c r="DQ291" i="1"/>
  <c r="DQ292" i="1"/>
  <c r="DQ293" i="1"/>
  <c r="DQ294" i="1"/>
  <c r="DQ296" i="1"/>
  <c r="DQ297" i="1"/>
  <c r="DQ298" i="1"/>
  <c r="DQ299" i="1"/>
  <c r="DQ300" i="1"/>
  <c r="DQ301" i="1"/>
  <c r="DQ302" i="1"/>
  <c r="DQ303" i="1"/>
  <c r="DQ305" i="1"/>
  <c r="DQ306" i="1"/>
  <c r="DQ307" i="1"/>
  <c r="DQ308" i="1"/>
  <c r="DQ309" i="1"/>
  <c r="DQ310" i="1"/>
  <c r="DQ311" i="1"/>
  <c r="DQ312" i="1"/>
  <c r="DQ313" i="1"/>
  <c r="DQ314" i="1"/>
  <c r="DQ316" i="1"/>
  <c r="DQ317" i="1"/>
  <c r="DQ318" i="1"/>
  <c r="DQ319" i="1"/>
  <c r="DQ320" i="1"/>
  <c r="DQ321" i="1"/>
  <c r="DQ322" i="1"/>
  <c r="DQ323" i="1"/>
  <c r="DQ324" i="1"/>
  <c r="DQ325" i="1"/>
  <c r="DQ326" i="1"/>
  <c r="DQ327" i="1"/>
  <c r="DQ329" i="1"/>
  <c r="DQ330" i="1"/>
  <c r="DQ332" i="1"/>
  <c r="DQ333" i="1"/>
  <c r="DQ334" i="1"/>
  <c r="DQ335" i="1"/>
  <c r="DQ336" i="1"/>
  <c r="DQ337" i="1"/>
  <c r="DQ338" i="1"/>
  <c r="DQ340" i="1"/>
  <c r="DQ341" i="1"/>
  <c r="DQ342" i="1"/>
  <c r="DQ343" i="1"/>
  <c r="DQ344" i="1"/>
  <c r="DQ345" i="1"/>
  <c r="DQ346" i="1"/>
  <c r="DQ347" i="1"/>
  <c r="DQ348" i="1"/>
  <c r="DQ349" i="1"/>
  <c r="DQ351" i="1"/>
  <c r="DQ352" i="1"/>
  <c r="DQ353" i="1"/>
  <c r="DQ354" i="1"/>
  <c r="DQ355" i="1"/>
  <c r="DQ356" i="1"/>
  <c r="DQ358" i="1"/>
  <c r="DQ359" i="1"/>
  <c r="DQ360" i="1"/>
  <c r="DQ361" i="1"/>
  <c r="DQ362" i="1"/>
  <c r="DQ363" i="1"/>
  <c r="DQ364" i="1"/>
  <c r="DQ365" i="1"/>
  <c r="DQ367" i="1"/>
  <c r="DQ368" i="1"/>
  <c r="DQ369" i="1"/>
  <c r="DQ371" i="1"/>
  <c r="DQ372" i="1"/>
  <c r="DQ373" i="1"/>
  <c r="DQ375" i="1"/>
  <c r="DQ376" i="1"/>
  <c r="DQ378" i="1"/>
  <c r="DQ379" i="1"/>
  <c r="DQ380" i="1"/>
  <c r="DQ381" i="1"/>
  <c r="DQ382" i="1"/>
  <c r="DQ383" i="1"/>
  <c r="DQ385" i="1"/>
  <c r="DQ386" i="1"/>
  <c r="DQ387" i="1"/>
  <c r="DQ388" i="1"/>
  <c r="DQ389" i="1"/>
  <c r="DQ390" i="1"/>
  <c r="DQ391" i="1"/>
  <c r="DQ393" i="1"/>
  <c r="DQ394" i="1"/>
  <c r="DQ395" i="1"/>
  <c r="DQ396" i="1"/>
  <c r="DQ397" i="1"/>
  <c r="DQ398" i="1"/>
  <c r="DQ399" i="1"/>
  <c r="DQ400" i="1"/>
  <c r="DQ401" i="1"/>
  <c r="DQ403" i="1"/>
  <c r="DQ404" i="1"/>
  <c r="DQ405" i="1"/>
  <c r="DQ406" i="1"/>
  <c r="DQ407" i="1"/>
  <c r="DQ408" i="1"/>
  <c r="DQ409" i="1"/>
  <c r="DQ410" i="1"/>
  <c r="DQ411" i="1"/>
  <c r="DQ413" i="1"/>
  <c r="DQ414" i="1"/>
  <c r="DQ415" i="1"/>
  <c r="DQ416" i="1"/>
  <c r="DQ417" i="1"/>
  <c r="DQ418" i="1"/>
  <c r="DQ421" i="1"/>
  <c r="DQ422" i="1"/>
  <c r="DQ423" i="1"/>
  <c r="DQ424" i="1"/>
  <c r="DQ425" i="1"/>
  <c r="DQ426" i="1"/>
  <c r="DQ427" i="1"/>
  <c r="DQ428" i="1"/>
  <c r="DQ430" i="1"/>
  <c r="DQ431" i="1"/>
  <c r="DQ432" i="1"/>
  <c r="DQ433" i="1"/>
  <c r="DQ434" i="1"/>
  <c r="DQ435" i="1"/>
  <c r="DQ436" i="1"/>
  <c r="DQ438" i="1"/>
  <c r="DQ439" i="1"/>
  <c r="DQ440" i="1"/>
  <c r="DQ441" i="1"/>
  <c r="DQ442" i="1"/>
  <c r="DQ443" i="1"/>
  <c r="DQ445" i="1"/>
  <c r="DQ446" i="1"/>
  <c r="DQ447" i="1"/>
  <c r="DQ448" i="1"/>
  <c r="DQ449" i="1"/>
  <c r="DQ450" i="1"/>
  <c r="DQ451" i="1"/>
  <c r="DQ452" i="1"/>
  <c r="DQ454" i="1"/>
  <c r="DQ455" i="1"/>
  <c r="DQ456" i="1"/>
  <c r="DQ457" i="1"/>
  <c r="DQ459" i="1"/>
  <c r="DQ460" i="1"/>
  <c r="DQ461" i="1"/>
  <c r="DQ462" i="1"/>
  <c r="DQ463" i="1"/>
  <c r="DQ464" i="1"/>
  <c r="DQ465" i="1"/>
  <c r="DQ466" i="1"/>
  <c r="DQ468" i="1"/>
  <c r="DQ469" i="1"/>
  <c r="DQ470" i="1"/>
  <c r="DQ471" i="1"/>
  <c r="DQ472" i="1"/>
  <c r="DQ473" i="1"/>
  <c r="DQ474" i="1"/>
  <c r="DQ475" i="1"/>
  <c r="DQ476" i="1"/>
  <c r="DQ478" i="1"/>
  <c r="DQ479" i="1"/>
  <c r="DQ480" i="1"/>
  <c r="DQ481" i="1"/>
  <c r="DQ482" i="1"/>
  <c r="DQ483" i="1"/>
  <c r="DQ485" i="1"/>
  <c r="DQ486" i="1"/>
  <c r="DQ487" i="1"/>
  <c r="DQ488" i="1"/>
  <c r="DQ489" i="1"/>
  <c r="DQ490" i="1"/>
  <c r="DQ491" i="1"/>
  <c r="DQ492" i="1"/>
  <c r="DQ493" i="1"/>
  <c r="DQ495" i="1"/>
  <c r="DQ496" i="1"/>
  <c r="DQ497" i="1"/>
  <c r="DQ498" i="1"/>
  <c r="DQ499" i="1"/>
  <c r="DQ500" i="1"/>
  <c r="DQ502" i="1"/>
  <c r="DQ503" i="1"/>
  <c r="DQ504" i="1"/>
  <c r="DQ505" i="1"/>
  <c r="DQ506" i="1"/>
  <c r="DQ507" i="1"/>
  <c r="DQ508" i="1"/>
  <c r="DQ510" i="1"/>
  <c r="DQ511" i="1"/>
  <c r="DQ512" i="1"/>
  <c r="DQ513" i="1"/>
  <c r="DQ514" i="1"/>
  <c r="DQ515" i="1"/>
  <c r="DQ516" i="1"/>
  <c r="DQ517" i="1"/>
  <c r="DQ518" i="1"/>
  <c r="DQ520" i="1"/>
  <c r="DQ521" i="1"/>
  <c r="DQ522" i="1"/>
  <c r="DQ523" i="1"/>
  <c r="DQ524" i="1"/>
  <c r="DQ525" i="1"/>
  <c r="DQ526" i="1"/>
  <c r="DQ527" i="1"/>
  <c r="DQ529" i="1"/>
  <c r="DQ530" i="1"/>
  <c r="DQ531" i="1"/>
  <c r="DQ532" i="1"/>
  <c r="DQ533" i="1"/>
  <c r="DQ534" i="1"/>
  <c r="DQ535" i="1"/>
  <c r="DQ536" i="1"/>
  <c r="DQ538" i="1"/>
  <c r="DQ539" i="1"/>
  <c r="DQ540" i="1"/>
  <c r="DQ541" i="1"/>
  <c r="DQ542" i="1"/>
  <c r="DQ543" i="1"/>
  <c r="DQ544" i="1"/>
  <c r="DQ545" i="1"/>
  <c r="DQ546" i="1"/>
  <c r="DQ548" i="1"/>
  <c r="DQ549" i="1"/>
  <c r="DQ550" i="1"/>
  <c r="DQ551" i="1"/>
  <c r="DQ552" i="1"/>
  <c r="DQ553" i="1"/>
  <c r="DQ554" i="1"/>
  <c r="DQ555" i="1"/>
  <c r="DQ557" i="1"/>
  <c r="DQ558" i="1"/>
  <c r="DQ559" i="1"/>
  <c r="DQ560" i="1"/>
  <c r="DQ561" i="1"/>
  <c r="DQ562" i="1"/>
  <c r="DQ563" i="1"/>
  <c r="DQ564" i="1"/>
  <c r="DQ565" i="1"/>
  <c r="DQ566" i="1"/>
  <c r="DQ567" i="1"/>
  <c r="DQ569" i="1"/>
  <c r="DQ570" i="1"/>
  <c r="DQ572" i="1"/>
  <c r="DQ573" i="1"/>
  <c r="DQ574" i="1"/>
  <c r="DQ576" i="1"/>
  <c r="DQ577" i="1"/>
  <c r="DQ578" i="1"/>
  <c r="DQ579" i="1"/>
  <c r="DQ580" i="1"/>
  <c r="DQ581" i="1"/>
  <c r="DQ583" i="1"/>
  <c r="DQ584" i="1"/>
  <c r="DQ586" i="1"/>
  <c r="DQ587" i="1"/>
  <c r="DQ588" i="1"/>
  <c r="DQ590" i="1"/>
  <c r="DQ591" i="1"/>
  <c r="DQ592" i="1"/>
  <c r="DQ593" i="1"/>
  <c r="DQ594" i="1"/>
  <c r="DQ595" i="1"/>
  <c r="DQ596" i="1"/>
  <c r="DQ597" i="1"/>
  <c r="DQ598" i="1"/>
  <c r="DQ600" i="1"/>
  <c r="DQ601" i="1"/>
  <c r="DQ603" i="1"/>
  <c r="DQ604" i="1"/>
  <c r="DQ605" i="1"/>
  <c r="DQ607" i="1"/>
  <c r="DQ608" i="1"/>
  <c r="DQ609" i="1"/>
  <c r="DQ610" i="1"/>
  <c r="DQ611" i="1"/>
  <c r="DQ612" i="1"/>
  <c r="DQ614" i="1"/>
  <c r="DQ615" i="1"/>
  <c r="DQ616" i="1"/>
  <c r="DQ617" i="1"/>
  <c r="DQ618" i="1"/>
  <c r="DQ619" i="1"/>
  <c r="DQ620" i="1"/>
  <c r="DQ622" i="1"/>
  <c r="DQ623" i="1"/>
  <c r="DQ624" i="1"/>
  <c r="DQ625" i="1"/>
  <c r="DQ626" i="1"/>
  <c r="DQ628" i="1"/>
  <c r="DQ629" i="1"/>
  <c r="DQ630" i="1"/>
  <c r="DQ631" i="1"/>
  <c r="DQ632" i="1"/>
  <c r="DQ633" i="1"/>
  <c r="DQ634" i="1"/>
  <c r="DQ636" i="1"/>
  <c r="DQ637" i="1"/>
  <c r="DQ638" i="1"/>
  <c r="DQ639" i="1"/>
  <c r="DQ641" i="1"/>
  <c r="DQ643" i="1"/>
  <c r="DQ644" i="1"/>
  <c r="DQ645" i="1"/>
  <c r="DQ647" i="1"/>
  <c r="DQ648" i="1"/>
  <c r="DQ649" i="1"/>
  <c r="DQ650" i="1"/>
  <c r="DQ651" i="1"/>
  <c r="DQ652" i="1"/>
  <c r="DQ654" i="1"/>
  <c r="DQ655" i="1"/>
  <c r="DQ656" i="1"/>
  <c r="DQ657" i="1"/>
  <c r="DQ658" i="1"/>
  <c r="DQ659" i="1"/>
  <c r="DQ660" i="1"/>
  <c r="DQ662" i="1"/>
  <c r="DQ663" i="1"/>
  <c r="DQ665" i="1"/>
  <c r="DQ666" i="1"/>
  <c r="DQ667" i="1"/>
  <c r="DQ669" i="1"/>
  <c r="DQ670" i="1"/>
  <c r="DQ671" i="1"/>
  <c r="DQ672" i="1"/>
  <c r="DQ674" i="1"/>
  <c r="DQ675" i="1"/>
  <c r="DQ676" i="1"/>
  <c r="DQ677" i="1"/>
  <c r="DQ678" i="1"/>
  <c r="DQ679" i="1"/>
  <c r="DQ681" i="1"/>
  <c r="DQ682" i="1"/>
  <c r="DQ683" i="1"/>
  <c r="DQ684" i="1"/>
  <c r="DQ685" i="1"/>
  <c r="DQ686" i="1"/>
  <c r="DQ687" i="1"/>
  <c r="DQ688" i="1"/>
  <c r="DQ689" i="1"/>
  <c r="DQ690" i="1"/>
  <c r="DQ691" i="1"/>
  <c r="DQ693" i="1"/>
  <c r="DQ694" i="1"/>
  <c r="DQ695" i="1"/>
  <c r="DQ696" i="1"/>
  <c r="DQ698" i="1"/>
  <c r="DQ699" i="1"/>
  <c r="DQ702" i="1"/>
  <c r="DQ703" i="1"/>
  <c r="DQ704" i="1"/>
  <c r="DQ706" i="1"/>
  <c r="DQ707" i="1"/>
  <c r="DQ708" i="1"/>
  <c r="DQ709" i="1"/>
  <c r="DQ711" i="1"/>
  <c r="DQ712" i="1"/>
  <c r="DQ713" i="1"/>
  <c r="DQ714" i="1"/>
  <c r="DQ715" i="1"/>
  <c r="DQ716" i="1"/>
  <c r="DQ717" i="1"/>
  <c r="DQ718" i="1"/>
  <c r="DQ720" i="1"/>
  <c r="DQ721" i="1"/>
  <c r="DQ723" i="1"/>
  <c r="DQ724" i="1"/>
  <c r="DQ725" i="1"/>
  <c r="DQ726" i="1"/>
  <c r="DQ729" i="1"/>
  <c r="DQ731" i="1"/>
  <c r="DQ732" i="1"/>
  <c r="DQ733" i="1"/>
  <c r="DQ734" i="1"/>
  <c r="DQ735" i="1"/>
  <c r="DQ736" i="1"/>
  <c r="DQ738" i="1"/>
  <c r="DQ739" i="1"/>
  <c r="DQ740" i="1"/>
  <c r="DQ741" i="1"/>
  <c r="DQ742" i="1"/>
  <c r="DQ743" i="1"/>
  <c r="DQ744" i="1"/>
  <c r="DQ745" i="1"/>
  <c r="DQ748" i="1"/>
  <c r="DQ750" i="1"/>
  <c r="DQ751" i="1"/>
  <c r="DQ752" i="1"/>
  <c r="DQ753" i="1"/>
  <c r="DQ754" i="1"/>
  <c r="DQ755" i="1"/>
  <c r="DQ756" i="1"/>
  <c r="DQ758" i="1"/>
  <c r="DQ760" i="1"/>
  <c r="DQ761" i="1"/>
  <c r="DQ763" i="1"/>
  <c r="DQ764" i="1"/>
  <c r="DQ766" i="1"/>
  <c r="DQ767" i="1"/>
  <c r="DQ768" i="1"/>
  <c r="DQ769" i="1"/>
  <c r="DQ774" i="1"/>
  <c r="DQ775" i="1"/>
  <c r="DQ777" i="1"/>
  <c r="DQ778" i="1"/>
  <c r="DQ779" i="1"/>
  <c r="DQ780" i="1"/>
  <c r="DQ781" i="1"/>
  <c r="DQ782" i="1"/>
  <c r="DQ783" i="1"/>
  <c r="DQ784" i="1"/>
  <c r="DQ785" i="1"/>
  <c r="DQ786" i="1"/>
  <c r="DQ787" i="1"/>
  <c r="DQ789" i="1"/>
  <c r="DQ790" i="1"/>
  <c r="DQ791" i="1"/>
  <c r="DQ793" i="1"/>
  <c r="DQ794" i="1"/>
  <c r="DQ795" i="1"/>
  <c r="DQ796" i="1"/>
  <c r="DQ797" i="1"/>
  <c r="DQ798" i="1"/>
  <c r="DQ800" i="1"/>
  <c r="DQ801" i="1"/>
  <c r="DQ802" i="1"/>
  <c r="DQ803" i="1"/>
  <c r="DQ804" i="1"/>
  <c r="DQ805" i="1"/>
  <c r="DQ806" i="1"/>
  <c r="DQ807" i="1"/>
  <c r="DQ808" i="1"/>
  <c r="DQ810" i="1"/>
  <c r="DQ811" i="1"/>
  <c r="DQ812" i="1"/>
  <c r="DQ813" i="1"/>
  <c r="DQ814" i="1"/>
  <c r="DQ815" i="1"/>
  <c r="DQ816" i="1"/>
  <c r="DQ818" i="1"/>
  <c r="DQ819" i="1"/>
  <c r="DQ820" i="1"/>
  <c r="DQ822" i="1"/>
  <c r="DQ823" i="1"/>
  <c r="DQ824" i="1"/>
  <c r="DQ825" i="1"/>
  <c r="DQ826" i="1"/>
  <c r="DQ827" i="1"/>
  <c r="DQ829" i="1"/>
  <c r="DQ830" i="1"/>
  <c r="DQ831" i="1"/>
  <c r="DQ832" i="1"/>
  <c r="DQ834" i="1"/>
  <c r="DQ835" i="1"/>
  <c r="DQ836" i="1"/>
  <c r="DQ838" i="1"/>
  <c r="DQ839" i="1"/>
  <c r="DQ840" i="1"/>
  <c r="DQ841" i="1"/>
  <c r="DQ842" i="1"/>
  <c r="DQ843" i="1"/>
  <c r="DQ845" i="1"/>
  <c r="DQ846" i="1"/>
  <c r="DQ847" i="1"/>
  <c r="DQ848" i="1"/>
  <c r="DQ849" i="1"/>
  <c r="DQ850" i="1"/>
  <c r="DQ854" i="1"/>
  <c r="DQ855" i="1"/>
  <c r="DQ856" i="1"/>
  <c r="DQ857" i="1"/>
  <c r="DQ859" i="1"/>
  <c r="DQ860" i="1"/>
  <c r="DQ862" i="1"/>
  <c r="DQ863" i="1"/>
  <c r="DQ864" i="1"/>
  <c r="DQ865" i="1"/>
  <c r="DQ866" i="1"/>
  <c r="DQ867" i="1"/>
  <c r="DQ868" i="1"/>
  <c r="DQ869" i="1"/>
  <c r="DQ870" i="1"/>
  <c r="DQ872" i="1"/>
  <c r="DQ873" i="1"/>
  <c r="DQ874" i="1"/>
  <c r="DQ875" i="1"/>
  <c r="DQ876" i="1"/>
  <c r="DQ877" i="1"/>
  <c r="DQ878" i="1"/>
  <c r="DQ879" i="1"/>
  <c r="DQ880" i="1"/>
  <c r="DQ881" i="1"/>
  <c r="DQ884" i="1"/>
  <c r="DQ886" i="1"/>
  <c r="DQ887" i="1"/>
  <c r="DQ888" i="1"/>
  <c r="DQ889" i="1"/>
  <c r="DQ890" i="1"/>
  <c r="DQ891" i="1"/>
  <c r="DQ892" i="1"/>
  <c r="DQ893" i="1"/>
  <c r="DQ894" i="1"/>
  <c r="DQ895" i="1"/>
  <c r="DQ897" i="1"/>
  <c r="DQ898" i="1"/>
  <c r="DQ899" i="1"/>
  <c r="DQ900" i="1"/>
  <c r="DQ901" i="1"/>
  <c r="DQ902" i="1"/>
  <c r="DQ904" i="1"/>
  <c r="DQ905" i="1"/>
  <c r="DQ906" i="1"/>
  <c r="DQ908" i="1"/>
  <c r="DQ909" i="1"/>
  <c r="DQ910" i="1"/>
  <c r="DQ911" i="1"/>
  <c r="DQ912" i="1"/>
  <c r="DQ913" i="1"/>
  <c r="DQ916" i="1"/>
  <c r="DQ917" i="1"/>
  <c r="DQ918" i="1"/>
  <c r="DQ919" i="1"/>
  <c r="DQ921" i="1"/>
  <c r="DQ922" i="1"/>
  <c r="DQ923" i="1"/>
  <c r="DQ924" i="1"/>
  <c r="DQ925" i="1"/>
  <c r="DQ927" i="1"/>
  <c r="DQ928" i="1"/>
  <c r="DQ929" i="1"/>
  <c r="DQ930" i="1"/>
  <c r="DQ931" i="1"/>
  <c r="DQ932" i="1"/>
  <c r="DQ933" i="1"/>
  <c r="DQ935" i="1"/>
  <c r="DQ936" i="1"/>
  <c r="DQ937" i="1"/>
  <c r="DQ938" i="1"/>
  <c r="DQ939" i="1"/>
  <c r="DQ940" i="1"/>
  <c r="DQ941" i="1"/>
  <c r="DQ943" i="1"/>
  <c r="DQ944" i="1"/>
  <c r="DQ945" i="1"/>
  <c r="DQ947" i="1"/>
  <c r="DQ948" i="1"/>
  <c r="DQ950" i="1"/>
  <c r="DQ951" i="1"/>
  <c r="DQ952" i="1"/>
  <c r="DQ953" i="1"/>
  <c r="DQ954" i="1"/>
  <c r="DQ955" i="1"/>
  <c r="DQ956" i="1"/>
  <c r="DQ957" i="1"/>
  <c r="DQ958" i="1"/>
  <c r="DQ960" i="1"/>
  <c r="DQ961" i="1"/>
  <c r="DQ962" i="1"/>
  <c r="DQ963" i="1"/>
  <c r="DQ964" i="1"/>
  <c r="DQ965" i="1"/>
  <c r="DQ966" i="1"/>
  <c r="DQ967" i="1"/>
  <c r="DQ969" i="1"/>
  <c r="DQ970" i="1"/>
  <c r="DQ971" i="1"/>
  <c r="DQ972" i="1"/>
  <c r="DQ973" i="1"/>
  <c r="DQ974" i="1"/>
  <c r="DQ975" i="1"/>
  <c r="DQ977" i="1"/>
  <c r="DQ978" i="1"/>
  <c r="DQ979" i="1"/>
  <c r="DQ980" i="1"/>
  <c r="DQ981" i="1"/>
  <c r="DQ983" i="1"/>
  <c r="DQ985" i="1"/>
  <c r="DQ986" i="1"/>
  <c r="DQ987" i="1"/>
  <c r="DQ989" i="1"/>
  <c r="DQ990" i="1"/>
  <c r="DQ991" i="1"/>
  <c r="DQ992" i="1"/>
  <c r="DQ993" i="1"/>
  <c r="DQ994" i="1"/>
  <c r="DQ997" i="1"/>
  <c r="DQ998" i="1"/>
  <c r="DQ999" i="1"/>
  <c r="DQ1000" i="1"/>
  <c r="DQ1001" i="1"/>
  <c r="DQ1002" i="1"/>
  <c r="DQ1003" i="1"/>
  <c r="DQ1005" i="1"/>
  <c r="DQ1006" i="1"/>
  <c r="DQ1007" i="1"/>
  <c r="DQ1008" i="1"/>
  <c r="DQ1009" i="1"/>
  <c r="DQ1010" i="1"/>
  <c r="DQ1011" i="1"/>
  <c r="DQ1013" i="1"/>
  <c r="DQ1014" i="1"/>
  <c r="DQ1015" i="1"/>
  <c r="DQ1016" i="1"/>
  <c r="DQ1017" i="1"/>
  <c r="DQ1018" i="1"/>
  <c r="DQ1019" i="1"/>
  <c r="DQ1020" i="1"/>
  <c r="DQ1021" i="1"/>
  <c r="DQ1022" i="1"/>
  <c r="DQ1023" i="1"/>
  <c r="DQ1025" i="1"/>
  <c r="DQ1026" i="1"/>
  <c r="DQ1027" i="1"/>
  <c r="DQ1028" i="1"/>
  <c r="DQ1029" i="1"/>
  <c r="DQ1030" i="1"/>
  <c r="DQ1031" i="1"/>
  <c r="DQ1032" i="1"/>
  <c r="DQ1033" i="1"/>
  <c r="DQ1035" i="1"/>
  <c r="DQ1036" i="1"/>
  <c r="DQ1037" i="1"/>
  <c r="DQ1038" i="1"/>
  <c r="DQ1039" i="1"/>
  <c r="DQ1040" i="1"/>
  <c r="DQ1041" i="1"/>
  <c r="DQ1042" i="1"/>
  <c r="DQ1043" i="1"/>
  <c r="DQ1044" i="1"/>
  <c r="DQ1046" i="1"/>
  <c r="DQ1047" i="1"/>
  <c r="DQ1048" i="1"/>
  <c r="DQ1051" i="1"/>
  <c r="DQ1053" i="1"/>
  <c r="DQ1054" i="1"/>
  <c r="DQ1055" i="1"/>
  <c r="DQ1056" i="1"/>
  <c r="DQ1057" i="1"/>
  <c r="DQ1059" i="1"/>
  <c r="DQ1060" i="1"/>
  <c r="DQ1061" i="1"/>
  <c r="DQ1062" i="1"/>
  <c r="DQ1063" i="1"/>
  <c r="DQ1064" i="1"/>
  <c r="DQ1066" i="1"/>
  <c r="DQ1067" i="1"/>
  <c r="DQ1068" i="1"/>
  <c r="DQ1069" i="1"/>
  <c r="DQ1070" i="1"/>
  <c r="DQ1071" i="1"/>
  <c r="DQ1072" i="1"/>
  <c r="DQ1073" i="1"/>
  <c r="DQ1075" i="1"/>
  <c r="DQ1076" i="1"/>
  <c r="DQ1077" i="1"/>
  <c r="DQ1079" i="1"/>
  <c r="DQ1080" i="1"/>
  <c r="DQ1081" i="1"/>
  <c r="DQ1082" i="1"/>
  <c r="DQ1083" i="1"/>
  <c r="DQ1084" i="1"/>
  <c r="DQ1086" i="1"/>
  <c r="DQ1087" i="1"/>
  <c r="DQ1088" i="1"/>
  <c r="DQ1089" i="1"/>
  <c r="DQ1090" i="1"/>
  <c r="DQ1091" i="1"/>
  <c r="DQ1092" i="1"/>
  <c r="DQ1093" i="1"/>
  <c r="DQ1094" i="1"/>
  <c r="DQ1096" i="1"/>
  <c r="DQ1097" i="1"/>
  <c r="DQ1098" i="1"/>
  <c r="DQ1099" i="1"/>
  <c r="DQ1100" i="1"/>
  <c r="DQ1101" i="1"/>
  <c r="DQ1102" i="1"/>
  <c r="DQ1103" i="1"/>
  <c r="DQ1104" i="1"/>
  <c r="DQ1105" i="1"/>
  <c r="DQ1106" i="1"/>
  <c r="DQ1108" i="1"/>
  <c r="DQ1109" i="1"/>
  <c r="DQ1110" i="1"/>
  <c r="DQ1111" i="1"/>
  <c r="DQ1112" i="1"/>
  <c r="DQ1113" i="1"/>
  <c r="DQ1115" i="1"/>
  <c r="DQ1116" i="1"/>
  <c r="DQ1117" i="1"/>
  <c r="DQ1118" i="1"/>
  <c r="DQ1120" i="1"/>
  <c r="DQ1122" i="1"/>
  <c r="DQ1123" i="1"/>
  <c r="DQ1124" i="1"/>
  <c r="DQ1126" i="1"/>
  <c r="DQ1127" i="1"/>
  <c r="DQ1128" i="1"/>
  <c r="DQ1129" i="1"/>
  <c r="DQ1130" i="1"/>
  <c r="DQ1132" i="1"/>
  <c r="DQ1133" i="1"/>
  <c r="DQ1135" i="1"/>
  <c r="DQ1136" i="1"/>
  <c r="DQ1137" i="1"/>
  <c r="DQ1138" i="1"/>
  <c r="DQ1139" i="1"/>
  <c r="DQ1140" i="1"/>
  <c r="DQ1142" i="1"/>
  <c r="DQ1143" i="1"/>
  <c r="DQ1144" i="1"/>
  <c r="DQ1145" i="1"/>
  <c r="DQ1146" i="1"/>
  <c r="DQ1147" i="1"/>
  <c r="DQ1148" i="1"/>
  <c r="DQ1149" i="1"/>
  <c r="DQ1150" i="1"/>
  <c r="DQ1152" i="1"/>
  <c r="DQ1153" i="1"/>
  <c r="DQ1154" i="1"/>
  <c r="DQ1155" i="1"/>
  <c r="DQ1157" i="1"/>
  <c r="DQ1158" i="1"/>
  <c r="DQ1159" i="1"/>
  <c r="DQ1160" i="1"/>
  <c r="DQ1161" i="1"/>
  <c r="DQ1162" i="1"/>
  <c r="DQ1163" i="1"/>
  <c r="DQ1164" i="1"/>
  <c r="DQ1165" i="1"/>
  <c r="DQ1167" i="1"/>
  <c r="DQ1168" i="1"/>
  <c r="DQ1169" i="1"/>
  <c r="DQ1170" i="1"/>
  <c r="DQ1172" i="1"/>
  <c r="DQ1173" i="1"/>
  <c r="DQ1174" i="1"/>
  <c r="DQ1175" i="1"/>
  <c r="DQ1177" i="1"/>
  <c r="DQ1178" i="1"/>
  <c r="DQ1179" i="1"/>
  <c r="DQ1180" i="1"/>
  <c r="DQ1181" i="1"/>
  <c r="DQ1182" i="1"/>
  <c r="DQ1183" i="1"/>
  <c r="DQ1185" i="1"/>
  <c r="DQ1186" i="1"/>
  <c r="DQ1187" i="1"/>
  <c r="DQ1188" i="1"/>
  <c r="DQ1189" i="1"/>
  <c r="DQ1190" i="1"/>
  <c r="DQ1192" i="1"/>
  <c r="DQ1194" i="1"/>
  <c r="DQ1195" i="1"/>
  <c r="DQ1196" i="1"/>
  <c r="DQ1199" i="1"/>
  <c r="DQ1201" i="1"/>
  <c r="DQ1202" i="1"/>
  <c r="DQ1203" i="1"/>
  <c r="DQ1204" i="1"/>
  <c r="DQ1205" i="1"/>
  <c r="DQ1206" i="1"/>
  <c r="DQ1207" i="1"/>
  <c r="DQ1209" i="1"/>
  <c r="DQ1210" i="1"/>
  <c r="DQ1211" i="1"/>
  <c r="DQ1212" i="1"/>
  <c r="DQ1213" i="1"/>
  <c r="DQ1214" i="1"/>
  <c r="DQ1215" i="1"/>
  <c r="DQ1216" i="1"/>
  <c r="DQ1217" i="1"/>
  <c r="DQ1219" i="1"/>
  <c r="DQ1220" i="1"/>
  <c r="DQ1222" i="1"/>
  <c r="DQ1223" i="1"/>
  <c r="DQ1224" i="1"/>
  <c r="DQ1225" i="1"/>
  <c r="DQ1226" i="1"/>
  <c r="DQ1227" i="1"/>
  <c r="DQ1229" i="1"/>
  <c r="DQ1230" i="1"/>
  <c r="DQ1231" i="1"/>
  <c r="DQ1232" i="1"/>
  <c r="DQ1233" i="1"/>
  <c r="DQ1234" i="1"/>
  <c r="DQ1235" i="1"/>
  <c r="DQ1236" i="1"/>
  <c r="DQ1238" i="1"/>
  <c r="DQ1240" i="1"/>
  <c r="DQ1241" i="1"/>
  <c r="DQ1242" i="1"/>
  <c r="DQ1244" i="1"/>
  <c r="DQ1245" i="1"/>
  <c r="DQ1246" i="1"/>
  <c r="DQ1247" i="1"/>
  <c r="DQ1248" i="1"/>
  <c r="DQ1250" i="1"/>
  <c r="DQ1251" i="1"/>
  <c r="DQ1252" i="1"/>
  <c r="DQ1253" i="1"/>
  <c r="DQ1254" i="1"/>
  <c r="DQ1255" i="1"/>
  <c r="DQ1256" i="1"/>
  <c r="DQ1257" i="1"/>
  <c r="DQ1258" i="1"/>
  <c r="DQ1259" i="1"/>
  <c r="DQ1261" i="1"/>
  <c r="DQ1262" i="1"/>
  <c r="DQ1263" i="1"/>
  <c r="DQ1265" i="1"/>
  <c r="DQ1266" i="1"/>
  <c r="DQ1267" i="1"/>
  <c r="DQ1268" i="1"/>
  <c r="DQ1272" i="1"/>
  <c r="DQ1274" i="1"/>
  <c r="DQ1275" i="1"/>
  <c r="DQ1276" i="1"/>
  <c r="DQ1277" i="1"/>
  <c r="DQ1278" i="1"/>
  <c r="DQ1279" i="1"/>
  <c r="DQ1280" i="1"/>
  <c r="DQ1282" i="1"/>
  <c r="DQ1283" i="1"/>
  <c r="DQ1284" i="1"/>
  <c r="DQ1285" i="1"/>
  <c r="DQ1286" i="1"/>
  <c r="DQ1287" i="1"/>
  <c r="DQ1288" i="1"/>
  <c r="DQ1289" i="1"/>
  <c r="DQ1291" i="1"/>
  <c r="DQ1292" i="1"/>
  <c r="DQ1293" i="1"/>
  <c r="DQ1294" i="1"/>
  <c r="DQ1295" i="1"/>
  <c r="DQ1296" i="1"/>
  <c r="DQ1297" i="1"/>
  <c r="DQ1298" i="1"/>
  <c r="DQ1299" i="1"/>
  <c r="DQ1300" i="1"/>
  <c r="DQ1301" i="1"/>
  <c r="DQ1304" i="1"/>
  <c r="DQ1305" i="1"/>
  <c r="DQ1306" i="1"/>
  <c r="DQ1307" i="1"/>
  <c r="DQ1308" i="1"/>
  <c r="DQ1309" i="1"/>
  <c r="DQ1310" i="1"/>
  <c r="DQ1311" i="1"/>
  <c r="DQ1312" i="1"/>
  <c r="DQ1313" i="1"/>
  <c r="DR67" i="1"/>
  <c r="DR68" i="1"/>
  <c r="DR69" i="1"/>
  <c r="DR70" i="1"/>
  <c r="DR71" i="1"/>
  <c r="DR72" i="1"/>
  <c r="DR73" i="1"/>
  <c r="DR74" i="1"/>
  <c r="DR76" i="1"/>
  <c r="DR77" i="1"/>
  <c r="DR78" i="1"/>
  <c r="DR79" i="1"/>
  <c r="DR80" i="1"/>
  <c r="DR81" i="1"/>
  <c r="DR82" i="1"/>
  <c r="DR84" i="1"/>
  <c r="DR85" i="1"/>
  <c r="DR86" i="1"/>
  <c r="DR87" i="1"/>
  <c r="DR88" i="1"/>
  <c r="DR89" i="1"/>
  <c r="DR90" i="1"/>
  <c r="DR92" i="1"/>
  <c r="DR93" i="1"/>
  <c r="DR94" i="1"/>
  <c r="DR95" i="1"/>
  <c r="DR96" i="1"/>
  <c r="DR97" i="1"/>
  <c r="DR98" i="1"/>
  <c r="DR101" i="1"/>
  <c r="DR104" i="1"/>
  <c r="DR105" i="1"/>
  <c r="DR106" i="1"/>
  <c r="DR107" i="1"/>
  <c r="DR108" i="1"/>
  <c r="DR109" i="1"/>
  <c r="DR111" i="1"/>
  <c r="DR112" i="1"/>
  <c r="DR113" i="1"/>
  <c r="DR114" i="1"/>
  <c r="DR115" i="1"/>
  <c r="DR116" i="1"/>
  <c r="DR117" i="1"/>
  <c r="DR118" i="1"/>
  <c r="DR119" i="1"/>
  <c r="DR120" i="1"/>
  <c r="DR122" i="1"/>
  <c r="DR124" i="1"/>
  <c r="DR125" i="1"/>
  <c r="DR126" i="1"/>
  <c r="DR129" i="1"/>
  <c r="DR131" i="1"/>
  <c r="DR132" i="1"/>
  <c r="DR133" i="1"/>
  <c r="DR136" i="1"/>
  <c r="DR138" i="1"/>
  <c r="DR139" i="1"/>
  <c r="DR140" i="1"/>
  <c r="DR141" i="1"/>
  <c r="DR142" i="1"/>
  <c r="DR144" i="1"/>
  <c r="DR145" i="1"/>
  <c r="DR146" i="1"/>
  <c r="DR147" i="1"/>
  <c r="DR148" i="1"/>
  <c r="DR149" i="1"/>
  <c r="DR151" i="1"/>
  <c r="DR152" i="1"/>
  <c r="DR153" i="1"/>
  <c r="DR154" i="1"/>
  <c r="DR155" i="1"/>
  <c r="DR156" i="1"/>
  <c r="DR157" i="1"/>
  <c r="DR158" i="1"/>
  <c r="DR160" i="1"/>
  <c r="DR161" i="1"/>
  <c r="DR162" i="1"/>
  <c r="DR163" i="1"/>
  <c r="DR166" i="1"/>
  <c r="DR167" i="1"/>
  <c r="DR168" i="1"/>
  <c r="DR169" i="1"/>
  <c r="DR170" i="1"/>
  <c r="DR172" i="1"/>
  <c r="DR173" i="1"/>
  <c r="DR175" i="1"/>
  <c r="DR176" i="1"/>
  <c r="DR177" i="1"/>
  <c r="DR178" i="1"/>
  <c r="DR179" i="1"/>
  <c r="DR180" i="1"/>
  <c r="DR181" i="1"/>
  <c r="DR182" i="1"/>
  <c r="DR183" i="1"/>
  <c r="DR184" i="1"/>
  <c r="DR186" i="1"/>
  <c r="DR187" i="1"/>
  <c r="DR188" i="1"/>
  <c r="DR189" i="1"/>
  <c r="DR190" i="1"/>
  <c r="DR191" i="1"/>
  <c r="DR192" i="1"/>
  <c r="DR193" i="1"/>
  <c r="DR195" i="1"/>
  <c r="DR196" i="1"/>
  <c r="DR197" i="1"/>
  <c r="DR198" i="1"/>
  <c r="DR200" i="1"/>
  <c r="DR201" i="1"/>
  <c r="DR202" i="1"/>
  <c r="DR203" i="1"/>
  <c r="DR204" i="1"/>
  <c r="DR205" i="1"/>
  <c r="DR206" i="1"/>
  <c r="DR207" i="1"/>
  <c r="DR209" i="1"/>
  <c r="DR210" i="1"/>
  <c r="DR211" i="1"/>
  <c r="DR212" i="1"/>
  <c r="DR213" i="1"/>
  <c r="DR214" i="1"/>
  <c r="DR215" i="1"/>
  <c r="DR218" i="1"/>
  <c r="DR219" i="1"/>
  <c r="DR220" i="1"/>
  <c r="DR221" i="1"/>
  <c r="DR222" i="1"/>
  <c r="DR224" i="1"/>
  <c r="DR225" i="1"/>
  <c r="DR226" i="1"/>
  <c r="DR227" i="1"/>
  <c r="DR228" i="1"/>
  <c r="DR229" i="1"/>
  <c r="DR231" i="1"/>
  <c r="DR232" i="1"/>
  <c r="DR233" i="1"/>
  <c r="DR234" i="1"/>
  <c r="DR235" i="1"/>
  <c r="DR236" i="1"/>
  <c r="DR237" i="1"/>
  <c r="DR238" i="1"/>
  <c r="DR240" i="1"/>
  <c r="DR241" i="1"/>
  <c r="DR242" i="1"/>
  <c r="DR243" i="1"/>
  <c r="DR244" i="1"/>
  <c r="DR245" i="1"/>
  <c r="DR246" i="1"/>
  <c r="DR247" i="1"/>
  <c r="DR249" i="1"/>
  <c r="DR250" i="1"/>
  <c r="DR251" i="1"/>
  <c r="DR252" i="1"/>
  <c r="DR253" i="1"/>
  <c r="DR254" i="1"/>
  <c r="DR255" i="1"/>
  <c r="DR256" i="1"/>
  <c r="DR258" i="1"/>
  <c r="DR259" i="1"/>
  <c r="DR260" i="1"/>
  <c r="DR261" i="1"/>
  <c r="DR262" i="1"/>
  <c r="DR263" i="1"/>
  <c r="DR264" i="1"/>
  <c r="DR265" i="1"/>
  <c r="DR266" i="1"/>
  <c r="DR268" i="1"/>
  <c r="DR269" i="1"/>
  <c r="DR270" i="1"/>
  <c r="DR271" i="1"/>
  <c r="DR272" i="1"/>
  <c r="DR273" i="1"/>
  <c r="DR274" i="1"/>
  <c r="DR275" i="1"/>
  <c r="DR276" i="1"/>
  <c r="DR278" i="1"/>
  <c r="DR279" i="1"/>
  <c r="DR280" i="1"/>
  <c r="DR281" i="1"/>
  <c r="DR282" i="1"/>
  <c r="DR283" i="1"/>
  <c r="DR285" i="1"/>
  <c r="DR286" i="1"/>
  <c r="DR287" i="1"/>
  <c r="DR288" i="1"/>
  <c r="DR291" i="1"/>
  <c r="DR292" i="1"/>
  <c r="DR293" i="1"/>
  <c r="DR294" i="1"/>
  <c r="DR296" i="1"/>
  <c r="DR297" i="1"/>
  <c r="DR298" i="1"/>
  <c r="DR299" i="1"/>
  <c r="DR300" i="1"/>
  <c r="DR301" i="1"/>
  <c r="DR302" i="1"/>
  <c r="DR303" i="1"/>
  <c r="DR305" i="1"/>
  <c r="DR306" i="1"/>
  <c r="DR307" i="1"/>
  <c r="DR308" i="1"/>
  <c r="DR309" i="1"/>
  <c r="DR310" i="1"/>
  <c r="DR311" i="1"/>
  <c r="DR312" i="1"/>
  <c r="DR313" i="1"/>
  <c r="DR314" i="1"/>
  <c r="DR316" i="1"/>
  <c r="DR317" i="1"/>
  <c r="DR318" i="1"/>
  <c r="DR319" i="1"/>
  <c r="DR320" i="1"/>
  <c r="DR321" i="1"/>
  <c r="DR322" i="1"/>
  <c r="DR323" i="1"/>
  <c r="DR324" i="1"/>
  <c r="DR325" i="1"/>
  <c r="DR326" i="1"/>
  <c r="DR327" i="1"/>
  <c r="DR329" i="1"/>
  <c r="DR330" i="1"/>
  <c r="DR332" i="1"/>
  <c r="DR333" i="1"/>
  <c r="DR334" i="1"/>
  <c r="DR335" i="1"/>
  <c r="DR336" i="1"/>
  <c r="DR337" i="1"/>
  <c r="DR338" i="1"/>
  <c r="DR340" i="1"/>
  <c r="DR341" i="1"/>
  <c r="DR342" i="1"/>
  <c r="DR343" i="1"/>
  <c r="DR344" i="1"/>
  <c r="DR345" i="1"/>
  <c r="DR346" i="1"/>
  <c r="DR347" i="1"/>
  <c r="DR348" i="1"/>
  <c r="DR349" i="1"/>
  <c r="DR351" i="1"/>
  <c r="DR352" i="1"/>
  <c r="DR353" i="1"/>
  <c r="DR354" i="1"/>
  <c r="DR355" i="1"/>
  <c r="DR356" i="1"/>
  <c r="DR358" i="1"/>
  <c r="DR359" i="1"/>
  <c r="DR360" i="1"/>
  <c r="DR361" i="1"/>
  <c r="DR362" i="1"/>
  <c r="DR363" i="1"/>
  <c r="DR364" i="1"/>
  <c r="DR365" i="1"/>
  <c r="DR367" i="1"/>
  <c r="DR368" i="1"/>
  <c r="DR369" i="1"/>
  <c r="DR371" i="1"/>
  <c r="DR372" i="1"/>
  <c r="DR373" i="1"/>
  <c r="DR375" i="1"/>
  <c r="DR376" i="1"/>
  <c r="DR378" i="1"/>
  <c r="DR379" i="1"/>
  <c r="DR380" i="1"/>
  <c r="DR381" i="1"/>
  <c r="DR382" i="1"/>
  <c r="DR383" i="1"/>
  <c r="DR385" i="1"/>
  <c r="DR386" i="1"/>
  <c r="DR387" i="1"/>
  <c r="DR388" i="1"/>
  <c r="DR389" i="1"/>
  <c r="DR390" i="1"/>
  <c r="DR391" i="1"/>
  <c r="DR393" i="1"/>
  <c r="DR394" i="1"/>
  <c r="DR395" i="1"/>
  <c r="DR396" i="1"/>
  <c r="DR397" i="1"/>
  <c r="DR398" i="1"/>
  <c r="DR399" i="1"/>
  <c r="DR400" i="1"/>
  <c r="DR401" i="1"/>
  <c r="DR403" i="1"/>
  <c r="DR404" i="1"/>
  <c r="DR405" i="1"/>
  <c r="DR406" i="1"/>
  <c r="DR407" i="1"/>
  <c r="DR408" i="1"/>
  <c r="DR409" i="1"/>
  <c r="DR410" i="1"/>
  <c r="DR411" i="1"/>
  <c r="DR413" i="1"/>
  <c r="DR414" i="1"/>
  <c r="DR415" i="1"/>
  <c r="DR416" i="1"/>
  <c r="DR417" i="1"/>
  <c r="DR418" i="1"/>
  <c r="DR421" i="1"/>
  <c r="DR422" i="1"/>
  <c r="DR423" i="1"/>
  <c r="DR424" i="1"/>
  <c r="DR425" i="1"/>
  <c r="DR426" i="1"/>
  <c r="DR427" i="1"/>
  <c r="DR428" i="1"/>
  <c r="DR430" i="1"/>
  <c r="DR431" i="1"/>
  <c r="DR432" i="1"/>
  <c r="DR433" i="1"/>
  <c r="DR434" i="1"/>
  <c r="DR435" i="1"/>
  <c r="DR436" i="1"/>
  <c r="DR438" i="1"/>
  <c r="DR439" i="1"/>
  <c r="DR440" i="1"/>
  <c r="DR441" i="1"/>
  <c r="DR442" i="1"/>
  <c r="DR443" i="1"/>
  <c r="DR445" i="1"/>
  <c r="DR446" i="1"/>
  <c r="DR447" i="1"/>
  <c r="DR448" i="1"/>
  <c r="DR449" i="1"/>
  <c r="DR450" i="1"/>
  <c r="DR451" i="1"/>
  <c r="DR452" i="1"/>
  <c r="DR454" i="1"/>
  <c r="DR455" i="1"/>
  <c r="DR456" i="1"/>
  <c r="DR457" i="1"/>
  <c r="DR459" i="1"/>
  <c r="DR460" i="1"/>
  <c r="DR461" i="1"/>
  <c r="DR462" i="1"/>
  <c r="DR463" i="1"/>
  <c r="DR464" i="1"/>
  <c r="DR465" i="1"/>
  <c r="DR466" i="1"/>
  <c r="DR468" i="1"/>
  <c r="DR469" i="1"/>
  <c r="DR470" i="1"/>
  <c r="DR471" i="1"/>
  <c r="DR472" i="1"/>
  <c r="DR473" i="1"/>
  <c r="DR474" i="1"/>
  <c r="DR475" i="1"/>
  <c r="DR476" i="1"/>
  <c r="DR478" i="1"/>
  <c r="DR479" i="1"/>
  <c r="DR480" i="1"/>
  <c r="DR481" i="1"/>
  <c r="DR482" i="1"/>
  <c r="DR483" i="1"/>
  <c r="DR485" i="1"/>
  <c r="DR486" i="1"/>
  <c r="DR487" i="1"/>
  <c r="DR488" i="1"/>
  <c r="DR489" i="1"/>
  <c r="DR490" i="1"/>
  <c r="DR491" i="1"/>
  <c r="DR492" i="1"/>
  <c r="DR493" i="1"/>
  <c r="DR495" i="1"/>
  <c r="DR496" i="1"/>
  <c r="DR497" i="1"/>
  <c r="DR498" i="1"/>
  <c r="DR499" i="1"/>
  <c r="DR500" i="1"/>
  <c r="DR502" i="1"/>
  <c r="DR503" i="1"/>
  <c r="DR504" i="1"/>
  <c r="DR505" i="1"/>
  <c r="DR506" i="1"/>
  <c r="DR507" i="1"/>
  <c r="DR508" i="1"/>
  <c r="DR510" i="1"/>
  <c r="DR511" i="1"/>
  <c r="DR512" i="1"/>
  <c r="DR513" i="1"/>
  <c r="DR514" i="1"/>
  <c r="DR515" i="1"/>
  <c r="DR516" i="1"/>
  <c r="DR517" i="1"/>
  <c r="DR518" i="1"/>
  <c r="DR520" i="1"/>
  <c r="DR521" i="1"/>
  <c r="DR522" i="1"/>
  <c r="DR523" i="1"/>
  <c r="DR524" i="1"/>
  <c r="DR525" i="1"/>
  <c r="DR526" i="1"/>
  <c r="DR527" i="1"/>
  <c r="DR529" i="1"/>
  <c r="DR530" i="1"/>
  <c r="DR531" i="1"/>
  <c r="DR532" i="1"/>
  <c r="DR533" i="1"/>
  <c r="DR534" i="1"/>
  <c r="DR535" i="1"/>
  <c r="DR536" i="1"/>
  <c r="DR538" i="1"/>
  <c r="DR539" i="1"/>
  <c r="DR540" i="1"/>
  <c r="DR541" i="1"/>
  <c r="DR542" i="1"/>
  <c r="DR543" i="1"/>
  <c r="DR544" i="1"/>
  <c r="DR545" i="1"/>
  <c r="DR546" i="1"/>
  <c r="DR548" i="1"/>
  <c r="DR549" i="1"/>
  <c r="DR550" i="1"/>
  <c r="DR551" i="1"/>
  <c r="DR552" i="1"/>
  <c r="DR553" i="1"/>
  <c r="DR554" i="1"/>
  <c r="DR555" i="1"/>
  <c r="DR557" i="1"/>
  <c r="DR558" i="1"/>
  <c r="DR559" i="1"/>
  <c r="DR560" i="1"/>
  <c r="DR561" i="1"/>
  <c r="DR562" i="1"/>
  <c r="DR563" i="1"/>
  <c r="DR564" i="1"/>
  <c r="DR565" i="1"/>
  <c r="DR566" i="1"/>
  <c r="DR567" i="1"/>
  <c r="DR569" i="1"/>
  <c r="DR570" i="1"/>
  <c r="DR572" i="1"/>
  <c r="DR573" i="1"/>
  <c r="DR574" i="1"/>
  <c r="DR576" i="1"/>
  <c r="DR577" i="1"/>
  <c r="DR578" i="1"/>
  <c r="DR579" i="1"/>
  <c r="DR580" i="1"/>
  <c r="DR581" i="1"/>
  <c r="DR583" i="1"/>
  <c r="DR584" i="1"/>
  <c r="DR586" i="1"/>
  <c r="DR587" i="1"/>
  <c r="DR588" i="1"/>
  <c r="DR590" i="1"/>
  <c r="DR591" i="1"/>
  <c r="DR592" i="1"/>
  <c r="DR593" i="1"/>
  <c r="DR594" i="1"/>
  <c r="DR595" i="1"/>
  <c r="DR596" i="1"/>
  <c r="DR597" i="1"/>
  <c r="DR598" i="1"/>
  <c r="DR600" i="1"/>
  <c r="DR601" i="1"/>
  <c r="DR603" i="1"/>
  <c r="DR604" i="1"/>
  <c r="DR605" i="1"/>
  <c r="DR607" i="1"/>
  <c r="DR608" i="1"/>
  <c r="DR609" i="1"/>
  <c r="DR610" i="1"/>
  <c r="DR611" i="1"/>
  <c r="DR612" i="1"/>
  <c r="DR614" i="1"/>
  <c r="DR615" i="1"/>
  <c r="DR616" i="1"/>
  <c r="DR617" i="1"/>
  <c r="DR618" i="1"/>
  <c r="DR619" i="1"/>
  <c r="DR620" i="1"/>
  <c r="DR622" i="1"/>
  <c r="DR623" i="1"/>
  <c r="DR624" i="1"/>
  <c r="DR625" i="1"/>
  <c r="DR626" i="1"/>
  <c r="DR628" i="1"/>
  <c r="DR629" i="1"/>
  <c r="DR630" i="1"/>
  <c r="DR631" i="1"/>
  <c r="DR632" i="1"/>
  <c r="DR633" i="1"/>
  <c r="DR634" i="1"/>
  <c r="DR636" i="1"/>
  <c r="DR637" i="1"/>
  <c r="DR638" i="1"/>
  <c r="DR639" i="1"/>
  <c r="DR641" i="1"/>
  <c r="DR643" i="1"/>
  <c r="DR644" i="1"/>
  <c r="DR645" i="1"/>
  <c r="DR647" i="1"/>
  <c r="DR648" i="1"/>
  <c r="DR649" i="1"/>
  <c r="DR650" i="1"/>
  <c r="DR651" i="1"/>
  <c r="DR652" i="1"/>
  <c r="DR654" i="1"/>
  <c r="DR655" i="1"/>
  <c r="DR656" i="1"/>
  <c r="DR657" i="1"/>
  <c r="DR658" i="1"/>
  <c r="DR659" i="1"/>
  <c r="DR660" i="1"/>
  <c r="DR662" i="1"/>
  <c r="DR663" i="1"/>
  <c r="DR665" i="1"/>
  <c r="DR666" i="1"/>
  <c r="DR667" i="1"/>
  <c r="DR669" i="1"/>
  <c r="DR670" i="1"/>
  <c r="DR671" i="1"/>
  <c r="DR672" i="1"/>
  <c r="DR674" i="1"/>
  <c r="DR675" i="1"/>
  <c r="DR676" i="1"/>
  <c r="DR677" i="1"/>
  <c r="DR678" i="1"/>
  <c r="DR679" i="1"/>
  <c r="DR681" i="1"/>
  <c r="DR682" i="1"/>
  <c r="DR683" i="1"/>
  <c r="DR684" i="1"/>
  <c r="DR685" i="1"/>
  <c r="DR686" i="1"/>
  <c r="DR687" i="1"/>
  <c r="DR688" i="1"/>
  <c r="DR689" i="1"/>
  <c r="DR690" i="1"/>
  <c r="DR691" i="1"/>
  <c r="DR693" i="1"/>
  <c r="DR694" i="1"/>
  <c r="DR695" i="1"/>
  <c r="DR696" i="1"/>
  <c r="DR698" i="1"/>
  <c r="DR699" i="1"/>
  <c r="DR702" i="1"/>
  <c r="DR703" i="1"/>
  <c r="DR704" i="1"/>
  <c r="DR706" i="1"/>
  <c r="DR707" i="1"/>
  <c r="DR708" i="1"/>
  <c r="DR709" i="1"/>
  <c r="DR711" i="1"/>
  <c r="DR712" i="1"/>
  <c r="DR713" i="1"/>
  <c r="DR714" i="1"/>
  <c r="DR715" i="1"/>
  <c r="DR716" i="1"/>
  <c r="DR717" i="1"/>
  <c r="DR718" i="1"/>
  <c r="DR720" i="1"/>
  <c r="DR721" i="1"/>
  <c r="DR723" i="1"/>
  <c r="DR724" i="1"/>
  <c r="DR725" i="1"/>
  <c r="DR726" i="1"/>
  <c r="DR729" i="1"/>
  <c r="DR730" i="1"/>
  <c r="DR731" i="1"/>
  <c r="DR732" i="1"/>
  <c r="DR733" i="1"/>
  <c r="DR734" i="1"/>
  <c r="DR735" i="1"/>
  <c r="DR736" i="1"/>
  <c r="DR738" i="1"/>
  <c r="DR739" i="1"/>
  <c r="DR740" i="1"/>
  <c r="DR741" i="1"/>
  <c r="DR742" i="1"/>
  <c r="DR743" i="1"/>
  <c r="DR744" i="1"/>
  <c r="DR745" i="1"/>
  <c r="DR748" i="1"/>
  <c r="DR750" i="1"/>
  <c r="DR751" i="1"/>
  <c r="DR752" i="1"/>
  <c r="DR753" i="1"/>
  <c r="DR754" i="1"/>
  <c r="DR755" i="1"/>
  <c r="DR756" i="1"/>
  <c r="DR758" i="1"/>
  <c r="DR760" i="1"/>
  <c r="DR761" i="1"/>
  <c r="DR763" i="1"/>
  <c r="DR764" i="1"/>
  <c r="DR766" i="1"/>
  <c r="DR767" i="1"/>
  <c r="DR768" i="1"/>
  <c r="DR769" i="1"/>
  <c r="DR774" i="1"/>
  <c r="DR775" i="1"/>
  <c r="DR777" i="1"/>
  <c r="DR778" i="1"/>
  <c r="DR779" i="1"/>
  <c r="DR780" i="1"/>
  <c r="DR782" i="1"/>
  <c r="DR783" i="1"/>
  <c r="DR784" i="1"/>
  <c r="DR785" i="1"/>
  <c r="DR786" i="1"/>
  <c r="DR787" i="1"/>
  <c r="DR789" i="1"/>
  <c r="DR790" i="1"/>
  <c r="DR791" i="1"/>
  <c r="DR793" i="1"/>
  <c r="DR794" i="1"/>
  <c r="DR795" i="1"/>
  <c r="DR796" i="1"/>
  <c r="DR797" i="1"/>
  <c r="DR798" i="1"/>
  <c r="DR800" i="1"/>
  <c r="DR801" i="1"/>
  <c r="DR802" i="1"/>
  <c r="DR803" i="1"/>
  <c r="DR804" i="1"/>
  <c r="DR805" i="1"/>
  <c r="DR806" i="1"/>
  <c r="DR807" i="1"/>
  <c r="DR808" i="1"/>
  <c r="DR810" i="1"/>
  <c r="DR811" i="1"/>
  <c r="DR812" i="1"/>
  <c r="DR813" i="1"/>
  <c r="DR814" i="1"/>
  <c r="DR815" i="1"/>
  <c r="DR816" i="1"/>
  <c r="DR818" i="1"/>
  <c r="DR819" i="1"/>
  <c r="DR820" i="1"/>
  <c r="DR822" i="1"/>
  <c r="DR823" i="1"/>
  <c r="DR824" i="1"/>
  <c r="DR825" i="1"/>
  <c r="DR826" i="1"/>
  <c r="DR827" i="1"/>
  <c r="DR829" i="1"/>
  <c r="DR830" i="1"/>
  <c r="DR831" i="1"/>
  <c r="DR832" i="1"/>
  <c r="DR834" i="1"/>
  <c r="DR835" i="1"/>
  <c r="DR836" i="1"/>
  <c r="DR838" i="1"/>
  <c r="DR839" i="1"/>
  <c r="DR840" i="1"/>
  <c r="DR841" i="1"/>
  <c r="DR842" i="1"/>
  <c r="DR843" i="1"/>
  <c r="DR845" i="1"/>
  <c r="DR846" i="1"/>
  <c r="DR847" i="1"/>
  <c r="DR848" i="1"/>
  <c r="DR849" i="1"/>
  <c r="DR850" i="1"/>
  <c r="DR852" i="1"/>
  <c r="DR854" i="1"/>
  <c r="DR855" i="1"/>
  <c r="DR856" i="1"/>
  <c r="DR857" i="1"/>
  <c r="DR859" i="1"/>
  <c r="DR860" i="1"/>
  <c r="DR862" i="1"/>
  <c r="DR863" i="1"/>
  <c r="DR864" i="1"/>
  <c r="DR865" i="1"/>
  <c r="DR866" i="1"/>
  <c r="DR867" i="1"/>
  <c r="DR868" i="1"/>
  <c r="DR869" i="1"/>
  <c r="DR870" i="1"/>
  <c r="DR872" i="1"/>
  <c r="DR873" i="1"/>
  <c r="DR874" i="1"/>
  <c r="DR875" i="1"/>
  <c r="DR876" i="1"/>
  <c r="DR877" i="1"/>
  <c r="DR878" i="1"/>
  <c r="DR879" i="1"/>
  <c r="DR880" i="1"/>
  <c r="DR881" i="1"/>
  <c r="DR884" i="1"/>
  <c r="DR886" i="1"/>
  <c r="DR887" i="1"/>
  <c r="DR888" i="1"/>
  <c r="DR889" i="1"/>
  <c r="DR890" i="1"/>
  <c r="DR891" i="1"/>
  <c r="DR892" i="1"/>
  <c r="DR893" i="1"/>
  <c r="DR894" i="1"/>
  <c r="DR895" i="1"/>
  <c r="DR897" i="1"/>
  <c r="DR898" i="1"/>
  <c r="DR899" i="1"/>
  <c r="DR900" i="1"/>
  <c r="DR901" i="1"/>
  <c r="DR902" i="1"/>
  <c r="DR904" i="1"/>
  <c r="DR905" i="1"/>
  <c r="DR906" i="1"/>
  <c r="DR908" i="1"/>
  <c r="DR909" i="1"/>
  <c r="DR910" i="1"/>
  <c r="DR911" i="1"/>
  <c r="DR912" i="1"/>
  <c r="DR913" i="1"/>
  <c r="DR915" i="1"/>
  <c r="DR916" i="1"/>
  <c r="DR917" i="1"/>
  <c r="DR918" i="1"/>
  <c r="DR919" i="1"/>
  <c r="DR921" i="1"/>
  <c r="DR922" i="1"/>
  <c r="DR923" i="1"/>
  <c r="DR924" i="1"/>
  <c r="DR925" i="1"/>
  <c r="DR927" i="1"/>
  <c r="DR928" i="1"/>
  <c r="DR929" i="1"/>
  <c r="DR930" i="1"/>
  <c r="DR931" i="1"/>
  <c r="DR932" i="1"/>
  <c r="DR933" i="1"/>
  <c r="DR935" i="1"/>
  <c r="DR936" i="1"/>
  <c r="DR937" i="1"/>
  <c r="DR938" i="1"/>
  <c r="DR939" i="1"/>
  <c r="DR940" i="1"/>
  <c r="DR941" i="1"/>
  <c r="DR943" i="1"/>
  <c r="DR944" i="1"/>
  <c r="DR945" i="1"/>
  <c r="DR947" i="1"/>
  <c r="DR948" i="1"/>
  <c r="DR950" i="1"/>
  <c r="DR951" i="1"/>
  <c r="DR952" i="1"/>
  <c r="DR953" i="1"/>
  <c r="DR954" i="1"/>
  <c r="DR955" i="1"/>
  <c r="DR956" i="1"/>
  <c r="DR957" i="1"/>
  <c r="DR958" i="1"/>
  <c r="DR960" i="1"/>
  <c r="DR961" i="1"/>
  <c r="DR962" i="1"/>
  <c r="DR963" i="1"/>
  <c r="DR964" i="1"/>
  <c r="DR965" i="1"/>
  <c r="DR966" i="1"/>
  <c r="DR967" i="1"/>
  <c r="DR969" i="1"/>
  <c r="DR970" i="1"/>
  <c r="DR971" i="1"/>
  <c r="DR972" i="1"/>
  <c r="DR973" i="1"/>
  <c r="DR974" i="1"/>
  <c r="DR975" i="1"/>
  <c r="DR977" i="1"/>
  <c r="DR978" i="1"/>
  <c r="DR979" i="1"/>
  <c r="DR980" i="1"/>
  <c r="DR981" i="1"/>
  <c r="DR983" i="1"/>
  <c r="DR985" i="1"/>
  <c r="DR986" i="1"/>
  <c r="DR987" i="1"/>
  <c r="DR989" i="1"/>
  <c r="DR990" i="1"/>
  <c r="DR991" i="1"/>
  <c r="DR992" i="1"/>
  <c r="DR993" i="1"/>
  <c r="DR994" i="1"/>
  <c r="DR996" i="1"/>
  <c r="DR997" i="1"/>
  <c r="DR998" i="1"/>
  <c r="DR999" i="1"/>
  <c r="DR1000" i="1"/>
  <c r="DR1001" i="1"/>
  <c r="DR1002" i="1"/>
  <c r="DR1003" i="1"/>
  <c r="DR1005" i="1"/>
  <c r="DR1006" i="1"/>
  <c r="DR1007" i="1"/>
  <c r="DR1008" i="1"/>
  <c r="DR1009" i="1"/>
  <c r="DR1010" i="1"/>
  <c r="DR1011" i="1"/>
  <c r="DR1013" i="1"/>
  <c r="DR1014" i="1"/>
  <c r="DR1015" i="1"/>
  <c r="DR1016" i="1"/>
  <c r="DR1017" i="1"/>
  <c r="DR1018" i="1"/>
  <c r="DR1019" i="1"/>
  <c r="DR1020" i="1"/>
  <c r="DR1021" i="1"/>
  <c r="DR1022" i="1"/>
  <c r="DR1023" i="1"/>
  <c r="DR1025" i="1"/>
  <c r="DR1026" i="1"/>
  <c r="DR1027" i="1"/>
  <c r="DR1028" i="1"/>
  <c r="DR1029" i="1"/>
  <c r="DR1030" i="1"/>
  <c r="DR1031" i="1"/>
  <c r="DR1032" i="1"/>
  <c r="DR1033" i="1"/>
  <c r="DR1035" i="1"/>
  <c r="DR1036" i="1"/>
  <c r="DR1037" i="1"/>
  <c r="DR1038" i="1"/>
  <c r="DR1039" i="1"/>
  <c r="DR1040" i="1"/>
  <c r="DR1041" i="1"/>
  <c r="DR1042" i="1"/>
  <c r="DR1043" i="1"/>
  <c r="DR1044" i="1"/>
  <c r="DR1046" i="1"/>
  <c r="DR1047" i="1"/>
  <c r="DR1048" i="1"/>
  <c r="DR1051" i="1"/>
  <c r="DR1053" i="1"/>
  <c r="DR1054" i="1"/>
  <c r="DR1055" i="1"/>
  <c r="DR1056" i="1"/>
  <c r="DR1057" i="1"/>
  <c r="DR1059" i="1"/>
  <c r="DR1060" i="1"/>
  <c r="DR1061" i="1"/>
  <c r="DR1062" i="1"/>
  <c r="DR1063" i="1"/>
  <c r="DR1064" i="1"/>
  <c r="DR1066" i="1"/>
  <c r="DR1067" i="1"/>
  <c r="DR1068" i="1"/>
  <c r="DR1069" i="1"/>
  <c r="DR1070" i="1"/>
  <c r="DR1071" i="1"/>
  <c r="DR1072" i="1"/>
  <c r="DR1073" i="1"/>
  <c r="DR1075" i="1"/>
  <c r="DR1076" i="1"/>
  <c r="DR1077" i="1"/>
  <c r="DR1079" i="1"/>
  <c r="DR1080" i="1"/>
  <c r="DR1081" i="1"/>
  <c r="DR1082" i="1"/>
  <c r="DR1083" i="1"/>
  <c r="DR1084" i="1"/>
  <c r="DR1086" i="1"/>
  <c r="DR1087" i="1"/>
  <c r="DR1088" i="1"/>
  <c r="DR1089" i="1"/>
  <c r="DR1090" i="1"/>
  <c r="DR1091" i="1"/>
  <c r="DR1092" i="1"/>
  <c r="DR1093" i="1"/>
  <c r="DR1094" i="1"/>
  <c r="DR1096" i="1"/>
  <c r="DR1097" i="1"/>
  <c r="DR1098" i="1"/>
  <c r="DR1099" i="1"/>
  <c r="DR1100" i="1"/>
  <c r="DR1101" i="1"/>
  <c r="DR1102" i="1"/>
  <c r="DR1103" i="1"/>
  <c r="DR1104" i="1"/>
  <c r="DR1105" i="1"/>
  <c r="DR1106" i="1"/>
  <c r="DR1108" i="1"/>
  <c r="DR1109" i="1"/>
  <c r="DR1110" i="1"/>
  <c r="DR1111" i="1"/>
  <c r="DR1112" i="1"/>
  <c r="DR1113" i="1"/>
  <c r="DR1115" i="1"/>
  <c r="DR1116" i="1"/>
  <c r="DR1117" i="1"/>
  <c r="DR1118" i="1"/>
  <c r="DR1120" i="1"/>
  <c r="DR1122" i="1"/>
  <c r="DR1123" i="1"/>
  <c r="DR1124" i="1"/>
  <c r="DR1126" i="1"/>
  <c r="DR1127" i="1"/>
  <c r="DR1128" i="1"/>
  <c r="DR1129" i="1"/>
  <c r="DR1130" i="1"/>
  <c r="DR1132" i="1"/>
  <c r="DR1133" i="1"/>
  <c r="DR1135" i="1"/>
  <c r="DR1136" i="1"/>
  <c r="DR1137" i="1"/>
  <c r="DR1138" i="1"/>
  <c r="DR1139" i="1"/>
  <c r="DR1140" i="1"/>
  <c r="DR1142" i="1"/>
  <c r="DR1143" i="1"/>
  <c r="DR1144" i="1"/>
  <c r="DR1145" i="1"/>
  <c r="DR1146" i="1"/>
  <c r="DR1147" i="1"/>
  <c r="DR1148" i="1"/>
  <c r="DR1149" i="1"/>
  <c r="DR1150" i="1"/>
  <c r="DR1152" i="1"/>
  <c r="DR1153" i="1"/>
  <c r="DR1154" i="1"/>
  <c r="DR1155" i="1"/>
  <c r="DR1157" i="1"/>
  <c r="DR1158" i="1"/>
  <c r="DR1159" i="1"/>
  <c r="DR1160" i="1"/>
  <c r="DR1161" i="1"/>
  <c r="DR1162" i="1"/>
  <c r="DR1163" i="1"/>
  <c r="DR1164" i="1"/>
  <c r="DR1165" i="1"/>
  <c r="DR1167" i="1"/>
  <c r="DR1168" i="1"/>
  <c r="DR1169" i="1"/>
  <c r="DR1170" i="1"/>
  <c r="DR1172" i="1"/>
  <c r="DR1173" i="1"/>
  <c r="DR1174" i="1"/>
  <c r="DR1175" i="1"/>
  <c r="DR1177" i="1"/>
  <c r="DR1178" i="1"/>
  <c r="DR1179" i="1"/>
  <c r="DR1180" i="1"/>
  <c r="DR1181" i="1"/>
  <c r="DR1182" i="1"/>
  <c r="DR1183" i="1"/>
  <c r="DR1185" i="1"/>
  <c r="DR1186" i="1"/>
  <c r="DR1187" i="1"/>
  <c r="DR1188" i="1"/>
  <c r="DR1189" i="1"/>
  <c r="DR1190" i="1"/>
  <c r="DR1192" i="1"/>
  <c r="DR1194" i="1"/>
  <c r="DR1195" i="1"/>
  <c r="DR1196" i="1"/>
  <c r="DR1199" i="1"/>
  <c r="DR1201" i="1"/>
  <c r="DR1202" i="1"/>
  <c r="DR1203" i="1"/>
  <c r="DR1204" i="1"/>
  <c r="DR1205" i="1"/>
  <c r="DR1206" i="1"/>
  <c r="DR1207" i="1"/>
  <c r="DR1209" i="1"/>
  <c r="DR1210" i="1"/>
  <c r="DR1211" i="1"/>
  <c r="DR1212" i="1"/>
  <c r="DR1213" i="1"/>
  <c r="DR1214" i="1"/>
  <c r="DR1215" i="1"/>
  <c r="DR1216" i="1"/>
  <c r="DR1217" i="1"/>
  <c r="DR1219" i="1"/>
  <c r="DR1220" i="1"/>
  <c r="DR1222" i="1"/>
  <c r="DR1223" i="1"/>
  <c r="DR1224" i="1"/>
  <c r="DR1225" i="1"/>
  <c r="DR1226" i="1"/>
  <c r="DR1227" i="1"/>
  <c r="DR1229" i="1"/>
  <c r="DR1230" i="1"/>
  <c r="DR1231" i="1"/>
  <c r="DR1232" i="1"/>
  <c r="DR1233" i="1"/>
  <c r="DR1234" i="1"/>
  <c r="DR1235" i="1"/>
  <c r="DR1236" i="1"/>
  <c r="DR1238" i="1"/>
  <c r="DR1240" i="1"/>
  <c r="DR1241" i="1"/>
  <c r="DR1242" i="1"/>
  <c r="DR1245" i="1"/>
  <c r="DR1246" i="1"/>
  <c r="DR1247" i="1"/>
  <c r="DR1248" i="1"/>
  <c r="DR1250" i="1"/>
  <c r="DR1251" i="1"/>
  <c r="DR1252" i="1"/>
  <c r="DR1253" i="1"/>
  <c r="DR1254" i="1"/>
  <c r="DR1255" i="1"/>
  <c r="DR1256" i="1"/>
  <c r="DR1257" i="1"/>
  <c r="DR1258" i="1"/>
  <c r="DR1259" i="1"/>
  <c r="DR1261" i="1"/>
  <c r="DR1262" i="1"/>
  <c r="DR1263" i="1"/>
  <c r="DR1265" i="1"/>
  <c r="DR1266" i="1"/>
  <c r="DR1267" i="1"/>
  <c r="DR1268" i="1"/>
  <c r="DR1272" i="1"/>
  <c r="DR1275" i="1"/>
  <c r="DR1276" i="1"/>
  <c r="DR1277" i="1"/>
  <c r="DR1278" i="1"/>
  <c r="DR1279" i="1"/>
  <c r="DR1280" i="1"/>
  <c r="DR1282" i="1"/>
  <c r="DR1283" i="1"/>
  <c r="DR1284" i="1"/>
  <c r="DR1285" i="1"/>
  <c r="DR1286" i="1"/>
  <c r="DR1287" i="1"/>
  <c r="DR1288" i="1"/>
  <c r="DR1289" i="1"/>
  <c r="DR1291" i="1"/>
  <c r="DR1292" i="1"/>
  <c r="DR1293" i="1"/>
  <c r="DR1294" i="1"/>
  <c r="DR1295" i="1"/>
  <c r="DR1296" i="1"/>
  <c r="DR1297" i="1"/>
  <c r="DR1298" i="1"/>
  <c r="DR1299" i="1"/>
  <c r="DR1300" i="1"/>
  <c r="DR1301" i="1"/>
  <c r="DR1303" i="1"/>
  <c r="DR1304" i="1"/>
  <c r="DR1305" i="1"/>
  <c r="DR1306" i="1"/>
  <c r="DR1307" i="1"/>
  <c r="DR1308" i="1"/>
  <c r="DR1309" i="1"/>
  <c r="DR1310" i="1"/>
  <c r="DR1311" i="1"/>
  <c r="DR1312" i="1"/>
  <c r="DR1313" i="1"/>
  <c r="DS67" i="1"/>
  <c r="DS68" i="1"/>
  <c r="DS69" i="1"/>
  <c r="DS70" i="1"/>
  <c r="DS71" i="1"/>
  <c r="DS72" i="1"/>
  <c r="DS73" i="1"/>
  <c r="DS74" i="1"/>
  <c r="DS76" i="1"/>
  <c r="DS77" i="1"/>
  <c r="DS78" i="1"/>
  <c r="DS79" i="1"/>
  <c r="DS80" i="1"/>
  <c r="DS81" i="1"/>
  <c r="DS82" i="1"/>
  <c r="DS84" i="1"/>
  <c r="DS85" i="1"/>
  <c r="DS86" i="1"/>
  <c r="DS87" i="1"/>
  <c r="DS88" i="1"/>
  <c r="DS89" i="1"/>
  <c r="DS90" i="1"/>
  <c r="DS92" i="1"/>
  <c r="DS93" i="1"/>
  <c r="DS94" i="1"/>
  <c r="DS95" i="1"/>
  <c r="DS96" i="1"/>
  <c r="DS97" i="1"/>
  <c r="DS98" i="1"/>
  <c r="DS101" i="1"/>
  <c r="DS103" i="1"/>
  <c r="DS104" i="1"/>
  <c r="DS105" i="1"/>
  <c r="DS106" i="1"/>
  <c r="DS107" i="1"/>
  <c r="DS108" i="1"/>
  <c r="DS109" i="1"/>
  <c r="DS112" i="1"/>
  <c r="DS113" i="1"/>
  <c r="DS114" i="1"/>
  <c r="DS115" i="1"/>
  <c r="DS116" i="1"/>
  <c r="DS117" i="1"/>
  <c r="DS118" i="1"/>
  <c r="DS119" i="1"/>
  <c r="DS120" i="1"/>
  <c r="DS122" i="1"/>
  <c r="DS124" i="1"/>
  <c r="DS125" i="1"/>
  <c r="DS126" i="1"/>
  <c r="DS129" i="1"/>
  <c r="DS131" i="1"/>
  <c r="DS132" i="1"/>
  <c r="DS133" i="1"/>
  <c r="DS136" i="1"/>
  <c r="DS138" i="1"/>
  <c r="DS139" i="1"/>
  <c r="DS140" i="1"/>
  <c r="DS141" i="1"/>
  <c r="DS142" i="1"/>
  <c r="DS144" i="1"/>
  <c r="DS145" i="1"/>
  <c r="DS146" i="1"/>
  <c r="DS147" i="1"/>
  <c r="DS148" i="1"/>
  <c r="DS149" i="1"/>
  <c r="DS151" i="1"/>
  <c r="DS152" i="1"/>
  <c r="DS153" i="1"/>
  <c r="DS154" i="1"/>
  <c r="DS155" i="1"/>
  <c r="DS156" i="1"/>
  <c r="DS157" i="1"/>
  <c r="DS158" i="1"/>
  <c r="DS160" i="1"/>
  <c r="DS161" i="1"/>
  <c r="DS162" i="1"/>
  <c r="DS163" i="1"/>
  <c r="DS165" i="1"/>
  <c r="DS166" i="1"/>
  <c r="DS167" i="1"/>
  <c r="DS168" i="1"/>
  <c r="DS169" i="1"/>
  <c r="DS170" i="1"/>
  <c r="DS172" i="1"/>
  <c r="DS173" i="1"/>
  <c r="DS175" i="1"/>
  <c r="DS176" i="1"/>
  <c r="DS177" i="1"/>
  <c r="DS178" i="1"/>
  <c r="DS179" i="1"/>
  <c r="DS180" i="1"/>
  <c r="DS181" i="1"/>
  <c r="DS182" i="1"/>
  <c r="DS183" i="1"/>
  <c r="DS184" i="1"/>
  <c r="DS186" i="1"/>
  <c r="DS187" i="1"/>
  <c r="DS188" i="1"/>
  <c r="DS189" i="1"/>
  <c r="DS190" i="1"/>
  <c r="DS191" i="1"/>
  <c r="DS192" i="1"/>
  <c r="DS193" i="1"/>
  <c r="DS195" i="1"/>
  <c r="DS196" i="1"/>
  <c r="DS197" i="1"/>
  <c r="DS198" i="1"/>
  <c r="DS200" i="1"/>
  <c r="DS201" i="1"/>
  <c r="DS202" i="1"/>
  <c r="DS203" i="1"/>
  <c r="DS204" i="1"/>
  <c r="DS205" i="1"/>
  <c r="DS206" i="1"/>
  <c r="DS207" i="1"/>
  <c r="DS209" i="1"/>
  <c r="DS210" i="1"/>
  <c r="DS211" i="1"/>
  <c r="DS212" i="1"/>
  <c r="DS213" i="1"/>
  <c r="DS214" i="1"/>
  <c r="DS215" i="1"/>
  <c r="DS218" i="1"/>
  <c r="DS219" i="1"/>
  <c r="DS220" i="1"/>
  <c r="DS221" i="1"/>
  <c r="DS222" i="1"/>
  <c r="DS224" i="1"/>
  <c r="DS225" i="1"/>
  <c r="DS226" i="1"/>
  <c r="DS227" i="1"/>
  <c r="DS228" i="1"/>
  <c r="DS229" i="1"/>
  <c r="DS231" i="1"/>
  <c r="DS232" i="1"/>
  <c r="DS233" i="1"/>
  <c r="DS234" i="1"/>
  <c r="DS235" i="1"/>
  <c r="DS236" i="1"/>
  <c r="DS237" i="1"/>
  <c r="DS238" i="1"/>
  <c r="DS240" i="1"/>
  <c r="DS241" i="1"/>
  <c r="DS242" i="1"/>
  <c r="DS243" i="1"/>
  <c r="DS244" i="1"/>
  <c r="DS245" i="1"/>
  <c r="DS246" i="1"/>
  <c r="DS247" i="1"/>
  <c r="DS249" i="1"/>
  <c r="DS250" i="1"/>
  <c r="DS251" i="1"/>
  <c r="DS252" i="1"/>
  <c r="DS253" i="1"/>
  <c r="DS254" i="1"/>
  <c r="DS255" i="1"/>
  <c r="DS256" i="1"/>
  <c r="DS258" i="1"/>
  <c r="DS259" i="1"/>
  <c r="DS260" i="1"/>
  <c r="DS261" i="1"/>
  <c r="DS262" i="1"/>
  <c r="DS263" i="1"/>
  <c r="DS264" i="1"/>
  <c r="DS265" i="1"/>
  <c r="DS266" i="1"/>
  <c r="DS268" i="1"/>
  <c r="DS269" i="1"/>
  <c r="DS270" i="1"/>
  <c r="DS271" i="1"/>
  <c r="DS272" i="1"/>
  <c r="DS273" i="1"/>
  <c r="DS274" i="1"/>
  <c r="DS275" i="1"/>
  <c r="DS276" i="1"/>
  <c r="DS278" i="1"/>
  <c r="DS279" i="1"/>
  <c r="DS280" i="1"/>
  <c r="DS281" i="1"/>
  <c r="DS282" i="1"/>
  <c r="DS283" i="1"/>
  <c r="DS285" i="1"/>
  <c r="DS286" i="1"/>
  <c r="DS287" i="1"/>
  <c r="DS288" i="1"/>
  <c r="DS291" i="1"/>
  <c r="DS292" i="1"/>
  <c r="DS293" i="1"/>
  <c r="DS294" i="1"/>
  <c r="DS296" i="1"/>
  <c r="DS297" i="1"/>
  <c r="DS298" i="1"/>
  <c r="DS299" i="1"/>
  <c r="DS300" i="1"/>
  <c r="DS301" i="1"/>
  <c r="DS302" i="1"/>
  <c r="DS303" i="1"/>
  <c r="DS305" i="1"/>
  <c r="DS306" i="1"/>
  <c r="DS307" i="1"/>
  <c r="DS308" i="1"/>
  <c r="DS309" i="1"/>
  <c r="DS310" i="1"/>
  <c r="DS311" i="1"/>
  <c r="DS312" i="1"/>
  <c r="DS313" i="1"/>
  <c r="DS314" i="1"/>
  <c r="DS316" i="1"/>
  <c r="DS317" i="1"/>
  <c r="DS318" i="1"/>
  <c r="DS319" i="1"/>
  <c r="DS320" i="1"/>
  <c r="DS321" i="1"/>
  <c r="DS322" i="1"/>
  <c r="DS323" i="1"/>
  <c r="DS324" i="1"/>
  <c r="DS325" i="1"/>
  <c r="DS326" i="1"/>
  <c r="DS327" i="1"/>
  <c r="DS329" i="1"/>
  <c r="DS330" i="1"/>
  <c r="DS332" i="1"/>
  <c r="DS333" i="1"/>
  <c r="DS334" i="1"/>
  <c r="DS335" i="1"/>
  <c r="DS336" i="1"/>
  <c r="DS337" i="1"/>
  <c r="DS338" i="1"/>
  <c r="DS340" i="1"/>
  <c r="DS341" i="1"/>
  <c r="DS342" i="1"/>
  <c r="DS343" i="1"/>
  <c r="DS344" i="1"/>
  <c r="DS345" i="1"/>
  <c r="DS346" i="1"/>
  <c r="DS347" i="1"/>
  <c r="DS348" i="1"/>
  <c r="DS349" i="1"/>
  <c r="DS351" i="1"/>
  <c r="DS352" i="1"/>
  <c r="DS353" i="1"/>
  <c r="DS354" i="1"/>
  <c r="DS355" i="1"/>
  <c r="DS356" i="1"/>
  <c r="DS358" i="1"/>
  <c r="DS359" i="1"/>
  <c r="DS360" i="1"/>
  <c r="DS361" i="1"/>
  <c r="DS362" i="1"/>
  <c r="DS363" i="1"/>
  <c r="DS364" i="1"/>
  <c r="DS365" i="1"/>
  <c r="DS367" i="1"/>
  <c r="DS368" i="1"/>
  <c r="DS369" i="1"/>
  <c r="DS371" i="1"/>
  <c r="DS372" i="1"/>
  <c r="DS373" i="1"/>
  <c r="DS375" i="1"/>
  <c r="DS376" i="1"/>
  <c r="DS378" i="1"/>
  <c r="DS379" i="1"/>
  <c r="DS380" i="1"/>
  <c r="DS381" i="1"/>
  <c r="DS382" i="1"/>
  <c r="DS383" i="1"/>
  <c r="DS385" i="1"/>
  <c r="DS386" i="1"/>
  <c r="DS387" i="1"/>
  <c r="DS388" i="1"/>
  <c r="DS389" i="1"/>
  <c r="DS390" i="1"/>
  <c r="DS391" i="1"/>
  <c r="DS393" i="1"/>
  <c r="DS394" i="1"/>
  <c r="DS395" i="1"/>
  <c r="DS396" i="1"/>
  <c r="DS397" i="1"/>
  <c r="DS398" i="1"/>
  <c r="DS399" i="1"/>
  <c r="DS400" i="1"/>
  <c r="DS401" i="1"/>
  <c r="DS403" i="1"/>
  <c r="DS404" i="1"/>
  <c r="DS405" i="1"/>
  <c r="DS406" i="1"/>
  <c r="DS407" i="1"/>
  <c r="DS408" i="1"/>
  <c r="DS409" i="1"/>
  <c r="DS410" i="1"/>
  <c r="DS411" i="1"/>
  <c r="DS413" i="1"/>
  <c r="DS414" i="1"/>
  <c r="DS415" i="1"/>
  <c r="DS416" i="1"/>
  <c r="DS417" i="1"/>
  <c r="DS418" i="1"/>
  <c r="DS421" i="1"/>
  <c r="DS422" i="1"/>
  <c r="DS423" i="1"/>
  <c r="DS424" i="1"/>
  <c r="DS425" i="1"/>
  <c r="DS426" i="1"/>
  <c r="DS427" i="1"/>
  <c r="DS428" i="1"/>
  <c r="DS430" i="1"/>
  <c r="DS431" i="1"/>
  <c r="DS432" i="1"/>
  <c r="DS433" i="1"/>
  <c r="DS434" i="1"/>
  <c r="DS435" i="1"/>
  <c r="DS436" i="1"/>
  <c r="DS438" i="1"/>
  <c r="DS439" i="1"/>
  <c r="DS440" i="1"/>
  <c r="DS441" i="1"/>
  <c r="DS442" i="1"/>
  <c r="DS443" i="1"/>
  <c r="DS445" i="1"/>
  <c r="DS446" i="1"/>
  <c r="DS447" i="1"/>
  <c r="DS448" i="1"/>
  <c r="DS449" i="1"/>
  <c r="DS450" i="1"/>
  <c r="DS451" i="1"/>
  <c r="DS452" i="1"/>
  <c r="DS454" i="1"/>
  <c r="DS455" i="1"/>
  <c r="DS456" i="1"/>
  <c r="DS457" i="1"/>
  <c r="DS459" i="1"/>
  <c r="DS460" i="1"/>
  <c r="DS461" i="1"/>
  <c r="DS462" i="1"/>
  <c r="DS463" i="1"/>
  <c r="DS464" i="1"/>
  <c r="DS465" i="1"/>
  <c r="DS466" i="1"/>
  <c r="DS468" i="1"/>
  <c r="DS469" i="1"/>
  <c r="DS470" i="1"/>
  <c r="DS471" i="1"/>
  <c r="DS472" i="1"/>
  <c r="DS473" i="1"/>
  <c r="DS474" i="1"/>
  <c r="DS475" i="1"/>
  <c r="DS476" i="1"/>
  <c r="DS478" i="1"/>
  <c r="DS479" i="1"/>
  <c r="DS480" i="1"/>
  <c r="DS481" i="1"/>
  <c r="DS482" i="1"/>
  <c r="DS483" i="1"/>
  <c r="DS485" i="1"/>
  <c r="DS486" i="1"/>
  <c r="DS487" i="1"/>
  <c r="DS488" i="1"/>
  <c r="DS489" i="1"/>
  <c r="DS490" i="1"/>
  <c r="DS491" i="1"/>
  <c r="DS492" i="1"/>
  <c r="DS493" i="1"/>
  <c r="DS495" i="1"/>
  <c r="DS496" i="1"/>
  <c r="DS497" i="1"/>
  <c r="DS498" i="1"/>
  <c r="DS499" i="1"/>
  <c r="DS500" i="1"/>
  <c r="DS502" i="1"/>
  <c r="DS503" i="1"/>
  <c r="DS504" i="1"/>
  <c r="DS505" i="1"/>
  <c r="DS506" i="1"/>
  <c r="DS507" i="1"/>
  <c r="DS508" i="1"/>
  <c r="DS510" i="1"/>
  <c r="DS511" i="1"/>
  <c r="DS512" i="1"/>
  <c r="DS513" i="1"/>
  <c r="DS514" i="1"/>
  <c r="DS515" i="1"/>
  <c r="DS516" i="1"/>
  <c r="DS517" i="1"/>
  <c r="DS518" i="1"/>
  <c r="DS520" i="1"/>
  <c r="DS521" i="1"/>
  <c r="DS522" i="1"/>
  <c r="DS523" i="1"/>
  <c r="DS524" i="1"/>
  <c r="DS525" i="1"/>
  <c r="DS526" i="1"/>
  <c r="DS527" i="1"/>
  <c r="DS529" i="1"/>
  <c r="DS530" i="1"/>
  <c r="DS531" i="1"/>
  <c r="DS532" i="1"/>
  <c r="DS533" i="1"/>
  <c r="DS534" i="1"/>
  <c r="DS535" i="1"/>
  <c r="DS536" i="1"/>
  <c r="DS538" i="1"/>
  <c r="DS539" i="1"/>
  <c r="DS540" i="1"/>
  <c r="DS541" i="1"/>
  <c r="DS542" i="1"/>
  <c r="DS543" i="1"/>
  <c r="DS544" i="1"/>
  <c r="DS545" i="1"/>
  <c r="DS546" i="1"/>
  <c r="DS548" i="1"/>
  <c r="DS549" i="1"/>
  <c r="DS550" i="1"/>
  <c r="DS551" i="1"/>
  <c r="DS552" i="1"/>
  <c r="DS553" i="1"/>
  <c r="DS554" i="1"/>
  <c r="DS555" i="1"/>
  <c r="DS557" i="1"/>
  <c r="DS558" i="1"/>
  <c r="DS559" i="1"/>
  <c r="DS560" i="1"/>
  <c r="DS561" i="1"/>
  <c r="DS562" i="1"/>
  <c r="DS563" i="1"/>
  <c r="DS564" i="1"/>
  <c r="DS565" i="1"/>
  <c r="DS566" i="1"/>
  <c r="DS567" i="1"/>
  <c r="DS569" i="1"/>
  <c r="DS570" i="1"/>
  <c r="DS572" i="1"/>
  <c r="DS573" i="1"/>
  <c r="DS574" i="1"/>
  <c r="DS576" i="1"/>
  <c r="DS577" i="1"/>
  <c r="DS578" i="1"/>
  <c r="DS579" i="1"/>
  <c r="DS580" i="1"/>
  <c r="DS581" i="1"/>
  <c r="DS583" i="1"/>
  <c r="DS584" i="1"/>
  <c r="DS586" i="1"/>
  <c r="DS587" i="1"/>
  <c r="DS588" i="1"/>
  <c r="DS590" i="1"/>
  <c r="DS591" i="1"/>
  <c r="DS592" i="1"/>
  <c r="DS593" i="1"/>
  <c r="DS594" i="1"/>
  <c r="DS595" i="1"/>
  <c r="DS596" i="1"/>
  <c r="DS597" i="1"/>
  <c r="DS598" i="1"/>
  <c r="DS600" i="1"/>
  <c r="DS601" i="1"/>
  <c r="DS603" i="1"/>
  <c r="DS604" i="1"/>
  <c r="DS605" i="1"/>
  <c r="DS607" i="1"/>
  <c r="DS608" i="1"/>
  <c r="DS609" i="1"/>
  <c r="DS610" i="1"/>
  <c r="DS611" i="1"/>
  <c r="DS612" i="1"/>
  <c r="DS614" i="1"/>
  <c r="DS615" i="1"/>
  <c r="DS616" i="1"/>
  <c r="DS617" i="1"/>
  <c r="DS618" i="1"/>
  <c r="DS619" i="1"/>
  <c r="DS620" i="1"/>
  <c r="DS622" i="1"/>
  <c r="DS623" i="1"/>
  <c r="DS624" i="1"/>
  <c r="DS625" i="1"/>
  <c r="DS626" i="1"/>
  <c r="DS628" i="1"/>
  <c r="DS629" i="1"/>
  <c r="DS630" i="1"/>
  <c r="DS631" i="1"/>
  <c r="DS632" i="1"/>
  <c r="DS633" i="1"/>
  <c r="DS634" i="1"/>
  <c r="DS636" i="1"/>
  <c r="DS637" i="1"/>
  <c r="DS638" i="1"/>
  <c r="DS639" i="1"/>
  <c r="DS641" i="1"/>
  <c r="DS643" i="1"/>
  <c r="DS644" i="1"/>
  <c r="DS645" i="1"/>
  <c r="DS647" i="1"/>
  <c r="DS648" i="1"/>
  <c r="DS649" i="1"/>
  <c r="DS650" i="1"/>
  <c r="DS651" i="1"/>
  <c r="DS652" i="1"/>
  <c r="DS654" i="1"/>
  <c r="DS655" i="1"/>
  <c r="DS656" i="1"/>
  <c r="DS657" i="1"/>
  <c r="DS658" i="1"/>
  <c r="DS659" i="1"/>
  <c r="DS660" i="1"/>
  <c r="DS662" i="1"/>
  <c r="DS663" i="1"/>
  <c r="DS665" i="1"/>
  <c r="DS666" i="1"/>
  <c r="DS667" i="1"/>
  <c r="DS669" i="1"/>
  <c r="DS670" i="1"/>
  <c r="DS671" i="1"/>
  <c r="DS672" i="1"/>
  <c r="DS674" i="1"/>
  <c r="DS675" i="1"/>
  <c r="DS676" i="1"/>
  <c r="DS677" i="1"/>
  <c r="DS678" i="1"/>
  <c r="DS679" i="1"/>
  <c r="DS681" i="1"/>
  <c r="DS682" i="1"/>
  <c r="DS683" i="1"/>
  <c r="DS684" i="1"/>
  <c r="DS685" i="1"/>
  <c r="DS686" i="1"/>
  <c r="DS687" i="1"/>
  <c r="DS688" i="1"/>
  <c r="DS689" i="1"/>
  <c r="DS690" i="1"/>
  <c r="DS691" i="1"/>
  <c r="DS693" i="1"/>
  <c r="DS694" i="1"/>
  <c r="DS695" i="1"/>
  <c r="DS696" i="1"/>
  <c r="DS698" i="1"/>
  <c r="DS699" i="1"/>
  <c r="DS702" i="1"/>
  <c r="DS703" i="1"/>
  <c r="DS704" i="1"/>
  <c r="DS706" i="1"/>
  <c r="DS707" i="1"/>
  <c r="DS708" i="1"/>
  <c r="DS709" i="1"/>
  <c r="DS711" i="1"/>
  <c r="DS712" i="1"/>
  <c r="DS713" i="1"/>
  <c r="DS714" i="1"/>
  <c r="DS715" i="1"/>
  <c r="DS716" i="1"/>
  <c r="DS717" i="1"/>
  <c r="DS718" i="1"/>
  <c r="DS720" i="1"/>
  <c r="DS721" i="1"/>
  <c r="DS723" i="1"/>
  <c r="DS724" i="1"/>
  <c r="DS725" i="1"/>
  <c r="DS726" i="1"/>
  <c r="DS729" i="1"/>
  <c r="DS731" i="1"/>
  <c r="DS732" i="1"/>
  <c r="DS733" i="1"/>
  <c r="DS734" i="1"/>
  <c r="DS735" i="1"/>
  <c r="DS736" i="1"/>
  <c r="DS738" i="1"/>
  <c r="DS739" i="1"/>
  <c r="DS740" i="1"/>
  <c r="DS741" i="1"/>
  <c r="DS742" i="1"/>
  <c r="DS743" i="1"/>
  <c r="DS744" i="1"/>
  <c r="DS745" i="1"/>
  <c r="DS748" i="1"/>
  <c r="DS750" i="1"/>
  <c r="DS751" i="1"/>
  <c r="DS752" i="1"/>
  <c r="DS753" i="1"/>
  <c r="DS754" i="1"/>
  <c r="DS755" i="1"/>
  <c r="DS756" i="1"/>
  <c r="DS758" i="1"/>
  <c r="DS760" i="1"/>
  <c r="DS761" i="1"/>
  <c r="DS763" i="1"/>
  <c r="DS764" i="1"/>
  <c r="DS766" i="1"/>
  <c r="DS767" i="1"/>
  <c r="DS768" i="1"/>
  <c r="DS769" i="1"/>
  <c r="DS774" i="1"/>
  <c r="DS775" i="1"/>
  <c r="DS777" i="1"/>
  <c r="DS778" i="1"/>
  <c r="DS779" i="1"/>
  <c r="DS780" i="1"/>
  <c r="DS782" i="1"/>
  <c r="DS783" i="1"/>
  <c r="DS784" i="1"/>
  <c r="DS785" i="1"/>
  <c r="DS786" i="1"/>
  <c r="DS787" i="1"/>
  <c r="DS789" i="1"/>
  <c r="DS790" i="1"/>
  <c r="DS791" i="1"/>
  <c r="DS793" i="1"/>
  <c r="DS794" i="1"/>
  <c r="DS795" i="1"/>
  <c r="DS796" i="1"/>
  <c r="DS797" i="1"/>
  <c r="DS798" i="1"/>
  <c r="DS800" i="1"/>
  <c r="DS801" i="1"/>
  <c r="DS802" i="1"/>
  <c r="DS803" i="1"/>
  <c r="DS804" i="1"/>
  <c r="DS805" i="1"/>
  <c r="DS806" i="1"/>
  <c r="DS807" i="1"/>
  <c r="DS808" i="1"/>
  <c r="DS810" i="1"/>
  <c r="DS811" i="1"/>
  <c r="DS812" i="1"/>
  <c r="DS813" i="1"/>
  <c r="DS814" i="1"/>
  <c r="DS815" i="1"/>
  <c r="DS816" i="1"/>
  <c r="DS818" i="1"/>
  <c r="DS819" i="1"/>
  <c r="DS820" i="1"/>
  <c r="DS822" i="1"/>
  <c r="DS823" i="1"/>
  <c r="DS824" i="1"/>
  <c r="DS825" i="1"/>
  <c r="DS826" i="1"/>
  <c r="DS827" i="1"/>
  <c r="DS829" i="1"/>
  <c r="DS830" i="1"/>
  <c r="DS831" i="1"/>
  <c r="DS832" i="1"/>
  <c r="DS834" i="1"/>
  <c r="DS835" i="1"/>
  <c r="DS836" i="1"/>
  <c r="DS838" i="1"/>
  <c r="DS839" i="1"/>
  <c r="DS840" i="1"/>
  <c r="DS841" i="1"/>
  <c r="DS842" i="1"/>
  <c r="DS843" i="1"/>
  <c r="DS845" i="1"/>
  <c r="DS846" i="1"/>
  <c r="DS847" i="1"/>
  <c r="DS848" i="1"/>
  <c r="DS849" i="1"/>
  <c r="DS850" i="1"/>
  <c r="DS852" i="1"/>
  <c r="DS854" i="1"/>
  <c r="DS855" i="1"/>
  <c r="DS856" i="1"/>
  <c r="DS857" i="1"/>
  <c r="DS859" i="1"/>
  <c r="DS860" i="1"/>
  <c r="DS862" i="1"/>
  <c r="DS863" i="1"/>
  <c r="DS864" i="1"/>
  <c r="DS865" i="1"/>
  <c r="DS866" i="1"/>
  <c r="DS867" i="1"/>
  <c r="DS868" i="1"/>
  <c r="DS869" i="1"/>
  <c r="DS870" i="1"/>
  <c r="DS872" i="1"/>
  <c r="DS873" i="1"/>
  <c r="DS874" i="1"/>
  <c r="DS875" i="1"/>
  <c r="DS876" i="1"/>
  <c r="DS877" i="1"/>
  <c r="DS878" i="1"/>
  <c r="DS879" i="1"/>
  <c r="DS880" i="1"/>
  <c r="DS881" i="1"/>
  <c r="DS884" i="1"/>
  <c r="DS886" i="1"/>
  <c r="DS887" i="1"/>
  <c r="DS888" i="1"/>
  <c r="DS889" i="1"/>
  <c r="DS890" i="1"/>
  <c r="DS891" i="1"/>
  <c r="DS892" i="1"/>
  <c r="DS893" i="1"/>
  <c r="DS894" i="1"/>
  <c r="DS895" i="1"/>
  <c r="DS897" i="1"/>
  <c r="DS898" i="1"/>
  <c r="DS899" i="1"/>
  <c r="DS900" i="1"/>
  <c r="DS901" i="1"/>
  <c r="DS902" i="1"/>
  <c r="DS904" i="1"/>
  <c r="DS905" i="1"/>
  <c r="DS906" i="1"/>
  <c r="DS908" i="1"/>
  <c r="DS909" i="1"/>
  <c r="DS910" i="1"/>
  <c r="DS911" i="1"/>
  <c r="DS912" i="1"/>
  <c r="DS913" i="1"/>
  <c r="DS915" i="1"/>
  <c r="DS916" i="1"/>
  <c r="DS917" i="1"/>
  <c r="DS918" i="1"/>
  <c r="DS919" i="1"/>
  <c r="DS921" i="1"/>
  <c r="DS922" i="1"/>
  <c r="DS923" i="1"/>
  <c r="DS924" i="1"/>
  <c r="DS925" i="1"/>
  <c r="DS927" i="1"/>
  <c r="DS928" i="1"/>
  <c r="DS929" i="1"/>
  <c r="DS930" i="1"/>
  <c r="DS931" i="1"/>
  <c r="DS932" i="1"/>
  <c r="DS933" i="1"/>
  <c r="DS935" i="1"/>
  <c r="DS936" i="1"/>
  <c r="DS937" i="1"/>
  <c r="DS938" i="1"/>
  <c r="DS939" i="1"/>
  <c r="DS940" i="1"/>
  <c r="DS941" i="1"/>
  <c r="DS943" i="1"/>
  <c r="DS944" i="1"/>
  <c r="DS945" i="1"/>
  <c r="DS947" i="1"/>
  <c r="DS948" i="1"/>
  <c r="DS950" i="1"/>
  <c r="DS951" i="1"/>
  <c r="DS952" i="1"/>
  <c r="DS953" i="1"/>
  <c r="DS954" i="1"/>
  <c r="DS955" i="1"/>
  <c r="DS956" i="1"/>
  <c r="DS957" i="1"/>
  <c r="DS958" i="1"/>
  <c r="DS960" i="1"/>
  <c r="DS961" i="1"/>
  <c r="DS962" i="1"/>
  <c r="DS963" i="1"/>
  <c r="DS964" i="1"/>
  <c r="DS965" i="1"/>
  <c r="DS966" i="1"/>
  <c r="DS967" i="1"/>
  <c r="DS969" i="1"/>
  <c r="DS970" i="1"/>
  <c r="DS971" i="1"/>
  <c r="DS972" i="1"/>
  <c r="DS973" i="1"/>
  <c r="DS974" i="1"/>
  <c r="DS975" i="1"/>
  <c r="DS977" i="1"/>
  <c r="DS978" i="1"/>
  <c r="DS979" i="1"/>
  <c r="DS980" i="1"/>
  <c r="DS981" i="1"/>
  <c r="DS983" i="1"/>
  <c r="DS985" i="1"/>
  <c r="DS986" i="1"/>
  <c r="DS987" i="1"/>
  <c r="DS989" i="1"/>
  <c r="DS990" i="1"/>
  <c r="DS991" i="1"/>
  <c r="DS992" i="1"/>
  <c r="DS993" i="1"/>
  <c r="DS994" i="1"/>
  <c r="DS996" i="1"/>
  <c r="DS997" i="1"/>
  <c r="DS998" i="1"/>
  <c r="DS999" i="1"/>
  <c r="DS1000" i="1"/>
  <c r="DS1001" i="1"/>
  <c r="DS1002" i="1"/>
  <c r="DS1003" i="1"/>
  <c r="DS1005" i="1"/>
  <c r="DS1006" i="1"/>
  <c r="DS1007" i="1"/>
  <c r="DS1008" i="1"/>
  <c r="DS1009" i="1"/>
  <c r="DS1010" i="1"/>
  <c r="DS1011" i="1"/>
  <c r="DS1013" i="1"/>
  <c r="DS1014" i="1"/>
  <c r="DS1015" i="1"/>
  <c r="DS1016" i="1"/>
  <c r="DS1017" i="1"/>
  <c r="DS1018" i="1"/>
  <c r="DS1019" i="1"/>
  <c r="DS1020" i="1"/>
  <c r="DS1021" i="1"/>
  <c r="DS1022" i="1"/>
  <c r="DS1023" i="1"/>
  <c r="DS1025" i="1"/>
  <c r="DS1026" i="1"/>
  <c r="DS1027" i="1"/>
  <c r="DS1028" i="1"/>
  <c r="DS1029" i="1"/>
  <c r="DS1030" i="1"/>
  <c r="DS1031" i="1"/>
  <c r="DS1032" i="1"/>
  <c r="DS1033" i="1"/>
  <c r="DS1035" i="1"/>
  <c r="DS1036" i="1"/>
  <c r="DS1037" i="1"/>
  <c r="DS1038" i="1"/>
  <c r="DS1039" i="1"/>
  <c r="DS1040" i="1"/>
  <c r="DS1041" i="1"/>
  <c r="DS1042" i="1"/>
  <c r="DS1043" i="1"/>
  <c r="DS1044" i="1"/>
  <c r="DS1046" i="1"/>
  <c r="DS1047" i="1"/>
  <c r="DS1048" i="1"/>
  <c r="DS1051" i="1"/>
  <c r="DS1053" i="1"/>
  <c r="DS1054" i="1"/>
  <c r="DS1055" i="1"/>
  <c r="DS1056" i="1"/>
  <c r="DS1057" i="1"/>
  <c r="DS1059" i="1"/>
  <c r="DS1060" i="1"/>
  <c r="DS1061" i="1"/>
  <c r="DS1062" i="1"/>
  <c r="DS1063" i="1"/>
  <c r="DS1064" i="1"/>
  <c r="DS1066" i="1"/>
  <c r="DS1067" i="1"/>
  <c r="DS1068" i="1"/>
  <c r="DS1069" i="1"/>
  <c r="DS1070" i="1"/>
  <c r="DS1071" i="1"/>
  <c r="DS1072" i="1"/>
  <c r="DS1073" i="1"/>
  <c r="DS1075" i="1"/>
  <c r="DS1076" i="1"/>
  <c r="DS1077" i="1"/>
  <c r="DS1079" i="1"/>
  <c r="DS1080" i="1"/>
  <c r="DS1081" i="1"/>
  <c r="DS1082" i="1"/>
  <c r="DS1083" i="1"/>
  <c r="DS1084" i="1"/>
  <c r="DS1086" i="1"/>
  <c r="DS1087" i="1"/>
  <c r="DS1088" i="1"/>
  <c r="DS1089" i="1"/>
  <c r="DS1090" i="1"/>
  <c r="DS1091" i="1"/>
  <c r="DS1092" i="1"/>
  <c r="DS1093" i="1"/>
  <c r="DS1094" i="1"/>
  <c r="DS1097" i="1"/>
  <c r="DS1098" i="1"/>
  <c r="DS1099" i="1"/>
  <c r="DS1100" i="1"/>
  <c r="DS1101" i="1"/>
  <c r="DS1102" i="1"/>
  <c r="DS1103" i="1"/>
  <c r="DS1104" i="1"/>
  <c r="DS1105" i="1"/>
  <c r="DS1106" i="1"/>
  <c r="DS1108" i="1"/>
  <c r="DS1109" i="1"/>
  <c r="DS1110" i="1"/>
  <c r="DS1111" i="1"/>
  <c r="DS1112" i="1"/>
  <c r="DS1113" i="1"/>
  <c r="DS1115" i="1"/>
  <c r="DS1116" i="1"/>
  <c r="DS1117" i="1"/>
  <c r="DS1118" i="1"/>
  <c r="DS1120" i="1"/>
  <c r="DS1122" i="1"/>
  <c r="DS1123" i="1"/>
  <c r="DS1124" i="1"/>
  <c r="DS1126" i="1"/>
  <c r="DS1127" i="1"/>
  <c r="DS1128" i="1"/>
  <c r="DS1129" i="1"/>
  <c r="DS1130" i="1"/>
  <c r="DS1132" i="1"/>
  <c r="DS1133" i="1"/>
  <c r="DS1135" i="1"/>
  <c r="DS1136" i="1"/>
  <c r="DS1137" i="1"/>
  <c r="DS1138" i="1"/>
  <c r="DS1139" i="1"/>
  <c r="DS1140" i="1"/>
  <c r="DS1142" i="1"/>
  <c r="DS1143" i="1"/>
  <c r="DS1144" i="1"/>
  <c r="DS1145" i="1"/>
  <c r="DS1146" i="1"/>
  <c r="DS1147" i="1"/>
  <c r="DS1148" i="1"/>
  <c r="DS1149" i="1"/>
  <c r="DS1150" i="1"/>
  <c r="DS1152" i="1"/>
  <c r="DS1153" i="1"/>
  <c r="DS1154" i="1"/>
  <c r="DS1155" i="1"/>
  <c r="DS1157" i="1"/>
  <c r="DS1158" i="1"/>
  <c r="DS1159" i="1"/>
  <c r="DS1160" i="1"/>
  <c r="DS1161" i="1"/>
  <c r="DS1162" i="1"/>
  <c r="DS1163" i="1"/>
  <c r="DS1164" i="1"/>
  <c r="DS1165" i="1"/>
  <c r="DS1167" i="1"/>
  <c r="DS1168" i="1"/>
  <c r="DS1169" i="1"/>
  <c r="DS1170" i="1"/>
  <c r="DS1172" i="1"/>
  <c r="DS1173" i="1"/>
  <c r="DS1174" i="1"/>
  <c r="DS1175" i="1"/>
  <c r="DS1177" i="1"/>
  <c r="DS1178" i="1"/>
  <c r="DS1179" i="1"/>
  <c r="DS1180" i="1"/>
  <c r="DS1181" i="1"/>
  <c r="DS1182" i="1"/>
  <c r="DS1183" i="1"/>
  <c r="DS1185" i="1"/>
  <c r="DS1186" i="1"/>
  <c r="DS1187" i="1"/>
  <c r="DS1188" i="1"/>
  <c r="DS1189" i="1"/>
  <c r="DS1190" i="1"/>
  <c r="DS1192" i="1"/>
  <c r="DS1194" i="1"/>
  <c r="DS1195" i="1"/>
  <c r="DS1196" i="1"/>
  <c r="DS1199" i="1"/>
  <c r="DS1201" i="1"/>
  <c r="DS1202" i="1"/>
  <c r="DS1203" i="1"/>
  <c r="DS1204" i="1"/>
  <c r="DS1205" i="1"/>
  <c r="DS1206" i="1"/>
  <c r="DS1207" i="1"/>
  <c r="DS1209" i="1"/>
  <c r="DS1210" i="1"/>
  <c r="DS1211" i="1"/>
  <c r="DS1212" i="1"/>
  <c r="DS1213" i="1"/>
  <c r="DS1214" i="1"/>
  <c r="DS1215" i="1"/>
  <c r="DS1216" i="1"/>
  <c r="DS1217" i="1"/>
  <c r="DS1219" i="1"/>
  <c r="DS1220" i="1"/>
  <c r="DS1222" i="1"/>
  <c r="DS1223" i="1"/>
  <c r="DS1224" i="1"/>
  <c r="DS1225" i="1"/>
  <c r="DS1226" i="1"/>
  <c r="DS1227" i="1"/>
  <c r="DS1229" i="1"/>
  <c r="DS1230" i="1"/>
  <c r="DS1231" i="1"/>
  <c r="DS1232" i="1"/>
  <c r="DS1233" i="1"/>
  <c r="DS1234" i="1"/>
  <c r="DS1235" i="1"/>
  <c r="DS1236" i="1"/>
  <c r="DS1238" i="1"/>
  <c r="DS1240" i="1"/>
  <c r="DS1241" i="1"/>
  <c r="DS1242" i="1"/>
  <c r="DS1244" i="1"/>
  <c r="DS1245" i="1"/>
  <c r="DS1246" i="1"/>
  <c r="DS1247" i="1"/>
  <c r="DS1248" i="1"/>
  <c r="DS1250" i="1"/>
  <c r="DS1251" i="1"/>
  <c r="DS1252" i="1"/>
  <c r="DS1253" i="1"/>
  <c r="DS1254" i="1"/>
  <c r="DS1255" i="1"/>
  <c r="DS1256" i="1"/>
  <c r="DS1257" i="1"/>
  <c r="DS1258" i="1"/>
  <c r="DS1259" i="1"/>
  <c r="DS1261" i="1"/>
  <c r="DS1262" i="1"/>
  <c r="DS1263" i="1"/>
  <c r="DS1265" i="1"/>
  <c r="DS1266" i="1"/>
  <c r="DS1267" i="1"/>
  <c r="DS1268" i="1"/>
  <c r="DS1272" i="1"/>
  <c r="DS1274" i="1"/>
  <c r="DS1275" i="1"/>
  <c r="DS1276" i="1"/>
  <c r="DS1277" i="1"/>
  <c r="DS1278" i="1"/>
  <c r="DS1279" i="1"/>
  <c r="DS1280" i="1"/>
  <c r="DS1282" i="1"/>
  <c r="DS1283" i="1"/>
  <c r="DS1284" i="1"/>
  <c r="DS1285" i="1"/>
  <c r="DS1286" i="1"/>
  <c r="DS1287" i="1"/>
  <c r="DS1288" i="1"/>
  <c r="DS1289" i="1"/>
  <c r="DS1291" i="1"/>
  <c r="DS1292" i="1"/>
  <c r="DS1293" i="1"/>
  <c r="DS1294" i="1"/>
  <c r="DS1295" i="1"/>
  <c r="DS1296" i="1"/>
  <c r="DS1297" i="1"/>
  <c r="DS1298" i="1"/>
  <c r="DS1299" i="1"/>
  <c r="DS1300" i="1"/>
  <c r="DS1301" i="1"/>
  <c r="DS1303" i="1"/>
  <c r="DS1304" i="1"/>
  <c r="DS1305" i="1"/>
  <c r="DS1306" i="1"/>
  <c r="DS1307" i="1"/>
  <c r="DS1308" i="1"/>
  <c r="DS1309" i="1"/>
  <c r="DS1310" i="1"/>
  <c r="DS1311" i="1"/>
  <c r="DS1312" i="1"/>
  <c r="DS1313" i="1"/>
  <c r="DT67" i="1"/>
  <c r="DT68" i="1"/>
  <c r="DT69" i="1"/>
  <c r="DT70" i="1"/>
  <c r="DT71" i="1"/>
  <c r="DT72" i="1"/>
  <c r="DT73" i="1"/>
  <c r="DT74" i="1"/>
  <c r="DT76" i="1"/>
  <c r="DT77" i="1"/>
  <c r="DT78" i="1"/>
  <c r="DT79" i="1"/>
  <c r="DT80" i="1"/>
  <c r="DT81" i="1"/>
  <c r="DT82" i="1"/>
  <c r="DT84" i="1"/>
  <c r="DT85" i="1"/>
  <c r="DT86" i="1"/>
  <c r="DT87" i="1"/>
  <c r="DT88" i="1"/>
  <c r="DT89" i="1"/>
  <c r="DT90" i="1"/>
  <c r="DT92" i="1"/>
  <c r="DT93" i="1"/>
  <c r="DT94" i="1"/>
  <c r="DT95" i="1"/>
  <c r="DT96" i="1"/>
  <c r="DT97" i="1"/>
  <c r="DT98" i="1"/>
  <c r="DT101" i="1"/>
  <c r="DT103" i="1"/>
  <c r="DT104" i="1"/>
  <c r="DT105" i="1"/>
  <c r="DT106" i="1"/>
  <c r="DT107" i="1"/>
  <c r="DT108" i="1"/>
  <c r="DT109" i="1"/>
  <c r="DT111" i="1"/>
  <c r="DT112" i="1"/>
  <c r="DT113" i="1"/>
  <c r="DT114" i="1"/>
  <c r="DT115" i="1"/>
  <c r="DT116" i="1"/>
  <c r="DT117" i="1"/>
  <c r="DT118" i="1"/>
  <c r="DT119" i="1"/>
  <c r="DT120" i="1"/>
  <c r="DT122" i="1"/>
  <c r="DT124" i="1"/>
  <c r="DT125" i="1"/>
  <c r="DT126" i="1"/>
  <c r="DT129" i="1"/>
  <c r="DT131" i="1"/>
  <c r="DT132" i="1"/>
  <c r="DT133" i="1"/>
  <c r="DT136" i="1"/>
  <c r="DT138" i="1"/>
  <c r="DT139" i="1"/>
  <c r="DT140" i="1"/>
  <c r="DT141" i="1"/>
  <c r="DT142" i="1"/>
  <c r="DT144" i="1"/>
  <c r="DT145" i="1"/>
  <c r="DT146" i="1"/>
  <c r="DT147" i="1"/>
  <c r="DT148" i="1"/>
  <c r="DT149" i="1"/>
  <c r="DT151" i="1"/>
  <c r="DT152" i="1"/>
  <c r="DT153" i="1"/>
  <c r="DT154" i="1"/>
  <c r="DT155" i="1"/>
  <c r="DT156" i="1"/>
  <c r="DT157" i="1"/>
  <c r="DT158" i="1"/>
  <c r="DT160" i="1"/>
  <c r="DT161" i="1"/>
  <c r="DT162" i="1"/>
  <c r="DT163" i="1"/>
  <c r="DT165" i="1"/>
  <c r="DT166" i="1"/>
  <c r="DT167" i="1"/>
  <c r="DT168" i="1"/>
  <c r="DT169" i="1"/>
  <c r="DT170" i="1"/>
  <c r="DT172" i="1"/>
  <c r="DT173" i="1"/>
  <c r="DT175" i="1"/>
  <c r="DT176" i="1"/>
  <c r="DT177" i="1"/>
  <c r="DT178" i="1"/>
  <c r="DT179" i="1"/>
  <c r="DT180" i="1"/>
  <c r="DT181" i="1"/>
  <c r="DT182" i="1"/>
  <c r="DT183" i="1"/>
  <c r="DT184" i="1"/>
  <c r="DT186" i="1"/>
  <c r="DT187" i="1"/>
  <c r="DT188" i="1"/>
  <c r="DT189" i="1"/>
  <c r="DT190" i="1"/>
  <c r="DT191" i="1"/>
  <c r="DT192" i="1"/>
  <c r="DT193" i="1"/>
  <c r="DT195" i="1"/>
  <c r="DT196" i="1"/>
  <c r="DT197" i="1"/>
  <c r="DT198" i="1"/>
  <c r="DT200" i="1"/>
  <c r="DT201" i="1"/>
  <c r="DT202" i="1"/>
  <c r="DT203" i="1"/>
  <c r="DT204" i="1"/>
  <c r="DT205" i="1"/>
  <c r="DT206" i="1"/>
  <c r="DT207" i="1"/>
  <c r="DT209" i="1"/>
  <c r="DT210" i="1"/>
  <c r="DT211" i="1"/>
  <c r="DT212" i="1"/>
  <c r="DT213" i="1"/>
  <c r="DT214" i="1"/>
  <c r="DT215" i="1"/>
  <c r="DT217" i="1"/>
  <c r="DT218" i="1"/>
  <c r="DT219" i="1"/>
  <c r="DT220" i="1"/>
  <c r="DT221" i="1"/>
  <c r="DT222" i="1"/>
  <c r="DT224" i="1"/>
  <c r="DT225" i="1"/>
  <c r="DT226" i="1"/>
  <c r="DT227" i="1"/>
  <c r="DT228" i="1"/>
  <c r="DT229" i="1"/>
  <c r="DT231" i="1"/>
  <c r="DT232" i="1"/>
  <c r="DT233" i="1"/>
  <c r="DT234" i="1"/>
  <c r="DT235" i="1"/>
  <c r="DT236" i="1"/>
  <c r="DT237" i="1"/>
  <c r="DT238" i="1"/>
  <c r="DT240" i="1"/>
  <c r="DT241" i="1"/>
  <c r="DT242" i="1"/>
  <c r="DT243" i="1"/>
  <c r="DT244" i="1"/>
  <c r="DT245" i="1"/>
  <c r="DT246" i="1"/>
  <c r="DT247" i="1"/>
  <c r="DT249" i="1"/>
  <c r="DT250" i="1"/>
  <c r="DT251" i="1"/>
  <c r="DT252" i="1"/>
  <c r="DT253" i="1"/>
  <c r="DT254" i="1"/>
  <c r="DT255" i="1"/>
  <c r="DT256" i="1"/>
  <c r="DT258" i="1"/>
  <c r="DT259" i="1"/>
  <c r="DT260" i="1"/>
  <c r="DT261" i="1"/>
  <c r="DT262" i="1"/>
  <c r="DT263" i="1"/>
  <c r="DT264" i="1"/>
  <c r="DT265" i="1"/>
  <c r="DT266" i="1"/>
  <c r="DT268" i="1"/>
  <c r="DT269" i="1"/>
  <c r="DT270" i="1"/>
  <c r="DT271" i="1"/>
  <c r="DT272" i="1"/>
  <c r="DT273" i="1"/>
  <c r="DT274" i="1"/>
  <c r="DT275" i="1"/>
  <c r="DT276" i="1"/>
  <c r="DT278" i="1"/>
  <c r="DT279" i="1"/>
  <c r="DT280" i="1"/>
  <c r="DT281" i="1"/>
  <c r="DT282" i="1"/>
  <c r="DT283" i="1"/>
  <c r="DT285" i="1"/>
  <c r="DT286" i="1"/>
  <c r="DT287" i="1"/>
  <c r="DT288" i="1"/>
  <c r="DT291" i="1"/>
  <c r="DT292" i="1"/>
  <c r="DT293" i="1"/>
  <c r="DT294" i="1"/>
  <c r="DT296" i="1"/>
  <c r="DT297" i="1"/>
  <c r="DT298" i="1"/>
  <c r="DT299" i="1"/>
  <c r="DT300" i="1"/>
  <c r="DT301" i="1"/>
  <c r="DT302" i="1"/>
  <c r="DT303" i="1"/>
  <c r="DT305" i="1"/>
  <c r="DT306" i="1"/>
  <c r="DT307" i="1"/>
  <c r="DT308" i="1"/>
  <c r="DT309" i="1"/>
  <c r="DT310" i="1"/>
  <c r="DT311" i="1"/>
  <c r="DT312" i="1"/>
  <c r="DT313" i="1"/>
  <c r="DT314" i="1"/>
  <c r="DT316" i="1"/>
  <c r="DT317" i="1"/>
  <c r="DT318" i="1"/>
  <c r="DT319" i="1"/>
  <c r="DT320" i="1"/>
  <c r="DT321" i="1"/>
  <c r="DT322" i="1"/>
  <c r="DT323" i="1"/>
  <c r="DT324" i="1"/>
  <c r="DT325" i="1"/>
  <c r="DT326" i="1"/>
  <c r="DT327" i="1"/>
  <c r="DT329" i="1"/>
  <c r="DT330" i="1"/>
  <c r="DT332" i="1"/>
  <c r="DT333" i="1"/>
  <c r="DT334" i="1"/>
  <c r="DT335" i="1"/>
  <c r="DT336" i="1"/>
  <c r="DT337" i="1"/>
  <c r="DT338" i="1"/>
  <c r="DT340" i="1"/>
  <c r="DT341" i="1"/>
  <c r="DT342" i="1"/>
  <c r="DT343" i="1"/>
  <c r="DT344" i="1"/>
  <c r="DT345" i="1"/>
  <c r="DT346" i="1"/>
  <c r="DT347" i="1"/>
  <c r="DT348" i="1"/>
  <c r="DT349" i="1"/>
  <c r="DT351" i="1"/>
  <c r="DT352" i="1"/>
  <c r="DT353" i="1"/>
  <c r="DT354" i="1"/>
  <c r="DT355" i="1"/>
  <c r="DT356" i="1"/>
  <c r="DT358" i="1"/>
  <c r="DT359" i="1"/>
  <c r="DT360" i="1"/>
  <c r="DT361" i="1"/>
  <c r="DT362" i="1"/>
  <c r="DT363" i="1"/>
  <c r="DT364" i="1"/>
  <c r="DT365" i="1"/>
  <c r="DT367" i="1"/>
  <c r="DT368" i="1"/>
  <c r="DT369" i="1"/>
  <c r="DT371" i="1"/>
  <c r="DT372" i="1"/>
  <c r="DT373" i="1"/>
  <c r="DT375" i="1"/>
  <c r="DT376" i="1"/>
  <c r="DT378" i="1"/>
  <c r="DT379" i="1"/>
  <c r="DT380" i="1"/>
  <c r="DT381" i="1"/>
  <c r="DT382" i="1"/>
  <c r="DT383" i="1"/>
  <c r="DT385" i="1"/>
  <c r="DT386" i="1"/>
  <c r="DT387" i="1"/>
  <c r="DT388" i="1"/>
  <c r="DT389" i="1"/>
  <c r="DT390" i="1"/>
  <c r="DT391" i="1"/>
  <c r="DT393" i="1"/>
  <c r="DT394" i="1"/>
  <c r="DT395" i="1"/>
  <c r="DT396" i="1"/>
  <c r="DT397" i="1"/>
  <c r="DT398" i="1"/>
  <c r="DT399" i="1"/>
  <c r="DT400" i="1"/>
  <c r="DT401" i="1"/>
  <c r="DT403" i="1"/>
  <c r="DT404" i="1"/>
  <c r="DT405" i="1"/>
  <c r="DT406" i="1"/>
  <c r="DT407" i="1"/>
  <c r="DT408" i="1"/>
  <c r="DT409" i="1"/>
  <c r="DT410" i="1"/>
  <c r="DT411" i="1"/>
  <c r="DT413" i="1"/>
  <c r="DT414" i="1"/>
  <c r="DT415" i="1"/>
  <c r="DT416" i="1"/>
  <c r="DT417" i="1"/>
  <c r="DT418" i="1"/>
  <c r="DT421" i="1"/>
  <c r="DT422" i="1"/>
  <c r="DT423" i="1"/>
  <c r="DT424" i="1"/>
  <c r="DT425" i="1"/>
  <c r="DT426" i="1"/>
  <c r="DT427" i="1"/>
  <c r="DT428" i="1"/>
  <c r="DT430" i="1"/>
  <c r="DT431" i="1"/>
  <c r="DT432" i="1"/>
  <c r="DT433" i="1"/>
  <c r="DT434" i="1"/>
  <c r="DT435" i="1"/>
  <c r="DT436" i="1"/>
  <c r="DT438" i="1"/>
  <c r="DT439" i="1"/>
  <c r="DT440" i="1"/>
  <c r="DT441" i="1"/>
  <c r="DT442" i="1"/>
  <c r="DT443" i="1"/>
  <c r="DT445" i="1"/>
  <c r="DT446" i="1"/>
  <c r="DT447" i="1"/>
  <c r="DT448" i="1"/>
  <c r="DT449" i="1"/>
  <c r="DT450" i="1"/>
  <c r="DT451" i="1"/>
  <c r="DT452" i="1"/>
  <c r="DT454" i="1"/>
  <c r="DT455" i="1"/>
  <c r="DT456" i="1"/>
  <c r="DT457" i="1"/>
  <c r="DT459" i="1"/>
  <c r="DT460" i="1"/>
  <c r="DT461" i="1"/>
  <c r="DT462" i="1"/>
  <c r="DT463" i="1"/>
  <c r="DT464" i="1"/>
  <c r="DT465" i="1"/>
  <c r="DT466" i="1"/>
  <c r="DT468" i="1"/>
  <c r="DT469" i="1"/>
  <c r="DT470" i="1"/>
  <c r="DT471" i="1"/>
  <c r="DT472" i="1"/>
  <c r="DT473" i="1"/>
  <c r="DT474" i="1"/>
  <c r="DT475" i="1"/>
  <c r="DT476" i="1"/>
  <c r="DT478" i="1"/>
  <c r="DT479" i="1"/>
  <c r="DT480" i="1"/>
  <c r="DT481" i="1"/>
  <c r="DT482" i="1"/>
  <c r="DT483" i="1"/>
  <c r="DT485" i="1"/>
  <c r="DT486" i="1"/>
  <c r="DT487" i="1"/>
  <c r="DT488" i="1"/>
  <c r="DT489" i="1"/>
  <c r="DT490" i="1"/>
  <c r="DT491" i="1"/>
  <c r="DT492" i="1"/>
  <c r="DT493" i="1"/>
  <c r="DT496" i="1"/>
  <c r="DT497" i="1"/>
  <c r="DT498" i="1"/>
  <c r="DT499" i="1"/>
  <c r="DT500" i="1"/>
  <c r="DT502" i="1"/>
  <c r="DT503" i="1"/>
  <c r="DT504" i="1"/>
  <c r="DT505" i="1"/>
  <c r="DT506" i="1"/>
  <c r="DT507" i="1"/>
  <c r="DT508" i="1"/>
  <c r="DT510" i="1"/>
  <c r="DT511" i="1"/>
  <c r="DT512" i="1"/>
  <c r="DT514" i="1"/>
  <c r="DT515" i="1"/>
  <c r="DT516" i="1"/>
  <c r="DT517" i="1"/>
  <c r="DT518" i="1"/>
  <c r="DT520" i="1"/>
  <c r="DT521" i="1"/>
  <c r="DT522" i="1"/>
  <c r="DT523" i="1"/>
  <c r="DT524" i="1"/>
  <c r="DT525" i="1"/>
  <c r="DT526" i="1"/>
  <c r="DT527" i="1"/>
  <c r="DT529" i="1"/>
  <c r="DT530" i="1"/>
  <c r="DT531" i="1"/>
  <c r="DT532" i="1"/>
  <c r="DT533" i="1"/>
  <c r="DT534" i="1"/>
  <c r="DT535" i="1"/>
  <c r="DT536" i="1"/>
  <c r="DT538" i="1"/>
  <c r="DT539" i="1"/>
  <c r="DT540" i="1"/>
  <c r="DT541" i="1"/>
  <c r="DT542" i="1"/>
  <c r="DT543" i="1"/>
  <c r="DT544" i="1"/>
  <c r="DT545" i="1"/>
  <c r="DT546" i="1"/>
  <c r="DT548" i="1"/>
  <c r="DT549" i="1"/>
  <c r="DT550" i="1"/>
  <c r="DT551" i="1"/>
  <c r="DT552" i="1"/>
  <c r="DT553" i="1"/>
  <c r="DT554" i="1"/>
  <c r="DT555" i="1"/>
  <c r="DT557" i="1"/>
  <c r="DT558" i="1"/>
  <c r="DT559" i="1"/>
  <c r="DT560" i="1"/>
  <c r="DT561" i="1"/>
  <c r="DT562" i="1"/>
  <c r="DT563" i="1"/>
  <c r="DT564" i="1"/>
  <c r="DT565" i="1"/>
  <c r="DT566" i="1"/>
  <c r="DT567" i="1"/>
  <c r="DT569" i="1"/>
  <c r="DT570" i="1"/>
  <c r="DT572" i="1"/>
  <c r="DT573" i="1"/>
  <c r="DT574" i="1"/>
  <c r="DT576" i="1"/>
  <c r="DT577" i="1"/>
  <c r="DT578" i="1"/>
  <c r="DT579" i="1"/>
  <c r="DT580" i="1"/>
  <c r="DT581" i="1"/>
  <c r="DT583" i="1"/>
  <c r="DT584" i="1"/>
  <c r="DT586" i="1"/>
  <c r="DT587" i="1"/>
  <c r="DT588" i="1"/>
  <c r="DT590" i="1"/>
  <c r="DT591" i="1"/>
  <c r="DT592" i="1"/>
  <c r="DT593" i="1"/>
  <c r="DT594" i="1"/>
  <c r="DT595" i="1"/>
  <c r="DT596" i="1"/>
  <c r="DT597" i="1"/>
  <c r="DT598" i="1"/>
  <c r="DT600" i="1"/>
  <c r="DT601" i="1"/>
  <c r="DT603" i="1"/>
  <c r="DT604" i="1"/>
  <c r="DT605" i="1"/>
  <c r="DT607" i="1"/>
  <c r="DT608" i="1"/>
  <c r="DT609" i="1"/>
  <c r="DT610" i="1"/>
  <c r="DT611" i="1"/>
  <c r="DT612" i="1"/>
  <c r="DT614" i="1"/>
  <c r="DT615" i="1"/>
  <c r="DT617" i="1"/>
  <c r="DT618" i="1"/>
  <c r="DT619" i="1"/>
  <c r="DT620" i="1"/>
  <c r="DT622" i="1"/>
  <c r="DT623" i="1"/>
  <c r="DT624" i="1"/>
  <c r="DT625" i="1"/>
  <c r="DT626" i="1"/>
  <c r="DT628" i="1"/>
  <c r="DT629" i="1"/>
  <c r="DT630" i="1"/>
  <c r="DT631" i="1"/>
  <c r="DT632" i="1"/>
  <c r="DT633" i="1"/>
  <c r="DT634" i="1"/>
  <c r="DT636" i="1"/>
  <c r="DT637" i="1"/>
  <c r="DT638" i="1"/>
  <c r="DT639" i="1"/>
  <c r="DT641" i="1"/>
  <c r="DT643" i="1"/>
  <c r="DT644" i="1"/>
  <c r="DT645" i="1"/>
  <c r="DT647" i="1"/>
  <c r="DT648" i="1"/>
  <c r="DT649" i="1"/>
  <c r="DT650" i="1"/>
  <c r="DT651" i="1"/>
  <c r="DT652" i="1"/>
  <c r="DT654" i="1"/>
  <c r="DT655" i="1"/>
  <c r="DT656" i="1"/>
  <c r="DT657" i="1"/>
  <c r="DT658" i="1"/>
  <c r="DT659" i="1"/>
  <c r="DT660" i="1"/>
  <c r="DT662" i="1"/>
  <c r="DT663" i="1"/>
  <c r="DT665" i="1"/>
  <c r="DT666" i="1"/>
  <c r="DT667" i="1"/>
  <c r="DT669" i="1"/>
  <c r="DT670" i="1"/>
  <c r="DT671" i="1"/>
  <c r="DT672" i="1"/>
  <c r="DT674" i="1"/>
  <c r="DT675" i="1"/>
  <c r="DT676" i="1"/>
  <c r="DT677" i="1"/>
  <c r="DT678" i="1"/>
  <c r="DT679" i="1"/>
  <c r="DT681" i="1"/>
  <c r="DT682" i="1"/>
  <c r="DT683" i="1"/>
  <c r="DT684" i="1"/>
  <c r="DT685" i="1"/>
  <c r="DT686" i="1"/>
  <c r="DT687" i="1"/>
  <c r="DT688" i="1"/>
  <c r="DT689" i="1"/>
  <c r="DT690" i="1"/>
  <c r="DT691" i="1"/>
  <c r="DT693" i="1"/>
  <c r="DT694" i="1"/>
  <c r="DT695" i="1"/>
  <c r="DT696" i="1"/>
  <c r="DT698" i="1"/>
  <c r="DT699" i="1"/>
  <c r="DT702" i="1"/>
  <c r="DT703" i="1"/>
  <c r="DT704" i="1"/>
  <c r="DT706" i="1"/>
  <c r="DT707" i="1"/>
  <c r="DT708" i="1"/>
  <c r="DT709" i="1"/>
  <c r="DT711" i="1"/>
  <c r="DT712" i="1"/>
  <c r="DT713" i="1"/>
  <c r="DT714" i="1"/>
  <c r="DT715" i="1"/>
  <c r="DT716" i="1"/>
  <c r="DT717" i="1"/>
  <c r="DT718" i="1"/>
  <c r="DT720" i="1"/>
  <c r="DT721" i="1"/>
  <c r="DT723" i="1"/>
  <c r="DT724" i="1"/>
  <c r="DT725" i="1"/>
  <c r="DT726" i="1"/>
  <c r="DT729" i="1"/>
  <c r="DT731" i="1"/>
  <c r="DT732" i="1"/>
  <c r="DT733" i="1"/>
  <c r="DT734" i="1"/>
  <c r="DT735" i="1"/>
  <c r="DT736" i="1"/>
  <c r="DT738" i="1"/>
  <c r="DT739" i="1"/>
  <c r="DT740" i="1"/>
  <c r="DT741" i="1"/>
  <c r="DT742" i="1"/>
  <c r="DT743" i="1"/>
  <c r="DT744" i="1"/>
  <c r="DT745" i="1"/>
  <c r="DT748" i="1"/>
  <c r="DT750" i="1"/>
  <c r="DT751" i="1"/>
  <c r="DT752" i="1"/>
  <c r="DT753" i="1"/>
  <c r="DT754" i="1"/>
  <c r="DT755" i="1"/>
  <c r="DT756" i="1"/>
  <c r="DT758" i="1"/>
  <c r="DT760" i="1"/>
  <c r="DT761" i="1"/>
  <c r="DT763" i="1"/>
  <c r="DT764" i="1"/>
  <c r="DT766" i="1"/>
  <c r="DT767" i="1"/>
  <c r="DT768" i="1"/>
  <c r="DT769" i="1"/>
  <c r="DT774" i="1"/>
  <c r="DT775" i="1"/>
  <c r="DT777" i="1"/>
  <c r="DT778" i="1"/>
  <c r="DT779" i="1"/>
  <c r="DT780" i="1"/>
  <c r="DT781" i="1"/>
  <c r="DT782" i="1"/>
  <c r="DT783" i="1"/>
  <c r="DT784" i="1"/>
  <c r="DT785" i="1"/>
  <c r="DT786" i="1"/>
  <c r="DT787" i="1"/>
  <c r="DT789" i="1"/>
  <c r="DT790" i="1"/>
  <c r="DT791" i="1"/>
  <c r="DT793" i="1"/>
  <c r="DT794" i="1"/>
  <c r="DT795" i="1"/>
  <c r="DT796" i="1"/>
  <c r="DT797" i="1"/>
  <c r="DT798" i="1"/>
  <c r="DT800" i="1"/>
  <c r="DT801" i="1"/>
  <c r="DT802" i="1"/>
  <c r="DT803" i="1"/>
  <c r="DT804" i="1"/>
  <c r="DT805" i="1"/>
  <c r="DT806" i="1"/>
  <c r="DT807" i="1"/>
  <c r="DT808" i="1"/>
  <c r="DT810" i="1"/>
  <c r="DT811" i="1"/>
  <c r="DT812" i="1"/>
  <c r="DT813" i="1"/>
  <c r="DT814" i="1"/>
  <c r="DT815" i="1"/>
  <c r="DT816" i="1"/>
  <c r="DT818" i="1"/>
  <c r="DT819" i="1"/>
  <c r="DT820" i="1"/>
  <c r="DT822" i="1"/>
  <c r="DT823" i="1"/>
  <c r="DT824" i="1"/>
  <c r="DT825" i="1"/>
  <c r="DT826" i="1"/>
  <c r="DT827" i="1"/>
  <c r="DT829" i="1"/>
  <c r="DT830" i="1"/>
  <c r="DT831" i="1"/>
  <c r="DT832" i="1"/>
  <c r="DT834" i="1"/>
  <c r="DT835" i="1"/>
  <c r="DT836" i="1"/>
  <c r="DT838" i="1"/>
  <c r="DT839" i="1"/>
  <c r="DT840" i="1"/>
  <c r="DT841" i="1"/>
  <c r="DT842" i="1"/>
  <c r="DT843" i="1"/>
  <c r="DT845" i="1"/>
  <c r="DT846" i="1"/>
  <c r="DT847" i="1"/>
  <c r="DT848" i="1"/>
  <c r="DT849" i="1"/>
  <c r="DT850" i="1"/>
  <c r="DT852" i="1"/>
  <c r="DT854" i="1"/>
  <c r="DT855" i="1"/>
  <c r="DT856" i="1"/>
  <c r="DT857" i="1"/>
  <c r="DT859" i="1"/>
  <c r="DT860" i="1"/>
  <c r="DT862" i="1"/>
  <c r="DT863" i="1"/>
  <c r="DT864" i="1"/>
  <c r="DT865" i="1"/>
  <c r="DT866" i="1"/>
  <c r="DT867" i="1"/>
  <c r="DT868" i="1"/>
  <c r="DT869" i="1"/>
  <c r="DT870" i="1"/>
  <c r="DT872" i="1"/>
  <c r="DT873" i="1"/>
  <c r="DT874" i="1"/>
  <c r="DT875" i="1"/>
  <c r="DT876" i="1"/>
  <c r="DT877" i="1"/>
  <c r="DT878" i="1"/>
  <c r="DT879" i="1"/>
  <c r="DT880" i="1"/>
  <c r="DT881" i="1"/>
  <c r="DT884" i="1"/>
  <c r="DT886" i="1"/>
  <c r="DT887" i="1"/>
  <c r="DT888" i="1"/>
  <c r="DT889" i="1"/>
  <c r="DT890" i="1"/>
  <c r="DT891" i="1"/>
  <c r="DT892" i="1"/>
  <c r="DT893" i="1"/>
  <c r="DT894" i="1"/>
  <c r="DT895" i="1"/>
  <c r="DT897" i="1"/>
  <c r="DT898" i="1"/>
  <c r="DT899" i="1"/>
  <c r="DT900" i="1"/>
  <c r="DT901" i="1"/>
  <c r="DT902" i="1"/>
  <c r="DT904" i="1"/>
  <c r="DT905" i="1"/>
  <c r="DT906" i="1"/>
  <c r="DT908" i="1"/>
  <c r="DT909" i="1"/>
  <c r="DT910" i="1"/>
  <c r="DT911" i="1"/>
  <c r="DT912" i="1"/>
  <c r="DT913" i="1"/>
  <c r="DT916" i="1"/>
  <c r="DT917" i="1"/>
  <c r="DT918" i="1"/>
  <c r="DT919" i="1"/>
  <c r="DT920" i="1"/>
  <c r="DT921" i="1"/>
  <c r="DT922" i="1"/>
  <c r="DT923" i="1"/>
  <c r="DT924" i="1"/>
  <c r="DT925" i="1"/>
  <c r="DT927" i="1"/>
  <c r="DT928" i="1"/>
  <c r="DT929" i="1"/>
  <c r="DT930" i="1"/>
  <c r="DT931" i="1"/>
  <c r="DT932" i="1"/>
  <c r="DT933" i="1"/>
  <c r="DT935" i="1"/>
  <c r="DT936" i="1"/>
  <c r="DT937" i="1"/>
  <c r="DT938" i="1"/>
  <c r="DT939" i="1"/>
  <c r="DT940" i="1"/>
  <c r="DT941" i="1"/>
  <c r="DT943" i="1"/>
  <c r="DT944" i="1"/>
  <c r="DT945" i="1"/>
  <c r="DT947" i="1"/>
  <c r="DT948" i="1"/>
  <c r="DT950" i="1"/>
  <c r="DT951" i="1"/>
  <c r="DT952" i="1"/>
  <c r="DT953" i="1"/>
  <c r="DT954" i="1"/>
  <c r="DT955" i="1"/>
  <c r="DT956" i="1"/>
  <c r="DT957" i="1"/>
  <c r="DT958" i="1"/>
  <c r="DT960" i="1"/>
  <c r="DT961" i="1"/>
  <c r="DT962" i="1"/>
  <c r="DT963" i="1"/>
  <c r="DT964" i="1"/>
  <c r="DT965" i="1"/>
  <c r="DT966" i="1"/>
  <c r="DT967" i="1"/>
  <c r="DT969" i="1"/>
  <c r="DT970" i="1"/>
  <c r="DT971" i="1"/>
  <c r="DT972" i="1"/>
  <c r="DT973" i="1"/>
  <c r="DT974" i="1"/>
  <c r="DT975" i="1"/>
  <c r="DT977" i="1"/>
  <c r="DT978" i="1"/>
  <c r="DT979" i="1"/>
  <c r="DT980" i="1"/>
  <c r="DT981" i="1"/>
  <c r="DT983" i="1"/>
  <c r="DT985" i="1"/>
  <c r="DT986" i="1"/>
  <c r="DT987" i="1"/>
  <c r="DT989" i="1"/>
  <c r="DT990" i="1"/>
  <c r="DT991" i="1"/>
  <c r="DT992" i="1"/>
  <c r="DT993" i="1"/>
  <c r="DT994" i="1"/>
  <c r="DT996" i="1"/>
  <c r="DT997" i="1"/>
  <c r="DT998" i="1"/>
  <c r="DT999" i="1"/>
  <c r="DT1000" i="1"/>
  <c r="DT1001" i="1"/>
  <c r="DT1002" i="1"/>
  <c r="DT1003" i="1"/>
  <c r="DT1005" i="1"/>
  <c r="DT1006" i="1"/>
  <c r="DT1007" i="1"/>
  <c r="DT1008" i="1"/>
  <c r="DT1009" i="1"/>
  <c r="DT1010" i="1"/>
  <c r="DT1011" i="1"/>
  <c r="DT1013" i="1"/>
  <c r="DT1014" i="1"/>
  <c r="DT1015" i="1"/>
  <c r="DT1016" i="1"/>
  <c r="DT1017" i="1"/>
  <c r="DT1018" i="1"/>
  <c r="DT1019" i="1"/>
  <c r="DT1020" i="1"/>
  <c r="DT1021" i="1"/>
  <c r="DT1022" i="1"/>
  <c r="DT1023" i="1"/>
  <c r="DT1025" i="1"/>
  <c r="DT1026" i="1"/>
  <c r="DT1027" i="1"/>
  <c r="DT1028" i="1"/>
  <c r="DT1029" i="1"/>
  <c r="DT1030" i="1"/>
  <c r="DT1031" i="1"/>
  <c r="DT1032" i="1"/>
  <c r="DT1033" i="1"/>
  <c r="DT1036" i="1"/>
  <c r="DT1037" i="1"/>
  <c r="DT1038" i="1"/>
  <c r="DT1039" i="1"/>
  <c r="DT1040" i="1"/>
  <c r="DT1041" i="1"/>
  <c r="DT1042" i="1"/>
  <c r="DT1043" i="1"/>
  <c r="DT1044" i="1"/>
  <c r="DT1046" i="1"/>
  <c r="DT1047" i="1"/>
  <c r="DT1048" i="1"/>
  <c r="DT1051" i="1"/>
  <c r="DT1053" i="1"/>
  <c r="DT1054" i="1"/>
  <c r="DT1055" i="1"/>
  <c r="DT1056" i="1"/>
  <c r="DT1057" i="1"/>
  <c r="DT1059" i="1"/>
  <c r="DT1060" i="1"/>
  <c r="DT1061" i="1"/>
  <c r="DT1062" i="1"/>
  <c r="DT1063" i="1"/>
  <c r="DT1064" i="1"/>
  <c r="DT1066" i="1"/>
  <c r="DT1067" i="1"/>
  <c r="DT1068" i="1"/>
  <c r="DT1069" i="1"/>
  <c r="DT1070" i="1"/>
  <c r="DT1071" i="1"/>
  <c r="DT1072" i="1"/>
  <c r="DT1073" i="1"/>
  <c r="DT1075" i="1"/>
  <c r="DT1076" i="1"/>
  <c r="DT1077" i="1"/>
  <c r="DT1079" i="1"/>
  <c r="DT1080" i="1"/>
  <c r="DT1081" i="1"/>
  <c r="DT1082" i="1"/>
  <c r="DT1083" i="1"/>
  <c r="DT1084" i="1"/>
  <c r="DT1086" i="1"/>
  <c r="DT1087" i="1"/>
  <c r="DT1088" i="1"/>
  <c r="DT1089" i="1"/>
  <c r="DT1090" i="1"/>
  <c r="DT1091" i="1"/>
  <c r="DT1092" i="1"/>
  <c r="DT1093" i="1"/>
  <c r="DT1094" i="1"/>
  <c r="DT1096" i="1"/>
  <c r="DT1097" i="1"/>
  <c r="DT1098" i="1"/>
  <c r="DT1099" i="1"/>
  <c r="DT1100" i="1"/>
  <c r="DT1101" i="1"/>
  <c r="DT1102" i="1"/>
  <c r="DT1103" i="1"/>
  <c r="DT1104" i="1"/>
  <c r="DT1105" i="1"/>
  <c r="DT1106" i="1"/>
  <c r="DT1108" i="1"/>
  <c r="DT1109" i="1"/>
  <c r="DT1110" i="1"/>
  <c r="DT1111" i="1"/>
  <c r="DT1112" i="1"/>
  <c r="DT1113" i="1"/>
  <c r="DT1115" i="1"/>
  <c r="DT1116" i="1"/>
  <c r="DT1117" i="1"/>
  <c r="DT1118" i="1"/>
  <c r="DT1120" i="1"/>
  <c r="DT1122" i="1"/>
  <c r="DT1123" i="1"/>
  <c r="DT1124" i="1"/>
  <c r="DT1126" i="1"/>
  <c r="DT1127" i="1"/>
  <c r="DT1128" i="1"/>
  <c r="DT1129" i="1"/>
  <c r="DT1130" i="1"/>
  <c r="DT1132" i="1"/>
  <c r="DT1133" i="1"/>
  <c r="DT1135" i="1"/>
  <c r="DT1136" i="1"/>
  <c r="DT1137" i="1"/>
  <c r="DT1138" i="1"/>
  <c r="DT1139" i="1"/>
  <c r="DT1140" i="1"/>
  <c r="DT1142" i="1"/>
  <c r="DT1143" i="1"/>
  <c r="DT1144" i="1"/>
  <c r="DT1145" i="1"/>
  <c r="DT1146" i="1"/>
  <c r="DT1147" i="1"/>
  <c r="DT1148" i="1"/>
  <c r="DT1149" i="1"/>
  <c r="DT1150" i="1"/>
  <c r="DT1152" i="1"/>
  <c r="DT1153" i="1"/>
  <c r="DT1154" i="1"/>
  <c r="DT1155" i="1"/>
  <c r="DT1157" i="1"/>
  <c r="DT1158" i="1"/>
  <c r="DT1159" i="1"/>
  <c r="DT1160" i="1"/>
  <c r="DT1161" i="1"/>
  <c r="DT1162" i="1"/>
  <c r="DT1163" i="1"/>
  <c r="DT1164" i="1"/>
  <c r="DT1165" i="1"/>
  <c r="DT1168" i="1"/>
  <c r="DT1169" i="1"/>
  <c r="DT1170" i="1"/>
  <c r="DT1172" i="1"/>
  <c r="DT1173" i="1"/>
  <c r="DT1174" i="1"/>
  <c r="DT1175" i="1"/>
  <c r="DT1177" i="1"/>
  <c r="DT1178" i="1"/>
  <c r="DT1179" i="1"/>
  <c r="DT1180" i="1"/>
  <c r="DT1181" i="1"/>
  <c r="DT1182" i="1"/>
  <c r="DT1183" i="1"/>
  <c r="DT1185" i="1"/>
  <c r="DT1186" i="1"/>
  <c r="DT1187" i="1"/>
  <c r="DT1188" i="1"/>
  <c r="DT1189" i="1"/>
  <c r="DT1190" i="1"/>
  <c r="DT1192" i="1"/>
  <c r="DT1194" i="1"/>
  <c r="DT1195" i="1"/>
  <c r="DT1196" i="1"/>
  <c r="DT1199" i="1"/>
  <c r="DT1201" i="1"/>
  <c r="DT1202" i="1"/>
  <c r="DT1203" i="1"/>
  <c r="DT1204" i="1"/>
  <c r="DT1205" i="1"/>
  <c r="DT1206" i="1"/>
  <c r="DT1207" i="1"/>
  <c r="DT1209" i="1"/>
  <c r="DT1210" i="1"/>
  <c r="DT1211" i="1"/>
  <c r="DT1212" i="1"/>
  <c r="DT1213" i="1"/>
  <c r="DT1214" i="1"/>
  <c r="DT1215" i="1"/>
  <c r="DT1216" i="1"/>
  <c r="DT1217" i="1"/>
  <c r="DT1219" i="1"/>
  <c r="DT1220" i="1"/>
  <c r="DT1222" i="1"/>
  <c r="DT1223" i="1"/>
  <c r="DT1224" i="1"/>
  <c r="DT1225" i="1"/>
  <c r="DT1226" i="1"/>
  <c r="DT1227" i="1"/>
  <c r="DT1229" i="1"/>
  <c r="DT1230" i="1"/>
  <c r="DT1231" i="1"/>
  <c r="DT1232" i="1"/>
  <c r="DT1233" i="1"/>
  <c r="DT1234" i="1"/>
  <c r="DT1235" i="1"/>
  <c r="DT1236" i="1"/>
  <c r="DT1238" i="1"/>
  <c r="DT1240" i="1"/>
  <c r="DT1241" i="1"/>
  <c r="DT1242" i="1"/>
  <c r="DT1244" i="1"/>
  <c r="DT1245" i="1"/>
  <c r="DT1246" i="1"/>
  <c r="DT1247" i="1"/>
  <c r="DT1248" i="1"/>
  <c r="DT1250" i="1"/>
  <c r="DT1251" i="1"/>
  <c r="DT1252" i="1"/>
  <c r="DT1253" i="1"/>
  <c r="DT1254" i="1"/>
  <c r="DT1255" i="1"/>
  <c r="DT1256" i="1"/>
  <c r="DT1257" i="1"/>
  <c r="DT1258" i="1"/>
  <c r="DT1259" i="1"/>
  <c r="DT1261" i="1"/>
  <c r="DT1262" i="1"/>
  <c r="DT1263" i="1"/>
  <c r="DT1265" i="1"/>
  <c r="DT1266" i="1"/>
  <c r="DT1267" i="1"/>
  <c r="DT1268" i="1"/>
  <c r="DT1272" i="1"/>
  <c r="DT1274" i="1"/>
  <c r="DT1275" i="1"/>
  <c r="DT1276" i="1"/>
  <c r="DT1277" i="1"/>
  <c r="DT1278" i="1"/>
  <c r="DT1279" i="1"/>
  <c r="DT1280" i="1"/>
  <c r="DT1282" i="1"/>
  <c r="DT1283" i="1"/>
  <c r="DT1284" i="1"/>
  <c r="DT1285" i="1"/>
  <c r="DT1286" i="1"/>
  <c r="DT1287" i="1"/>
  <c r="DT1288" i="1"/>
  <c r="DT1289" i="1"/>
  <c r="DT1291" i="1"/>
  <c r="DT1292" i="1"/>
  <c r="DT1293" i="1"/>
  <c r="DT1294" i="1"/>
  <c r="DT1295" i="1"/>
  <c r="DT1296" i="1"/>
  <c r="DT1297" i="1"/>
  <c r="DT1298" i="1"/>
  <c r="DT1299" i="1"/>
  <c r="DT1300" i="1"/>
  <c r="DT1301" i="1"/>
  <c r="DT1303" i="1"/>
  <c r="DT1304" i="1"/>
  <c r="DT1305" i="1"/>
  <c r="DT1306" i="1"/>
  <c r="DT1307" i="1"/>
  <c r="DT1308" i="1"/>
  <c r="DT1309" i="1"/>
  <c r="DT1310" i="1"/>
  <c r="DT1311" i="1"/>
  <c r="DT1312" i="1"/>
  <c r="DT1313" i="1"/>
  <c r="DU67" i="1"/>
  <c r="DU68" i="1"/>
  <c r="DU69" i="1"/>
  <c r="DU70" i="1"/>
  <c r="DU71" i="1"/>
  <c r="DU72" i="1"/>
  <c r="DU73" i="1"/>
  <c r="DU74" i="1"/>
  <c r="DU76" i="1"/>
  <c r="DU77" i="1"/>
  <c r="DU78" i="1"/>
  <c r="DU79" i="1"/>
  <c r="DU80" i="1"/>
  <c r="DU81" i="1"/>
  <c r="DU82" i="1"/>
  <c r="DU84" i="1"/>
  <c r="DU85" i="1"/>
  <c r="DU86" i="1"/>
  <c r="DU87" i="1"/>
  <c r="DU88" i="1"/>
  <c r="DU89" i="1"/>
  <c r="DU90" i="1"/>
  <c r="DU92" i="1"/>
  <c r="DU93" i="1"/>
  <c r="DU94" i="1"/>
  <c r="DU95" i="1"/>
  <c r="DU96" i="1"/>
  <c r="DU97" i="1"/>
  <c r="DU98" i="1"/>
  <c r="DU101" i="1"/>
  <c r="DU104" i="1"/>
  <c r="DU105" i="1"/>
  <c r="DU106" i="1"/>
  <c r="DU107" i="1"/>
  <c r="DU108" i="1"/>
  <c r="DU109" i="1"/>
  <c r="DU112" i="1"/>
  <c r="DU113" i="1"/>
  <c r="DU114" i="1"/>
  <c r="DU115" i="1"/>
  <c r="DU116" i="1"/>
  <c r="DU117" i="1"/>
  <c r="DU118" i="1"/>
  <c r="DU119" i="1"/>
  <c r="DU120" i="1"/>
  <c r="DU122" i="1"/>
  <c r="DU124" i="1"/>
  <c r="DU125" i="1"/>
  <c r="DU126" i="1"/>
  <c r="DU129" i="1"/>
  <c r="DU131" i="1"/>
  <c r="DU132" i="1"/>
  <c r="DU133" i="1"/>
  <c r="DU136" i="1"/>
  <c r="DU138" i="1"/>
  <c r="DU139" i="1"/>
  <c r="DU140" i="1"/>
  <c r="DU141" i="1"/>
  <c r="DU142" i="1"/>
  <c r="DU144" i="1"/>
  <c r="DU145" i="1"/>
  <c r="DU146" i="1"/>
  <c r="DU147" i="1"/>
  <c r="DU148" i="1"/>
  <c r="DU149" i="1"/>
  <c r="DU151" i="1"/>
  <c r="DU152" i="1"/>
  <c r="DU153" i="1"/>
  <c r="DU154" i="1"/>
  <c r="DU155" i="1"/>
  <c r="DU156" i="1"/>
  <c r="DU157" i="1"/>
  <c r="DU158" i="1"/>
  <c r="DU160" i="1"/>
  <c r="DU161" i="1"/>
  <c r="DU162" i="1"/>
  <c r="DU163" i="1"/>
  <c r="DU165" i="1"/>
  <c r="DU166" i="1"/>
  <c r="DU167" i="1"/>
  <c r="DU168" i="1"/>
  <c r="DU169" i="1"/>
  <c r="DU170" i="1"/>
  <c r="DU172" i="1"/>
  <c r="DU173" i="1"/>
  <c r="DU175" i="1"/>
  <c r="DU176" i="1"/>
  <c r="DU177" i="1"/>
  <c r="DU178" i="1"/>
  <c r="DU179" i="1"/>
  <c r="DU180" i="1"/>
  <c r="DU181" i="1"/>
  <c r="DU182" i="1"/>
  <c r="DU183" i="1"/>
  <c r="DU184" i="1"/>
  <c r="DU186" i="1"/>
  <c r="DU187" i="1"/>
  <c r="DU188" i="1"/>
  <c r="DU189" i="1"/>
  <c r="DU190" i="1"/>
  <c r="DU191" i="1"/>
  <c r="DU192" i="1"/>
  <c r="DU193" i="1"/>
  <c r="DU195" i="1"/>
  <c r="DU196" i="1"/>
  <c r="DU197" i="1"/>
  <c r="DU198" i="1"/>
  <c r="DU200" i="1"/>
  <c r="DU201" i="1"/>
  <c r="DU202" i="1"/>
  <c r="DU203" i="1"/>
  <c r="DU204" i="1"/>
  <c r="DU205" i="1"/>
  <c r="DU206" i="1"/>
  <c r="DU207" i="1"/>
  <c r="DU209" i="1"/>
  <c r="DU210" i="1"/>
  <c r="DU211" i="1"/>
  <c r="DU212" i="1"/>
  <c r="DU213" i="1"/>
  <c r="DU214" i="1"/>
  <c r="DU215" i="1"/>
  <c r="DU217" i="1"/>
  <c r="DU218" i="1"/>
  <c r="DU219" i="1"/>
  <c r="DU220" i="1"/>
  <c r="DU221" i="1"/>
  <c r="DU222" i="1"/>
  <c r="DU224" i="1"/>
  <c r="DU225" i="1"/>
  <c r="DU226" i="1"/>
  <c r="DU227" i="1"/>
  <c r="DU228" i="1"/>
  <c r="DU229" i="1"/>
  <c r="DU231" i="1"/>
  <c r="DU232" i="1"/>
  <c r="DU233" i="1"/>
  <c r="DU234" i="1"/>
  <c r="DU235" i="1"/>
  <c r="DU236" i="1"/>
  <c r="DU237" i="1"/>
  <c r="DU238" i="1"/>
  <c r="DU240" i="1"/>
  <c r="DU241" i="1"/>
  <c r="DU242" i="1"/>
  <c r="DU243" i="1"/>
  <c r="DU244" i="1"/>
  <c r="DU245" i="1"/>
  <c r="DU246" i="1"/>
  <c r="DU247" i="1"/>
  <c r="DU249" i="1"/>
  <c r="DU250" i="1"/>
  <c r="DU251" i="1"/>
  <c r="DU252" i="1"/>
  <c r="DU253" i="1"/>
  <c r="DU254" i="1"/>
  <c r="DU255" i="1"/>
  <c r="DU256" i="1"/>
  <c r="DU258" i="1"/>
  <c r="DU259" i="1"/>
  <c r="DU260" i="1"/>
  <c r="DU261" i="1"/>
  <c r="DU262" i="1"/>
  <c r="DU263" i="1"/>
  <c r="DU264" i="1"/>
  <c r="DU265" i="1"/>
  <c r="DU266" i="1"/>
  <c r="DU268" i="1"/>
  <c r="DU269" i="1"/>
  <c r="DU270" i="1"/>
  <c r="DU271" i="1"/>
  <c r="DU272" i="1"/>
  <c r="DU273" i="1"/>
  <c r="DU274" i="1"/>
  <c r="DU275" i="1"/>
  <c r="DU276" i="1"/>
  <c r="DU278" i="1"/>
  <c r="DU279" i="1"/>
  <c r="DU280" i="1"/>
  <c r="DU281" i="1"/>
  <c r="DU282" i="1"/>
  <c r="DU283" i="1"/>
  <c r="DU285" i="1"/>
  <c r="DU286" i="1"/>
  <c r="DU287" i="1"/>
  <c r="DU288" i="1"/>
  <c r="DU291" i="1"/>
  <c r="DU292" i="1"/>
  <c r="DU293" i="1"/>
  <c r="DU294" i="1"/>
  <c r="DU296" i="1"/>
  <c r="DU297" i="1"/>
  <c r="DU298" i="1"/>
  <c r="DU299" i="1"/>
  <c r="DU300" i="1"/>
  <c r="DU301" i="1"/>
  <c r="DU302" i="1"/>
  <c r="DU303" i="1"/>
  <c r="DU305" i="1"/>
  <c r="DU306" i="1"/>
  <c r="DU307" i="1"/>
  <c r="DU308" i="1"/>
  <c r="DU309" i="1"/>
  <c r="DU310" i="1"/>
  <c r="DU311" i="1"/>
  <c r="DU312" i="1"/>
  <c r="DU313" i="1"/>
  <c r="DU314" i="1"/>
  <c r="DU316" i="1"/>
  <c r="DU317" i="1"/>
  <c r="DU318" i="1"/>
  <c r="DU319" i="1"/>
  <c r="DU320" i="1"/>
  <c r="DU321" i="1"/>
  <c r="DU322" i="1"/>
  <c r="DU323" i="1"/>
  <c r="DU324" i="1"/>
  <c r="DU325" i="1"/>
  <c r="DU326" i="1"/>
  <c r="DU327" i="1"/>
  <c r="DU329" i="1"/>
  <c r="DU330" i="1"/>
  <c r="DU332" i="1"/>
  <c r="DU333" i="1"/>
  <c r="DU334" i="1"/>
  <c r="DU335" i="1"/>
  <c r="DU336" i="1"/>
  <c r="DU337" i="1"/>
  <c r="DU338" i="1"/>
  <c r="DU340" i="1"/>
  <c r="DU341" i="1"/>
  <c r="DU342" i="1"/>
  <c r="DU343" i="1"/>
  <c r="DU344" i="1"/>
  <c r="DU345" i="1"/>
  <c r="DU346" i="1"/>
  <c r="DU347" i="1"/>
  <c r="DU348" i="1"/>
  <c r="DU349" i="1"/>
  <c r="DU351" i="1"/>
  <c r="DU352" i="1"/>
  <c r="DU353" i="1"/>
  <c r="DU354" i="1"/>
  <c r="DU355" i="1"/>
  <c r="DU356" i="1"/>
  <c r="DU358" i="1"/>
  <c r="DU359" i="1"/>
  <c r="DU360" i="1"/>
  <c r="DU361" i="1"/>
  <c r="DU362" i="1"/>
  <c r="DU363" i="1"/>
  <c r="DU364" i="1"/>
  <c r="DU365" i="1"/>
  <c r="DU367" i="1"/>
  <c r="DU368" i="1"/>
  <c r="DU369" i="1"/>
  <c r="DU371" i="1"/>
  <c r="DU372" i="1"/>
  <c r="DU373" i="1"/>
  <c r="DU375" i="1"/>
  <c r="DU376" i="1"/>
  <c r="DU378" i="1"/>
  <c r="DU379" i="1"/>
  <c r="DU380" i="1"/>
  <c r="DU381" i="1"/>
  <c r="DU382" i="1"/>
  <c r="DU383" i="1"/>
  <c r="DU385" i="1"/>
  <c r="DU386" i="1"/>
  <c r="DU387" i="1"/>
  <c r="DU388" i="1"/>
  <c r="DU389" i="1"/>
  <c r="DU390" i="1"/>
  <c r="DU391" i="1"/>
  <c r="DU393" i="1"/>
  <c r="DU394" i="1"/>
  <c r="DU395" i="1"/>
  <c r="DU396" i="1"/>
  <c r="DU397" i="1"/>
  <c r="DU398" i="1"/>
  <c r="DU399" i="1"/>
  <c r="DU400" i="1"/>
  <c r="DU401" i="1"/>
  <c r="DU403" i="1"/>
  <c r="DU404" i="1"/>
  <c r="DU405" i="1"/>
  <c r="DU406" i="1"/>
  <c r="DU407" i="1"/>
  <c r="DU408" i="1"/>
  <c r="DU409" i="1"/>
  <c r="DU410" i="1"/>
  <c r="DU411" i="1"/>
  <c r="DU413" i="1"/>
  <c r="DU414" i="1"/>
  <c r="DU415" i="1"/>
  <c r="DU416" i="1"/>
  <c r="DU417" i="1"/>
  <c r="DU418" i="1"/>
  <c r="DU421" i="1"/>
  <c r="DU422" i="1"/>
  <c r="DU423" i="1"/>
  <c r="DU424" i="1"/>
  <c r="DU425" i="1"/>
  <c r="DU426" i="1"/>
  <c r="DU427" i="1"/>
  <c r="DU428" i="1"/>
  <c r="DU430" i="1"/>
  <c r="DU431" i="1"/>
  <c r="DU432" i="1"/>
  <c r="DU433" i="1"/>
  <c r="DU434" i="1"/>
  <c r="DU435" i="1"/>
  <c r="DU436" i="1"/>
  <c r="DU439" i="1"/>
  <c r="DU440" i="1"/>
  <c r="DU441" i="1"/>
  <c r="DU442" i="1"/>
  <c r="DU443" i="1"/>
  <c r="DU445" i="1"/>
  <c r="DU446" i="1"/>
  <c r="DU447" i="1"/>
  <c r="DU448" i="1"/>
  <c r="DU449" i="1"/>
  <c r="DU450" i="1"/>
  <c r="DU451" i="1"/>
  <c r="DU452" i="1"/>
  <c r="DU454" i="1"/>
  <c r="DU455" i="1"/>
  <c r="DU456" i="1"/>
  <c r="DU457" i="1"/>
  <c r="DU459" i="1"/>
  <c r="DU460" i="1"/>
  <c r="DU461" i="1"/>
  <c r="DU462" i="1"/>
  <c r="DU463" i="1"/>
  <c r="DU464" i="1"/>
  <c r="DU465" i="1"/>
  <c r="DU466" i="1"/>
  <c r="DU468" i="1"/>
  <c r="DU469" i="1"/>
  <c r="DU470" i="1"/>
  <c r="DU471" i="1"/>
  <c r="DU472" i="1"/>
  <c r="DU473" i="1"/>
  <c r="DU474" i="1"/>
  <c r="DU475" i="1"/>
  <c r="DU476" i="1"/>
  <c r="DU478" i="1"/>
  <c r="DU479" i="1"/>
  <c r="DU480" i="1"/>
  <c r="DU481" i="1"/>
  <c r="DU482" i="1"/>
  <c r="DU483" i="1"/>
  <c r="DU485" i="1"/>
  <c r="DU486" i="1"/>
  <c r="DU487" i="1"/>
  <c r="DU488" i="1"/>
  <c r="DU489" i="1"/>
  <c r="DU490" i="1"/>
  <c r="DU491" i="1"/>
  <c r="DU492" i="1"/>
  <c r="DU493" i="1"/>
  <c r="DU495" i="1"/>
  <c r="DU496" i="1"/>
  <c r="DU497" i="1"/>
  <c r="DU498" i="1"/>
  <c r="DU499" i="1"/>
  <c r="DU500" i="1"/>
  <c r="DU502" i="1"/>
  <c r="DU503" i="1"/>
  <c r="DU504" i="1"/>
  <c r="DU505" i="1"/>
  <c r="DU506" i="1"/>
  <c r="DU507" i="1"/>
  <c r="DU508" i="1"/>
  <c r="DU510" i="1"/>
  <c r="DU511" i="1"/>
  <c r="DU512" i="1"/>
  <c r="DU514" i="1"/>
  <c r="DU515" i="1"/>
  <c r="DU516" i="1"/>
  <c r="DU517" i="1"/>
  <c r="DU518" i="1"/>
  <c r="DU520" i="1"/>
  <c r="DU521" i="1"/>
  <c r="DU522" i="1"/>
  <c r="DU523" i="1"/>
  <c r="DU524" i="1"/>
  <c r="DU525" i="1"/>
  <c r="DU526" i="1"/>
  <c r="DU527" i="1"/>
  <c r="DU529" i="1"/>
  <c r="DU530" i="1"/>
  <c r="DU531" i="1"/>
  <c r="DU532" i="1"/>
  <c r="DU533" i="1"/>
  <c r="DU534" i="1"/>
  <c r="DU535" i="1"/>
  <c r="DU536" i="1"/>
  <c r="DU538" i="1"/>
  <c r="DU539" i="1"/>
  <c r="DU540" i="1"/>
  <c r="DU541" i="1"/>
  <c r="DU542" i="1"/>
  <c r="DU543" i="1"/>
  <c r="DU544" i="1"/>
  <c r="DU545" i="1"/>
  <c r="DU546" i="1"/>
  <c r="DU548" i="1"/>
  <c r="DU549" i="1"/>
  <c r="DU550" i="1"/>
  <c r="DU551" i="1"/>
  <c r="DU552" i="1"/>
  <c r="DU553" i="1"/>
  <c r="DU554" i="1"/>
  <c r="DU555" i="1"/>
  <c r="DU557" i="1"/>
  <c r="DU558" i="1"/>
  <c r="DU559" i="1"/>
  <c r="DU560" i="1"/>
  <c r="DU561" i="1"/>
  <c r="DU562" i="1"/>
  <c r="DU563" i="1"/>
  <c r="DU564" i="1"/>
  <c r="DU565" i="1"/>
  <c r="DU566" i="1"/>
  <c r="DU567" i="1"/>
  <c r="DU569" i="1"/>
  <c r="DU570" i="1"/>
  <c r="DU572" i="1"/>
  <c r="DU573" i="1"/>
  <c r="DU574" i="1"/>
  <c r="DU577" i="1"/>
  <c r="DU578" i="1"/>
  <c r="DU579" i="1"/>
  <c r="DU580" i="1"/>
  <c r="DU581" i="1"/>
  <c r="DU583" i="1"/>
  <c r="DU584" i="1"/>
  <c r="DU586" i="1"/>
  <c r="DU587" i="1"/>
  <c r="DU588" i="1"/>
  <c r="DU590" i="1"/>
  <c r="DU591" i="1"/>
  <c r="DU592" i="1"/>
  <c r="DU593" i="1"/>
  <c r="DU594" i="1"/>
  <c r="DU595" i="1"/>
  <c r="DU596" i="1"/>
  <c r="DU597" i="1"/>
  <c r="DU598" i="1"/>
  <c r="DU600" i="1"/>
  <c r="DU601" i="1"/>
  <c r="DU603" i="1"/>
  <c r="DU604" i="1"/>
  <c r="DU605" i="1"/>
  <c r="DU607" i="1"/>
  <c r="DU608" i="1"/>
  <c r="DU609" i="1"/>
  <c r="DU610" i="1"/>
  <c r="DU611" i="1"/>
  <c r="DU612" i="1"/>
  <c r="DU614" i="1"/>
  <c r="DU615" i="1"/>
  <c r="DU617" i="1"/>
  <c r="DU618" i="1"/>
  <c r="DU619" i="1"/>
  <c r="DU620" i="1"/>
  <c r="DU622" i="1"/>
  <c r="DU623" i="1"/>
  <c r="DU624" i="1"/>
  <c r="DU625" i="1"/>
  <c r="DU626" i="1"/>
  <c r="DU628" i="1"/>
  <c r="DU629" i="1"/>
  <c r="DU630" i="1"/>
  <c r="DU631" i="1"/>
  <c r="DU632" i="1"/>
  <c r="DU633" i="1"/>
  <c r="DU634" i="1"/>
  <c r="DU636" i="1"/>
  <c r="DU637" i="1"/>
  <c r="DU638" i="1"/>
  <c r="DU639" i="1"/>
  <c r="DU641" i="1"/>
  <c r="DU643" i="1"/>
  <c r="DU644" i="1"/>
  <c r="DU645" i="1"/>
  <c r="DU647" i="1"/>
  <c r="DU648" i="1"/>
  <c r="DU649" i="1"/>
  <c r="DU650" i="1"/>
  <c r="DU651" i="1"/>
  <c r="DU652" i="1"/>
  <c r="DU654" i="1"/>
  <c r="DU655" i="1"/>
  <c r="DU656" i="1"/>
  <c r="DU657" i="1"/>
  <c r="DU658" i="1"/>
  <c r="DU659" i="1"/>
  <c r="DU660" i="1"/>
  <c r="DU662" i="1"/>
  <c r="DU663" i="1"/>
  <c r="DU665" i="1"/>
  <c r="DU666" i="1"/>
  <c r="DU667" i="1"/>
  <c r="DU669" i="1"/>
  <c r="DU670" i="1"/>
  <c r="DU671" i="1"/>
  <c r="DU672" i="1"/>
  <c r="DU675" i="1"/>
  <c r="DU676" i="1"/>
  <c r="DU677" i="1"/>
  <c r="DU678" i="1"/>
  <c r="DU679" i="1"/>
  <c r="DU681" i="1"/>
  <c r="DU682" i="1"/>
  <c r="DU683" i="1"/>
  <c r="DU684" i="1"/>
  <c r="DU685" i="1"/>
  <c r="DU686" i="1"/>
  <c r="DU687" i="1"/>
  <c r="DU688" i="1"/>
  <c r="DU689" i="1"/>
  <c r="DU690" i="1"/>
  <c r="DU691" i="1"/>
  <c r="DU693" i="1"/>
  <c r="DU694" i="1"/>
  <c r="DU695" i="1"/>
  <c r="DU696" i="1"/>
  <c r="DU698" i="1"/>
  <c r="DU699" i="1"/>
  <c r="DU703" i="1"/>
  <c r="DU704" i="1"/>
  <c r="DU706" i="1"/>
  <c r="DU707" i="1"/>
  <c r="DU708" i="1"/>
  <c r="DU709" i="1"/>
  <c r="DU711" i="1"/>
  <c r="DU712" i="1"/>
  <c r="DU713" i="1"/>
  <c r="DU714" i="1"/>
  <c r="DU715" i="1"/>
  <c r="DU716" i="1"/>
  <c r="DU717" i="1"/>
  <c r="DU718" i="1"/>
  <c r="DU720" i="1"/>
  <c r="DU721" i="1"/>
  <c r="DU723" i="1"/>
  <c r="DU724" i="1"/>
  <c r="DU725" i="1"/>
  <c r="DU726" i="1"/>
  <c r="DU729" i="1"/>
  <c r="DU731" i="1"/>
  <c r="DU732" i="1"/>
  <c r="DU733" i="1"/>
  <c r="DU734" i="1"/>
  <c r="DU735" i="1"/>
  <c r="DU736" i="1"/>
  <c r="DU738" i="1"/>
  <c r="DU739" i="1"/>
  <c r="DU740" i="1"/>
  <c r="DU741" i="1"/>
  <c r="DU742" i="1"/>
  <c r="DU743" i="1"/>
  <c r="DU744" i="1"/>
  <c r="DU745" i="1"/>
  <c r="DU748" i="1"/>
  <c r="DU750" i="1"/>
  <c r="DU751" i="1"/>
  <c r="DU752" i="1"/>
  <c r="DU753" i="1"/>
  <c r="DU754" i="1"/>
  <c r="DU755" i="1"/>
  <c r="DU756" i="1"/>
  <c r="DU758" i="1"/>
  <c r="DU760" i="1"/>
  <c r="DU761" i="1"/>
  <c r="DU763" i="1"/>
  <c r="DU764" i="1"/>
  <c r="DU766" i="1"/>
  <c r="DU767" i="1"/>
  <c r="DU768" i="1"/>
  <c r="DU769" i="1"/>
  <c r="DU774" i="1"/>
  <c r="DU775" i="1"/>
  <c r="DU777" i="1"/>
  <c r="DU778" i="1"/>
  <c r="DU779" i="1"/>
  <c r="DU780" i="1"/>
  <c r="DU782" i="1"/>
  <c r="DU783" i="1"/>
  <c r="DU784" i="1"/>
  <c r="DU785" i="1"/>
  <c r="DU786" i="1"/>
  <c r="DU787" i="1"/>
  <c r="DU789" i="1"/>
  <c r="DU790" i="1"/>
  <c r="DU791" i="1"/>
  <c r="DU793" i="1"/>
  <c r="DU794" i="1"/>
  <c r="DU795" i="1"/>
  <c r="DU796" i="1"/>
  <c r="DU797" i="1"/>
  <c r="DU798" i="1"/>
  <c r="DU801" i="1"/>
  <c r="DU802" i="1"/>
  <c r="DU803" i="1"/>
  <c r="DU804" i="1"/>
  <c r="DU805" i="1"/>
  <c r="DU806" i="1"/>
  <c r="DU807" i="1"/>
  <c r="DU808" i="1"/>
  <c r="DU811" i="1"/>
  <c r="DU812" i="1"/>
  <c r="DU813" i="1"/>
  <c r="DU814" i="1"/>
  <c r="DU815" i="1"/>
  <c r="DU816" i="1"/>
  <c r="DU818" i="1"/>
  <c r="DU819" i="1"/>
  <c r="DU820" i="1"/>
  <c r="DU822" i="1"/>
  <c r="DU823" i="1"/>
  <c r="DU824" i="1"/>
  <c r="DU825" i="1"/>
  <c r="DU826" i="1"/>
  <c r="DU827" i="1"/>
  <c r="DU830" i="1"/>
  <c r="DU831" i="1"/>
  <c r="DU832" i="1"/>
  <c r="DU834" i="1"/>
  <c r="DU835" i="1"/>
  <c r="DU836" i="1"/>
  <c r="DU838" i="1"/>
  <c r="DU839" i="1"/>
  <c r="DU840" i="1"/>
  <c r="DU841" i="1"/>
  <c r="DU842" i="1"/>
  <c r="DU843" i="1"/>
  <c r="DU845" i="1"/>
  <c r="DU846" i="1"/>
  <c r="DU847" i="1"/>
  <c r="DU848" i="1"/>
  <c r="DU849" i="1"/>
  <c r="DU850" i="1"/>
  <c r="DU852" i="1"/>
  <c r="DU854" i="1"/>
  <c r="DU855" i="1"/>
  <c r="DU856" i="1"/>
  <c r="DU857" i="1"/>
  <c r="DU859" i="1"/>
  <c r="DU860" i="1"/>
  <c r="DU862" i="1"/>
  <c r="DU863" i="1"/>
  <c r="DU864" i="1"/>
  <c r="DU865" i="1"/>
  <c r="DU866" i="1"/>
  <c r="DU867" i="1"/>
  <c r="DU868" i="1"/>
  <c r="DU869" i="1"/>
  <c r="DU870" i="1"/>
  <c r="DU872" i="1"/>
  <c r="DU873" i="1"/>
  <c r="DU874" i="1"/>
  <c r="DU875" i="1"/>
  <c r="DU876" i="1"/>
  <c r="DU877" i="1"/>
  <c r="DU878" i="1"/>
  <c r="DU879" i="1"/>
  <c r="DU880" i="1"/>
  <c r="DU881" i="1"/>
  <c r="DU884" i="1"/>
  <c r="DU886" i="1"/>
  <c r="DU887" i="1"/>
  <c r="DU888" i="1"/>
  <c r="DU889" i="1"/>
  <c r="DU890" i="1"/>
  <c r="DU891" i="1"/>
  <c r="DU892" i="1"/>
  <c r="DU893" i="1"/>
  <c r="DU894" i="1"/>
  <c r="DU895" i="1"/>
  <c r="DU897" i="1"/>
  <c r="DU898" i="1"/>
  <c r="DU899" i="1"/>
  <c r="DU900" i="1"/>
  <c r="DU901" i="1"/>
  <c r="DU902" i="1"/>
  <c r="DU904" i="1"/>
  <c r="DU905" i="1"/>
  <c r="DU906" i="1"/>
  <c r="DU908" i="1"/>
  <c r="DU909" i="1"/>
  <c r="DU910" i="1"/>
  <c r="DU911" i="1"/>
  <c r="DU912" i="1"/>
  <c r="DU913" i="1"/>
  <c r="DU915" i="1"/>
  <c r="DU916" i="1"/>
  <c r="DU917" i="1"/>
  <c r="DU918" i="1"/>
  <c r="DU919" i="1"/>
  <c r="DU920" i="1"/>
  <c r="DU921" i="1"/>
  <c r="DU922" i="1"/>
  <c r="DU923" i="1"/>
  <c r="DU924" i="1"/>
  <c r="DU925" i="1"/>
  <c r="DU927" i="1"/>
  <c r="DU928" i="1"/>
  <c r="DU929" i="1"/>
  <c r="DU930" i="1"/>
  <c r="DU931" i="1"/>
  <c r="DU932" i="1"/>
  <c r="DU933" i="1"/>
  <c r="DU935" i="1"/>
  <c r="DU936" i="1"/>
  <c r="DU937" i="1"/>
  <c r="DU938" i="1"/>
  <c r="DU939" i="1"/>
  <c r="DU940" i="1"/>
  <c r="DU941" i="1"/>
  <c r="DU943" i="1"/>
  <c r="DU944" i="1"/>
  <c r="DU945" i="1"/>
  <c r="DU947" i="1"/>
  <c r="DU948" i="1"/>
  <c r="DU950" i="1"/>
  <c r="DU951" i="1"/>
  <c r="DU952" i="1"/>
  <c r="DU953" i="1"/>
  <c r="DU954" i="1"/>
  <c r="DU955" i="1"/>
  <c r="DU956" i="1"/>
  <c r="DU957" i="1"/>
  <c r="DU958" i="1"/>
  <c r="DU960" i="1"/>
  <c r="DU961" i="1"/>
  <c r="DU962" i="1"/>
  <c r="DU963" i="1"/>
  <c r="DU964" i="1"/>
  <c r="DU965" i="1"/>
  <c r="DU966" i="1"/>
  <c r="DU967" i="1"/>
  <c r="DU969" i="1"/>
  <c r="DU970" i="1"/>
  <c r="DU971" i="1"/>
  <c r="DU972" i="1"/>
  <c r="DU973" i="1"/>
  <c r="DU974" i="1"/>
  <c r="DU975" i="1"/>
  <c r="DU977" i="1"/>
  <c r="DU978" i="1"/>
  <c r="DU979" i="1"/>
  <c r="DU980" i="1"/>
  <c r="DU981" i="1"/>
  <c r="DU983" i="1"/>
  <c r="DU985" i="1"/>
  <c r="DU986" i="1"/>
  <c r="DU987" i="1"/>
  <c r="DU989" i="1"/>
  <c r="DU990" i="1"/>
  <c r="DU991" i="1"/>
  <c r="DU992" i="1"/>
  <c r="DU993" i="1"/>
  <c r="DU994" i="1"/>
  <c r="DU996" i="1"/>
  <c r="DU997" i="1"/>
  <c r="DU998" i="1"/>
  <c r="DU999" i="1"/>
  <c r="DU1000" i="1"/>
  <c r="DU1001" i="1"/>
  <c r="DU1002" i="1"/>
  <c r="DU1003" i="1"/>
  <c r="DU1005" i="1"/>
  <c r="DU1006" i="1"/>
  <c r="DU1007" i="1"/>
  <c r="DU1008" i="1"/>
  <c r="DU1009" i="1"/>
  <c r="DU1010" i="1"/>
  <c r="DU1011" i="1"/>
  <c r="DU1013" i="1"/>
  <c r="DU1014" i="1"/>
  <c r="DU1015" i="1"/>
  <c r="DU1016" i="1"/>
  <c r="DU1017" i="1"/>
  <c r="DU1018" i="1"/>
  <c r="DU1019" i="1"/>
  <c r="DU1020" i="1"/>
  <c r="DU1021" i="1"/>
  <c r="DU1022" i="1"/>
  <c r="DU1023" i="1"/>
  <c r="DU1025" i="1"/>
  <c r="DU1026" i="1"/>
  <c r="DU1027" i="1"/>
  <c r="DU1028" i="1"/>
  <c r="DU1029" i="1"/>
  <c r="DU1030" i="1"/>
  <c r="DU1031" i="1"/>
  <c r="DU1032" i="1"/>
  <c r="DU1033" i="1"/>
  <c r="DU1035" i="1"/>
  <c r="DU1036" i="1"/>
  <c r="DU1037" i="1"/>
  <c r="DU1038" i="1"/>
  <c r="DU1039" i="1"/>
  <c r="DU1040" i="1"/>
  <c r="DU1041" i="1"/>
  <c r="DU1042" i="1"/>
  <c r="DU1043" i="1"/>
  <c r="DU1044" i="1"/>
  <c r="DU1046" i="1"/>
  <c r="DU1047" i="1"/>
  <c r="DU1048" i="1"/>
  <c r="DU1051" i="1"/>
  <c r="DU1053" i="1"/>
  <c r="DU1054" i="1"/>
  <c r="DU1055" i="1"/>
  <c r="DU1056" i="1"/>
  <c r="DU1057" i="1"/>
  <c r="DU1059" i="1"/>
  <c r="DU1060" i="1"/>
  <c r="DU1061" i="1"/>
  <c r="DU1062" i="1"/>
  <c r="DU1063" i="1"/>
  <c r="DU1064" i="1"/>
  <c r="DU1066" i="1"/>
  <c r="DU1067" i="1"/>
  <c r="DU1068" i="1"/>
  <c r="DU1069" i="1"/>
  <c r="DU1070" i="1"/>
  <c r="DU1071" i="1"/>
  <c r="DU1072" i="1"/>
  <c r="DU1073" i="1"/>
  <c r="DU1075" i="1"/>
  <c r="DU1076" i="1"/>
  <c r="DU1077" i="1"/>
  <c r="DU1080" i="1"/>
  <c r="DU1081" i="1"/>
  <c r="DU1082" i="1"/>
  <c r="DU1083" i="1"/>
  <c r="DU1084" i="1"/>
  <c r="DU1086" i="1"/>
  <c r="DU1087" i="1"/>
  <c r="DU1088" i="1"/>
  <c r="DU1089" i="1"/>
  <c r="DU1090" i="1"/>
  <c r="DU1091" i="1"/>
  <c r="DU1092" i="1"/>
  <c r="DU1093" i="1"/>
  <c r="DU1094" i="1"/>
  <c r="DU1096" i="1"/>
  <c r="DU1097" i="1"/>
  <c r="DU1098" i="1"/>
  <c r="DU1099" i="1"/>
  <c r="DU1100" i="1"/>
  <c r="DU1101" i="1"/>
  <c r="DU1102" i="1"/>
  <c r="DU1103" i="1"/>
  <c r="DU1104" i="1"/>
  <c r="DU1105" i="1"/>
  <c r="DU1106" i="1"/>
  <c r="DU1108" i="1"/>
  <c r="DU1109" i="1"/>
  <c r="DU1110" i="1"/>
  <c r="DU1111" i="1"/>
  <c r="DU1112" i="1"/>
  <c r="DU1113" i="1"/>
  <c r="DU1115" i="1"/>
  <c r="DU1116" i="1"/>
  <c r="DU1117" i="1"/>
  <c r="DU1118" i="1"/>
  <c r="DU1120" i="1"/>
  <c r="DU1122" i="1"/>
  <c r="DU1123" i="1"/>
  <c r="DU1124" i="1"/>
  <c r="DU1127" i="1"/>
  <c r="DU1128" i="1"/>
  <c r="DU1129" i="1"/>
  <c r="DU1130" i="1"/>
  <c r="DU1132" i="1"/>
  <c r="DU1133" i="1"/>
  <c r="DU1135" i="1"/>
  <c r="DU1136" i="1"/>
  <c r="DU1137" i="1"/>
  <c r="DU1138" i="1"/>
  <c r="DU1139" i="1"/>
  <c r="DU1140" i="1"/>
  <c r="DU1142" i="1"/>
  <c r="DU1143" i="1"/>
  <c r="DU1144" i="1"/>
  <c r="DU1145" i="1"/>
  <c r="DU1146" i="1"/>
  <c r="DU1147" i="1"/>
  <c r="DU1148" i="1"/>
  <c r="DU1149" i="1"/>
  <c r="DU1150" i="1"/>
  <c r="DU1152" i="1"/>
  <c r="DU1153" i="1"/>
  <c r="DU1154" i="1"/>
  <c r="DU1155" i="1"/>
  <c r="DU1157" i="1"/>
  <c r="DU1158" i="1"/>
  <c r="DU1159" i="1"/>
  <c r="DU1160" i="1"/>
  <c r="DU1161" i="1"/>
  <c r="DU1162" i="1"/>
  <c r="DU1163" i="1"/>
  <c r="DU1164" i="1"/>
  <c r="DU1165" i="1"/>
  <c r="DU1167" i="1"/>
  <c r="DU1168" i="1"/>
  <c r="DU1169" i="1"/>
  <c r="DU1170" i="1"/>
  <c r="DU1172" i="1"/>
  <c r="DU1173" i="1"/>
  <c r="DU1174" i="1"/>
  <c r="DU1175" i="1"/>
  <c r="DU1177" i="1"/>
  <c r="DU1178" i="1"/>
  <c r="DU1179" i="1"/>
  <c r="DU1180" i="1"/>
  <c r="DU1181" i="1"/>
  <c r="DU1182" i="1"/>
  <c r="DU1183" i="1"/>
  <c r="DU1185" i="1"/>
  <c r="DU1186" i="1"/>
  <c r="DU1187" i="1"/>
  <c r="DU1188" i="1"/>
  <c r="DU1189" i="1"/>
  <c r="DU1190" i="1"/>
  <c r="DU1192" i="1"/>
  <c r="DU1194" i="1"/>
  <c r="DU1195" i="1"/>
  <c r="DU1196" i="1"/>
  <c r="DU1199" i="1"/>
  <c r="DU1201" i="1"/>
  <c r="DU1202" i="1"/>
  <c r="DU1203" i="1"/>
  <c r="DU1204" i="1"/>
  <c r="DU1205" i="1"/>
  <c r="DU1206" i="1"/>
  <c r="DU1207" i="1"/>
  <c r="DU1209" i="1"/>
  <c r="DU1210" i="1"/>
  <c r="DU1211" i="1"/>
  <c r="DU1212" i="1"/>
  <c r="DU1213" i="1"/>
  <c r="DU1214" i="1"/>
  <c r="DU1215" i="1"/>
  <c r="DU1216" i="1"/>
  <c r="DU1217" i="1"/>
  <c r="DU1219" i="1"/>
  <c r="DU1220" i="1"/>
  <c r="DU1222" i="1"/>
  <c r="DU1223" i="1"/>
  <c r="DU1224" i="1"/>
  <c r="DU1225" i="1"/>
  <c r="DU1226" i="1"/>
  <c r="DU1227" i="1"/>
  <c r="DU1229" i="1"/>
  <c r="DU1230" i="1"/>
  <c r="DU1231" i="1"/>
  <c r="DU1232" i="1"/>
  <c r="DU1233" i="1"/>
  <c r="DU1234" i="1"/>
  <c r="DU1235" i="1"/>
  <c r="DU1236" i="1"/>
  <c r="DU1238" i="1"/>
  <c r="DU1240" i="1"/>
  <c r="DU1241" i="1"/>
  <c r="DU1242" i="1"/>
  <c r="DU1244" i="1"/>
  <c r="DU1245" i="1"/>
  <c r="DU1246" i="1"/>
  <c r="DU1247" i="1"/>
  <c r="DU1248" i="1"/>
  <c r="DU1250" i="1"/>
  <c r="DU1251" i="1"/>
  <c r="DU1252" i="1"/>
  <c r="DU1253" i="1"/>
  <c r="DU1254" i="1"/>
  <c r="DU1255" i="1"/>
  <c r="DU1256" i="1"/>
  <c r="DU1257" i="1"/>
  <c r="DU1258" i="1"/>
  <c r="DU1259" i="1"/>
  <c r="DU1262" i="1"/>
  <c r="DU1263" i="1"/>
  <c r="DU1265" i="1"/>
  <c r="DU1266" i="1"/>
  <c r="DU1267" i="1"/>
  <c r="DU1268" i="1"/>
  <c r="DU1272" i="1"/>
  <c r="DU1274" i="1"/>
  <c r="DU1275" i="1"/>
  <c r="DU1276" i="1"/>
  <c r="DU1277" i="1"/>
  <c r="DU1278" i="1"/>
  <c r="DU1279" i="1"/>
  <c r="DU1280" i="1"/>
  <c r="DU1282" i="1"/>
  <c r="DU1283" i="1"/>
  <c r="DU1284" i="1"/>
  <c r="DU1285" i="1"/>
  <c r="DU1286" i="1"/>
  <c r="DU1287" i="1"/>
  <c r="DU1288" i="1"/>
  <c r="DU1289" i="1"/>
  <c r="DU1291" i="1"/>
  <c r="DU1292" i="1"/>
  <c r="DU1293" i="1"/>
  <c r="DU1294" i="1"/>
  <c r="DU1295" i="1"/>
  <c r="DU1296" i="1"/>
  <c r="DU1297" i="1"/>
  <c r="DU1298" i="1"/>
  <c r="DU1299" i="1"/>
  <c r="DU1300" i="1"/>
  <c r="DU1301" i="1"/>
  <c r="DU1303" i="1"/>
  <c r="DU1304" i="1"/>
  <c r="DU1305" i="1"/>
  <c r="DU1306" i="1"/>
  <c r="DU1307" i="1"/>
  <c r="DU1308" i="1"/>
  <c r="DU1309" i="1"/>
  <c r="DU1310" i="1"/>
  <c r="DU1311" i="1"/>
  <c r="DU1312" i="1"/>
  <c r="DU1313" i="1"/>
  <c r="DV67" i="1"/>
  <c r="DV68" i="1"/>
  <c r="DV69" i="1"/>
  <c r="DV70" i="1"/>
  <c r="DV71" i="1"/>
  <c r="DV72" i="1"/>
  <c r="DV73" i="1"/>
  <c r="DV74" i="1"/>
  <c r="DV76" i="1"/>
  <c r="DV77" i="1"/>
  <c r="DV78" i="1"/>
  <c r="DV79" i="1"/>
  <c r="DV80" i="1"/>
  <c r="DV81" i="1"/>
  <c r="DV82" i="1"/>
  <c r="DV84" i="1"/>
  <c r="DV85" i="1"/>
  <c r="DV86" i="1"/>
  <c r="DV87" i="1"/>
  <c r="DV88" i="1"/>
  <c r="DV89" i="1"/>
  <c r="DV90" i="1"/>
  <c r="DV92" i="1"/>
  <c r="DV93" i="1"/>
  <c r="DV94" i="1"/>
  <c r="DV95" i="1"/>
  <c r="DV96" i="1"/>
  <c r="DV97" i="1"/>
  <c r="DV98" i="1"/>
  <c r="DV101" i="1"/>
  <c r="DV103" i="1"/>
  <c r="DV104" i="1"/>
  <c r="DV105" i="1"/>
  <c r="DV106" i="1"/>
  <c r="DV107" i="1"/>
  <c r="DV108" i="1"/>
  <c r="DV109" i="1"/>
  <c r="DV111" i="1"/>
  <c r="DV112" i="1"/>
  <c r="DV113" i="1"/>
  <c r="DV114" i="1"/>
  <c r="DV115" i="1"/>
  <c r="DV116" i="1"/>
  <c r="DV117" i="1"/>
  <c r="DV118" i="1"/>
  <c r="DV119" i="1"/>
  <c r="DV120" i="1"/>
  <c r="DV122" i="1"/>
  <c r="DV124" i="1"/>
  <c r="DV125" i="1"/>
  <c r="DV126" i="1"/>
  <c r="DV129" i="1"/>
  <c r="DV131" i="1"/>
  <c r="DV132" i="1"/>
  <c r="DV133" i="1"/>
  <c r="DV136" i="1"/>
  <c r="DV138" i="1"/>
  <c r="DV139" i="1"/>
  <c r="DV140" i="1"/>
  <c r="DV141" i="1"/>
  <c r="DV142" i="1"/>
  <c r="DV144" i="1"/>
  <c r="DV145" i="1"/>
  <c r="DV146" i="1"/>
  <c r="DV147" i="1"/>
  <c r="DV148" i="1"/>
  <c r="DV149" i="1"/>
  <c r="DV151" i="1"/>
  <c r="DV152" i="1"/>
  <c r="DV153" i="1"/>
  <c r="DV154" i="1"/>
  <c r="DV155" i="1"/>
  <c r="DV156" i="1"/>
  <c r="DV157" i="1"/>
  <c r="DV158" i="1"/>
  <c r="DV160" i="1"/>
  <c r="DV161" i="1"/>
  <c r="DV162" i="1"/>
  <c r="DV163" i="1"/>
  <c r="DV165" i="1"/>
  <c r="DV166" i="1"/>
  <c r="DV167" i="1"/>
  <c r="DV168" i="1"/>
  <c r="DV169" i="1"/>
  <c r="DV170" i="1"/>
  <c r="DV172" i="1"/>
  <c r="DV173" i="1"/>
  <c r="DV175" i="1"/>
  <c r="DV176" i="1"/>
  <c r="DV177" i="1"/>
  <c r="DV178" i="1"/>
  <c r="DV179" i="1"/>
  <c r="DV180" i="1"/>
  <c r="DV181" i="1"/>
  <c r="DV182" i="1"/>
  <c r="DV183" i="1"/>
  <c r="DV184" i="1"/>
  <c r="DV186" i="1"/>
  <c r="DV187" i="1"/>
  <c r="DV188" i="1"/>
  <c r="DV189" i="1"/>
  <c r="DV190" i="1"/>
  <c r="DV191" i="1"/>
  <c r="DV192" i="1"/>
  <c r="DV193" i="1"/>
  <c r="DV195" i="1"/>
  <c r="DV196" i="1"/>
  <c r="DV197" i="1"/>
  <c r="DV198" i="1"/>
  <c r="DV200" i="1"/>
  <c r="DV201" i="1"/>
  <c r="DV202" i="1"/>
  <c r="DV203" i="1"/>
  <c r="DV204" i="1"/>
  <c r="DV205" i="1"/>
  <c r="DV206" i="1"/>
  <c r="DV207" i="1"/>
  <c r="DV209" i="1"/>
  <c r="DV210" i="1"/>
  <c r="DV211" i="1"/>
  <c r="DV212" i="1"/>
  <c r="DV213" i="1"/>
  <c r="DV214" i="1"/>
  <c r="DV215" i="1"/>
  <c r="DV218" i="1"/>
  <c r="DV219" i="1"/>
  <c r="DV220" i="1"/>
  <c r="DV221" i="1"/>
  <c r="DV222" i="1"/>
  <c r="DV224" i="1"/>
  <c r="DV225" i="1"/>
  <c r="DV226" i="1"/>
  <c r="DV227" i="1"/>
  <c r="DV228" i="1"/>
  <c r="DV229" i="1"/>
  <c r="DV231" i="1"/>
  <c r="DV232" i="1"/>
  <c r="DV233" i="1"/>
  <c r="DV234" i="1"/>
  <c r="DV235" i="1"/>
  <c r="DV236" i="1"/>
  <c r="DV237" i="1"/>
  <c r="DV238" i="1"/>
  <c r="DV240" i="1"/>
  <c r="DV241" i="1"/>
  <c r="DV242" i="1"/>
  <c r="DV243" i="1"/>
  <c r="DV244" i="1"/>
  <c r="DV245" i="1"/>
  <c r="DV246" i="1"/>
  <c r="DV247" i="1"/>
  <c r="DV249" i="1"/>
  <c r="DV250" i="1"/>
  <c r="DV251" i="1"/>
  <c r="DV252" i="1"/>
  <c r="DV253" i="1"/>
  <c r="DV254" i="1"/>
  <c r="DV255" i="1"/>
  <c r="DV256" i="1"/>
  <c r="DV258" i="1"/>
  <c r="DV259" i="1"/>
  <c r="DV260" i="1"/>
  <c r="DV261" i="1"/>
  <c r="DV262" i="1"/>
  <c r="DV263" i="1"/>
  <c r="DV264" i="1"/>
  <c r="DV265" i="1"/>
  <c r="DV266" i="1"/>
  <c r="DV268" i="1"/>
  <c r="DV269" i="1"/>
  <c r="DV270" i="1"/>
  <c r="DV271" i="1"/>
  <c r="DV272" i="1"/>
  <c r="DV273" i="1"/>
  <c r="DV274" i="1"/>
  <c r="DV275" i="1"/>
  <c r="DV276" i="1"/>
  <c r="DV278" i="1"/>
  <c r="DV279" i="1"/>
  <c r="DV280" i="1"/>
  <c r="DV281" i="1"/>
  <c r="DV282" i="1"/>
  <c r="DV283" i="1"/>
  <c r="DV285" i="1"/>
  <c r="DV286" i="1"/>
  <c r="DV287" i="1"/>
  <c r="DV288" i="1"/>
  <c r="DV291" i="1"/>
  <c r="DV292" i="1"/>
  <c r="DV293" i="1"/>
  <c r="DV294" i="1"/>
  <c r="DV296" i="1"/>
  <c r="DV297" i="1"/>
  <c r="DV298" i="1"/>
  <c r="DV299" i="1"/>
  <c r="DV300" i="1"/>
  <c r="DV301" i="1"/>
  <c r="DV302" i="1"/>
  <c r="DV303" i="1"/>
  <c r="DV305" i="1"/>
  <c r="DV306" i="1"/>
  <c r="DV307" i="1"/>
  <c r="DV308" i="1"/>
  <c r="DV309" i="1"/>
  <c r="DV310" i="1"/>
  <c r="DV311" i="1"/>
  <c r="DV312" i="1"/>
  <c r="DV313" i="1"/>
  <c r="DV314" i="1"/>
  <c r="DV316" i="1"/>
  <c r="DV317" i="1"/>
  <c r="DV318" i="1"/>
  <c r="DV319" i="1"/>
  <c r="DV320" i="1"/>
  <c r="DV321" i="1"/>
  <c r="DV322" i="1"/>
  <c r="DV323" i="1"/>
  <c r="DV324" i="1"/>
  <c r="DV325" i="1"/>
  <c r="DV326" i="1"/>
  <c r="DV327" i="1"/>
  <c r="DV329" i="1"/>
  <c r="DV330" i="1"/>
  <c r="DV332" i="1"/>
  <c r="DV333" i="1"/>
  <c r="DV334" i="1"/>
  <c r="DV335" i="1"/>
  <c r="DV336" i="1"/>
  <c r="DV337" i="1"/>
  <c r="DV338" i="1"/>
  <c r="DV340" i="1"/>
  <c r="DV341" i="1"/>
  <c r="DV342" i="1"/>
  <c r="DV343" i="1"/>
  <c r="DV344" i="1"/>
  <c r="DV345" i="1"/>
  <c r="DV346" i="1"/>
  <c r="DV347" i="1"/>
  <c r="DV348" i="1"/>
  <c r="DV349" i="1"/>
  <c r="DV351" i="1"/>
  <c r="DV352" i="1"/>
  <c r="DV353" i="1"/>
  <c r="DV354" i="1"/>
  <c r="DV355" i="1"/>
  <c r="DV356" i="1"/>
  <c r="DV358" i="1"/>
  <c r="DV359" i="1"/>
  <c r="DV360" i="1"/>
  <c r="DV361" i="1"/>
  <c r="DV362" i="1"/>
  <c r="DV363" i="1"/>
  <c r="DV364" i="1"/>
  <c r="DV365" i="1"/>
  <c r="DV367" i="1"/>
  <c r="DV368" i="1"/>
  <c r="DV369" i="1"/>
  <c r="DV371" i="1"/>
  <c r="DV372" i="1"/>
  <c r="DV373" i="1"/>
  <c r="DV375" i="1"/>
  <c r="DV376" i="1"/>
  <c r="DV378" i="1"/>
  <c r="DV379" i="1"/>
  <c r="DV380" i="1"/>
  <c r="DV381" i="1"/>
  <c r="DV382" i="1"/>
  <c r="DV383" i="1"/>
  <c r="DV385" i="1"/>
  <c r="DV386" i="1"/>
  <c r="DV387" i="1"/>
  <c r="DV388" i="1"/>
  <c r="DV389" i="1"/>
  <c r="DV390" i="1"/>
  <c r="DV391" i="1"/>
  <c r="DV393" i="1"/>
  <c r="DV394" i="1"/>
  <c r="DV395" i="1"/>
  <c r="DV396" i="1"/>
  <c r="DV397" i="1"/>
  <c r="DV398" i="1"/>
  <c r="DV399" i="1"/>
  <c r="DV400" i="1"/>
  <c r="DV401" i="1"/>
  <c r="DV403" i="1"/>
  <c r="DV404" i="1"/>
  <c r="DV405" i="1"/>
  <c r="DV406" i="1"/>
  <c r="DV407" i="1"/>
  <c r="DV408" i="1"/>
  <c r="DV409" i="1"/>
  <c r="DV410" i="1"/>
  <c r="DV411" i="1"/>
  <c r="DV413" i="1"/>
  <c r="DV414" i="1"/>
  <c r="DV415" i="1"/>
  <c r="DV416" i="1"/>
  <c r="DV417" i="1"/>
  <c r="DV418" i="1"/>
  <c r="DV421" i="1"/>
  <c r="DV422" i="1"/>
  <c r="DV423" i="1"/>
  <c r="DV424" i="1"/>
  <c r="DV425" i="1"/>
  <c r="DV426" i="1"/>
  <c r="DV427" i="1"/>
  <c r="DV428" i="1"/>
  <c r="DV430" i="1"/>
  <c r="DV431" i="1"/>
  <c r="DV432" i="1"/>
  <c r="DV433" i="1"/>
  <c r="DV434" i="1"/>
  <c r="DV435" i="1"/>
  <c r="DV436" i="1"/>
  <c r="DV439" i="1"/>
  <c r="DV440" i="1"/>
  <c r="DV441" i="1"/>
  <c r="DV442" i="1"/>
  <c r="DV443" i="1"/>
  <c r="DV445" i="1"/>
  <c r="DV446" i="1"/>
  <c r="DV447" i="1"/>
  <c r="DV448" i="1"/>
  <c r="DV449" i="1"/>
  <c r="DV450" i="1"/>
  <c r="DV451" i="1"/>
  <c r="DV452" i="1"/>
  <c r="DV454" i="1"/>
  <c r="DV455" i="1"/>
  <c r="DV456" i="1"/>
  <c r="DV457" i="1"/>
  <c r="DV459" i="1"/>
  <c r="DV460" i="1"/>
  <c r="DV461" i="1"/>
  <c r="DV462" i="1"/>
  <c r="DV463" i="1"/>
  <c r="DV464" i="1"/>
  <c r="DV465" i="1"/>
  <c r="DV466" i="1"/>
  <c r="DV468" i="1"/>
  <c r="DV469" i="1"/>
  <c r="DV470" i="1"/>
  <c r="DV471" i="1"/>
  <c r="DV472" i="1"/>
  <c r="DV473" i="1"/>
  <c r="DV474" i="1"/>
  <c r="DV475" i="1"/>
  <c r="DV476" i="1"/>
  <c r="DV478" i="1"/>
  <c r="DV479" i="1"/>
  <c r="DV480" i="1"/>
  <c r="DV481" i="1"/>
  <c r="DV482" i="1"/>
  <c r="DV483" i="1"/>
  <c r="DV486" i="1"/>
  <c r="DV487" i="1"/>
  <c r="DV488" i="1"/>
  <c r="DV489" i="1"/>
  <c r="DV490" i="1"/>
  <c r="DV491" i="1"/>
  <c r="DV492" i="1"/>
  <c r="DV493" i="1"/>
  <c r="DV495" i="1"/>
  <c r="DV496" i="1"/>
  <c r="DV497" i="1"/>
  <c r="DV498" i="1"/>
  <c r="DV499" i="1"/>
  <c r="DV500" i="1"/>
  <c r="DV502" i="1"/>
  <c r="DV503" i="1"/>
  <c r="DV504" i="1"/>
  <c r="DV505" i="1"/>
  <c r="DV506" i="1"/>
  <c r="DV507" i="1"/>
  <c r="DV508" i="1"/>
  <c r="DV510" i="1"/>
  <c r="DV511" i="1"/>
  <c r="DV512" i="1"/>
  <c r="DV514" i="1"/>
  <c r="DV515" i="1"/>
  <c r="DV516" i="1"/>
  <c r="DV517" i="1"/>
  <c r="DV518" i="1"/>
  <c r="DV520" i="1"/>
  <c r="DV521" i="1"/>
  <c r="DV522" i="1"/>
  <c r="DV523" i="1"/>
  <c r="DV524" i="1"/>
  <c r="DV525" i="1"/>
  <c r="DV526" i="1"/>
  <c r="DV527" i="1"/>
  <c r="DV529" i="1"/>
  <c r="DV530" i="1"/>
  <c r="DV531" i="1"/>
  <c r="DV532" i="1"/>
  <c r="DV533" i="1"/>
  <c r="DV534" i="1"/>
  <c r="DV535" i="1"/>
  <c r="DV536" i="1"/>
  <c r="DV538" i="1"/>
  <c r="DV539" i="1"/>
  <c r="DV540" i="1"/>
  <c r="DV541" i="1"/>
  <c r="DV542" i="1"/>
  <c r="DV543" i="1"/>
  <c r="DV544" i="1"/>
  <c r="DV545" i="1"/>
  <c r="DV546" i="1"/>
  <c r="DV548" i="1"/>
  <c r="DV549" i="1"/>
  <c r="DV550" i="1"/>
  <c r="DV551" i="1"/>
  <c r="DV552" i="1"/>
  <c r="DV553" i="1"/>
  <c r="DV554" i="1"/>
  <c r="DV555" i="1"/>
  <c r="DV557" i="1"/>
  <c r="DV558" i="1"/>
  <c r="DV559" i="1"/>
  <c r="DV560" i="1"/>
  <c r="DV561" i="1"/>
  <c r="DV562" i="1"/>
  <c r="DV563" i="1"/>
  <c r="DV564" i="1"/>
  <c r="DV565" i="1"/>
  <c r="DV566" i="1"/>
  <c r="DV567" i="1"/>
  <c r="DV569" i="1"/>
  <c r="DV570" i="1"/>
  <c r="DV572" i="1"/>
  <c r="DV573" i="1"/>
  <c r="DV574" i="1"/>
  <c r="DV576" i="1"/>
  <c r="DV577" i="1"/>
  <c r="DV578" i="1"/>
  <c r="DV579" i="1"/>
  <c r="DV580" i="1"/>
  <c r="DV581" i="1"/>
  <c r="DV583" i="1"/>
  <c r="DV584" i="1"/>
  <c r="DV586" i="1"/>
  <c r="DV587" i="1"/>
  <c r="DV588" i="1"/>
  <c r="DV590" i="1"/>
  <c r="DV591" i="1"/>
  <c r="DV592" i="1"/>
  <c r="DV593" i="1"/>
  <c r="DV594" i="1"/>
  <c r="DV595" i="1"/>
  <c r="DV596" i="1"/>
  <c r="DV597" i="1"/>
  <c r="DV598" i="1"/>
  <c r="DV600" i="1"/>
  <c r="DV601" i="1"/>
  <c r="DV603" i="1"/>
  <c r="DV604" i="1"/>
  <c r="DV605" i="1"/>
  <c r="DV607" i="1"/>
  <c r="DV608" i="1"/>
  <c r="DV609" i="1"/>
  <c r="DV610" i="1"/>
  <c r="DV611" i="1"/>
  <c r="DV612" i="1"/>
  <c r="DV614" i="1"/>
  <c r="DV615" i="1"/>
  <c r="DV617" i="1"/>
  <c r="DV618" i="1"/>
  <c r="DV619" i="1"/>
  <c r="DV620" i="1"/>
  <c r="DV622" i="1"/>
  <c r="DV623" i="1"/>
  <c r="DV624" i="1"/>
  <c r="DV625" i="1"/>
  <c r="DV626" i="1"/>
  <c r="DV628" i="1"/>
  <c r="DV629" i="1"/>
  <c r="DV630" i="1"/>
  <c r="DV631" i="1"/>
  <c r="DV632" i="1"/>
  <c r="DV633" i="1"/>
  <c r="DV634" i="1"/>
  <c r="DV636" i="1"/>
  <c r="DV637" i="1"/>
  <c r="DV638" i="1"/>
  <c r="DV639" i="1"/>
  <c r="DV641" i="1"/>
  <c r="DV643" i="1"/>
  <c r="DV644" i="1"/>
  <c r="DV645" i="1"/>
  <c r="DV647" i="1"/>
  <c r="DV648" i="1"/>
  <c r="DV649" i="1"/>
  <c r="DV650" i="1"/>
  <c r="DV651" i="1"/>
  <c r="DV652" i="1"/>
  <c r="DV654" i="1"/>
  <c r="DV655" i="1"/>
  <c r="DV656" i="1"/>
  <c r="DV657" i="1"/>
  <c r="DV658" i="1"/>
  <c r="DV659" i="1"/>
  <c r="DV660" i="1"/>
  <c r="DV662" i="1"/>
  <c r="DV663" i="1"/>
  <c r="DV665" i="1"/>
  <c r="DV666" i="1"/>
  <c r="DV667" i="1"/>
  <c r="DV669" i="1"/>
  <c r="DV670" i="1"/>
  <c r="DV671" i="1"/>
  <c r="DV672" i="1"/>
  <c r="DV674" i="1"/>
  <c r="DV675" i="1"/>
  <c r="DV676" i="1"/>
  <c r="DV677" i="1"/>
  <c r="DV678" i="1"/>
  <c r="DV679" i="1"/>
  <c r="DV681" i="1"/>
  <c r="DV682" i="1"/>
  <c r="DV683" i="1"/>
  <c r="DV684" i="1"/>
  <c r="DV685" i="1"/>
  <c r="DV686" i="1"/>
  <c r="DV687" i="1"/>
  <c r="DV688" i="1"/>
  <c r="DV689" i="1"/>
  <c r="DV690" i="1"/>
  <c r="DV691" i="1"/>
  <c r="DV693" i="1"/>
  <c r="DV694" i="1"/>
  <c r="DV695" i="1"/>
  <c r="DV696" i="1"/>
  <c r="DV698" i="1"/>
  <c r="DV699" i="1"/>
  <c r="DV702" i="1"/>
  <c r="DV703" i="1"/>
  <c r="DV704" i="1"/>
  <c r="DV706" i="1"/>
  <c r="DV707" i="1"/>
  <c r="DV708" i="1"/>
  <c r="DV709" i="1"/>
  <c r="DV711" i="1"/>
  <c r="DV712" i="1"/>
  <c r="DV713" i="1"/>
  <c r="DV714" i="1"/>
  <c r="DV715" i="1"/>
  <c r="DV716" i="1"/>
  <c r="DV717" i="1"/>
  <c r="DV718" i="1"/>
  <c r="DV720" i="1"/>
  <c r="DV721" i="1"/>
  <c r="DV723" i="1"/>
  <c r="DV724" i="1"/>
  <c r="DV725" i="1"/>
  <c r="DV726" i="1"/>
  <c r="DV729" i="1"/>
  <c r="DV731" i="1"/>
  <c r="DV732" i="1"/>
  <c r="DV733" i="1"/>
  <c r="DV734" i="1"/>
  <c r="DV735" i="1"/>
  <c r="DV736" i="1"/>
  <c r="DV738" i="1"/>
  <c r="DV739" i="1"/>
  <c r="DV740" i="1"/>
  <c r="DV741" i="1"/>
  <c r="DV742" i="1"/>
  <c r="DV743" i="1"/>
  <c r="DV744" i="1"/>
  <c r="DV745" i="1"/>
  <c r="DV748" i="1"/>
  <c r="DV750" i="1"/>
  <c r="DV751" i="1"/>
  <c r="DV752" i="1"/>
  <c r="DV753" i="1"/>
  <c r="DV754" i="1"/>
  <c r="DV755" i="1"/>
  <c r="DV756" i="1"/>
  <c r="DV758" i="1"/>
  <c r="DV760" i="1"/>
  <c r="DV761" i="1"/>
  <c r="DV763" i="1"/>
  <c r="DV764" i="1"/>
  <c r="DV766" i="1"/>
  <c r="DV767" i="1"/>
  <c r="DV768" i="1"/>
  <c r="DV769" i="1"/>
  <c r="DV774" i="1"/>
  <c r="DV775" i="1"/>
  <c r="DV777" i="1"/>
  <c r="DV778" i="1"/>
  <c r="DV779" i="1"/>
  <c r="DV780" i="1"/>
  <c r="DV782" i="1"/>
  <c r="DV783" i="1"/>
  <c r="DV784" i="1"/>
  <c r="DV785" i="1"/>
  <c r="DV786" i="1"/>
  <c r="DV787" i="1"/>
  <c r="DV789" i="1"/>
  <c r="DV790" i="1"/>
  <c r="DV791" i="1"/>
  <c r="DV793" i="1"/>
  <c r="DV794" i="1"/>
  <c r="DV795" i="1"/>
  <c r="DV796" i="1"/>
  <c r="DV797" i="1"/>
  <c r="DV798" i="1"/>
  <c r="DV800" i="1"/>
  <c r="DV801" i="1"/>
  <c r="DV802" i="1"/>
  <c r="DV803" i="1"/>
  <c r="DV804" i="1"/>
  <c r="DV805" i="1"/>
  <c r="DV806" i="1"/>
  <c r="DV807" i="1"/>
  <c r="DV808" i="1"/>
  <c r="DV810" i="1"/>
  <c r="DV811" i="1"/>
  <c r="DV812" i="1"/>
  <c r="DV813" i="1"/>
  <c r="DV814" i="1"/>
  <c r="DV815" i="1"/>
  <c r="DV816" i="1"/>
  <c r="DV818" i="1"/>
  <c r="DV819" i="1"/>
  <c r="DV820" i="1"/>
  <c r="DV822" i="1"/>
  <c r="DV823" i="1"/>
  <c r="DV824" i="1"/>
  <c r="DV825" i="1"/>
  <c r="DV826" i="1"/>
  <c r="DV827" i="1"/>
  <c r="DV829" i="1"/>
  <c r="DV830" i="1"/>
  <c r="DV831" i="1"/>
  <c r="DV832" i="1"/>
  <c r="DV834" i="1"/>
  <c r="DV835" i="1"/>
  <c r="DV836" i="1"/>
  <c r="DV838" i="1"/>
  <c r="DV839" i="1"/>
  <c r="DV840" i="1"/>
  <c r="DV841" i="1"/>
  <c r="DV842" i="1"/>
  <c r="DV843" i="1"/>
  <c r="DV845" i="1"/>
  <c r="DV846" i="1"/>
  <c r="DV847" i="1"/>
  <c r="DV848" i="1"/>
  <c r="DV849" i="1"/>
  <c r="DV850" i="1"/>
  <c r="DV852" i="1"/>
  <c r="DV854" i="1"/>
  <c r="DV855" i="1"/>
  <c r="DV856" i="1"/>
  <c r="DV857" i="1"/>
  <c r="DV859" i="1"/>
  <c r="DV860" i="1"/>
  <c r="DV862" i="1"/>
  <c r="DV863" i="1"/>
  <c r="DV864" i="1"/>
  <c r="DV865" i="1"/>
  <c r="DV866" i="1"/>
  <c r="DV867" i="1"/>
  <c r="DV868" i="1"/>
  <c r="DV869" i="1"/>
  <c r="DV870" i="1"/>
  <c r="DV872" i="1"/>
  <c r="DV873" i="1"/>
  <c r="DV874" i="1"/>
  <c r="DV875" i="1"/>
  <c r="DV876" i="1"/>
  <c r="DV877" i="1"/>
  <c r="DV878" i="1"/>
  <c r="DV879" i="1"/>
  <c r="DV880" i="1"/>
  <c r="DV881" i="1"/>
  <c r="DV884" i="1"/>
  <c r="DV886" i="1"/>
  <c r="DV887" i="1"/>
  <c r="DV888" i="1"/>
  <c r="DV889" i="1"/>
  <c r="DV890" i="1"/>
  <c r="DV891" i="1"/>
  <c r="DV892" i="1"/>
  <c r="DV893" i="1"/>
  <c r="DV894" i="1"/>
  <c r="DV895" i="1"/>
  <c r="DV898" i="1"/>
  <c r="DV899" i="1"/>
  <c r="DV900" i="1"/>
  <c r="DV901" i="1"/>
  <c r="DV902" i="1"/>
  <c r="DV904" i="1"/>
  <c r="DV905" i="1"/>
  <c r="DV906" i="1"/>
  <c r="DV908" i="1"/>
  <c r="DV909" i="1"/>
  <c r="DV910" i="1"/>
  <c r="DV911" i="1"/>
  <c r="DV912" i="1"/>
  <c r="DV913" i="1"/>
  <c r="DV916" i="1"/>
  <c r="DV917" i="1"/>
  <c r="DV918" i="1"/>
  <c r="DV919" i="1"/>
  <c r="DV921" i="1"/>
  <c r="DV922" i="1"/>
  <c r="DV923" i="1"/>
  <c r="DV924" i="1"/>
  <c r="DV925" i="1"/>
  <c r="DV927" i="1"/>
  <c r="DV928" i="1"/>
  <c r="DV929" i="1"/>
  <c r="DV930" i="1"/>
  <c r="DV931" i="1"/>
  <c r="DV932" i="1"/>
  <c r="DV933" i="1"/>
  <c r="DV935" i="1"/>
  <c r="DV936" i="1"/>
  <c r="DV937" i="1"/>
  <c r="DV938" i="1"/>
  <c r="DV939" i="1"/>
  <c r="DV940" i="1"/>
  <c r="DV941" i="1"/>
  <c r="DV943" i="1"/>
  <c r="DV944" i="1"/>
  <c r="DV945" i="1"/>
  <c r="DV947" i="1"/>
  <c r="DV948" i="1"/>
  <c r="DV950" i="1"/>
  <c r="DV951" i="1"/>
  <c r="DV952" i="1"/>
  <c r="DV953" i="1"/>
  <c r="DV954" i="1"/>
  <c r="DV955" i="1"/>
  <c r="DV956" i="1"/>
  <c r="DV957" i="1"/>
  <c r="DV958" i="1"/>
  <c r="DV960" i="1"/>
  <c r="DV961" i="1"/>
  <c r="DV962" i="1"/>
  <c r="DV963" i="1"/>
  <c r="DV964" i="1"/>
  <c r="DV965" i="1"/>
  <c r="DV966" i="1"/>
  <c r="DV967" i="1"/>
  <c r="DV969" i="1"/>
  <c r="DV970" i="1"/>
  <c r="DV971" i="1"/>
  <c r="DV972" i="1"/>
  <c r="DV973" i="1"/>
  <c r="DV974" i="1"/>
  <c r="DV975" i="1"/>
  <c r="DV977" i="1"/>
  <c r="DV978" i="1"/>
  <c r="DV979" i="1"/>
  <c r="DV980" i="1"/>
  <c r="DV981" i="1"/>
  <c r="DV983" i="1"/>
  <c r="DV985" i="1"/>
  <c r="DV986" i="1"/>
  <c r="DV987" i="1"/>
  <c r="DV989" i="1"/>
  <c r="DV990" i="1"/>
  <c r="DV991" i="1"/>
  <c r="DV992" i="1"/>
  <c r="DV993" i="1"/>
  <c r="DV994" i="1"/>
  <c r="DV996" i="1"/>
  <c r="DV997" i="1"/>
  <c r="DV998" i="1"/>
  <c r="DV999" i="1"/>
  <c r="DV1000" i="1"/>
  <c r="DV1001" i="1"/>
  <c r="DV1002" i="1"/>
  <c r="DV1003" i="1"/>
  <c r="DV1005" i="1"/>
  <c r="DV1006" i="1"/>
  <c r="DV1007" i="1"/>
  <c r="DV1008" i="1"/>
  <c r="DV1009" i="1"/>
  <c r="DV1010" i="1"/>
  <c r="DV1011" i="1"/>
  <c r="DV1013" i="1"/>
  <c r="DV1014" i="1"/>
  <c r="DV1015" i="1"/>
  <c r="DV1016" i="1"/>
  <c r="DV1017" i="1"/>
  <c r="DV1018" i="1"/>
  <c r="DV1019" i="1"/>
  <c r="DV1020" i="1"/>
  <c r="DV1021" i="1"/>
  <c r="DV1022" i="1"/>
  <c r="DV1023" i="1"/>
  <c r="DV1025" i="1"/>
  <c r="DV1026" i="1"/>
  <c r="DV1027" i="1"/>
  <c r="DV1028" i="1"/>
  <c r="DV1029" i="1"/>
  <c r="DV1030" i="1"/>
  <c r="DV1031" i="1"/>
  <c r="DV1032" i="1"/>
  <c r="DV1033" i="1"/>
  <c r="DV1035" i="1"/>
  <c r="DV1036" i="1"/>
  <c r="DV1037" i="1"/>
  <c r="DV1038" i="1"/>
  <c r="DV1039" i="1"/>
  <c r="DV1040" i="1"/>
  <c r="DV1041" i="1"/>
  <c r="DV1042" i="1"/>
  <c r="DV1043" i="1"/>
  <c r="DV1044" i="1"/>
  <c r="DV1046" i="1"/>
  <c r="DV1047" i="1"/>
  <c r="DV1048" i="1"/>
  <c r="DV1051" i="1"/>
  <c r="DV1053" i="1"/>
  <c r="DV1054" i="1"/>
  <c r="DV1055" i="1"/>
  <c r="DV1056" i="1"/>
  <c r="DV1057" i="1"/>
  <c r="DV1060" i="1"/>
  <c r="DV1061" i="1"/>
  <c r="DV1062" i="1"/>
  <c r="DV1063" i="1"/>
  <c r="DV1064" i="1"/>
  <c r="DV1066" i="1"/>
  <c r="DV1067" i="1"/>
  <c r="DV1068" i="1"/>
  <c r="DV1069" i="1"/>
  <c r="DV1070" i="1"/>
  <c r="DV1071" i="1"/>
  <c r="DV1072" i="1"/>
  <c r="DV1073" i="1"/>
  <c r="DV1075" i="1"/>
  <c r="DV1076" i="1"/>
  <c r="DV1077" i="1"/>
  <c r="DV1080" i="1"/>
  <c r="DV1081" i="1"/>
  <c r="DV1082" i="1"/>
  <c r="DV1083" i="1"/>
  <c r="DV1084" i="1"/>
  <c r="DV1086" i="1"/>
  <c r="DV1087" i="1"/>
  <c r="DV1088" i="1"/>
  <c r="DV1089" i="1"/>
  <c r="DV1090" i="1"/>
  <c r="DV1091" i="1"/>
  <c r="DV1092" i="1"/>
  <c r="DV1093" i="1"/>
  <c r="DV1094" i="1"/>
  <c r="DV1096" i="1"/>
  <c r="DV1097" i="1"/>
  <c r="DV1098" i="1"/>
  <c r="DV1099" i="1"/>
  <c r="DV1100" i="1"/>
  <c r="DV1101" i="1"/>
  <c r="DV1102" i="1"/>
  <c r="DV1103" i="1"/>
  <c r="DV1104" i="1"/>
  <c r="DV1105" i="1"/>
  <c r="DV1106" i="1"/>
  <c r="DV1108" i="1"/>
  <c r="DV1109" i="1"/>
  <c r="DV1110" i="1"/>
  <c r="DV1111" i="1"/>
  <c r="DV1112" i="1"/>
  <c r="DV1113" i="1"/>
  <c r="DV1115" i="1"/>
  <c r="DV1116" i="1"/>
  <c r="DV1117" i="1"/>
  <c r="DV1118" i="1"/>
  <c r="DV1120" i="1"/>
  <c r="DV1122" i="1"/>
  <c r="DV1123" i="1"/>
  <c r="DV1124" i="1"/>
  <c r="DV1126" i="1"/>
  <c r="DV1127" i="1"/>
  <c r="DV1128" i="1"/>
  <c r="DV1129" i="1"/>
  <c r="DV1130" i="1"/>
  <c r="DV1132" i="1"/>
  <c r="DV1133" i="1"/>
  <c r="DV1135" i="1"/>
  <c r="DV1136" i="1"/>
  <c r="DV1137" i="1"/>
  <c r="DV1138" i="1"/>
  <c r="DV1139" i="1"/>
  <c r="DV1140" i="1"/>
  <c r="DV1142" i="1"/>
  <c r="DV1143" i="1"/>
  <c r="DV1144" i="1"/>
  <c r="DV1145" i="1"/>
  <c r="DV1146" i="1"/>
  <c r="DV1147" i="1"/>
  <c r="DV1148" i="1"/>
  <c r="DV1149" i="1"/>
  <c r="DV1150" i="1"/>
  <c r="DV1152" i="1"/>
  <c r="DV1153" i="1"/>
  <c r="DV1154" i="1"/>
  <c r="DV1155" i="1"/>
  <c r="DV1157" i="1"/>
  <c r="DV1158" i="1"/>
  <c r="DV1159" i="1"/>
  <c r="DV1160" i="1"/>
  <c r="DV1161" i="1"/>
  <c r="DV1162" i="1"/>
  <c r="DV1163" i="1"/>
  <c r="DV1164" i="1"/>
  <c r="DV1165" i="1"/>
  <c r="DV1167" i="1"/>
  <c r="DV1168" i="1"/>
  <c r="DV1169" i="1"/>
  <c r="DV1170" i="1"/>
  <c r="DV1172" i="1"/>
  <c r="DV1173" i="1"/>
  <c r="DV1174" i="1"/>
  <c r="DV1175" i="1"/>
  <c r="DV1177" i="1"/>
  <c r="DV1178" i="1"/>
  <c r="DV1179" i="1"/>
  <c r="DV1180" i="1"/>
  <c r="DV1181" i="1"/>
  <c r="DV1182" i="1"/>
  <c r="DV1183" i="1"/>
  <c r="DV1185" i="1"/>
  <c r="DV1186" i="1"/>
  <c r="DV1187" i="1"/>
  <c r="DV1188" i="1"/>
  <c r="DV1189" i="1"/>
  <c r="DV1190" i="1"/>
  <c r="DV1192" i="1"/>
  <c r="DV1194" i="1"/>
  <c r="DV1195" i="1"/>
  <c r="DV1196" i="1"/>
  <c r="DV1199" i="1"/>
  <c r="DV1201" i="1"/>
  <c r="DV1202" i="1"/>
  <c r="DV1203" i="1"/>
  <c r="DV1204" i="1"/>
  <c r="DV1205" i="1"/>
  <c r="DV1206" i="1"/>
  <c r="DV1207" i="1"/>
  <c r="DV1209" i="1"/>
  <c r="DV1210" i="1"/>
  <c r="DV1211" i="1"/>
  <c r="DV1212" i="1"/>
  <c r="DV1213" i="1"/>
  <c r="DV1214" i="1"/>
  <c r="DV1215" i="1"/>
  <c r="DV1216" i="1"/>
  <c r="DV1217" i="1"/>
  <c r="DV1219" i="1"/>
  <c r="DV1220" i="1"/>
  <c r="DV1222" i="1"/>
  <c r="DV1223" i="1"/>
  <c r="DV1224" i="1"/>
  <c r="DV1225" i="1"/>
  <c r="DV1226" i="1"/>
  <c r="DV1227" i="1"/>
  <c r="DV1229" i="1"/>
  <c r="DV1230" i="1"/>
  <c r="DV1231" i="1"/>
  <c r="DV1232" i="1"/>
  <c r="DV1233" i="1"/>
  <c r="DV1234" i="1"/>
  <c r="DV1235" i="1"/>
  <c r="DV1236" i="1"/>
  <c r="DV1238" i="1"/>
  <c r="DV1240" i="1"/>
  <c r="DV1241" i="1"/>
  <c r="DV1242" i="1"/>
  <c r="DV1244" i="1"/>
  <c r="DV1245" i="1"/>
  <c r="DV1246" i="1"/>
  <c r="DV1247" i="1"/>
  <c r="DV1248" i="1"/>
  <c r="DV1250" i="1"/>
  <c r="DV1251" i="1"/>
  <c r="DV1252" i="1"/>
  <c r="DV1253" i="1"/>
  <c r="DV1254" i="1"/>
  <c r="DV1255" i="1"/>
  <c r="DV1256" i="1"/>
  <c r="DV1257" i="1"/>
  <c r="DV1258" i="1"/>
  <c r="DV1259" i="1"/>
  <c r="DV1261" i="1"/>
  <c r="DV1262" i="1"/>
  <c r="DV1263" i="1"/>
  <c r="DV1265" i="1"/>
  <c r="DV1266" i="1"/>
  <c r="DV1267" i="1"/>
  <c r="DV1268" i="1"/>
  <c r="DV1272" i="1"/>
  <c r="DV1274" i="1"/>
  <c r="DV1275" i="1"/>
  <c r="DV1276" i="1"/>
  <c r="DV1277" i="1"/>
  <c r="DV1278" i="1"/>
  <c r="DV1279" i="1"/>
  <c r="DV1280" i="1"/>
  <c r="DV1282" i="1"/>
  <c r="DV1283" i="1"/>
  <c r="DV1284" i="1"/>
  <c r="DV1285" i="1"/>
  <c r="DV1286" i="1"/>
  <c r="DV1287" i="1"/>
  <c r="DV1288" i="1"/>
  <c r="DV1289" i="1"/>
  <c r="DV1291" i="1"/>
  <c r="DV1292" i="1"/>
  <c r="DV1293" i="1"/>
  <c r="DV1294" i="1"/>
  <c r="DV1295" i="1"/>
  <c r="DV1296" i="1"/>
  <c r="DV1297" i="1"/>
  <c r="DV1298" i="1"/>
  <c r="DV1299" i="1"/>
  <c r="DV1300" i="1"/>
  <c r="DV1301" i="1"/>
  <c r="DV1303" i="1"/>
  <c r="DV1304" i="1"/>
  <c r="DV1305" i="1"/>
  <c r="DV1306" i="1"/>
  <c r="DV1307" i="1"/>
  <c r="DV1308" i="1"/>
  <c r="DV1309" i="1"/>
  <c r="DV1310" i="1"/>
  <c r="DV1311" i="1"/>
  <c r="DV1312" i="1"/>
  <c r="DV1313" i="1"/>
  <c r="DW67" i="1"/>
  <c r="DW68" i="1"/>
  <c r="DW69" i="1"/>
  <c r="DW70" i="1"/>
  <c r="DW71" i="1"/>
  <c r="DW72" i="1"/>
  <c r="DW73" i="1"/>
  <c r="DW74" i="1"/>
  <c r="DW76" i="1"/>
  <c r="DW77" i="1"/>
  <c r="DW78" i="1"/>
  <c r="DW79" i="1"/>
  <c r="DW80" i="1"/>
  <c r="DW81" i="1"/>
  <c r="DW82" i="1"/>
  <c r="DW84" i="1"/>
  <c r="DW85" i="1"/>
  <c r="DW86" i="1"/>
  <c r="DW87" i="1"/>
  <c r="DW88" i="1"/>
  <c r="DW89" i="1"/>
  <c r="DW90" i="1"/>
  <c r="DW92" i="1"/>
  <c r="DW93" i="1"/>
  <c r="DW94" i="1"/>
  <c r="DW95" i="1"/>
  <c r="DW96" i="1"/>
  <c r="DW97" i="1"/>
  <c r="DW98" i="1"/>
  <c r="DW101" i="1"/>
  <c r="DW103" i="1"/>
  <c r="DW104" i="1"/>
  <c r="DW105" i="1"/>
  <c r="DW106" i="1"/>
  <c r="DW107" i="1"/>
  <c r="DW108" i="1"/>
  <c r="DW109" i="1"/>
  <c r="DW111" i="1"/>
  <c r="DW112" i="1"/>
  <c r="DW113" i="1"/>
  <c r="DW114" i="1"/>
  <c r="DW115" i="1"/>
  <c r="DW116" i="1"/>
  <c r="DW117" i="1"/>
  <c r="DW118" i="1"/>
  <c r="DW119" i="1"/>
  <c r="DW120" i="1"/>
  <c r="DW122" i="1"/>
  <c r="DW124" i="1"/>
  <c r="DW125" i="1"/>
  <c r="DW126" i="1"/>
  <c r="DW129" i="1"/>
  <c r="DW131" i="1"/>
  <c r="DW132" i="1"/>
  <c r="DW133" i="1"/>
  <c r="DW136" i="1"/>
  <c r="DW138" i="1"/>
  <c r="DW139" i="1"/>
  <c r="DW140" i="1"/>
  <c r="DW141" i="1"/>
  <c r="DW142" i="1"/>
  <c r="DW144" i="1"/>
  <c r="DW145" i="1"/>
  <c r="DW146" i="1"/>
  <c r="DW147" i="1"/>
  <c r="DW148" i="1"/>
  <c r="DW149" i="1"/>
  <c r="DW151" i="1"/>
  <c r="DW152" i="1"/>
  <c r="DW153" i="1"/>
  <c r="DW154" i="1"/>
  <c r="DW155" i="1"/>
  <c r="DW156" i="1"/>
  <c r="DW157" i="1"/>
  <c r="DW158" i="1"/>
  <c r="DW160" i="1"/>
  <c r="DW161" i="1"/>
  <c r="DW162" i="1"/>
  <c r="DW163" i="1"/>
  <c r="DW166" i="1"/>
  <c r="DW167" i="1"/>
  <c r="DW168" i="1"/>
  <c r="DW169" i="1"/>
  <c r="DW170" i="1"/>
  <c r="DW172" i="1"/>
  <c r="DW173" i="1"/>
  <c r="DW175" i="1"/>
  <c r="DW176" i="1"/>
  <c r="DW177" i="1"/>
  <c r="DW178" i="1"/>
  <c r="DW179" i="1"/>
  <c r="DW180" i="1"/>
  <c r="DW181" i="1"/>
  <c r="DW182" i="1"/>
  <c r="DW183" i="1"/>
  <c r="DW184" i="1"/>
  <c r="DW186" i="1"/>
  <c r="DW187" i="1"/>
  <c r="DW188" i="1"/>
  <c r="DW189" i="1"/>
  <c r="DW190" i="1"/>
  <c r="DW191" i="1"/>
  <c r="DW192" i="1"/>
  <c r="DW193" i="1"/>
  <c r="DW195" i="1"/>
  <c r="DW196" i="1"/>
  <c r="DW197" i="1"/>
  <c r="DW198" i="1"/>
  <c r="DW200" i="1"/>
  <c r="DW201" i="1"/>
  <c r="DW202" i="1"/>
  <c r="DW203" i="1"/>
  <c r="DW204" i="1"/>
  <c r="DW205" i="1"/>
  <c r="DW206" i="1"/>
  <c r="DW207" i="1"/>
  <c r="DW209" i="1"/>
  <c r="DW210" i="1"/>
  <c r="DW211" i="1"/>
  <c r="DW212" i="1"/>
  <c r="DW213" i="1"/>
  <c r="DW214" i="1"/>
  <c r="DW215" i="1"/>
  <c r="DW218" i="1"/>
  <c r="DW219" i="1"/>
  <c r="DW220" i="1"/>
  <c r="DW221" i="1"/>
  <c r="DW222" i="1"/>
  <c r="DW224" i="1"/>
  <c r="DW225" i="1"/>
  <c r="DW226" i="1"/>
  <c r="DW227" i="1"/>
  <c r="DW228" i="1"/>
  <c r="DW229" i="1"/>
  <c r="DW231" i="1"/>
  <c r="DW232" i="1"/>
  <c r="DW233" i="1"/>
  <c r="DW234" i="1"/>
  <c r="DW235" i="1"/>
  <c r="DW236" i="1"/>
  <c r="DW237" i="1"/>
  <c r="DW238" i="1"/>
  <c r="DW240" i="1"/>
  <c r="DW241" i="1"/>
  <c r="DW242" i="1"/>
  <c r="DW243" i="1"/>
  <c r="DW244" i="1"/>
  <c r="DW245" i="1"/>
  <c r="DW246" i="1"/>
  <c r="DW247" i="1"/>
  <c r="DW249" i="1"/>
  <c r="DW250" i="1"/>
  <c r="DW251" i="1"/>
  <c r="DW252" i="1"/>
  <c r="DW253" i="1"/>
  <c r="DW254" i="1"/>
  <c r="DW255" i="1"/>
  <c r="DW256" i="1"/>
  <c r="DW258" i="1"/>
  <c r="DW259" i="1"/>
  <c r="DW260" i="1"/>
  <c r="DW261" i="1"/>
  <c r="DW262" i="1"/>
  <c r="DW263" i="1"/>
  <c r="DW264" i="1"/>
  <c r="DW265" i="1"/>
  <c r="DW266" i="1"/>
  <c r="DW268" i="1"/>
  <c r="DW269" i="1"/>
  <c r="DW270" i="1"/>
  <c r="DW271" i="1"/>
  <c r="DW272" i="1"/>
  <c r="DW273" i="1"/>
  <c r="DW274" i="1"/>
  <c r="DW275" i="1"/>
  <c r="DW276" i="1"/>
  <c r="DW278" i="1"/>
  <c r="DW279" i="1"/>
  <c r="DW280" i="1"/>
  <c r="DW281" i="1"/>
  <c r="DW282" i="1"/>
  <c r="DW283" i="1"/>
  <c r="DW285" i="1"/>
  <c r="DW286" i="1"/>
  <c r="DW287" i="1"/>
  <c r="DW288" i="1"/>
  <c r="DW291" i="1"/>
  <c r="DW292" i="1"/>
  <c r="DW293" i="1"/>
  <c r="DW294" i="1"/>
  <c r="DW296" i="1"/>
  <c r="DW297" i="1"/>
  <c r="DW298" i="1"/>
  <c r="DW299" i="1"/>
  <c r="DW300" i="1"/>
  <c r="DW301" i="1"/>
  <c r="DW302" i="1"/>
  <c r="DW303" i="1"/>
  <c r="DW305" i="1"/>
  <c r="DW306" i="1"/>
  <c r="DW307" i="1"/>
  <c r="DW308" i="1"/>
  <c r="DW309" i="1"/>
  <c r="DW310" i="1"/>
  <c r="DW311" i="1"/>
  <c r="DW312" i="1"/>
  <c r="DW313" i="1"/>
  <c r="DW314" i="1"/>
  <c r="DW316" i="1"/>
  <c r="DW317" i="1"/>
  <c r="DW318" i="1"/>
  <c r="DW319" i="1"/>
  <c r="DW320" i="1"/>
  <c r="DW321" i="1"/>
  <c r="DW322" i="1"/>
  <c r="DW323" i="1"/>
  <c r="DW324" i="1"/>
  <c r="DW325" i="1"/>
  <c r="DW326" i="1"/>
  <c r="DW327" i="1"/>
  <c r="DW329" i="1"/>
  <c r="DW330" i="1"/>
  <c r="DW332" i="1"/>
  <c r="DW333" i="1"/>
  <c r="DW334" i="1"/>
  <c r="DW335" i="1"/>
  <c r="DW336" i="1"/>
  <c r="DW337" i="1"/>
  <c r="DW338" i="1"/>
  <c r="DW341" i="1"/>
  <c r="DW342" i="1"/>
  <c r="DW343" i="1"/>
  <c r="DW344" i="1"/>
  <c r="DW345" i="1"/>
  <c r="DW346" i="1"/>
  <c r="DW347" i="1"/>
  <c r="DW348" i="1"/>
  <c r="DW349" i="1"/>
  <c r="DW351" i="1"/>
  <c r="DW352" i="1"/>
  <c r="DW353" i="1"/>
  <c r="DW354" i="1"/>
  <c r="DW355" i="1"/>
  <c r="DW356" i="1"/>
  <c r="DW358" i="1"/>
  <c r="DW359" i="1"/>
  <c r="DW360" i="1"/>
  <c r="DW361" i="1"/>
  <c r="DW362" i="1"/>
  <c r="DW363" i="1"/>
  <c r="DW364" i="1"/>
  <c r="DW365" i="1"/>
  <c r="DW367" i="1"/>
  <c r="DW368" i="1"/>
  <c r="DW369" i="1"/>
  <c r="DW371" i="1"/>
  <c r="DW372" i="1"/>
  <c r="DW373" i="1"/>
  <c r="DW375" i="1"/>
  <c r="DW376" i="1"/>
  <c r="DW378" i="1"/>
  <c r="DW379" i="1"/>
  <c r="DW380" i="1"/>
  <c r="DW381" i="1"/>
  <c r="DW382" i="1"/>
  <c r="DW383" i="1"/>
  <c r="DW385" i="1"/>
  <c r="DW386" i="1"/>
  <c r="DW387" i="1"/>
  <c r="DW388" i="1"/>
  <c r="DW389" i="1"/>
  <c r="DW390" i="1"/>
  <c r="DW391" i="1"/>
  <c r="DW393" i="1"/>
  <c r="DW394" i="1"/>
  <c r="DW395" i="1"/>
  <c r="DW396" i="1"/>
  <c r="DW397" i="1"/>
  <c r="DW398" i="1"/>
  <c r="DW399" i="1"/>
  <c r="DW400" i="1"/>
  <c r="DW401" i="1"/>
  <c r="DW403" i="1"/>
  <c r="DW404" i="1"/>
  <c r="DW405" i="1"/>
  <c r="DW406" i="1"/>
  <c r="DW407" i="1"/>
  <c r="DW408" i="1"/>
  <c r="DW409" i="1"/>
  <c r="DW410" i="1"/>
  <c r="DW411" i="1"/>
  <c r="DW413" i="1"/>
  <c r="DW414" i="1"/>
  <c r="DW415" i="1"/>
  <c r="DW416" i="1"/>
  <c r="DW417" i="1"/>
  <c r="DW418" i="1"/>
  <c r="DW421" i="1"/>
  <c r="DW422" i="1"/>
  <c r="DW423" i="1"/>
  <c r="DW424" i="1"/>
  <c r="DW425" i="1"/>
  <c r="DW426" i="1"/>
  <c r="DW427" i="1"/>
  <c r="DW428" i="1"/>
  <c r="DW430" i="1"/>
  <c r="DW431" i="1"/>
  <c r="DW432" i="1"/>
  <c r="DW433" i="1"/>
  <c r="DW434" i="1"/>
  <c r="DW435" i="1"/>
  <c r="DW436" i="1"/>
  <c r="DW439" i="1"/>
  <c r="DW440" i="1"/>
  <c r="DW441" i="1"/>
  <c r="DW442" i="1"/>
  <c r="DW443" i="1"/>
  <c r="DW445" i="1"/>
  <c r="DW446" i="1"/>
  <c r="DW447" i="1"/>
  <c r="DW448" i="1"/>
  <c r="DW449" i="1"/>
  <c r="DW450" i="1"/>
  <c r="DW451" i="1"/>
  <c r="DW452" i="1"/>
  <c r="DW454" i="1"/>
  <c r="DW455" i="1"/>
  <c r="DW456" i="1"/>
  <c r="DW457" i="1"/>
  <c r="DW460" i="1"/>
  <c r="DW461" i="1"/>
  <c r="DW462" i="1"/>
  <c r="DW463" i="1"/>
  <c r="DW464" i="1"/>
  <c r="DW465" i="1"/>
  <c r="DW466" i="1"/>
  <c r="DW468" i="1"/>
  <c r="DW469" i="1"/>
  <c r="DW470" i="1"/>
  <c r="DW471" i="1"/>
  <c r="DW472" i="1"/>
  <c r="DW473" i="1"/>
  <c r="DW474" i="1"/>
  <c r="DW475" i="1"/>
  <c r="DW476" i="1"/>
  <c r="DW478" i="1"/>
  <c r="DW479" i="1"/>
  <c r="DW480" i="1"/>
  <c r="DW481" i="1"/>
  <c r="DW482" i="1"/>
  <c r="DW483" i="1"/>
  <c r="DW485" i="1"/>
  <c r="DW486" i="1"/>
  <c r="DW487" i="1"/>
  <c r="DW488" i="1"/>
  <c r="DW489" i="1"/>
  <c r="DW490" i="1"/>
  <c r="DW491" i="1"/>
  <c r="DW492" i="1"/>
  <c r="DW493" i="1"/>
  <c r="DW495" i="1"/>
  <c r="DW496" i="1"/>
  <c r="DW497" i="1"/>
  <c r="DW498" i="1"/>
  <c r="DW499" i="1"/>
  <c r="DW500" i="1"/>
  <c r="DW502" i="1"/>
  <c r="DW503" i="1"/>
  <c r="DW504" i="1"/>
  <c r="DW505" i="1"/>
  <c r="DW506" i="1"/>
  <c r="DW507" i="1"/>
  <c r="DW508" i="1"/>
  <c r="DW510" i="1"/>
  <c r="DW511" i="1"/>
  <c r="DW512" i="1"/>
  <c r="DW514" i="1"/>
  <c r="DW515" i="1"/>
  <c r="DW516" i="1"/>
  <c r="DW517" i="1"/>
  <c r="DW518" i="1"/>
  <c r="DW520" i="1"/>
  <c r="DW521" i="1"/>
  <c r="DW522" i="1"/>
  <c r="DW523" i="1"/>
  <c r="DW524" i="1"/>
  <c r="DW525" i="1"/>
  <c r="DW526" i="1"/>
  <c r="DW527" i="1"/>
  <c r="DW529" i="1"/>
  <c r="DW530" i="1"/>
  <c r="DW531" i="1"/>
  <c r="DW532" i="1"/>
  <c r="DW533" i="1"/>
  <c r="DW534" i="1"/>
  <c r="DW535" i="1"/>
  <c r="DW536" i="1"/>
  <c r="DW538" i="1"/>
  <c r="DW539" i="1"/>
  <c r="DW540" i="1"/>
  <c r="DW541" i="1"/>
  <c r="DW542" i="1"/>
  <c r="DW543" i="1"/>
  <c r="DW544" i="1"/>
  <c r="DW545" i="1"/>
  <c r="DW546" i="1"/>
  <c r="DW548" i="1"/>
  <c r="DW549" i="1"/>
  <c r="DW550" i="1"/>
  <c r="DW551" i="1"/>
  <c r="DW552" i="1"/>
  <c r="DW553" i="1"/>
  <c r="DW554" i="1"/>
  <c r="DW555" i="1"/>
  <c r="DW557" i="1"/>
  <c r="DW558" i="1"/>
  <c r="DW559" i="1"/>
  <c r="DW560" i="1"/>
  <c r="DW561" i="1"/>
  <c r="DW562" i="1"/>
  <c r="DW563" i="1"/>
  <c r="DW564" i="1"/>
  <c r="DW565" i="1"/>
  <c r="DW566" i="1"/>
  <c r="DW567" i="1"/>
  <c r="DW569" i="1"/>
  <c r="DW570" i="1"/>
  <c r="DW572" i="1"/>
  <c r="DW573" i="1"/>
  <c r="DW574" i="1"/>
  <c r="DW576" i="1"/>
  <c r="DW577" i="1"/>
  <c r="DW578" i="1"/>
  <c r="DW579" i="1"/>
  <c r="DW580" i="1"/>
  <c r="DW581" i="1"/>
  <c r="DW583" i="1"/>
  <c r="DW584" i="1"/>
  <c r="DW586" i="1"/>
  <c r="DW587" i="1"/>
  <c r="DW588" i="1"/>
  <c r="DW591" i="1"/>
  <c r="DW592" i="1"/>
  <c r="DW593" i="1"/>
  <c r="DW594" i="1"/>
  <c r="DW595" i="1"/>
  <c r="DW596" i="1"/>
  <c r="DW597" i="1"/>
  <c r="DW598" i="1"/>
  <c r="DW600" i="1"/>
  <c r="DW601" i="1"/>
  <c r="DW603" i="1"/>
  <c r="DW604" i="1"/>
  <c r="DW605" i="1"/>
  <c r="DW607" i="1"/>
  <c r="DW608" i="1"/>
  <c r="DW609" i="1"/>
  <c r="DW610" i="1"/>
  <c r="DW611" i="1"/>
  <c r="DW612" i="1"/>
  <c r="DW615" i="1"/>
  <c r="DW617" i="1"/>
  <c r="DW618" i="1"/>
  <c r="DW619" i="1"/>
  <c r="DW620" i="1"/>
  <c r="DW622" i="1"/>
  <c r="DW623" i="1"/>
  <c r="DW624" i="1"/>
  <c r="DW625" i="1"/>
  <c r="DW626" i="1"/>
  <c r="DW628" i="1"/>
  <c r="DW629" i="1"/>
  <c r="DW630" i="1"/>
  <c r="DW631" i="1"/>
  <c r="DW632" i="1"/>
  <c r="DW633" i="1"/>
  <c r="DW634" i="1"/>
  <c r="DW636" i="1"/>
  <c r="DW637" i="1"/>
  <c r="DW638" i="1"/>
  <c r="DW639" i="1"/>
  <c r="DW641" i="1"/>
  <c r="DW643" i="1"/>
  <c r="DW644" i="1"/>
  <c r="DW645" i="1"/>
  <c r="DW647" i="1"/>
  <c r="DW648" i="1"/>
  <c r="DW649" i="1"/>
  <c r="DW650" i="1"/>
  <c r="DW651" i="1"/>
  <c r="DW652" i="1"/>
  <c r="DW654" i="1"/>
  <c r="DW655" i="1"/>
  <c r="DW656" i="1"/>
  <c r="DW657" i="1"/>
  <c r="DW658" i="1"/>
  <c r="DW659" i="1"/>
  <c r="DW660" i="1"/>
  <c r="DW662" i="1"/>
  <c r="DW663" i="1"/>
  <c r="DW665" i="1"/>
  <c r="DW666" i="1"/>
  <c r="DW667" i="1"/>
  <c r="DW669" i="1"/>
  <c r="DW670" i="1"/>
  <c r="DW671" i="1"/>
  <c r="DW672" i="1"/>
  <c r="DW674" i="1"/>
  <c r="DW675" i="1"/>
  <c r="DW676" i="1"/>
  <c r="DW677" i="1"/>
  <c r="DW678" i="1"/>
  <c r="DW679" i="1"/>
  <c r="DW681" i="1"/>
  <c r="DW682" i="1"/>
  <c r="DW683" i="1"/>
  <c r="DW684" i="1"/>
  <c r="DW685" i="1"/>
  <c r="DW686" i="1"/>
  <c r="DW687" i="1"/>
  <c r="DW688" i="1"/>
  <c r="DW689" i="1"/>
  <c r="DW690" i="1"/>
  <c r="DW691" i="1"/>
  <c r="DW693" i="1"/>
  <c r="DW694" i="1"/>
  <c r="DW695" i="1"/>
  <c r="DW696" i="1"/>
  <c r="DW698" i="1"/>
  <c r="DW699" i="1"/>
  <c r="DW702" i="1"/>
  <c r="DW703" i="1"/>
  <c r="DW704" i="1"/>
  <c r="DW706" i="1"/>
  <c r="DW707" i="1"/>
  <c r="DW708" i="1"/>
  <c r="DW709" i="1"/>
  <c r="DW711" i="1"/>
  <c r="DW712" i="1"/>
  <c r="DW713" i="1"/>
  <c r="DW714" i="1"/>
  <c r="DW715" i="1"/>
  <c r="DW716" i="1"/>
  <c r="DW717" i="1"/>
  <c r="DW718" i="1"/>
  <c r="DW720" i="1"/>
  <c r="DW721" i="1"/>
  <c r="DW723" i="1"/>
  <c r="DW724" i="1"/>
  <c r="DW725" i="1"/>
  <c r="DW726" i="1"/>
  <c r="DW729" i="1"/>
  <c r="DW731" i="1"/>
  <c r="DW732" i="1"/>
  <c r="DW733" i="1"/>
  <c r="DW734" i="1"/>
  <c r="DW735" i="1"/>
  <c r="DW736" i="1"/>
  <c r="DW739" i="1"/>
  <c r="DW740" i="1"/>
  <c r="DW741" i="1"/>
  <c r="DW742" i="1"/>
  <c r="DW743" i="1"/>
  <c r="DW744" i="1"/>
  <c r="DW745" i="1"/>
  <c r="DW748" i="1"/>
  <c r="DW750" i="1"/>
  <c r="DW751" i="1"/>
  <c r="DW752" i="1"/>
  <c r="DW753" i="1"/>
  <c r="DW754" i="1"/>
  <c r="DW755" i="1"/>
  <c r="DW756" i="1"/>
  <c r="DW758" i="1"/>
  <c r="DW760" i="1"/>
  <c r="DW761" i="1"/>
  <c r="DW763" i="1"/>
  <c r="DW764" i="1"/>
  <c r="DW766" i="1"/>
  <c r="DW767" i="1"/>
  <c r="DW768" i="1"/>
  <c r="DW769" i="1"/>
  <c r="DW774" i="1"/>
  <c r="DW775" i="1"/>
  <c r="DW777" i="1"/>
  <c r="DW778" i="1"/>
  <c r="DW779" i="1"/>
  <c r="DW780" i="1"/>
  <c r="DW782" i="1"/>
  <c r="DW783" i="1"/>
  <c r="DW784" i="1"/>
  <c r="DW785" i="1"/>
  <c r="DW786" i="1"/>
  <c r="DW787" i="1"/>
  <c r="DW789" i="1"/>
  <c r="DW790" i="1"/>
  <c r="DW791" i="1"/>
  <c r="DW793" i="1"/>
  <c r="DW794" i="1"/>
  <c r="DW795" i="1"/>
  <c r="DW796" i="1"/>
  <c r="DW797" i="1"/>
  <c r="DW798" i="1"/>
  <c r="DW801" i="1"/>
  <c r="DW802" i="1"/>
  <c r="DW803" i="1"/>
  <c r="DW804" i="1"/>
  <c r="DW805" i="1"/>
  <c r="DW806" i="1"/>
  <c r="DW807" i="1"/>
  <c r="DW808" i="1"/>
  <c r="DW810" i="1"/>
  <c r="DW811" i="1"/>
  <c r="DW812" i="1"/>
  <c r="DW813" i="1"/>
  <c r="DW814" i="1"/>
  <c r="DW815" i="1"/>
  <c r="DW816" i="1"/>
  <c r="DW818" i="1"/>
  <c r="DW819" i="1"/>
  <c r="DW820" i="1"/>
  <c r="DW822" i="1"/>
  <c r="DW823" i="1"/>
  <c r="DW824" i="1"/>
  <c r="DW825" i="1"/>
  <c r="DW826" i="1"/>
  <c r="DW827" i="1"/>
  <c r="DW829" i="1"/>
  <c r="DW830" i="1"/>
  <c r="DW831" i="1"/>
  <c r="DW832" i="1"/>
  <c r="DW834" i="1"/>
  <c r="DW835" i="1"/>
  <c r="DW836" i="1"/>
  <c r="DW839" i="1"/>
  <c r="DW840" i="1"/>
  <c r="DW841" i="1"/>
  <c r="DW842" i="1"/>
  <c r="DW843" i="1"/>
  <c r="DW845" i="1"/>
  <c r="DW846" i="1"/>
  <c r="DW847" i="1"/>
  <c r="DW848" i="1"/>
  <c r="DW849" i="1"/>
  <c r="DW850" i="1"/>
  <c r="DW852" i="1"/>
  <c r="DW854" i="1"/>
  <c r="DW855" i="1"/>
  <c r="DW856" i="1"/>
  <c r="DW857" i="1"/>
  <c r="DW859" i="1"/>
  <c r="DW860" i="1"/>
  <c r="DW862" i="1"/>
  <c r="DW863" i="1"/>
  <c r="DW864" i="1"/>
  <c r="DW865" i="1"/>
  <c r="DW866" i="1"/>
  <c r="DW867" i="1"/>
  <c r="DW868" i="1"/>
  <c r="DW869" i="1"/>
  <c r="DW870" i="1"/>
  <c r="DW872" i="1"/>
  <c r="DW873" i="1"/>
  <c r="DW874" i="1"/>
  <c r="DW875" i="1"/>
  <c r="DW876" i="1"/>
  <c r="DW877" i="1"/>
  <c r="DW878" i="1"/>
  <c r="DW879" i="1"/>
  <c r="DW880" i="1"/>
  <c r="DW881" i="1"/>
  <c r="DW884" i="1"/>
  <c r="DW886" i="1"/>
  <c r="DW887" i="1"/>
  <c r="DW888" i="1"/>
  <c r="DW889" i="1"/>
  <c r="DW890" i="1"/>
  <c r="DW891" i="1"/>
  <c r="DW892" i="1"/>
  <c r="DW893" i="1"/>
  <c r="DW894" i="1"/>
  <c r="DW895" i="1"/>
  <c r="DW897" i="1"/>
  <c r="DW898" i="1"/>
  <c r="DW899" i="1"/>
  <c r="DW900" i="1"/>
  <c r="DW901" i="1"/>
  <c r="DW902" i="1"/>
  <c r="DW904" i="1"/>
  <c r="DW905" i="1"/>
  <c r="DW906" i="1"/>
  <c r="DW908" i="1"/>
  <c r="DW909" i="1"/>
  <c r="DW910" i="1"/>
  <c r="DW911" i="1"/>
  <c r="DW912" i="1"/>
  <c r="DW913" i="1"/>
  <c r="DW915" i="1"/>
  <c r="DW916" i="1"/>
  <c r="DW917" i="1"/>
  <c r="DW918" i="1"/>
  <c r="DW919" i="1"/>
  <c r="DW921" i="1"/>
  <c r="DW922" i="1"/>
  <c r="DW923" i="1"/>
  <c r="DW924" i="1"/>
  <c r="DW925" i="1"/>
  <c r="DW927" i="1"/>
  <c r="DW928" i="1"/>
  <c r="DW929" i="1"/>
  <c r="DW930" i="1"/>
  <c r="DW931" i="1"/>
  <c r="DW932" i="1"/>
  <c r="DW933" i="1"/>
  <c r="DW935" i="1"/>
  <c r="DW936" i="1"/>
  <c r="DW937" i="1"/>
  <c r="DW938" i="1"/>
  <c r="DW939" i="1"/>
  <c r="DW940" i="1"/>
  <c r="DW941" i="1"/>
  <c r="DW943" i="1"/>
  <c r="DW944" i="1"/>
  <c r="DW945" i="1"/>
  <c r="DW947" i="1"/>
  <c r="DW948" i="1"/>
  <c r="DW950" i="1"/>
  <c r="DW951" i="1"/>
  <c r="DW952" i="1"/>
  <c r="DW953" i="1"/>
  <c r="DW954" i="1"/>
  <c r="DW955" i="1"/>
  <c r="DW956" i="1"/>
  <c r="DW957" i="1"/>
  <c r="DW958" i="1"/>
  <c r="DW960" i="1"/>
  <c r="DW961" i="1"/>
  <c r="DW962" i="1"/>
  <c r="DW963" i="1"/>
  <c r="DW964" i="1"/>
  <c r="DW965" i="1"/>
  <c r="DW966" i="1"/>
  <c r="DW967" i="1"/>
  <c r="DW969" i="1"/>
  <c r="DW970" i="1"/>
  <c r="DW971" i="1"/>
  <c r="DW972" i="1"/>
  <c r="DW973" i="1"/>
  <c r="DW974" i="1"/>
  <c r="DW975" i="1"/>
  <c r="DW977" i="1"/>
  <c r="DW978" i="1"/>
  <c r="DW979" i="1"/>
  <c r="DW980" i="1"/>
  <c r="DW981" i="1"/>
  <c r="DW983" i="1"/>
  <c r="DW985" i="1"/>
  <c r="DW986" i="1"/>
  <c r="DW987" i="1"/>
  <c r="DW989" i="1"/>
  <c r="DW990" i="1"/>
  <c r="DW991" i="1"/>
  <c r="DW992" i="1"/>
  <c r="DW993" i="1"/>
  <c r="DW994" i="1"/>
  <c r="DW996" i="1"/>
  <c r="DW997" i="1"/>
  <c r="DW998" i="1"/>
  <c r="DW999" i="1"/>
  <c r="DW1000" i="1"/>
  <c r="DW1001" i="1"/>
  <c r="DW1002" i="1"/>
  <c r="DW1003" i="1"/>
  <c r="DW1005" i="1"/>
  <c r="DW1006" i="1"/>
  <c r="DW1007" i="1"/>
  <c r="DW1008" i="1"/>
  <c r="DW1009" i="1"/>
  <c r="DW1010" i="1"/>
  <c r="DW1011" i="1"/>
  <c r="DW1013" i="1"/>
  <c r="DW1014" i="1"/>
  <c r="DW1015" i="1"/>
  <c r="DW1016" i="1"/>
  <c r="DW1017" i="1"/>
  <c r="DW1018" i="1"/>
  <c r="DW1019" i="1"/>
  <c r="DW1020" i="1"/>
  <c r="DW1021" i="1"/>
  <c r="DW1022" i="1"/>
  <c r="DW1023" i="1"/>
  <c r="DW1025" i="1"/>
  <c r="DW1026" i="1"/>
  <c r="DW1027" i="1"/>
  <c r="DW1028" i="1"/>
  <c r="DW1029" i="1"/>
  <c r="DW1030" i="1"/>
  <c r="DW1031" i="1"/>
  <c r="DW1032" i="1"/>
  <c r="DW1033" i="1"/>
  <c r="DW1035" i="1"/>
  <c r="DW1036" i="1"/>
  <c r="DW1037" i="1"/>
  <c r="DW1038" i="1"/>
  <c r="DW1039" i="1"/>
  <c r="DW1040" i="1"/>
  <c r="DW1041" i="1"/>
  <c r="DW1042" i="1"/>
  <c r="DW1043" i="1"/>
  <c r="DW1044" i="1"/>
  <c r="DW1046" i="1"/>
  <c r="DW1047" i="1"/>
  <c r="DW1048" i="1"/>
  <c r="DW1051" i="1"/>
  <c r="DW1053" i="1"/>
  <c r="DW1054" i="1"/>
  <c r="DW1055" i="1"/>
  <c r="DW1056" i="1"/>
  <c r="DW1057" i="1"/>
  <c r="DW1059" i="1"/>
  <c r="DW1060" i="1"/>
  <c r="DW1061" i="1"/>
  <c r="DW1062" i="1"/>
  <c r="DW1063" i="1"/>
  <c r="DW1064" i="1"/>
  <c r="DW1066" i="1"/>
  <c r="DW1067" i="1"/>
  <c r="DW1068" i="1"/>
  <c r="DW1069" i="1"/>
  <c r="DW1070" i="1"/>
  <c r="DW1071" i="1"/>
  <c r="DW1072" i="1"/>
  <c r="DW1073" i="1"/>
  <c r="DW1075" i="1"/>
  <c r="DW1076" i="1"/>
  <c r="DW1077" i="1"/>
  <c r="DW1080" i="1"/>
  <c r="DW1081" i="1"/>
  <c r="DW1082" i="1"/>
  <c r="DW1083" i="1"/>
  <c r="DW1084" i="1"/>
  <c r="DW1086" i="1"/>
  <c r="DW1087" i="1"/>
  <c r="DW1088" i="1"/>
  <c r="DW1089" i="1"/>
  <c r="DW1090" i="1"/>
  <c r="DW1091" i="1"/>
  <c r="DW1092" i="1"/>
  <c r="DW1093" i="1"/>
  <c r="DW1094" i="1"/>
  <c r="DW1096" i="1"/>
  <c r="DW1097" i="1"/>
  <c r="DW1098" i="1"/>
  <c r="DW1099" i="1"/>
  <c r="DW1100" i="1"/>
  <c r="DW1101" i="1"/>
  <c r="DW1102" i="1"/>
  <c r="DW1103" i="1"/>
  <c r="DW1104" i="1"/>
  <c r="DW1105" i="1"/>
  <c r="DW1106" i="1"/>
  <c r="DW1108" i="1"/>
  <c r="DW1109" i="1"/>
  <c r="DW1110" i="1"/>
  <c r="DW1111" i="1"/>
  <c r="DW1112" i="1"/>
  <c r="DW1113" i="1"/>
  <c r="DW1115" i="1"/>
  <c r="DW1116" i="1"/>
  <c r="DW1117" i="1"/>
  <c r="DW1118" i="1"/>
  <c r="DW1120" i="1"/>
  <c r="DW1122" i="1"/>
  <c r="DW1123" i="1"/>
  <c r="DW1124" i="1"/>
  <c r="DW1126" i="1"/>
  <c r="DW1127" i="1"/>
  <c r="DW1128" i="1"/>
  <c r="DW1129" i="1"/>
  <c r="DW1130" i="1"/>
  <c r="DW1132" i="1"/>
  <c r="DW1133" i="1"/>
  <c r="DW1135" i="1"/>
  <c r="DW1136" i="1"/>
  <c r="DW1137" i="1"/>
  <c r="DW1138" i="1"/>
  <c r="DW1139" i="1"/>
  <c r="DW1140" i="1"/>
  <c r="DW1142" i="1"/>
  <c r="DW1143" i="1"/>
  <c r="DW1144" i="1"/>
  <c r="DW1145" i="1"/>
  <c r="DW1146" i="1"/>
  <c r="DW1147" i="1"/>
  <c r="DW1148" i="1"/>
  <c r="DW1149" i="1"/>
  <c r="DW1150" i="1"/>
  <c r="DW1152" i="1"/>
  <c r="DW1153" i="1"/>
  <c r="DW1154" i="1"/>
  <c r="DW1155" i="1"/>
  <c r="DW1157" i="1"/>
  <c r="DW1158" i="1"/>
  <c r="DW1159" i="1"/>
  <c r="DW1160" i="1"/>
  <c r="DW1161" i="1"/>
  <c r="DW1162" i="1"/>
  <c r="DW1163" i="1"/>
  <c r="DW1164" i="1"/>
  <c r="DW1165" i="1"/>
  <c r="DW1167" i="1"/>
  <c r="DW1168" i="1"/>
  <c r="DW1169" i="1"/>
  <c r="DW1170" i="1"/>
  <c r="DW1172" i="1"/>
  <c r="DW1173" i="1"/>
  <c r="DW1174" i="1"/>
  <c r="DW1175" i="1"/>
  <c r="DW1177" i="1"/>
  <c r="DW1178" i="1"/>
  <c r="DW1179" i="1"/>
  <c r="DW1180" i="1"/>
  <c r="DW1181" i="1"/>
  <c r="DW1182" i="1"/>
  <c r="DW1183" i="1"/>
  <c r="DW1185" i="1"/>
  <c r="DW1186" i="1"/>
  <c r="DW1187" i="1"/>
  <c r="DW1188" i="1"/>
  <c r="DW1189" i="1"/>
  <c r="DW1190" i="1"/>
  <c r="DW1192" i="1"/>
  <c r="DW1194" i="1"/>
  <c r="DW1195" i="1"/>
  <c r="DW1196" i="1"/>
  <c r="DW1199" i="1"/>
  <c r="DW1201" i="1"/>
  <c r="DW1202" i="1"/>
  <c r="DW1203" i="1"/>
  <c r="DW1204" i="1"/>
  <c r="DW1205" i="1"/>
  <c r="DW1206" i="1"/>
  <c r="DW1207" i="1"/>
  <c r="DW1209" i="1"/>
  <c r="DW1210" i="1"/>
  <c r="DW1211" i="1"/>
  <c r="DW1212" i="1"/>
  <c r="DW1213" i="1"/>
  <c r="DW1214" i="1"/>
  <c r="DW1215" i="1"/>
  <c r="DW1216" i="1"/>
  <c r="DW1217" i="1"/>
  <c r="DW1219" i="1"/>
  <c r="DW1220" i="1"/>
  <c r="DW1222" i="1"/>
  <c r="DW1223" i="1"/>
  <c r="DW1224" i="1"/>
  <c r="DW1225" i="1"/>
  <c r="DW1226" i="1"/>
  <c r="DW1227" i="1"/>
  <c r="DW1229" i="1"/>
  <c r="DW1230" i="1"/>
  <c r="DW1231" i="1"/>
  <c r="DW1232" i="1"/>
  <c r="DW1233" i="1"/>
  <c r="DW1234" i="1"/>
  <c r="DW1235" i="1"/>
  <c r="DW1236" i="1"/>
  <c r="DW1238" i="1"/>
  <c r="DW1240" i="1"/>
  <c r="DW1241" i="1"/>
  <c r="DW1242" i="1"/>
  <c r="DW1244" i="1"/>
  <c r="DW1245" i="1"/>
  <c r="DW1246" i="1"/>
  <c r="DW1247" i="1"/>
  <c r="DW1248" i="1"/>
  <c r="DW1250" i="1"/>
  <c r="DW1251" i="1"/>
  <c r="DW1252" i="1"/>
  <c r="DW1253" i="1"/>
  <c r="DW1254" i="1"/>
  <c r="DW1255" i="1"/>
  <c r="DW1256" i="1"/>
  <c r="DW1257" i="1"/>
  <c r="DW1258" i="1"/>
  <c r="DW1259" i="1"/>
  <c r="DW1261" i="1"/>
  <c r="DW1262" i="1"/>
  <c r="DW1263" i="1"/>
  <c r="DW1265" i="1"/>
  <c r="DW1266" i="1"/>
  <c r="DW1267" i="1"/>
  <c r="DW1268" i="1"/>
  <c r="DW1272" i="1"/>
  <c r="DW1275" i="1"/>
  <c r="DW1276" i="1"/>
  <c r="DW1277" i="1"/>
  <c r="DW1278" i="1"/>
  <c r="DW1279" i="1"/>
  <c r="DW1280" i="1"/>
  <c r="DW1282" i="1"/>
  <c r="DW1283" i="1"/>
  <c r="DW1284" i="1"/>
  <c r="DW1285" i="1"/>
  <c r="DW1286" i="1"/>
  <c r="DW1287" i="1"/>
  <c r="DW1288" i="1"/>
  <c r="DW1289" i="1"/>
  <c r="DW1291" i="1"/>
  <c r="DW1292" i="1"/>
  <c r="DW1293" i="1"/>
  <c r="DW1294" i="1"/>
  <c r="DW1295" i="1"/>
  <c r="DW1296" i="1"/>
  <c r="DW1297" i="1"/>
  <c r="DW1298" i="1"/>
  <c r="DW1299" i="1"/>
  <c r="DW1300" i="1"/>
  <c r="DW1301" i="1"/>
  <c r="DW1303" i="1"/>
  <c r="DW1304" i="1"/>
  <c r="DW1305" i="1"/>
  <c r="DW1306" i="1"/>
  <c r="DW1307" i="1"/>
  <c r="DW1308" i="1"/>
  <c r="DW1309" i="1"/>
  <c r="DW1310" i="1"/>
  <c r="DW1311" i="1"/>
  <c r="DW1312" i="1"/>
  <c r="DW1313" i="1"/>
  <c r="DX67" i="1"/>
  <c r="DX68" i="1"/>
  <c r="DX69" i="1"/>
  <c r="DX70" i="1"/>
  <c r="DX71" i="1"/>
  <c r="DX72" i="1"/>
  <c r="DX73" i="1"/>
  <c r="DX74" i="1"/>
  <c r="DX76" i="1"/>
  <c r="DX77" i="1"/>
  <c r="DX78" i="1"/>
  <c r="DX79" i="1"/>
  <c r="DX80" i="1"/>
  <c r="DX81" i="1"/>
  <c r="DX82" i="1"/>
  <c r="DX84" i="1"/>
  <c r="DX85" i="1"/>
  <c r="DX86" i="1"/>
  <c r="DX87" i="1"/>
  <c r="DX88" i="1"/>
  <c r="DX89" i="1"/>
  <c r="DX90" i="1"/>
  <c r="DX92" i="1"/>
  <c r="DX93" i="1"/>
  <c r="DX94" i="1"/>
  <c r="DX95" i="1"/>
  <c r="DX96" i="1"/>
  <c r="DX97" i="1"/>
  <c r="DX98" i="1"/>
  <c r="DX101" i="1"/>
  <c r="DX103" i="1"/>
  <c r="DX104" i="1"/>
  <c r="DX105" i="1"/>
  <c r="DX106" i="1"/>
  <c r="DX107" i="1"/>
  <c r="DX108" i="1"/>
  <c r="DX109" i="1"/>
  <c r="DX112" i="1"/>
  <c r="DX113" i="1"/>
  <c r="DX114" i="1"/>
  <c r="DX115" i="1"/>
  <c r="DX116" i="1"/>
  <c r="DX117" i="1"/>
  <c r="DX118" i="1"/>
  <c r="DX119" i="1"/>
  <c r="DX120" i="1"/>
  <c r="DX122" i="1"/>
  <c r="DX124" i="1"/>
  <c r="DX125" i="1"/>
  <c r="DX126" i="1"/>
  <c r="DX129" i="1"/>
  <c r="DX131" i="1"/>
  <c r="DX132" i="1"/>
  <c r="DX133" i="1"/>
  <c r="DX136" i="1"/>
  <c r="DX138" i="1"/>
  <c r="DX139" i="1"/>
  <c r="DX140" i="1"/>
  <c r="DX141" i="1"/>
  <c r="DX142" i="1"/>
  <c r="DX144" i="1"/>
  <c r="DX145" i="1"/>
  <c r="DX146" i="1"/>
  <c r="DX147" i="1"/>
  <c r="DX148" i="1"/>
  <c r="DX149" i="1"/>
  <c r="DX151" i="1"/>
  <c r="DX152" i="1"/>
  <c r="DX153" i="1"/>
  <c r="DX154" i="1"/>
  <c r="DX155" i="1"/>
  <c r="DX156" i="1"/>
  <c r="DX157" i="1"/>
  <c r="DX158" i="1"/>
  <c r="DX160" i="1"/>
  <c r="DX161" i="1"/>
  <c r="DX162" i="1"/>
  <c r="DX163" i="1"/>
  <c r="DX166" i="1"/>
  <c r="DX167" i="1"/>
  <c r="DX168" i="1"/>
  <c r="DX169" i="1"/>
  <c r="DX170" i="1"/>
  <c r="DX172" i="1"/>
  <c r="DX173" i="1"/>
  <c r="DX175" i="1"/>
  <c r="DX176" i="1"/>
  <c r="DX177" i="1"/>
  <c r="DX178" i="1"/>
  <c r="DX179" i="1"/>
  <c r="DX180" i="1"/>
  <c r="DX181" i="1"/>
  <c r="DX182" i="1"/>
  <c r="DX183" i="1"/>
  <c r="DX184" i="1"/>
  <c r="DX186" i="1"/>
  <c r="DX187" i="1"/>
  <c r="DX188" i="1"/>
  <c r="DX189" i="1"/>
  <c r="DX190" i="1"/>
  <c r="DX191" i="1"/>
  <c r="DX192" i="1"/>
  <c r="DX193" i="1"/>
  <c r="DX195" i="1"/>
  <c r="DX196" i="1"/>
  <c r="DX197" i="1"/>
  <c r="DX198" i="1"/>
  <c r="DX200" i="1"/>
  <c r="DX201" i="1"/>
  <c r="DX202" i="1"/>
  <c r="DX203" i="1"/>
  <c r="DX204" i="1"/>
  <c r="DX205" i="1"/>
  <c r="DX206" i="1"/>
  <c r="DX207" i="1"/>
  <c r="DX209" i="1"/>
  <c r="DX210" i="1"/>
  <c r="DX211" i="1"/>
  <c r="DX212" i="1"/>
  <c r="DX213" i="1"/>
  <c r="DX214" i="1"/>
  <c r="DX215" i="1"/>
  <c r="DX218" i="1"/>
  <c r="DX219" i="1"/>
  <c r="DX220" i="1"/>
  <c r="DX221" i="1"/>
  <c r="DX222" i="1"/>
  <c r="DX224" i="1"/>
  <c r="DX225" i="1"/>
  <c r="DX226" i="1"/>
  <c r="DX227" i="1"/>
  <c r="DX228" i="1"/>
  <c r="DX229" i="1"/>
  <c r="DX231" i="1"/>
  <c r="DX232" i="1"/>
  <c r="DX233" i="1"/>
  <c r="DX234" i="1"/>
  <c r="DX235" i="1"/>
  <c r="DX236" i="1"/>
  <c r="DX237" i="1"/>
  <c r="DX238" i="1"/>
  <c r="DX240" i="1"/>
  <c r="DX241" i="1"/>
  <c r="DX242" i="1"/>
  <c r="DX243" i="1"/>
  <c r="DX244" i="1"/>
  <c r="DX245" i="1"/>
  <c r="DX246" i="1"/>
  <c r="DX247" i="1"/>
  <c r="DX249" i="1"/>
  <c r="DX250" i="1"/>
  <c r="DX251" i="1"/>
  <c r="DX252" i="1"/>
  <c r="DX253" i="1"/>
  <c r="DX254" i="1"/>
  <c r="DX255" i="1"/>
  <c r="DX256" i="1"/>
  <c r="DX258" i="1"/>
  <c r="DX259" i="1"/>
  <c r="DX260" i="1"/>
  <c r="DX261" i="1"/>
  <c r="DX262" i="1"/>
  <c r="DX263" i="1"/>
  <c r="DX264" i="1"/>
  <c r="DX265" i="1"/>
  <c r="DX266" i="1"/>
  <c r="DX268" i="1"/>
  <c r="DX269" i="1"/>
  <c r="DX270" i="1"/>
  <c r="DX271" i="1"/>
  <c r="DX272" i="1"/>
  <c r="DX273" i="1"/>
  <c r="DX274" i="1"/>
  <c r="DX275" i="1"/>
  <c r="DX276" i="1"/>
  <c r="DX278" i="1"/>
  <c r="DX279" i="1"/>
  <c r="DX280" i="1"/>
  <c r="DX281" i="1"/>
  <c r="DX282" i="1"/>
  <c r="DX283" i="1"/>
  <c r="DX285" i="1"/>
  <c r="DX286" i="1"/>
  <c r="DX287" i="1"/>
  <c r="DX288" i="1"/>
  <c r="DX291" i="1"/>
  <c r="DX292" i="1"/>
  <c r="DX293" i="1"/>
  <c r="DX294" i="1"/>
  <c r="DX296" i="1"/>
  <c r="DX297" i="1"/>
  <c r="DX298" i="1"/>
  <c r="DX299" i="1"/>
  <c r="DX300" i="1"/>
  <c r="DX301" i="1"/>
  <c r="DX302" i="1"/>
  <c r="DX303" i="1"/>
  <c r="DX305" i="1"/>
  <c r="DX306" i="1"/>
  <c r="DX307" i="1"/>
  <c r="DX308" i="1"/>
  <c r="DX309" i="1"/>
  <c r="DX310" i="1"/>
  <c r="DX311" i="1"/>
  <c r="DX312" i="1"/>
  <c r="DX313" i="1"/>
  <c r="DX314" i="1"/>
  <c r="DX316" i="1"/>
  <c r="DX317" i="1"/>
  <c r="DX318" i="1"/>
  <c r="DX319" i="1"/>
  <c r="DX320" i="1"/>
  <c r="DX321" i="1"/>
  <c r="DX322" i="1"/>
  <c r="DX323" i="1"/>
  <c r="DX324" i="1"/>
  <c r="DX325" i="1"/>
  <c r="DX326" i="1"/>
  <c r="DX327" i="1"/>
  <c r="DX329" i="1"/>
  <c r="DX330" i="1"/>
  <c r="DX332" i="1"/>
  <c r="DX333" i="1"/>
  <c r="DX334" i="1"/>
  <c r="DX335" i="1"/>
  <c r="DX336" i="1"/>
  <c r="DX337" i="1"/>
  <c r="DX338" i="1"/>
  <c r="DX340" i="1"/>
  <c r="DX341" i="1"/>
  <c r="DX342" i="1"/>
  <c r="DX343" i="1"/>
  <c r="DX344" i="1"/>
  <c r="DX345" i="1"/>
  <c r="DX346" i="1"/>
  <c r="DX347" i="1"/>
  <c r="DX348" i="1"/>
  <c r="DX349" i="1"/>
  <c r="DX351" i="1"/>
  <c r="DX352" i="1"/>
  <c r="DX353" i="1"/>
  <c r="DX354" i="1"/>
  <c r="DX355" i="1"/>
  <c r="DX356" i="1"/>
  <c r="DX358" i="1"/>
  <c r="DX359" i="1"/>
  <c r="DX360" i="1"/>
  <c r="DX361" i="1"/>
  <c r="DX362" i="1"/>
  <c r="DX363" i="1"/>
  <c r="DX364" i="1"/>
  <c r="DX365" i="1"/>
  <c r="DX367" i="1"/>
  <c r="DX368" i="1"/>
  <c r="DX369" i="1"/>
  <c r="DX371" i="1"/>
  <c r="DX372" i="1"/>
  <c r="DX373" i="1"/>
  <c r="DX375" i="1"/>
  <c r="DX376" i="1"/>
  <c r="DX378" i="1"/>
  <c r="DX379" i="1"/>
  <c r="DX380" i="1"/>
  <c r="DX381" i="1"/>
  <c r="DX382" i="1"/>
  <c r="DX383" i="1"/>
  <c r="DX385" i="1"/>
  <c r="DX386" i="1"/>
  <c r="DX387" i="1"/>
  <c r="DX388" i="1"/>
  <c r="DX389" i="1"/>
  <c r="DX390" i="1"/>
  <c r="DX391" i="1"/>
  <c r="DX393" i="1"/>
  <c r="DX394" i="1"/>
  <c r="DX395" i="1"/>
  <c r="DX396" i="1"/>
  <c r="DX397" i="1"/>
  <c r="DX398" i="1"/>
  <c r="DX399" i="1"/>
  <c r="DX400" i="1"/>
  <c r="DX401" i="1"/>
  <c r="DX403" i="1"/>
  <c r="DX404" i="1"/>
  <c r="DX405" i="1"/>
  <c r="DX406" i="1"/>
  <c r="DX407" i="1"/>
  <c r="DX408" i="1"/>
  <c r="DX409" i="1"/>
  <c r="DX410" i="1"/>
  <c r="DX411" i="1"/>
  <c r="DX413" i="1"/>
  <c r="DX414" i="1"/>
  <c r="DX415" i="1"/>
  <c r="DX416" i="1"/>
  <c r="DX417" i="1"/>
  <c r="DX418" i="1"/>
  <c r="DX421" i="1"/>
  <c r="DX422" i="1"/>
  <c r="DX423" i="1"/>
  <c r="DX424" i="1"/>
  <c r="DX425" i="1"/>
  <c r="DX426" i="1"/>
  <c r="DX427" i="1"/>
  <c r="DX428" i="1"/>
  <c r="DX430" i="1"/>
  <c r="DX431" i="1"/>
  <c r="DX432" i="1"/>
  <c r="DX433" i="1"/>
  <c r="DX434" i="1"/>
  <c r="DX435" i="1"/>
  <c r="DX436" i="1"/>
  <c r="DX439" i="1"/>
  <c r="DX440" i="1"/>
  <c r="DX441" i="1"/>
  <c r="DX442" i="1"/>
  <c r="DX443" i="1"/>
  <c r="DX445" i="1"/>
  <c r="DX446" i="1"/>
  <c r="DX447" i="1"/>
  <c r="DX448" i="1"/>
  <c r="DX449" i="1"/>
  <c r="DX450" i="1"/>
  <c r="DX451" i="1"/>
  <c r="DX452" i="1"/>
  <c r="DX454" i="1"/>
  <c r="DX455" i="1"/>
  <c r="DX456" i="1"/>
  <c r="DX457" i="1"/>
  <c r="DX459" i="1"/>
  <c r="DX460" i="1"/>
  <c r="DX461" i="1"/>
  <c r="DX462" i="1"/>
  <c r="DX463" i="1"/>
  <c r="DX464" i="1"/>
  <c r="DX465" i="1"/>
  <c r="DX466" i="1"/>
  <c r="DX468" i="1"/>
  <c r="DX469" i="1"/>
  <c r="DX470" i="1"/>
  <c r="DX471" i="1"/>
  <c r="DX472" i="1"/>
  <c r="DX473" i="1"/>
  <c r="DX474" i="1"/>
  <c r="DX475" i="1"/>
  <c r="DX476" i="1"/>
  <c r="DX478" i="1"/>
  <c r="DX479" i="1"/>
  <c r="DX480" i="1"/>
  <c r="DX481" i="1"/>
  <c r="DX482" i="1"/>
  <c r="DX483" i="1"/>
  <c r="DX485" i="1"/>
  <c r="DX486" i="1"/>
  <c r="DX487" i="1"/>
  <c r="DX488" i="1"/>
  <c r="DX489" i="1"/>
  <c r="DX490" i="1"/>
  <c r="DX491" i="1"/>
  <c r="DX492" i="1"/>
  <c r="DX493" i="1"/>
  <c r="DX495" i="1"/>
  <c r="DX496" i="1"/>
  <c r="DX497" i="1"/>
  <c r="DX498" i="1"/>
  <c r="DX499" i="1"/>
  <c r="DX500" i="1"/>
  <c r="DX502" i="1"/>
  <c r="DX503" i="1"/>
  <c r="DX504" i="1"/>
  <c r="DX505" i="1"/>
  <c r="DX506" i="1"/>
  <c r="DX507" i="1"/>
  <c r="DX508" i="1"/>
  <c r="DX510" i="1"/>
  <c r="DX511" i="1"/>
  <c r="DX512" i="1"/>
  <c r="DX514" i="1"/>
  <c r="DX515" i="1"/>
  <c r="DX516" i="1"/>
  <c r="DX517" i="1"/>
  <c r="DX518" i="1"/>
  <c r="DX520" i="1"/>
  <c r="DX521" i="1"/>
  <c r="DX522" i="1"/>
  <c r="DX523" i="1"/>
  <c r="DX524" i="1"/>
  <c r="DX525" i="1"/>
  <c r="DX526" i="1"/>
  <c r="DX527" i="1"/>
  <c r="DX529" i="1"/>
  <c r="DX530" i="1"/>
  <c r="DX531" i="1"/>
  <c r="DX532" i="1"/>
  <c r="DX533" i="1"/>
  <c r="DX534" i="1"/>
  <c r="DX535" i="1"/>
  <c r="DX536" i="1"/>
  <c r="DX538" i="1"/>
  <c r="DX539" i="1"/>
  <c r="DX540" i="1"/>
  <c r="DX541" i="1"/>
  <c r="DX542" i="1"/>
  <c r="DX543" i="1"/>
  <c r="DX544" i="1"/>
  <c r="DX545" i="1"/>
  <c r="DX546" i="1"/>
  <c r="DX548" i="1"/>
  <c r="DX549" i="1"/>
  <c r="DX550" i="1"/>
  <c r="DX551" i="1"/>
  <c r="DX552" i="1"/>
  <c r="DX553" i="1"/>
  <c r="DX554" i="1"/>
  <c r="DX555" i="1"/>
  <c r="DX557" i="1"/>
  <c r="DX558" i="1"/>
  <c r="DX559" i="1"/>
  <c r="DX560" i="1"/>
  <c r="DX561" i="1"/>
  <c r="DX562" i="1"/>
  <c r="DX563" i="1"/>
  <c r="DX564" i="1"/>
  <c r="DX565" i="1"/>
  <c r="DX566" i="1"/>
  <c r="DX567" i="1"/>
  <c r="DX569" i="1"/>
  <c r="DX570" i="1"/>
  <c r="DX572" i="1"/>
  <c r="DX573" i="1"/>
  <c r="DX574" i="1"/>
  <c r="DX576" i="1"/>
  <c r="DX577" i="1"/>
  <c r="DX578" i="1"/>
  <c r="DX579" i="1"/>
  <c r="DX580" i="1"/>
  <c r="DX581" i="1"/>
  <c r="DX583" i="1"/>
  <c r="DX584" i="1"/>
  <c r="DX586" i="1"/>
  <c r="DX587" i="1"/>
  <c r="DX588" i="1"/>
  <c r="DX590" i="1"/>
  <c r="DX591" i="1"/>
  <c r="DX592" i="1"/>
  <c r="DX593" i="1"/>
  <c r="DX594" i="1"/>
  <c r="DX595" i="1"/>
  <c r="DX596" i="1"/>
  <c r="DX597" i="1"/>
  <c r="DX598" i="1"/>
  <c r="DX601" i="1"/>
  <c r="DX603" i="1"/>
  <c r="DX604" i="1"/>
  <c r="DX605" i="1"/>
  <c r="DX607" i="1"/>
  <c r="DX608" i="1"/>
  <c r="DX609" i="1"/>
  <c r="DX610" i="1"/>
  <c r="DX611" i="1"/>
  <c r="DX612" i="1"/>
  <c r="DX614" i="1"/>
  <c r="DX615" i="1"/>
  <c r="DX617" i="1"/>
  <c r="DX618" i="1"/>
  <c r="DX619" i="1"/>
  <c r="DX620" i="1"/>
  <c r="DX622" i="1"/>
  <c r="DX623" i="1"/>
  <c r="DX624" i="1"/>
  <c r="DX625" i="1"/>
  <c r="DX626" i="1"/>
  <c r="DX628" i="1"/>
  <c r="DX629" i="1"/>
  <c r="DX630" i="1"/>
  <c r="DX631" i="1"/>
  <c r="DX632" i="1"/>
  <c r="DX633" i="1"/>
  <c r="DX634" i="1"/>
  <c r="DX636" i="1"/>
  <c r="DX637" i="1"/>
  <c r="DX638" i="1"/>
  <c r="DX639" i="1"/>
  <c r="DX641" i="1"/>
  <c r="DX643" i="1"/>
  <c r="DX644" i="1"/>
  <c r="DX645" i="1"/>
  <c r="DX647" i="1"/>
  <c r="DX648" i="1"/>
  <c r="DX649" i="1"/>
  <c r="DX650" i="1"/>
  <c r="DX651" i="1"/>
  <c r="DX652" i="1"/>
  <c r="DX654" i="1"/>
  <c r="DX655" i="1"/>
  <c r="DX656" i="1"/>
  <c r="DX657" i="1"/>
  <c r="DX658" i="1"/>
  <c r="DX659" i="1"/>
  <c r="DX660" i="1"/>
  <c r="DX662" i="1"/>
  <c r="DX663" i="1"/>
  <c r="DX665" i="1"/>
  <c r="DX666" i="1"/>
  <c r="DX667" i="1"/>
  <c r="DX669" i="1"/>
  <c r="DX670" i="1"/>
  <c r="DX671" i="1"/>
  <c r="DX672" i="1"/>
  <c r="DX674" i="1"/>
  <c r="DX675" i="1"/>
  <c r="DX676" i="1"/>
  <c r="DX677" i="1"/>
  <c r="DX678" i="1"/>
  <c r="DX679" i="1"/>
  <c r="DX681" i="1"/>
  <c r="DX682" i="1"/>
  <c r="DX683" i="1"/>
  <c r="DX684" i="1"/>
  <c r="DX685" i="1"/>
  <c r="DX686" i="1"/>
  <c r="DX687" i="1"/>
  <c r="DX688" i="1"/>
  <c r="DX689" i="1"/>
  <c r="DX690" i="1"/>
  <c r="DX691" i="1"/>
  <c r="DX693" i="1"/>
  <c r="DX694" i="1"/>
  <c r="DX695" i="1"/>
  <c r="DX696" i="1"/>
  <c r="DX698" i="1"/>
  <c r="DX699" i="1"/>
  <c r="DX702" i="1"/>
  <c r="DX703" i="1"/>
  <c r="DX704" i="1"/>
  <c r="DX706" i="1"/>
  <c r="DX707" i="1"/>
  <c r="DX708" i="1"/>
  <c r="DX709" i="1"/>
  <c r="DX711" i="1"/>
  <c r="DX712" i="1"/>
  <c r="DX713" i="1"/>
  <c r="DX714" i="1"/>
  <c r="DX715" i="1"/>
  <c r="DX716" i="1"/>
  <c r="DX717" i="1"/>
  <c r="DX718" i="1"/>
  <c r="DX720" i="1"/>
  <c r="DX721" i="1"/>
  <c r="DX723" i="1"/>
  <c r="DX724" i="1"/>
  <c r="DX725" i="1"/>
  <c r="DX726" i="1"/>
  <c r="DX729" i="1"/>
  <c r="DX731" i="1"/>
  <c r="DX732" i="1"/>
  <c r="DX733" i="1"/>
  <c r="DX734" i="1"/>
  <c r="DX735" i="1"/>
  <c r="DX736" i="1"/>
  <c r="DX739" i="1"/>
  <c r="DX740" i="1"/>
  <c r="DX741" i="1"/>
  <c r="DX742" i="1"/>
  <c r="DX743" i="1"/>
  <c r="DX744" i="1"/>
  <c r="DX745" i="1"/>
  <c r="DX748" i="1"/>
  <c r="DX750" i="1"/>
  <c r="DX751" i="1"/>
  <c r="DX752" i="1"/>
  <c r="DX753" i="1"/>
  <c r="DX754" i="1"/>
  <c r="DX755" i="1"/>
  <c r="DX756" i="1"/>
  <c r="DX758" i="1"/>
  <c r="DX760" i="1"/>
  <c r="DX761" i="1"/>
  <c r="DX763" i="1"/>
  <c r="DX764" i="1"/>
  <c r="DX766" i="1"/>
  <c r="DX767" i="1"/>
  <c r="DX768" i="1"/>
  <c r="DX769" i="1"/>
  <c r="DX774" i="1"/>
  <c r="DX775" i="1"/>
  <c r="DX777" i="1"/>
  <c r="DX778" i="1"/>
  <c r="DX779" i="1"/>
  <c r="DX780" i="1"/>
  <c r="DX782" i="1"/>
  <c r="DX783" i="1"/>
  <c r="DX784" i="1"/>
  <c r="DX785" i="1"/>
  <c r="DX786" i="1"/>
  <c r="DX787" i="1"/>
  <c r="DX789" i="1"/>
  <c r="DX790" i="1"/>
  <c r="DX791" i="1"/>
  <c r="DX793" i="1"/>
  <c r="DX794" i="1"/>
  <c r="DX795" i="1"/>
  <c r="DX796" i="1"/>
  <c r="DX797" i="1"/>
  <c r="DX798" i="1"/>
  <c r="DX800" i="1"/>
  <c r="DX801" i="1"/>
  <c r="DX802" i="1"/>
  <c r="DX803" i="1"/>
  <c r="DX804" i="1"/>
  <c r="DX805" i="1"/>
  <c r="DX806" i="1"/>
  <c r="DX807" i="1"/>
  <c r="DX808" i="1"/>
  <c r="DX810" i="1"/>
  <c r="DX811" i="1"/>
  <c r="DX812" i="1"/>
  <c r="DX813" i="1"/>
  <c r="DX814" i="1"/>
  <c r="DX815" i="1"/>
  <c r="DX816" i="1"/>
  <c r="DX818" i="1"/>
  <c r="DX819" i="1"/>
  <c r="DX820" i="1"/>
  <c r="DX822" i="1"/>
  <c r="DX823" i="1"/>
  <c r="DX824" i="1"/>
  <c r="DX825" i="1"/>
  <c r="DX826" i="1"/>
  <c r="DX827" i="1"/>
  <c r="DX829" i="1"/>
  <c r="DX830" i="1"/>
  <c r="DX831" i="1"/>
  <c r="DX832" i="1"/>
  <c r="DX834" i="1"/>
  <c r="DX835" i="1"/>
  <c r="DX836" i="1"/>
  <c r="DX838" i="1"/>
  <c r="DX839" i="1"/>
  <c r="DX840" i="1"/>
  <c r="DX841" i="1"/>
  <c r="DX842" i="1"/>
  <c r="DX843" i="1"/>
  <c r="DX845" i="1"/>
  <c r="DX846" i="1"/>
  <c r="DX847" i="1"/>
  <c r="DX848" i="1"/>
  <c r="DX849" i="1"/>
  <c r="DX850" i="1"/>
  <c r="DX852" i="1"/>
  <c r="DX854" i="1"/>
  <c r="DX855" i="1"/>
  <c r="DX856" i="1"/>
  <c r="DX857" i="1"/>
  <c r="DX859" i="1"/>
  <c r="DX860" i="1"/>
  <c r="DX862" i="1"/>
  <c r="DX863" i="1"/>
  <c r="DX864" i="1"/>
  <c r="DX865" i="1"/>
  <c r="DX866" i="1"/>
  <c r="DX867" i="1"/>
  <c r="DX868" i="1"/>
  <c r="DX869" i="1"/>
  <c r="DX870" i="1"/>
  <c r="DX872" i="1"/>
  <c r="DX873" i="1"/>
  <c r="DX874" i="1"/>
  <c r="DX875" i="1"/>
  <c r="DX876" i="1"/>
  <c r="DX877" i="1"/>
  <c r="DX878" i="1"/>
  <c r="DX879" i="1"/>
  <c r="DX880" i="1"/>
  <c r="DX881" i="1"/>
  <c r="DX884" i="1"/>
  <c r="DX886" i="1"/>
  <c r="DX887" i="1"/>
  <c r="DX888" i="1"/>
  <c r="DX889" i="1"/>
  <c r="DX890" i="1"/>
  <c r="DX891" i="1"/>
  <c r="DX892" i="1"/>
  <c r="DX893" i="1"/>
  <c r="DX894" i="1"/>
  <c r="DX895" i="1"/>
  <c r="DX897" i="1"/>
  <c r="DX898" i="1"/>
  <c r="DX899" i="1"/>
  <c r="DX900" i="1"/>
  <c r="DX901" i="1"/>
  <c r="DX902" i="1"/>
  <c r="DX904" i="1"/>
  <c r="DX905" i="1"/>
  <c r="DX906" i="1"/>
  <c r="DX908" i="1"/>
  <c r="DX909" i="1"/>
  <c r="DX910" i="1"/>
  <c r="DX911" i="1"/>
  <c r="DX912" i="1"/>
  <c r="DX913" i="1"/>
  <c r="DX915" i="1"/>
  <c r="DX916" i="1"/>
  <c r="DX917" i="1"/>
  <c r="DX918" i="1"/>
  <c r="DX919" i="1"/>
  <c r="DX921" i="1"/>
  <c r="DX922" i="1"/>
  <c r="DX923" i="1"/>
  <c r="DX924" i="1"/>
  <c r="DX925" i="1"/>
  <c r="DX927" i="1"/>
  <c r="DX928" i="1"/>
  <c r="DX929" i="1"/>
  <c r="DX930" i="1"/>
  <c r="DX931" i="1"/>
  <c r="DX932" i="1"/>
  <c r="DX933" i="1"/>
  <c r="DX935" i="1"/>
  <c r="DX936" i="1"/>
  <c r="DX937" i="1"/>
  <c r="DX938" i="1"/>
  <c r="DX939" i="1"/>
  <c r="DX940" i="1"/>
  <c r="DX941" i="1"/>
  <c r="DX943" i="1"/>
  <c r="DX944" i="1"/>
  <c r="DX945" i="1"/>
  <c r="DX948" i="1"/>
  <c r="DX950" i="1"/>
  <c r="DX951" i="1"/>
  <c r="DX952" i="1"/>
  <c r="DX953" i="1"/>
  <c r="DX954" i="1"/>
  <c r="DX955" i="1"/>
  <c r="DX956" i="1"/>
  <c r="DX957" i="1"/>
  <c r="DX958" i="1"/>
  <c r="DX960" i="1"/>
  <c r="DX961" i="1"/>
  <c r="DX962" i="1"/>
  <c r="DX963" i="1"/>
  <c r="DX964" i="1"/>
  <c r="DX965" i="1"/>
  <c r="DX966" i="1"/>
  <c r="DX967" i="1"/>
  <c r="DX969" i="1"/>
  <c r="DX970" i="1"/>
  <c r="DX971" i="1"/>
  <c r="DX972" i="1"/>
  <c r="DX973" i="1"/>
  <c r="DX974" i="1"/>
  <c r="DX975" i="1"/>
  <c r="DX977" i="1"/>
  <c r="DX978" i="1"/>
  <c r="DX979" i="1"/>
  <c r="DX980" i="1"/>
  <c r="DX981" i="1"/>
  <c r="DX983" i="1"/>
  <c r="DX985" i="1"/>
  <c r="DX986" i="1"/>
  <c r="DX987" i="1"/>
  <c r="DX989" i="1"/>
  <c r="DX990" i="1"/>
  <c r="DX991" i="1"/>
  <c r="DX992" i="1"/>
  <c r="DX993" i="1"/>
  <c r="DX994" i="1"/>
  <c r="DX996" i="1"/>
  <c r="DX997" i="1"/>
  <c r="DX998" i="1"/>
  <c r="DX999" i="1"/>
  <c r="DX1000" i="1"/>
  <c r="DX1001" i="1"/>
  <c r="DX1002" i="1"/>
  <c r="DX1003" i="1"/>
  <c r="DX1005" i="1"/>
  <c r="DX1006" i="1"/>
  <c r="DX1007" i="1"/>
  <c r="DX1008" i="1"/>
  <c r="DX1009" i="1"/>
  <c r="DX1010" i="1"/>
  <c r="DX1011" i="1"/>
  <c r="DX1013" i="1"/>
  <c r="DX1014" i="1"/>
  <c r="DX1015" i="1"/>
  <c r="DX1016" i="1"/>
  <c r="DX1017" i="1"/>
  <c r="DX1018" i="1"/>
  <c r="DX1019" i="1"/>
  <c r="DX1020" i="1"/>
  <c r="DX1021" i="1"/>
  <c r="DX1022" i="1"/>
  <c r="DX1023" i="1"/>
  <c r="DX1025" i="1"/>
  <c r="DX1026" i="1"/>
  <c r="DX1027" i="1"/>
  <c r="DX1028" i="1"/>
  <c r="DX1029" i="1"/>
  <c r="DX1030" i="1"/>
  <c r="DX1031" i="1"/>
  <c r="DX1032" i="1"/>
  <c r="DX1033" i="1"/>
  <c r="DX1035" i="1"/>
  <c r="DX1036" i="1"/>
  <c r="DX1037" i="1"/>
  <c r="DX1038" i="1"/>
  <c r="DX1039" i="1"/>
  <c r="DX1040" i="1"/>
  <c r="DX1041" i="1"/>
  <c r="DX1042" i="1"/>
  <c r="DX1043" i="1"/>
  <c r="DX1044" i="1"/>
  <c r="DX1046" i="1"/>
  <c r="DX1047" i="1"/>
  <c r="DX1048" i="1"/>
  <c r="DX1051" i="1"/>
  <c r="DX1053" i="1"/>
  <c r="DX1054" i="1"/>
  <c r="DX1055" i="1"/>
  <c r="DX1056" i="1"/>
  <c r="DX1057" i="1"/>
  <c r="DX1059" i="1"/>
  <c r="DX1060" i="1"/>
  <c r="DX1061" i="1"/>
  <c r="DX1062" i="1"/>
  <c r="DX1063" i="1"/>
  <c r="DX1064" i="1"/>
  <c r="DX1066" i="1"/>
  <c r="DX1067" i="1"/>
  <c r="DX1068" i="1"/>
  <c r="DX1069" i="1"/>
  <c r="DX1070" i="1"/>
  <c r="DX1071" i="1"/>
  <c r="DX1072" i="1"/>
  <c r="DX1073" i="1"/>
  <c r="DX1075" i="1"/>
  <c r="DX1076" i="1"/>
  <c r="DX1077" i="1"/>
  <c r="DX1080" i="1"/>
  <c r="DX1081" i="1"/>
  <c r="DX1082" i="1"/>
  <c r="DX1083" i="1"/>
  <c r="DX1084" i="1"/>
  <c r="DX1086" i="1"/>
  <c r="DX1087" i="1"/>
  <c r="DX1088" i="1"/>
  <c r="DX1089" i="1"/>
  <c r="DX1090" i="1"/>
  <c r="DX1091" i="1"/>
  <c r="DX1092" i="1"/>
  <c r="DX1093" i="1"/>
  <c r="DX1094" i="1"/>
  <c r="DX1096" i="1"/>
  <c r="DX1097" i="1"/>
  <c r="DX1098" i="1"/>
  <c r="DX1099" i="1"/>
  <c r="DX1100" i="1"/>
  <c r="DX1101" i="1"/>
  <c r="DX1102" i="1"/>
  <c r="DX1103" i="1"/>
  <c r="DX1104" i="1"/>
  <c r="DX1105" i="1"/>
  <c r="DX1106" i="1"/>
  <c r="DX1108" i="1"/>
  <c r="DX1109" i="1"/>
  <c r="DX1110" i="1"/>
  <c r="DX1111" i="1"/>
  <c r="DX1112" i="1"/>
  <c r="DX1113" i="1"/>
  <c r="DX1115" i="1"/>
  <c r="DX1116" i="1"/>
  <c r="DX1117" i="1"/>
  <c r="DX1118" i="1"/>
  <c r="DX1120" i="1"/>
  <c r="DX1122" i="1"/>
  <c r="DX1123" i="1"/>
  <c r="DX1124" i="1"/>
  <c r="DX1126" i="1"/>
  <c r="DX1127" i="1"/>
  <c r="DX1128" i="1"/>
  <c r="DX1129" i="1"/>
  <c r="DX1130" i="1"/>
  <c r="DX1132" i="1"/>
  <c r="DX1133" i="1"/>
  <c r="DX1135" i="1"/>
  <c r="DX1136" i="1"/>
  <c r="DX1137" i="1"/>
  <c r="DX1138" i="1"/>
  <c r="DX1139" i="1"/>
  <c r="DX1140" i="1"/>
  <c r="DX1142" i="1"/>
  <c r="DX1143" i="1"/>
  <c r="DX1144" i="1"/>
  <c r="DX1145" i="1"/>
  <c r="DX1146" i="1"/>
  <c r="DX1147" i="1"/>
  <c r="DX1148" i="1"/>
  <c r="DX1149" i="1"/>
  <c r="DX1150" i="1"/>
  <c r="DX1152" i="1"/>
  <c r="DX1153" i="1"/>
  <c r="DX1154" i="1"/>
  <c r="DX1155" i="1"/>
  <c r="DX1157" i="1"/>
  <c r="DX1158" i="1"/>
  <c r="DX1159" i="1"/>
  <c r="DX1160" i="1"/>
  <c r="DX1161" i="1"/>
  <c r="DX1162" i="1"/>
  <c r="DX1163" i="1"/>
  <c r="DX1164" i="1"/>
  <c r="DX1165" i="1"/>
  <c r="DX1167" i="1"/>
  <c r="DX1168" i="1"/>
  <c r="DX1169" i="1"/>
  <c r="DX1170" i="1"/>
  <c r="DX1172" i="1"/>
  <c r="DX1173" i="1"/>
  <c r="DX1174" i="1"/>
  <c r="DX1175" i="1"/>
  <c r="DX1177" i="1"/>
  <c r="DX1178" i="1"/>
  <c r="DX1179" i="1"/>
  <c r="DX1180" i="1"/>
  <c r="DX1181" i="1"/>
  <c r="DX1182" i="1"/>
  <c r="DX1183" i="1"/>
  <c r="DX1185" i="1"/>
  <c r="DX1186" i="1"/>
  <c r="DX1187" i="1"/>
  <c r="DX1188" i="1"/>
  <c r="DX1189" i="1"/>
  <c r="DX1190" i="1"/>
  <c r="DX1192" i="1"/>
  <c r="DX1194" i="1"/>
  <c r="DX1195" i="1"/>
  <c r="DX1196" i="1"/>
  <c r="DX1199" i="1"/>
  <c r="DX1201" i="1"/>
  <c r="DX1202" i="1"/>
  <c r="DX1203" i="1"/>
  <c r="DX1204" i="1"/>
  <c r="DX1205" i="1"/>
  <c r="DX1206" i="1"/>
  <c r="DX1207" i="1"/>
  <c r="DX1209" i="1"/>
  <c r="DX1210" i="1"/>
  <c r="DX1211" i="1"/>
  <c r="DX1212" i="1"/>
  <c r="DX1213" i="1"/>
  <c r="DX1214" i="1"/>
  <c r="DX1215" i="1"/>
  <c r="DX1216" i="1"/>
  <c r="DX1217" i="1"/>
  <c r="DX1219" i="1"/>
  <c r="DX1220" i="1"/>
  <c r="DX1222" i="1"/>
  <c r="DX1223" i="1"/>
  <c r="DX1224" i="1"/>
  <c r="DX1225" i="1"/>
  <c r="DX1226" i="1"/>
  <c r="DX1227" i="1"/>
  <c r="DX1229" i="1"/>
  <c r="DX1230" i="1"/>
  <c r="DX1231" i="1"/>
  <c r="DX1232" i="1"/>
  <c r="DX1233" i="1"/>
  <c r="DX1234" i="1"/>
  <c r="DX1235" i="1"/>
  <c r="DX1236" i="1"/>
  <c r="DX1238" i="1"/>
  <c r="DX1240" i="1"/>
  <c r="DX1241" i="1"/>
  <c r="DX1242" i="1"/>
  <c r="DX1244" i="1"/>
  <c r="DX1245" i="1"/>
  <c r="DX1246" i="1"/>
  <c r="DX1247" i="1"/>
  <c r="DX1248" i="1"/>
  <c r="DX1250" i="1"/>
  <c r="DX1251" i="1"/>
  <c r="DX1252" i="1"/>
  <c r="DX1253" i="1"/>
  <c r="DX1254" i="1"/>
  <c r="DX1255" i="1"/>
  <c r="DX1256" i="1"/>
  <c r="DX1257" i="1"/>
  <c r="DX1258" i="1"/>
  <c r="DX1259" i="1"/>
  <c r="DX1261" i="1"/>
  <c r="DX1262" i="1"/>
  <c r="DX1263" i="1"/>
  <c r="DX1265" i="1"/>
  <c r="DX1266" i="1"/>
  <c r="DX1267" i="1"/>
  <c r="DX1268" i="1"/>
  <c r="DX1272" i="1"/>
  <c r="DX1274" i="1"/>
  <c r="DX1275" i="1"/>
  <c r="DX1276" i="1"/>
  <c r="DX1277" i="1"/>
  <c r="DX1278" i="1"/>
  <c r="DX1279" i="1"/>
  <c r="DX1280" i="1"/>
  <c r="DX1282" i="1"/>
  <c r="DX1283" i="1"/>
  <c r="DX1284" i="1"/>
  <c r="DX1285" i="1"/>
  <c r="DX1286" i="1"/>
  <c r="DX1287" i="1"/>
  <c r="DX1288" i="1"/>
  <c r="DX1289" i="1"/>
  <c r="DX1291" i="1"/>
  <c r="DX1292" i="1"/>
  <c r="DX1293" i="1"/>
  <c r="DX1294" i="1"/>
  <c r="DX1295" i="1"/>
  <c r="DX1296" i="1"/>
  <c r="DX1297" i="1"/>
  <c r="DX1298" i="1"/>
  <c r="DX1299" i="1"/>
  <c r="DX1300" i="1"/>
  <c r="DX1301" i="1"/>
  <c r="DX1303" i="1"/>
  <c r="DX1304" i="1"/>
  <c r="DX1305" i="1"/>
  <c r="DX1306" i="1"/>
  <c r="DX1307" i="1"/>
  <c r="DX1308" i="1"/>
  <c r="DX1309" i="1"/>
  <c r="DX1310" i="1"/>
  <c r="DX1311" i="1"/>
  <c r="DX1312" i="1"/>
  <c r="DX1313" i="1"/>
  <c r="DY67" i="1"/>
  <c r="DY68" i="1"/>
  <c r="DY69" i="1"/>
  <c r="DY70" i="1"/>
  <c r="DY71" i="1"/>
  <c r="DY72" i="1"/>
  <c r="DY73" i="1"/>
  <c r="DY74" i="1"/>
  <c r="DY76" i="1"/>
  <c r="DY77" i="1"/>
  <c r="DY78" i="1"/>
  <c r="DY79" i="1"/>
  <c r="DY80" i="1"/>
  <c r="DY81" i="1"/>
  <c r="DY82" i="1"/>
  <c r="DY84" i="1"/>
  <c r="DY85" i="1"/>
  <c r="DY86" i="1"/>
  <c r="DY87" i="1"/>
  <c r="DY88" i="1"/>
  <c r="DY89" i="1"/>
  <c r="DY90" i="1"/>
  <c r="DY92" i="1"/>
  <c r="DY93" i="1"/>
  <c r="DY94" i="1"/>
  <c r="DY95" i="1"/>
  <c r="DY96" i="1"/>
  <c r="DY97" i="1"/>
  <c r="DY98" i="1"/>
  <c r="DY101" i="1"/>
  <c r="DY103" i="1"/>
  <c r="DY104" i="1"/>
  <c r="DY105" i="1"/>
  <c r="DY106" i="1"/>
  <c r="DY107" i="1"/>
  <c r="DY108" i="1"/>
  <c r="DY109" i="1"/>
  <c r="DY112" i="1"/>
  <c r="DY113" i="1"/>
  <c r="DY114" i="1"/>
  <c r="DY115" i="1"/>
  <c r="DY116" i="1"/>
  <c r="DY117" i="1"/>
  <c r="DY118" i="1"/>
  <c r="DY119" i="1"/>
  <c r="DY120" i="1"/>
  <c r="DY122" i="1"/>
  <c r="DY124" i="1"/>
  <c r="DY125" i="1"/>
  <c r="DY126" i="1"/>
  <c r="DY129" i="1"/>
  <c r="DY131" i="1"/>
  <c r="DY132" i="1"/>
  <c r="DY133" i="1"/>
  <c r="DY136" i="1"/>
  <c r="DY138" i="1"/>
  <c r="DY139" i="1"/>
  <c r="DY140" i="1"/>
  <c r="DY141" i="1"/>
  <c r="DY142" i="1"/>
  <c r="DY145" i="1"/>
  <c r="DY146" i="1"/>
  <c r="DY147" i="1"/>
  <c r="DY148" i="1"/>
  <c r="DY149" i="1"/>
  <c r="DY151" i="1"/>
  <c r="DY152" i="1"/>
  <c r="DY153" i="1"/>
  <c r="DY154" i="1"/>
  <c r="DY155" i="1"/>
  <c r="DY156" i="1"/>
  <c r="DY157" i="1"/>
  <c r="DY158" i="1"/>
  <c r="DY160" i="1"/>
  <c r="DY161" i="1"/>
  <c r="DY162" i="1"/>
  <c r="DY163" i="1"/>
  <c r="DY166" i="1"/>
  <c r="DY167" i="1"/>
  <c r="DY168" i="1"/>
  <c r="DY169" i="1"/>
  <c r="DY170" i="1"/>
  <c r="DY172" i="1"/>
  <c r="DY173" i="1"/>
  <c r="DY175" i="1"/>
  <c r="DY176" i="1"/>
  <c r="DY177" i="1"/>
  <c r="DY178" i="1"/>
  <c r="DY179" i="1"/>
  <c r="DY180" i="1"/>
  <c r="DY181" i="1"/>
  <c r="DY182" i="1"/>
  <c r="DY183" i="1"/>
  <c r="DY184" i="1"/>
  <c r="DY186" i="1"/>
  <c r="DY187" i="1"/>
  <c r="DY188" i="1"/>
  <c r="DY189" i="1"/>
  <c r="DY190" i="1"/>
  <c r="DY191" i="1"/>
  <c r="DY192" i="1"/>
  <c r="DY193" i="1"/>
  <c r="DY195" i="1"/>
  <c r="DY196" i="1"/>
  <c r="DY197" i="1"/>
  <c r="DY198" i="1"/>
  <c r="DY200" i="1"/>
  <c r="DY201" i="1"/>
  <c r="DY202" i="1"/>
  <c r="DY203" i="1"/>
  <c r="DY204" i="1"/>
  <c r="DY205" i="1"/>
  <c r="DY206" i="1"/>
  <c r="DY207" i="1"/>
  <c r="DY209" i="1"/>
  <c r="DY210" i="1"/>
  <c r="DY211" i="1"/>
  <c r="DY212" i="1"/>
  <c r="DY213" i="1"/>
  <c r="DY214" i="1"/>
  <c r="DY215" i="1"/>
  <c r="DY217" i="1"/>
  <c r="DY218" i="1"/>
  <c r="DY219" i="1"/>
  <c r="DY220" i="1"/>
  <c r="DY221" i="1"/>
  <c r="DY222" i="1"/>
  <c r="DY224" i="1"/>
  <c r="DY225" i="1"/>
  <c r="DY226" i="1"/>
  <c r="DY227" i="1"/>
  <c r="DY228" i="1"/>
  <c r="DY229" i="1"/>
  <c r="DY231" i="1"/>
  <c r="DY232" i="1"/>
  <c r="DY233" i="1"/>
  <c r="DY234" i="1"/>
  <c r="DY235" i="1"/>
  <c r="DY236" i="1"/>
  <c r="DY237" i="1"/>
  <c r="DY238" i="1"/>
  <c r="DY240" i="1"/>
  <c r="DY241" i="1"/>
  <c r="DY242" i="1"/>
  <c r="DY243" i="1"/>
  <c r="DY244" i="1"/>
  <c r="DY245" i="1"/>
  <c r="DY246" i="1"/>
  <c r="DY247" i="1"/>
  <c r="DY249" i="1"/>
  <c r="DY250" i="1"/>
  <c r="DY251" i="1"/>
  <c r="DY252" i="1"/>
  <c r="DY253" i="1"/>
  <c r="DY254" i="1"/>
  <c r="DY255" i="1"/>
  <c r="DY256" i="1"/>
  <c r="DY258" i="1"/>
  <c r="DY259" i="1"/>
  <c r="DY260" i="1"/>
  <c r="DY261" i="1"/>
  <c r="DY262" i="1"/>
  <c r="DY263" i="1"/>
  <c r="DY264" i="1"/>
  <c r="DY265" i="1"/>
  <c r="DY266" i="1"/>
  <c r="DY268" i="1"/>
  <c r="DY269" i="1"/>
  <c r="DY270" i="1"/>
  <c r="DY271" i="1"/>
  <c r="DY272" i="1"/>
  <c r="DY273" i="1"/>
  <c r="DY274" i="1"/>
  <c r="DY275" i="1"/>
  <c r="DY276" i="1"/>
  <c r="DY278" i="1"/>
  <c r="DY279" i="1"/>
  <c r="DY280" i="1"/>
  <c r="DY281" i="1"/>
  <c r="DY282" i="1"/>
  <c r="DY283" i="1"/>
  <c r="DY285" i="1"/>
  <c r="DY286" i="1"/>
  <c r="DY287" i="1"/>
  <c r="DY288" i="1"/>
  <c r="DY291" i="1"/>
  <c r="DY292" i="1"/>
  <c r="DY293" i="1"/>
  <c r="DY294" i="1"/>
  <c r="DY296" i="1"/>
  <c r="DY297" i="1"/>
  <c r="DY298" i="1"/>
  <c r="DY299" i="1"/>
  <c r="DY300" i="1"/>
  <c r="DY301" i="1"/>
  <c r="DY302" i="1"/>
  <c r="DY303" i="1"/>
  <c r="DY305" i="1"/>
  <c r="DY306" i="1"/>
  <c r="DY307" i="1"/>
  <c r="DY308" i="1"/>
  <c r="DY309" i="1"/>
  <c r="DY310" i="1"/>
  <c r="DY311" i="1"/>
  <c r="DY312" i="1"/>
  <c r="DY313" i="1"/>
  <c r="DY314" i="1"/>
  <c r="DY316" i="1"/>
  <c r="DY317" i="1"/>
  <c r="DY318" i="1"/>
  <c r="DY319" i="1"/>
  <c r="DY320" i="1"/>
  <c r="DY321" i="1"/>
  <c r="DY322" i="1"/>
  <c r="DY323" i="1"/>
  <c r="DY324" i="1"/>
  <c r="DY325" i="1"/>
  <c r="DY326" i="1"/>
  <c r="DY327" i="1"/>
  <c r="DY329" i="1"/>
  <c r="DY330" i="1"/>
  <c r="DY332" i="1"/>
  <c r="DY333" i="1"/>
  <c r="DY334" i="1"/>
  <c r="DY335" i="1"/>
  <c r="DY336" i="1"/>
  <c r="DY337" i="1"/>
  <c r="DY338" i="1"/>
  <c r="DY340" i="1"/>
  <c r="DY341" i="1"/>
  <c r="DY342" i="1"/>
  <c r="DY343" i="1"/>
  <c r="DY344" i="1"/>
  <c r="DY345" i="1"/>
  <c r="DY346" i="1"/>
  <c r="DY347" i="1"/>
  <c r="DY348" i="1"/>
  <c r="DY349" i="1"/>
  <c r="DY351" i="1"/>
  <c r="DY352" i="1"/>
  <c r="DY353" i="1"/>
  <c r="DY354" i="1"/>
  <c r="DY355" i="1"/>
  <c r="DY356" i="1"/>
  <c r="DY358" i="1"/>
  <c r="DY359" i="1"/>
  <c r="DY360" i="1"/>
  <c r="DY361" i="1"/>
  <c r="DY362" i="1"/>
  <c r="DY363" i="1"/>
  <c r="DY364" i="1"/>
  <c r="DY365" i="1"/>
  <c r="DY367" i="1"/>
  <c r="DY368" i="1"/>
  <c r="DY369" i="1"/>
  <c r="DY371" i="1"/>
  <c r="DY372" i="1"/>
  <c r="DY373" i="1"/>
  <c r="DY375" i="1"/>
  <c r="DY376" i="1"/>
  <c r="DY378" i="1"/>
  <c r="DY379" i="1"/>
  <c r="DY380" i="1"/>
  <c r="DY381" i="1"/>
  <c r="DY382" i="1"/>
  <c r="DY383" i="1"/>
  <c r="DY385" i="1"/>
  <c r="DY386" i="1"/>
  <c r="DY387" i="1"/>
  <c r="DY388" i="1"/>
  <c r="DY389" i="1"/>
  <c r="DY390" i="1"/>
  <c r="DY391" i="1"/>
  <c r="DY393" i="1"/>
  <c r="DY394" i="1"/>
  <c r="DY395" i="1"/>
  <c r="DY396" i="1"/>
  <c r="DY397" i="1"/>
  <c r="DY398" i="1"/>
  <c r="DY399" i="1"/>
  <c r="DY400" i="1"/>
  <c r="DY401" i="1"/>
  <c r="DY403" i="1"/>
  <c r="DY404" i="1"/>
  <c r="DY405" i="1"/>
  <c r="DY406" i="1"/>
  <c r="DY407" i="1"/>
  <c r="DY408" i="1"/>
  <c r="DY409" i="1"/>
  <c r="DY410" i="1"/>
  <c r="DY411" i="1"/>
  <c r="DY413" i="1"/>
  <c r="DY414" i="1"/>
  <c r="DY415" i="1"/>
  <c r="DY416" i="1"/>
  <c r="DY417" i="1"/>
  <c r="DY418" i="1"/>
  <c r="DY419" i="1"/>
  <c r="DY421" i="1"/>
  <c r="DY422" i="1"/>
  <c r="DY423" i="1"/>
  <c r="DY424" i="1"/>
  <c r="DY425" i="1"/>
  <c r="DY426" i="1"/>
  <c r="DY427" i="1"/>
  <c r="DY428" i="1"/>
  <c r="DY430" i="1"/>
  <c r="DY431" i="1"/>
  <c r="DY432" i="1"/>
  <c r="DY433" i="1"/>
  <c r="DY434" i="1"/>
  <c r="DY435" i="1"/>
  <c r="DY436" i="1"/>
  <c r="DY439" i="1"/>
  <c r="DY440" i="1"/>
  <c r="DY441" i="1"/>
  <c r="DY442" i="1"/>
  <c r="DY443" i="1"/>
  <c r="DY445" i="1"/>
  <c r="DY446" i="1"/>
  <c r="DY447" i="1"/>
  <c r="DY448" i="1"/>
  <c r="DY449" i="1"/>
  <c r="DY450" i="1"/>
  <c r="DY451" i="1"/>
  <c r="DY452" i="1"/>
  <c r="DY454" i="1"/>
  <c r="DY455" i="1"/>
  <c r="DY456" i="1"/>
  <c r="DY457" i="1"/>
  <c r="DY459" i="1"/>
  <c r="DY460" i="1"/>
  <c r="DY461" i="1"/>
  <c r="DY462" i="1"/>
  <c r="DY463" i="1"/>
  <c r="DY464" i="1"/>
  <c r="DY465" i="1"/>
  <c r="DY466" i="1"/>
  <c r="DY468" i="1"/>
  <c r="DY469" i="1"/>
  <c r="DY470" i="1"/>
  <c r="DY471" i="1"/>
  <c r="DY472" i="1"/>
  <c r="DY473" i="1"/>
  <c r="DY474" i="1"/>
  <c r="DY475" i="1"/>
  <c r="DY476" i="1"/>
  <c r="DY478" i="1"/>
  <c r="DY479" i="1"/>
  <c r="DY480" i="1"/>
  <c r="DY481" i="1"/>
  <c r="DY482" i="1"/>
  <c r="DY483" i="1"/>
  <c r="DY485" i="1"/>
  <c r="DY486" i="1"/>
  <c r="DY487" i="1"/>
  <c r="DY488" i="1"/>
  <c r="DY489" i="1"/>
  <c r="DY490" i="1"/>
  <c r="DY491" i="1"/>
  <c r="DY492" i="1"/>
  <c r="DY493" i="1"/>
  <c r="DY495" i="1"/>
  <c r="DY496" i="1"/>
  <c r="DY497" i="1"/>
  <c r="DY498" i="1"/>
  <c r="DY499" i="1"/>
  <c r="DY500" i="1"/>
  <c r="DY502" i="1"/>
  <c r="DY503" i="1"/>
  <c r="DY504" i="1"/>
  <c r="DY505" i="1"/>
  <c r="DY506" i="1"/>
  <c r="DY507" i="1"/>
  <c r="DY508" i="1"/>
  <c r="DY510" i="1"/>
  <c r="DY511" i="1"/>
  <c r="DY512" i="1"/>
  <c r="DY513" i="1"/>
  <c r="DY514" i="1"/>
  <c r="DY515" i="1"/>
  <c r="DY516" i="1"/>
  <c r="DY517" i="1"/>
  <c r="DY518" i="1"/>
  <c r="DY520" i="1"/>
  <c r="DY521" i="1"/>
  <c r="DY522" i="1"/>
  <c r="DY523" i="1"/>
  <c r="DY524" i="1"/>
  <c r="DY525" i="1"/>
  <c r="DY526" i="1"/>
  <c r="DY527" i="1"/>
  <c r="DY529" i="1"/>
  <c r="DY530" i="1"/>
  <c r="DY531" i="1"/>
  <c r="DY532" i="1"/>
  <c r="DY533" i="1"/>
  <c r="DY534" i="1"/>
  <c r="DY535" i="1"/>
  <c r="DY536" i="1"/>
  <c r="DY538" i="1"/>
  <c r="DY539" i="1"/>
  <c r="DY540" i="1"/>
  <c r="DY541" i="1"/>
  <c r="DY542" i="1"/>
  <c r="DY543" i="1"/>
  <c r="DY544" i="1"/>
  <c r="DY545" i="1"/>
  <c r="DY546" i="1"/>
  <c r="DY548" i="1"/>
  <c r="DY549" i="1"/>
  <c r="DY550" i="1"/>
  <c r="DY551" i="1"/>
  <c r="DY552" i="1"/>
  <c r="DY553" i="1"/>
  <c r="DY554" i="1"/>
  <c r="DY555" i="1"/>
  <c r="DY557" i="1"/>
  <c r="DY558" i="1"/>
  <c r="DY559" i="1"/>
  <c r="DY560" i="1"/>
  <c r="DY561" i="1"/>
  <c r="DY562" i="1"/>
  <c r="DY564" i="1"/>
  <c r="DY565" i="1"/>
  <c r="DY566" i="1"/>
  <c r="DY567" i="1"/>
  <c r="DY569" i="1"/>
  <c r="DY570" i="1"/>
  <c r="DY572" i="1"/>
  <c r="DY573" i="1"/>
  <c r="DY574" i="1"/>
  <c r="DY576" i="1"/>
  <c r="DY577" i="1"/>
  <c r="DY578" i="1"/>
  <c r="DY579" i="1"/>
  <c r="DY580" i="1"/>
  <c r="DY581" i="1"/>
  <c r="DY583" i="1"/>
  <c r="DY584" i="1"/>
  <c r="DY586" i="1"/>
  <c r="DY587" i="1"/>
  <c r="DY588" i="1"/>
  <c r="DY590" i="1"/>
  <c r="DY591" i="1"/>
  <c r="DY592" i="1"/>
  <c r="DY593" i="1"/>
  <c r="DY594" i="1"/>
  <c r="DY595" i="1"/>
  <c r="DY596" i="1"/>
  <c r="DY597" i="1"/>
  <c r="DY598" i="1"/>
  <c r="DY600" i="1"/>
  <c r="DY601" i="1"/>
  <c r="DY603" i="1"/>
  <c r="DY604" i="1"/>
  <c r="DY605" i="1"/>
  <c r="DY607" i="1"/>
  <c r="DY608" i="1"/>
  <c r="DY609" i="1"/>
  <c r="DY610" i="1"/>
  <c r="DY611" i="1"/>
  <c r="DY612" i="1"/>
  <c r="DY614" i="1"/>
  <c r="DY615" i="1"/>
  <c r="DY616" i="1"/>
  <c r="DY617" i="1"/>
  <c r="DY618" i="1"/>
  <c r="DY619" i="1"/>
  <c r="DY620" i="1"/>
  <c r="DY622" i="1"/>
  <c r="DY623" i="1"/>
  <c r="DY624" i="1"/>
  <c r="DY625" i="1"/>
  <c r="DY626" i="1"/>
  <c r="DY629" i="1"/>
  <c r="DY630" i="1"/>
  <c r="DY631" i="1"/>
  <c r="DY632" i="1"/>
  <c r="DY633" i="1"/>
  <c r="DY634" i="1"/>
  <c r="DY636" i="1"/>
  <c r="DY637" i="1"/>
  <c r="DY638" i="1"/>
  <c r="DY639" i="1"/>
  <c r="DY641" i="1"/>
  <c r="DY643" i="1"/>
  <c r="DY644" i="1"/>
  <c r="DY645" i="1"/>
  <c r="DY647" i="1"/>
  <c r="DY648" i="1"/>
  <c r="DY649" i="1"/>
  <c r="DY650" i="1"/>
  <c r="DY651" i="1"/>
  <c r="DY652" i="1"/>
  <c r="DY654" i="1"/>
  <c r="DY655" i="1"/>
  <c r="DY656" i="1"/>
  <c r="DY657" i="1"/>
  <c r="DY658" i="1"/>
  <c r="DY659" i="1"/>
  <c r="DY660" i="1"/>
  <c r="DY662" i="1"/>
  <c r="DY663" i="1"/>
  <c r="DY665" i="1"/>
  <c r="DY666" i="1"/>
  <c r="DY667" i="1"/>
  <c r="DY669" i="1"/>
  <c r="DY670" i="1"/>
  <c r="DY671" i="1"/>
  <c r="DY672" i="1"/>
  <c r="DY674" i="1"/>
  <c r="DY675" i="1"/>
  <c r="DY676" i="1"/>
  <c r="DY677" i="1"/>
  <c r="DY678" i="1"/>
  <c r="DY679" i="1"/>
  <c r="DY681" i="1"/>
  <c r="DY682" i="1"/>
  <c r="DY683" i="1"/>
  <c r="DY684" i="1"/>
  <c r="DY685" i="1"/>
  <c r="DY686" i="1"/>
  <c r="DY687" i="1"/>
  <c r="DY688" i="1"/>
  <c r="DY689" i="1"/>
  <c r="DY690" i="1"/>
  <c r="DY691" i="1"/>
  <c r="DY693" i="1"/>
  <c r="DY694" i="1"/>
  <c r="DY695" i="1"/>
  <c r="DY696" i="1"/>
  <c r="DY698" i="1"/>
  <c r="DY699" i="1"/>
  <c r="DY702" i="1"/>
  <c r="DY703" i="1"/>
  <c r="DY704" i="1"/>
  <c r="DY706" i="1"/>
  <c r="DY707" i="1"/>
  <c r="DY708" i="1"/>
  <c r="DY709" i="1"/>
  <c r="DY711" i="1"/>
  <c r="DY712" i="1"/>
  <c r="DY713" i="1"/>
  <c r="DY714" i="1"/>
  <c r="DY715" i="1"/>
  <c r="DY716" i="1"/>
  <c r="DY717" i="1"/>
  <c r="DY718" i="1"/>
  <c r="DY720" i="1"/>
  <c r="DY721" i="1"/>
  <c r="DY723" i="1"/>
  <c r="DY724" i="1"/>
  <c r="DY725" i="1"/>
  <c r="DY726" i="1"/>
  <c r="DY729" i="1"/>
  <c r="DY731" i="1"/>
  <c r="DY732" i="1"/>
  <c r="DY733" i="1"/>
  <c r="DY734" i="1"/>
  <c r="DY735" i="1"/>
  <c r="DY736" i="1"/>
  <c r="DY738" i="1"/>
  <c r="DY739" i="1"/>
  <c r="DY740" i="1"/>
  <c r="DY741" i="1"/>
  <c r="DY742" i="1"/>
  <c r="DY743" i="1"/>
  <c r="DY744" i="1"/>
  <c r="DY745" i="1"/>
  <c r="DY748" i="1"/>
  <c r="DY750" i="1"/>
  <c r="DY751" i="1"/>
  <c r="DY752" i="1"/>
  <c r="DY753" i="1"/>
  <c r="DY754" i="1"/>
  <c r="DY755" i="1"/>
  <c r="DY756" i="1"/>
  <c r="DY758" i="1"/>
  <c r="DY760" i="1"/>
  <c r="DY761" i="1"/>
  <c r="DY763" i="1"/>
  <c r="DY764" i="1"/>
  <c r="DY766" i="1"/>
  <c r="DY767" i="1"/>
  <c r="DY768" i="1"/>
  <c r="DY769" i="1"/>
  <c r="DY774" i="1"/>
  <c r="DY775" i="1"/>
  <c r="DY777" i="1"/>
  <c r="DY778" i="1"/>
  <c r="DY779" i="1"/>
  <c r="DY780" i="1"/>
  <c r="DY783" i="1"/>
  <c r="DY784" i="1"/>
  <c r="DY785" i="1"/>
  <c r="DY786" i="1"/>
  <c r="DY787" i="1"/>
  <c r="DY789" i="1"/>
  <c r="DY790" i="1"/>
  <c r="DY791" i="1"/>
  <c r="DY793" i="1"/>
  <c r="DY794" i="1"/>
  <c r="DY795" i="1"/>
  <c r="DY796" i="1"/>
  <c r="DY797" i="1"/>
  <c r="DY798" i="1"/>
  <c r="DY800" i="1"/>
  <c r="DY801" i="1"/>
  <c r="DY802" i="1"/>
  <c r="DY803" i="1"/>
  <c r="DY804" i="1"/>
  <c r="DY805" i="1"/>
  <c r="DY806" i="1"/>
  <c r="DY807" i="1"/>
  <c r="DY808" i="1"/>
  <c r="DY810" i="1"/>
  <c r="DY811" i="1"/>
  <c r="DY812" i="1"/>
  <c r="DY813" i="1"/>
  <c r="DY814" i="1"/>
  <c r="DY815" i="1"/>
  <c r="DY816" i="1"/>
  <c r="DY818" i="1"/>
  <c r="DY819" i="1"/>
  <c r="DY820" i="1"/>
  <c r="DY822" i="1"/>
  <c r="DY823" i="1"/>
  <c r="DY824" i="1"/>
  <c r="DY825" i="1"/>
  <c r="DY826" i="1"/>
  <c r="DY827" i="1"/>
  <c r="DY829" i="1"/>
  <c r="DY830" i="1"/>
  <c r="DY831" i="1"/>
  <c r="DY832" i="1"/>
  <c r="DY834" i="1"/>
  <c r="DY835" i="1"/>
  <c r="DY836" i="1"/>
  <c r="DY838" i="1"/>
  <c r="DY839" i="1"/>
  <c r="DY840" i="1"/>
  <c r="DY841" i="1"/>
  <c r="DY842" i="1"/>
  <c r="DY843" i="1"/>
  <c r="DY845" i="1"/>
  <c r="DY846" i="1"/>
  <c r="DY847" i="1"/>
  <c r="DY848" i="1"/>
  <c r="DY849" i="1"/>
  <c r="DY850" i="1"/>
  <c r="DY852" i="1"/>
  <c r="DY854" i="1"/>
  <c r="DY855" i="1"/>
  <c r="DY856" i="1"/>
  <c r="DY857" i="1"/>
  <c r="DY859" i="1"/>
  <c r="DY860" i="1"/>
  <c r="DY862" i="1"/>
  <c r="DY863" i="1"/>
  <c r="DY864" i="1"/>
  <c r="DY865" i="1"/>
  <c r="DY866" i="1"/>
  <c r="DY867" i="1"/>
  <c r="DY868" i="1"/>
  <c r="DY869" i="1"/>
  <c r="DY870" i="1"/>
  <c r="DY872" i="1"/>
  <c r="DY873" i="1"/>
  <c r="DY874" i="1"/>
  <c r="DY875" i="1"/>
  <c r="DY876" i="1"/>
  <c r="DY877" i="1"/>
  <c r="DY878" i="1"/>
  <c r="DY879" i="1"/>
  <c r="DY880" i="1"/>
  <c r="DY881" i="1"/>
  <c r="DY884" i="1"/>
  <c r="DY886" i="1"/>
  <c r="DY887" i="1"/>
  <c r="DY888" i="1"/>
  <c r="DY889" i="1"/>
  <c r="DY890" i="1"/>
  <c r="DY891" i="1"/>
  <c r="DY892" i="1"/>
  <c r="DY893" i="1"/>
  <c r="DY894" i="1"/>
  <c r="DY895" i="1"/>
  <c r="DY897" i="1"/>
  <c r="DY898" i="1"/>
  <c r="DY899" i="1"/>
  <c r="DY900" i="1"/>
  <c r="DY901" i="1"/>
  <c r="DY902" i="1"/>
  <c r="DY904" i="1"/>
  <c r="DY905" i="1"/>
  <c r="DY906" i="1"/>
  <c r="DY908" i="1"/>
  <c r="DY909" i="1"/>
  <c r="DY910" i="1"/>
  <c r="DY911" i="1"/>
  <c r="DY912" i="1"/>
  <c r="DY913" i="1"/>
  <c r="DY915" i="1"/>
  <c r="DY916" i="1"/>
  <c r="DY917" i="1"/>
  <c r="DY918" i="1"/>
  <c r="DY919" i="1"/>
  <c r="DY920" i="1"/>
  <c r="DY921" i="1"/>
  <c r="DY922" i="1"/>
  <c r="DY923" i="1"/>
  <c r="DY924" i="1"/>
  <c r="DY925" i="1"/>
  <c r="DY927" i="1"/>
  <c r="DY928" i="1"/>
  <c r="DY929" i="1"/>
  <c r="DY930" i="1"/>
  <c r="DY931" i="1"/>
  <c r="DY932" i="1"/>
  <c r="DY933" i="1"/>
  <c r="DY935" i="1"/>
  <c r="DY936" i="1"/>
  <c r="DY937" i="1"/>
  <c r="DY938" i="1"/>
  <c r="DY939" i="1"/>
  <c r="DY940" i="1"/>
  <c r="DY941" i="1"/>
  <c r="DY943" i="1"/>
  <c r="DY944" i="1"/>
  <c r="DY945" i="1"/>
  <c r="DY947" i="1"/>
  <c r="DY948" i="1"/>
  <c r="DY950" i="1"/>
  <c r="DY951" i="1"/>
  <c r="DY952" i="1"/>
  <c r="DY953" i="1"/>
  <c r="DY954" i="1"/>
  <c r="DY955" i="1"/>
  <c r="DY956" i="1"/>
  <c r="DY957" i="1"/>
  <c r="DY958" i="1"/>
  <c r="DY960" i="1"/>
  <c r="DY961" i="1"/>
  <c r="DY962" i="1"/>
  <c r="DY963" i="1"/>
  <c r="DY964" i="1"/>
  <c r="DY965" i="1"/>
  <c r="DY966" i="1"/>
  <c r="DY967" i="1"/>
  <c r="DY969" i="1"/>
  <c r="DY970" i="1"/>
  <c r="DY971" i="1"/>
  <c r="DY972" i="1"/>
  <c r="DY973" i="1"/>
  <c r="DY974" i="1"/>
  <c r="DY975" i="1"/>
  <c r="DY977" i="1"/>
  <c r="DY978" i="1"/>
  <c r="DY979" i="1"/>
  <c r="DY980" i="1"/>
  <c r="DY981" i="1"/>
  <c r="DY983" i="1"/>
  <c r="DY985" i="1"/>
  <c r="DY986" i="1"/>
  <c r="DY987" i="1"/>
  <c r="DY989" i="1"/>
  <c r="DY990" i="1"/>
  <c r="DY991" i="1"/>
  <c r="DY992" i="1"/>
  <c r="DY993" i="1"/>
  <c r="DY994" i="1"/>
  <c r="DY996" i="1"/>
  <c r="DY997" i="1"/>
  <c r="DY998" i="1"/>
  <c r="DY999" i="1"/>
  <c r="DY1000" i="1"/>
  <c r="DY1001" i="1"/>
  <c r="DY1002" i="1"/>
  <c r="DY1003" i="1"/>
  <c r="DY1005" i="1"/>
  <c r="DY1006" i="1"/>
  <c r="DY1007" i="1"/>
  <c r="DY1008" i="1"/>
  <c r="DY1009" i="1"/>
  <c r="DY1010" i="1"/>
  <c r="DY1011" i="1"/>
  <c r="DY1013" i="1"/>
  <c r="DY1014" i="1"/>
  <c r="DY1015" i="1"/>
  <c r="DY1016" i="1"/>
  <c r="DY1017" i="1"/>
  <c r="DY1018" i="1"/>
  <c r="DY1019" i="1"/>
  <c r="DY1020" i="1"/>
  <c r="DY1021" i="1"/>
  <c r="DY1022" i="1"/>
  <c r="DY1023" i="1"/>
  <c r="DY1025" i="1"/>
  <c r="DY1026" i="1"/>
  <c r="DY1027" i="1"/>
  <c r="DY1028" i="1"/>
  <c r="DY1029" i="1"/>
  <c r="DY1030" i="1"/>
  <c r="DY1031" i="1"/>
  <c r="DY1032" i="1"/>
  <c r="DY1033" i="1"/>
  <c r="DY1035" i="1"/>
  <c r="DY1036" i="1"/>
  <c r="DY1037" i="1"/>
  <c r="DY1038" i="1"/>
  <c r="DY1039" i="1"/>
  <c r="DY1040" i="1"/>
  <c r="DY1041" i="1"/>
  <c r="DY1042" i="1"/>
  <c r="DY1043" i="1"/>
  <c r="DY1044" i="1"/>
  <c r="DY1046" i="1"/>
  <c r="DY1047" i="1"/>
  <c r="DY1048" i="1"/>
  <c r="DY1051" i="1"/>
  <c r="DY1053" i="1"/>
  <c r="DY1054" i="1"/>
  <c r="DY1055" i="1"/>
  <c r="DY1056" i="1"/>
  <c r="DY1057" i="1"/>
  <c r="DY1059" i="1"/>
  <c r="DY1060" i="1"/>
  <c r="DY1061" i="1"/>
  <c r="DY1062" i="1"/>
  <c r="DY1063" i="1"/>
  <c r="DY1064" i="1"/>
  <c r="DY1066" i="1"/>
  <c r="DY1067" i="1"/>
  <c r="DY1068" i="1"/>
  <c r="DY1069" i="1"/>
  <c r="DY1070" i="1"/>
  <c r="DY1071" i="1"/>
  <c r="DY1072" i="1"/>
  <c r="DY1073" i="1"/>
  <c r="DY1075" i="1"/>
  <c r="DY1076" i="1"/>
  <c r="DY1077" i="1"/>
  <c r="DY1080" i="1"/>
  <c r="DY1081" i="1"/>
  <c r="DY1082" i="1"/>
  <c r="DY1083" i="1"/>
  <c r="DY1084" i="1"/>
  <c r="DY1086" i="1"/>
  <c r="DY1087" i="1"/>
  <c r="DY1088" i="1"/>
  <c r="DY1089" i="1"/>
  <c r="DY1090" i="1"/>
  <c r="DY1091" i="1"/>
  <c r="DY1092" i="1"/>
  <c r="DY1093" i="1"/>
  <c r="DY1094" i="1"/>
  <c r="DY1096" i="1"/>
  <c r="DY1097" i="1"/>
  <c r="DY1098" i="1"/>
  <c r="DY1099" i="1"/>
  <c r="DY1100" i="1"/>
  <c r="DY1101" i="1"/>
  <c r="DY1102" i="1"/>
  <c r="DY1103" i="1"/>
  <c r="DY1104" i="1"/>
  <c r="DY1105" i="1"/>
  <c r="DY1106" i="1"/>
  <c r="DY1108" i="1"/>
  <c r="DY1109" i="1"/>
  <c r="DY1110" i="1"/>
  <c r="DY1111" i="1"/>
  <c r="DY1112" i="1"/>
  <c r="DY1113" i="1"/>
  <c r="DY1115" i="1"/>
  <c r="DY1116" i="1"/>
  <c r="DY1117" i="1"/>
  <c r="DY1118" i="1"/>
  <c r="DY1120" i="1"/>
  <c r="DY1122" i="1"/>
  <c r="DY1123" i="1"/>
  <c r="DY1124" i="1"/>
  <c r="DY1126" i="1"/>
  <c r="DY1127" i="1"/>
  <c r="DY1128" i="1"/>
  <c r="DY1129" i="1"/>
  <c r="DY1130" i="1"/>
  <c r="DY1132" i="1"/>
  <c r="DY1133" i="1"/>
  <c r="DY1135" i="1"/>
  <c r="DY1136" i="1"/>
  <c r="DY1137" i="1"/>
  <c r="DY1138" i="1"/>
  <c r="DY1139" i="1"/>
  <c r="DY1140" i="1"/>
  <c r="DY1142" i="1"/>
  <c r="DY1143" i="1"/>
  <c r="DY1144" i="1"/>
  <c r="DY1145" i="1"/>
  <c r="DY1146" i="1"/>
  <c r="DY1147" i="1"/>
  <c r="DY1148" i="1"/>
  <c r="DY1149" i="1"/>
  <c r="DY1150" i="1"/>
  <c r="DY1152" i="1"/>
  <c r="DY1153" i="1"/>
  <c r="DY1154" i="1"/>
  <c r="DY1155" i="1"/>
  <c r="DY1157" i="1"/>
  <c r="DY1158" i="1"/>
  <c r="DY1159" i="1"/>
  <c r="DY1160" i="1"/>
  <c r="DY1161" i="1"/>
  <c r="DY1162" i="1"/>
  <c r="DY1163" i="1"/>
  <c r="DY1164" i="1"/>
  <c r="DY1165" i="1"/>
  <c r="DY1167" i="1"/>
  <c r="DY1168" i="1"/>
  <c r="DY1169" i="1"/>
  <c r="DY1170" i="1"/>
  <c r="DY1172" i="1"/>
  <c r="DY1173" i="1"/>
  <c r="DY1174" i="1"/>
  <c r="DY1175" i="1"/>
  <c r="DY1177" i="1"/>
  <c r="DY1178" i="1"/>
  <c r="DY1179" i="1"/>
  <c r="DY1180" i="1"/>
  <c r="DY1181" i="1"/>
  <c r="DY1182" i="1"/>
  <c r="DY1183" i="1"/>
  <c r="DY1185" i="1"/>
  <c r="DY1186" i="1"/>
  <c r="DY1187" i="1"/>
  <c r="DY1188" i="1"/>
  <c r="DY1189" i="1"/>
  <c r="DY1190" i="1"/>
  <c r="DY1192" i="1"/>
  <c r="DY1194" i="1"/>
  <c r="DY1195" i="1"/>
  <c r="DY1196" i="1"/>
  <c r="DY1199" i="1"/>
  <c r="DY1201" i="1"/>
  <c r="DY1202" i="1"/>
  <c r="DY1203" i="1"/>
  <c r="DY1204" i="1"/>
  <c r="DY1205" i="1"/>
  <c r="DY1206" i="1"/>
  <c r="DY1207" i="1"/>
  <c r="DY1209" i="1"/>
  <c r="DY1210" i="1"/>
  <c r="DY1211" i="1"/>
  <c r="DY1212" i="1"/>
  <c r="DY1213" i="1"/>
  <c r="DY1214" i="1"/>
  <c r="DY1215" i="1"/>
  <c r="DY1216" i="1"/>
  <c r="DY1217" i="1"/>
  <c r="DY1219" i="1"/>
  <c r="DY1220" i="1"/>
  <c r="DY1222" i="1"/>
  <c r="DY1223" i="1"/>
  <c r="DY1224" i="1"/>
  <c r="DY1225" i="1"/>
  <c r="DY1226" i="1"/>
  <c r="DY1227" i="1"/>
  <c r="DY1229" i="1"/>
  <c r="DY1230" i="1"/>
  <c r="DY1231" i="1"/>
  <c r="DY1232" i="1"/>
  <c r="DY1233" i="1"/>
  <c r="DY1234" i="1"/>
  <c r="DY1235" i="1"/>
  <c r="DY1236" i="1"/>
  <c r="DY1238" i="1"/>
  <c r="DY1240" i="1"/>
  <c r="DY1241" i="1"/>
  <c r="DY1242" i="1"/>
  <c r="DY1244" i="1"/>
  <c r="DY1245" i="1"/>
  <c r="DY1246" i="1"/>
  <c r="DY1247" i="1"/>
  <c r="DY1248" i="1"/>
  <c r="DY1250" i="1"/>
  <c r="DY1251" i="1"/>
  <c r="DY1252" i="1"/>
  <c r="DY1253" i="1"/>
  <c r="DY1254" i="1"/>
  <c r="DY1255" i="1"/>
  <c r="DY1256" i="1"/>
  <c r="DY1257" i="1"/>
  <c r="DY1258" i="1"/>
  <c r="DY1259" i="1"/>
  <c r="DY1261" i="1"/>
  <c r="DY1262" i="1"/>
  <c r="DY1263" i="1"/>
  <c r="DY1265" i="1"/>
  <c r="DY1266" i="1"/>
  <c r="DY1267" i="1"/>
  <c r="DY1268" i="1"/>
  <c r="DY1272" i="1"/>
  <c r="DY1274" i="1"/>
  <c r="DY1275" i="1"/>
  <c r="DY1276" i="1"/>
  <c r="DY1277" i="1"/>
  <c r="DY1278" i="1"/>
  <c r="DY1279" i="1"/>
  <c r="DY1280" i="1"/>
  <c r="DY1282" i="1"/>
  <c r="DY1283" i="1"/>
  <c r="DY1284" i="1"/>
  <c r="DY1285" i="1"/>
  <c r="DY1286" i="1"/>
  <c r="DY1287" i="1"/>
  <c r="DY1288" i="1"/>
  <c r="DY1289" i="1"/>
  <c r="DY1291" i="1"/>
  <c r="DY1292" i="1"/>
  <c r="DY1293" i="1"/>
  <c r="DY1294" i="1"/>
  <c r="DY1295" i="1"/>
  <c r="DY1296" i="1"/>
  <c r="DY1297" i="1"/>
  <c r="DY1298" i="1"/>
  <c r="DY1299" i="1"/>
  <c r="DY1300" i="1"/>
  <c r="DY1301" i="1"/>
  <c r="DY1303" i="1"/>
  <c r="DY1304" i="1"/>
  <c r="DY1305" i="1"/>
  <c r="DY1306" i="1"/>
  <c r="DY1307" i="1"/>
  <c r="DY1308" i="1"/>
  <c r="DY1309" i="1"/>
  <c r="DY1310" i="1"/>
  <c r="DY1311" i="1"/>
  <c r="DY1312" i="1"/>
  <c r="DY1313" i="1"/>
  <c r="DZ67" i="1"/>
  <c r="DZ68" i="1"/>
  <c r="DZ69" i="1"/>
  <c r="DZ70" i="1"/>
  <c r="DZ71" i="1"/>
  <c r="DZ72" i="1"/>
  <c r="DZ73" i="1"/>
  <c r="DZ74" i="1"/>
  <c r="DZ76" i="1"/>
  <c r="DZ77" i="1"/>
  <c r="DZ78" i="1"/>
  <c r="DZ79" i="1"/>
  <c r="DZ80" i="1"/>
  <c r="DZ81" i="1"/>
  <c r="DZ82" i="1"/>
  <c r="DZ84" i="1"/>
  <c r="DZ85" i="1"/>
  <c r="DZ86" i="1"/>
  <c r="DZ87" i="1"/>
  <c r="DZ88" i="1"/>
  <c r="DZ89" i="1"/>
  <c r="DZ90" i="1"/>
  <c r="DZ92" i="1"/>
  <c r="DZ93" i="1"/>
  <c r="DZ94" i="1"/>
  <c r="DZ95" i="1"/>
  <c r="DZ96" i="1"/>
  <c r="DZ97" i="1"/>
  <c r="DZ98" i="1"/>
  <c r="DZ101" i="1"/>
  <c r="DZ103" i="1"/>
  <c r="DZ104" i="1"/>
  <c r="DZ105" i="1"/>
  <c r="DZ106" i="1"/>
  <c r="DZ107" i="1"/>
  <c r="DZ108" i="1"/>
  <c r="DZ109" i="1"/>
  <c r="DZ111" i="1"/>
  <c r="DZ112" i="1"/>
  <c r="DZ113" i="1"/>
  <c r="DZ114" i="1"/>
  <c r="DZ115" i="1"/>
  <c r="DZ116" i="1"/>
  <c r="DZ117" i="1"/>
  <c r="DZ118" i="1"/>
  <c r="DZ119" i="1"/>
  <c r="DZ120" i="1"/>
  <c r="DZ122" i="1"/>
  <c r="DZ124" i="1"/>
  <c r="DZ125" i="1"/>
  <c r="DZ126" i="1"/>
  <c r="DZ129" i="1"/>
  <c r="DZ131" i="1"/>
  <c r="DZ132" i="1"/>
  <c r="DZ133" i="1"/>
  <c r="DZ136" i="1"/>
  <c r="DZ138" i="1"/>
  <c r="DZ139" i="1"/>
  <c r="DZ140" i="1"/>
  <c r="DZ141" i="1"/>
  <c r="DZ142" i="1"/>
  <c r="DZ144" i="1"/>
  <c r="DZ145" i="1"/>
  <c r="DZ146" i="1"/>
  <c r="DZ147" i="1"/>
  <c r="DZ148" i="1"/>
  <c r="DZ149" i="1"/>
  <c r="DZ151" i="1"/>
  <c r="DZ152" i="1"/>
  <c r="DZ153" i="1"/>
  <c r="DZ154" i="1"/>
  <c r="DZ155" i="1"/>
  <c r="DZ156" i="1"/>
  <c r="DZ157" i="1"/>
  <c r="DZ158" i="1"/>
  <c r="DZ160" i="1"/>
  <c r="DZ161" i="1"/>
  <c r="DZ162" i="1"/>
  <c r="DZ163" i="1"/>
  <c r="DZ165" i="1"/>
  <c r="DZ166" i="1"/>
  <c r="DZ167" i="1"/>
  <c r="DZ168" i="1"/>
  <c r="DZ169" i="1"/>
  <c r="DZ170" i="1"/>
  <c r="DZ172" i="1"/>
  <c r="DZ173" i="1"/>
  <c r="DZ175" i="1"/>
  <c r="DZ176" i="1"/>
  <c r="DZ177" i="1"/>
  <c r="DZ178" i="1"/>
  <c r="DZ179" i="1"/>
  <c r="DZ180" i="1"/>
  <c r="DZ181" i="1"/>
  <c r="DZ182" i="1"/>
  <c r="DZ183" i="1"/>
  <c r="DZ184" i="1"/>
  <c r="DZ186" i="1"/>
  <c r="DZ187" i="1"/>
  <c r="DZ188" i="1"/>
  <c r="DZ189" i="1"/>
  <c r="DZ190" i="1"/>
  <c r="DZ191" i="1"/>
  <c r="DZ192" i="1"/>
  <c r="DZ193" i="1"/>
  <c r="DZ195" i="1"/>
  <c r="DZ196" i="1"/>
  <c r="DZ197" i="1"/>
  <c r="DZ198" i="1"/>
  <c r="DZ200" i="1"/>
  <c r="DZ201" i="1"/>
  <c r="DZ202" i="1"/>
  <c r="DZ203" i="1"/>
  <c r="DZ204" i="1"/>
  <c r="DZ205" i="1"/>
  <c r="DZ206" i="1"/>
  <c r="DZ207" i="1"/>
  <c r="DZ209" i="1"/>
  <c r="DZ210" i="1"/>
  <c r="DZ211" i="1"/>
  <c r="DZ212" i="1"/>
  <c r="DZ213" i="1"/>
  <c r="DZ214" i="1"/>
  <c r="DZ215" i="1"/>
  <c r="DZ217" i="1"/>
  <c r="DZ218" i="1"/>
  <c r="DZ219" i="1"/>
  <c r="DZ220" i="1"/>
  <c r="DZ221" i="1"/>
  <c r="DZ222" i="1"/>
  <c r="DZ224" i="1"/>
  <c r="DZ225" i="1"/>
  <c r="DZ226" i="1"/>
  <c r="DZ227" i="1"/>
  <c r="DZ228" i="1"/>
  <c r="DZ229" i="1"/>
  <c r="DZ231" i="1"/>
  <c r="DZ232" i="1"/>
  <c r="DZ233" i="1"/>
  <c r="DZ234" i="1"/>
  <c r="DZ235" i="1"/>
  <c r="DZ236" i="1"/>
  <c r="DZ237" i="1"/>
  <c r="DZ238" i="1"/>
  <c r="DZ240" i="1"/>
  <c r="DZ241" i="1"/>
  <c r="DZ242" i="1"/>
  <c r="DZ243" i="1"/>
  <c r="DZ244" i="1"/>
  <c r="DZ245" i="1"/>
  <c r="DZ246" i="1"/>
  <c r="DZ247" i="1"/>
  <c r="DZ249" i="1"/>
  <c r="DZ250" i="1"/>
  <c r="DZ251" i="1"/>
  <c r="DZ252" i="1"/>
  <c r="DZ253" i="1"/>
  <c r="DZ254" i="1"/>
  <c r="DZ255" i="1"/>
  <c r="DZ256" i="1"/>
  <c r="DZ259" i="1"/>
  <c r="DZ260" i="1"/>
  <c r="DZ261" i="1"/>
  <c r="DZ262" i="1"/>
  <c r="DZ263" i="1"/>
  <c r="DZ264" i="1"/>
  <c r="DZ265" i="1"/>
  <c r="DZ266" i="1"/>
  <c r="DZ268" i="1"/>
  <c r="DZ269" i="1"/>
  <c r="DZ270" i="1"/>
  <c r="DZ271" i="1"/>
  <c r="DZ272" i="1"/>
  <c r="DZ273" i="1"/>
  <c r="DZ274" i="1"/>
  <c r="DZ275" i="1"/>
  <c r="DZ276" i="1"/>
  <c r="DZ278" i="1"/>
  <c r="DZ279" i="1"/>
  <c r="DZ280" i="1"/>
  <c r="DZ281" i="1"/>
  <c r="DZ282" i="1"/>
  <c r="DZ283" i="1"/>
  <c r="DZ285" i="1"/>
  <c r="DZ286" i="1"/>
  <c r="DZ287" i="1"/>
  <c r="DZ288" i="1"/>
  <c r="DZ291" i="1"/>
  <c r="DZ292" i="1"/>
  <c r="DZ293" i="1"/>
  <c r="DZ294" i="1"/>
  <c r="DZ296" i="1"/>
  <c r="DZ297" i="1"/>
  <c r="DZ298" i="1"/>
  <c r="DZ299" i="1"/>
  <c r="DZ300" i="1"/>
  <c r="DZ301" i="1"/>
  <c r="DZ302" i="1"/>
  <c r="DZ303" i="1"/>
  <c r="DZ305" i="1"/>
  <c r="DZ306" i="1"/>
  <c r="DZ307" i="1"/>
  <c r="DZ308" i="1"/>
  <c r="DZ309" i="1"/>
  <c r="DZ310" i="1"/>
  <c r="DZ311" i="1"/>
  <c r="DZ312" i="1"/>
  <c r="DZ313" i="1"/>
  <c r="DZ314" i="1"/>
  <c r="DZ316" i="1"/>
  <c r="DZ317" i="1"/>
  <c r="DZ318" i="1"/>
  <c r="DZ319" i="1"/>
  <c r="DZ320" i="1"/>
  <c r="DZ321" i="1"/>
  <c r="DZ322" i="1"/>
  <c r="DZ323" i="1"/>
  <c r="DZ324" i="1"/>
  <c r="DZ325" i="1"/>
  <c r="DZ326" i="1"/>
  <c r="DZ327" i="1"/>
  <c r="DZ329" i="1"/>
  <c r="DZ330" i="1"/>
  <c r="DZ332" i="1"/>
  <c r="DZ333" i="1"/>
  <c r="DZ334" i="1"/>
  <c r="DZ335" i="1"/>
  <c r="DZ336" i="1"/>
  <c r="DZ337" i="1"/>
  <c r="DZ338" i="1"/>
  <c r="DZ340" i="1"/>
  <c r="DZ341" i="1"/>
  <c r="DZ342" i="1"/>
  <c r="DZ343" i="1"/>
  <c r="DZ344" i="1"/>
  <c r="DZ345" i="1"/>
  <c r="DZ346" i="1"/>
  <c r="DZ347" i="1"/>
  <c r="DZ348" i="1"/>
  <c r="DZ349" i="1"/>
  <c r="DZ352" i="1"/>
  <c r="DZ353" i="1"/>
  <c r="DZ354" i="1"/>
  <c r="DZ355" i="1"/>
  <c r="DZ356" i="1"/>
  <c r="DZ358" i="1"/>
  <c r="DZ359" i="1"/>
  <c r="DZ360" i="1"/>
  <c r="DZ361" i="1"/>
  <c r="DZ362" i="1"/>
  <c r="DZ363" i="1"/>
  <c r="DZ364" i="1"/>
  <c r="DZ365" i="1"/>
  <c r="DZ367" i="1"/>
  <c r="DZ368" i="1"/>
  <c r="DZ369" i="1"/>
  <c r="DZ371" i="1"/>
  <c r="DZ372" i="1"/>
  <c r="DZ373" i="1"/>
  <c r="DZ375" i="1"/>
  <c r="DZ376" i="1"/>
  <c r="DZ379" i="1"/>
  <c r="DZ380" i="1"/>
  <c r="DZ381" i="1"/>
  <c r="DZ382" i="1"/>
  <c r="DZ383" i="1"/>
  <c r="DZ385" i="1"/>
  <c r="DZ386" i="1"/>
  <c r="DZ387" i="1"/>
  <c r="DZ388" i="1"/>
  <c r="DZ389" i="1"/>
  <c r="DZ390" i="1"/>
  <c r="DZ391" i="1"/>
  <c r="DZ393" i="1"/>
  <c r="DZ394" i="1"/>
  <c r="DZ395" i="1"/>
  <c r="DZ396" i="1"/>
  <c r="DZ397" i="1"/>
  <c r="DZ398" i="1"/>
  <c r="DZ399" i="1"/>
  <c r="DZ400" i="1"/>
  <c r="DZ401" i="1"/>
  <c r="DZ403" i="1"/>
  <c r="DZ404" i="1"/>
  <c r="DZ405" i="1"/>
  <c r="DZ406" i="1"/>
  <c r="DZ407" i="1"/>
  <c r="DZ408" i="1"/>
  <c r="DZ409" i="1"/>
  <c r="DZ410" i="1"/>
  <c r="DZ411" i="1"/>
  <c r="DZ413" i="1"/>
  <c r="DZ414" i="1"/>
  <c r="DZ415" i="1"/>
  <c r="DZ416" i="1"/>
  <c r="DZ417" i="1"/>
  <c r="DZ418" i="1"/>
  <c r="DZ421" i="1"/>
  <c r="DZ422" i="1"/>
  <c r="DZ423" i="1"/>
  <c r="DZ424" i="1"/>
  <c r="DZ425" i="1"/>
  <c r="DZ426" i="1"/>
  <c r="DZ427" i="1"/>
  <c r="DZ428" i="1"/>
  <c r="DZ430" i="1"/>
  <c r="DZ431" i="1"/>
  <c r="DZ432" i="1"/>
  <c r="DZ433" i="1"/>
  <c r="DZ434" i="1"/>
  <c r="DZ435" i="1"/>
  <c r="DZ436" i="1"/>
  <c r="DZ439" i="1"/>
  <c r="DZ440" i="1"/>
  <c r="DZ441" i="1"/>
  <c r="DZ442" i="1"/>
  <c r="DZ443" i="1"/>
  <c r="DZ445" i="1"/>
  <c r="DZ446" i="1"/>
  <c r="DZ447" i="1"/>
  <c r="DZ448" i="1"/>
  <c r="DZ449" i="1"/>
  <c r="DZ450" i="1"/>
  <c r="DZ451" i="1"/>
  <c r="DZ452" i="1"/>
  <c r="DZ454" i="1"/>
  <c r="DZ455" i="1"/>
  <c r="DZ456" i="1"/>
  <c r="DZ457" i="1"/>
  <c r="DZ459" i="1"/>
  <c r="DZ460" i="1"/>
  <c r="DZ461" i="1"/>
  <c r="DZ462" i="1"/>
  <c r="DZ463" i="1"/>
  <c r="DZ464" i="1"/>
  <c r="DZ465" i="1"/>
  <c r="DZ466" i="1"/>
  <c r="DZ468" i="1"/>
  <c r="DZ469" i="1"/>
  <c r="DZ470" i="1"/>
  <c r="DZ471" i="1"/>
  <c r="DZ472" i="1"/>
  <c r="DZ473" i="1"/>
  <c r="DZ474" i="1"/>
  <c r="DZ475" i="1"/>
  <c r="DZ476" i="1"/>
  <c r="DZ478" i="1"/>
  <c r="DZ479" i="1"/>
  <c r="DZ480" i="1"/>
  <c r="DZ481" i="1"/>
  <c r="DZ482" i="1"/>
  <c r="DZ483" i="1"/>
  <c r="DZ486" i="1"/>
  <c r="DZ487" i="1"/>
  <c r="DZ488" i="1"/>
  <c r="DZ489" i="1"/>
  <c r="DZ490" i="1"/>
  <c r="DZ491" i="1"/>
  <c r="DZ492" i="1"/>
  <c r="DZ493" i="1"/>
  <c r="DZ495" i="1"/>
  <c r="DZ496" i="1"/>
  <c r="DZ497" i="1"/>
  <c r="DZ498" i="1"/>
  <c r="DZ499" i="1"/>
  <c r="DZ500" i="1"/>
  <c r="DZ503" i="1"/>
  <c r="DZ504" i="1"/>
  <c r="DZ505" i="1"/>
  <c r="DZ506" i="1"/>
  <c r="DZ507" i="1"/>
  <c r="DZ508" i="1"/>
  <c r="DZ510" i="1"/>
  <c r="DZ511" i="1"/>
  <c r="DZ512" i="1"/>
  <c r="DZ513" i="1"/>
  <c r="DZ514" i="1"/>
  <c r="DZ515" i="1"/>
  <c r="DZ516" i="1"/>
  <c r="DZ517" i="1"/>
  <c r="DZ518" i="1"/>
  <c r="DZ520" i="1"/>
  <c r="DZ521" i="1"/>
  <c r="DZ522" i="1"/>
  <c r="DZ523" i="1"/>
  <c r="DZ524" i="1"/>
  <c r="DZ525" i="1"/>
  <c r="DZ526" i="1"/>
  <c r="DZ527" i="1"/>
  <c r="DZ529" i="1"/>
  <c r="DZ530" i="1"/>
  <c r="DZ531" i="1"/>
  <c r="DZ532" i="1"/>
  <c r="DZ533" i="1"/>
  <c r="DZ534" i="1"/>
  <c r="DZ535" i="1"/>
  <c r="DZ536" i="1"/>
  <c r="DZ538" i="1"/>
  <c r="DZ539" i="1"/>
  <c r="DZ540" i="1"/>
  <c r="DZ541" i="1"/>
  <c r="DZ542" i="1"/>
  <c r="DZ543" i="1"/>
  <c r="DZ544" i="1"/>
  <c r="DZ545" i="1"/>
  <c r="DZ546" i="1"/>
  <c r="DZ548" i="1"/>
  <c r="DZ549" i="1"/>
  <c r="DZ550" i="1"/>
  <c r="DZ551" i="1"/>
  <c r="DZ552" i="1"/>
  <c r="DZ553" i="1"/>
  <c r="DZ554" i="1"/>
  <c r="DZ555" i="1"/>
  <c r="DZ557" i="1"/>
  <c r="DZ558" i="1"/>
  <c r="DZ559" i="1"/>
  <c r="DZ560" i="1"/>
  <c r="DZ561" i="1"/>
  <c r="DZ562" i="1"/>
  <c r="DZ564" i="1"/>
  <c r="DZ565" i="1"/>
  <c r="DZ566" i="1"/>
  <c r="DZ567" i="1"/>
  <c r="DZ569" i="1"/>
  <c r="DZ570" i="1"/>
  <c r="DZ572" i="1"/>
  <c r="DZ573" i="1"/>
  <c r="DZ574" i="1"/>
  <c r="DZ576" i="1"/>
  <c r="DZ577" i="1"/>
  <c r="DZ578" i="1"/>
  <c r="DZ579" i="1"/>
  <c r="DZ580" i="1"/>
  <c r="DZ581" i="1"/>
  <c r="DZ583" i="1"/>
  <c r="DZ584" i="1"/>
  <c r="DZ586" i="1"/>
  <c r="DZ587" i="1"/>
  <c r="DZ588" i="1"/>
  <c r="DZ590" i="1"/>
  <c r="DZ591" i="1"/>
  <c r="DZ592" i="1"/>
  <c r="DZ593" i="1"/>
  <c r="DZ594" i="1"/>
  <c r="DZ595" i="1"/>
  <c r="DZ596" i="1"/>
  <c r="DZ597" i="1"/>
  <c r="DZ598" i="1"/>
  <c r="DZ600" i="1"/>
  <c r="DZ601" i="1"/>
  <c r="DZ603" i="1"/>
  <c r="DZ604" i="1"/>
  <c r="DZ605" i="1"/>
  <c r="DZ607" i="1"/>
  <c r="DZ608" i="1"/>
  <c r="DZ609" i="1"/>
  <c r="DZ610" i="1"/>
  <c r="DZ611" i="1"/>
  <c r="DZ612" i="1"/>
  <c r="DZ614" i="1"/>
  <c r="DZ615" i="1"/>
  <c r="DZ616" i="1"/>
  <c r="DZ617" i="1"/>
  <c r="DZ618" i="1"/>
  <c r="DZ619" i="1"/>
  <c r="DZ620" i="1"/>
  <c r="DZ622" i="1"/>
  <c r="DZ623" i="1"/>
  <c r="DZ624" i="1"/>
  <c r="DZ625" i="1"/>
  <c r="DZ626" i="1"/>
  <c r="DZ628" i="1"/>
  <c r="DZ629" i="1"/>
  <c r="DZ630" i="1"/>
  <c r="DZ631" i="1"/>
  <c r="DZ632" i="1"/>
  <c r="DZ633" i="1"/>
  <c r="DZ634" i="1"/>
  <c r="DZ636" i="1"/>
  <c r="DZ637" i="1"/>
  <c r="DZ638" i="1"/>
  <c r="DZ639" i="1"/>
  <c r="DZ641" i="1"/>
  <c r="DZ643" i="1"/>
  <c r="DZ644" i="1"/>
  <c r="DZ645" i="1"/>
  <c r="DZ647" i="1"/>
  <c r="DZ648" i="1"/>
  <c r="DZ649" i="1"/>
  <c r="DZ650" i="1"/>
  <c r="DZ651" i="1"/>
  <c r="DZ652" i="1"/>
  <c r="DZ654" i="1"/>
  <c r="DZ655" i="1"/>
  <c r="DZ656" i="1"/>
  <c r="DZ657" i="1"/>
  <c r="DZ658" i="1"/>
  <c r="DZ659" i="1"/>
  <c r="DZ660" i="1"/>
  <c r="DZ662" i="1"/>
  <c r="DZ663" i="1"/>
  <c r="DZ665" i="1"/>
  <c r="DZ666" i="1"/>
  <c r="DZ667" i="1"/>
  <c r="DZ669" i="1"/>
  <c r="DZ670" i="1"/>
  <c r="DZ671" i="1"/>
  <c r="DZ672" i="1"/>
  <c r="DZ674" i="1"/>
  <c r="DZ675" i="1"/>
  <c r="DZ676" i="1"/>
  <c r="DZ677" i="1"/>
  <c r="DZ678" i="1"/>
  <c r="DZ679" i="1"/>
  <c r="DZ681" i="1"/>
  <c r="DZ682" i="1"/>
  <c r="DZ683" i="1"/>
  <c r="DZ684" i="1"/>
  <c r="DZ685" i="1"/>
  <c r="DZ686" i="1"/>
  <c r="DZ687" i="1"/>
  <c r="DZ688" i="1"/>
  <c r="DZ689" i="1"/>
  <c r="DZ690" i="1"/>
  <c r="DZ691" i="1"/>
  <c r="DZ693" i="1"/>
  <c r="DZ694" i="1"/>
  <c r="DZ695" i="1"/>
  <c r="DZ696" i="1"/>
  <c r="DZ698" i="1"/>
  <c r="DZ699" i="1"/>
  <c r="DZ702" i="1"/>
  <c r="DZ703" i="1"/>
  <c r="DZ704" i="1"/>
  <c r="DZ706" i="1"/>
  <c r="DZ707" i="1"/>
  <c r="DZ708" i="1"/>
  <c r="DZ709" i="1"/>
  <c r="DZ711" i="1"/>
  <c r="DZ712" i="1"/>
  <c r="DZ713" i="1"/>
  <c r="DZ714" i="1"/>
  <c r="DZ715" i="1"/>
  <c r="DZ716" i="1"/>
  <c r="DZ717" i="1"/>
  <c r="DZ718" i="1"/>
  <c r="DZ720" i="1"/>
  <c r="DZ721" i="1"/>
  <c r="DZ723" i="1"/>
  <c r="DZ724" i="1"/>
  <c r="DZ725" i="1"/>
  <c r="DZ726" i="1"/>
  <c r="DZ729" i="1"/>
  <c r="DZ731" i="1"/>
  <c r="DZ732" i="1"/>
  <c r="DZ733" i="1"/>
  <c r="DZ734" i="1"/>
  <c r="DZ735" i="1"/>
  <c r="DZ736" i="1"/>
  <c r="DZ739" i="1"/>
  <c r="DZ740" i="1"/>
  <c r="DZ741" i="1"/>
  <c r="DZ742" i="1"/>
  <c r="DZ743" i="1"/>
  <c r="DZ744" i="1"/>
  <c r="DZ745" i="1"/>
  <c r="DZ748" i="1"/>
  <c r="DZ750" i="1"/>
  <c r="DZ751" i="1"/>
  <c r="DZ752" i="1"/>
  <c r="DZ753" i="1"/>
  <c r="DZ754" i="1"/>
  <c r="DZ755" i="1"/>
  <c r="DZ756" i="1"/>
  <c r="DZ760" i="1"/>
  <c r="DZ761" i="1"/>
  <c r="DZ763" i="1"/>
  <c r="DZ764" i="1"/>
  <c r="DZ766" i="1"/>
  <c r="DZ767" i="1"/>
  <c r="DZ768" i="1"/>
  <c r="DZ769" i="1"/>
  <c r="DZ774" i="1"/>
  <c r="DZ775" i="1"/>
  <c r="DZ777" i="1"/>
  <c r="DZ778" i="1"/>
  <c r="DZ779" i="1"/>
  <c r="DZ780" i="1"/>
  <c r="DZ782" i="1"/>
  <c r="DZ783" i="1"/>
  <c r="DZ784" i="1"/>
  <c r="DZ785" i="1"/>
  <c r="DZ786" i="1"/>
  <c r="DZ787" i="1"/>
  <c r="DZ789" i="1"/>
  <c r="DZ790" i="1"/>
  <c r="DZ791" i="1"/>
  <c r="DZ793" i="1"/>
  <c r="DZ794" i="1"/>
  <c r="DZ795" i="1"/>
  <c r="DZ796" i="1"/>
  <c r="DZ797" i="1"/>
  <c r="DZ798" i="1"/>
  <c r="DZ800" i="1"/>
  <c r="DZ801" i="1"/>
  <c r="DZ802" i="1"/>
  <c r="DZ803" i="1"/>
  <c r="DZ804" i="1"/>
  <c r="DZ805" i="1"/>
  <c r="DZ806" i="1"/>
  <c r="DZ807" i="1"/>
  <c r="DZ808" i="1"/>
  <c r="DZ810" i="1"/>
  <c r="DZ811" i="1"/>
  <c r="DZ812" i="1"/>
  <c r="DZ813" i="1"/>
  <c r="DZ814" i="1"/>
  <c r="DZ815" i="1"/>
  <c r="DZ816" i="1"/>
  <c r="DZ818" i="1"/>
  <c r="DZ819" i="1"/>
  <c r="DZ820" i="1"/>
  <c r="DZ822" i="1"/>
  <c r="DZ823" i="1"/>
  <c r="DZ824" i="1"/>
  <c r="DZ825" i="1"/>
  <c r="DZ826" i="1"/>
  <c r="DZ827" i="1"/>
  <c r="DZ829" i="1"/>
  <c r="DZ830" i="1"/>
  <c r="DZ831" i="1"/>
  <c r="DZ832" i="1"/>
  <c r="DZ834" i="1"/>
  <c r="DZ835" i="1"/>
  <c r="DZ836" i="1"/>
  <c r="DZ838" i="1"/>
  <c r="DZ839" i="1"/>
  <c r="DZ840" i="1"/>
  <c r="DZ841" i="1"/>
  <c r="DZ842" i="1"/>
  <c r="DZ843" i="1"/>
  <c r="DZ845" i="1"/>
  <c r="DZ846" i="1"/>
  <c r="DZ847" i="1"/>
  <c r="DZ848" i="1"/>
  <c r="DZ849" i="1"/>
  <c r="DZ850" i="1"/>
  <c r="DZ854" i="1"/>
  <c r="DZ855" i="1"/>
  <c r="DZ856" i="1"/>
  <c r="DZ857" i="1"/>
  <c r="DZ859" i="1"/>
  <c r="DZ860" i="1"/>
  <c r="DZ862" i="1"/>
  <c r="DZ863" i="1"/>
  <c r="DZ864" i="1"/>
  <c r="DZ865" i="1"/>
  <c r="DZ866" i="1"/>
  <c r="DZ867" i="1"/>
  <c r="DZ868" i="1"/>
  <c r="DZ869" i="1"/>
  <c r="DZ870" i="1"/>
  <c r="DZ872" i="1"/>
  <c r="DZ873" i="1"/>
  <c r="DZ874" i="1"/>
  <c r="DZ875" i="1"/>
  <c r="DZ876" i="1"/>
  <c r="DZ877" i="1"/>
  <c r="DZ878" i="1"/>
  <c r="DZ879" i="1"/>
  <c r="DZ880" i="1"/>
  <c r="DZ881" i="1"/>
  <c r="DZ884" i="1"/>
  <c r="DZ886" i="1"/>
  <c r="DZ887" i="1"/>
  <c r="DZ888" i="1"/>
  <c r="DZ889" i="1"/>
  <c r="DZ890" i="1"/>
  <c r="DZ891" i="1"/>
  <c r="DZ892" i="1"/>
  <c r="DZ893" i="1"/>
  <c r="DZ894" i="1"/>
  <c r="DZ895" i="1"/>
  <c r="DZ897" i="1"/>
  <c r="DZ898" i="1"/>
  <c r="DZ899" i="1"/>
  <c r="DZ900" i="1"/>
  <c r="DZ901" i="1"/>
  <c r="DZ902" i="1"/>
  <c r="DZ904" i="1"/>
  <c r="DZ905" i="1"/>
  <c r="DZ906" i="1"/>
  <c r="DZ908" i="1"/>
  <c r="DZ909" i="1"/>
  <c r="DZ910" i="1"/>
  <c r="DZ911" i="1"/>
  <c r="DZ912" i="1"/>
  <c r="DZ913" i="1"/>
  <c r="DZ915" i="1"/>
  <c r="DZ916" i="1"/>
  <c r="DZ917" i="1"/>
  <c r="DZ918" i="1"/>
  <c r="DZ919" i="1"/>
  <c r="DZ920" i="1"/>
  <c r="DZ921" i="1"/>
  <c r="DZ922" i="1"/>
  <c r="DZ923" i="1"/>
  <c r="DZ924" i="1"/>
  <c r="DZ925" i="1"/>
  <c r="DZ927" i="1"/>
  <c r="DZ928" i="1"/>
  <c r="DZ929" i="1"/>
  <c r="DZ930" i="1"/>
  <c r="DZ931" i="1"/>
  <c r="DZ932" i="1"/>
  <c r="DZ933" i="1"/>
  <c r="DZ935" i="1"/>
  <c r="DZ936" i="1"/>
  <c r="DZ937" i="1"/>
  <c r="DZ938" i="1"/>
  <c r="DZ939" i="1"/>
  <c r="DZ940" i="1"/>
  <c r="DZ941" i="1"/>
  <c r="DZ943" i="1"/>
  <c r="DZ944" i="1"/>
  <c r="DZ945" i="1"/>
  <c r="DZ947" i="1"/>
  <c r="DZ948" i="1"/>
  <c r="DZ950" i="1"/>
  <c r="DZ951" i="1"/>
  <c r="DZ952" i="1"/>
  <c r="DZ953" i="1"/>
  <c r="DZ954" i="1"/>
  <c r="DZ955" i="1"/>
  <c r="DZ956" i="1"/>
  <c r="DZ957" i="1"/>
  <c r="DZ958" i="1"/>
  <c r="DZ960" i="1"/>
  <c r="DZ961" i="1"/>
  <c r="DZ962" i="1"/>
  <c r="DZ963" i="1"/>
  <c r="DZ964" i="1"/>
  <c r="DZ965" i="1"/>
  <c r="DZ966" i="1"/>
  <c r="DZ967" i="1"/>
  <c r="DZ969" i="1"/>
  <c r="DZ970" i="1"/>
  <c r="DZ971" i="1"/>
  <c r="DZ972" i="1"/>
  <c r="DZ973" i="1"/>
  <c r="DZ974" i="1"/>
  <c r="DZ975" i="1"/>
  <c r="DZ977" i="1"/>
  <c r="DZ978" i="1"/>
  <c r="DZ979" i="1"/>
  <c r="DZ980" i="1"/>
  <c r="DZ981" i="1"/>
  <c r="DZ983" i="1"/>
  <c r="DZ985" i="1"/>
  <c r="DZ986" i="1"/>
  <c r="DZ987" i="1"/>
  <c r="DZ989" i="1"/>
  <c r="DZ990" i="1"/>
  <c r="DZ991" i="1"/>
  <c r="DZ992" i="1"/>
  <c r="DZ993" i="1"/>
  <c r="DZ994" i="1"/>
  <c r="DZ996" i="1"/>
  <c r="DZ997" i="1"/>
  <c r="DZ998" i="1"/>
  <c r="DZ999" i="1"/>
  <c r="DZ1000" i="1"/>
  <c r="DZ1001" i="1"/>
  <c r="DZ1002" i="1"/>
  <c r="DZ1003" i="1"/>
  <c r="DZ1005" i="1"/>
  <c r="DZ1006" i="1"/>
  <c r="DZ1007" i="1"/>
  <c r="DZ1008" i="1"/>
  <c r="DZ1009" i="1"/>
  <c r="DZ1010" i="1"/>
  <c r="DZ1011" i="1"/>
  <c r="DZ1013" i="1"/>
  <c r="DZ1014" i="1"/>
  <c r="DZ1015" i="1"/>
  <c r="DZ1016" i="1"/>
  <c r="DZ1017" i="1"/>
  <c r="DZ1018" i="1"/>
  <c r="DZ1019" i="1"/>
  <c r="DZ1020" i="1"/>
  <c r="DZ1021" i="1"/>
  <c r="DZ1022" i="1"/>
  <c r="DZ1023" i="1"/>
  <c r="DZ1025" i="1"/>
  <c r="DZ1026" i="1"/>
  <c r="DZ1027" i="1"/>
  <c r="DZ1028" i="1"/>
  <c r="DZ1029" i="1"/>
  <c r="DZ1030" i="1"/>
  <c r="DZ1031" i="1"/>
  <c r="DZ1032" i="1"/>
  <c r="DZ1033" i="1"/>
  <c r="DZ1035" i="1"/>
  <c r="DZ1036" i="1"/>
  <c r="DZ1037" i="1"/>
  <c r="DZ1038" i="1"/>
  <c r="DZ1039" i="1"/>
  <c r="DZ1040" i="1"/>
  <c r="DZ1041" i="1"/>
  <c r="DZ1042" i="1"/>
  <c r="DZ1043" i="1"/>
  <c r="DZ1044" i="1"/>
  <c r="DZ1046" i="1"/>
  <c r="DZ1047" i="1"/>
  <c r="DZ1048" i="1"/>
  <c r="DZ1051" i="1"/>
  <c r="DZ1053" i="1"/>
  <c r="DZ1054" i="1"/>
  <c r="DZ1055" i="1"/>
  <c r="DZ1056" i="1"/>
  <c r="DZ1057" i="1"/>
  <c r="DZ1059" i="1"/>
  <c r="DZ1060" i="1"/>
  <c r="DZ1061" i="1"/>
  <c r="DZ1062" i="1"/>
  <c r="DZ1063" i="1"/>
  <c r="DZ1064" i="1"/>
  <c r="DZ1066" i="1"/>
  <c r="DZ1067" i="1"/>
  <c r="DZ1068" i="1"/>
  <c r="DZ1069" i="1"/>
  <c r="DZ1070" i="1"/>
  <c r="DZ1071" i="1"/>
  <c r="DZ1072" i="1"/>
  <c r="DZ1073" i="1"/>
  <c r="DZ1075" i="1"/>
  <c r="DZ1076" i="1"/>
  <c r="DZ1077" i="1"/>
  <c r="DZ1079" i="1"/>
  <c r="DZ1080" i="1"/>
  <c r="DZ1081" i="1"/>
  <c r="DZ1082" i="1"/>
  <c r="DZ1083" i="1"/>
  <c r="DZ1084" i="1"/>
  <c r="DZ1086" i="1"/>
  <c r="DZ1087" i="1"/>
  <c r="DZ1088" i="1"/>
  <c r="DZ1089" i="1"/>
  <c r="DZ1090" i="1"/>
  <c r="DZ1091" i="1"/>
  <c r="DZ1092" i="1"/>
  <c r="DZ1093" i="1"/>
  <c r="DZ1094" i="1"/>
  <c r="DZ1097" i="1"/>
  <c r="DZ1098" i="1"/>
  <c r="DZ1099" i="1"/>
  <c r="DZ1100" i="1"/>
  <c r="DZ1101" i="1"/>
  <c r="DZ1102" i="1"/>
  <c r="DZ1103" i="1"/>
  <c r="DZ1104" i="1"/>
  <c r="DZ1105" i="1"/>
  <c r="DZ1106" i="1"/>
  <c r="DZ1108" i="1"/>
  <c r="DZ1109" i="1"/>
  <c r="DZ1110" i="1"/>
  <c r="DZ1111" i="1"/>
  <c r="DZ1112" i="1"/>
  <c r="DZ1113" i="1"/>
  <c r="DZ1115" i="1"/>
  <c r="DZ1116" i="1"/>
  <c r="DZ1117" i="1"/>
  <c r="DZ1118" i="1"/>
  <c r="DZ1120" i="1"/>
  <c r="DZ1122" i="1"/>
  <c r="DZ1123" i="1"/>
  <c r="DZ1124" i="1"/>
  <c r="DZ1126" i="1"/>
  <c r="DZ1127" i="1"/>
  <c r="DZ1128" i="1"/>
  <c r="DZ1129" i="1"/>
  <c r="DZ1130" i="1"/>
  <c r="DZ1132" i="1"/>
  <c r="DZ1133" i="1"/>
  <c r="DZ1135" i="1"/>
  <c r="DZ1136" i="1"/>
  <c r="DZ1137" i="1"/>
  <c r="DZ1138" i="1"/>
  <c r="DZ1139" i="1"/>
  <c r="DZ1140" i="1"/>
  <c r="DZ1142" i="1"/>
  <c r="DZ1143" i="1"/>
  <c r="DZ1144" i="1"/>
  <c r="DZ1145" i="1"/>
  <c r="DZ1146" i="1"/>
  <c r="DZ1147" i="1"/>
  <c r="DZ1148" i="1"/>
  <c r="DZ1149" i="1"/>
  <c r="DZ1150" i="1"/>
  <c r="DZ1152" i="1"/>
  <c r="DZ1153" i="1"/>
  <c r="DZ1154" i="1"/>
  <c r="DZ1155" i="1"/>
  <c r="DZ1157" i="1"/>
  <c r="DZ1158" i="1"/>
  <c r="DZ1159" i="1"/>
  <c r="DZ1160" i="1"/>
  <c r="DZ1161" i="1"/>
  <c r="DZ1162" i="1"/>
  <c r="DZ1163" i="1"/>
  <c r="DZ1164" i="1"/>
  <c r="DZ1165" i="1"/>
  <c r="DZ1167" i="1"/>
  <c r="DZ1168" i="1"/>
  <c r="DZ1169" i="1"/>
  <c r="DZ1170" i="1"/>
  <c r="DZ1172" i="1"/>
  <c r="DZ1173" i="1"/>
  <c r="DZ1174" i="1"/>
  <c r="DZ1175" i="1"/>
  <c r="DZ1177" i="1"/>
  <c r="DZ1178" i="1"/>
  <c r="DZ1179" i="1"/>
  <c r="DZ1180" i="1"/>
  <c r="DZ1181" i="1"/>
  <c r="DZ1182" i="1"/>
  <c r="DZ1183" i="1"/>
  <c r="DZ1185" i="1"/>
  <c r="DZ1186" i="1"/>
  <c r="DZ1187" i="1"/>
  <c r="DZ1188" i="1"/>
  <c r="DZ1189" i="1"/>
  <c r="DZ1190" i="1"/>
  <c r="DZ1192" i="1"/>
  <c r="DZ1194" i="1"/>
  <c r="DZ1195" i="1"/>
  <c r="DZ1196" i="1"/>
  <c r="DZ1199" i="1"/>
  <c r="DZ1201" i="1"/>
  <c r="DZ1202" i="1"/>
  <c r="DZ1203" i="1"/>
  <c r="DZ1204" i="1"/>
  <c r="DZ1205" i="1"/>
  <c r="DZ1206" i="1"/>
  <c r="DZ1207" i="1"/>
  <c r="DZ1209" i="1"/>
  <c r="DZ1210" i="1"/>
  <c r="DZ1211" i="1"/>
  <c r="DZ1212" i="1"/>
  <c r="DZ1213" i="1"/>
  <c r="DZ1214" i="1"/>
  <c r="DZ1215" i="1"/>
  <c r="DZ1216" i="1"/>
  <c r="DZ1217" i="1"/>
  <c r="DZ1219" i="1"/>
  <c r="DZ1220" i="1"/>
  <c r="DZ1222" i="1"/>
  <c r="DZ1223" i="1"/>
  <c r="DZ1224" i="1"/>
  <c r="DZ1225" i="1"/>
  <c r="DZ1226" i="1"/>
  <c r="DZ1227" i="1"/>
  <c r="DZ1229" i="1"/>
  <c r="DZ1230" i="1"/>
  <c r="DZ1231" i="1"/>
  <c r="DZ1232" i="1"/>
  <c r="DZ1233" i="1"/>
  <c r="DZ1234" i="1"/>
  <c r="DZ1235" i="1"/>
  <c r="DZ1236" i="1"/>
  <c r="DZ1238" i="1"/>
  <c r="DZ1240" i="1"/>
  <c r="DZ1241" i="1"/>
  <c r="DZ1242" i="1"/>
  <c r="DZ1244" i="1"/>
  <c r="DZ1245" i="1"/>
  <c r="DZ1246" i="1"/>
  <c r="DZ1247" i="1"/>
  <c r="DZ1248" i="1"/>
  <c r="DZ1250" i="1"/>
  <c r="DZ1251" i="1"/>
  <c r="DZ1252" i="1"/>
  <c r="DZ1253" i="1"/>
  <c r="DZ1254" i="1"/>
  <c r="DZ1255" i="1"/>
  <c r="DZ1256" i="1"/>
  <c r="DZ1257" i="1"/>
  <c r="DZ1258" i="1"/>
  <c r="DZ1259" i="1"/>
  <c r="DZ1261" i="1"/>
  <c r="DZ1262" i="1"/>
  <c r="DZ1263" i="1"/>
  <c r="DZ1265" i="1"/>
  <c r="DZ1266" i="1"/>
  <c r="DZ1267" i="1"/>
  <c r="DZ1268" i="1"/>
  <c r="DZ1272" i="1"/>
  <c r="DZ1274" i="1"/>
  <c r="DZ1275" i="1"/>
  <c r="DZ1276" i="1"/>
  <c r="DZ1277" i="1"/>
  <c r="DZ1278" i="1"/>
  <c r="DZ1279" i="1"/>
  <c r="DZ1280" i="1"/>
  <c r="DZ1282" i="1"/>
  <c r="DZ1283" i="1"/>
  <c r="DZ1284" i="1"/>
  <c r="DZ1285" i="1"/>
  <c r="DZ1286" i="1"/>
  <c r="DZ1287" i="1"/>
  <c r="DZ1288" i="1"/>
  <c r="DZ1289" i="1"/>
  <c r="DZ1291" i="1"/>
  <c r="DZ1292" i="1"/>
  <c r="DZ1293" i="1"/>
  <c r="DZ1294" i="1"/>
  <c r="DZ1295" i="1"/>
  <c r="DZ1296" i="1"/>
  <c r="DZ1297" i="1"/>
  <c r="DZ1298" i="1"/>
  <c r="DZ1299" i="1"/>
  <c r="DZ1300" i="1"/>
  <c r="DZ1301" i="1"/>
  <c r="DZ1303" i="1"/>
  <c r="DZ1304" i="1"/>
  <c r="DZ1305" i="1"/>
  <c r="DZ1306" i="1"/>
  <c r="DZ1307" i="1"/>
  <c r="DZ1308" i="1"/>
  <c r="DZ1309" i="1"/>
  <c r="DZ1310" i="1"/>
  <c r="DZ1311" i="1"/>
  <c r="DZ1312" i="1"/>
  <c r="DZ1313" i="1"/>
  <c r="EA67" i="1"/>
  <c r="EA68" i="1"/>
  <c r="EA69" i="1"/>
  <c r="EA70" i="1"/>
  <c r="EA71" i="1"/>
  <c r="EA72" i="1"/>
  <c r="EA73" i="1"/>
  <c r="EA74" i="1"/>
  <c r="EA76" i="1"/>
  <c r="EA77" i="1"/>
  <c r="EA78" i="1"/>
  <c r="EA79" i="1"/>
  <c r="EA80" i="1"/>
  <c r="EA81" i="1"/>
  <c r="EA82" i="1"/>
  <c r="EA85" i="1"/>
  <c r="EA86" i="1"/>
  <c r="EA87" i="1"/>
  <c r="EA88" i="1"/>
  <c r="EA89" i="1"/>
  <c r="EA90" i="1"/>
  <c r="EA92" i="1"/>
  <c r="EA93" i="1"/>
  <c r="EA94" i="1"/>
  <c r="EA95" i="1"/>
  <c r="EA96" i="1"/>
  <c r="EA97" i="1"/>
  <c r="EA98" i="1"/>
  <c r="EA101" i="1"/>
  <c r="EA103" i="1"/>
  <c r="EA104" i="1"/>
  <c r="EA105" i="1"/>
  <c r="EA106" i="1"/>
  <c r="EA107" i="1"/>
  <c r="EA108" i="1"/>
  <c r="EA109" i="1"/>
  <c r="EA112" i="1"/>
  <c r="EA113" i="1"/>
  <c r="EA114" i="1"/>
  <c r="EA115" i="1"/>
  <c r="EA116" i="1"/>
  <c r="EA117" i="1"/>
  <c r="EA118" i="1"/>
  <c r="EA119" i="1"/>
  <c r="EA120" i="1"/>
  <c r="EA122" i="1"/>
  <c r="EA124" i="1"/>
  <c r="EA125" i="1"/>
  <c r="EA126" i="1"/>
  <c r="EA129" i="1"/>
  <c r="EA131" i="1"/>
  <c r="EA132" i="1"/>
  <c r="EA133" i="1"/>
  <c r="EA136" i="1"/>
  <c r="EA138" i="1"/>
  <c r="EA139" i="1"/>
  <c r="EA140" i="1"/>
  <c r="EA141" i="1"/>
  <c r="EA142" i="1"/>
  <c r="EA144" i="1"/>
  <c r="EA145" i="1"/>
  <c r="EA146" i="1"/>
  <c r="EA147" i="1"/>
  <c r="EA148" i="1"/>
  <c r="EA149" i="1"/>
  <c r="EA151" i="1"/>
  <c r="EA152" i="1"/>
  <c r="EA153" i="1"/>
  <c r="EA154" i="1"/>
  <c r="EA155" i="1"/>
  <c r="EA156" i="1"/>
  <c r="EA157" i="1"/>
  <c r="EA158" i="1"/>
  <c r="EA160" i="1"/>
  <c r="EA161" i="1"/>
  <c r="EA162" i="1"/>
  <c r="EA163" i="1"/>
  <c r="EA165" i="1"/>
  <c r="EA166" i="1"/>
  <c r="EA167" i="1"/>
  <c r="EA168" i="1"/>
  <c r="EA169" i="1"/>
  <c r="EA170" i="1"/>
  <c r="EA172" i="1"/>
  <c r="EA173" i="1"/>
  <c r="EA175" i="1"/>
  <c r="EA176" i="1"/>
  <c r="EA177" i="1"/>
  <c r="EA178" i="1"/>
  <c r="EA179" i="1"/>
  <c r="EA180" i="1"/>
  <c r="EA181" i="1"/>
  <c r="EA182" i="1"/>
  <c r="EA183" i="1"/>
  <c r="EA184" i="1"/>
  <c r="EA186" i="1"/>
  <c r="EA187" i="1"/>
  <c r="EA188" i="1"/>
  <c r="EA189" i="1"/>
  <c r="EA190" i="1"/>
  <c r="EA191" i="1"/>
  <c r="EA192" i="1"/>
  <c r="EA193" i="1"/>
  <c r="EA195" i="1"/>
  <c r="EA196" i="1"/>
  <c r="EA197" i="1"/>
  <c r="EA198" i="1"/>
  <c r="EA200" i="1"/>
  <c r="EA201" i="1"/>
  <c r="EA202" i="1"/>
  <c r="EA203" i="1"/>
  <c r="EA204" i="1"/>
  <c r="EA205" i="1"/>
  <c r="EA206" i="1"/>
  <c r="EA207" i="1"/>
  <c r="EA209" i="1"/>
  <c r="EA210" i="1"/>
  <c r="EA211" i="1"/>
  <c r="EA212" i="1"/>
  <c r="EA213" i="1"/>
  <c r="EA214" i="1"/>
  <c r="EA215" i="1"/>
  <c r="EA217" i="1"/>
  <c r="EA218" i="1"/>
  <c r="EA219" i="1"/>
  <c r="EA220" i="1"/>
  <c r="EA221" i="1"/>
  <c r="EA222" i="1"/>
  <c r="EA224" i="1"/>
  <c r="EA225" i="1"/>
  <c r="EA226" i="1"/>
  <c r="EA227" i="1"/>
  <c r="EA228" i="1"/>
  <c r="EA229" i="1"/>
  <c r="EA231" i="1"/>
  <c r="EA232" i="1"/>
  <c r="EA233" i="1"/>
  <c r="EA234" i="1"/>
  <c r="EA235" i="1"/>
  <c r="EA236" i="1"/>
  <c r="EA237" i="1"/>
  <c r="EA238" i="1"/>
  <c r="EA240" i="1"/>
  <c r="EA241" i="1"/>
  <c r="EA242" i="1"/>
  <c r="EA243" i="1"/>
  <c r="EA244" i="1"/>
  <c r="EA245" i="1"/>
  <c r="EA246" i="1"/>
  <c r="EA247" i="1"/>
  <c r="EA250" i="1"/>
  <c r="EA251" i="1"/>
  <c r="EA252" i="1"/>
  <c r="EA253" i="1"/>
  <c r="EA254" i="1"/>
  <c r="EA255" i="1"/>
  <c r="EA256" i="1"/>
  <c r="EA258" i="1"/>
  <c r="EA259" i="1"/>
  <c r="EA260" i="1"/>
  <c r="EA261" i="1"/>
  <c r="EA262" i="1"/>
  <c r="EA263" i="1"/>
  <c r="EA264" i="1"/>
  <c r="EA265" i="1"/>
  <c r="EA266" i="1"/>
  <c r="EA268" i="1"/>
  <c r="EA269" i="1"/>
  <c r="EA270" i="1"/>
  <c r="EA271" i="1"/>
  <c r="EA272" i="1"/>
  <c r="EA273" i="1"/>
  <c r="EA274" i="1"/>
  <c r="EA275" i="1"/>
  <c r="EA276" i="1"/>
  <c r="EA278" i="1"/>
  <c r="EA279" i="1"/>
  <c r="EA280" i="1"/>
  <c r="EA281" i="1"/>
  <c r="EA282" i="1"/>
  <c r="EA283" i="1"/>
  <c r="EA285" i="1"/>
  <c r="EA286" i="1"/>
  <c r="EA287" i="1"/>
  <c r="EA288" i="1"/>
  <c r="EA291" i="1"/>
  <c r="EA292" i="1"/>
  <c r="EA293" i="1"/>
  <c r="EA294" i="1"/>
  <c r="EA296" i="1"/>
  <c r="EA297" i="1"/>
  <c r="EA298" i="1"/>
  <c r="EA299" i="1"/>
  <c r="EA300" i="1"/>
  <c r="EA301" i="1"/>
  <c r="EA302" i="1"/>
  <c r="EA303" i="1"/>
  <c r="EA305" i="1"/>
  <c r="EA306" i="1"/>
  <c r="EA307" i="1"/>
  <c r="EA308" i="1"/>
  <c r="EA309" i="1"/>
  <c r="EA310" i="1"/>
  <c r="EA311" i="1"/>
  <c r="EA312" i="1"/>
  <c r="EA313" i="1"/>
  <c r="EA314" i="1"/>
  <c r="EA316" i="1"/>
  <c r="EA317" i="1"/>
  <c r="EA318" i="1"/>
  <c r="EA319" i="1"/>
  <c r="EA320" i="1"/>
  <c r="EA321" i="1"/>
  <c r="EA322" i="1"/>
  <c r="EA323" i="1"/>
  <c r="EA324" i="1"/>
  <c r="EA325" i="1"/>
  <c r="EA326" i="1"/>
  <c r="EA327" i="1"/>
  <c r="EA329" i="1"/>
  <c r="EA330" i="1"/>
  <c r="EA332" i="1"/>
  <c r="EA333" i="1"/>
  <c r="EA334" i="1"/>
  <c r="EA335" i="1"/>
  <c r="EA336" i="1"/>
  <c r="EA337" i="1"/>
  <c r="EA338" i="1"/>
  <c r="EA340" i="1"/>
  <c r="EA341" i="1"/>
  <c r="EA342" i="1"/>
  <c r="EA343" i="1"/>
  <c r="EA344" i="1"/>
  <c r="EA345" i="1"/>
  <c r="EA346" i="1"/>
  <c r="EA347" i="1"/>
  <c r="EA348" i="1"/>
  <c r="EA349" i="1"/>
  <c r="EA351" i="1"/>
  <c r="EA352" i="1"/>
  <c r="EA353" i="1"/>
  <c r="EA354" i="1"/>
  <c r="EA355" i="1"/>
  <c r="EA356" i="1"/>
  <c r="EA358" i="1"/>
  <c r="EA359" i="1"/>
  <c r="EA360" i="1"/>
  <c r="EA361" i="1"/>
  <c r="EA362" i="1"/>
  <c r="EA363" i="1"/>
  <c r="EA364" i="1"/>
  <c r="EA365" i="1"/>
  <c r="EA367" i="1"/>
  <c r="EA368" i="1"/>
  <c r="EA369" i="1"/>
  <c r="EA372" i="1"/>
  <c r="EA373" i="1"/>
  <c r="EA375" i="1"/>
  <c r="EA376" i="1"/>
  <c r="EA378" i="1"/>
  <c r="EA379" i="1"/>
  <c r="EA380" i="1"/>
  <c r="EA381" i="1"/>
  <c r="EA382" i="1"/>
  <c r="EA383" i="1"/>
  <c r="EA385" i="1"/>
  <c r="EA386" i="1"/>
  <c r="EA387" i="1"/>
  <c r="EA388" i="1"/>
  <c r="EA389" i="1"/>
  <c r="EA390" i="1"/>
  <c r="EA391" i="1"/>
  <c r="EA393" i="1"/>
  <c r="EA394" i="1"/>
  <c r="EA395" i="1"/>
  <c r="EA396" i="1"/>
  <c r="EA397" i="1"/>
  <c r="EA398" i="1"/>
  <c r="EA399" i="1"/>
  <c r="EA400" i="1"/>
  <c r="EA401" i="1"/>
  <c r="EA403" i="1"/>
  <c r="EA404" i="1"/>
  <c r="EA405" i="1"/>
  <c r="EA406" i="1"/>
  <c r="EA407" i="1"/>
  <c r="EA408" i="1"/>
  <c r="EA409" i="1"/>
  <c r="EA410" i="1"/>
  <c r="EA411" i="1"/>
  <c r="EA413" i="1"/>
  <c r="EA414" i="1"/>
  <c r="EA415" i="1"/>
  <c r="EA416" i="1"/>
  <c r="EA417" i="1"/>
  <c r="EA418" i="1"/>
  <c r="EA421" i="1"/>
  <c r="EA422" i="1"/>
  <c r="EA423" i="1"/>
  <c r="EA424" i="1"/>
  <c r="EA425" i="1"/>
  <c r="EA426" i="1"/>
  <c r="EA427" i="1"/>
  <c r="EA428" i="1"/>
  <c r="EA430" i="1"/>
  <c r="EA431" i="1"/>
  <c r="EA432" i="1"/>
  <c r="EA433" i="1"/>
  <c r="EA434" i="1"/>
  <c r="EA435" i="1"/>
  <c r="EA436" i="1"/>
  <c r="EA439" i="1"/>
  <c r="EA440" i="1"/>
  <c r="EA441" i="1"/>
  <c r="EA442" i="1"/>
  <c r="EA443" i="1"/>
  <c r="EA445" i="1"/>
  <c r="EA446" i="1"/>
  <c r="EA447" i="1"/>
  <c r="EA448" i="1"/>
  <c r="EA449" i="1"/>
  <c r="EA450" i="1"/>
  <c r="EA451" i="1"/>
  <c r="EA452" i="1"/>
  <c r="EA454" i="1"/>
  <c r="EA455" i="1"/>
  <c r="EA456" i="1"/>
  <c r="EA457" i="1"/>
  <c r="EA459" i="1"/>
  <c r="EA460" i="1"/>
  <c r="EA461" i="1"/>
  <c r="EA462" i="1"/>
  <c r="EA463" i="1"/>
  <c r="EA464" i="1"/>
  <c r="EA465" i="1"/>
  <c r="EA466" i="1"/>
  <c r="EA468" i="1"/>
  <c r="EA469" i="1"/>
  <c r="EA470" i="1"/>
  <c r="EA471" i="1"/>
  <c r="EA472" i="1"/>
  <c r="EA473" i="1"/>
  <c r="EA474" i="1"/>
  <c r="EA475" i="1"/>
  <c r="EA476" i="1"/>
  <c r="EA478" i="1"/>
  <c r="EA479" i="1"/>
  <c r="EA480" i="1"/>
  <c r="EA481" i="1"/>
  <c r="EA482" i="1"/>
  <c r="EA483" i="1"/>
  <c r="EA485" i="1"/>
  <c r="EA486" i="1"/>
  <c r="EA487" i="1"/>
  <c r="EA488" i="1"/>
  <c r="EA489" i="1"/>
  <c r="EA490" i="1"/>
  <c r="EA491" i="1"/>
  <c r="EA492" i="1"/>
  <c r="EA493" i="1"/>
  <c r="EA495" i="1"/>
  <c r="EA496" i="1"/>
  <c r="EA497" i="1"/>
  <c r="EA498" i="1"/>
  <c r="EA499" i="1"/>
  <c r="EA500" i="1"/>
  <c r="EA502" i="1"/>
  <c r="EA503" i="1"/>
  <c r="EA504" i="1"/>
  <c r="EA505" i="1"/>
  <c r="EA506" i="1"/>
  <c r="EA507" i="1"/>
  <c r="EA508" i="1"/>
  <c r="EA510" i="1"/>
  <c r="EA511" i="1"/>
  <c r="EA512" i="1"/>
  <c r="EA514" i="1"/>
  <c r="EA515" i="1"/>
  <c r="EA516" i="1"/>
  <c r="EA517" i="1"/>
  <c r="EA518" i="1"/>
  <c r="EA520" i="1"/>
  <c r="EA521" i="1"/>
  <c r="EA522" i="1"/>
  <c r="EA523" i="1"/>
  <c r="EA524" i="1"/>
  <c r="EA525" i="1"/>
  <c r="EA526" i="1"/>
  <c r="EA527" i="1"/>
  <c r="EA529" i="1"/>
  <c r="EA530" i="1"/>
  <c r="EA531" i="1"/>
  <c r="EA532" i="1"/>
  <c r="EA533" i="1"/>
  <c r="EA534" i="1"/>
  <c r="EA535" i="1"/>
  <c r="EA536" i="1"/>
  <c r="EA538" i="1"/>
  <c r="EA539" i="1"/>
  <c r="EA540" i="1"/>
  <c r="EA541" i="1"/>
  <c r="EA542" i="1"/>
  <c r="EA543" i="1"/>
  <c r="EA544" i="1"/>
  <c r="EA545" i="1"/>
  <c r="EA546" i="1"/>
  <c r="EA548" i="1"/>
  <c r="EA549" i="1"/>
  <c r="EA550" i="1"/>
  <c r="EA551" i="1"/>
  <c r="EA552" i="1"/>
  <c r="EA553" i="1"/>
  <c r="EA554" i="1"/>
  <c r="EA555" i="1"/>
  <c r="EA557" i="1"/>
  <c r="EA558" i="1"/>
  <c r="EA559" i="1"/>
  <c r="EA560" i="1"/>
  <c r="EA561" i="1"/>
  <c r="EA562" i="1"/>
  <c r="EA563" i="1"/>
  <c r="EA564" i="1"/>
  <c r="EA565" i="1"/>
  <c r="EA566" i="1"/>
  <c r="EA567" i="1"/>
  <c r="EA569" i="1"/>
  <c r="EA570" i="1"/>
  <c r="EA572" i="1"/>
  <c r="EA573" i="1"/>
  <c r="EA574" i="1"/>
  <c r="EA576" i="1"/>
  <c r="EA577" i="1"/>
  <c r="EA578" i="1"/>
  <c r="EA579" i="1"/>
  <c r="EA580" i="1"/>
  <c r="EA581" i="1"/>
  <c r="EA583" i="1"/>
  <c r="EA584" i="1"/>
  <c r="EA586" i="1"/>
  <c r="EA587" i="1"/>
  <c r="EA588" i="1"/>
  <c r="EA590" i="1"/>
  <c r="EA591" i="1"/>
  <c r="EA592" i="1"/>
  <c r="EA593" i="1"/>
  <c r="EA594" i="1"/>
  <c r="EA595" i="1"/>
  <c r="EA596" i="1"/>
  <c r="EA597" i="1"/>
  <c r="EA598" i="1"/>
  <c r="EA600" i="1"/>
  <c r="EA601" i="1"/>
  <c r="EA603" i="1"/>
  <c r="EA604" i="1"/>
  <c r="EA605" i="1"/>
  <c r="EA607" i="1"/>
  <c r="EA608" i="1"/>
  <c r="EA609" i="1"/>
  <c r="EA610" i="1"/>
  <c r="EA611" i="1"/>
  <c r="EA612" i="1"/>
  <c r="EA614" i="1"/>
  <c r="EA615" i="1"/>
  <c r="EA616" i="1"/>
  <c r="EA617" i="1"/>
  <c r="EA618" i="1"/>
  <c r="EA619" i="1"/>
  <c r="EA620" i="1"/>
  <c r="EA622" i="1"/>
  <c r="EA623" i="1"/>
  <c r="EA624" i="1"/>
  <c r="EA625" i="1"/>
  <c r="EA626" i="1"/>
  <c r="EA628" i="1"/>
  <c r="EA629" i="1"/>
  <c r="EA630" i="1"/>
  <c r="EA631" i="1"/>
  <c r="EA632" i="1"/>
  <c r="EA633" i="1"/>
  <c r="EA634" i="1"/>
  <c r="EA636" i="1"/>
  <c r="EA637" i="1"/>
  <c r="EA638" i="1"/>
  <c r="EA639" i="1"/>
  <c r="EA641" i="1"/>
  <c r="EA643" i="1"/>
  <c r="EA644" i="1"/>
  <c r="EA645" i="1"/>
  <c r="EA647" i="1"/>
  <c r="EA648" i="1"/>
  <c r="EA649" i="1"/>
  <c r="EA650" i="1"/>
  <c r="EA651" i="1"/>
  <c r="EA652" i="1"/>
  <c r="EA654" i="1"/>
  <c r="EA655" i="1"/>
  <c r="EA656" i="1"/>
  <c r="EA657" i="1"/>
  <c r="EA658" i="1"/>
  <c r="EA659" i="1"/>
  <c r="EA660" i="1"/>
  <c r="EA662" i="1"/>
  <c r="EA663" i="1"/>
  <c r="EA665" i="1"/>
  <c r="EA666" i="1"/>
  <c r="EA667" i="1"/>
  <c r="EA669" i="1"/>
  <c r="EA670" i="1"/>
  <c r="EA671" i="1"/>
  <c r="EA672" i="1"/>
  <c r="EA674" i="1"/>
  <c r="EA675" i="1"/>
  <c r="EA676" i="1"/>
  <c r="EA677" i="1"/>
  <c r="EA678" i="1"/>
  <c r="EA679" i="1"/>
  <c r="EA681" i="1"/>
  <c r="EA682" i="1"/>
  <c r="EA683" i="1"/>
  <c r="EA684" i="1"/>
  <c r="EA685" i="1"/>
  <c r="EA686" i="1"/>
  <c r="EA687" i="1"/>
  <c r="EA688" i="1"/>
  <c r="EA689" i="1"/>
  <c r="EA690" i="1"/>
  <c r="EA691" i="1"/>
  <c r="EA693" i="1"/>
  <c r="EA694" i="1"/>
  <c r="EA695" i="1"/>
  <c r="EA696" i="1"/>
  <c r="EA698" i="1"/>
  <c r="EA699" i="1"/>
  <c r="EA702" i="1"/>
  <c r="EA703" i="1"/>
  <c r="EA704" i="1"/>
  <c r="EA706" i="1"/>
  <c r="EA707" i="1"/>
  <c r="EA708" i="1"/>
  <c r="EA709" i="1"/>
  <c r="EA711" i="1"/>
  <c r="EA712" i="1"/>
  <c r="EA713" i="1"/>
  <c r="EA714" i="1"/>
  <c r="EA715" i="1"/>
  <c r="EA716" i="1"/>
  <c r="EA717" i="1"/>
  <c r="EA718" i="1"/>
  <c r="EA720" i="1"/>
  <c r="EA721" i="1"/>
  <c r="EA723" i="1"/>
  <c r="EA724" i="1"/>
  <c r="EA725" i="1"/>
  <c r="EA726" i="1"/>
  <c r="EA729" i="1"/>
  <c r="EA731" i="1"/>
  <c r="EA732" i="1"/>
  <c r="EA733" i="1"/>
  <c r="EA734" i="1"/>
  <c r="EA735" i="1"/>
  <c r="EA736" i="1"/>
  <c r="EA738" i="1"/>
  <c r="EA739" i="1"/>
  <c r="EA740" i="1"/>
  <c r="EA741" i="1"/>
  <c r="EA742" i="1"/>
  <c r="EA743" i="1"/>
  <c r="EA744" i="1"/>
  <c r="EA745" i="1"/>
  <c r="EA748" i="1"/>
  <c r="EA751" i="1"/>
  <c r="EA752" i="1"/>
  <c r="EA753" i="1"/>
  <c r="EA754" i="1"/>
  <c r="EA755" i="1"/>
  <c r="EA756" i="1"/>
  <c r="EA758" i="1"/>
  <c r="EA760" i="1"/>
  <c r="EA761" i="1"/>
  <c r="EA763" i="1"/>
  <c r="EA764" i="1"/>
  <c r="EA766" i="1"/>
  <c r="EA767" i="1"/>
  <c r="EA768" i="1"/>
  <c r="EA769" i="1"/>
  <c r="EA774" i="1"/>
  <c r="EA775" i="1"/>
  <c r="EA777" i="1"/>
  <c r="EA778" i="1"/>
  <c r="EA779" i="1"/>
  <c r="EA780" i="1"/>
  <c r="EA782" i="1"/>
  <c r="EA783" i="1"/>
  <c r="EA784" i="1"/>
  <c r="EA785" i="1"/>
  <c r="EA786" i="1"/>
  <c r="EA787" i="1"/>
  <c r="EA789" i="1"/>
  <c r="EA790" i="1"/>
  <c r="EA791" i="1"/>
  <c r="EA793" i="1"/>
  <c r="EA794" i="1"/>
  <c r="EA795" i="1"/>
  <c r="EA796" i="1"/>
  <c r="EA797" i="1"/>
  <c r="EA798" i="1"/>
  <c r="EA800" i="1"/>
  <c r="EA801" i="1"/>
  <c r="EA802" i="1"/>
  <c r="EA803" i="1"/>
  <c r="EA804" i="1"/>
  <c r="EA805" i="1"/>
  <c r="EA806" i="1"/>
  <c r="EA807" i="1"/>
  <c r="EA808" i="1"/>
  <c r="EA810" i="1"/>
  <c r="EA811" i="1"/>
  <c r="EA812" i="1"/>
  <c r="EA813" i="1"/>
  <c r="EA814" i="1"/>
  <c r="EA815" i="1"/>
  <c r="EA816" i="1"/>
  <c r="EA818" i="1"/>
  <c r="EA819" i="1"/>
  <c r="EA820" i="1"/>
  <c r="EA822" i="1"/>
  <c r="EA823" i="1"/>
  <c r="EA824" i="1"/>
  <c r="EA825" i="1"/>
  <c r="EA826" i="1"/>
  <c r="EA827" i="1"/>
  <c r="EA829" i="1"/>
  <c r="EA830" i="1"/>
  <c r="EA831" i="1"/>
  <c r="EA832" i="1"/>
  <c r="EA834" i="1"/>
  <c r="EA835" i="1"/>
  <c r="EA836" i="1"/>
  <c r="EA838" i="1"/>
  <c r="EA839" i="1"/>
  <c r="EA840" i="1"/>
  <c r="EA841" i="1"/>
  <c r="EA842" i="1"/>
  <c r="EA843" i="1"/>
  <c r="EA845" i="1"/>
  <c r="EA846" i="1"/>
  <c r="EA847" i="1"/>
  <c r="EA848" i="1"/>
  <c r="EA849" i="1"/>
  <c r="EA850" i="1"/>
  <c r="EA852" i="1"/>
  <c r="EA854" i="1"/>
  <c r="EA855" i="1"/>
  <c r="EA856" i="1"/>
  <c r="EA857" i="1"/>
  <c r="EA858" i="1"/>
  <c r="EA859" i="1"/>
  <c r="EA860" i="1"/>
  <c r="EA862" i="1"/>
  <c r="EA863" i="1"/>
  <c r="EA864" i="1"/>
  <c r="EA865" i="1"/>
  <c r="EA866" i="1"/>
  <c r="EA867" i="1"/>
  <c r="EA868" i="1"/>
  <c r="EA869" i="1"/>
  <c r="EA870" i="1"/>
  <c r="EA872" i="1"/>
  <c r="EA873" i="1"/>
  <c r="EA874" i="1"/>
  <c r="EA875" i="1"/>
  <c r="EA876" i="1"/>
  <c r="EA877" i="1"/>
  <c r="EA878" i="1"/>
  <c r="EA879" i="1"/>
  <c r="EA880" i="1"/>
  <c r="EA881" i="1"/>
  <c r="EA884" i="1"/>
  <c r="EA886" i="1"/>
  <c r="EA887" i="1"/>
  <c r="EA888" i="1"/>
  <c r="EA889" i="1"/>
  <c r="EA890" i="1"/>
  <c r="EA891" i="1"/>
  <c r="EA892" i="1"/>
  <c r="EA893" i="1"/>
  <c r="EA894" i="1"/>
  <c r="EA895" i="1"/>
  <c r="EA898" i="1"/>
  <c r="EA899" i="1"/>
  <c r="EA900" i="1"/>
  <c r="EA901" i="1"/>
  <c r="EA902" i="1"/>
  <c r="EA904" i="1"/>
  <c r="EA905" i="1"/>
  <c r="EA906" i="1"/>
  <c r="EA908" i="1"/>
  <c r="EA909" i="1"/>
  <c r="EA910" i="1"/>
  <c r="EA911" i="1"/>
  <c r="EA912" i="1"/>
  <c r="EA913" i="1"/>
  <c r="EA915" i="1"/>
  <c r="EA916" i="1"/>
  <c r="EA917" i="1"/>
  <c r="EA918" i="1"/>
  <c r="EA919" i="1"/>
  <c r="EA920" i="1"/>
  <c r="EA921" i="1"/>
  <c r="EA922" i="1"/>
  <c r="EA923" i="1"/>
  <c r="EA924" i="1"/>
  <c r="EA925" i="1"/>
  <c r="EA927" i="1"/>
  <c r="EA928" i="1"/>
  <c r="EA929" i="1"/>
  <c r="EA930" i="1"/>
  <c r="EA931" i="1"/>
  <c r="EA932" i="1"/>
  <c r="EA933" i="1"/>
  <c r="EA935" i="1"/>
  <c r="EA936" i="1"/>
  <c r="EA937" i="1"/>
  <c r="EA938" i="1"/>
  <c r="EA939" i="1"/>
  <c r="EA940" i="1"/>
  <c r="EA941" i="1"/>
  <c r="EA943" i="1"/>
  <c r="EA944" i="1"/>
  <c r="EA945" i="1"/>
  <c r="EA947" i="1"/>
  <c r="EA948" i="1"/>
  <c r="EA950" i="1"/>
  <c r="EA951" i="1"/>
  <c r="EA952" i="1"/>
  <c r="EA953" i="1"/>
  <c r="EA954" i="1"/>
  <c r="EA955" i="1"/>
  <c r="EA956" i="1"/>
  <c r="EA957" i="1"/>
  <c r="EA958" i="1"/>
  <c r="EA960" i="1"/>
  <c r="EA961" i="1"/>
  <c r="EA962" i="1"/>
  <c r="EA963" i="1"/>
  <c r="EA964" i="1"/>
  <c r="EA965" i="1"/>
  <c r="EA966" i="1"/>
  <c r="EA967" i="1"/>
  <c r="EA969" i="1"/>
  <c r="EA970" i="1"/>
  <c r="EA971" i="1"/>
  <c r="EA972" i="1"/>
  <c r="EA973" i="1"/>
  <c r="EA974" i="1"/>
  <c r="EA975" i="1"/>
  <c r="EA977" i="1"/>
  <c r="EA978" i="1"/>
  <c r="EA979" i="1"/>
  <c r="EA980" i="1"/>
  <c r="EA981" i="1"/>
  <c r="EA983" i="1"/>
  <c r="EA985" i="1"/>
  <c r="EA986" i="1"/>
  <c r="EA987" i="1"/>
  <c r="EA989" i="1"/>
  <c r="EA990" i="1"/>
  <c r="EA991" i="1"/>
  <c r="EA992" i="1"/>
  <c r="EA993" i="1"/>
  <c r="EA994" i="1"/>
  <c r="EA996" i="1"/>
  <c r="EA997" i="1"/>
  <c r="EA998" i="1"/>
  <c r="EA999" i="1"/>
  <c r="EA1000" i="1"/>
  <c r="EA1001" i="1"/>
  <c r="EA1002" i="1"/>
  <c r="EA1003" i="1"/>
  <c r="EA1005" i="1"/>
  <c r="EA1006" i="1"/>
  <c r="EA1007" i="1"/>
  <c r="EA1008" i="1"/>
  <c r="EA1009" i="1"/>
  <c r="EA1010" i="1"/>
  <c r="EA1011" i="1"/>
  <c r="EA1013" i="1"/>
  <c r="EA1014" i="1"/>
  <c r="EA1015" i="1"/>
  <c r="EA1016" i="1"/>
  <c r="EA1017" i="1"/>
  <c r="EA1018" i="1"/>
  <c r="EA1019" i="1"/>
  <c r="EA1020" i="1"/>
  <c r="EA1021" i="1"/>
  <c r="EA1022" i="1"/>
  <c r="EA1023" i="1"/>
  <c r="EA1025" i="1"/>
  <c r="EA1026" i="1"/>
  <c r="EA1027" i="1"/>
  <c r="EA1028" i="1"/>
  <c r="EA1029" i="1"/>
  <c r="EA1030" i="1"/>
  <c r="EA1031" i="1"/>
  <c r="EA1032" i="1"/>
  <c r="EA1033" i="1"/>
  <c r="EA1035" i="1"/>
  <c r="EA1036" i="1"/>
  <c r="EA1037" i="1"/>
  <c r="EA1038" i="1"/>
  <c r="EA1039" i="1"/>
  <c r="EA1040" i="1"/>
  <c r="EA1041" i="1"/>
  <c r="EA1042" i="1"/>
  <c r="EA1043" i="1"/>
  <c r="EA1044" i="1"/>
  <c r="EA1046" i="1"/>
  <c r="EA1047" i="1"/>
  <c r="EA1048" i="1"/>
  <c r="EA1051" i="1"/>
  <c r="EA1053" i="1"/>
  <c r="EA1054" i="1"/>
  <c r="EA1055" i="1"/>
  <c r="EA1056" i="1"/>
  <c r="EA1057" i="1"/>
  <c r="EA1059" i="1"/>
  <c r="EA1060" i="1"/>
  <c r="EA1061" i="1"/>
  <c r="EA1062" i="1"/>
  <c r="EA1063" i="1"/>
  <c r="EA1064" i="1"/>
  <c r="EA1067" i="1"/>
  <c r="EA1068" i="1"/>
  <c r="EA1069" i="1"/>
  <c r="EA1070" i="1"/>
  <c r="EA1071" i="1"/>
  <c r="EA1072" i="1"/>
  <c r="EA1073" i="1"/>
  <c r="EA1075" i="1"/>
  <c r="EA1076" i="1"/>
  <c r="EA1077" i="1"/>
  <c r="EA1079" i="1"/>
  <c r="EA1080" i="1"/>
  <c r="EA1081" i="1"/>
  <c r="EA1082" i="1"/>
  <c r="EA1083" i="1"/>
  <c r="EA1084" i="1"/>
  <c r="EA1087" i="1"/>
  <c r="EA1088" i="1"/>
  <c r="EA1089" i="1"/>
  <c r="EA1090" i="1"/>
  <c r="EA1091" i="1"/>
  <c r="EA1092" i="1"/>
  <c r="EA1093" i="1"/>
  <c r="EA1094" i="1"/>
  <c r="EA1097" i="1"/>
  <c r="EA1098" i="1"/>
  <c r="EA1099" i="1"/>
  <c r="EA1100" i="1"/>
  <c r="EA1101" i="1"/>
  <c r="EA1102" i="1"/>
  <c r="EA1103" i="1"/>
  <c r="EA1104" i="1"/>
  <c r="EA1105" i="1"/>
  <c r="EA1106" i="1"/>
  <c r="EA1108" i="1"/>
  <c r="EA1109" i="1"/>
  <c r="EA1110" i="1"/>
  <c r="EA1111" i="1"/>
  <c r="EA1112" i="1"/>
  <c r="EA1113" i="1"/>
  <c r="EA1115" i="1"/>
  <c r="EA1116" i="1"/>
  <c r="EA1117" i="1"/>
  <c r="EA1118" i="1"/>
  <c r="EA1120" i="1"/>
  <c r="EA1122" i="1"/>
  <c r="EA1123" i="1"/>
  <c r="EA1124" i="1"/>
  <c r="EA1126" i="1"/>
  <c r="EA1127" i="1"/>
  <c r="EA1128" i="1"/>
  <c r="EA1129" i="1"/>
  <c r="EA1130" i="1"/>
  <c r="EA1132" i="1"/>
  <c r="EA1133" i="1"/>
  <c r="EA1135" i="1"/>
  <c r="EA1136" i="1"/>
  <c r="EA1137" i="1"/>
  <c r="EA1138" i="1"/>
  <c r="EA1139" i="1"/>
  <c r="EA1140" i="1"/>
  <c r="EA1142" i="1"/>
  <c r="EA1143" i="1"/>
  <c r="EA1144" i="1"/>
  <c r="EA1145" i="1"/>
  <c r="EA1146" i="1"/>
  <c r="EA1147" i="1"/>
  <c r="EA1148" i="1"/>
  <c r="EA1149" i="1"/>
  <c r="EA1150" i="1"/>
  <c r="EA1152" i="1"/>
  <c r="EA1153" i="1"/>
  <c r="EA1154" i="1"/>
  <c r="EA1155" i="1"/>
  <c r="EA1157" i="1"/>
  <c r="EA1158" i="1"/>
  <c r="EA1159" i="1"/>
  <c r="EA1160" i="1"/>
  <c r="EA1161" i="1"/>
  <c r="EA1162" i="1"/>
  <c r="EA1163" i="1"/>
  <c r="EA1164" i="1"/>
  <c r="EA1165" i="1"/>
  <c r="EA1167" i="1"/>
  <c r="EA1168" i="1"/>
  <c r="EA1169" i="1"/>
  <c r="EA1170" i="1"/>
  <c r="EA1172" i="1"/>
  <c r="EA1173" i="1"/>
  <c r="EA1174" i="1"/>
  <c r="EA1175" i="1"/>
  <c r="EA1177" i="1"/>
  <c r="EA1178" i="1"/>
  <c r="EA1179" i="1"/>
  <c r="EA1180" i="1"/>
  <c r="EA1181" i="1"/>
  <c r="EA1182" i="1"/>
  <c r="EA1183" i="1"/>
  <c r="EA1185" i="1"/>
  <c r="EA1186" i="1"/>
  <c r="EA1187" i="1"/>
  <c r="EA1188" i="1"/>
  <c r="EA1189" i="1"/>
  <c r="EA1190" i="1"/>
  <c r="EA1192" i="1"/>
  <c r="EA1194" i="1"/>
  <c r="EA1195" i="1"/>
  <c r="EA1196" i="1"/>
  <c r="EA1199" i="1"/>
  <c r="EA1201" i="1"/>
  <c r="EA1202" i="1"/>
  <c r="EA1203" i="1"/>
  <c r="EA1204" i="1"/>
  <c r="EA1205" i="1"/>
  <c r="EA1206" i="1"/>
  <c r="EA1207" i="1"/>
  <c r="EA1209" i="1"/>
  <c r="EA1210" i="1"/>
  <c r="EA1211" i="1"/>
  <c r="EA1212" i="1"/>
  <c r="EA1213" i="1"/>
  <c r="EA1214" i="1"/>
  <c r="EA1215" i="1"/>
  <c r="EA1216" i="1"/>
  <c r="EA1217" i="1"/>
  <c r="EA1219" i="1"/>
  <c r="EA1220" i="1"/>
  <c r="EA1222" i="1"/>
  <c r="EA1223" i="1"/>
  <c r="EA1224" i="1"/>
  <c r="EA1225" i="1"/>
  <c r="EA1226" i="1"/>
  <c r="EA1227" i="1"/>
  <c r="EA1229" i="1"/>
  <c r="EA1230" i="1"/>
  <c r="EA1231" i="1"/>
  <c r="EA1232" i="1"/>
  <c r="EA1233" i="1"/>
  <c r="EA1234" i="1"/>
  <c r="EA1235" i="1"/>
  <c r="EA1236" i="1"/>
  <c r="EA1238" i="1"/>
  <c r="EA1240" i="1"/>
  <c r="EA1241" i="1"/>
  <c r="EA1242" i="1"/>
  <c r="EA1244" i="1"/>
  <c r="EA1245" i="1"/>
  <c r="EA1246" i="1"/>
  <c r="EA1247" i="1"/>
  <c r="EA1248" i="1"/>
  <c r="EA1250" i="1"/>
  <c r="EA1251" i="1"/>
  <c r="EA1252" i="1"/>
  <c r="EA1253" i="1"/>
  <c r="EA1254" i="1"/>
  <c r="EA1255" i="1"/>
  <c r="EA1256" i="1"/>
  <c r="EA1257" i="1"/>
  <c r="EA1258" i="1"/>
  <c r="EA1259" i="1"/>
  <c r="EA1261" i="1"/>
  <c r="EA1262" i="1"/>
  <c r="EA1263" i="1"/>
  <c r="EA1265" i="1"/>
  <c r="EA1266" i="1"/>
  <c r="EA1267" i="1"/>
  <c r="EA1268" i="1"/>
  <c r="EA1272" i="1"/>
  <c r="EA1274" i="1"/>
  <c r="EA1275" i="1"/>
  <c r="EA1276" i="1"/>
  <c r="EA1277" i="1"/>
  <c r="EA1278" i="1"/>
  <c r="EA1279" i="1"/>
  <c r="EA1280" i="1"/>
  <c r="EA1282" i="1"/>
  <c r="EA1283" i="1"/>
  <c r="EA1284" i="1"/>
  <c r="EA1285" i="1"/>
  <c r="EA1286" i="1"/>
  <c r="EA1287" i="1"/>
  <c r="EA1288" i="1"/>
  <c r="EA1289" i="1"/>
  <c r="EA1291" i="1"/>
  <c r="EA1292" i="1"/>
  <c r="EA1293" i="1"/>
  <c r="EA1294" i="1"/>
  <c r="EA1295" i="1"/>
  <c r="EA1296" i="1"/>
  <c r="EA1297" i="1"/>
  <c r="EA1298" i="1"/>
  <c r="EA1299" i="1"/>
  <c r="EA1300" i="1"/>
  <c r="EA1301" i="1"/>
  <c r="EA1304" i="1"/>
  <c r="EA1305" i="1"/>
  <c r="EA1306" i="1"/>
  <c r="EA1307" i="1"/>
  <c r="EA1308" i="1"/>
  <c r="EA1309" i="1"/>
  <c r="EA1310" i="1"/>
  <c r="EA1311" i="1"/>
  <c r="EA1312" i="1"/>
  <c r="EA1313" i="1"/>
  <c r="EB67" i="1"/>
  <c r="EB68" i="1"/>
  <c r="EB69" i="1"/>
  <c r="EB70" i="1"/>
  <c r="EB71" i="1"/>
  <c r="EB72" i="1"/>
  <c r="EB73" i="1"/>
  <c r="EB74" i="1"/>
  <c r="EB76" i="1"/>
  <c r="EB77" i="1"/>
  <c r="EB78" i="1"/>
  <c r="EB79" i="1"/>
  <c r="EB80" i="1"/>
  <c r="EB81" i="1"/>
  <c r="EB82" i="1"/>
  <c r="EB84" i="1"/>
  <c r="EB85" i="1"/>
  <c r="EB86" i="1"/>
  <c r="EB87" i="1"/>
  <c r="EB88" i="1"/>
  <c r="EB89" i="1"/>
  <c r="EB90" i="1"/>
  <c r="EB92" i="1"/>
  <c r="EB93" i="1"/>
  <c r="EB94" i="1"/>
  <c r="EB95" i="1"/>
  <c r="EB96" i="1"/>
  <c r="EB97" i="1"/>
  <c r="EB98" i="1"/>
  <c r="EB101" i="1"/>
  <c r="EB103" i="1"/>
  <c r="EB104" i="1"/>
  <c r="EB105" i="1"/>
  <c r="EB106" i="1"/>
  <c r="EB107" i="1"/>
  <c r="EB108" i="1"/>
  <c r="EB109" i="1"/>
  <c r="EB111" i="1"/>
  <c r="EB112" i="1"/>
  <c r="EB113" i="1"/>
  <c r="EB114" i="1"/>
  <c r="EB115" i="1"/>
  <c r="EB116" i="1"/>
  <c r="EB117" i="1"/>
  <c r="EB118" i="1"/>
  <c r="EB119" i="1"/>
  <c r="EB120" i="1"/>
  <c r="EB122" i="1"/>
  <c r="EB124" i="1"/>
  <c r="EB125" i="1"/>
  <c r="EB126" i="1"/>
  <c r="EB129" i="1"/>
  <c r="EB131" i="1"/>
  <c r="EB132" i="1"/>
  <c r="EB133" i="1"/>
  <c r="EB136" i="1"/>
  <c r="EB138" i="1"/>
  <c r="EB139" i="1"/>
  <c r="EB140" i="1"/>
  <c r="EB141" i="1"/>
  <c r="EB142" i="1"/>
  <c r="EB144" i="1"/>
  <c r="EB145" i="1"/>
  <c r="EB146" i="1"/>
  <c r="EB147" i="1"/>
  <c r="EB148" i="1"/>
  <c r="EB149" i="1"/>
  <c r="EB151" i="1"/>
  <c r="EB152" i="1"/>
  <c r="EB153" i="1"/>
  <c r="EB154" i="1"/>
  <c r="EB155" i="1"/>
  <c r="EB156" i="1"/>
  <c r="EB157" i="1"/>
  <c r="EB158" i="1"/>
  <c r="EB160" i="1"/>
  <c r="EB161" i="1"/>
  <c r="EB162" i="1"/>
  <c r="EB163" i="1"/>
  <c r="EB165" i="1"/>
  <c r="EB166" i="1"/>
  <c r="EB167" i="1"/>
  <c r="EB168" i="1"/>
  <c r="EB169" i="1"/>
  <c r="EB170" i="1"/>
  <c r="EB172" i="1"/>
  <c r="EB173" i="1"/>
  <c r="EB175" i="1"/>
  <c r="EB176" i="1"/>
  <c r="EB177" i="1"/>
  <c r="EB178" i="1"/>
  <c r="EB179" i="1"/>
  <c r="EB180" i="1"/>
  <c r="EB181" i="1"/>
  <c r="EB182" i="1"/>
  <c r="EB183" i="1"/>
  <c r="EB184" i="1"/>
  <c r="EB186" i="1"/>
  <c r="EB187" i="1"/>
  <c r="EB188" i="1"/>
  <c r="EB189" i="1"/>
  <c r="EB190" i="1"/>
  <c r="EB191" i="1"/>
  <c r="EB192" i="1"/>
  <c r="EB193" i="1"/>
  <c r="EB195" i="1"/>
  <c r="EB196" i="1"/>
  <c r="EB197" i="1"/>
  <c r="EB198" i="1"/>
  <c r="EB200" i="1"/>
  <c r="EB201" i="1"/>
  <c r="EB202" i="1"/>
  <c r="EB203" i="1"/>
  <c r="EB204" i="1"/>
  <c r="EB205" i="1"/>
  <c r="EB206" i="1"/>
  <c r="EB207" i="1"/>
  <c r="EB209" i="1"/>
  <c r="EB210" i="1"/>
  <c r="EB211" i="1"/>
  <c r="EB212" i="1"/>
  <c r="EB213" i="1"/>
  <c r="EB214" i="1"/>
  <c r="EB215" i="1"/>
  <c r="EB217" i="1"/>
  <c r="EB218" i="1"/>
  <c r="EB219" i="1"/>
  <c r="EB220" i="1"/>
  <c r="EB221" i="1"/>
  <c r="EB222" i="1"/>
  <c r="EB224" i="1"/>
  <c r="EB225" i="1"/>
  <c r="EB226" i="1"/>
  <c r="EB227" i="1"/>
  <c r="EB228" i="1"/>
  <c r="EB229" i="1"/>
  <c r="EB231" i="1"/>
  <c r="EB232" i="1"/>
  <c r="EB233" i="1"/>
  <c r="EB234" i="1"/>
  <c r="EB235" i="1"/>
  <c r="EB236" i="1"/>
  <c r="EB237" i="1"/>
  <c r="EB238" i="1"/>
  <c r="EB240" i="1"/>
  <c r="EB241" i="1"/>
  <c r="EB242" i="1"/>
  <c r="EB243" i="1"/>
  <c r="EB244" i="1"/>
  <c r="EB245" i="1"/>
  <c r="EB246" i="1"/>
  <c r="EB247" i="1"/>
  <c r="EB250" i="1"/>
  <c r="EB251" i="1"/>
  <c r="EB252" i="1"/>
  <c r="EB253" i="1"/>
  <c r="EB254" i="1"/>
  <c r="EB255" i="1"/>
  <c r="EB256" i="1"/>
  <c r="EB258" i="1"/>
  <c r="EB259" i="1"/>
  <c r="EB260" i="1"/>
  <c r="EB261" i="1"/>
  <c r="EB262" i="1"/>
  <c r="EB263" i="1"/>
  <c r="EB264" i="1"/>
  <c r="EB265" i="1"/>
  <c r="EB266" i="1"/>
  <c r="EB268" i="1"/>
  <c r="EB269" i="1"/>
  <c r="EB270" i="1"/>
  <c r="EB271" i="1"/>
  <c r="EB272" i="1"/>
  <c r="EB273" i="1"/>
  <c r="EB274" i="1"/>
  <c r="EB275" i="1"/>
  <c r="EB276" i="1"/>
  <c r="EB278" i="1"/>
  <c r="EB279" i="1"/>
  <c r="EB280" i="1"/>
  <c r="EB281" i="1"/>
  <c r="EB282" i="1"/>
  <c r="EB283" i="1"/>
  <c r="EB285" i="1"/>
  <c r="EB286" i="1"/>
  <c r="EB287" i="1"/>
  <c r="EB288" i="1"/>
  <c r="EB291" i="1"/>
  <c r="EB292" i="1"/>
  <c r="EB293" i="1"/>
  <c r="EB294" i="1"/>
  <c r="EB296" i="1"/>
  <c r="EB297" i="1"/>
  <c r="EB298" i="1"/>
  <c r="EB299" i="1"/>
  <c r="EB300" i="1"/>
  <c r="EB301" i="1"/>
  <c r="EB302" i="1"/>
  <c r="EB303" i="1"/>
  <c r="EB305" i="1"/>
  <c r="EB306" i="1"/>
  <c r="EB307" i="1"/>
  <c r="EB308" i="1"/>
  <c r="EB309" i="1"/>
  <c r="EB310" i="1"/>
  <c r="EB311" i="1"/>
  <c r="EB312" i="1"/>
  <c r="EB313" i="1"/>
  <c r="EB314" i="1"/>
  <c r="EB316" i="1"/>
  <c r="EB317" i="1"/>
  <c r="EB318" i="1"/>
  <c r="EB319" i="1"/>
  <c r="EB320" i="1"/>
  <c r="EB321" i="1"/>
  <c r="EB322" i="1"/>
  <c r="EB323" i="1"/>
  <c r="EB324" i="1"/>
  <c r="EB325" i="1"/>
  <c r="EB326" i="1"/>
  <c r="EB327" i="1"/>
  <c r="EB329" i="1"/>
  <c r="EB330" i="1"/>
  <c r="EB332" i="1"/>
  <c r="EB333" i="1"/>
  <c r="EB334" i="1"/>
  <c r="EB335" i="1"/>
  <c r="EB336" i="1"/>
  <c r="EB337" i="1"/>
  <c r="EB338" i="1"/>
  <c r="EB340" i="1"/>
  <c r="EB341" i="1"/>
  <c r="EB342" i="1"/>
  <c r="EB343" i="1"/>
  <c r="EB344" i="1"/>
  <c r="EB345" i="1"/>
  <c r="EB346" i="1"/>
  <c r="EB347" i="1"/>
  <c r="EB348" i="1"/>
  <c r="EB349" i="1"/>
  <c r="EB351" i="1"/>
  <c r="EB352" i="1"/>
  <c r="EB353" i="1"/>
  <c r="EB354" i="1"/>
  <c r="EB355" i="1"/>
  <c r="EB356" i="1"/>
  <c r="EB358" i="1"/>
  <c r="EB359" i="1"/>
  <c r="EB360" i="1"/>
  <c r="EB361" i="1"/>
  <c r="EB362" i="1"/>
  <c r="EB363" i="1"/>
  <c r="EB364" i="1"/>
  <c r="EB365" i="1"/>
  <c r="EB367" i="1"/>
  <c r="EB368" i="1"/>
  <c r="EB369" i="1"/>
  <c r="EB371" i="1"/>
  <c r="EB372" i="1"/>
  <c r="EB373" i="1"/>
  <c r="EB375" i="1"/>
  <c r="EB376" i="1"/>
  <c r="EB379" i="1"/>
  <c r="EB380" i="1"/>
  <c r="EB381" i="1"/>
  <c r="EB382" i="1"/>
  <c r="EB383" i="1"/>
  <c r="EB385" i="1"/>
  <c r="EB386" i="1"/>
  <c r="EB387" i="1"/>
  <c r="EB388" i="1"/>
  <c r="EB389" i="1"/>
  <c r="EB390" i="1"/>
  <c r="EB391" i="1"/>
  <c r="EB393" i="1"/>
  <c r="EB394" i="1"/>
  <c r="EB395" i="1"/>
  <c r="EB396" i="1"/>
  <c r="EB397" i="1"/>
  <c r="EB398" i="1"/>
  <c r="EB399" i="1"/>
  <c r="EB400" i="1"/>
  <c r="EB401" i="1"/>
  <c r="EB403" i="1"/>
  <c r="EB404" i="1"/>
  <c r="EB405" i="1"/>
  <c r="EB406" i="1"/>
  <c r="EB407" i="1"/>
  <c r="EB408" i="1"/>
  <c r="EB409" i="1"/>
  <c r="EB410" i="1"/>
  <c r="EB411" i="1"/>
  <c r="EB413" i="1"/>
  <c r="EB414" i="1"/>
  <c r="EB415" i="1"/>
  <c r="EB416" i="1"/>
  <c r="EB417" i="1"/>
  <c r="EB418" i="1"/>
  <c r="EB421" i="1"/>
  <c r="EB422" i="1"/>
  <c r="EB423" i="1"/>
  <c r="EB424" i="1"/>
  <c r="EB425" i="1"/>
  <c r="EB426" i="1"/>
  <c r="EB427" i="1"/>
  <c r="EB428" i="1"/>
  <c r="EB430" i="1"/>
  <c r="EB431" i="1"/>
  <c r="EB432" i="1"/>
  <c r="EB433" i="1"/>
  <c r="EB434" i="1"/>
  <c r="EB435" i="1"/>
  <c r="EB436" i="1"/>
  <c r="EB439" i="1"/>
  <c r="EB440" i="1"/>
  <c r="EB441" i="1"/>
  <c r="EB442" i="1"/>
  <c r="EB443" i="1"/>
  <c r="EB445" i="1"/>
  <c r="EB446" i="1"/>
  <c r="EB447" i="1"/>
  <c r="EB448" i="1"/>
  <c r="EB449" i="1"/>
  <c r="EB450" i="1"/>
  <c r="EB451" i="1"/>
  <c r="EB452" i="1"/>
  <c r="EB454" i="1"/>
  <c r="EB455" i="1"/>
  <c r="EB456" i="1"/>
  <c r="EB457" i="1"/>
  <c r="EB459" i="1"/>
  <c r="EB460" i="1"/>
  <c r="EB461" i="1"/>
  <c r="EB462" i="1"/>
  <c r="EB463" i="1"/>
  <c r="EB464" i="1"/>
  <c r="EB465" i="1"/>
  <c r="EB466" i="1"/>
  <c r="EB468" i="1"/>
  <c r="EB469" i="1"/>
  <c r="EB470" i="1"/>
  <c r="EB471" i="1"/>
  <c r="EB472" i="1"/>
  <c r="EB473" i="1"/>
  <c r="EB474" i="1"/>
  <c r="EB475" i="1"/>
  <c r="EB476" i="1"/>
  <c r="EB478" i="1"/>
  <c r="EB479" i="1"/>
  <c r="EB480" i="1"/>
  <c r="EB481" i="1"/>
  <c r="EB482" i="1"/>
  <c r="EB483" i="1"/>
  <c r="EB485" i="1"/>
  <c r="EB486" i="1"/>
  <c r="EB487" i="1"/>
  <c r="EB488" i="1"/>
  <c r="EB489" i="1"/>
  <c r="EB490" i="1"/>
  <c r="EB491" i="1"/>
  <c r="EB492" i="1"/>
  <c r="EB493" i="1"/>
  <c r="EB495" i="1"/>
  <c r="EB496" i="1"/>
  <c r="EB497" i="1"/>
  <c r="EB498" i="1"/>
  <c r="EB499" i="1"/>
  <c r="EB500" i="1"/>
  <c r="EB502" i="1"/>
  <c r="EB503" i="1"/>
  <c r="EB504" i="1"/>
  <c r="EB505" i="1"/>
  <c r="EB506" i="1"/>
  <c r="EB507" i="1"/>
  <c r="EB508" i="1"/>
  <c r="EB510" i="1"/>
  <c r="EB511" i="1"/>
  <c r="EB512" i="1"/>
  <c r="EB514" i="1"/>
  <c r="EB515" i="1"/>
  <c r="EB516" i="1"/>
  <c r="EB517" i="1"/>
  <c r="EB518" i="1"/>
  <c r="EB520" i="1"/>
  <c r="EB521" i="1"/>
  <c r="EB522" i="1"/>
  <c r="EB523" i="1"/>
  <c r="EB524" i="1"/>
  <c r="EB525" i="1"/>
  <c r="EB526" i="1"/>
  <c r="EB527" i="1"/>
  <c r="EB529" i="1"/>
  <c r="EB530" i="1"/>
  <c r="EB531" i="1"/>
  <c r="EB532" i="1"/>
  <c r="EB533" i="1"/>
  <c r="EB534" i="1"/>
  <c r="EB535" i="1"/>
  <c r="EB536" i="1"/>
  <c r="EB538" i="1"/>
  <c r="EB539" i="1"/>
  <c r="EB540" i="1"/>
  <c r="EB541" i="1"/>
  <c r="EB542" i="1"/>
  <c r="EB543" i="1"/>
  <c r="EB544" i="1"/>
  <c r="EB545" i="1"/>
  <c r="EB546" i="1"/>
  <c r="EB548" i="1"/>
  <c r="EB549" i="1"/>
  <c r="EB550" i="1"/>
  <c r="EB551" i="1"/>
  <c r="EB552" i="1"/>
  <c r="EB553" i="1"/>
  <c r="EB554" i="1"/>
  <c r="EB555" i="1"/>
  <c r="EB557" i="1"/>
  <c r="EB558" i="1"/>
  <c r="EB559" i="1"/>
  <c r="EB560" i="1"/>
  <c r="EB561" i="1"/>
  <c r="EB562" i="1"/>
  <c r="EB563" i="1"/>
  <c r="EB564" i="1"/>
  <c r="EB565" i="1"/>
  <c r="EB566" i="1"/>
  <c r="EB567" i="1"/>
  <c r="EB569" i="1"/>
  <c r="EB570" i="1"/>
  <c r="EB572" i="1"/>
  <c r="EB573" i="1"/>
  <c r="EB574" i="1"/>
  <c r="EB576" i="1"/>
  <c r="EB577" i="1"/>
  <c r="EB578" i="1"/>
  <c r="EB579" i="1"/>
  <c r="EB580" i="1"/>
  <c r="EB581" i="1"/>
  <c r="EB583" i="1"/>
  <c r="EB584" i="1"/>
  <c r="EB586" i="1"/>
  <c r="EB587" i="1"/>
  <c r="EB588" i="1"/>
  <c r="EB591" i="1"/>
  <c r="EB592" i="1"/>
  <c r="EB593" i="1"/>
  <c r="EB594" i="1"/>
  <c r="EB595" i="1"/>
  <c r="EB596" i="1"/>
  <c r="EB597" i="1"/>
  <c r="EB598" i="1"/>
  <c r="EB600" i="1"/>
  <c r="EB601" i="1"/>
  <c r="EB603" i="1"/>
  <c r="EB604" i="1"/>
  <c r="EB605" i="1"/>
  <c r="EB607" i="1"/>
  <c r="EB608" i="1"/>
  <c r="EB609" i="1"/>
  <c r="EB610" i="1"/>
  <c r="EB611" i="1"/>
  <c r="EB612" i="1"/>
  <c r="EB614" i="1"/>
  <c r="EB615" i="1"/>
  <c r="EB616" i="1"/>
  <c r="EB617" i="1"/>
  <c r="EB618" i="1"/>
  <c r="EB619" i="1"/>
  <c r="EB620" i="1"/>
  <c r="EB622" i="1"/>
  <c r="EB623" i="1"/>
  <c r="EB624" i="1"/>
  <c r="EB625" i="1"/>
  <c r="EB626" i="1"/>
  <c r="EB628" i="1"/>
  <c r="EB629" i="1"/>
  <c r="EB630" i="1"/>
  <c r="EB631" i="1"/>
  <c r="EB632" i="1"/>
  <c r="EB633" i="1"/>
  <c r="EB634" i="1"/>
  <c r="EB636" i="1"/>
  <c r="EB637" i="1"/>
  <c r="EB638" i="1"/>
  <c r="EB639" i="1"/>
  <c r="EB641" i="1"/>
  <c r="EB643" i="1"/>
  <c r="EB644" i="1"/>
  <c r="EB645" i="1"/>
  <c r="EB647" i="1"/>
  <c r="EB648" i="1"/>
  <c r="EB649" i="1"/>
  <c r="EB650" i="1"/>
  <c r="EB651" i="1"/>
  <c r="EB652" i="1"/>
  <c r="EB654" i="1"/>
  <c r="EB655" i="1"/>
  <c r="EB656" i="1"/>
  <c r="EB657" i="1"/>
  <c r="EB658" i="1"/>
  <c r="EB659" i="1"/>
  <c r="EB660" i="1"/>
  <c r="EB662" i="1"/>
  <c r="EB663" i="1"/>
  <c r="EB665" i="1"/>
  <c r="EB666" i="1"/>
  <c r="EB667" i="1"/>
  <c r="EB669" i="1"/>
  <c r="EB670" i="1"/>
  <c r="EB671" i="1"/>
  <c r="EB672" i="1"/>
  <c r="EB674" i="1"/>
  <c r="EB675" i="1"/>
  <c r="EB676" i="1"/>
  <c r="EB677" i="1"/>
  <c r="EB678" i="1"/>
  <c r="EB679" i="1"/>
  <c r="EB681" i="1"/>
  <c r="EB682" i="1"/>
  <c r="EB683" i="1"/>
  <c r="EB684" i="1"/>
  <c r="EB685" i="1"/>
  <c r="EB686" i="1"/>
  <c r="EB687" i="1"/>
  <c r="EB688" i="1"/>
  <c r="EB689" i="1"/>
  <c r="EB690" i="1"/>
  <c r="EB691" i="1"/>
  <c r="EB693" i="1"/>
  <c r="EB694" i="1"/>
  <c r="EB695" i="1"/>
  <c r="EB696" i="1"/>
  <c r="EB698" i="1"/>
  <c r="EB699" i="1"/>
  <c r="EB702" i="1"/>
  <c r="EB703" i="1"/>
  <c r="EB704" i="1"/>
  <c r="EB706" i="1"/>
  <c r="EB707" i="1"/>
  <c r="EB708" i="1"/>
  <c r="EB709" i="1"/>
  <c r="EB711" i="1"/>
  <c r="EB712" i="1"/>
  <c r="EB713" i="1"/>
  <c r="EB714" i="1"/>
  <c r="EB715" i="1"/>
  <c r="EB716" i="1"/>
  <c r="EB717" i="1"/>
  <c r="EB718" i="1"/>
  <c r="EB720" i="1"/>
  <c r="EB721" i="1"/>
  <c r="EB723" i="1"/>
  <c r="EB724" i="1"/>
  <c r="EB725" i="1"/>
  <c r="EB726" i="1"/>
  <c r="EB729" i="1"/>
  <c r="EB731" i="1"/>
  <c r="EB732" i="1"/>
  <c r="EB733" i="1"/>
  <c r="EB734" i="1"/>
  <c r="EB735" i="1"/>
  <c r="EB736" i="1"/>
  <c r="EB738" i="1"/>
  <c r="EB739" i="1"/>
  <c r="EB740" i="1"/>
  <c r="EB741" i="1"/>
  <c r="EB742" i="1"/>
  <c r="EB743" i="1"/>
  <c r="EB744" i="1"/>
  <c r="EB745" i="1"/>
  <c r="EB748" i="1"/>
  <c r="EB750" i="1"/>
  <c r="EB751" i="1"/>
  <c r="EB752" i="1"/>
  <c r="EB753" i="1"/>
  <c r="EB754" i="1"/>
  <c r="EB755" i="1"/>
  <c r="EB756" i="1"/>
  <c r="EB758" i="1"/>
  <c r="EB760" i="1"/>
  <c r="EB761" i="1"/>
  <c r="EB763" i="1"/>
  <c r="EB764" i="1"/>
  <c r="EB766" i="1"/>
  <c r="EB767" i="1"/>
  <c r="EB768" i="1"/>
  <c r="EB769" i="1"/>
  <c r="EB774" i="1"/>
  <c r="EB775" i="1"/>
  <c r="EB777" i="1"/>
  <c r="EB778" i="1"/>
  <c r="EB779" i="1"/>
  <c r="EB780" i="1"/>
  <c r="EB782" i="1"/>
  <c r="EB783" i="1"/>
  <c r="EB784" i="1"/>
  <c r="EB785" i="1"/>
  <c r="EB786" i="1"/>
  <c r="EB787" i="1"/>
  <c r="EB789" i="1"/>
  <c r="EB790" i="1"/>
  <c r="EB791" i="1"/>
  <c r="EB793" i="1"/>
  <c r="EB794" i="1"/>
  <c r="EB795" i="1"/>
  <c r="EB796" i="1"/>
  <c r="EB797" i="1"/>
  <c r="EB798" i="1"/>
  <c r="EB800" i="1"/>
  <c r="EB801" i="1"/>
  <c r="EB802" i="1"/>
  <c r="EB803" i="1"/>
  <c r="EB804" i="1"/>
  <c r="EB805" i="1"/>
  <c r="EB806" i="1"/>
  <c r="EB807" i="1"/>
  <c r="EB808" i="1"/>
  <c r="EB810" i="1"/>
  <c r="EB811" i="1"/>
  <c r="EB812" i="1"/>
  <c r="EB813" i="1"/>
  <c r="EB814" i="1"/>
  <c r="EB815" i="1"/>
  <c r="EB816" i="1"/>
  <c r="EB818" i="1"/>
  <c r="EB819" i="1"/>
  <c r="EB820" i="1"/>
  <c r="EB822" i="1"/>
  <c r="EB823" i="1"/>
  <c r="EB824" i="1"/>
  <c r="EB825" i="1"/>
  <c r="EB826" i="1"/>
  <c r="EB827" i="1"/>
  <c r="EB829" i="1"/>
  <c r="EB830" i="1"/>
  <c r="EB831" i="1"/>
  <c r="EB832" i="1"/>
  <c r="EB834" i="1"/>
  <c r="EB835" i="1"/>
  <c r="EB836" i="1"/>
  <c r="EB838" i="1"/>
  <c r="EB839" i="1"/>
  <c r="EB840" i="1"/>
  <c r="EB841" i="1"/>
  <c r="EB842" i="1"/>
  <c r="EB843" i="1"/>
  <c r="EB845" i="1"/>
  <c r="EB846" i="1"/>
  <c r="EB847" i="1"/>
  <c r="EB848" i="1"/>
  <c r="EB849" i="1"/>
  <c r="EB850" i="1"/>
  <c r="EB852" i="1"/>
  <c r="EB854" i="1"/>
  <c r="EB855" i="1"/>
  <c r="EB856" i="1"/>
  <c r="EB857" i="1"/>
  <c r="EB858" i="1"/>
  <c r="EB859" i="1"/>
  <c r="EB860" i="1"/>
  <c r="EB862" i="1"/>
  <c r="EB863" i="1"/>
  <c r="EB864" i="1"/>
  <c r="EB865" i="1"/>
  <c r="EB866" i="1"/>
  <c r="EB867" i="1"/>
  <c r="EB868" i="1"/>
  <c r="EB869" i="1"/>
  <c r="EB870" i="1"/>
  <c r="EB872" i="1"/>
  <c r="EB873" i="1"/>
  <c r="EB874" i="1"/>
  <c r="EB875" i="1"/>
  <c r="EB876" i="1"/>
  <c r="EB877" i="1"/>
  <c r="EB878" i="1"/>
  <c r="EB879" i="1"/>
  <c r="EB880" i="1"/>
  <c r="EB881" i="1"/>
  <c r="EB884" i="1"/>
  <c r="EB886" i="1"/>
  <c r="EB887" i="1"/>
  <c r="EB888" i="1"/>
  <c r="EB889" i="1"/>
  <c r="EB890" i="1"/>
  <c r="EB891" i="1"/>
  <c r="EB892" i="1"/>
  <c r="EB893" i="1"/>
  <c r="EB894" i="1"/>
  <c r="EB895" i="1"/>
  <c r="EB897" i="1"/>
  <c r="EB898" i="1"/>
  <c r="EB899" i="1"/>
  <c r="EB900" i="1"/>
  <c r="EB901" i="1"/>
  <c r="EB902" i="1"/>
  <c r="EB904" i="1"/>
  <c r="EB905" i="1"/>
  <c r="EB906" i="1"/>
  <c r="EB908" i="1"/>
  <c r="EB909" i="1"/>
  <c r="EB910" i="1"/>
  <c r="EB911" i="1"/>
  <c r="EB912" i="1"/>
  <c r="EB913" i="1"/>
  <c r="EB915" i="1"/>
  <c r="EB916" i="1"/>
  <c r="EB917" i="1"/>
  <c r="EB918" i="1"/>
  <c r="EB919" i="1"/>
  <c r="EB920" i="1"/>
  <c r="EB921" i="1"/>
  <c r="EB922" i="1"/>
  <c r="EB923" i="1"/>
  <c r="EB924" i="1"/>
  <c r="EB925" i="1"/>
  <c r="EB927" i="1"/>
  <c r="EB928" i="1"/>
  <c r="EB929" i="1"/>
  <c r="EB930" i="1"/>
  <c r="EB931" i="1"/>
  <c r="EB932" i="1"/>
  <c r="EB933" i="1"/>
  <c r="EB935" i="1"/>
  <c r="EB936" i="1"/>
  <c r="EB937" i="1"/>
  <c r="EB938" i="1"/>
  <c r="EB939" i="1"/>
  <c r="EB940" i="1"/>
  <c r="EB941" i="1"/>
  <c r="EB943" i="1"/>
  <c r="EB944" i="1"/>
  <c r="EB945" i="1"/>
  <c r="EB947" i="1"/>
  <c r="EB948" i="1"/>
  <c r="EB950" i="1"/>
  <c r="EB951" i="1"/>
  <c r="EB952" i="1"/>
  <c r="EB953" i="1"/>
  <c r="EB954" i="1"/>
  <c r="EB955" i="1"/>
  <c r="EB956" i="1"/>
  <c r="EB957" i="1"/>
  <c r="EB958" i="1"/>
  <c r="EB960" i="1"/>
  <c r="EB961" i="1"/>
  <c r="EB962" i="1"/>
  <c r="EB963" i="1"/>
  <c r="EB964" i="1"/>
  <c r="EB965" i="1"/>
  <c r="EB966" i="1"/>
  <c r="EB967" i="1"/>
  <c r="EB969" i="1"/>
  <c r="EB970" i="1"/>
  <c r="EB971" i="1"/>
  <c r="EB972" i="1"/>
  <c r="EB973" i="1"/>
  <c r="EB974" i="1"/>
  <c r="EB975" i="1"/>
  <c r="EB977" i="1"/>
  <c r="EB978" i="1"/>
  <c r="EB979" i="1"/>
  <c r="EB980" i="1"/>
  <c r="EB981" i="1"/>
  <c r="EB983" i="1"/>
  <c r="EB985" i="1"/>
  <c r="EB986" i="1"/>
  <c r="EB987" i="1"/>
  <c r="EB989" i="1"/>
  <c r="EB990" i="1"/>
  <c r="EB991" i="1"/>
  <c r="EB992" i="1"/>
  <c r="EB993" i="1"/>
  <c r="EB994" i="1"/>
  <c r="EB996" i="1"/>
  <c r="EB997" i="1"/>
  <c r="EB998" i="1"/>
  <c r="EB999" i="1"/>
  <c r="EB1000" i="1"/>
  <c r="EB1001" i="1"/>
  <c r="EB1002" i="1"/>
  <c r="EB1003" i="1"/>
  <c r="EB1005" i="1"/>
  <c r="EB1006" i="1"/>
  <c r="EB1007" i="1"/>
  <c r="EB1008" i="1"/>
  <c r="EB1009" i="1"/>
  <c r="EB1010" i="1"/>
  <c r="EB1011" i="1"/>
  <c r="EB1013" i="1"/>
  <c r="EB1014" i="1"/>
  <c r="EB1015" i="1"/>
  <c r="EB1016" i="1"/>
  <c r="EB1017" i="1"/>
  <c r="EB1018" i="1"/>
  <c r="EB1019" i="1"/>
  <c r="EB1020" i="1"/>
  <c r="EB1021" i="1"/>
  <c r="EB1022" i="1"/>
  <c r="EB1023" i="1"/>
  <c r="EB1025" i="1"/>
  <c r="EB1026" i="1"/>
  <c r="EB1027" i="1"/>
  <c r="EB1028" i="1"/>
  <c r="EB1029" i="1"/>
  <c r="EB1030" i="1"/>
  <c r="EB1031" i="1"/>
  <c r="EB1032" i="1"/>
  <c r="EB1033" i="1"/>
  <c r="EB1035" i="1"/>
  <c r="EB1036" i="1"/>
  <c r="EB1037" i="1"/>
  <c r="EB1038" i="1"/>
  <c r="EB1039" i="1"/>
  <c r="EB1040" i="1"/>
  <c r="EB1041" i="1"/>
  <c r="EB1042" i="1"/>
  <c r="EB1043" i="1"/>
  <c r="EB1044" i="1"/>
  <c r="EB1046" i="1"/>
  <c r="EB1047" i="1"/>
  <c r="EB1048" i="1"/>
  <c r="EB1051" i="1"/>
  <c r="EB1053" i="1"/>
  <c r="EB1054" i="1"/>
  <c r="EB1055" i="1"/>
  <c r="EB1056" i="1"/>
  <c r="EB1057" i="1"/>
  <c r="EB1059" i="1"/>
  <c r="EB1060" i="1"/>
  <c r="EB1061" i="1"/>
  <c r="EB1062" i="1"/>
  <c r="EB1063" i="1"/>
  <c r="EB1064" i="1"/>
  <c r="EB1066" i="1"/>
  <c r="EB1067" i="1"/>
  <c r="EB1068" i="1"/>
  <c r="EB1069" i="1"/>
  <c r="EB1070" i="1"/>
  <c r="EB1071" i="1"/>
  <c r="EB1072" i="1"/>
  <c r="EB1073" i="1"/>
  <c r="EB1075" i="1"/>
  <c r="EB1076" i="1"/>
  <c r="EB1077" i="1"/>
  <c r="EB1079" i="1"/>
  <c r="EB1080" i="1"/>
  <c r="EB1081" i="1"/>
  <c r="EB1082" i="1"/>
  <c r="EB1083" i="1"/>
  <c r="EB1084" i="1"/>
  <c r="EB1086" i="1"/>
  <c r="EB1087" i="1"/>
  <c r="EB1088" i="1"/>
  <c r="EB1089" i="1"/>
  <c r="EB1090" i="1"/>
  <c r="EB1091" i="1"/>
  <c r="EB1092" i="1"/>
  <c r="EB1093" i="1"/>
  <c r="EB1094" i="1"/>
  <c r="EB1097" i="1"/>
  <c r="EB1098" i="1"/>
  <c r="EB1099" i="1"/>
  <c r="EB1100" i="1"/>
  <c r="EB1101" i="1"/>
  <c r="EB1102" i="1"/>
  <c r="EB1103" i="1"/>
  <c r="EB1104" i="1"/>
  <c r="EB1105" i="1"/>
  <c r="EB1106" i="1"/>
  <c r="EB1109" i="1"/>
  <c r="EB1110" i="1"/>
  <c r="EB1111" i="1"/>
  <c r="EB1112" i="1"/>
  <c r="EB1113" i="1"/>
  <c r="EB1115" i="1"/>
  <c r="EB1116" i="1"/>
  <c r="EB1117" i="1"/>
  <c r="EB1118" i="1"/>
  <c r="EB1120" i="1"/>
  <c r="EB1122" i="1"/>
  <c r="EB1123" i="1"/>
  <c r="EB1124" i="1"/>
  <c r="EB1126" i="1"/>
  <c r="EB1127" i="1"/>
  <c r="EB1128" i="1"/>
  <c r="EB1129" i="1"/>
  <c r="EB1130" i="1"/>
  <c r="EB1132" i="1"/>
  <c r="EB1133" i="1"/>
  <c r="EB1135" i="1"/>
  <c r="EB1136" i="1"/>
  <c r="EB1137" i="1"/>
  <c r="EB1138" i="1"/>
  <c r="EB1139" i="1"/>
  <c r="EB1140" i="1"/>
  <c r="EB1142" i="1"/>
  <c r="EB1143" i="1"/>
  <c r="EB1144" i="1"/>
  <c r="EB1145" i="1"/>
  <c r="EB1146" i="1"/>
  <c r="EB1147" i="1"/>
  <c r="EB1148" i="1"/>
  <c r="EB1149" i="1"/>
  <c r="EB1150" i="1"/>
  <c r="EB1152" i="1"/>
  <c r="EB1153" i="1"/>
  <c r="EB1154" i="1"/>
  <c r="EB1155" i="1"/>
  <c r="EB1157" i="1"/>
  <c r="EB1158" i="1"/>
  <c r="EB1159" i="1"/>
  <c r="EB1160" i="1"/>
  <c r="EB1161" i="1"/>
  <c r="EB1162" i="1"/>
  <c r="EB1163" i="1"/>
  <c r="EB1164" i="1"/>
  <c r="EB1165" i="1"/>
  <c r="EB1168" i="1"/>
  <c r="EB1169" i="1"/>
  <c r="EB1170" i="1"/>
  <c r="EB1172" i="1"/>
  <c r="EB1173" i="1"/>
  <c r="EB1174" i="1"/>
  <c r="EB1175" i="1"/>
  <c r="EB1177" i="1"/>
  <c r="EB1178" i="1"/>
  <c r="EB1179" i="1"/>
  <c r="EB1180" i="1"/>
  <c r="EB1181" i="1"/>
  <c r="EB1182" i="1"/>
  <c r="EB1183" i="1"/>
  <c r="EB1185" i="1"/>
  <c r="EB1186" i="1"/>
  <c r="EB1187" i="1"/>
  <c r="EB1188" i="1"/>
  <c r="EB1189" i="1"/>
  <c r="EB1190" i="1"/>
  <c r="EB1192" i="1"/>
  <c r="EB1194" i="1"/>
  <c r="EB1195" i="1"/>
  <c r="EB1196" i="1"/>
  <c r="EB1199" i="1"/>
  <c r="EB1201" i="1"/>
  <c r="EB1202" i="1"/>
  <c r="EB1203" i="1"/>
  <c r="EB1204" i="1"/>
  <c r="EB1205" i="1"/>
  <c r="EB1206" i="1"/>
  <c r="EB1207" i="1"/>
  <c r="EB1209" i="1"/>
  <c r="EB1210" i="1"/>
  <c r="EB1211" i="1"/>
  <c r="EB1212" i="1"/>
  <c r="EB1213" i="1"/>
  <c r="EB1214" i="1"/>
  <c r="EB1215" i="1"/>
  <c r="EB1216" i="1"/>
  <c r="EB1217" i="1"/>
  <c r="EB1219" i="1"/>
  <c r="EB1220" i="1"/>
  <c r="EB1222" i="1"/>
  <c r="EB1223" i="1"/>
  <c r="EB1224" i="1"/>
  <c r="EB1225" i="1"/>
  <c r="EB1226" i="1"/>
  <c r="EB1227" i="1"/>
  <c r="EB1229" i="1"/>
  <c r="EB1230" i="1"/>
  <c r="EB1231" i="1"/>
  <c r="EB1232" i="1"/>
  <c r="EB1233" i="1"/>
  <c r="EB1234" i="1"/>
  <c r="EB1235" i="1"/>
  <c r="EB1236" i="1"/>
  <c r="EB1238" i="1"/>
  <c r="EB1240" i="1"/>
  <c r="EB1241" i="1"/>
  <c r="EB1242" i="1"/>
  <c r="EB1244" i="1"/>
  <c r="EB1245" i="1"/>
  <c r="EB1246" i="1"/>
  <c r="EB1247" i="1"/>
  <c r="EB1248" i="1"/>
  <c r="EB1251" i="1"/>
  <c r="EB1252" i="1"/>
  <c r="EB1253" i="1"/>
  <c r="EB1254" i="1"/>
  <c r="EB1255" i="1"/>
  <c r="EB1256" i="1"/>
  <c r="EB1257" i="1"/>
  <c r="EB1258" i="1"/>
  <c r="EB1259" i="1"/>
  <c r="EB1261" i="1"/>
  <c r="EB1262" i="1"/>
  <c r="EB1263" i="1"/>
  <c r="EB1265" i="1"/>
  <c r="EB1266" i="1"/>
  <c r="EB1267" i="1"/>
  <c r="EB1268" i="1"/>
  <c r="EB1272" i="1"/>
  <c r="EB1274" i="1"/>
  <c r="EB1275" i="1"/>
  <c r="EB1276" i="1"/>
  <c r="EB1277" i="1"/>
  <c r="EB1278" i="1"/>
  <c r="EB1279" i="1"/>
  <c r="EB1280" i="1"/>
  <c r="EB1282" i="1"/>
  <c r="EB1283" i="1"/>
  <c r="EB1284" i="1"/>
  <c r="EB1285" i="1"/>
  <c r="EB1286" i="1"/>
  <c r="EB1287" i="1"/>
  <c r="EB1288" i="1"/>
  <c r="EB1289" i="1"/>
  <c r="EB1291" i="1"/>
  <c r="EB1292" i="1"/>
  <c r="EB1293" i="1"/>
  <c r="EB1294" i="1"/>
  <c r="EB1295" i="1"/>
  <c r="EB1296" i="1"/>
  <c r="EB1297" i="1"/>
  <c r="EB1298" i="1"/>
  <c r="EB1299" i="1"/>
  <c r="EB1300" i="1"/>
  <c r="EB1301" i="1"/>
  <c r="EB1303" i="1"/>
  <c r="EB1304" i="1"/>
  <c r="EB1305" i="1"/>
  <c r="EB1306" i="1"/>
  <c r="EB1307" i="1"/>
  <c r="EB1308" i="1"/>
  <c r="EB1309" i="1"/>
  <c r="EB1310" i="1"/>
  <c r="EB1311" i="1"/>
  <c r="EB1312" i="1"/>
  <c r="EB1313" i="1"/>
  <c r="EC67" i="1"/>
  <c r="EC68" i="1"/>
  <c r="EC69" i="1"/>
  <c r="EC70" i="1"/>
  <c r="EC71" i="1"/>
  <c r="EC72" i="1"/>
  <c r="EC73" i="1"/>
  <c r="EC74" i="1"/>
  <c r="EC76" i="1"/>
  <c r="EC77" i="1"/>
  <c r="EC78" i="1"/>
  <c r="EC79" i="1"/>
  <c r="EC80" i="1"/>
  <c r="EC81" i="1"/>
  <c r="EC82" i="1"/>
  <c r="EC84" i="1"/>
  <c r="EC85" i="1"/>
  <c r="EC86" i="1"/>
  <c r="EC87" i="1"/>
  <c r="EC88" i="1"/>
  <c r="EC89" i="1"/>
  <c r="EC90" i="1"/>
  <c r="EC92" i="1"/>
  <c r="EC93" i="1"/>
  <c r="EC94" i="1"/>
  <c r="EC95" i="1"/>
  <c r="EC96" i="1"/>
  <c r="EC97" i="1"/>
  <c r="EC98" i="1"/>
  <c r="EC101" i="1"/>
  <c r="EC103" i="1"/>
  <c r="EC104" i="1"/>
  <c r="EC105" i="1"/>
  <c r="EC106" i="1"/>
  <c r="EC107" i="1"/>
  <c r="EC108" i="1"/>
  <c r="EC109" i="1"/>
  <c r="EC111" i="1"/>
  <c r="EC112" i="1"/>
  <c r="EC113" i="1"/>
  <c r="EC114" i="1"/>
  <c r="EC115" i="1"/>
  <c r="EC116" i="1"/>
  <c r="EC117" i="1"/>
  <c r="EC118" i="1"/>
  <c r="EC119" i="1"/>
  <c r="EC120" i="1"/>
  <c r="EC122" i="1"/>
  <c r="EC124" i="1"/>
  <c r="EC125" i="1"/>
  <c r="EC126" i="1"/>
  <c r="EC129" i="1"/>
  <c r="EC131" i="1"/>
  <c r="EC132" i="1"/>
  <c r="EC133" i="1"/>
  <c r="EC136" i="1"/>
  <c r="EC138" i="1"/>
  <c r="EC139" i="1"/>
  <c r="EC140" i="1"/>
  <c r="EC141" i="1"/>
  <c r="EC142" i="1"/>
  <c r="EC144" i="1"/>
  <c r="EC145" i="1"/>
  <c r="EC146" i="1"/>
  <c r="EC147" i="1"/>
  <c r="EC148" i="1"/>
  <c r="EC149" i="1"/>
  <c r="EC151" i="1"/>
  <c r="EC152" i="1"/>
  <c r="EC153" i="1"/>
  <c r="EC154" i="1"/>
  <c r="EC155" i="1"/>
  <c r="EC156" i="1"/>
  <c r="EC157" i="1"/>
  <c r="EC158" i="1"/>
  <c r="EC160" i="1"/>
  <c r="EC161" i="1"/>
  <c r="EC162" i="1"/>
  <c r="EC163" i="1"/>
  <c r="EC165" i="1"/>
  <c r="EC166" i="1"/>
  <c r="EC167" i="1"/>
  <c r="EC168" i="1"/>
  <c r="EC169" i="1"/>
  <c r="EC170" i="1"/>
  <c r="EC172" i="1"/>
  <c r="EC173" i="1"/>
  <c r="EC175" i="1"/>
  <c r="EC176" i="1"/>
  <c r="EC177" i="1"/>
  <c r="EC178" i="1"/>
  <c r="EC179" i="1"/>
  <c r="EC180" i="1"/>
  <c r="EC181" i="1"/>
  <c r="EC182" i="1"/>
  <c r="EC183" i="1"/>
  <c r="EC184" i="1"/>
  <c r="EC186" i="1"/>
  <c r="EC187" i="1"/>
  <c r="EC188" i="1"/>
  <c r="EC189" i="1"/>
  <c r="EC190" i="1"/>
  <c r="EC191" i="1"/>
  <c r="EC192" i="1"/>
  <c r="EC193" i="1"/>
  <c r="EC195" i="1"/>
  <c r="EC196" i="1"/>
  <c r="EC197" i="1"/>
  <c r="EC198" i="1"/>
  <c r="EC200" i="1"/>
  <c r="EC201" i="1"/>
  <c r="EC202" i="1"/>
  <c r="EC203" i="1"/>
  <c r="EC204" i="1"/>
  <c r="EC205" i="1"/>
  <c r="EC206" i="1"/>
  <c r="EC207" i="1"/>
  <c r="EC209" i="1"/>
  <c r="EC210" i="1"/>
  <c r="EC211" i="1"/>
  <c r="EC212" i="1"/>
  <c r="EC213" i="1"/>
  <c r="EC214" i="1"/>
  <c r="EC215" i="1"/>
  <c r="EC218" i="1"/>
  <c r="EC219" i="1"/>
  <c r="EC220" i="1"/>
  <c r="EC221" i="1"/>
  <c r="EC222" i="1"/>
  <c r="EC224" i="1"/>
  <c r="EC225" i="1"/>
  <c r="EC226" i="1"/>
  <c r="EC227" i="1"/>
  <c r="EC228" i="1"/>
  <c r="EC229" i="1"/>
  <c r="EC231" i="1"/>
  <c r="EC232" i="1"/>
  <c r="EC233" i="1"/>
  <c r="EC234" i="1"/>
  <c r="EC235" i="1"/>
  <c r="EC236" i="1"/>
  <c r="EC237" i="1"/>
  <c r="EC238" i="1"/>
  <c r="EC240" i="1"/>
  <c r="EC241" i="1"/>
  <c r="EC242" i="1"/>
  <c r="EC243" i="1"/>
  <c r="EC244" i="1"/>
  <c r="EC245" i="1"/>
  <c r="EC246" i="1"/>
  <c r="EC247" i="1"/>
  <c r="EC249" i="1"/>
  <c r="EC250" i="1"/>
  <c r="EC251" i="1"/>
  <c r="EC252" i="1"/>
  <c r="EC253" i="1"/>
  <c r="EC254" i="1"/>
  <c r="EC255" i="1"/>
  <c r="EC256" i="1"/>
  <c r="EC258" i="1"/>
  <c r="EC259" i="1"/>
  <c r="EC260" i="1"/>
  <c r="EC261" i="1"/>
  <c r="EC262" i="1"/>
  <c r="EC263" i="1"/>
  <c r="EC264" i="1"/>
  <c r="EC265" i="1"/>
  <c r="EC266" i="1"/>
  <c r="EC268" i="1"/>
  <c r="EC269" i="1"/>
  <c r="EC270" i="1"/>
  <c r="EC271" i="1"/>
  <c r="EC272" i="1"/>
  <c r="EC273" i="1"/>
  <c r="EC274" i="1"/>
  <c r="EC275" i="1"/>
  <c r="EC276" i="1"/>
  <c r="EC278" i="1"/>
  <c r="EC279" i="1"/>
  <c r="EC280" i="1"/>
  <c r="EC281" i="1"/>
  <c r="EC282" i="1"/>
  <c r="EC283" i="1"/>
  <c r="EC285" i="1"/>
  <c r="EC286" i="1"/>
  <c r="EC287" i="1"/>
  <c r="EC288" i="1"/>
  <c r="EC291" i="1"/>
  <c r="EC292" i="1"/>
  <c r="EC293" i="1"/>
  <c r="EC294" i="1"/>
  <c r="EC296" i="1"/>
  <c r="EC297" i="1"/>
  <c r="EC298" i="1"/>
  <c r="EC299" i="1"/>
  <c r="EC300" i="1"/>
  <c r="EC301" i="1"/>
  <c r="EC302" i="1"/>
  <c r="EC303" i="1"/>
  <c r="EC305" i="1"/>
  <c r="EC306" i="1"/>
  <c r="EC307" i="1"/>
  <c r="EC308" i="1"/>
  <c r="EC309" i="1"/>
  <c r="EC310" i="1"/>
  <c r="EC311" i="1"/>
  <c r="EC312" i="1"/>
  <c r="EC313" i="1"/>
  <c r="EC314" i="1"/>
  <c r="EC316" i="1"/>
  <c r="EC317" i="1"/>
  <c r="EC318" i="1"/>
  <c r="EC319" i="1"/>
  <c r="EC320" i="1"/>
  <c r="EC321" i="1"/>
  <c r="EC322" i="1"/>
  <c r="EC323" i="1"/>
  <c r="EC324" i="1"/>
  <c r="EC325" i="1"/>
  <c r="EC326" i="1"/>
  <c r="EC327" i="1"/>
  <c r="EC329" i="1"/>
  <c r="EC330" i="1"/>
  <c r="EC332" i="1"/>
  <c r="EC333" i="1"/>
  <c r="EC334" i="1"/>
  <c r="EC335" i="1"/>
  <c r="EC336" i="1"/>
  <c r="EC337" i="1"/>
  <c r="EC338" i="1"/>
  <c r="EC340" i="1"/>
  <c r="EC341" i="1"/>
  <c r="EC342" i="1"/>
  <c r="EC343" i="1"/>
  <c r="EC344" i="1"/>
  <c r="EC345" i="1"/>
  <c r="EC346" i="1"/>
  <c r="EC347" i="1"/>
  <c r="EC348" i="1"/>
  <c r="EC349" i="1"/>
  <c r="EC351" i="1"/>
  <c r="EC352" i="1"/>
  <c r="EC353" i="1"/>
  <c r="EC354" i="1"/>
  <c r="EC355" i="1"/>
  <c r="EC356" i="1"/>
  <c r="EC358" i="1"/>
  <c r="EC359" i="1"/>
  <c r="EC360" i="1"/>
  <c r="EC361" i="1"/>
  <c r="EC362" i="1"/>
  <c r="EC363" i="1"/>
  <c r="EC364" i="1"/>
  <c r="EC365" i="1"/>
  <c r="EC367" i="1"/>
  <c r="EC368" i="1"/>
  <c r="EC369" i="1"/>
  <c r="EC372" i="1"/>
  <c r="EC373" i="1"/>
  <c r="EC375" i="1"/>
  <c r="EC376" i="1"/>
  <c r="EC378" i="1"/>
  <c r="EC379" i="1"/>
  <c r="EC380" i="1"/>
  <c r="EC381" i="1"/>
  <c r="EC382" i="1"/>
  <c r="EC383" i="1"/>
  <c r="EC385" i="1"/>
  <c r="EC386" i="1"/>
  <c r="EC387" i="1"/>
  <c r="EC388" i="1"/>
  <c r="EC389" i="1"/>
  <c r="EC390" i="1"/>
  <c r="EC391" i="1"/>
  <c r="EC393" i="1"/>
  <c r="EC394" i="1"/>
  <c r="EC395" i="1"/>
  <c r="EC396" i="1"/>
  <c r="EC397" i="1"/>
  <c r="EC398" i="1"/>
  <c r="EC399" i="1"/>
  <c r="EC400" i="1"/>
  <c r="EC401" i="1"/>
  <c r="EC403" i="1"/>
  <c r="EC404" i="1"/>
  <c r="EC405" i="1"/>
  <c r="EC406" i="1"/>
  <c r="EC407" i="1"/>
  <c r="EC408" i="1"/>
  <c r="EC409" i="1"/>
  <c r="EC410" i="1"/>
  <c r="EC411" i="1"/>
  <c r="EC413" i="1"/>
  <c r="EC414" i="1"/>
  <c r="EC415" i="1"/>
  <c r="EC416" i="1"/>
  <c r="EC417" i="1"/>
  <c r="EC418" i="1"/>
  <c r="EC421" i="1"/>
  <c r="EC422" i="1"/>
  <c r="EC423" i="1"/>
  <c r="EC424" i="1"/>
  <c r="EC425" i="1"/>
  <c r="EC426" i="1"/>
  <c r="EC427" i="1"/>
  <c r="EC428" i="1"/>
  <c r="EC430" i="1"/>
  <c r="EC431" i="1"/>
  <c r="EC432" i="1"/>
  <c r="EC433" i="1"/>
  <c r="EC434" i="1"/>
  <c r="EC435" i="1"/>
  <c r="EC436" i="1"/>
  <c r="EC439" i="1"/>
  <c r="EC440" i="1"/>
  <c r="EC441" i="1"/>
  <c r="EC442" i="1"/>
  <c r="EC443" i="1"/>
  <c r="EC445" i="1"/>
  <c r="EC446" i="1"/>
  <c r="EC447" i="1"/>
  <c r="EC448" i="1"/>
  <c r="EC449" i="1"/>
  <c r="EC450" i="1"/>
  <c r="EC451" i="1"/>
  <c r="EC452" i="1"/>
  <c r="EC454" i="1"/>
  <c r="EC455" i="1"/>
  <c r="EC456" i="1"/>
  <c r="EC457" i="1"/>
  <c r="EC459" i="1"/>
  <c r="EC460" i="1"/>
  <c r="EC461" i="1"/>
  <c r="EC462" i="1"/>
  <c r="EC463" i="1"/>
  <c r="EC464" i="1"/>
  <c r="EC465" i="1"/>
  <c r="EC466" i="1"/>
  <c r="EC468" i="1"/>
  <c r="EC469" i="1"/>
  <c r="EC470" i="1"/>
  <c r="EC471" i="1"/>
  <c r="EC472" i="1"/>
  <c r="EC473" i="1"/>
  <c r="EC474" i="1"/>
  <c r="EC475" i="1"/>
  <c r="EC476" i="1"/>
  <c r="EC478" i="1"/>
  <c r="EC479" i="1"/>
  <c r="EC480" i="1"/>
  <c r="EC481" i="1"/>
  <c r="EC482" i="1"/>
  <c r="EC483" i="1"/>
  <c r="EC485" i="1"/>
  <c r="EC486" i="1"/>
  <c r="EC487" i="1"/>
  <c r="EC488" i="1"/>
  <c r="EC489" i="1"/>
  <c r="EC490" i="1"/>
  <c r="EC491" i="1"/>
  <c r="EC492" i="1"/>
  <c r="EC493" i="1"/>
  <c r="EC495" i="1"/>
  <c r="EC496" i="1"/>
  <c r="EC497" i="1"/>
  <c r="EC498" i="1"/>
  <c r="EC499" i="1"/>
  <c r="EC500" i="1"/>
  <c r="EC502" i="1"/>
  <c r="EC503" i="1"/>
  <c r="EC504" i="1"/>
  <c r="EC505" i="1"/>
  <c r="EC506" i="1"/>
  <c r="EC507" i="1"/>
  <c r="EC508" i="1"/>
  <c r="EC510" i="1"/>
  <c r="EC511" i="1"/>
  <c r="EC512" i="1"/>
  <c r="EC514" i="1"/>
  <c r="EC515" i="1"/>
  <c r="EC516" i="1"/>
  <c r="EC517" i="1"/>
  <c r="EC518" i="1"/>
  <c r="EC520" i="1"/>
  <c r="EC521" i="1"/>
  <c r="EC522" i="1"/>
  <c r="EC523" i="1"/>
  <c r="EC524" i="1"/>
  <c r="EC525" i="1"/>
  <c r="EC526" i="1"/>
  <c r="EC527" i="1"/>
  <c r="EC529" i="1"/>
  <c r="EC530" i="1"/>
  <c r="EC531" i="1"/>
  <c r="EC532" i="1"/>
  <c r="EC533" i="1"/>
  <c r="EC534" i="1"/>
  <c r="EC535" i="1"/>
  <c r="EC536" i="1"/>
  <c r="EC538" i="1"/>
  <c r="EC539" i="1"/>
  <c r="EC540" i="1"/>
  <c r="EC541" i="1"/>
  <c r="EC542" i="1"/>
  <c r="EC543" i="1"/>
  <c r="EC544" i="1"/>
  <c r="EC545" i="1"/>
  <c r="EC546" i="1"/>
  <c r="EC548" i="1"/>
  <c r="EC549" i="1"/>
  <c r="EC550" i="1"/>
  <c r="EC551" i="1"/>
  <c r="EC552" i="1"/>
  <c r="EC553" i="1"/>
  <c r="EC554" i="1"/>
  <c r="EC555" i="1"/>
  <c r="EC557" i="1"/>
  <c r="EC558" i="1"/>
  <c r="EC559" i="1"/>
  <c r="EC560" i="1"/>
  <c r="EC561" i="1"/>
  <c r="EC562" i="1"/>
  <c r="EC564" i="1"/>
  <c r="EC565" i="1"/>
  <c r="EC566" i="1"/>
  <c r="EC567" i="1"/>
  <c r="EC569" i="1"/>
  <c r="EC570" i="1"/>
  <c r="EC572" i="1"/>
  <c r="EC573" i="1"/>
  <c r="EC574" i="1"/>
  <c r="EC576" i="1"/>
  <c r="EC577" i="1"/>
  <c r="EC578" i="1"/>
  <c r="EC579" i="1"/>
  <c r="EC580" i="1"/>
  <c r="EC581" i="1"/>
  <c r="EC583" i="1"/>
  <c r="EC584" i="1"/>
  <c r="EC586" i="1"/>
  <c r="EC587" i="1"/>
  <c r="EC588" i="1"/>
  <c r="EC590" i="1"/>
  <c r="EC591" i="1"/>
  <c r="EC592" i="1"/>
  <c r="EC593" i="1"/>
  <c r="EC594" i="1"/>
  <c r="EC595" i="1"/>
  <c r="EC596" i="1"/>
  <c r="EC597" i="1"/>
  <c r="EC598" i="1"/>
  <c r="EC600" i="1"/>
  <c r="EC601" i="1"/>
  <c r="EC603" i="1"/>
  <c r="EC604" i="1"/>
  <c r="EC605" i="1"/>
  <c r="EC607" i="1"/>
  <c r="EC608" i="1"/>
  <c r="EC609" i="1"/>
  <c r="EC610" i="1"/>
  <c r="EC611" i="1"/>
  <c r="EC612" i="1"/>
  <c r="EC614" i="1"/>
  <c r="EC615" i="1"/>
  <c r="EC616" i="1"/>
  <c r="EC617" i="1"/>
  <c r="EC618" i="1"/>
  <c r="EC619" i="1"/>
  <c r="EC620" i="1"/>
  <c r="EC622" i="1"/>
  <c r="EC623" i="1"/>
  <c r="EC624" i="1"/>
  <c r="EC625" i="1"/>
  <c r="EC626" i="1"/>
  <c r="EC629" i="1"/>
  <c r="EC630" i="1"/>
  <c r="EC631" i="1"/>
  <c r="EC632" i="1"/>
  <c r="EC633" i="1"/>
  <c r="EC634" i="1"/>
  <c r="EC636" i="1"/>
  <c r="EC637" i="1"/>
  <c r="EC638" i="1"/>
  <c r="EC639" i="1"/>
  <c r="EC641" i="1"/>
  <c r="EC643" i="1"/>
  <c r="EC644" i="1"/>
  <c r="EC645" i="1"/>
  <c r="EC647" i="1"/>
  <c r="EC648" i="1"/>
  <c r="EC649" i="1"/>
  <c r="EC650" i="1"/>
  <c r="EC651" i="1"/>
  <c r="EC652" i="1"/>
  <c r="EC654" i="1"/>
  <c r="EC655" i="1"/>
  <c r="EC656" i="1"/>
  <c r="EC657" i="1"/>
  <c r="EC658" i="1"/>
  <c r="EC659" i="1"/>
  <c r="EC660" i="1"/>
  <c r="EC662" i="1"/>
  <c r="EC663" i="1"/>
  <c r="EC665" i="1"/>
  <c r="EC666" i="1"/>
  <c r="EC667" i="1"/>
  <c r="EC669" i="1"/>
  <c r="EC670" i="1"/>
  <c r="EC671" i="1"/>
  <c r="EC672" i="1"/>
  <c r="EC674" i="1"/>
  <c r="EC675" i="1"/>
  <c r="EC676" i="1"/>
  <c r="EC677" i="1"/>
  <c r="EC678" i="1"/>
  <c r="EC679" i="1"/>
  <c r="EC681" i="1"/>
  <c r="EC682" i="1"/>
  <c r="EC683" i="1"/>
  <c r="EC684" i="1"/>
  <c r="EC685" i="1"/>
  <c r="EC686" i="1"/>
  <c r="EC687" i="1"/>
  <c r="EC688" i="1"/>
  <c r="EC689" i="1"/>
  <c r="EC690" i="1"/>
  <c r="EC691" i="1"/>
  <c r="EC693" i="1"/>
  <c r="EC694" i="1"/>
  <c r="EC695" i="1"/>
  <c r="EC696" i="1"/>
  <c r="EC698" i="1"/>
  <c r="EC699" i="1"/>
  <c r="EC702" i="1"/>
  <c r="EC703" i="1"/>
  <c r="EC704" i="1"/>
  <c r="EC706" i="1"/>
  <c r="EC707" i="1"/>
  <c r="EC708" i="1"/>
  <c r="EC709" i="1"/>
  <c r="EC711" i="1"/>
  <c r="EC712" i="1"/>
  <c r="EC713" i="1"/>
  <c r="EC714" i="1"/>
  <c r="EC715" i="1"/>
  <c r="EC716" i="1"/>
  <c r="EC717" i="1"/>
  <c r="EC718" i="1"/>
  <c r="EC720" i="1"/>
  <c r="EC721" i="1"/>
  <c r="EC723" i="1"/>
  <c r="EC724" i="1"/>
  <c r="EC725" i="1"/>
  <c r="EC726" i="1"/>
  <c r="EC729" i="1"/>
  <c r="EC731" i="1"/>
  <c r="EC732" i="1"/>
  <c r="EC733" i="1"/>
  <c r="EC734" i="1"/>
  <c r="EC735" i="1"/>
  <c r="EC736" i="1"/>
  <c r="EC738" i="1"/>
  <c r="EC739" i="1"/>
  <c r="EC740" i="1"/>
  <c r="EC741" i="1"/>
  <c r="EC742" i="1"/>
  <c r="EC743" i="1"/>
  <c r="EC744" i="1"/>
  <c r="EC745" i="1"/>
  <c r="EC748" i="1"/>
  <c r="EC750" i="1"/>
  <c r="EC751" i="1"/>
  <c r="EC752" i="1"/>
  <c r="EC753" i="1"/>
  <c r="EC754" i="1"/>
  <c r="EC755" i="1"/>
  <c r="EC756" i="1"/>
  <c r="EC758" i="1"/>
  <c r="EC760" i="1"/>
  <c r="EC761" i="1"/>
  <c r="EC763" i="1"/>
  <c r="EC764" i="1"/>
  <c r="EC766" i="1"/>
  <c r="EC767" i="1"/>
  <c r="EC768" i="1"/>
  <c r="EC769" i="1"/>
  <c r="EC774" i="1"/>
  <c r="EC775" i="1"/>
  <c r="EC777" i="1"/>
  <c r="EC778" i="1"/>
  <c r="EC779" i="1"/>
  <c r="EC780" i="1"/>
  <c r="EC782" i="1"/>
  <c r="EC783" i="1"/>
  <c r="EC784" i="1"/>
  <c r="EC785" i="1"/>
  <c r="EC786" i="1"/>
  <c r="EC787" i="1"/>
  <c r="EC789" i="1"/>
  <c r="EC790" i="1"/>
  <c r="EC791" i="1"/>
  <c r="EC793" i="1"/>
  <c r="EC794" i="1"/>
  <c r="EC795" i="1"/>
  <c r="EC796" i="1"/>
  <c r="EC797" i="1"/>
  <c r="EC798" i="1"/>
  <c r="EC800" i="1"/>
  <c r="EC801" i="1"/>
  <c r="EC802" i="1"/>
  <c r="EC803" i="1"/>
  <c r="EC804" i="1"/>
  <c r="EC805" i="1"/>
  <c r="EC806" i="1"/>
  <c r="EC807" i="1"/>
  <c r="EC808" i="1"/>
  <c r="EC810" i="1"/>
  <c r="EC811" i="1"/>
  <c r="EC812" i="1"/>
  <c r="EC813" i="1"/>
  <c r="EC814" i="1"/>
  <c r="EC815" i="1"/>
  <c r="EC816" i="1"/>
  <c r="EC818" i="1"/>
  <c r="EC819" i="1"/>
  <c r="EC820" i="1"/>
  <c r="EC822" i="1"/>
  <c r="EC823" i="1"/>
  <c r="EC824" i="1"/>
  <c r="EC825" i="1"/>
  <c r="EC826" i="1"/>
  <c r="EC827" i="1"/>
  <c r="EC829" i="1"/>
  <c r="EC830" i="1"/>
  <c r="EC831" i="1"/>
  <c r="EC832" i="1"/>
  <c r="EC834" i="1"/>
  <c r="EC835" i="1"/>
  <c r="EC836" i="1"/>
  <c r="EC839" i="1"/>
  <c r="EC840" i="1"/>
  <c r="EC841" i="1"/>
  <c r="EC842" i="1"/>
  <c r="EC843" i="1"/>
  <c r="EC845" i="1"/>
  <c r="EC846" i="1"/>
  <c r="EC847" i="1"/>
  <c r="EC848" i="1"/>
  <c r="EC849" i="1"/>
  <c r="EC850" i="1"/>
  <c r="EC852" i="1"/>
  <c r="EC854" i="1"/>
  <c r="EC855" i="1"/>
  <c r="EC856" i="1"/>
  <c r="EC857" i="1"/>
  <c r="EC858" i="1"/>
  <c r="EC859" i="1"/>
  <c r="EC860" i="1"/>
  <c r="EC862" i="1"/>
  <c r="EC863" i="1"/>
  <c r="EC864" i="1"/>
  <c r="EC865" i="1"/>
  <c r="EC866" i="1"/>
  <c r="EC867" i="1"/>
  <c r="EC868" i="1"/>
  <c r="EC869" i="1"/>
  <c r="EC870" i="1"/>
  <c r="EC872" i="1"/>
  <c r="EC873" i="1"/>
  <c r="EC874" i="1"/>
  <c r="EC875" i="1"/>
  <c r="EC876" i="1"/>
  <c r="EC877" i="1"/>
  <c r="EC878" i="1"/>
  <c r="EC879" i="1"/>
  <c r="EC880" i="1"/>
  <c r="EC881" i="1"/>
  <c r="EC884" i="1"/>
  <c r="EC886" i="1"/>
  <c r="EC887" i="1"/>
  <c r="EC888" i="1"/>
  <c r="EC889" i="1"/>
  <c r="EC890" i="1"/>
  <c r="EC891" i="1"/>
  <c r="EC892" i="1"/>
  <c r="EC893" i="1"/>
  <c r="EC894" i="1"/>
  <c r="EC895" i="1"/>
  <c r="EC897" i="1"/>
  <c r="EC898" i="1"/>
  <c r="EC899" i="1"/>
  <c r="EC900" i="1"/>
  <c r="EC901" i="1"/>
  <c r="EC902" i="1"/>
  <c r="EC904" i="1"/>
  <c r="EC905" i="1"/>
  <c r="EC906" i="1"/>
  <c r="EC908" i="1"/>
  <c r="EC909" i="1"/>
  <c r="EC910" i="1"/>
  <c r="EC911" i="1"/>
  <c r="EC912" i="1"/>
  <c r="EC913" i="1"/>
  <c r="EC915" i="1"/>
  <c r="EC916" i="1"/>
  <c r="EC917" i="1"/>
  <c r="EC918" i="1"/>
  <c r="EC919" i="1"/>
  <c r="EC920" i="1"/>
  <c r="EC921" i="1"/>
  <c r="EC922" i="1"/>
  <c r="EC923" i="1"/>
  <c r="EC924" i="1"/>
  <c r="EC925" i="1"/>
  <c r="EC927" i="1"/>
  <c r="EC928" i="1"/>
  <c r="EC929" i="1"/>
  <c r="EC930" i="1"/>
  <c r="EC931" i="1"/>
  <c r="EC932" i="1"/>
  <c r="EC933" i="1"/>
  <c r="EC935" i="1"/>
  <c r="EC936" i="1"/>
  <c r="EC937" i="1"/>
  <c r="EC938" i="1"/>
  <c r="EC939" i="1"/>
  <c r="EC940" i="1"/>
  <c r="EC941" i="1"/>
  <c r="EC943" i="1"/>
  <c r="EC944" i="1"/>
  <c r="EC945" i="1"/>
  <c r="EC947" i="1"/>
  <c r="EC948" i="1"/>
  <c r="EC950" i="1"/>
  <c r="EC951" i="1"/>
  <c r="EC952" i="1"/>
  <c r="EC953" i="1"/>
  <c r="EC954" i="1"/>
  <c r="EC955" i="1"/>
  <c r="EC956" i="1"/>
  <c r="EC957" i="1"/>
  <c r="EC958" i="1"/>
  <c r="EC960" i="1"/>
  <c r="EC961" i="1"/>
  <c r="EC962" i="1"/>
  <c r="EC963" i="1"/>
  <c r="EC964" i="1"/>
  <c r="EC965" i="1"/>
  <c r="EC966" i="1"/>
  <c r="EC967" i="1"/>
  <c r="EC969" i="1"/>
  <c r="EC970" i="1"/>
  <c r="EC971" i="1"/>
  <c r="EC972" i="1"/>
  <c r="EC973" i="1"/>
  <c r="EC974" i="1"/>
  <c r="EC975" i="1"/>
  <c r="EC977" i="1"/>
  <c r="EC978" i="1"/>
  <c r="EC979" i="1"/>
  <c r="EC980" i="1"/>
  <c r="EC981" i="1"/>
  <c r="EC983" i="1"/>
  <c r="EC985" i="1"/>
  <c r="EC986" i="1"/>
  <c r="EC987" i="1"/>
  <c r="EC989" i="1"/>
  <c r="EC990" i="1"/>
  <c r="EC991" i="1"/>
  <c r="EC992" i="1"/>
  <c r="EC993" i="1"/>
  <c r="EC994" i="1"/>
  <c r="EC996" i="1"/>
  <c r="EC997" i="1"/>
  <c r="EC998" i="1"/>
  <c r="EC999" i="1"/>
  <c r="EC1000" i="1"/>
  <c r="EC1001" i="1"/>
  <c r="EC1002" i="1"/>
  <c r="EC1003" i="1"/>
  <c r="EC1005" i="1"/>
  <c r="EC1006" i="1"/>
  <c r="EC1007" i="1"/>
  <c r="EC1008" i="1"/>
  <c r="EC1009" i="1"/>
  <c r="EC1010" i="1"/>
  <c r="EC1011" i="1"/>
  <c r="EC1013" i="1"/>
  <c r="EC1014" i="1"/>
  <c r="EC1015" i="1"/>
  <c r="EC1016" i="1"/>
  <c r="EC1017" i="1"/>
  <c r="EC1018" i="1"/>
  <c r="EC1019" i="1"/>
  <c r="EC1020" i="1"/>
  <c r="EC1021" i="1"/>
  <c r="EC1022" i="1"/>
  <c r="EC1023" i="1"/>
  <c r="EC1025" i="1"/>
  <c r="EC1026" i="1"/>
  <c r="EC1027" i="1"/>
  <c r="EC1028" i="1"/>
  <c r="EC1029" i="1"/>
  <c r="EC1030" i="1"/>
  <c r="EC1031" i="1"/>
  <c r="EC1032" i="1"/>
  <c r="EC1033" i="1"/>
  <c r="EC1035" i="1"/>
  <c r="EC1036" i="1"/>
  <c r="EC1037" i="1"/>
  <c r="EC1038" i="1"/>
  <c r="EC1039" i="1"/>
  <c r="EC1040" i="1"/>
  <c r="EC1041" i="1"/>
  <c r="EC1042" i="1"/>
  <c r="EC1043" i="1"/>
  <c r="EC1044" i="1"/>
  <c r="EC1046" i="1"/>
  <c r="EC1047" i="1"/>
  <c r="EC1048" i="1"/>
  <c r="EC1051" i="1"/>
  <c r="EC1053" i="1"/>
  <c r="EC1054" i="1"/>
  <c r="EC1055" i="1"/>
  <c r="EC1056" i="1"/>
  <c r="EC1057" i="1"/>
  <c r="EC1059" i="1"/>
  <c r="EC1060" i="1"/>
  <c r="EC1061" i="1"/>
  <c r="EC1062" i="1"/>
  <c r="EC1063" i="1"/>
  <c r="EC1064" i="1"/>
  <c r="EC1066" i="1"/>
  <c r="EC1067" i="1"/>
  <c r="EC1068" i="1"/>
  <c r="EC1069" i="1"/>
  <c r="EC1070" i="1"/>
  <c r="EC1071" i="1"/>
  <c r="EC1072" i="1"/>
  <c r="EC1073" i="1"/>
  <c r="EC1075" i="1"/>
  <c r="EC1076" i="1"/>
  <c r="EC1077" i="1"/>
  <c r="EC1079" i="1"/>
  <c r="EC1080" i="1"/>
  <c r="EC1081" i="1"/>
  <c r="EC1082" i="1"/>
  <c r="EC1083" i="1"/>
  <c r="EC1084" i="1"/>
  <c r="EC1086" i="1"/>
  <c r="EC1087" i="1"/>
  <c r="EC1088" i="1"/>
  <c r="EC1089" i="1"/>
  <c r="EC1090" i="1"/>
  <c r="EC1091" i="1"/>
  <c r="EC1092" i="1"/>
  <c r="EC1093" i="1"/>
  <c r="EC1094" i="1"/>
  <c r="EC1096" i="1"/>
  <c r="EC1097" i="1"/>
  <c r="EC1098" i="1"/>
  <c r="EC1099" i="1"/>
  <c r="EC1100" i="1"/>
  <c r="EC1101" i="1"/>
  <c r="EC1102" i="1"/>
  <c r="EC1103" i="1"/>
  <c r="EC1104" i="1"/>
  <c r="EC1105" i="1"/>
  <c r="EC1106" i="1"/>
  <c r="EC1108" i="1"/>
  <c r="EC1109" i="1"/>
  <c r="EC1110" i="1"/>
  <c r="EC1111" i="1"/>
  <c r="EC1112" i="1"/>
  <c r="EC1113" i="1"/>
  <c r="EC1115" i="1"/>
  <c r="EC1116" i="1"/>
  <c r="EC1117" i="1"/>
  <c r="EC1118" i="1"/>
  <c r="EC1120" i="1"/>
  <c r="EC1122" i="1"/>
  <c r="EC1123" i="1"/>
  <c r="EC1124" i="1"/>
  <c r="EC1126" i="1"/>
  <c r="EC1127" i="1"/>
  <c r="EC1128" i="1"/>
  <c r="EC1129" i="1"/>
  <c r="EC1130" i="1"/>
  <c r="EC1132" i="1"/>
  <c r="EC1133" i="1"/>
  <c r="EC1135" i="1"/>
  <c r="EC1136" i="1"/>
  <c r="EC1137" i="1"/>
  <c r="EC1138" i="1"/>
  <c r="EC1139" i="1"/>
  <c r="EC1140" i="1"/>
  <c r="EC1142" i="1"/>
  <c r="EC1143" i="1"/>
  <c r="EC1144" i="1"/>
  <c r="EC1145" i="1"/>
  <c r="EC1146" i="1"/>
  <c r="EC1147" i="1"/>
  <c r="EC1148" i="1"/>
  <c r="EC1149" i="1"/>
  <c r="EC1150" i="1"/>
  <c r="EC1152" i="1"/>
  <c r="EC1153" i="1"/>
  <c r="EC1154" i="1"/>
  <c r="EC1155" i="1"/>
  <c r="EC1157" i="1"/>
  <c r="EC1158" i="1"/>
  <c r="EC1159" i="1"/>
  <c r="EC1160" i="1"/>
  <c r="EC1161" i="1"/>
  <c r="EC1162" i="1"/>
  <c r="EC1163" i="1"/>
  <c r="EC1164" i="1"/>
  <c r="EC1165" i="1"/>
  <c r="EC1167" i="1"/>
  <c r="EC1168" i="1"/>
  <c r="EC1169" i="1"/>
  <c r="EC1170" i="1"/>
  <c r="EC1172" i="1"/>
  <c r="EC1173" i="1"/>
  <c r="EC1174" i="1"/>
  <c r="EC1175" i="1"/>
  <c r="EC1177" i="1"/>
  <c r="EC1178" i="1"/>
  <c r="EC1179" i="1"/>
  <c r="EC1180" i="1"/>
  <c r="EC1181" i="1"/>
  <c r="EC1182" i="1"/>
  <c r="EC1183" i="1"/>
  <c r="EC1185" i="1"/>
  <c r="EC1186" i="1"/>
  <c r="EC1187" i="1"/>
  <c r="EC1188" i="1"/>
  <c r="EC1189" i="1"/>
  <c r="EC1190" i="1"/>
  <c r="EC1192" i="1"/>
  <c r="EC1194" i="1"/>
  <c r="EC1195" i="1"/>
  <c r="EC1196" i="1"/>
  <c r="EC1199" i="1"/>
  <c r="EC1201" i="1"/>
  <c r="EC1202" i="1"/>
  <c r="EC1203" i="1"/>
  <c r="EC1204" i="1"/>
  <c r="EC1205" i="1"/>
  <c r="EC1206" i="1"/>
  <c r="EC1207" i="1"/>
  <c r="EC1209" i="1"/>
  <c r="EC1210" i="1"/>
  <c r="EC1211" i="1"/>
  <c r="EC1212" i="1"/>
  <c r="EC1213" i="1"/>
  <c r="EC1214" i="1"/>
  <c r="EC1215" i="1"/>
  <c r="EC1216" i="1"/>
  <c r="EC1217" i="1"/>
  <c r="EC1219" i="1"/>
  <c r="EC1220" i="1"/>
  <c r="EC1222" i="1"/>
  <c r="EC1223" i="1"/>
  <c r="EC1224" i="1"/>
  <c r="EC1225" i="1"/>
  <c r="EC1226" i="1"/>
  <c r="EC1227" i="1"/>
  <c r="EC1229" i="1"/>
  <c r="EC1230" i="1"/>
  <c r="EC1231" i="1"/>
  <c r="EC1232" i="1"/>
  <c r="EC1233" i="1"/>
  <c r="EC1234" i="1"/>
  <c r="EC1235" i="1"/>
  <c r="EC1236" i="1"/>
  <c r="EC1238" i="1"/>
  <c r="EC1240" i="1"/>
  <c r="EC1241" i="1"/>
  <c r="EC1242" i="1"/>
  <c r="EC1244" i="1"/>
  <c r="EC1245" i="1"/>
  <c r="EC1246" i="1"/>
  <c r="EC1247" i="1"/>
  <c r="EC1248" i="1"/>
  <c r="EC1250" i="1"/>
  <c r="EC1251" i="1"/>
  <c r="EC1252" i="1"/>
  <c r="EC1253" i="1"/>
  <c r="EC1254" i="1"/>
  <c r="EC1255" i="1"/>
  <c r="EC1256" i="1"/>
  <c r="EC1257" i="1"/>
  <c r="EC1258" i="1"/>
  <c r="EC1259" i="1"/>
  <c r="EC1261" i="1"/>
  <c r="EC1262" i="1"/>
  <c r="EC1263" i="1"/>
  <c r="EC1265" i="1"/>
  <c r="EC1266" i="1"/>
  <c r="EC1267" i="1"/>
  <c r="EC1268" i="1"/>
  <c r="EC1272" i="1"/>
  <c r="EC1274" i="1"/>
  <c r="EC1275" i="1"/>
  <c r="EC1276" i="1"/>
  <c r="EC1277" i="1"/>
  <c r="EC1278" i="1"/>
  <c r="EC1279" i="1"/>
  <c r="EC1280" i="1"/>
  <c r="EC1282" i="1"/>
  <c r="EC1283" i="1"/>
  <c r="EC1284" i="1"/>
  <c r="EC1285" i="1"/>
  <c r="EC1286" i="1"/>
  <c r="EC1287" i="1"/>
  <c r="EC1288" i="1"/>
  <c r="EC1289" i="1"/>
  <c r="EC1291" i="1"/>
  <c r="EC1292" i="1"/>
  <c r="EC1293" i="1"/>
  <c r="EC1294" i="1"/>
  <c r="EC1295" i="1"/>
  <c r="EC1296" i="1"/>
  <c r="EC1297" i="1"/>
  <c r="EC1298" i="1"/>
  <c r="EC1299" i="1"/>
  <c r="EC1300" i="1"/>
  <c r="EC1301" i="1"/>
  <c r="EC1304" i="1"/>
  <c r="EC1305" i="1"/>
  <c r="EC1306" i="1"/>
  <c r="EC1307" i="1"/>
  <c r="EC1308" i="1"/>
  <c r="EC1309" i="1"/>
  <c r="EC1310" i="1"/>
  <c r="EC1311" i="1"/>
  <c r="EC1312" i="1"/>
  <c r="EC1313" i="1"/>
  <c r="ED67" i="1"/>
  <c r="ED68" i="1"/>
  <c r="ED69" i="1"/>
  <c r="ED70" i="1"/>
  <c r="ED71" i="1"/>
  <c r="ED72" i="1"/>
  <c r="ED73" i="1"/>
  <c r="ED74" i="1"/>
  <c r="ED76" i="1"/>
  <c r="ED77" i="1"/>
  <c r="ED78" i="1"/>
  <c r="ED79" i="1"/>
  <c r="ED80" i="1"/>
  <c r="ED81" i="1"/>
  <c r="ED82" i="1"/>
  <c r="ED84" i="1"/>
  <c r="ED85" i="1"/>
  <c r="ED86" i="1"/>
  <c r="ED87" i="1"/>
  <c r="ED88" i="1"/>
  <c r="ED89" i="1"/>
  <c r="ED90" i="1"/>
  <c r="ED92" i="1"/>
  <c r="ED93" i="1"/>
  <c r="ED94" i="1"/>
  <c r="ED95" i="1"/>
  <c r="ED96" i="1"/>
  <c r="ED97" i="1"/>
  <c r="ED98" i="1"/>
  <c r="ED101" i="1"/>
  <c r="ED103" i="1"/>
  <c r="ED104" i="1"/>
  <c r="ED105" i="1"/>
  <c r="ED106" i="1"/>
  <c r="ED107" i="1"/>
  <c r="ED108" i="1"/>
  <c r="ED109" i="1"/>
  <c r="ED112" i="1"/>
  <c r="ED113" i="1"/>
  <c r="ED114" i="1"/>
  <c r="ED115" i="1"/>
  <c r="ED116" i="1"/>
  <c r="ED117" i="1"/>
  <c r="ED118" i="1"/>
  <c r="ED119" i="1"/>
  <c r="ED120" i="1"/>
  <c r="ED122" i="1"/>
  <c r="ED124" i="1"/>
  <c r="ED125" i="1"/>
  <c r="ED126" i="1"/>
  <c r="ED129" i="1"/>
  <c r="ED131" i="1"/>
  <c r="ED132" i="1"/>
  <c r="ED133" i="1"/>
  <c r="ED136" i="1"/>
  <c r="ED138" i="1"/>
  <c r="ED139" i="1"/>
  <c r="ED140" i="1"/>
  <c r="ED141" i="1"/>
  <c r="ED142" i="1"/>
  <c r="ED144" i="1"/>
  <c r="ED145" i="1"/>
  <c r="ED146" i="1"/>
  <c r="ED147" i="1"/>
  <c r="ED148" i="1"/>
  <c r="ED149" i="1"/>
  <c r="ED151" i="1"/>
  <c r="ED152" i="1"/>
  <c r="ED153" i="1"/>
  <c r="ED154" i="1"/>
  <c r="ED155" i="1"/>
  <c r="ED156" i="1"/>
  <c r="ED157" i="1"/>
  <c r="ED158" i="1"/>
  <c r="ED160" i="1"/>
  <c r="ED161" i="1"/>
  <c r="ED162" i="1"/>
  <c r="ED163" i="1"/>
  <c r="ED165" i="1"/>
  <c r="ED166" i="1"/>
  <c r="ED167" i="1"/>
  <c r="ED168" i="1"/>
  <c r="ED169" i="1"/>
  <c r="ED170" i="1"/>
  <c r="ED172" i="1"/>
  <c r="ED173" i="1"/>
  <c r="ED175" i="1"/>
  <c r="ED176" i="1"/>
  <c r="ED177" i="1"/>
  <c r="ED178" i="1"/>
  <c r="ED179" i="1"/>
  <c r="ED180" i="1"/>
  <c r="ED181" i="1"/>
  <c r="ED182" i="1"/>
  <c r="ED183" i="1"/>
  <c r="ED184" i="1"/>
  <c r="ED186" i="1"/>
  <c r="ED187" i="1"/>
  <c r="ED188" i="1"/>
  <c r="ED189" i="1"/>
  <c r="ED190" i="1"/>
  <c r="ED191" i="1"/>
  <c r="ED192" i="1"/>
  <c r="ED193" i="1"/>
  <c r="ED195" i="1"/>
  <c r="ED196" i="1"/>
  <c r="ED197" i="1"/>
  <c r="ED198" i="1"/>
  <c r="ED200" i="1"/>
  <c r="ED201" i="1"/>
  <c r="ED202" i="1"/>
  <c r="ED203" i="1"/>
  <c r="ED204" i="1"/>
  <c r="ED205" i="1"/>
  <c r="ED206" i="1"/>
  <c r="ED207" i="1"/>
  <c r="ED209" i="1"/>
  <c r="ED210" i="1"/>
  <c r="ED211" i="1"/>
  <c r="ED212" i="1"/>
  <c r="ED213" i="1"/>
  <c r="ED214" i="1"/>
  <c r="ED215" i="1"/>
  <c r="ED217" i="1"/>
  <c r="ED218" i="1"/>
  <c r="ED219" i="1"/>
  <c r="ED220" i="1"/>
  <c r="ED221" i="1"/>
  <c r="ED222" i="1"/>
  <c r="ED224" i="1"/>
  <c r="ED225" i="1"/>
  <c r="ED226" i="1"/>
  <c r="ED227" i="1"/>
  <c r="ED228" i="1"/>
  <c r="ED229" i="1"/>
  <c r="ED231" i="1"/>
  <c r="ED232" i="1"/>
  <c r="ED233" i="1"/>
  <c r="ED234" i="1"/>
  <c r="ED235" i="1"/>
  <c r="ED236" i="1"/>
  <c r="ED237" i="1"/>
  <c r="ED238" i="1"/>
  <c r="ED240" i="1"/>
  <c r="ED241" i="1"/>
  <c r="ED242" i="1"/>
  <c r="ED243" i="1"/>
  <c r="ED244" i="1"/>
  <c r="ED245" i="1"/>
  <c r="ED246" i="1"/>
  <c r="ED247" i="1"/>
  <c r="ED249" i="1"/>
  <c r="ED250" i="1"/>
  <c r="ED251" i="1"/>
  <c r="ED252" i="1"/>
  <c r="ED253" i="1"/>
  <c r="ED254" i="1"/>
  <c r="ED255" i="1"/>
  <c r="ED256" i="1"/>
  <c r="ED258" i="1"/>
  <c r="ED259" i="1"/>
  <c r="ED260" i="1"/>
  <c r="ED261" i="1"/>
  <c r="ED262" i="1"/>
  <c r="ED263" i="1"/>
  <c r="ED264" i="1"/>
  <c r="ED265" i="1"/>
  <c r="ED266" i="1"/>
  <c r="ED268" i="1"/>
  <c r="ED269" i="1"/>
  <c r="ED270" i="1"/>
  <c r="ED271" i="1"/>
  <c r="ED272" i="1"/>
  <c r="ED273" i="1"/>
  <c r="ED274" i="1"/>
  <c r="ED275" i="1"/>
  <c r="ED276" i="1"/>
  <c r="ED278" i="1"/>
  <c r="ED279" i="1"/>
  <c r="ED280" i="1"/>
  <c r="ED281" i="1"/>
  <c r="ED282" i="1"/>
  <c r="ED283" i="1"/>
  <c r="ED285" i="1"/>
  <c r="ED286" i="1"/>
  <c r="ED287" i="1"/>
  <c r="ED288" i="1"/>
  <c r="ED291" i="1"/>
  <c r="ED292" i="1"/>
  <c r="ED293" i="1"/>
  <c r="ED294" i="1"/>
  <c r="ED296" i="1"/>
  <c r="ED297" i="1"/>
  <c r="ED298" i="1"/>
  <c r="ED299" i="1"/>
  <c r="ED300" i="1"/>
  <c r="ED301" i="1"/>
  <c r="ED302" i="1"/>
  <c r="ED303" i="1"/>
  <c r="ED305" i="1"/>
  <c r="ED306" i="1"/>
  <c r="ED307" i="1"/>
  <c r="ED308" i="1"/>
  <c r="ED309" i="1"/>
  <c r="ED310" i="1"/>
  <c r="ED311" i="1"/>
  <c r="ED312" i="1"/>
  <c r="ED313" i="1"/>
  <c r="ED314" i="1"/>
  <c r="ED316" i="1"/>
  <c r="ED317" i="1"/>
  <c r="ED318" i="1"/>
  <c r="ED319" i="1"/>
  <c r="ED320" i="1"/>
  <c r="ED321" i="1"/>
  <c r="ED322" i="1"/>
  <c r="ED323" i="1"/>
  <c r="ED324" i="1"/>
  <c r="ED325" i="1"/>
  <c r="ED326" i="1"/>
  <c r="ED327" i="1"/>
  <c r="ED329" i="1"/>
  <c r="ED330" i="1"/>
  <c r="ED332" i="1"/>
  <c r="ED333" i="1"/>
  <c r="ED334" i="1"/>
  <c r="ED335" i="1"/>
  <c r="ED336" i="1"/>
  <c r="ED337" i="1"/>
  <c r="ED338" i="1"/>
  <c r="ED340" i="1"/>
  <c r="ED341" i="1"/>
  <c r="ED342" i="1"/>
  <c r="ED343" i="1"/>
  <c r="ED344" i="1"/>
  <c r="ED345" i="1"/>
  <c r="ED346" i="1"/>
  <c r="ED347" i="1"/>
  <c r="ED348" i="1"/>
  <c r="ED349" i="1"/>
  <c r="ED351" i="1"/>
  <c r="ED352" i="1"/>
  <c r="ED353" i="1"/>
  <c r="ED354" i="1"/>
  <c r="ED355" i="1"/>
  <c r="ED356" i="1"/>
  <c r="ED358" i="1"/>
  <c r="ED359" i="1"/>
  <c r="ED360" i="1"/>
  <c r="ED361" i="1"/>
  <c r="ED362" i="1"/>
  <c r="ED363" i="1"/>
  <c r="ED364" i="1"/>
  <c r="ED365" i="1"/>
  <c r="ED367" i="1"/>
  <c r="ED368" i="1"/>
  <c r="ED369" i="1"/>
  <c r="ED371" i="1"/>
  <c r="ED372" i="1"/>
  <c r="ED373" i="1"/>
  <c r="ED375" i="1"/>
  <c r="ED376" i="1"/>
  <c r="ED378" i="1"/>
  <c r="ED379" i="1"/>
  <c r="ED380" i="1"/>
  <c r="ED381" i="1"/>
  <c r="ED382" i="1"/>
  <c r="ED383" i="1"/>
  <c r="ED385" i="1"/>
  <c r="ED386" i="1"/>
  <c r="ED387" i="1"/>
  <c r="ED388" i="1"/>
  <c r="ED389" i="1"/>
  <c r="ED390" i="1"/>
  <c r="ED391" i="1"/>
  <c r="ED393" i="1"/>
  <c r="ED394" i="1"/>
  <c r="ED395" i="1"/>
  <c r="ED396" i="1"/>
  <c r="ED397" i="1"/>
  <c r="ED398" i="1"/>
  <c r="ED399" i="1"/>
  <c r="ED400" i="1"/>
  <c r="ED401" i="1"/>
  <c r="ED403" i="1"/>
  <c r="ED404" i="1"/>
  <c r="ED405" i="1"/>
  <c r="ED406" i="1"/>
  <c r="ED407" i="1"/>
  <c r="ED408" i="1"/>
  <c r="ED409" i="1"/>
  <c r="ED410" i="1"/>
  <c r="ED411" i="1"/>
  <c r="ED413" i="1"/>
  <c r="ED414" i="1"/>
  <c r="ED415" i="1"/>
  <c r="ED416" i="1"/>
  <c r="ED417" i="1"/>
  <c r="ED418" i="1"/>
  <c r="ED421" i="1"/>
  <c r="ED422" i="1"/>
  <c r="ED423" i="1"/>
  <c r="ED424" i="1"/>
  <c r="ED425" i="1"/>
  <c r="ED426" i="1"/>
  <c r="ED427" i="1"/>
  <c r="ED428" i="1"/>
  <c r="ED430" i="1"/>
  <c r="ED431" i="1"/>
  <c r="ED432" i="1"/>
  <c r="ED433" i="1"/>
  <c r="ED434" i="1"/>
  <c r="ED435" i="1"/>
  <c r="ED436" i="1"/>
  <c r="ED438" i="1"/>
  <c r="ED439" i="1"/>
  <c r="ED440" i="1"/>
  <c r="ED441" i="1"/>
  <c r="ED442" i="1"/>
  <c r="ED443" i="1"/>
  <c r="ED445" i="1"/>
  <c r="ED446" i="1"/>
  <c r="ED447" i="1"/>
  <c r="ED448" i="1"/>
  <c r="ED449" i="1"/>
  <c r="ED450" i="1"/>
  <c r="ED451" i="1"/>
  <c r="ED452" i="1"/>
  <c r="ED454" i="1"/>
  <c r="ED455" i="1"/>
  <c r="ED456" i="1"/>
  <c r="ED457" i="1"/>
  <c r="ED460" i="1"/>
  <c r="ED461" i="1"/>
  <c r="ED462" i="1"/>
  <c r="ED463" i="1"/>
  <c r="ED464" i="1"/>
  <c r="ED465" i="1"/>
  <c r="ED466" i="1"/>
  <c r="ED468" i="1"/>
  <c r="ED469" i="1"/>
  <c r="ED470" i="1"/>
  <c r="ED471" i="1"/>
  <c r="ED472" i="1"/>
  <c r="ED473" i="1"/>
  <c r="ED474" i="1"/>
  <c r="ED475" i="1"/>
  <c r="ED476" i="1"/>
  <c r="ED478" i="1"/>
  <c r="ED479" i="1"/>
  <c r="ED480" i="1"/>
  <c r="ED481" i="1"/>
  <c r="ED482" i="1"/>
  <c r="ED483" i="1"/>
  <c r="ED485" i="1"/>
  <c r="ED486" i="1"/>
  <c r="ED487" i="1"/>
  <c r="ED488" i="1"/>
  <c r="ED489" i="1"/>
  <c r="ED490" i="1"/>
  <c r="ED491" i="1"/>
  <c r="ED492" i="1"/>
  <c r="ED493" i="1"/>
  <c r="ED495" i="1"/>
  <c r="ED496" i="1"/>
  <c r="ED497" i="1"/>
  <c r="ED498" i="1"/>
  <c r="ED499" i="1"/>
  <c r="ED500" i="1"/>
  <c r="ED502" i="1"/>
  <c r="ED503" i="1"/>
  <c r="ED504" i="1"/>
  <c r="ED505" i="1"/>
  <c r="ED506" i="1"/>
  <c r="ED507" i="1"/>
  <c r="ED508" i="1"/>
  <c r="ED510" i="1"/>
  <c r="ED511" i="1"/>
  <c r="ED512" i="1"/>
  <c r="ED514" i="1"/>
  <c r="ED515" i="1"/>
  <c r="ED516" i="1"/>
  <c r="ED517" i="1"/>
  <c r="ED518" i="1"/>
  <c r="ED520" i="1"/>
  <c r="ED521" i="1"/>
  <c r="ED522" i="1"/>
  <c r="ED523" i="1"/>
  <c r="ED524" i="1"/>
  <c r="ED525" i="1"/>
  <c r="ED526" i="1"/>
  <c r="ED527" i="1"/>
  <c r="ED529" i="1"/>
  <c r="ED530" i="1"/>
  <c r="ED531" i="1"/>
  <c r="ED532" i="1"/>
  <c r="ED533" i="1"/>
  <c r="ED534" i="1"/>
  <c r="ED535" i="1"/>
  <c r="ED536" i="1"/>
  <c r="ED538" i="1"/>
  <c r="ED539" i="1"/>
  <c r="ED540" i="1"/>
  <c r="ED541" i="1"/>
  <c r="ED542" i="1"/>
  <c r="ED543" i="1"/>
  <c r="ED544" i="1"/>
  <c r="ED545" i="1"/>
  <c r="ED546" i="1"/>
  <c r="ED548" i="1"/>
  <c r="ED549" i="1"/>
  <c r="ED550" i="1"/>
  <c r="ED551" i="1"/>
  <c r="ED552" i="1"/>
  <c r="ED553" i="1"/>
  <c r="ED554" i="1"/>
  <c r="ED555" i="1"/>
  <c r="ED557" i="1"/>
  <c r="ED558" i="1"/>
  <c r="ED559" i="1"/>
  <c r="ED560" i="1"/>
  <c r="ED561" i="1"/>
  <c r="ED562" i="1"/>
  <c r="ED563" i="1"/>
  <c r="ED564" i="1"/>
  <c r="ED565" i="1"/>
  <c r="ED566" i="1"/>
  <c r="ED567" i="1"/>
  <c r="ED569" i="1"/>
  <c r="ED570" i="1"/>
  <c r="ED572" i="1"/>
  <c r="ED573" i="1"/>
  <c r="ED574" i="1"/>
  <c r="ED576" i="1"/>
  <c r="ED577" i="1"/>
  <c r="ED578" i="1"/>
  <c r="ED579" i="1"/>
  <c r="ED580" i="1"/>
  <c r="ED581" i="1"/>
  <c r="ED583" i="1"/>
  <c r="ED584" i="1"/>
  <c r="ED586" i="1"/>
  <c r="ED587" i="1"/>
  <c r="ED588" i="1"/>
  <c r="ED590" i="1"/>
  <c r="ED591" i="1"/>
  <c r="ED592" i="1"/>
  <c r="ED593" i="1"/>
  <c r="ED594" i="1"/>
  <c r="ED595" i="1"/>
  <c r="ED596" i="1"/>
  <c r="ED597" i="1"/>
  <c r="ED598" i="1"/>
  <c r="ED600" i="1"/>
  <c r="ED601" i="1"/>
  <c r="ED603" i="1"/>
  <c r="ED604" i="1"/>
  <c r="ED605" i="1"/>
  <c r="ED607" i="1"/>
  <c r="ED608" i="1"/>
  <c r="ED609" i="1"/>
  <c r="ED610" i="1"/>
  <c r="ED611" i="1"/>
  <c r="ED612" i="1"/>
  <c r="ED614" i="1"/>
  <c r="ED615" i="1"/>
  <c r="ED616" i="1"/>
  <c r="ED617" i="1"/>
  <c r="ED618" i="1"/>
  <c r="ED619" i="1"/>
  <c r="ED620" i="1"/>
  <c r="ED622" i="1"/>
  <c r="ED623" i="1"/>
  <c r="ED624" i="1"/>
  <c r="ED625" i="1"/>
  <c r="ED626" i="1"/>
  <c r="ED628" i="1"/>
  <c r="ED629" i="1"/>
  <c r="ED630" i="1"/>
  <c r="ED631" i="1"/>
  <c r="ED632" i="1"/>
  <c r="ED633" i="1"/>
  <c r="ED634" i="1"/>
  <c r="ED636" i="1"/>
  <c r="ED637" i="1"/>
  <c r="ED638" i="1"/>
  <c r="ED639" i="1"/>
  <c r="ED641" i="1"/>
  <c r="ED643" i="1"/>
  <c r="ED644" i="1"/>
  <c r="ED645" i="1"/>
  <c r="ED647" i="1"/>
  <c r="ED648" i="1"/>
  <c r="ED649" i="1"/>
  <c r="ED650" i="1"/>
  <c r="ED651" i="1"/>
  <c r="ED652" i="1"/>
  <c r="ED654" i="1"/>
  <c r="ED655" i="1"/>
  <c r="ED656" i="1"/>
  <c r="ED657" i="1"/>
  <c r="ED658" i="1"/>
  <c r="ED659" i="1"/>
  <c r="ED660" i="1"/>
  <c r="ED662" i="1"/>
  <c r="ED663" i="1"/>
  <c r="ED665" i="1"/>
  <c r="ED666" i="1"/>
  <c r="ED667" i="1"/>
  <c r="ED669" i="1"/>
  <c r="ED670" i="1"/>
  <c r="ED671" i="1"/>
  <c r="ED672" i="1"/>
  <c r="ED674" i="1"/>
  <c r="ED675" i="1"/>
  <c r="ED676" i="1"/>
  <c r="ED677" i="1"/>
  <c r="ED678" i="1"/>
  <c r="ED679" i="1"/>
  <c r="ED681" i="1"/>
  <c r="ED682" i="1"/>
  <c r="ED683" i="1"/>
  <c r="ED684" i="1"/>
  <c r="ED685" i="1"/>
  <c r="ED686" i="1"/>
  <c r="ED687" i="1"/>
  <c r="ED688" i="1"/>
  <c r="ED689" i="1"/>
  <c r="ED690" i="1"/>
  <c r="ED691" i="1"/>
  <c r="ED693" i="1"/>
  <c r="ED694" i="1"/>
  <c r="ED695" i="1"/>
  <c r="ED696" i="1"/>
  <c r="ED698" i="1"/>
  <c r="ED699" i="1"/>
  <c r="ED702" i="1"/>
  <c r="ED703" i="1"/>
  <c r="ED704" i="1"/>
  <c r="ED706" i="1"/>
  <c r="ED707" i="1"/>
  <c r="ED708" i="1"/>
  <c r="ED709" i="1"/>
  <c r="ED711" i="1"/>
  <c r="ED712" i="1"/>
  <c r="ED713" i="1"/>
  <c r="ED714" i="1"/>
  <c r="ED715" i="1"/>
  <c r="ED716" i="1"/>
  <c r="ED717" i="1"/>
  <c r="ED718" i="1"/>
  <c r="ED720" i="1"/>
  <c r="ED721" i="1"/>
  <c r="ED723" i="1"/>
  <c r="ED724" i="1"/>
  <c r="ED725" i="1"/>
  <c r="ED726" i="1"/>
  <c r="ED729" i="1"/>
  <c r="ED731" i="1"/>
  <c r="ED732" i="1"/>
  <c r="ED733" i="1"/>
  <c r="ED734" i="1"/>
  <c r="ED735" i="1"/>
  <c r="ED736" i="1"/>
  <c r="ED738" i="1"/>
  <c r="ED739" i="1"/>
  <c r="ED740" i="1"/>
  <c r="ED741" i="1"/>
  <c r="ED742" i="1"/>
  <c r="ED743" i="1"/>
  <c r="ED744" i="1"/>
  <c r="ED745" i="1"/>
  <c r="ED748" i="1"/>
  <c r="ED750" i="1"/>
  <c r="ED751" i="1"/>
  <c r="ED752" i="1"/>
  <c r="ED753" i="1"/>
  <c r="ED754" i="1"/>
  <c r="ED755" i="1"/>
  <c r="ED756" i="1"/>
  <c r="ED758" i="1"/>
  <c r="ED760" i="1"/>
  <c r="ED761" i="1"/>
  <c r="ED763" i="1"/>
  <c r="ED764" i="1"/>
  <c r="ED766" i="1"/>
  <c r="ED767" i="1"/>
  <c r="ED768" i="1"/>
  <c r="ED769" i="1"/>
  <c r="ED774" i="1"/>
  <c r="ED775" i="1"/>
  <c r="ED777" i="1"/>
  <c r="ED778" i="1"/>
  <c r="ED779" i="1"/>
  <c r="ED780" i="1"/>
  <c r="ED782" i="1"/>
  <c r="ED783" i="1"/>
  <c r="ED784" i="1"/>
  <c r="ED785" i="1"/>
  <c r="ED786" i="1"/>
  <c r="ED787" i="1"/>
  <c r="ED789" i="1"/>
  <c r="ED790" i="1"/>
  <c r="ED791" i="1"/>
  <c r="ED793" i="1"/>
  <c r="ED794" i="1"/>
  <c r="ED795" i="1"/>
  <c r="ED796" i="1"/>
  <c r="ED797" i="1"/>
  <c r="ED798" i="1"/>
  <c r="ED800" i="1"/>
  <c r="ED801" i="1"/>
  <c r="ED802" i="1"/>
  <c r="ED803" i="1"/>
  <c r="ED804" i="1"/>
  <c r="ED805" i="1"/>
  <c r="ED806" i="1"/>
  <c r="ED807" i="1"/>
  <c r="ED808" i="1"/>
  <c r="ED810" i="1"/>
  <c r="ED811" i="1"/>
  <c r="ED812" i="1"/>
  <c r="ED813" i="1"/>
  <c r="ED814" i="1"/>
  <c r="ED815" i="1"/>
  <c r="ED816" i="1"/>
  <c r="ED818" i="1"/>
  <c r="ED819" i="1"/>
  <c r="ED820" i="1"/>
  <c r="ED822" i="1"/>
  <c r="ED823" i="1"/>
  <c r="ED824" i="1"/>
  <c r="ED825" i="1"/>
  <c r="ED826" i="1"/>
  <c r="ED827" i="1"/>
  <c r="ED829" i="1"/>
  <c r="ED830" i="1"/>
  <c r="ED831" i="1"/>
  <c r="ED832" i="1"/>
  <c r="ED834" i="1"/>
  <c r="ED835" i="1"/>
  <c r="ED836" i="1"/>
  <c r="ED838" i="1"/>
  <c r="ED839" i="1"/>
  <c r="ED840" i="1"/>
  <c r="ED841" i="1"/>
  <c r="ED842" i="1"/>
  <c r="ED843" i="1"/>
  <c r="ED845" i="1"/>
  <c r="ED846" i="1"/>
  <c r="ED847" i="1"/>
  <c r="ED848" i="1"/>
  <c r="ED849" i="1"/>
  <c r="ED850" i="1"/>
  <c r="ED852" i="1"/>
  <c r="ED854" i="1"/>
  <c r="ED855" i="1"/>
  <c r="ED856" i="1"/>
  <c r="ED857" i="1"/>
  <c r="ED859" i="1"/>
  <c r="ED860" i="1"/>
  <c r="ED862" i="1"/>
  <c r="ED863" i="1"/>
  <c r="ED864" i="1"/>
  <c r="ED865" i="1"/>
  <c r="ED866" i="1"/>
  <c r="ED867" i="1"/>
  <c r="ED868" i="1"/>
  <c r="ED869" i="1"/>
  <c r="ED870" i="1"/>
  <c r="ED872" i="1"/>
  <c r="ED873" i="1"/>
  <c r="ED874" i="1"/>
  <c r="ED875" i="1"/>
  <c r="ED876" i="1"/>
  <c r="ED877" i="1"/>
  <c r="ED878" i="1"/>
  <c r="ED879" i="1"/>
  <c r="ED880" i="1"/>
  <c r="ED881" i="1"/>
  <c r="ED884" i="1"/>
  <c r="ED886" i="1"/>
  <c r="ED887" i="1"/>
  <c r="ED888" i="1"/>
  <c r="ED889" i="1"/>
  <c r="ED890" i="1"/>
  <c r="ED891" i="1"/>
  <c r="ED892" i="1"/>
  <c r="ED893" i="1"/>
  <c r="ED894" i="1"/>
  <c r="ED895" i="1"/>
  <c r="ED897" i="1"/>
  <c r="ED898" i="1"/>
  <c r="ED899" i="1"/>
  <c r="ED900" i="1"/>
  <c r="ED901" i="1"/>
  <c r="ED902" i="1"/>
  <c r="ED904" i="1"/>
  <c r="ED905" i="1"/>
  <c r="ED906" i="1"/>
  <c r="ED908" i="1"/>
  <c r="ED909" i="1"/>
  <c r="ED910" i="1"/>
  <c r="ED911" i="1"/>
  <c r="ED912" i="1"/>
  <c r="ED913" i="1"/>
  <c r="ED915" i="1"/>
  <c r="ED916" i="1"/>
  <c r="ED917" i="1"/>
  <c r="ED918" i="1"/>
  <c r="ED919" i="1"/>
  <c r="ED920" i="1"/>
  <c r="ED921" i="1"/>
  <c r="ED922" i="1"/>
  <c r="ED923" i="1"/>
  <c r="ED924" i="1"/>
  <c r="ED925" i="1"/>
  <c r="ED927" i="1"/>
  <c r="ED928" i="1"/>
  <c r="ED929" i="1"/>
  <c r="ED930" i="1"/>
  <c r="ED931" i="1"/>
  <c r="ED932" i="1"/>
  <c r="ED933" i="1"/>
  <c r="ED935" i="1"/>
  <c r="ED936" i="1"/>
  <c r="ED937" i="1"/>
  <c r="ED938" i="1"/>
  <c r="ED939" i="1"/>
  <c r="ED940" i="1"/>
  <c r="ED941" i="1"/>
  <c r="ED943" i="1"/>
  <c r="ED944" i="1"/>
  <c r="ED945" i="1"/>
  <c r="ED947" i="1"/>
  <c r="ED948" i="1"/>
  <c r="ED950" i="1"/>
  <c r="ED951" i="1"/>
  <c r="ED952" i="1"/>
  <c r="ED953" i="1"/>
  <c r="ED954" i="1"/>
  <c r="ED955" i="1"/>
  <c r="ED956" i="1"/>
  <c r="ED957" i="1"/>
  <c r="ED958" i="1"/>
  <c r="ED960" i="1"/>
  <c r="ED961" i="1"/>
  <c r="ED962" i="1"/>
  <c r="ED963" i="1"/>
  <c r="ED964" i="1"/>
  <c r="ED965" i="1"/>
  <c r="ED966" i="1"/>
  <c r="ED967" i="1"/>
  <c r="ED969" i="1"/>
  <c r="ED970" i="1"/>
  <c r="ED971" i="1"/>
  <c r="ED972" i="1"/>
  <c r="ED973" i="1"/>
  <c r="ED974" i="1"/>
  <c r="ED975" i="1"/>
  <c r="ED977" i="1"/>
  <c r="ED978" i="1"/>
  <c r="ED979" i="1"/>
  <c r="ED980" i="1"/>
  <c r="ED981" i="1"/>
  <c r="ED983" i="1"/>
  <c r="ED985" i="1"/>
  <c r="ED986" i="1"/>
  <c r="ED987" i="1"/>
  <c r="ED989" i="1"/>
  <c r="ED990" i="1"/>
  <c r="ED991" i="1"/>
  <c r="ED992" i="1"/>
  <c r="ED993" i="1"/>
  <c r="ED994" i="1"/>
  <c r="ED996" i="1"/>
  <c r="ED997" i="1"/>
  <c r="ED998" i="1"/>
  <c r="ED999" i="1"/>
  <c r="ED1000" i="1"/>
  <c r="ED1001" i="1"/>
  <c r="ED1002" i="1"/>
  <c r="ED1003" i="1"/>
  <c r="ED1005" i="1"/>
  <c r="ED1006" i="1"/>
  <c r="ED1007" i="1"/>
  <c r="ED1008" i="1"/>
  <c r="ED1009" i="1"/>
  <c r="ED1010" i="1"/>
  <c r="ED1011" i="1"/>
  <c r="ED1013" i="1"/>
  <c r="ED1014" i="1"/>
  <c r="ED1015" i="1"/>
  <c r="ED1016" i="1"/>
  <c r="ED1017" i="1"/>
  <c r="ED1018" i="1"/>
  <c r="ED1019" i="1"/>
  <c r="ED1020" i="1"/>
  <c r="ED1021" i="1"/>
  <c r="ED1022" i="1"/>
  <c r="ED1023" i="1"/>
  <c r="ED1025" i="1"/>
  <c r="ED1026" i="1"/>
  <c r="ED1027" i="1"/>
  <c r="ED1028" i="1"/>
  <c r="ED1029" i="1"/>
  <c r="ED1030" i="1"/>
  <c r="ED1031" i="1"/>
  <c r="ED1032" i="1"/>
  <c r="ED1033" i="1"/>
  <c r="ED1035" i="1"/>
  <c r="ED1036" i="1"/>
  <c r="ED1037" i="1"/>
  <c r="ED1038" i="1"/>
  <c r="ED1039" i="1"/>
  <c r="ED1040" i="1"/>
  <c r="ED1041" i="1"/>
  <c r="ED1042" i="1"/>
  <c r="ED1043" i="1"/>
  <c r="ED1044" i="1"/>
  <c r="ED1046" i="1"/>
  <c r="ED1047" i="1"/>
  <c r="ED1048" i="1"/>
  <c r="ED1051" i="1"/>
  <c r="ED1053" i="1"/>
  <c r="ED1054" i="1"/>
  <c r="ED1055" i="1"/>
  <c r="ED1056" i="1"/>
  <c r="ED1057" i="1"/>
  <c r="ED1059" i="1"/>
  <c r="ED1060" i="1"/>
  <c r="ED1061" i="1"/>
  <c r="ED1062" i="1"/>
  <c r="ED1063" i="1"/>
  <c r="ED1064" i="1"/>
  <c r="ED1066" i="1"/>
  <c r="ED1067" i="1"/>
  <c r="ED1068" i="1"/>
  <c r="ED1069" i="1"/>
  <c r="ED1070" i="1"/>
  <c r="ED1071" i="1"/>
  <c r="ED1072" i="1"/>
  <c r="ED1073" i="1"/>
  <c r="ED1075" i="1"/>
  <c r="ED1076" i="1"/>
  <c r="ED1077" i="1"/>
  <c r="ED1079" i="1"/>
  <c r="ED1080" i="1"/>
  <c r="ED1081" i="1"/>
  <c r="ED1082" i="1"/>
  <c r="ED1083" i="1"/>
  <c r="ED1084" i="1"/>
  <c r="ED1086" i="1"/>
  <c r="ED1087" i="1"/>
  <c r="ED1088" i="1"/>
  <c r="ED1089" i="1"/>
  <c r="ED1090" i="1"/>
  <c r="ED1091" i="1"/>
  <c r="ED1092" i="1"/>
  <c r="ED1093" i="1"/>
  <c r="ED1094" i="1"/>
  <c r="ED1096" i="1"/>
  <c r="ED1097" i="1"/>
  <c r="ED1098" i="1"/>
  <c r="ED1099" i="1"/>
  <c r="ED1100" i="1"/>
  <c r="ED1101" i="1"/>
  <c r="ED1102" i="1"/>
  <c r="ED1103" i="1"/>
  <c r="ED1104" i="1"/>
  <c r="ED1105" i="1"/>
  <c r="ED1106" i="1"/>
  <c r="ED1109" i="1"/>
  <c r="ED1110" i="1"/>
  <c r="ED1111" i="1"/>
  <c r="ED1112" i="1"/>
  <c r="ED1113" i="1"/>
  <c r="ED1115" i="1"/>
  <c r="ED1116" i="1"/>
  <c r="ED1117" i="1"/>
  <c r="ED1118" i="1"/>
  <c r="ED1120" i="1"/>
  <c r="ED1122" i="1"/>
  <c r="ED1123" i="1"/>
  <c r="ED1124" i="1"/>
  <c r="ED1126" i="1"/>
  <c r="ED1127" i="1"/>
  <c r="ED1128" i="1"/>
  <c r="ED1129" i="1"/>
  <c r="ED1130" i="1"/>
  <c r="ED1132" i="1"/>
  <c r="ED1133" i="1"/>
  <c r="ED1135" i="1"/>
  <c r="ED1136" i="1"/>
  <c r="ED1137" i="1"/>
  <c r="ED1138" i="1"/>
  <c r="ED1139" i="1"/>
  <c r="ED1140" i="1"/>
  <c r="ED1142" i="1"/>
  <c r="ED1143" i="1"/>
  <c r="ED1144" i="1"/>
  <c r="ED1145" i="1"/>
  <c r="ED1146" i="1"/>
  <c r="ED1147" i="1"/>
  <c r="ED1148" i="1"/>
  <c r="ED1149" i="1"/>
  <c r="ED1150" i="1"/>
  <c r="ED1152" i="1"/>
  <c r="ED1153" i="1"/>
  <c r="ED1154" i="1"/>
  <c r="ED1155" i="1"/>
  <c r="ED1157" i="1"/>
  <c r="ED1158" i="1"/>
  <c r="ED1159" i="1"/>
  <c r="ED1160" i="1"/>
  <c r="ED1161" i="1"/>
  <c r="ED1162" i="1"/>
  <c r="ED1163" i="1"/>
  <c r="ED1164" i="1"/>
  <c r="ED1165" i="1"/>
  <c r="ED1167" i="1"/>
  <c r="ED1168" i="1"/>
  <c r="ED1169" i="1"/>
  <c r="ED1170" i="1"/>
  <c r="ED1172" i="1"/>
  <c r="ED1173" i="1"/>
  <c r="ED1174" i="1"/>
  <c r="ED1175" i="1"/>
  <c r="ED1177" i="1"/>
  <c r="ED1178" i="1"/>
  <c r="ED1179" i="1"/>
  <c r="ED1180" i="1"/>
  <c r="ED1181" i="1"/>
  <c r="ED1182" i="1"/>
  <c r="ED1183" i="1"/>
  <c r="ED1185" i="1"/>
  <c r="ED1186" i="1"/>
  <c r="ED1187" i="1"/>
  <c r="ED1188" i="1"/>
  <c r="ED1189" i="1"/>
  <c r="ED1190" i="1"/>
  <c r="ED1192" i="1"/>
  <c r="ED1194" i="1"/>
  <c r="ED1195" i="1"/>
  <c r="ED1196" i="1"/>
  <c r="ED1199" i="1"/>
  <c r="ED1201" i="1"/>
  <c r="ED1202" i="1"/>
  <c r="ED1203" i="1"/>
  <c r="ED1204" i="1"/>
  <c r="ED1205" i="1"/>
  <c r="ED1206" i="1"/>
  <c r="ED1207" i="1"/>
  <c r="ED1210" i="1"/>
  <c r="ED1211" i="1"/>
  <c r="ED1212" i="1"/>
  <c r="ED1213" i="1"/>
  <c r="ED1214" i="1"/>
  <c r="ED1215" i="1"/>
  <c r="ED1216" i="1"/>
  <c r="ED1217" i="1"/>
  <c r="ED1219" i="1"/>
  <c r="ED1220" i="1"/>
  <c r="ED1222" i="1"/>
  <c r="ED1223" i="1"/>
  <c r="ED1224" i="1"/>
  <c r="ED1225" i="1"/>
  <c r="ED1226" i="1"/>
  <c r="ED1227" i="1"/>
  <c r="ED1229" i="1"/>
  <c r="ED1230" i="1"/>
  <c r="ED1231" i="1"/>
  <c r="ED1232" i="1"/>
  <c r="ED1233" i="1"/>
  <c r="ED1234" i="1"/>
  <c r="ED1235" i="1"/>
  <c r="ED1236" i="1"/>
  <c r="ED1238" i="1"/>
  <c r="ED1240" i="1"/>
  <c r="ED1241" i="1"/>
  <c r="ED1242" i="1"/>
  <c r="ED1244" i="1"/>
  <c r="ED1245" i="1"/>
  <c r="ED1246" i="1"/>
  <c r="ED1247" i="1"/>
  <c r="ED1248" i="1"/>
  <c r="ED1250" i="1"/>
  <c r="ED1251" i="1"/>
  <c r="ED1252" i="1"/>
  <c r="ED1253" i="1"/>
  <c r="ED1254" i="1"/>
  <c r="ED1255" i="1"/>
  <c r="ED1256" i="1"/>
  <c r="ED1257" i="1"/>
  <c r="ED1258" i="1"/>
  <c r="ED1259" i="1"/>
  <c r="ED1261" i="1"/>
  <c r="ED1262" i="1"/>
  <c r="ED1263" i="1"/>
  <c r="ED1265" i="1"/>
  <c r="ED1266" i="1"/>
  <c r="ED1267" i="1"/>
  <c r="ED1268" i="1"/>
  <c r="ED1272" i="1"/>
  <c r="ED1274" i="1"/>
  <c r="ED1275" i="1"/>
  <c r="ED1276" i="1"/>
  <c r="ED1277" i="1"/>
  <c r="ED1278" i="1"/>
  <c r="ED1279" i="1"/>
  <c r="ED1280" i="1"/>
  <c r="ED1282" i="1"/>
  <c r="ED1283" i="1"/>
  <c r="ED1284" i="1"/>
  <c r="ED1285" i="1"/>
  <c r="ED1286" i="1"/>
  <c r="ED1287" i="1"/>
  <c r="ED1288" i="1"/>
  <c r="ED1289" i="1"/>
  <c r="ED1291" i="1"/>
  <c r="ED1292" i="1"/>
  <c r="ED1293" i="1"/>
  <c r="ED1294" i="1"/>
  <c r="ED1295" i="1"/>
  <c r="ED1296" i="1"/>
  <c r="ED1297" i="1"/>
  <c r="ED1298" i="1"/>
  <c r="ED1299" i="1"/>
  <c r="ED1300" i="1"/>
  <c r="ED1301" i="1"/>
  <c r="ED1304" i="1"/>
  <c r="ED1305" i="1"/>
  <c r="ED1306" i="1"/>
  <c r="ED1307" i="1"/>
  <c r="ED1308" i="1"/>
  <c r="ED1309" i="1"/>
  <c r="ED1310" i="1"/>
  <c r="ED1311" i="1"/>
  <c r="ED1312" i="1"/>
  <c r="ED1313" i="1"/>
  <c r="EE67" i="1"/>
  <c r="EE68" i="1"/>
  <c r="EE69" i="1"/>
  <c r="EE70" i="1"/>
  <c r="EE71" i="1"/>
  <c r="EE72" i="1"/>
  <c r="EE73" i="1"/>
  <c r="EE74" i="1"/>
  <c r="EE76" i="1"/>
  <c r="EE77" i="1"/>
  <c r="EE78" i="1"/>
  <c r="EE79" i="1"/>
  <c r="EE80" i="1"/>
  <c r="EE81" i="1"/>
  <c r="EE82" i="1"/>
  <c r="EE84" i="1"/>
  <c r="EE85" i="1"/>
  <c r="EE86" i="1"/>
  <c r="EE87" i="1"/>
  <c r="EE88" i="1"/>
  <c r="EE89" i="1"/>
  <c r="EE90" i="1"/>
  <c r="EE92" i="1"/>
  <c r="EE93" i="1"/>
  <c r="EE94" i="1"/>
  <c r="EE95" i="1"/>
  <c r="EE96" i="1"/>
  <c r="EE97" i="1"/>
  <c r="EE98" i="1"/>
  <c r="EE101" i="1"/>
  <c r="EE103" i="1"/>
  <c r="EE104" i="1"/>
  <c r="EE105" i="1"/>
  <c r="EE106" i="1"/>
  <c r="EE107" i="1"/>
  <c r="EE108" i="1"/>
  <c r="EE109" i="1"/>
  <c r="EE111" i="1"/>
  <c r="EE112" i="1"/>
  <c r="EE113" i="1"/>
  <c r="EE114" i="1"/>
  <c r="EE115" i="1"/>
  <c r="EE116" i="1"/>
  <c r="EE117" i="1"/>
  <c r="EE118" i="1"/>
  <c r="EE119" i="1"/>
  <c r="EE120" i="1"/>
  <c r="EE122" i="1"/>
  <c r="EE124" i="1"/>
  <c r="EE125" i="1"/>
  <c r="EE126" i="1"/>
  <c r="EE129" i="1"/>
  <c r="EE131" i="1"/>
  <c r="EE132" i="1"/>
  <c r="EE133" i="1"/>
  <c r="EE136" i="1"/>
  <c r="EE138" i="1"/>
  <c r="EE139" i="1"/>
  <c r="EE140" i="1"/>
  <c r="EE141" i="1"/>
  <c r="EE142" i="1"/>
  <c r="EE144" i="1"/>
  <c r="EE145" i="1"/>
  <c r="EE146" i="1"/>
  <c r="EE147" i="1"/>
  <c r="EE148" i="1"/>
  <c r="EE149" i="1"/>
  <c r="EE151" i="1"/>
  <c r="EE152" i="1"/>
  <c r="EE153" i="1"/>
  <c r="EE154" i="1"/>
  <c r="EE155" i="1"/>
  <c r="EE156" i="1"/>
  <c r="EE157" i="1"/>
  <c r="EE158" i="1"/>
  <c r="EE160" i="1"/>
  <c r="EE161" i="1"/>
  <c r="EE162" i="1"/>
  <c r="EE163" i="1"/>
  <c r="EE165" i="1"/>
  <c r="EE166" i="1"/>
  <c r="EE167" i="1"/>
  <c r="EE168" i="1"/>
  <c r="EE169" i="1"/>
  <c r="EE170" i="1"/>
  <c r="EE172" i="1"/>
  <c r="EE173" i="1"/>
  <c r="EE175" i="1"/>
  <c r="EE176" i="1"/>
  <c r="EE177" i="1"/>
  <c r="EE178" i="1"/>
  <c r="EE179" i="1"/>
  <c r="EE180" i="1"/>
  <c r="EE181" i="1"/>
  <c r="EE182" i="1"/>
  <c r="EE183" i="1"/>
  <c r="EE184" i="1"/>
  <c r="EE186" i="1"/>
  <c r="EE187" i="1"/>
  <c r="EE188" i="1"/>
  <c r="EE189" i="1"/>
  <c r="EE190" i="1"/>
  <c r="EE191" i="1"/>
  <c r="EE192" i="1"/>
  <c r="EE193" i="1"/>
  <c r="EE195" i="1"/>
  <c r="EE196" i="1"/>
  <c r="EE197" i="1"/>
  <c r="EE198" i="1"/>
  <c r="EE200" i="1"/>
  <c r="EE201" i="1"/>
  <c r="EE202" i="1"/>
  <c r="EE203" i="1"/>
  <c r="EE204" i="1"/>
  <c r="EE205" i="1"/>
  <c r="EE206" i="1"/>
  <c r="EE207" i="1"/>
  <c r="EE209" i="1"/>
  <c r="EE210" i="1"/>
  <c r="EE211" i="1"/>
  <c r="EE212" i="1"/>
  <c r="EE213" i="1"/>
  <c r="EE214" i="1"/>
  <c r="EE215" i="1"/>
  <c r="EE217" i="1"/>
  <c r="EE218" i="1"/>
  <c r="EE219" i="1"/>
  <c r="EE220" i="1"/>
  <c r="EE221" i="1"/>
  <c r="EE222" i="1"/>
  <c r="EE224" i="1"/>
  <c r="EE225" i="1"/>
  <c r="EE226" i="1"/>
  <c r="EE227" i="1"/>
  <c r="EE228" i="1"/>
  <c r="EE229" i="1"/>
  <c r="EE231" i="1"/>
  <c r="EE232" i="1"/>
  <c r="EE233" i="1"/>
  <c r="EE234" i="1"/>
  <c r="EE235" i="1"/>
  <c r="EE236" i="1"/>
  <c r="EE237" i="1"/>
  <c r="EE238" i="1"/>
  <c r="EE240" i="1"/>
  <c r="EE241" i="1"/>
  <c r="EE242" i="1"/>
  <c r="EE243" i="1"/>
  <c r="EE244" i="1"/>
  <c r="EE245" i="1"/>
  <c r="EE246" i="1"/>
  <c r="EE247" i="1"/>
  <c r="EE249" i="1"/>
  <c r="EE250" i="1"/>
  <c r="EE251" i="1"/>
  <c r="EE252" i="1"/>
  <c r="EE253" i="1"/>
  <c r="EE254" i="1"/>
  <c r="EE255" i="1"/>
  <c r="EE256" i="1"/>
  <c r="EE258" i="1"/>
  <c r="EE259" i="1"/>
  <c r="EE260" i="1"/>
  <c r="EE261" i="1"/>
  <c r="EE262" i="1"/>
  <c r="EE263" i="1"/>
  <c r="EE264" i="1"/>
  <c r="EE265" i="1"/>
  <c r="EE266" i="1"/>
  <c r="EE268" i="1"/>
  <c r="EE269" i="1"/>
  <c r="EE270" i="1"/>
  <c r="EE271" i="1"/>
  <c r="EE272" i="1"/>
  <c r="EE273" i="1"/>
  <c r="EE274" i="1"/>
  <c r="EE275" i="1"/>
  <c r="EE276" i="1"/>
  <c r="EE278" i="1"/>
  <c r="EE279" i="1"/>
  <c r="EE280" i="1"/>
  <c r="EE281" i="1"/>
  <c r="EE282" i="1"/>
  <c r="EE283" i="1"/>
  <c r="EE285" i="1"/>
  <c r="EE286" i="1"/>
  <c r="EE287" i="1"/>
  <c r="EE288" i="1"/>
  <c r="EE291" i="1"/>
  <c r="EE292" i="1"/>
  <c r="EE293" i="1"/>
  <c r="EE294" i="1"/>
  <c r="EE296" i="1"/>
  <c r="EE297" i="1"/>
  <c r="EE298" i="1"/>
  <c r="EE299" i="1"/>
  <c r="EE300" i="1"/>
  <c r="EE301" i="1"/>
  <c r="EE302" i="1"/>
  <c r="EE303" i="1"/>
  <c r="EE305" i="1"/>
  <c r="EE306" i="1"/>
  <c r="EE307" i="1"/>
  <c r="EE308" i="1"/>
  <c r="EE309" i="1"/>
  <c r="EE310" i="1"/>
  <c r="EE311" i="1"/>
  <c r="EE312" i="1"/>
  <c r="EE313" i="1"/>
  <c r="EE314" i="1"/>
  <c r="EE316" i="1"/>
  <c r="EE317" i="1"/>
  <c r="EE318" i="1"/>
  <c r="EE319" i="1"/>
  <c r="EE320" i="1"/>
  <c r="EE321" i="1"/>
  <c r="EE322" i="1"/>
  <c r="EE323" i="1"/>
  <c r="EE324" i="1"/>
  <c r="EE325" i="1"/>
  <c r="EE326" i="1"/>
  <c r="EE327" i="1"/>
  <c r="EE329" i="1"/>
  <c r="EE330" i="1"/>
  <c r="EE332" i="1"/>
  <c r="EE333" i="1"/>
  <c r="EE334" i="1"/>
  <c r="EE335" i="1"/>
  <c r="EE336" i="1"/>
  <c r="EE337" i="1"/>
  <c r="EE338" i="1"/>
  <c r="EE340" i="1"/>
  <c r="EE341" i="1"/>
  <c r="EE342" i="1"/>
  <c r="EE343" i="1"/>
  <c r="EE344" i="1"/>
  <c r="EE345" i="1"/>
  <c r="EE346" i="1"/>
  <c r="EE347" i="1"/>
  <c r="EE348" i="1"/>
  <c r="EE349" i="1"/>
  <c r="EE351" i="1"/>
  <c r="EE352" i="1"/>
  <c r="EE353" i="1"/>
  <c r="EE354" i="1"/>
  <c r="EE355" i="1"/>
  <c r="EE356" i="1"/>
  <c r="EE358" i="1"/>
  <c r="EE359" i="1"/>
  <c r="EE360" i="1"/>
  <c r="EE361" i="1"/>
  <c r="EE362" i="1"/>
  <c r="EE363" i="1"/>
  <c r="EE364" i="1"/>
  <c r="EE365" i="1"/>
  <c r="EE367" i="1"/>
  <c r="EE368" i="1"/>
  <c r="EE369" i="1"/>
  <c r="EE371" i="1"/>
  <c r="EE372" i="1"/>
  <c r="EE373" i="1"/>
  <c r="EE375" i="1"/>
  <c r="EE376" i="1"/>
  <c r="EE378" i="1"/>
  <c r="EE379" i="1"/>
  <c r="EE380" i="1"/>
  <c r="EE381" i="1"/>
  <c r="EE382" i="1"/>
  <c r="EE383" i="1"/>
  <c r="EE385" i="1"/>
  <c r="EE386" i="1"/>
  <c r="EE387" i="1"/>
  <c r="EE388" i="1"/>
  <c r="EE389" i="1"/>
  <c r="EE390" i="1"/>
  <c r="EE391" i="1"/>
  <c r="EE393" i="1"/>
  <c r="EE394" i="1"/>
  <c r="EE395" i="1"/>
  <c r="EE396" i="1"/>
  <c r="EE397" i="1"/>
  <c r="EE398" i="1"/>
  <c r="EE399" i="1"/>
  <c r="EE400" i="1"/>
  <c r="EE401" i="1"/>
  <c r="EE403" i="1"/>
  <c r="EE404" i="1"/>
  <c r="EE405" i="1"/>
  <c r="EE406" i="1"/>
  <c r="EE407" i="1"/>
  <c r="EE408" i="1"/>
  <c r="EE409" i="1"/>
  <c r="EE410" i="1"/>
  <c r="EE411" i="1"/>
  <c r="EE413" i="1"/>
  <c r="EE414" i="1"/>
  <c r="EE415" i="1"/>
  <c r="EE416" i="1"/>
  <c r="EE417" i="1"/>
  <c r="EE418" i="1"/>
  <c r="EE421" i="1"/>
  <c r="EE422" i="1"/>
  <c r="EE423" i="1"/>
  <c r="EE424" i="1"/>
  <c r="EE425" i="1"/>
  <c r="EE426" i="1"/>
  <c r="EE427" i="1"/>
  <c r="EE428" i="1"/>
  <c r="EE430" i="1"/>
  <c r="EE431" i="1"/>
  <c r="EE432" i="1"/>
  <c r="EE433" i="1"/>
  <c r="EE434" i="1"/>
  <c r="EE435" i="1"/>
  <c r="EE436" i="1"/>
  <c r="EE438" i="1"/>
  <c r="EE439" i="1"/>
  <c r="EE440" i="1"/>
  <c r="EE441" i="1"/>
  <c r="EE442" i="1"/>
  <c r="EE443" i="1"/>
  <c r="EE445" i="1"/>
  <c r="EE446" i="1"/>
  <c r="EE447" i="1"/>
  <c r="EE448" i="1"/>
  <c r="EE449" i="1"/>
  <c r="EE450" i="1"/>
  <c r="EE451" i="1"/>
  <c r="EE452" i="1"/>
  <c r="EE454" i="1"/>
  <c r="EE455" i="1"/>
  <c r="EE456" i="1"/>
  <c r="EE457" i="1"/>
  <c r="EE459" i="1"/>
  <c r="EE460" i="1"/>
  <c r="EE461" i="1"/>
  <c r="EE462" i="1"/>
  <c r="EE463" i="1"/>
  <c r="EE464" i="1"/>
  <c r="EE465" i="1"/>
  <c r="EE466" i="1"/>
  <c r="EE468" i="1"/>
  <c r="EE469" i="1"/>
  <c r="EE470" i="1"/>
  <c r="EE471" i="1"/>
  <c r="EE472" i="1"/>
  <c r="EE473" i="1"/>
  <c r="EE474" i="1"/>
  <c r="EE475" i="1"/>
  <c r="EE476" i="1"/>
  <c r="EE478" i="1"/>
  <c r="EE479" i="1"/>
  <c r="EE480" i="1"/>
  <c r="EE481" i="1"/>
  <c r="EE482" i="1"/>
  <c r="EE483" i="1"/>
  <c r="EE485" i="1"/>
  <c r="EE486" i="1"/>
  <c r="EE487" i="1"/>
  <c r="EE488" i="1"/>
  <c r="EE489" i="1"/>
  <c r="EE490" i="1"/>
  <c r="EE491" i="1"/>
  <c r="EE492" i="1"/>
  <c r="EE493" i="1"/>
  <c r="EE495" i="1"/>
  <c r="EE496" i="1"/>
  <c r="EE497" i="1"/>
  <c r="EE498" i="1"/>
  <c r="EE499" i="1"/>
  <c r="EE500" i="1"/>
  <c r="EE502" i="1"/>
  <c r="EE503" i="1"/>
  <c r="EE504" i="1"/>
  <c r="EE505" i="1"/>
  <c r="EE506" i="1"/>
  <c r="EE507" i="1"/>
  <c r="EE508" i="1"/>
  <c r="EE510" i="1"/>
  <c r="EE511" i="1"/>
  <c r="EE512" i="1"/>
  <c r="EE514" i="1"/>
  <c r="EE515" i="1"/>
  <c r="EE516" i="1"/>
  <c r="EE517" i="1"/>
  <c r="EE518" i="1"/>
  <c r="EE520" i="1"/>
  <c r="EE521" i="1"/>
  <c r="EE522" i="1"/>
  <c r="EE523" i="1"/>
  <c r="EE524" i="1"/>
  <c r="EE525" i="1"/>
  <c r="EE526" i="1"/>
  <c r="EE527" i="1"/>
  <c r="EE529" i="1"/>
  <c r="EE530" i="1"/>
  <c r="EE531" i="1"/>
  <c r="EE532" i="1"/>
  <c r="EE533" i="1"/>
  <c r="EE534" i="1"/>
  <c r="EE535" i="1"/>
  <c r="EE536" i="1"/>
  <c r="EE538" i="1"/>
  <c r="EE539" i="1"/>
  <c r="EE540" i="1"/>
  <c r="EE541" i="1"/>
  <c r="EE542" i="1"/>
  <c r="EE543" i="1"/>
  <c r="EE544" i="1"/>
  <c r="EE545" i="1"/>
  <c r="EE546" i="1"/>
  <c r="EE548" i="1"/>
  <c r="EE549" i="1"/>
  <c r="EE550" i="1"/>
  <c r="EE551" i="1"/>
  <c r="EE552" i="1"/>
  <c r="EE553" i="1"/>
  <c r="EE554" i="1"/>
  <c r="EE555" i="1"/>
  <c r="EE557" i="1"/>
  <c r="EE558" i="1"/>
  <c r="EE559" i="1"/>
  <c r="EE560" i="1"/>
  <c r="EE561" i="1"/>
  <c r="EE562" i="1"/>
  <c r="EE563" i="1"/>
  <c r="EE564" i="1"/>
  <c r="EE565" i="1"/>
  <c r="EE566" i="1"/>
  <c r="EE567" i="1"/>
  <c r="EE569" i="1"/>
  <c r="EE570" i="1"/>
  <c r="EE572" i="1"/>
  <c r="EE573" i="1"/>
  <c r="EE574" i="1"/>
  <c r="EE576" i="1"/>
  <c r="EE577" i="1"/>
  <c r="EE578" i="1"/>
  <c r="EE579" i="1"/>
  <c r="EE580" i="1"/>
  <c r="EE581" i="1"/>
  <c r="EE583" i="1"/>
  <c r="EE584" i="1"/>
  <c r="EE586" i="1"/>
  <c r="EE587" i="1"/>
  <c r="EE588" i="1"/>
  <c r="EE590" i="1"/>
  <c r="EE591" i="1"/>
  <c r="EE592" i="1"/>
  <c r="EE593" i="1"/>
  <c r="EE594" i="1"/>
  <c r="EE595" i="1"/>
  <c r="EE596" i="1"/>
  <c r="EE597" i="1"/>
  <c r="EE598" i="1"/>
  <c r="EE600" i="1"/>
  <c r="EE601" i="1"/>
  <c r="EE603" i="1"/>
  <c r="EE604" i="1"/>
  <c r="EE605" i="1"/>
  <c r="EE607" i="1"/>
  <c r="EE608" i="1"/>
  <c r="EE609" i="1"/>
  <c r="EE610" i="1"/>
  <c r="EE611" i="1"/>
  <c r="EE612" i="1"/>
  <c r="EE614" i="1"/>
  <c r="EE615" i="1"/>
  <c r="EE616" i="1"/>
  <c r="EE617" i="1"/>
  <c r="EE618" i="1"/>
  <c r="EE619" i="1"/>
  <c r="EE620" i="1"/>
  <c r="EE622" i="1"/>
  <c r="EE623" i="1"/>
  <c r="EE624" i="1"/>
  <c r="EE625" i="1"/>
  <c r="EE626" i="1"/>
  <c r="EE628" i="1"/>
  <c r="EE629" i="1"/>
  <c r="EE630" i="1"/>
  <c r="EE631" i="1"/>
  <c r="EE632" i="1"/>
  <c r="EE633" i="1"/>
  <c r="EE634" i="1"/>
  <c r="EE636" i="1"/>
  <c r="EE637" i="1"/>
  <c r="EE638" i="1"/>
  <c r="EE639" i="1"/>
  <c r="EE641" i="1"/>
  <c r="EE643" i="1"/>
  <c r="EE644" i="1"/>
  <c r="EE645" i="1"/>
  <c r="EE647" i="1"/>
  <c r="EE648" i="1"/>
  <c r="EE649" i="1"/>
  <c r="EE650" i="1"/>
  <c r="EE651" i="1"/>
  <c r="EE652" i="1"/>
  <c r="EE654" i="1"/>
  <c r="EE655" i="1"/>
  <c r="EE656" i="1"/>
  <c r="EE657" i="1"/>
  <c r="EE658" i="1"/>
  <c r="EE659" i="1"/>
  <c r="EE660" i="1"/>
  <c r="EE662" i="1"/>
  <c r="EE663" i="1"/>
  <c r="EE666" i="1"/>
  <c r="EE667" i="1"/>
  <c r="EE669" i="1"/>
  <c r="EE670" i="1"/>
  <c r="EE671" i="1"/>
  <c r="EE672" i="1"/>
  <c r="EE674" i="1"/>
  <c r="EE675" i="1"/>
  <c r="EE676" i="1"/>
  <c r="EE677" i="1"/>
  <c r="EE678" i="1"/>
  <c r="EE679" i="1"/>
  <c r="EE681" i="1"/>
  <c r="EE682" i="1"/>
  <c r="EE683" i="1"/>
  <c r="EE684" i="1"/>
  <c r="EE685" i="1"/>
  <c r="EE686" i="1"/>
  <c r="EE687" i="1"/>
  <c r="EE688" i="1"/>
  <c r="EE689" i="1"/>
  <c r="EE690" i="1"/>
  <c r="EE691" i="1"/>
  <c r="EE693" i="1"/>
  <c r="EE694" i="1"/>
  <c r="EE695" i="1"/>
  <c r="EE696" i="1"/>
  <c r="EE698" i="1"/>
  <c r="EE699" i="1"/>
  <c r="EE703" i="1"/>
  <c r="EE704" i="1"/>
  <c r="EE706" i="1"/>
  <c r="EE707" i="1"/>
  <c r="EE708" i="1"/>
  <c r="EE709" i="1"/>
  <c r="EE711" i="1"/>
  <c r="EE712" i="1"/>
  <c r="EE713" i="1"/>
  <c r="EE714" i="1"/>
  <c r="EE715" i="1"/>
  <c r="EE716" i="1"/>
  <c r="EE717" i="1"/>
  <c r="EE718" i="1"/>
  <c r="EE720" i="1"/>
  <c r="EE721" i="1"/>
  <c r="EE723" i="1"/>
  <c r="EE724" i="1"/>
  <c r="EE725" i="1"/>
  <c r="EE726" i="1"/>
  <c r="EE729" i="1"/>
  <c r="EE731" i="1"/>
  <c r="EE732" i="1"/>
  <c r="EE733" i="1"/>
  <c r="EE734" i="1"/>
  <c r="EE735" i="1"/>
  <c r="EE736" i="1"/>
  <c r="EE738" i="1"/>
  <c r="EE739" i="1"/>
  <c r="EE740" i="1"/>
  <c r="EE741" i="1"/>
  <c r="EE742" i="1"/>
  <c r="EE743" i="1"/>
  <c r="EE744" i="1"/>
  <c r="EE745" i="1"/>
  <c r="EE748" i="1"/>
  <c r="EE750" i="1"/>
  <c r="EE751" i="1"/>
  <c r="EE752" i="1"/>
  <c r="EE753" i="1"/>
  <c r="EE754" i="1"/>
  <c r="EE755" i="1"/>
  <c r="EE756" i="1"/>
  <c r="EE758" i="1"/>
  <c r="EE760" i="1"/>
  <c r="EE761" i="1"/>
  <c r="EE763" i="1"/>
  <c r="EE764" i="1"/>
  <c r="EE766" i="1"/>
  <c r="EE767" i="1"/>
  <c r="EE768" i="1"/>
  <c r="EE769" i="1"/>
  <c r="EE774" i="1"/>
  <c r="EE775" i="1"/>
  <c r="EE777" i="1"/>
  <c r="EE778" i="1"/>
  <c r="EE779" i="1"/>
  <c r="EE780" i="1"/>
  <c r="EE782" i="1"/>
  <c r="EE783" i="1"/>
  <c r="EE784" i="1"/>
  <c r="EE785" i="1"/>
  <c r="EE786" i="1"/>
  <c r="EE787" i="1"/>
  <c r="EE789" i="1"/>
  <c r="EE790" i="1"/>
  <c r="EE791" i="1"/>
  <c r="EE793" i="1"/>
  <c r="EE794" i="1"/>
  <c r="EE795" i="1"/>
  <c r="EE796" i="1"/>
  <c r="EE797" i="1"/>
  <c r="EE798" i="1"/>
  <c r="EE800" i="1"/>
  <c r="EE801" i="1"/>
  <c r="EE802" i="1"/>
  <c r="EE803" i="1"/>
  <c r="EE804" i="1"/>
  <c r="EE805" i="1"/>
  <c r="EE806" i="1"/>
  <c r="EE807" i="1"/>
  <c r="EE808" i="1"/>
  <c r="EE810" i="1"/>
  <c r="EE811" i="1"/>
  <c r="EE812" i="1"/>
  <c r="EE813" i="1"/>
  <c r="EE814" i="1"/>
  <c r="EE815" i="1"/>
  <c r="EE816" i="1"/>
  <c r="EE818" i="1"/>
  <c r="EE819" i="1"/>
  <c r="EE820" i="1"/>
  <c r="EE822" i="1"/>
  <c r="EE823" i="1"/>
  <c r="EE824" i="1"/>
  <c r="EE825" i="1"/>
  <c r="EE826" i="1"/>
  <c r="EE827" i="1"/>
  <c r="EE829" i="1"/>
  <c r="EE830" i="1"/>
  <c r="EE831" i="1"/>
  <c r="EE832" i="1"/>
  <c r="EE834" i="1"/>
  <c r="EE835" i="1"/>
  <c r="EE836" i="1"/>
  <c r="EE838" i="1"/>
  <c r="EE839" i="1"/>
  <c r="EE840" i="1"/>
  <c r="EE841" i="1"/>
  <c r="EE842" i="1"/>
  <c r="EE843" i="1"/>
  <c r="EE845" i="1"/>
  <c r="EE846" i="1"/>
  <c r="EE847" i="1"/>
  <c r="EE848" i="1"/>
  <c r="EE849" i="1"/>
  <c r="EE850" i="1"/>
  <c r="EE854" i="1"/>
  <c r="EE855" i="1"/>
  <c r="EE856" i="1"/>
  <c r="EE857" i="1"/>
  <c r="EE859" i="1"/>
  <c r="EE860" i="1"/>
  <c r="EE862" i="1"/>
  <c r="EE863" i="1"/>
  <c r="EE864" i="1"/>
  <c r="EE865" i="1"/>
  <c r="EE866" i="1"/>
  <c r="EE867" i="1"/>
  <c r="EE868" i="1"/>
  <c r="EE869" i="1"/>
  <c r="EE870" i="1"/>
  <c r="EE872" i="1"/>
  <c r="EE873" i="1"/>
  <c r="EE874" i="1"/>
  <c r="EE875" i="1"/>
  <c r="EE876" i="1"/>
  <c r="EE877" i="1"/>
  <c r="EE878" i="1"/>
  <c r="EE879" i="1"/>
  <c r="EE880" i="1"/>
  <c r="EE881" i="1"/>
  <c r="EE884" i="1"/>
  <c r="EE886" i="1"/>
  <c r="EE887" i="1"/>
  <c r="EE888" i="1"/>
  <c r="EE889" i="1"/>
  <c r="EE890" i="1"/>
  <c r="EE891" i="1"/>
  <c r="EE892" i="1"/>
  <c r="EE893" i="1"/>
  <c r="EE894" i="1"/>
  <c r="EE895" i="1"/>
  <c r="EE897" i="1"/>
  <c r="EE898" i="1"/>
  <c r="EE899" i="1"/>
  <c r="EE900" i="1"/>
  <c r="EE901" i="1"/>
  <c r="EE902" i="1"/>
  <c r="EE904" i="1"/>
  <c r="EE905" i="1"/>
  <c r="EE906" i="1"/>
  <c r="EE908" i="1"/>
  <c r="EE909" i="1"/>
  <c r="EE910" i="1"/>
  <c r="EE911" i="1"/>
  <c r="EE912" i="1"/>
  <c r="EE913" i="1"/>
  <c r="EE915" i="1"/>
  <c r="EE916" i="1"/>
  <c r="EE917" i="1"/>
  <c r="EE918" i="1"/>
  <c r="EE919" i="1"/>
  <c r="EE920" i="1"/>
  <c r="EE921" i="1"/>
  <c r="EE922" i="1"/>
  <c r="EE923" i="1"/>
  <c r="EE924" i="1"/>
  <c r="EE925" i="1"/>
  <c r="EE927" i="1"/>
  <c r="EE928" i="1"/>
  <c r="EE929" i="1"/>
  <c r="EE930" i="1"/>
  <c r="EE931" i="1"/>
  <c r="EE932" i="1"/>
  <c r="EE933" i="1"/>
  <c r="EE935" i="1"/>
  <c r="EE936" i="1"/>
  <c r="EE937" i="1"/>
  <c r="EE938" i="1"/>
  <c r="EE939" i="1"/>
  <c r="EE940" i="1"/>
  <c r="EE941" i="1"/>
  <c r="EE943" i="1"/>
  <c r="EE944" i="1"/>
  <c r="EE945" i="1"/>
  <c r="EE947" i="1"/>
  <c r="EE948" i="1"/>
  <c r="EE950" i="1"/>
  <c r="EE951" i="1"/>
  <c r="EE952" i="1"/>
  <c r="EE953" i="1"/>
  <c r="EE954" i="1"/>
  <c r="EE955" i="1"/>
  <c r="EE956" i="1"/>
  <c r="EE957" i="1"/>
  <c r="EE958" i="1"/>
  <c r="EE960" i="1"/>
  <c r="EE961" i="1"/>
  <c r="EE962" i="1"/>
  <c r="EE963" i="1"/>
  <c r="EE964" i="1"/>
  <c r="EE965" i="1"/>
  <c r="EE966" i="1"/>
  <c r="EE967" i="1"/>
  <c r="EE969" i="1"/>
  <c r="EE970" i="1"/>
  <c r="EE971" i="1"/>
  <c r="EE972" i="1"/>
  <c r="EE973" i="1"/>
  <c r="EE974" i="1"/>
  <c r="EE975" i="1"/>
  <c r="EE977" i="1"/>
  <c r="EE978" i="1"/>
  <c r="EE979" i="1"/>
  <c r="EE980" i="1"/>
  <c r="EE981" i="1"/>
  <c r="EE983" i="1"/>
  <c r="EE985" i="1"/>
  <c r="EE986" i="1"/>
  <c r="EE987" i="1"/>
  <c r="EE989" i="1"/>
  <c r="EE990" i="1"/>
  <c r="EE991" i="1"/>
  <c r="EE992" i="1"/>
  <c r="EE993" i="1"/>
  <c r="EE994" i="1"/>
  <c r="EE996" i="1"/>
  <c r="EE997" i="1"/>
  <c r="EE998" i="1"/>
  <c r="EE999" i="1"/>
  <c r="EE1000" i="1"/>
  <c r="EE1001" i="1"/>
  <c r="EE1002" i="1"/>
  <c r="EE1003" i="1"/>
  <c r="EE1005" i="1"/>
  <c r="EE1006" i="1"/>
  <c r="EE1007" i="1"/>
  <c r="EE1008" i="1"/>
  <c r="EE1009" i="1"/>
  <c r="EE1010" i="1"/>
  <c r="EE1011" i="1"/>
  <c r="EE1013" i="1"/>
  <c r="EE1014" i="1"/>
  <c r="EE1015" i="1"/>
  <c r="EE1016" i="1"/>
  <c r="EE1017" i="1"/>
  <c r="EE1018" i="1"/>
  <c r="EE1019" i="1"/>
  <c r="EE1020" i="1"/>
  <c r="EE1021" i="1"/>
  <c r="EE1022" i="1"/>
  <c r="EE1023" i="1"/>
  <c r="EE1025" i="1"/>
  <c r="EE1026" i="1"/>
  <c r="EE1027" i="1"/>
  <c r="EE1028" i="1"/>
  <c r="EE1029" i="1"/>
  <c r="EE1030" i="1"/>
  <c r="EE1031" i="1"/>
  <c r="EE1032" i="1"/>
  <c r="EE1033" i="1"/>
  <c r="EE1035" i="1"/>
  <c r="EE1036" i="1"/>
  <c r="EE1037" i="1"/>
  <c r="EE1038" i="1"/>
  <c r="EE1039" i="1"/>
  <c r="EE1040" i="1"/>
  <c r="EE1041" i="1"/>
  <c r="EE1042" i="1"/>
  <c r="EE1043" i="1"/>
  <c r="EE1044" i="1"/>
  <c r="EE1046" i="1"/>
  <c r="EE1047" i="1"/>
  <c r="EE1048" i="1"/>
  <c r="EE1051" i="1"/>
  <c r="EE1053" i="1"/>
  <c r="EE1054" i="1"/>
  <c r="EE1055" i="1"/>
  <c r="EE1056" i="1"/>
  <c r="EE1057" i="1"/>
  <c r="EE1059" i="1"/>
  <c r="EE1060" i="1"/>
  <c r="EE1061" i="1"/>
  <c r="EE1062" i="1"/>
  <c r="EE1063" i="1"/>
  <c r="EE1064" i="1"/>
  <c r="EE1066" i="1"/>
  <c r="EE1067" i="1"/>
  <c r="EE1068" i="1"/>
  <c r="EE1069" i="1"/>
  <c r="EE1070" i="1"/>
  <c r="EE1071" i="1"/>
  <c r="EE1072" i="1"/>
  <c r="EE1073" i="1"/>
  <c r="EE1075" i="1"/>
  <c r="EE1076" i="1"/>
  <c r="EE1077" i="1"/>
  <c r="EE1079" i="1"/>
  <c r="EE1080" i="1"/>
  <c r="EE1081" i="1"/>
  <c r="EE1082" i="1"/>
  <c r="EE1083" i="1"/>
  <c r="EE1084" i="1"/>
  <c r="EE1086" i="1"/>
  <c r="EE1087" i="1"/>
  <c r="EE1088" i="1"/>
  <c r="EE1089" i="1"/>
  <c r="EE1090" i="1"/>
  <c r="EE1091" i="1"/>
  <c r="EE1092" i="1"/>
  <c r="EE1093" i="1"/>
  <c r="EE1094" i="1"/>
  <c r="EE1096" i="1"/>
  <c r="EE1097" i="1"/>
  <c r="EE1098" i="1"/>
  <c r="EE1099" i="1"/>
  <c r="EE1100" i="1"/>
  <c r="EE1101" i="1"/>
  <c r="EE1102" i="1"/>
  <c r="EE1103" i="1"/>
  <c r="EE1104" i="1"/>
  <c r="EE1105" i="1"/>
  <c r="EE1106" i="1"/>
  <c r="EE1108" i="1"/>
  <c r="EE1109" i="1"/>
  <c r="EE1110" i="1"/>
  <c r="EE1111" i="1"/>
  <c r="EE1112" i="1"/>
  <c r="EE1113" i="1"/>
  <c r="EE1115" i="1"/>
  <c r="EE1116" i="1"/>
  <c r="EE1117" i="1"/>
  <c r="EE1118" i="1"/>
  <c r="EE1120" i="1"/>
  <c r="EE1122" i="1"/>
  <c r="EE1123" i="1"/>
  <c r="EE1124" i="1"/>
  <c r="EE1126" i="1"/>
  <c r="EE1127" i="1"/>
  <c r="EE1128" i="1"/>
  <c r="EE1129" i="1"/>
  <c r="EE1130" i="1"/>
  <c r="EE1132" i="1"/>
  <c r="EE1133" i="1"/>
  <c r="EE1135" i="1"/>
  <c r="EE1136" i="1"/>
  <c r="EE1137" i="1"/>
  <c r="EE1138" i="1"/>
  <c r="EE1139" i="1"/>
  <c r="EE1140" i="1"/>
  <c r="EE1142" i="1"/>
  <c r="EE1143" i="1"/>
  <c r="EE1144" i="1"/>
  <c r="EE1145" i="1"/>
  <c r="EE1146" i="1"/>
  <c r="EE1147" i="1"/>
  <c r="EE1148" i="1"/>
  <c r="EE1149" i="1"/>
  <c r="EE1150" i="1"/>
  <c r="EE1152" i="1"/>
  <c r="EE1153" i="1"/>
  <c r="EE1154" i="1"/>
  <c r="EE1155" i="1"/>
  <c r="EE1157" i="1"/>
  <c r="EE1158" i="1"/>
  <c r="EE1159" i="1"/>
  <c r="EE1160" i="1"/>
  <c r="EE1161" i="1"/>
  <c r="EE1162" i="1"/>
  <c r="EE1163" i="1"/>
  <c r="EE1164" i="1"/>
  <c r="EE1165" i="1"/>
  <c r="EE1167" i="1"/>
  <c r="EE1168" i="1"/>
  <c r="EE1169" i="1"/>
  <c r="EE1170" i="1"/>
  <c r="EE1172" i="1"/>
  <c r="EE1173" i="1"/>
  <c r="EE1174" i="1"/>
  <c r="EE1175" i="1"/>
  <c r="EE1177" i="1"/>
  <c r="EE1178" i="1"/>
  <c r="EE1179" i="1"/>
  <c r="EE1180" i="1"/>
  <c r="EE1181" i="1"/>
  <c r="EE1182" i="1"/>
  <c r="EE1183" i="1"/>
  <c r="EE1185" i="1"/>
  <c r="EE1186" i="1"/>
  <c r="EE1187" i="1"/>
  <c r="EE1188" i="1"/>
  <c r="EE1189" i="1"/>
  <c r="EE1190" i="1"/>
  <c r="EE1192" i="1"/>
  <c r="EE1194" i="1"/>
  <c r="EE1195" i="1"/>
  <c r="EE1196" i="1"/>
  <c r="EE1199" i="1"/>
  <c r="EE1201" i="1"/>
  <c r="EE1202" i="1"/>
  <c r="EE1203" i="1"/>
  <c r="EE1204" i="1"/>
  <c r="EE1205" i="1"/>
  <c r="EE1206" i="1"/>
  <c r="EE1207" i="1"/>
  <c r="EE1209" i="1"/>
  <c r="EE1210" i="1"/>
  <c r="EE1211" i="1"/>
  <c r="EE1212" i="1"/>
  <c r="EE1213" i="1"/>
  <c r="EE1214" i="1"/>
  <c r="EE1215" i="1"/>
  <c r="EE1216" i="1"/>
  <c r="EE1217" i="1"/>
  <c r="EE1219" i="1"/>
  <c r="EE1220" i="1"/>
  <c r="EE1222" i="1"/>
  <c r="EE1223" i="1"/>
  <c r="EE1224" i="1"/>
  <c r="EE1225" i="1"/>
  <c r="EE1226" i="1"/>
  <c r="EE1227" i="1"/>
  <c r="EE1229" i="1"/>
  <c r="EE1230" i="1"/>
  <c r="EE1231" i="1"/>
  <c r="EE1232" i="1"/>
  <c r="EE1233" i="1"/>
  <c r="EE1234" i="1"/>
  <c r="EE1235" i="1"/>
  <c r="EE1236" i="1"/>
  <c r="EE1238" i="1"/>
  <c r="EE1240" i="1"/>
  <c r="EE1241" i="1"/>
  <c r="EE1242" i="1"/>
  <c r="EE1244" i="1"/>
  <c r="EE1245" i="1"/>
  <c r="EE1246" i="1"/>
  <c r="EE1247" i="1"/>
  <c r="EE1248" i="1"/>
  <c r="EE1250" i="1"/>
  <c r="EE1251" i="1"/>
  <c r="EE1252" i="1"/>
  <c r="EE1253" i="1"/>
  <c r="EE1254" i="1"/>
  <c r="EE1255" i="1"/>
  <c r="EE1256" i="1"/>
  <c r="EE1257" i="1"/>
  <c r="EE1258" i="1"/>
  <c r="EE1259" i="1"/>
  <c r="EE1261" i="1"/>
  <c r="EE1262" i="1"/>
  <c r="EE1263" i="1"/>
  <c r="EE1265" i="1"/>
  <c r="EE1266" i="1"/>
  <c r="EE1267" i="1"/>
  <c r="EE1268" i="1"/>
  <c r="EE1272" i="1"/>
  <c r="EE1274" i="1"/>
  <c r="EE1275" i="1"/>
  <c r="EE1276" i="1"/>
  <c r="EE1277" i="1"/>
  <c r="EE1278" i="1"/>
  <c r="EE1279" i="1"/>
  <c r="EE1280" i="1"/>
  <c r="EE1282" i="1"/>
  <c r="EE1283" i="1"/>
  <c r="EE1284" i="1"/>
  <c r="EE1285" i="1"/>
  <c r="EE1286" i="1"/>
  <c r="EE1287" i="1"/>
  <c r="EE1288" i="1"/>
  <c r="EE1289" i="1"/>
  <c r="EE1291" i="1"/>
  <c r="EE1292" i="1"/>
  <c r="EE1293" i="1"/>
  <c r="EE1294" i="1"/>
  <c r="EE1295" i="1"/>
  <c r="EE1296" i="1"/>
  <c r="EE1297" i="1"/>
  <c r="EE1298" i="1"/>
  <c r="EE1299" i="1"/>
  <c r="EE1300" i="1"/>
  <c r="EE1301" i="1"/>
  <c r="EE1303" i="1"/>
  <c r="EE1304" i="1"/>
  <c r="EE1305" i="1"/>
  <c r="EE1306" i="1"/>
  <c r="EE1307" i="1"/>
  <c r="EE1308" i="1"/>
  <c r="EE1309" i="1"/>
  <c r="EE1310" i="1"/>
  <c r="EE1311" i="1"/>
  <c r="EE1312" i="1"/>
  <c r="EE1313" i="1"/>
  <c r="EF67" i="1"/>
  <c r="EF68" i="1"/>
  <c r="EF69" i="1"/>
  <c r="EF70" i="1"/>
  <c r="EF71" i="1"/>
  <c r="EF72" i="1"/>
  <c r="EF73" i="1"/>
  <c r="EF74" i="1"/>
  <c r="BQ76" i="1"/>
  <c r="EF76" i="1" s="1"/>
  <c r="EF77" i="1"/>
  <c r="EF78" i="1"/>
  <c r="EF79" i="1"/>
  <c r="EF80" i="1"/>
  <c r="EF81" i="1"/>
  <c r="EF82" i="1"/>
  <c r="BQ84" i="1"/>
  <c r="EF84" i="1" s="1"/>
  <c r="EF85" i="1"/>
  <c r="EF86" i="1"/>
  <c r="EF87" i="1"/>
  <c r="EF88" i="1"/>
  <c r="EF89" i="1"/>
  <c r="EF90" i="1"/>
  <c r="EF92" i="1"/>
  <c r="EF93" i="1"/>
  <c r="EF94" i="1"/>
  <c r="EF95" i="1"/>
  <c r="EF96" i="1"/>
  <c r="EF97" i="1"/>
  <c r="EF98" i="1"/>
  <c r="EF101" i="1"/>
  <c r="BQ103" i="1"/>
  <c r="EF103" i="1"/>
  <c r="EF104" i="1"/>
  <c r="EF105" i="1"/>
  <c r="EF106" i="1"/>
  <c r="EF107" i="1"/>
  <c r="EF108" i="1"/>
  <c r="EF109" i="1"/>
  <c r="EF111" i="1"/>
  <c r="EF112" i="1"/>
  <c r="EF113" i="1"/>
  <c r="EF114" i="1"/>
  <c r="EF115" i="1"/>
  <c r="EF116" i="1"/>
  <c r="EF117" i="1"/>
  <c r="EF118" i="1"/>
  <c r="EF119" i="1"/>
  <c r="EF120" i="1"/>
  <c r="EF122" i="1"/>
  <c r="EF124" i="1"/>
  <c r="EF125" i="1"/>
  <c r="EF126" i="1"/>
  <c r="EF129" i="1"/>
  <c r="EF131" i="1"/>
  <c r="EF132" i="1"/>
  <c r="EF133" i="1"/>
  <c r="EF136" i="1"/>
  <c r="BQ138" i="1"/>
  <c r="EF138" i="1"/>
  <c r="EF139" i="1"/>
  <c r="EF140" i="1"/>
  <c r="EF141" i="1"/>
  <c r="EF142" i="1"/>
  <c r="BQ144" i="1"/>
  <c r="EF144" i="1" s="1"/>
  <c r="EF145" i="1"/>
  <c r="EF146" i="1"/>
  <c r="EF147" i="1"/>
  <c r="EF148" i="1"/>
  <c r="EF149" i="1"/>
  <c r="EF151" i="1"/>
  <c r="EF152" i="1"/>
  <c r="EF153" i="1"/>
  <c r="EF154" i="1"/>
  <c r="EF155" i="1"/>
  <c r="EF156" i="1"/>
  <c r="EF157" i="1"/>
  <c r="EF158" i="1"/>
  <c r="EF160" i="1"/>
  <c r="EF161" i="1"/>
  <c r="EF162" i="1"/>
  <c r="EF163" i="1"/>
  <c r="EF165" i="1"/>
  <c r="EF166" i="1"/>
  <c r="EF167" i="1"/>
  <c r="EF168" i="1"/>
  <c r="EF169" i="1"/>
  <c r="EF170" i="1"/>
  <c r="BQ172" i="1"/>
  <c r="EF172" i="1"/>
  <c r="EF173" i="1"/>
  <c r="EF175" i="1"/>
  <c r="EF176" i="1"/>
  <c r="EF177" i="1"/>
  <c r="EF178" i="1"/>
  <c r="EF179" i="1"/>
  <c r="EF180" i="1"/>
  <c r="EF181" i="1"/>
  <c r="EF182" i="1"/>
  <c r="EF183" i="1"/>
  <c r="EF184" i="1"/>
  <c r="BQ186" i="1"/>
  <c r="EF186" i="1"/>
  <c r="EF187" i="1"/>
  <c r="EF188" i="1"/>
  <c r="EF189" i="1"/>
  <c r="EF190" i="1"/>
  <c r="EF191" i="1"/>
  <c r="EF192" i="1"/>
  <c r="EF193" i="1"/>
  <c r="BQ195" i="1"/>
  <c r="EF195" i="1"/>
  <c r="EF196" i="1"/>
  <c r="EF197" i="1"/>
  <c r="EF198" i="1"/>
  <c r="EF200" i="1"/>
  <c r="EF201" i="1"/>
  <c r="EF202" i="1"/>
  <c r="EF203" i="1"/>
  <c r="EF204" i="1"/>
  <c r="EF205" i="1"/>
  <c r="EF206" i="1"/>
  <c r="EF207" i="1"/>
  <c r="EF209" i="1"/>
  <c r="EF210" i="1"/>
  <c r="EF211" i="1"/>
  <c r="EF212" i="1"/>
  <c r="EF213" i="1"/>
  <c r="EF214" i="1"/>
  <c r="EF215" i="1"/>
  <c r="EF217" i="1"/>
  <c r="EF218" i="1"/>
  <c r="EF219" i="1"/>
  <c r="EF220" i="1"/>
  <c r="EF221" i="1"/>
  <c r="EF222" i="1"/>
  <c r="EF224" i="1"/>
  <c r="EF225" i="1"/>
  <c r="EF226" i="1"/>
  <c r="EF227" i="1"/>
  <c r="EF228" i="1"/>
  <c r="EF229" i="1"/>
  <c r="BQ231" i="1"/>
  <c r="EF231" i="1" s="1"/>
  <c r="EF232" i="1"/>
  <c r="EF233" i="1"/>
  <c r="EF234" i="1"/>
  <c r="EF235" i="1"/>
  <c r="EF236" i="1"/>
  <c r="EF237" i="1"/>
  <c r="EF238" i="1"/>
  <c r="BQ240" i="1"/>
  <c r="EF240" i="1" s="1"/>
  <c r="EF241" i="1"/>
  <c r="EF242" i="1"/>
  <c r="EF243" i="1"/>
  <c r="EF244" i="1"/>
  <c r="EF245" i="1"/>
  <c r="EF246" i="1"/>
  <c r="EF247" i="1"/>
  <c r="EF249" i="1"/>
  <c r="EF250" i="1"/>
  <c r="EF251" i="1"/>
  <c r="EF252" i="1"/>
  <c r="EF253" i="1"/>
  <c r="EF254" i="1"/>
  <c r="EF255" i="1"/>
  <c r="EF256" i="1"/>
  <c r="EF258" i="1"/>
  <c r="EF259" i="1"/>
  <c r="EF260" i="1"/>
  <c r="EF261" i="1"/>
  <c r="EF262" i="1"/>
  <c r="EF263" i="1"/>
  <c r="EF264" i="1"/>
  <c r="EF265" i="1"/>
  <c r="EF266" i="1"/>
  <c r="EF268" i="1"/>
  <c r="EF269" i="1"/>
  <c r="EF270" i="1"/>
  <c r="EF271" i="1"/>
  <c r="EF272" i="1"/>
  <c r="EF273" i="1"/>
  <c r="EF274" i="1"/>
  <c r="EF275" i="1"/>
  <c r="EF276" i="1"/>
  <c r="BQ278" i="1"/>
  <c r="EF278" i="1" s="1"/>
  <c r="EF279" i="1"/>
  <c r="EF280" i="1"/>
  <c r="EF281" i="1"/>
  <c r="EF282" i="1"/>
  <c r="EF283" i="1"/>
  <c r="EF285" i="1"/>
  <c r="EF286" i="1"/>
  <c r="EF287" i="1"/>
  <c r="EF288" i="1"/>
  <c r="EF291" i="1"/>
  <c r="EF292" i="1"/>
  <c r="EF293" i="1"/>
  <c r="EF294" i="1"/>
  <c r="EF296" i="1"/>
  <c r="EF297" i="1"/>
  <c r="EF298" i="1"/>
  <c r="EF299" i="1"/>
  <c r="EF300" i="1"/>
  <c r="EF301" i="1"/>
  <c r="EF302" i="1"/>
  <c r="EF303" i="1"/>
  <c r="EF306" i="1"/>
  <c r="EF307" i="1"/>
  <c r="EF308" i="1"/>
  <c r="EF309" i="1"/>
  <c r="EF310" i="1"/>
  <c r="EF311" i="1"/>
  <c r="EF312" i="1"/>
  <c r="EF313" i="1"/>
  <c r="EF314" i="1"/>
  <c r="EF316" i="1"/>
  <c r="EF317" i="1"/>
  <c r="EF318" i="1"/>
  <c r="EF319" i="1"/>
  <c r="EF320" i="1"/>
  <c r="EF321" i="1"/>
  <c r="EF322" i="1"/>
  <c r="EF323" i="1"/>
  <c r="EF324" i="1"/>
  <c r="EF325" i="1"/>
  <c r="EF326" i="1"/>
  <c r="EF327" i="1"/>
  <c r="EF329" i="1"/>
  <c r="EF330" i="1"/>
  <c r="EF332" i="1"/>
  <c r="EF333" i="1"/>
  <c r="EF334" i="1"/>
  <c r="EF335" i="1"/>
  <c r="EF336" i="1"/>
  <c r="EF337" i="1"/>
  <c r="EF338" i="1"/>
  <c r="EF340" i="1"/>
  <c r="EF341" i="1"/>
  <c r="EF342" i="1"/>
  <c r="EF343" i="1"/>
  <c r="EF344" i="1"/>
  <c r="EF345" i="1"/>
  <c r="EF346" i="1"/>
  <c r="EF347" i="1"/>
  <c r="EF348" i="1"/>
  <c r="EF349" i="1"/>
  <c r="EF351" i="1"/>
  <c r="EF352" i="1"/>
  <c r="EF353" i="1"/>
  <c r="EF354" i="1"/>
  <c r="EF355" i="1"/>
  <c r="EF356" i="1"/>
  <c r="BQ358" i="1"/>
  <c r="EF358" i="1" s="1"/>
  <c r="EF359" i="1"/>
  <c r="EF360" i="1"/>
  <c r="EF361" i="1"/>
  <c r="EF362" i="1"/>
  <c r="EF363" i="1"/>
  <c r="EF364" i="1"/>
  <c r="EF365" i="1"/>
  <c r="BQ367" i="1"/>
  <c r="EF367" i="1" s="1"/>
  <c r="EF368" i="1"/>
  <c r="EF369" i="1"/>
  <c r="EF371" i="1"/>
  <c r="EF372" i="1"/>
  <c r="EF373" i="1"/>
  <c r="EF375" i="1"/>
  <c r="EF376" i="1"/>
  <c r="EF378" i="1"/>
  <c r="EF379" i="1"/>
  <c r="EF380" i="1"/>
  <c r="EF381" i="1"/>
  <c r="EF382" i="1"/>
  <c r="EF383" i="1"/>
  <c r="BQ385" i="1"/>
  <c r="EF385" i="1" s="1"/>
  <c r="EF386" i="1"/>
  <c r="EF387" i="1"/>
  <c r="EF388" i="1"/>
  <c r="EF389" i="1"/>
  <c r="EF390" i="1"/>
  <c r="EF391" i="1"/>
  <c r="EF393" i="1"/>
  <c r="EF394" i="1"/>
  <c r="EF395" i="1"/>
  <c r="EF396" i="1"/>
  <c r="EF397" i="1"/>
  <c r="EF398" i="1"/>
  <c r="EF399" i="1"/>
  <c r="EF400" i="1"/>
  <c r="EF401" i="1"/>
  <c r="EF403" i="1"/>
  <c r="EF404" i="1"/>
  <c r="EF405" i="1"/>
  <c r="EF406" i="1"/>
  <c r="EF407" i="1"/>
  <c r="EF408" i="1"/>
  <c r="EF409" i="1"/>
  <c r="EF410" i="1"/>
  <c r="EF411" i="1"/>
  <c r="EF413" i="1"/>
  <c r="EF414" i="1"/>
  <c r="EF415" i="1"/>
  <c r="EF416" i="1"/>
  <c r="EF417" i="1"/>
  <c r="EF418" i="1"/>
  <c r="EF421" i="1"/>
  <c r="EF422" i="1"/>
  <c r="EF423" i="1"/>
  <c r="EF424" i="1"/>
  <c r="EF425" i="1"/>
  <c r="EF426" i="1"/>
  <c r="EF427" i="1"/>
  <c r="EF428" i="1"/>
  <c r="EF430" i="1"/>
  <c r="EF431" i="1"/>
  <c r="EF432" i="1"/>
  <c r="EF433" i="1"/>
  <c r="EF434" i="1"/>
  <c r="EF435" i="1"/>
  <c r="EF436" i="1"/>
  <c r="EF438" i="1"/>
  <c r="EF439" i="1"/>
  <c r="EF440" i="1"/>
  <c r="EF441" i="1"/>
  <c r="EF442" i="1"/>
  <c r="EF443" i="1"/>
  <c r="EF445" i="1"/>
  <c r="EF446" i="1"/>
  <c r="EF447" i="1"/>
  <c r="EF448" i="1"/>
  <c r="EF449" i="1"/>
  <c r="EF450" i="1"/>
  <c r="EF451" i="1"/>
  <c r="EF452" i="1"/>
  <c r="BQ454" i="1"/>
  <c r="EF454" i="1"/>
  <c r="EF455" i="1"/>
  <c r="EF456" i="1"/>
  <c r="EF457" i="1"/>
  <c r="EF459" i="1"/>
  <c r="EF460" i="1"/>
  <c r="EF461" i="1"/>
  <c r="EF462" i="1"/>
  <c r="EF463" i="1"/>
  <c r="EF464" i="1"/>
  <c r="EF465" i="1"/>
  <c r="EF466" i="1"/>
  <c r="EF468" i="1"/>
  <c r="EF469" i="1"/>
  <c r="EF470" i="1"/>
  <c r="EF471" i="1"/>
  <c r="EF472" i="1"/>
  <c r="EF473" i="1"/>
  <c r="EF474" i="1"/>
  <c r="EF475" i="1"/>
  <c r="EF476" i="1"/>
  <c r="EF478" i="1"/>
  <c r="EF479" i="1"/>
  <c r="EF480" i="1"/>
  <c r="EF481" i="1"/>
  <c r="EF482" i="1"/>
  <c r="EF483" i="1"/>
  <c r="EF485" i="1"/>
  <c r="EF486" i="1"/>
  <c r="EF487" i="1"/>
  <c r="EF488" i="1"/>
  <c r="EF489" i="1"/>
  <c r="EF490" i="1"/>
  <c r="EF491" i="1"/>
  <c r="EF492" i="1"/>
  <c r="EF493" i="1"/>
  <c r="EF495" i="1"/>
  <c r="EF496" i="1"/>
  <c r="EF497" i="1"/>
  <c r="EF498" i="1"/>
  <c r="EF499" i="1"/>
  <c r="EF500" i="1"/>
  <c r="BQ502" i="1"/>
  <c r="EF502" i="1" s="1"/>
  <c r="EF503" i="1"/>
  <c r="EF504" i="1"/>
  <c r="EF505" i="1"/>
  <c r="EF506" i="1"/>
  <c r="EF507" i="1"/>
  <c r="EF508" i="1"/>
  <c r="EF510" i="1"/>
  <c r="EF511" i="1"/>
  <c r="EF512" i="1"/>
  <c r="EF514" i="1"/>
  <c r="EF515" i="1"/>
  <c r="EF516" i="1"/>
  <c r="EF517" i="1"/>
  <c r="EF518" i="1"/>
  <c r="EF520" i="1"/>
  <c r="EF521" i="1"/>
  <c r="EF522" i="1"/>
  <c r="EF523" i="1"/>
  <c r="EF524" i="1"/>
  <c r="EF525" i="1"/>
  <c r="EF526" i="1"/>
  <c r="EF527" i="1"/>
  <c r="EF529" i="1"/>
  <c r="EF530" i="1"/>
  <c r="EF531" i="1"/>
  <c r="EF532" i="1"/>
  <c r="EF533" i="1"/>
  <c r="EF534" i="1"/>
  <c r="EF535" i="1"/>
  <c r="EF536" i="1"/>
  <c r="EF538" i="1"/>
  <c r="EF539" i="1"/>
  <c r="EF540" i="1"/>
  <c r="EF541" i="1"/>
  <c r="EF542" i="1"/>
  <c r="EF543" i="1"/>
  <c r="EF544" i="1"/>
  <c r="EF545" i="1"/>
  <c r="EF546" i="1"/>
  <c r="EF548" i="1"/>
  <c r="EF549" i="1"/>
  <c r="EF550" i="1"/>
  <c r="EF551" i="1"/>
  <c r="EF552" i="1"/>
  <c r="EF553" i="1"/>
  <c r="EF554" i="1"/>
  <c r="EF555" i="1"/>
  <c r="EF557" i="1"/>
  <c r="EF558" i="1"/>
  <c r="EF559" i="1"/>
  <c r="EF560" i="1"/>
  <c r="EF561" i="1"/>
  <c r="EF562" i="1"/>
  <c r="EF563" i="1"/>
  <c r="EF564" i="1"/>
  <c r="EF565" i="1"/>
  <c r="EF566" i="1"/>
  <c r="EF567" i="1"/>
  <c r="EF569" i="1"/>
  <c r="EF570" i="1"/>
  <c r="EF572" i="1"/>
  <c r="EF573" i="1"/>
  <c r="EF574" i="1"/>
  <c r="EF576" i="1"/>
  <c r="EF577" i="1"/>
  <c r="EF578" i="1"/>
  <c r="EF579" i="1"/>
  <c r="EF580" i="1"/>
  <c r="EF581" i="1"/>
  <c r="BQ583" i="1"/>
  <c r="EF583" i="1"/>
  <c r="EF584" i="1"/>
  <c r="EF586" i="1"/>
  <c r="EF587" i="1"/>
  <c r="EF588" i="1"/>
  <c r="EF590" i="1"/>
  <c r="EF591" i="1"/>
  <c r="EF592" i="1"/>
  <c r="EF593" i="1"/>
  <c r="EF594" i="1"/>
  <c r="EF595" i="1"/>
  <c r="EF596" i="1"/>
  <c r="EF597" i="1"/>
  <c r="EF598" i="1"/>
  <c r="EF600" i="1"/>
  <c r="EF601" i="1"/>
  <c r="EF603" i="1"/>
  <c r="EF604" i="1"/>
  <c r="EF605" i="1"/>
  <c r="EF607" i="1"/>
  <c r="EF608" i="1"/>
  <c r="EF609" i="1"/>
  <c r="EF610" i="1"/>
  <c r="EF611" i="1"/>
  <c r="EF612" i="1"/>
  <c r="BQ614" i="1"/>
  <c r="EF614" i="1"/>
  <c r="EF615" i="1"/>
  <c r="EF616" i="1"/>
  <c r="EF617" i="1"/>
  <c r="EF618" i="1"/>
  <c r="EF619" i="1"/>
  <c r="EF620" i="1"/>
  <c r="EF622" i="1"/>
  <c r="EF623" i="1"/>
  <c r="EF624" i="1"/>
  <c r="EF625" i="1"/>
  <c r="EF626" i="1"/>
  <c r="EF628" i="1"/>
  <c r="EF629" i="1"/>
  <c r="EF630" i="1"/>
  <c r="EF631" i="1"/>
  <c r="EF632" i="1"/>
  <c r="EF633" i="1"/>
  <c r="EF634" i="1"/>
  <c r="BQ636" i="1"/>
  <c r="EF636" i="1"/>
  <c r="EF637" i="1"/>
  <c r="EF638" i="1"/>
  <c r="EF639" i="1"/>
  <c r="EF641" i="1"/>
  <c r="BQ643" i="1"/>
  <c r="EF643" i="1" s="1"/>
  <c r="EF644" i="1"/>
  <c r="EF645" i="1"/>
  <c r="BQ647" i="1"/>
  <c r="EF647" i="1" s="1"/>
  <c r="EF648" i="1"/>
  <c r="EF649" i="1"/>
  <c r="EF650" i="1"/>
  <c r="EF651" i="1"/>
  <c r="EF652" i="1"/>
  <c r="BQ654" i="1"/>
  <c r="EF654" i="1"/>
  <c r="EF655" i="1"/>
  <c r="EF656" i="1"/>
  <c r="EF657" i="1"/>
  <c r="EF658" i="1"/>
  <c r="EF659" i="1"/>
  <c r="EF660" i="1"/>
  <c r="BQ662" i="1"/>
  <c r="EF662" i="1" s="1"/>
  <c r="EF663" i="1"/>
  <c r="EF665" i="1"/>
  <c r="EF666" i="1"/>
  <c r="EF667" i="1"/>
  <c r="EF669" i="1"/>
  <c r="EF670" i="1"/>
  <c r="EF671" i="1"/>
  <c r="EF672" i="1"/>
  <c r="EF674" i="1"/>
  <c r="EF675" i="1"/>
  <c r="EF676" i="1"/>
  <c r="EF677" i="1"/>
  <c r="EF678" i="1"/>
  <c r="EF679" i="1"/>
  <c r="EF681" i="1"/>
  <c r="EF682" i="1"/>
  <c r="EF683" i="1"/>
  <c r="EF684" i="1"/>
  <c r="EF685" i="1"/>
  <c r="EF686" i="1"/>
  <c r="EF687" i="1"/>
  <c r="EF688" i="1"/>
  <c r="EF689" i="1"/>
  <c r="EF690" i="1"/>
  <c r="EF691" i="1"/>
  <c r="BQ693" i="1"/>
  <c r="EF693" i="1" s="1"/>
  <c r="EF694" i="1"/>
  <c r="EF695" i="1"/>
  <c r="EF696" i="1"/>
  <c r="BQ698" i="1"/>
  <c r="EF698" i="1"/>
  <c r="EF699" i="1"/>
  <c r="BQ702" i="1"/>
  <c r="EF702" i="1"/>
  <c r="EF703" i="1"/>
  <c r="EF704" i="1"/>
  <c r="EF706" i="1"/>
  <c r="EF707" i="1"/>
  <c r="EF708" i="1"/>
  <c r="EF709" i="1"/>
  <c r="EF711" i="1"/>
  <c r="EF712" i="1"/>
  <c r="EF713" i="1"/>
  <c r="EF714" i="1"/>
  <c r="EF715" i="1"/>
  <c r="EF716" i="1"/>
  <c r="EF717" i="1"/>
  <c r="EF718" i="1"/>
  <c r="EF720" i="1"/>
  <c r="EF721" i="1"/>
  <c r="EF723" i="1"/>
  <c r="EF724" i="1"/>
  <c r="EF725" i="1"/>
  <c r="EF726" i="1"/>
  <c r="EF729" i="1"/>
  <c r="EF731" i="1"/>
  <c r="EF732" i="1"/>
  <c r="EF733" i="1"/>
  <c r="EF734" i="1"/>
  <c r="EF735" i="1"/>
  <c r="EF736" i="1"/>
  <c r="EF738" i="1"/>
  <c r="EF739" i="1"/>
  <c r="EF740" i="1"/>
  <c r="EF741" i="1"/>
  <c r="EF742" i="1"/>
  <c r="EF743" i="1"/>
  <c r="EF744" i="1"/>
  <c r="EF745" i="1"/>
  <c r="EF748" i="1"/>
  <c r="EF750" i="1"/>
  <c r="EF751" i="1"/>
  <c r="EF752" i="1"/>
  <c r="EF753" i="1"/>
  <c r="EF754" i="1"/>
  <c r="EF755" i="1"/>
  <c r="EF756" i="1"/>
  <c r="EF758" i="1"/>
  <c r="EF760" i="1"/>
  <c r="EF761" i="1"/>
  <c r="EF763" i="1"/>
  <c r="EF764" i="1"/>
  <c r="EF766" i="1"/>
  <c r="EF767" i="1"/>
  <c r="EF768" i="1"/>
  <c r="EF769" i="1"/>
  <c r="BQ774" i="1"/>
  <c r="EF774" i="1"/>
  <c r="EF775" i="1"/>
  <c r="EF777" i="1"/>
  <c r="EF778" i="1"/>
  <c r="EF779" i="1"/>
  <c r="EF780" i="1"/>
  <c r="EF782" i="1"/>
  <c r="EF783" i="1"/>
  <c r="EF784" i="1"/>
  <c r="EF785" i="1"/>
  <c r="EF786" i="1"/>
  <c r="EF787" i="1"/>
  <c r="BQ789" i="1"/>
  <c r="EF789" i="1"/>
  <c r="EF790" i="1"/>
  <c r="EF791" i="1"/>
  <c r="EF793" i="1"/>
  <c r="EF794" i="1"/>
  <c r="EF795" i="1"/>
  <c r="EF796" i="1"/>
  <c r="EF797" i="1"/>
  <c r="EF798" i="1"/>
  <c r="EF800" i="1"/>
  <c r="EF801" i="1"/>
  <c r="EF802" i="1"/>
  <c r="EF803" i="1"/>
  <c r="EF804" i="1"/>
  <c r="EF805" i="1"/>
  <c r="EF806" i="1"/>
  <c r="EF807" i="1"/>
  <c r="EF808" i="1"/>
  <c r="BQ810" i="1"/>
  <c r="EF810" i="1" s="1"/>
  <c r="EF811" i="1"/>
  <c r="EF812" i="1"/>
  <c r="EF813" i="1"/>
  <c r="EF814" i="1"/>
  <c r="EF815" i="1"/>
  <c r="EF816" i="1"/>
  <c r="EF818" i="1"/>
  <c r="EF819" i="1"/>
  <c r="EF820" i="1"/>
  <c r="BQ822" i="1"/>
  <c r="EF822" i="1"/>
  <c r="EF823" i="1"/>
  <c r="EF824" i="1"/>
  <c r="EF825" i="1"/>
  <c r="EF826" i="1"/>
  <c r="EF827" i="1"/>
  <c r="BQ829" i="1"/>
  <c r="EF829" i="1"/>
  <c r="EF830" i="1"/>
  <c r="EF831" i="1"/>
  <c r="EF832" i="1"/>
  <c r="EF834" i="1"/>
  <c r="EF835" i="1"/>
  <c r="EF836" i="1"/>
  <c r="EF838" i="1"/>
  <c r="EF839" i="1"/>
  <c r="EF840" i="1"/>
  <c r="EF841" i="1"/>
  <c r="EF842" i="1"/>
  <c r="EF843" i="1"/>
  <c r="EF845" i="1"/>
  <c r="EF846" i="1"/>
  <c r="EF847" i="1"/>
  <c r="EF848" i="1"/>
  <c r="EF849" i="1"/>
  <c r="EF850" i="1"/>
  <c r="EF852" i="1"/>
  <c r="EF854" i="1"/>
  <c r="EF855" i="1"/>
  <c r="EF856" i="1"/>
  <c r="EF857" i="1"/>
  <c r="EF859" i="1"/>
  <c r="EF860" i="1"/>
  <c r="EF862" i="1"/>
  <c r="EF863" i="1"/>
  <c r="EF864" i="1"/>
  <c r="EF865" i="1"/>
  <c r="EF866" i="1"/>
  <c r="EF867" i="1"/>
  <c r="EF868" i="1"/>
  <c r="EF869" i="1"/>
  <c r="EF870" i="1"/>
  <c r="EF872" i="1"/>
  <c r="EF873" i="1"/>
  <c r="EF874" i="1"/>
  <c r="EF875" i="1"/>
  <c r="EF876" i="1"/>
  <c r="EF877" i="1"/>
  <c r="EF878" i="1"/>
  <c r="EF879" i="1"/>
  <c r="EF880" i="1"/>
  <c r="EF881" i="1"/>
  <c r="EF884" i="1"/>
  <c r="EF886" i="1"/>
  <c r="EF887" i="1"/>
  <c r="EF888" i="1"/>
  <c r="EF889" i="1"/>
  <c r="EF890" i="1"/>
  <c r="EF891" i="1"/>
  <c r="EF892" i="1"/>
  <c r="EF893" i="1"/>
  <c r="EF894" i="1"/>
  <c r="EF895" i="1"/>
  <c r="BQ897" i="1"/>
  <c r="EF897" i="1"/>
  <c r="EF898" i="1"/>
  <c r="EF899" i="1"/>
  <c r="EF900" i="1"/>
  <c r="EF901" i="1"/>
  <c r="EF902" i="1"/>
  <c r="EF904" i="1"/>
  <c r="EF905" i="1"/>
  <c r="EF906" i="1"/>
  <c r="EF908" i="1"/>
  <c r="EF909" i="1"/>
  <c r="EF910" i="1"/>
  <c r="EF911" i="1"/>
  <c r="EF912" i="1"/>
  <c r="EF913" i="1"/>
  <c r="EF915" i="1"/>
  <c r="EF916" i="1"/>
  <c r="EF917" i="1"/>
  <c r="EF918" i="1"/>
  <c r="EF919" i="1"/>
  <c r="EF920" i="1"/>
  <c r="EF921" i="1"/>
  <c r="EF922" i="1"/>
  <c r="EF923" i="1"/>
  <c r="EF924" i="1"/>
  <c r="EF925" i="1"/>
  <c r="EF927" i="1"/>
  <c r="EF928" i="1"/>
  <c r="EF929" i="1"/>
  <c r="EF930" i="1"/>
  <c r="EF931" i="1"/>
  <c r="EF932" i="1"/>
  <c r="EF933" i="1"/>
  <c r="EF935" i="1"/>
  <c r="EF936" i="1"/>
  <c r="EF937" i="1"/>
  <c r="EF938" i="1"/>
  <c r="EF939" i="1"/>
  <c r="EF940" i="1"/>
  <c r="EF941" i="1"/>
  <c r="EF943" i="1"/>
  <c r="EF944" i="1"/>
  <c r="EF945" i="1"/>
  <c r="EF947" i="1"/>
  <c r="EF948" i="1"/>
  <c r="EF950" i="1"/>
  <c r="EF951" i="1"/>
  <c r="EF952" i="1"/>
  <c r="EF953" i="1"/>
  <c r="EF954" i="1"/>
  <c r="EF955" i="1"/>
  <c r="EF956" i="1"/>
  <c r="EF957" i="1"/>
  <c r="EF958" i="1"/>
  <c r="EF960" i="1"/>
  <c r="EF961" i="1"/>
  <c r="EF962" i="1"/>
  <c r="EF963" i="1"/>
  <c r="EF964" i="1"/>
  <c r="EF965" i="1"/>
  <c r="EF966" i="1"/>
  <c r="EF967" i="1"/>
  <c r="EF969" i="1"/>
  <c r="EF970" i="1"/>
  <c r="EF971" i="1"/>
  <c r="EF972" i="1"/>
  <c r="EF973" i="1"/>
  <c r="EF974" i="1"/>
  <c r="EF975" i="1"/>
  <c r="BQ977" i="1"/>
  <c r="EF977" i="1"/>
  <c r="EF978" i="1"/>
  <c r="EF979" i="1"/>
  <c r="EF980" i="1"/>
  <c r="EF981" i="1"/>
  <c r="BQ983" i="1"/>
  <c r="EF983" i="1"/>
  <c r="EF985" i="1"/>
  <c r="EF986" i="1"/>
  <c r="EF987" i="1"/>
  <c r="BQ989" i="1"/>
  <c r="EF989" i="1" s="1"/>
  <c r="EF990" i="1"/>
  <c r="EF991" i="1"/>
  <c r="EF992" i="1"/>
  <c r="EF993" i="1"/>
  <c r="EF994" i="1"/>
  <c r="EF996" i="1"/>
  <c r="EF997" i="1"/>
  <c r="EF998" i="1"/>
  <c r="EF999" i="1"/>
  <c r="EF1000" i="1"/>
  <c r="EF1001" i="1"/>
  <c r="EF1002" i="1"/>
  <c r="EF1003" i="1"/>
  <c r="EF1005" i="1"/>
  <c r="EF1006" i="1"/>
  <c r="EF1007" i="1"/>
  <c r="EF1008" i="1"/>
  <c r="EF1009" i="1"/>
  <c r="EF1010" i="1"/>
  <c r="EF1011" i="1"/>
  <c r="EF1013" i="1"/>
  <c r="EF1014" i="1"/>
  <c r="EF1015" i="1"/>
  <c r="EF1016" i="1"/>
  <c r="EF1017" i="1"/>
  <c r="EF1018" i="1"/>
  <c r="EF1019" i="1"/>
  <c r="EF1020" i="1"/>
  <c r="EF1021" i="1"/>
  <c r="EF1022" i="1"/>
  <c r="EF1023" i="1"/>
  <c r="EF1025" i="1"/>
  <c r="EF1026" i="1"/>
  <c r="EF1027" i="1"/>
  <c r="EF1028" i="1"/>
  <c r="EF1029" i="1"/>
  <c r="EF1030" i="1"/>
  <c r="EF1031" i="1"/>
  <c r="EF1032" i="1"/>
  <c r="EF1033" i="1"/>
  <c r="EF1035" i="1"/>
  <c r="EF1036" i="1"/>
  <c r="EF1037" i="1"/>
  <c r="EF1038" i="1"/>
  <c r="EF1039" i="1"/>
  <c r="EF1040" i="1"/>
  <c r="EF1041" i="1"/>
  <c r="EF1042" i="1"/>
  <c r="EF1043" i="1"/>
  <c r="EF1044" i="1"/>
  <c r="EF1046" i="1"/>
  <c r="EF1047" i="1"/>
  <c r="EF1048" i="1"/>
  <c r="EF1051" i="1"/>
  <c r="BQ1053" i="1"/>
  <c r="EF1053" i="1" s="1"/>
  <c r="EF1054" i="1"/>
  <c r="EF1055" i="1"/>
  <c r="EF1056" i="1"/>
  <c r="EF1057" i="1"/>
  <c r="EF1059" i="1"/>
  <c r="EF1060" i="1"/>
  <c r="EF1061" i="1"/>
  <c r="EF1062" i="1"/>
  <c r="EF1063" i="1"/>
  <c r="EF1064" i="1"/>
  <c r="EF1066" i="1"/>
  <c r="EF1067" i="1"/>
  <c r="EF1068" i="1"/>
  <c r="EF1069" i="1"/>
  <c r="EF1070" i="1"/>
  <c r="EF1071" i="1"/>
  <c r="EF1072" i="1"/>
  <c r="EF1073" i="1"/>
  <c r="EF1075" i="1"/>
  <c r="EF1076" i="1"/>
  <c r="EF1077" i="1"/>
  <c r="EF1079" i="1"/>
  <c r="EF1080" i="1"/>
  <c r="EF1081" i="1"/>
  <c r="EF1082" i="1"/>
  <c r="EF1083" i="1"/>
  <c r="EF1084" i="1"/>
  <c r="EF1086" i="1"/>
  <c r="EF1087" i="1"/>
  <c r="EF1088" i="1"/>
  <c r="EF1089" i="1"/>
  <c r="EF1090" i="1"/>
  <c r="EF1091" i="1"/>
  <c r="EF1092" i="1"/>
  <c r="EF1093" i="1"/>
  <c r="EF1094" i="1"/>
  <c r="EF1096" i="1"/>
  <c r="EF1097" i="1"/>
  <c r="EF1098" i="1"/>
  <c r="EF1099" i="1"/>
  <c r="EF1100" i="1"/>
  <c r="EF1101" i="1"/>
  <c r="EF1102" i="1"/>
  <c r="EF1103" i="1"/>
  <c r="EF1104" i="1"/>
  <c r="EF1105" i="1"/>
  <c r="EF1106" i="1"/>
  <c r="BQ1108" i="1"/>
  <c r="EF1108" i="1"/>
  <c r="EF1109" i="1"/>
  <c r="EF1110" i="1"/>
  <c r="EF1111" i="1"/>
  <c r="EF1112" i="1"/>
  <c r="EF1113" i="1"/>
  <c r="EF1115" i="1"/>
  <c r="EF1116" i="1"/>
  <c r="EF1117" i="1"/>
  <c r="EF1118" i="1"/>
  <c r="EF1120" i="1"/>
  <c r="EF1122" i="1"/>
  <c r="EF1123" i="1"/>
  <c r="EF1124" i="1"/>
  <c r="BQ1126" i="1"/>
  <c r="EF1126" i="1" s="1"/>
  <c r="EF1127" i="1"/>
  <c r="EF1128" i="1"/>
  <c r="EF1129" i="1"/>
  <c r="EF1130" i="1"/>
  <c r="EF1132" i="1"/>
  <c r="EF1133" i="1"/>
  <c r="BQ1135" i="1"/>
  <c r="EF1135" i="1" s="1"/>
  <c r="EF1136" i="1"/>
  <c r="EF1137" i="1"/>
  <c r="EF1138" i="1"/>
  <c r="EF1139" i="1"/>
  <c r="EF1140" i="1"/>
  <c r="EF1142" i="1"/>
  <c r="EF1143" i="1"/>
  <c r="EF1144" i="1"/>
  <c r="EF1145" i="1"/>
  <c r="EF1146" i="1"/>
  <c r="EF1147" i="1"/>
  <c r="EF1148" i="1"/>
  <c r="EF1149" i="1"/>
  <c r="EF1150" i="1"/>
  <c r="EF1152" i="1"/>
  <c r="EF1153" i="1"/>
  <c r="EF1154" i="1"/>
  <c r="EF1155" i="1"/>
  <c r="EF1157" i="1"/>
  <c r="EF1158" i="1"/>
  <c r="EF1159" i="1"/>
  <c r="EF1160" i="1"/>
  <c r="EF1161" i="1"/>
  <c r="EF1162" i="1"/>
  <c r="EF1163" i="1"/>
  <c r="EF1164" i="1"/>
  <c r="EF1165" i="1"/>
  <c r="BQ1167" i="1"/>
  <c r="EF1167" i="1" s="1"/>
  <c r="EF1168" i="1"/>
  <c r="EF1169" i="1"/>
  <c r="EF1170" i="1"/>
  <c r="EF1172" i="1"/>
  <c r="EF1173" i="1"/>
  <c r="EF1174" i="1"/>
  <c r="EF1175" i="1"/>
  <c r="EF1177" i="1"/>
  <c r="EF1178" i="1"/>
  <c r="EF1179" i="1"/>
  <c r="EF1180" i="1"/>
  <c r="EF1181" i="1"/>
  <c r="EF1182" i="1"/>
  <c r="EF1183" i="1"/>
  <c r="EF1185" i="1"/>
  <c r="EF1186" i="1"/>
  <c r="EF1187" i="1"/>
  <c r="EF1188" i="1"/>
  <c r="EF1189" i="1"/>
  <c r="EF1190" i="1"/>
  <c r="BQ1192" i="1"/>
  <c r="EF1192" i="1"/>
  <c r="EF1194" i="1"/>
  <c r="EF1195" i="1"/>
  <c r="EF1196" i="1"/>
  <c r="EF1199" i="1"/>
  <c r="EF1201" i="1"/>
  <c r="EF1202" i="1"/>
  <c r="EF1203" i="1"/>
  <c r="EF1204" i="1"/>
  <c r="EF1205" i="1"/>
  <c r="EF1206" i="1"/>
  <c r="EF1207" i="1"/>
  <c r="EF1209" i="1"/>
  <c r="EF1210" i="1"/>
  <c r="EF1211" i="1"/>
  <c r="EF1212" i="1"/>
  <c r="EF1213" i="1"/>
  <c r="EF1214" i="1"/>
  <c r="EF1215" i="1"/>
  <c r="EF1216" i="1"/>
  <c r="EF1217" i="1"/>
  <c r="EF1219" i="1"/>
  <c r="EF1220" i="1"/>
  <c r="EF1222" i="1"/>
  <c r="EF1223" i="1"/>
  <c r="EF1224" i="1"/>
  <c r="EF1225" i="1"/>
  <c r="EF1226" i="1"/>
  <c r="EF1227" i="1"/>
  <c r="EF1229" i="1"/>
  <c r="EF1230" i="1"/>
  <c r="EF1231" i="1"/>
  <c r="EF1232" i="1"/>
  <c r="EF1233" i="1"/>
  <c r="EF1234" i="1"/>
  <c r="EF1235" i="1"/>
  <c r="EF1236" i="1"/>
  <c r="BQ1238" i="1"/>
  <c r="EF1238" i="1" s="1"/>
  <c r="EF1240" i="1"/>
  <c r="EF1241" i="1"/>
  <c r="EF1242" i="1"/>
  <c r="BQ1244" i="1"/>
  <c r="EF1244" i="1"/>
  <c r="EF1245" i="1"/>
  <c r="EF1246" i="1"/>
  <c r="EF1247" i="1"/>
  <c r="EF1248" i="1"/>
  <c r="EF1250" i="1"/>
  <c r="EF1251" i="1"/>
  <c r="EF1252" i="1"/>
  <c r="EF1253" i="1"/>
  <c r="EF1254" i="1"/>
  <c r="EF1255" i="1"/>
  <c r="EF1256" i="1"/>
  <c r="EF1257" i="1"/>
  <c r="EF1258" i="1"/>
  <c r="EF1259" i="1"/>
  <c r="EF1261" i="1"/>
  <c r="EF1262" i="1"/>
  <c r="EF1263" i="1"/>
  <c r="EF1265" i="1"/>
  <c r="EF1266" i="1"/>
  <c r="EF1267" i="1"/>
  <c r="EF1268" i="1"/>
  <c r="EF1272" i="1"/>
  <c r="BQ1274" i="1"/>
  <c r="EF1274" i="1"/>
  <c r="EF1275" i="1"/>
  <c r="EF1276" i="1"/>
  <c r="EF1277" i="1"/>
  <c r="EF1278" i="1"/>
  <c r="EF1279" i="1"/>
  <c r="EF1280" i="1"/>
  <c r="EF1282" i="1"/>
  <c r="EF1283" i="1"/>
  <c r="EF1284" i="1"/>
  <c r="EF1285" i="1"/>
  <c r="EF1286" i="1"/>
  <c r="EF1287" i="1"/>
  <c r="EF1288" i="1"/>
  <c r="EF1289" i="1"/>
  <c r="EF1291" i="1"/>
  <c r="EF1292" i="1"/>
  <c r="EF1293" i="1"/>
  <c r="EF1294" i="1"/>
  <c r="EF1295" i="1"/>
  <c r="EF1296" i="1"/>
  <c r="EF1297" i="1"/>
  <c r="EF1298" i="1"/>
  <c r="EF1299" i="1"/>
  <c r="EF1300" i="1"/>
  <c r="EF1301" i="1"/>
  <c r="EF1303" i="1"/>
  <c r="EF1304" i="1"/>
  <c r="EF1305" i="1"/>
  <c r="EF1306" i="1"/>
  <c r="EF1307" i="1"/>
  <c r="EF1308" i="1"/>
  <c r="EF1309" i="1"/>
  <c r="EF1310" i="1"/>
  <c r="EF1311" i="1"/>
  <c r="EF1312" i="1"/>
  <c r="EF1313" i="1"/>
  <c r="AZ58" i="1"/>
  <c r="AZ33" i="1"/>
  <c r="BA58" i="1"/>
  <c r="BA33" i="1"/>
  <c r="BB58" i="1"/>
  <c r="BB33" i="1" s="1"/>
  <c r="BC58" i="1"/>
  <c r="BC33" i="1" s="1"/>
  <c r="BD58" i="1"/>
  <c r="BD33" i="1"/>
  <c r="BE58" i="1"/>
  <c r="BE33" i="1" s="1"/>
  <c r="BF33" i="1"/>
  <c r="BG33" i="1"/>
  <c r="BH33" i="1"/>
  <c r="BJ33" i="1"/>
  <c r="BL33" i="1"/>
  <c r="BM33" i="1"/>
  <c r="BN33" i="1"/>
  <c r="BO33" i="1"/>
  <c r="BP33" i="1"/>
  <c r="BQ33" i="1"/>
  <c r="X34" i="1"/>
  <c r="Y34" i="1"/>
  <c r="Z34" i="1"/>
  <c r="AA34" i="1"/>
  <c r="AB34" i="1"/>
  <c r="AC34" i="1"/>
  <c r="AD34" i="1"/>
  <c r="AG34" i="1"/>
  <c r="AI34" i="1"/>
  <c r="AJ34" i="1"/>
  <c r="AN34" i="1"/>
  <c r="AO34" i="1"/>
  <c r="AP34" i="1"/>
  <c r="AQ34" i="1"/>
  <c r="AR34" i="1"/>
  <c r="AT34" i="1"/>
  <c r="AU34" i="1"/>
  <c r="AX34" i="1"/>
  <c r="AY34" i="1"/>
  <c r="BB34" i="1"/>
  <c r="BC34" i="1"/>
  <c r="BD34" i="1"/>
  <c r="BE34" i="1"/>
  <c r="BF34" i="1"/>
  <c r="BG34" i="1"/>
  <c r="BI34" i="1"/>
  <c r="BJ34" i="1"/>
  <c r="BK34" i="1"/>
  <c r="BL34" i="1"/>
  <c r="BM34" i="1"/>
  <c r="BN34" i="1"/>
  <c r="BO34" i="1"/>
  <c r="BP34" i="1"/>
  <c r="BQ34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D37" i="1"/>
  <c r="J37" i="1"/>
  <c r="P37" i="1"/>
  <c r="V37" i="1"/>
  <c r="W37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BA42" i="1"/>
  <c r="BB42" i="1"/>
  <c r="BC42" i="1"/>
  <c r="BD42" i="1"/>
  <c r="BE42" i="1"/>
  <c r="BF42" i="1"/>
  <c r="BG42" i="1"/>
  <c r="BH42" i="1"/>
  <c r="BI42" i="1"/>
  <c r="BJ42" i="1"/>
  <c r="BK42" i="1"/>
  <c r="BL42" i="1"/>
  <c r="BM42" i="1"/>
  <c r="BN42" i="1"/>
  <c r="BO42" i="1"/>
  <c r="BP42" i="1"/>
  <c r="BQ42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Z43" i="1"/>
  <c r="BA43" i="1"/>
  <c r="BB43" i="1"/>
  <c r="BC43" i="1"/>
  <c r="BD43" i="1"/>
  <c r="BE43" i="1"/>
  <c r="BF43" i="1"/>
  <c r="BG43" i="1"/>
  <c r="BH43" i="1"/>
  <c r="BI43" i="1"/>
  <c r="BJ43" i="1"/>
  <c r="BK43" i="1"/>
  <c r="BL43" i="1"/>
  <c r="BM43" i="1"/>
  <c r="BN43" i="1"/>
  <c r="BO43" i="1"/>
  <c r="BP43" i="1"/>
  <c r="BQ43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BH44" i="1"/>
  <c r="BI44" i="1"/>
  <c r="BJ44" i="1"/>
  <c r="BK44" i="1"/>
  <c r="BL44" i="1"/>
  <c r="BM44" i="1"/>
  <c r="BN44" i="1"/>
  <c r="BO44" i="1"/>
  <c r="BP44" i="1"/>
  <c r="BQ44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BH45" i="1"/>
  <c r="BI45" i="1"/>
  <c r="BJ45" i="1"/>
  <c r="BK45" i="1"/>
  <c r="BL45" i="1"/>
  <c r="BM45" i="1"/>
  <c r="BN45" i="1"/>
  <c r="BO45" i="1"/>
  <c r="BP45" i="1"/>
  <c r="BQ45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W46" i="1"/>
  <c r="AX46" i="1"/>
  <c r="AY46" i="1"/>
  <c r="AZ46" i="1"/>
  <c r="BA46" i="1"/>
  <c r="BB46" i="1"/>
  <c r="BC46" i="1"/>
  <c r="BD46" i="1"/>
  <c r="BE46" i="1"/>
  <c r="BF46" i="1"/>
  <c r="BG46" i="1"/>
  <c r="BH46" i="1"/>
  <c r="BI46" i="1"/>
  <c r="BJ46" i="1"/>
  <c r="BK46" i="1"/>
  <c r="BL46" i="1"/>
  <c r="BM46" i="1"/>
  <c r="BN46" i="1"/>
  <c r="BO46" i="1"/>
  <c r="BP46" i="1"/>
  <c r="BQ46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BH47" i="1"/>
  <c r="BI47" i="1"/>
  <c r="BJ47" i="1"/>
  <c r="BK47" i="1"/>
  <c r="BL47" i="1"/>
  <c r="BM47" i="1"/>
  <c r="BN47" i="1"/>
  <c r="BO47" i="1"/>
  <c r="BP47" i="1"/>
  <c r="BQ47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I48" i="1"/>
  <c r="AK48" i="1"/>
  <c r="AL48" i="1"/>
  <c r="AX48" i="1"/>
  <c r="AY48" i="1"/>
  <c r="AZ48" i="1"/>
  <c r="BA48" i="1"/>
  <c r="BB48" i="1"/>
  <c r="BE48" i="1"/>
  <c r="BF48" i="1"/>
  <c r="BJ48" i="1"/>
  <c r="BK48" i="1"/>
  <c r="BL48" i="1"/>
  <c r="BM48" i="1"/>
  <c r="BN48" i="1"/>
  <c r="BO48" i="1"/>
  <c r="BP48" i="1"/>
  <c r="BQ48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BA49" i="1"/>
  <c r="BB49" i="1"/>
  <c r="BC49" i="1"/>
  <c r="BD49" i="1"/>
  <c r="BE49" i="1"/>
  <c r="BF49" i="1"/>
  <c r="BO49" i="1"/>
  <c r="BP49" i="1"/>
  <c r="BQ49" i="1"/>
  <c r="D50" i="1"/>
  <c r="E50" i="1"/>
  <c r="F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Z50" i="1"/>
  <c r="BA50" i="1"/>
  <c r="BB50" i="1"/>
  <c r="BC50" i="1"/>
  <c r="BD50" i="1"/>
  <c r="BE50" i="1"/>
  <c r="BF50" i="1"/>
  <c r="BG50" i="1"/>
  <c r="BH50" i="1"/>
  <c r="BI50" i="1"/>
  <c r="BJ50" i="1"/>
  <c r="BK50" i="1"/>
  <c r="BL50" i="1"/>
  <c r="BN50" i="1"/>
  <c r="BO50" i="1"/>
  <c r="BP50" i="1"/>
  <c r="BQ50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BA51" i="1"/>
  <c r="BB51" i="1"/>
  <c r="BC51" i="1"/>
  <c r="BD51" i="1"/>
  <c r="BE51" i="1"/>
  <c r="BF51" i="1"/>
  <c r="BG51" i="1"/>
  <c r="BH51" i="1"/>
  <c r="BI51" i="1"/>
  <c r="BJ51" i="1"/>
  <c r="BK51" i="1"/>
  <c r="BL51" i="1"/>
  <c r="BM51" i="1"/>
  <c r="BN51" i="1"/>
  <c r="BO51" i="1"/>
  <c r="BP51" i="1"/>
  <c r="BQ51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T52" i="1"/>
  <c r="AU52" i="1"/>
  <c r="AV52" i="1"/>
  <c r="AW52" i="1"/>
  <c r="AX52" i="1"/>
  <c r="AY52" i="1"/>
  <c r="AZ52" i="1"/>
  <c r="BA52" i="1"/>
  <c r="BB52" i="1"/>
  <c r="BC52" i="1"/>
  <c r="BD52" i="1"/>
  <c r="BE52" i="1"/>
  <c r="BF52" i="1"/>
  <c r="BG52" i="1"/>
  <c r="BH52" i="1"/>
  <c r="BI52" i="1"/>
  <c r="BJ52" i="1"/>
  <c r="BK52" i="1"/>
  <c r="BL52" i="1"/>
  <c r="BM52" i="1"/>
  <c r="BN52" i="1"/>
  <c r="BO52" i="1"/>
  <c r="BP52" i="1"/>
  <c r="BQ52" i="1"/>
  <c r="W54" i="1"/>
  <c r="W55" i="1" s="1"/>
  <c r="X54" i="1"/>
  <c r="Y54" i="1"/>
  <c r="Y55" i="1" s="1"/>
  <c r="Z54" i="1"/>
  <c r="Z55" i="1" s="1"/>
  <c r="AA54" i="1"/>
  <c r="AB54" i="1"/>
  <c r="AB55" i="1" s="1"/>
  <c r="AC54" i="1"/>
  <c r="AD54" i="1"/>
  <c r="AE54" i="1"/>
  <c r="AF54" i="1"/>
  <c r="AG54" i="1"/>
  <c r="AG55" i="1" s="1"/>
  <c r="AH54" i="1"/>
  <c r="AH55" i="1" s="1"/>
  <c r="AI54" i="1"/>
  <c r="AI55" i="1" s="1"/>
  <c r="AJ54" i="1"/>
  <c r="AK54" i="1"/>
  <c r="AK55" i="1" s="1"/>
  <c r="AL54" i="1"/>
  <c r="AM54" i="1"/>
  <c r="AN54" i="1"/>
  <c r="AO54" i="1"/>
  <c r="AP54" i="1"/>
  <c r="AQ54" i="1"/>
  <c r="AQ55" i="1" s="1"/>
  <c r="AR54" i="1"/>
  <c r="AS54" i="1"/>
  <c r="AS55" i="1" s="1"/>
  <c r="AT54" i="1"/>
  <c r="AT55" i="1" s="1"/>
  <c r="AU54" i="1"/>
  <c r="AV54" i="1"/>
  <c r="AV55" i="1" s="1"/>
  <c r="AW54" i="1"/>
  <c r="AX54" i="1"/>
  <c r="AY54" i="1"/>
  <c r="AZ54" i="1"/>
  <c r="BA54" i="1"/>
  <c r="BA55" i="1" s="1"/>
  <c r="BB54" i="1"/>
  <c r="BB55" i="1" s="1"/>
  <c r="BC54" i="1"/>
  <c r="BC55" i="1" s="1"/>
  <c r="BD54" i="1"/>
  <c r="BE54" i="1"/>
  <c r="BE55" i="1" s="1"/>
  <c r="BF54" i="1"/>
  <c r="BG54" i="1"/>
  <c r="BH54" i="1"/>
  <c r="BI54" i="1"/>
  <c r="BJ54" i="1"/>
  <c r="BK54" i="1"/>
  <c r="BK55" i="1" s="1"/>
  <c r="BL54" i="1"/>
  <c r="BL55" i="1" s="1"/>
  <c r="BM54" i="1"/>
  <c r="BM55" i="1" s="1"/>
  <c r="BN54" i="1"/>
  <c r="BN55" i="1" s="1"/>
  <c r="BO54" i="1"/>
  <c r="BO55" i="1" s="1"/>
  <c r="BP54" i="1"/>
  <c r="BP55" i="1" s="1"/>
  <c r="BQ54" i="1"/>
  <c r="X55" i="1"/>
  <c r="AA55" i="1"/>
  <c r="AC55" i="1"/>
  <c r="AD55" i="1"/>
  <c r="AE55" i="1"/>
  <c r="AF55" i="1"/>
  <c r="AJ55" i="1"/>
  <c r="AL55" i="1"/>
  <c r="AM55" i="1"/>
  <c r="AN55" i="1"/>
  <c r="AO55" i="1"/>
  <c r="AP55" i="1"/>
  <c r="AR55" i="1"/>
  <c r="AU55" i="1"/>
  <c r="AW55" i="1"/>
  <c r="AX55" i="1"/>
  <c r="AY55" i="1"/>
  <c r="AZ55" i="1"/>
  <c r="BD55" i="1"/>
  <c r="BF55" i="1"/>
  <c r="BG55" i="1"/>
  <c r="BH55" i="1"/>
  <c r="BI55" i="1"/>
  <c r="BJ55" i="1"/>
  <c r="BQ55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J56" i="1"/>
  <c r="AK56" i="1"/>
  <c r="AL56" i="1"/>
  <c r="AM56" i="1"/>
  <c r="AN56" i="1"/>
  <c r="AO56" i="1"/>
  <c r="AP56" i="1"/>
  <c r="AQ56" i="1"/>
  <c r="AR56" i="1"/>
  <c r="AS56" i="1"/>
  <c r="AT56" i="1"/>
  <c r="AV56" i="1"/>
  <c r="AW56" i="1"/>
  <c r="AX56" i="1"/>
  <c r="AY56" i="1"/>
  <c r="AZ56" i="1"/>
  <c r="BA56" i="1"/>
  <c r="BB56" i="1"/>
  <c r="BC56" i="1"/>
  <c r="BD56" i="1"/>
  <c r="BE56" i="1"/>
  <c r="BF56" i="1"/>
  <c r="BG56" i="1"/>
  <c r="BI56" i="1"/>
  <c r="BJ56" i="1"/>
  <c r="BL56" i="1"/>
  <c r="BP56" i="1"/>
  <c r="BQ56" i="1"/>
  <c r="T1347" i="1"/>
  <c r="U1347" i="1" s="1"/>
  <c r="V1347" i="1" s="1"/>
  <c r="W1347" i="1" s="1"/>
  <c r="X1347" i="1" s="1"/>
  <c r="Y1347" i="1" s="1"/>
  <c r="Z1347" i="1" s="1"/>
  <c r="AA1347" i="1" s="1"/>
  <c r="AB1347" i="1" s="1"/>
  <c r="AC1347" i="1" s="1"/>
  <c r="AD1347" i="1" s="1"/>
  <c r="BN1364" i="1"/>
  <c r="BR1364" i="1"/>
  <c r="BN1365" i="1"/>
  <c r="BR1365" i="1"/>
  <c r="AS1379" i="1"/>
  <c r="AM1380" i="1"/>
  <c r="AP1380" i="1"/>
  <c r="AS1380" i="1" s="1"/>
  <c r="EF66" i="1" l="1"/>
  <c r="BQ41" i="1" s="1"/>
  <c r="BQ32" i="1" s="1"/>
  <c r="AE1347" i="1"/>
  <c r="AD1345" i="1"/>
  <c r="CO66" i="1"/>
  <c r="Z41" i="1" s="1"/>
  <c r="Z32" i="1" s="1"/>
  <c r="CF66" i="1"/>
  <c r="Q41" i="1" s="1"/>
  <c r="Q32" i="1" s="1"/>
  <c r="CL66" i="1"/>
  <c r="W41" i="1" s="1"/>
  <c r="W32" i="1" s="1"/>
  <c r="CA66" i="1"/>
  <c r="L41" i="1" s="1"/>
  <c r="L32" i="1" s="1"/>
  <c r="CN66" i="1"/>
  <c r="Y41" i="1" s="1"/>
  <c r="Y32" i="1" s="1"/>
  <c r="BM26" i="1"/>
  <c r="EB249" i="1"/>
  <c r="BB29" i="1"/>
  <c r="EA249" i="1"/>
  <c r="AP1381" i="1"/>
  <c r="CC66" i="1"/>
  <c r="N41" i="1" s="1"/>
  <c r="N32" i="1" s="1"/>
  <c r="BF26" i="1"/>
  <c r="CE66" i="1"/>
  <c r="P41" i="1" s="1"/>
  <c r="P32" i="1" s="1"/>
  <c r="BQ7" i="1"/>
  <c r="BC26" i="1"/>
  <c r="Z29" i="1"/>
  <c r="X29" i="1"/>
  <c r="BU66" i="1"/>
  <c r="F41" i="1" s="1"/>
  <c r="F32" i="1" s="1"/>
  <c r="BQ25" i="1"/>
  <c r="Q25" i="1"/>
  <c r="BN14" i="1"/>
  <c r="BI111" i="1"/>
  <c r="BI12" i="1"/>
  <c r="BI33" i="1" s="1"/>
  <c r="AY26" i="1"/>
  <c r="X26" i="1"/>
  <c r="V24" i="1"/>
  <c r="BM20" i="1"/>
  <c r="BL111" i="1"/>
  <c r="BL14" i="1"/>
  <c r="BH217" i="1"/>
  <c r="DW217" i="1" s="1"/>
  <c r="BH220" i="1"/>
  <c r="BH48" i="1" s="1"/>
  <c r="BG1079" i="1"/>
  <c r="DV1079" i="1" s="1"/>
  <c r="BH1082" i="1"/>
  <c r="BI1082" i="1" s="1"/>
  <c r="BJ1082" i="1" s="1"/>
  <c r="BJ1079" i="1" s="1"/>
  <c r="DY1079" i="1" s="1"/>
  <c r="BB26" i="1"/>
  <c r="CO249" i="1"/>
  <c r="CM66" i="1"/>
  <c r="X41" i="1" s="1"/>
  <c r="X32" i="1" s="1"/>
  <c r="CE600" i="1"/>
  <c r="N29" i="1"/>
  <c r="Y26" i="1"/>
  <c r="R25" i="1"/>
  <c r="Q24" i="1"/>
  <c r="Z21" i="1"/>
  <c r="BF111" i="1"/>
  <c r="BE1035" i="1"/>
  <c r="DT1035" i="1" s="1"/>
  <c r="BE29" i="1"/>
  <c r="AX26" i="1"/>
  <c r="AX25" i="1"/>
  <c r="AO316" i="1"/>
  <c r="AC1096" i="1"/>
  <c r="CR1096" i="1" s="1"/>
  <c r="AC14" i="1"/>
  <c r="T29" i="1"/>
  <c r="BP25" i="1"/>
  <c r="AY14" i="1"/>
  <c r="AS13" i="1"/>
  <c r="AS34" i="1" s="1"/>
  <c r="AS103" i="1"/>
  <c r="DH103" i="1" s="1"/>
  <c r="AJ17" i="1"/>
  <c r="AJ872" i="1"/>
  <c r="G25" i="1"/>
  <c r="BK258" i="1"/>
  <c r="DZ258" i="1" s="1"/>
  <c r="BK14" i="1"/>
  <c r="AP25" i="1"/>
  <c r="AZ29" i="1"/>
  <c r="Z26" i="1"/>
  <c r="R29" i="1"/>
  <c r="E29" i="1"/>
  <c r="BT249" i="1"/>
  <c r="I25" i="1"/>
  <c r="BZ1219" i="1"/>
  <c r="BZ66" i="1" s="1"/>
  <c r="K41" i="1" s="1"/>
  <c r="K32" i="1" s="1"/>
  <c r="K24" i="1"/>
  <c r="BO16" i="1"/>
  <c r="BJ16" i="1"/>
  <c r="BJ144" i="1"/>
  <c r="DY144" i="1" s="1"/>
  <c r="AH217" i="1"/>
  <c r="CW217" i="1" s="1"/>
  <c r="AH13" i="1"/>
  <c r="AH34" i="1" s="1"/>
  <c r="AH220" i="1"/>
  <c r="L26" i="1"/>
  <c r="BK502" i="1"/>
  <c r="DZ502" i="1" s="1"/>
  <c r="BK12" i="1"/>
  <c r="BH20" i="1"/>
  <c r="BH25" i="1"/>
  <c r="AU20" i="1"/>
  <c r="N26" i="1"/>
  <c r="K26" i="1"/>
  <c r="BO1303" i="1"/>
  <c r="ED1303" i="1" s="1"/>
  <c r="BO17" i="1"/>
  <c r="AZ529" i="1"/>
  <c r="DO529" i="1" s="1"/>
  <c r="AZ16" i="1"/>
  <c r="BJ17" i="1"/>
  <c r="BJ111" i="1"/>
  <c r="BH16" i="1"/>
  <c r="BH459" i="1"/>
  <c r="DW459" i="1" s="1"/>
  <c r="AV268" i="1"/>
  <c r="AV14" i="1"/>
  <c r="P28" i="1"/>
  <c r="S29" i="1"/>
  <c r="CH165" i="1"/>
  <c r="CH66" i="1" s="1"/>
  <c r="S41" i="1" s="1"/>
  <c r="S32" i="1" s="1"/>
  <c r="BP852" i="1"/>
  <c r="EE852" i="1" s="1"/>
  <c r="BM14" i="1"/>
  <c r="BA13" i="1"/>
  <c r="BA34" i="1" s="1"/>
  <c r="AZ26" i="1"/>
  <c r="BQ26" i="1"/>
  <c r="L25" i="1"/>
  <c r="BP665" i="1"/>
  <c r="EE665" i="1" s="1"/>
  <c r="EE66" i="1" s="1"/>
  <c r="BP41" i="1" s="1"/>
  <c r="BP32" i="1" s="1"/>
  <c r="BP14" i="1"/>
  <c r="BP7" i="1" s="1"/>
  <c r="BF1079" i="1"/>
  <c r="DU1079" i="1" s="1"/>
  <c r="AL217" i="1"/>
  <c r="AL13" i="1"/>
  <c r="CK200" i="1"/>
  <c r="CK66" i="1" s="1"/>
  <c r="V41" i="1" s="1"/>
  <c r="V32" i="1" s="1"/>
  <c r="AG29" i="1"/>
  <c r="CI67" i="1"/>
  <c r="CI66" i="1" s="1"/>
  <c r="T41" i="1" s="1"/>
  <c r="T32" i="1" s="1"/>
  <c r="T26" i="1"/>
  <c r="R26" i="1"/>
  <c r="P29" i="1"/>
  <c r="J29" i="1"/>
  <c r="M25" i="1"/>
  <c r="BO29" i="1"/>
  <c r="BO26" i="1"/>
  <c r="BD220" i="1"/>
  <c r="BD217" i="1" s="1"/>
  <c r="AA305" i="1"/>
  <c r="AA14" i="1"/>
  <c r="CD217" i="1"/>
  <c r="CD66" i="1" s="1"/>
  <c r="O41" i="1" s="1"/>
  <c r="O32" i="1" s="1"/>
  <c r="D29" i="1"/>
  <c r="S26" i="1"/>
  <c r="P26" i="1"/>
  <c r="P27" i="1" s="1"/>
  <c r="M29" i="1"/>
  <c r="CB165" i="1"/>
  <c r="CB66" i="1" s="1"/>
  <c r="M41" i="1" s="1"/>
  <c r="M32" i="1" s="1"/>
  <c r="BK20" i="1"/>
  <c r="BA915" i="1"/>
  <c r="DP915" i="1" s="1"/>
  <c r="EA371" i="1"/>
  <c r="U29" i="1"/>
  <c r="O26" i="1"/>
  <c r="M26" i="1"/>
  <c r="BO20" i="1"/>
  <c r="BG220" i="1"/>
  <c r="BG217" i="1" s="1"/>
  <c r="AZ13" i="1"/>
  <c r="AZ34" i="1" s="1"/>
  <c r="AZ590" i="1"/>
  <c r="AL1013" i="1"/>
  <c r="DA1013" i="1" s="1"/>
  <c r="AL14" i="1"/>
  <c r="AI25" i="1"/>
  <c r="BV600" i="1"/>
  <c r="V29" i="1"/>
  <c r="U26" i="1"/>
  <c r="CF249" i="1"/>
  <c r="Q29" i="1"/>
  <c r="Q26" i="1"/>
  <c r="N25" i="1"/>
  <c r="W28" i="1"/>
  <c r="W27" i="1"/>
  <c r="E24" i="1"/>
  <c r="BT371" i="1"/>
  <c r="BP16" i="1"/>
  <c r="BN217" i="1"/>
  <c r="EC217" i="1" s="1"/>
  <c r="BI24" i="1"/>
  <c r="BI165" i="1"/>
  <c r="AW595" i="1"/>
  <c r="AW590" i="1"/>
  <c r="DL590" i="1" s="1"/>
  <c r="AR430" i="1"/>
  <c r="DG430" i="1" s="1"/>
  <c r="AR17" i="1"/>
  <c r="AK25" i="1"/>
  <c r="CJ66" i="1"/>
  <c r="U41" i="1" s="1"/>
  <c r="U32" i="1" s="1"/>
  <c r="BY224" i="1"/>
  <c r="BY66" i="1" s="1"/>
  <c r="J41" i="1" s="1"/>
  <c r="J32" i="1" s="1"/>
  <c r="BS67" i="1"/>
  <c r="D26" i="1"/>
  <c r="V28" i="1"/>
  <c r="BO111" i="1"/>
  <c r="BO14" i="1"/>
  <c r="BN16" i="1"/>
  <c r="BN371" i="1"/>
  <c r="DT495" i="1"/>
  <c r="DT66" i="1" s="1"/>
  <c r="BE41" i="1" s="1"/>
  <c r="BE32" i="1" s="1"/>
  <c r="O25" i="1"/>
  <c r="BQ17" i="1"/>
  <c r="BN20" i="1"/>
  <c r="BN26" i="1"/>
  <c r="BM1250" i="1"/>
  <c r="EB1250" i="1" s="1"/>
  <c r="BM17" i="1"/>
  <c r="BL8" i="1"/>
  <c r="BL1096" i="1"/>
  <c r="EA1096" i="1" s="1"/>
  <c r="BD8" i="1"/>
  <c r="BD1096" i="1"/>
  <c r="DS1096" i="1" s="1"/>
  <c r="V26" i="1"/>
  <c r="K29" i="1"/>
  <c r="P25" i="1"/>
  <c r="BB17" i="1"/>
  <c r="AY29" i="1"/>
  <c r="AW915" i="1"/>
  <c r="DL915" i="1" s="1"/>
  <c r="AW18" i="1"/>
  <c r="AL25" i="1"/>
  <c r="F25" i="1"/>
  <c r="CG371" i="1"/>
  <c r="CG66" i="1" s="1"/>
  <c r="R41" i="1" s="1"/>
  <c r="R32" i="1" s="1"/>
  <c r="R24" i="1"/>
  <c r="BS371" i="1"/>
  <c r="D24" i="1"/>
  <c r="D27" i="1" s="1"/>
  <c r="J27" i="1"/>
  <c r="BI220" i="1"/>
  <c r="BI48" i="1" s="1"/>
  <c r="BH165" i="1"/>
  <c r="BH14" i="1"/>
  <c r="AN92" i="1"/>
  <c r="BQ29" i="1"/>
  <c r="Y29" i="1"/>
  <c r="M24" i="1"/>
  <c r="CB371" i="1"/>
  <c r="BH13" i="1"/>
  <c r="BH34" i="1" s="1"/>
  <c r="BE915" i="1"/>
  <c r="DT915" i="1" s="1"/>
  <c r="BE26" i="1"/>
  <c r="BA25" i="1"/>
  <c r="U25" i="1"/>
  <c r="BI1079" i="1"/>
  <c r="DX1079" i="1" s="1"/>
  <c r="BD111" i="1"/>
  <c r="AN872" i="1"/>
  <c r="DC872" i="1" s="1"/>
  <c r="AN17" i="1"/>
  <c r="AJ702" i="1"/>
  <c r="CY702" i="1" s="1"/>
  <c r="AJ15" i="1"/>
  <c r="AC7" i="1"/>
  <c r="I24" i="1"/>
  <c r="BA14" i="1"/>
  <c r="AW175" i="1"/>
  <c r="DL175" i="1" s="1"/>
  <c r="H25" i="1"/>
  <c r="U24" i="1"/>
  <c r="BL1303" i="1"/>
  <c r="EA1303" i="1" s="1"/>
  <c r="AR76" i="1"/>
  <c r="DG76" i="1" s="1"/>
  <c r="AQ92" i="1"/>
  <c r="AK14" i="1"/>
  <c r="AK7" i="1" s="1"/>
  <c r="AK92" i="1"/>
  <c r="AI12" i="1"/>
  <c r="AI636" i="1"/>
  <c r="CX636" i="1" s="1"/>
  <c r="CX66" i="1" s="1"/>
  <c r="AI41" i="1" s="1"/>
  <c r="AI32" i="1" s="1"/>
  <c r="AF258" i="1"/>
  <c r="AF26" i="1" s="1"/>
  <c r="AF13" i="1"/>
  <c r="AF34" i="1" s="1"/>
  <c r="Q14" i="1"/>
  <c r="Q7" i="1" s="1"/>
  <c r="AM227" i="1"/>
  <c r="AM13" i="1"/>
  <c r="AM34" i="1" s="1"/>
  <c r="L7" i="1"/>
  <c r="BG18" i="1"/>
  <c r="BG915" i="1"/>
  <c r="DV915" i="1" s="1"/>
  <c r="AW13" i="1"/>
  <c r="AW220" i="1"/>
  <c r="AW48" i="1" s="1"/>
  <c r="AT84" i="1"/>
  <c r="DI84" i="1" s="1"/>
  <c r="AT15" i="1"/>
  <c r="AS234" i="1"/>
  <c r="AS231" i="1"/>
  <c r="DH231" i="1" s="1"/>
  <c r="BC103" i="1"/>
  <c r="DR103" i="1" s="1"/>
  <c r="BB14" i="1"/>
  <c r="BA8" i="1"/>
  <c r="BA1096" i="1"/>
  <c r="AK702" i="1"/>
  <c r="CZ702" i="1" s="1"/>
  <c r="AK17" i="1"/>
  <c r="AH636" i="1"/>
  <c r="CW636" i="1" s="1"/>
  <c r="AB29" i="1"/>
  <c r="W26" i="1"/>
  <c r="BH800" i="1"/>
  <c r="DW800" i="1" s="1"/>
  <c r="BG442" i="1"/>
  <c r="BG15" i="1" s="1"/>
  <c r="AQ459" i="1"/>
  <c r="DF459" i="1" s="1"/>
  <c r="Z7" i="1"/>
  <c r="R7" i="1"/>
  <c r="BJ14" i="1"/>
  <c r="BC217" i="1"/>
  <c r="DR217" i="1" s="1"/>
  <c r="AY7" i="1"/>
  <c r="AY21" i="1" s="1"/>
  <c r="AJ12" i="1"/>
  <c r="Y21" i="1"/>
  <c r="BK25" i="1"/>
  <c r="AU1102" i="1"/>
  <c r="AU48" i="1" s="1"/>
  <c r="AT1100" i="1"/>
  <c r="AA636" i="1"/>
  <c r="CP636" i="1" s="1"/>
  <c r="AA12" i="1"/>
  <c r="AA7" i="1" s="1"/>
  <c r="F26" i="1"/>
  <c r="BM1115" i="1"/>
  <c r="AI20" i="1"/>
  <c r="O7" i="1"/>
  <c r="BN17" i="1"/>
  <c r="BJ165" i="1"/>
  <c r="AE14" i="1"/>
  <c r="AD111" i="1"/>
  <c r="AD17" i="1"/>
  <c r="BP24" i="1"/>
  <c r="BC1277" i="1"/>
  <c r="E200" i="1"/>
  <c r="BI16" i="1"/>
  <c r="BI947" i="1"/>
  <c r="DX947" i="1" s="1"/>
  <c r="BH17" i="1"/>
  <c r="BB7" i="1"/>
  <c r="AV13" i="1"/>
  <c r="AV34" i="1" s="1"/>
  <c r="X7" i="1"/>
  <c r="BK1096" i="1"/>
  <c r="DZ1096" i="1" s="1"/>
  <c r="BF438" i="1"/>
  <c r="DU438" i="1" s="1"/>
  <c r="BE8" i="1"/>
  <c r="BE7" i="1" s="1"/>
  <c r="BE21" i="1" s="1"/>
  <c r="AV1025" i="1"/>
  <c r="DK1025" i="1" s="1"/>
  <c r="AV1029" i="1"/>
  <c r="AV48" i="1" s="1"/>
  <c r="AT217" i="1"/>
  <c r="AE538" i="1"/>
  <c r="CT538" i="1" s="1"/>
  <c r="AE13" i="1"/>
  <c r="AE34" i="1" s="1"/>
  <c r="AE217" i="1"/>
  <c r="N7" i="1"/>
  <c r="AS862" i="1"/>
  <c r="DH862" i="1" s="1"/>
  <c r="AT863" i="1"/>
  <c r="AK13" i="1"/>
  <c r="AK34" i="1" s="1"/>
  <c r="AT249" i="1"/>
  <c r="DI249" i="1" s="1"/>
  <c r="AK430" i="1"/>
  <c r="CZ430" i="1" s="1"/>
  <c r="T7" i="1"/>
  <c r="M7" i="1"/>
  <c r="G324" i="1"/>
  <c r="F16" i="1"/>
  <c r="F7" i="1" s="1"/>
  <c r="AN227" i="1"/>
  <c r="AN224" i="1" s="1"/>
  <c r="AI17" i="1"/>
  <c r="AH92" i="1"/>
  <c r="AH17" i="1"/>
  <c r="AD14" i="1"/>
  <c r="AD7" i="1" s="1"/>
  <c r="E7" i="1"/>
  <c r="AZ14" i="1"/>
  <c r="AM217" i="1"/>
  <c r="AF14" i="1"/>
  <c r="AS217" i="1"/>
  <c r="AR103" i="1"/>
  <c r="DG103" i="1" s="1"/>
  <c r="AM17" i="1"/>
  <c r="AJ224" i="1"/>
  <c r="CY224" i="1" s="1"/>
  <c r="AG14" i="1"/>
  <c r="AG7" i="1" s="1"/>
  <c r="AD224" i="1"/>
  <c r="AU92" i="1"/>
  <c r="AU14" i="1"/>
  <c r="S7" i="1"/>
  <c r="BF103" i="1"/>
  <c r="DU103" i="1" s="1"/>
  <c r="BF14" i="1"/>
  <c r="BF7" i="1" s="1"/>
  <c r="AJ18" i="1"/>
  <c r="AB17" i="1"/>
  <c r="AB7" i="1" s="1"/>
  <c r="AB111" i="1"/>
  <c r="U7" i="1"/>
  <c r="AS430" i="1"/>
  <c r="DH430" i="1" s="1"/>
  <c r="BB915" i="1"/>
  <c r="DQ915" i="1" s="1"/>
  <c r="DQ66" i="1" s="1"/>
  <c r="BB41" i="1" s="1"/>
  <c r="BB32" i="1" s="1"/>
  <c r="AX14" i="1"/>
  <c r="AX7" i="1" s="1"/>
  <c r="AK217" i="1"/>
  <c r="AF7" i="1"/>
  <c r="K7" i="1"/>
  <c r="AV17" i="1"/>
  <c r="AX430" i="1"/>
  <c r="DM430" i="1" s="1"/>
  <c r="DM66" i="1" s="1"/>
  <c r="AX41" i="1" s="1"/>
  <c r="AX32" i="1" s="1"/>
  <c r="AI14" i="1"/>
  <c r="AC258" i="1"/>
  <c r="Y7" i="1"/>
  <c r="AU217" i="1"/>
  <c r="AQ786" i="1"/>
  <c r="AA17" i="1"/>
  <c r="AE12" i="1"/>
  <c r="AE7" i="1" s="1"/>
  <c r="AD12" i="1"/>
  <c r="AJ220" i="1"/>
  <c r="AG200" i="1"/>
  <c r="AO1025" i="1"/>
  <c r="DD1025" i="1" s="1"/>
  <c r="AX37" i="1" l="1"/>
  <c r="AX21" i="1"/>
  <c r="AX23" i="1"/>
  <c r="AX35" i="1"/>
  <c r="AE21" i="1"/>
  <c r="AE35" i="1"/>
  <c r="AE23" i="1"/>
  <c r="AE37" i="1"/>
  <c r="BD26" i="1"/>
  <c r="BD29" i="1"/>
  <c r="DS217" i="1"/>
  <c r="BG26" i="1"/>
  <c r="DV217" i="1"/>
  <c r="DV66" i="1" s="1"/>
  <c r="BG41" i="1" s="1"/>
  <c r="BG32" i="1" s="1"/>
  <c r="BF23" i="1"/>
  <c r="BF35" i="1"/>
  <c r="BF37" i="1"/>
  <c r="BF21" i="1"/>
  <c r="AG23" i="1"/>
  <c r="AG37" i="1"/>
  <c r="AG35" i="1"/>
  <c r="AG21" i="1"/>
  <c r="Q23" i="1"/>
  <c r="Q37" i="1"/>
  <c r="AB35" i="1"/>
  <c r="AB21" i="1"/>
  <c r="AB23" i="1"/>
  <c r="AB37" i="1"/>
  <c r="AK23" i="1"/>
  <c r="AK37" i="1"/>
  <c r="AK35" i="1"/>
  <c r="AK21" i="1"/>
  <c r="BP23" i="1"/>
  <c r="BP37" i="1"/>
  <c r="BP35" i="1"/>
  <c r="BP21" i="1"/>
  <c r="AD23" i="1"/>
  <c r="AD35" i="1"/>
  <c r="AD21" i="1"/>
  <c r="AD37" i="1"/>
  <c r="DC224" i="1"/>
  <c r="BK56" i="1"/>
  <c r="BB35" i="1"/>
  <c r="BB21" i="1"/>
  <c r="BB23" i="1"/>
  <c r="BB37" i="1"/>
  <c r="BM1108" i="1"/>
  <c r="EB1108" i="1" s="1"/>
  <c r="BM16" i="1"/>
  <c r="BM50" i="1"/>
  <c r="AW7" i="1"/>
  <c r="AW34" i="1"/>
  <c r="BB25" i="1"/>
  <c r="AD25" i="1"/>
  <c r="CS111" i="1"/>
  <c r="AF35" i="1"/>
  <c r="AF23" i="1"/>
  <c r="AF37" i="1"/>
  <c r="BQ23" i="1"/>
  <c r="BQ37" i="1"/>
  <c r="BQ21" i="1"/>
  <c r="BQ35" i="1"/>
  <c r="AA23" i="1"/>
  <c r="AA21" i="1"/>
  <c r="AA37" i="1"/>
  <c r="AA35" i="1"/>
  <c r="BG25" i="1"/>
  <c r="BF25" i="1"/>
  <c r="DU111" i="1"/>
  <c r="DU66" i="1" s="1"/>
  <c r="BF41" i="1" s="1"/>
  <c r="BF32" i="1" s="1"/>
  <c r="BL25" i="1"/>
  <c r="EA111" i="1"/>
  <c r="BH442" i="1"/>
  <c r="BG438" i="1"/>
  <c r="DV438" i="1" s="1"/>
  <c r="BG49" i="1"/>
  <c r="AK26" i="1"/>
  <c r="CZ217" i="1"/>
  <c r="DH217" i="1"/>
  <c r="AJ25" i="1"/>
  <c r="CY872" i="1"/>
  <c r="BM56" i="1"/>
  <c r="L23" i="1"/>
  <c r="L37" i="1"/>
  <c r="AL34" i="1"/>
  <c r="AL7" i="1"/>
  <c r="AV26" i="1"/>
  <c r="DK268" i="1"/>
  <c r="AH26" i="1"/>
  <c r="AC35" i="1"/>
  <c r="AC23" i="1"/>
  <c r="AC37" i="1"/>
  <c r="AT862" i="1"/>
  <c r="AT12" i="1"/>
  <c r="AU863" i="1"/>
  <c r="AT46" i="1"/>
  <c r="AW217" i="1"/>
  <c r="DB217" i="1"/>
  <c r="CV200" i="1"/>
  <c r="CV66" i="1" s="1"/>
  <c r="AG41" i="1" s="1"/>
  <c r="AG32" i="1" s="1"/>
  <c r="AG25" i="1"/>
  <c r="AE26" i="1"/>
  <c r="AE29" i="1"/>
  <c r="CT217" i="1"/>
  <c r="CT66" i="1" s="1"/>
  <c r="AE41" i="1" s="1"/>
  <c r="AE32" i="1" s="1"/>
  <c r="BT200" i="1"/>
  <c r="BT66" i="1" s="1"/>
  <c r="E41" i="1" s="1"/>
  <c r="E32" i="1" s="1"/>
  <c r="E25" i="1"/>
  <c r="AC21" i="1"/>
  <c r="BN56" i="1"/>
  <c r="AJ217" i="1"/>
  <c r="AJ14" i="1"/>
  <c r="AJ7" i="1" s="1"/>
  <c r="AJ48" i="1"/>
  <c r="U37" i="1"/>
  <c r="U23" i="1"/>
  <c r="E37" i="1"/>
  <c r="E23" i="1"/>
  <c r="AZ7" i="1"/>
  <c r="AT1102" i="1"/>
  <c r="AS1100" i="1"/>
  <c r="AT1096" i="1"/>
  <c r="DI1096" i="1" s="1"/>
  <c r="AW14" i="1"/>
  <c r="DX165" i="1"/>
  <c r="AL29" i="1"/>
  <c r="AL26" i="1"/>
  <c r="DA217" i="1"/>
  <c r="DA66" i="1" s="1"/>
  <c r="AL41" i="1" s="1"/>
  <c r="AL32" i="1" s="1"/>
  <c r="V27" i="1"/>
  <c r="AH29" i="1"/>
  <c r="CW92" i="1"/>
  <c r="CW66" i="1" s="1"/>
  <c r="AH41" i="1" s="1"/>
  <c r="AH32" i="1" s="1"/>
  <c r="N23" i="1"/>
  <c r="N37" i="1"/>
  <c r="AB25" i="1"/>
  <c r="CQ111" i="1"/>
  <c r="CQ66" i="1" s="1"/>
  <c r="AB41" i="1" s="1"/>
  <c r="AB32" i="1" s="1"/>
  <c r="BC1274" i="1"/>
  <c r="DR1274" i="1" s="1"/>
  <c r="DR66" i="1" s="1"/>
  <c r="BC41" i="1" s="1"/>
  <c r="BC32" i="1" s="1"/>
  <c r="BC48" i="1"/>
  <c r="AU1096" i="1"/>
  <c r="DJ1096" i="1" s="1"/>
  <c r="AF21" i="1"/>
  <c r="BI14" i="1"/>
  <c r="DO590" i="1"/>
  <c r="DO66" i="1" s="1"/>
  <c r="AZ41" i="1" s="1"/>
  <c r="AZ32" i="1" s="1"/>
  <c r="AZ25" i="1"/>
  <c r="BF29" i="1"/>
  <c r="BP29" i="1"/>
  <c r="AW25" i="1"/>
  <c r="AM224" i="1"/>
  <c r="DB224" i="1" s="1"/>
  <c r="BM25" i="1"/>
  <c r="AU56" i="1"/>
  <c r="BN24" i="1"/>
  <c r="EC371" i="1"/>
  <c r="BG14" i="1"/>
  <c r="BG7" i="1" s="1"/>
  <c r="BG48" i="1"/>
  <c r="CP305" i="1"/>
  <c r="CP66" i="1" s="1"/>
  <c r="AA41" i="1" s="1"/>
  <c r="AA32" i="1" s="1"/>
  <c r="AA26" i="1"/>
  <c r="AA29" i="1"/>
  <c r="BJ25" i="1"/>
  <c r="DY111" i="1"/>
  <c r="DP1096" i="1"/>
  <c r="DP66" i="1" s="1"/>
  <c r="BA41" i="1" s="1"/>
  <c r="BA32" i="1" s="1"/>
  <c r="BA29" i="1"/>
  <c r="BA7" i="1"/>
  <c r="DC92" i="1"/>
  <c r="BH56" i="1"/>
  <c r="BI25" i="1"/>
  <c r="DX111" i="1"/>
  <c r="DI217" i="1"/>
  <c r="AF29" i="1"/>
  <c r="CU258" i="1"/>
  <c r="CU66" i="1" s="1"/>
  <c r="AF41" i="1" s="1"/>
  <c r="AF32" i="1" s="1"/>
  <c r="AN25" i="1"/>
  <c r="BO21" i="1"/>
  <c r="BO56" i="1"/>
  <c r="BP26" i="1"/>
  <c r="BK33" i="1"/>
  <c r="D28" i="1"/>
  <c r="AS1381" i="1"/>
  <c r="AP1382" i="1"/>
  <c r="AQ782" i="1"/>
  <c r="AQ18" i="1"/>
  <c r="AR786" i="1"/>
  <c r="AQ52" i="1"/>
  <c r="AY23" i="1"/>
  <c r="AY35" i="1"/>
  <c r="AY37" i="1"/>
  <c r="BO7" i="1"/>
  <c r="AU26" i="1"/>
  <c r="DJ217" i="1"/>
  <c r="S23" i="1"/>
  <c r="S37" i="1"/>
  <c r="F23" i="1"/>
  <c r="F37" i="1"/>
  <c r="BH1079" i="1"/>
  <c r="DW1079" i="1" s="1"/>
  <c r="BC14" i="1"/>
  <c r="BC7" i="1" s="1"/>
  <c r="BE25" i="1"/>
  <c r="BO25" i="1"/>
  <c r="ED111" i="1"/>
  <c r="ED66" i="1" s="1"/>
  <c r="BO41" i="1" s="1"/>
  <c r="BO32" i="1" s="1"/>
  <c r="BC29" i="1"/>
  <c r="BK26" i="1"/>
  <c r="AE1345" i="1"/>
  <c r="AF1347" i="1"/>
  <c r="H324" i="1"/>
  <c r="G16" i="1"/>
  <c r="G7" i="1" s="1"/>
  <c r="G316" i="1"/>
  <c r="G50" i="1"/>
  <c r="BJ26" i="1"/>
  <c r="DY165" i="1"/>
  <c r="AI7" i="1"/>
  <c r="BD14" i="1"/>
  <c r="BD7" i="1" s="1"/>
  <c r="BD48" i="1"/>
  <c r="BL26" i="1"/>
  <c r="BE23" i="1"/>
  <c r="BE35" i="1"/>
  <c r="BE37" i="1"/>
  <c r="AK29" i="1"/>
  <c r="CZ92" i="1"/>
  <c r="CZ66" i="1" s="1"/>
  <c r="AK41" i="1" s="1"/>
  <c r="AK32" i="1" s="1"/>
  <c r="BD25" i="1"/>
  <c r="DS111" i="1"/>
  <c r="DS66" i="1" s="1"/>
  <c r="BD41" i="1" s="1"/>
  <c r="BD32" i="1" s="1"/>
  <c r="BA26" i="1"/>
  <c r="BS66" i="1"/>
  <c r="D41" i="1" s="1"/>
  <c r="D32" i="1" s="1"/>
  <c r="DD316" i="1"/>
  <c r="AC29" i="1"/>
  <c r="CR258" i="1"/>
  <c r="CR66" i="1" s="1"/>
  <c r="AC41" i="1" s="1"/>
  <c r="AC32" i="1" s="1"/>
  <c r="DJ92" i="1"/>
  <c r="M23" i="1"/>
  <c r="M37" i="1"/>
  <c r="R23" i="1"/>
  <c r="R37" i="1"/>
  <c r="AI21" i="1"/>
  <c r="AI56" i="1"/>
  <c r="Z23" i="1"/>
  <c r="Z37" i="1"/>
  <c r="Z35" i="1"/>
  <c r="BI217" i="1"/>
  <c r="Y37" i="1"/>
  <c r="Y23" i="1"/>
  <c r="Y35" i="1"/>
  <c r="AD26" i="1"/>
  <c r="AD29" i="1"/>
  <c r="CS224" i="1"/>
  <c r="T23" i="1"/>
  <c r="T37" i="1"/>
  <c r="O23" i="1"/>
  <c r="O37" i="1"/>
  <c r="BH26" i="1"/>
  <c r="DW165" i="1"/>
  <c r="AC26" i="1"/>
  <c r="DF92" i="1"/>
  <c r="X21" i="1"/>
  <c r="X37" i="1"/>
  <c r="X23" i="1"/>
  <c r="X35" i="1"/>
  <c r="K23" i="1"/>
  <c r="K37" i="1"/>
  <c r="AH14" i="1"/>
  <c r="AH7" i="1" s="1"/>
  <c r="AH48" i="1"/>
  <c r="AX29" i="1"/>
  <c r="AH23" i="1" l="1"/>
  <c r="AH35" i="1"/>
  <c r="AH37" i="1"/>
  <c r="AH21" i="1"/>
  <c r="DI66" i="1"/>
  <c r="AT41" i="1" s="1"/>
  <c r="AT32" i="1" s="1"/>
  <c r="BD23" i="1"/>
  <c r="BD35" i="1"/>
  <c r="BD37" i="1"/>
  <c r="BD21" i="1"/>
  <c r="AA27" i="1"/>
  <c r="AA28" i="1"/>
  <c r="AA36" i="1" s="1"/>
  <c r="BB27" i="1"/>
  <c r="BB28" i="1"/>
  <c r="BB36" i="1" s="1"/>
  <c r="BE27" i="1"/>
  <c r="BE28" i="1"/>
  <c r="BE36" i="1" s="1"/>
  <c r="AS1102" i="1"/>
  <c r="AS1096" i="1"/>
  <c r="AR1100" i="1"/>
  <c r="AS46" i="1"/>
  <c r="AS12" i="1"/>
  <c r="AB27" i="1"/>
  <c r="AB28" i="1"/>
  <c r="AB36" i="1" s="1"/>
  <c r="BC23" i="1"/>
  <c r="BC35" i="1"/>
  <c r="BC37" i="1"/>
  <c r="BC21" i="1"/>
  <c r="AT48" i="1"/>
  <c r="AT14" i="1"/>
  <c r="AT7" i="1" s="1"/>
  <c r="AT26" i="1"/>
  <c r="AZ23" i="1"/>
  <c r="AZ35" i="1"/>
  <c r="AZ37" i="1"/>
  <c r="AZ21" i="1"/>
  <c r="R28" i="1"/>
  <c r="R27" i="1"/>
  <c r="E27" i="1"/>
  <c r="E28" i="1"/>
  <c r="DL217" i="1"/>
  <c r="DL66" i="1" s="1"/>
  <c r="AW41" i="1" s="1"/>
  <c r="AW32" i="1" s="1"/>
  <c r="AW29" i="1"/>
  <c r="BQ27" i="1"/>
  <c r="BQ28" i="1"/>
  <c r="BQ36" i="1" s="1"/>
  <c r="F27" i="1"/>
  <c r="F28" i="1"/>
  <c r="U28" i="1"/>
  <c r="U27" i="1"/>
  <c r="AU862" i="1"/>
  <c r="AV863" i="1"/>
  <c r="AU12" i="1"/>
  <c r="AU7" i="1" s="1"/>
  <c r="AU46" i="1"/>
  <c r="Q27" i="1"/>
  <c r="Q28" i="1"/>
  <c r="O27" i="1"/>
  <c r="O28" i="1"/>
  <c r="M27" i="1"/>
  <c r="M28" i="1"/>
  <c r="AI23" i="1"/>
  <c r="AI37" i="1"/>
  <c r="AI35" i="1"/>
  <c r="T28" i="1"/>
  <c r="T27" i="1"/>
  <c r="S28" i="1"/>
  <c r="S27" i="1"/>
  <c r="BG23" i="1"/>
  <c r="BG35" i="1"/>
  <c r="BG37" i="1"/>
  <c r="BG21" i="1"/>
  <c r="AF27" i="1"/>
  <c r="AF28" i="1"/>
  <c r="AF36" i="1" s="1"/>
  <c r="DI862" i="1"/>
  <c r="AT25" i="1"/>
  <c r="CS66" i="1"/>
  <c r="AD41" i="1" s="1"/>
  <c r="AD32" i="1" s="1"/>
  <c r="BO23" i="1"/>
  <c r="BO37" i="1"/>
  <c r="BO35" i="1"/>
  <c r="AT29" i="1"/>
  <c r="AJ26" i="1"/>
  <c r="CY217" i="1"/>
  <c r="CY66" i="1" s="1"/>
  <c r="AJ41" i="1" s="1"/>
  <c r="AJ32" i="1" s="1"/>
  <c r="AJ29" i="1"/>
  <c r="AC27" i="1"/>
  <c r="AC28" i="1"/>
  <c r="AC36" i="1" s="1"/>
  <c r="AD27" i="1"/>
  <c r="AD28" i="1"/>
  <c r="AD36" i="1" s="1"/>
  <c r="BH438" i="1"/>
  <c r="BI442" i="1"/>
  <c r="BH49" i="1"/>
  <c r="BH15" i="1"/>
  <c r="BH7" i="1" s="1"/>
  <c r="G37" i="1"/>
  <c r="G23" i="1"/>
  <c r="AG27" i="1"/>
  <c r="AG28" i="1"/>
  <c r="AG36" i="1" s="1"/>
  <c r="AE27" i="1"/>
  <c r="AE28" i="1"/>
  <c r="AE36" i="1" s="1"/>
  <c r="N27" i="1"/>
  <c r="N28" i="1"/>
  <c r="BV316" i="1"/>
  <c r="BV66" i="1" s="1"/>
  <c r="G41" i="1" s="1"/>
  <c r="G32" i="1" s="1"/>
  <c r="G26" i="1"/>
  <c r="G29" i="1"/>
  <c r="Y27" i="1"/>
  <c r="Y28" i="1"/>
  <c r="Y36" i="1" s="1"/>
  <c r="K27" i="1"/>
  <c r="K28" i="1"/>
  <c r="DX217" i="1"/>
  <c r="AF1345" i="1"/>
  <c r="AG1347" i="1"/>
  <c r="X27" i="1"/>
  <c r="X28" i="1"/>
  <c r="X36" i="1" s="1"/>
  <c r="AR18" i="1"/>
  <c r="AR782" i="1"/>
  <c r="AS786" i="1"/>
  <c r="AR52" i="1"/>
  <c r="AW23" i="1"/>
  <c r="AW37" i="1"/>
  <c r="AW21" i="1"/>
  <c r="AW35" i="1"/>
  <c r="BP27" i="1"/>
  <c r="BP28" i="1"/>
  <c r="BP36" i="1" s="1"/>
  <c r="H16" i="1"/>
  <c r="H7" i="1" s="1"/>
  <c r="I324" i="1"/>
  <c r="H316" i="1"/>
  <c r="H50" i="1"/>
  <c r="AY27" i="1"/>
  <c r="AY28" i="1"/>
  <c r="AY36" i="1" s="1"/>
  <c r="AL23" i="1"/>
  <c r="AL35" i="1"/>
  <c r="AL37" i="1"/>
  <c r="AL21" i="1"/>
  <c r="BF28" i="1"/>
  <c r="BF36" i="1" s="1"/>
  <c r="BF27" i="1"/>
  <c r="AX27" i="1"/>
  <c r="AX28" i="1"/>
  <c r="AX36" i="1" s="1"/>
  <c r="DF782" i="1"/>
  <c r="AQ25" i="1"/>
  <c r="BI26" i="1"/>
  <c r="Z27" i="1"/>
  <c r="Z28" i="1"/>
  <c r="Z36" i="1" s="1"/>
  <c r="AS1382" i="1"/>
  <c r="AP1383" i="1"/>
  <c r="BA35" i="1"/>
  <c r="BA37" i="1"/>
  <c r="BA23" i="1"/>
  <c r="BA21" i="1"/>
  <c r="AW26" i="1"/>
  <c r="AJ23" i="1"/>
  <c r="AJ37" i="1"/>
  <c r="AJ35" i="1"/>
  <c r="AJ21" i="1"/>
  <c r="L27" i="1"/>
  <c r="L28" i="1"/>
  <c r="AK27" i="1"/>
  <c r="AK28" i="1"/>
  <c r="AK36" i="1" s="1"/>
  <c r="BG29" i="1"/>
  <c r="AT23" i="1" l="1"/>
  <c r="AT37" i="1"/>
  <c r="AT35" i="1"/>
  <c r="AT21" i="1"/>
  <c r="AW27" i="1"/>
  <c r="AW28" i="1"/>
  <c r="AW36" i="1" s="1"/>
  <c r="DG782" i="1"/>
  <c r="AR25" i="1"/>
  <c r="BO27" i="1"/>
  <c r="BO28" i="1"/>
  <c r="BO36" i="1" s="1"/>
  <c r="DH1096" i="1"/>
  <c r="AS29" i="1"/>
  <c r="AS26" i="1"/>
  <c r="AJ27" i="1"/>
  <c r="AJ28" i="1"/>
  <c r="AJ36" i="1" s="1"/>
  <c r="AG1345" i="1"/>
  <c r="AH1347" i="1"/>
  <c r="G27" i="1"/>
  <c r="G28" i="1"/>
  <c r="AS48" i="1"/>
  <c r="AS14" i="1"/>
  <c r="AS7" i="1" s="1"/>
  <c r="AL28" i="1"/>
  <c r="AL36" i="1" s="1"/>
  <c r="AL27" i="1"/>
  <c r="BH23" i="1"/>
  <c r="BH37" i="1"/>
  <c r="BH35" i="1"/>
  <c r="BH21" i="1"/>
  <c r="AU37" i="1"/>
  <c r="AU23" i="1"/>
  <c r="AU35" i="1"/>
  <c r="AU21" i="1"/>
  <c r="AZ28" i="1"/>
  <c r="AZ36" i="1" s="1"/>
  <c r="AZ27" i="1"/>
  <c r="AV862" i="1"/>
  <c r="AV12" i="1"/>
  <c r="AV7" i="1" s="1"/>
  <c r="AV46" i="1"/>
  <c r="BW316" i="1"/>
  <c r="BW66" i="1" s="1"/>
  <c r="H41" i="1" s="1"/>
  <c r="H32" i="1" s="1"/>
  <c r="H29" i="1"/>
  <c r="H26" i="1"/>
  <c r="BI15" i="1"/>
  <c r="BI7" i="1" s="1"/>
  <c r="BI438" i="1"/>
  <c r="BJ442" i="1"/>
  <c r="BI49" i="1"/>
  <c r="DJ862" i="1"/>
  <c r="DJ66" i="1" s="1"/>
  <c r="AU41" i="1" s="1"/>
  <c r="AU32" i="1" s="1"/>
  <c r="AU25" i="1"/>
  <c r="AU29" i="1"/>
  <c r="BA27" i="1"/>
  <c r="BA28" i="1"/>
  <c r="BA36" i="1" s="1"/>
  <c r="AS1383" i="1"/>
  <c r="AP1384" i="1"/>
  <c r="I16" i="1"/>
  <c r="I7" i="1" s="1"/>
  <c r="I316" i="1"/>
  <c r="I50" i="1"/>
  <c r="DW438" i="1"/>
  <c r="DW66" i="1" s="1"/>
  <c r="BH41" i="1" s="1"/>
  <c r="BH32" i="1" s="1"/>
  <c r="BH29" i="1"/>
  <c r="BG28" i="1"/>
  <c r="BG36" i="1" s="1"/>
  <c r="BG27" i="1"/>
  <c r="H23" i="1"/>
  <c r="H37" i="1"/>
  <c r="BC28" i="1"/>
  <c r="BC36" i="1" s="1"/>
  <c r="BC27" i="1"/>
  <c r="BD28" i="1"/>
  <c r="BD36" i="1" s="1"/>
  <c r="BD27" i="1"/>
  <c r="AS782" i="1"/>
  <c r="AS18" i="1"/>
  <c r="AS52" i="1"/>
  <c r="AI27" i="1"/>
  <c r="AI28" i="1"/>
  <c r="AI36" i="1" s="1"/>
  <c r="AR1102" i="1"/>
  <c r="AQ1100" i="1"/>
  <c r="AR1096" i="1"/>
  <c r="AR46" i="1"/>
  <c r="AR12" i="1"/>
  <c r="AH27" i="1"/>
  <c r="AH28" i="1"/>
  <c r="AH36" i="1" s="1"/>
  <c r="AS23" i="1" l="1"/>
  <c r="AS37" i="1"/>
  <c r="AS35" i="1"/>
  <c r="AS21" i="1"/>
  <c r="DH782" i="1"/>
  <c r="DH66" i="1" s="1"/>
  <c r="AS41" i="1" s="1"/>
  <c r="AS32" i="1" s="1"/>
  <c r="AS25" i="1"/>
  <c r="DX438" i="1"/>
  <c r="DX66" i="1" s="1"/>
  <c r="BI41" i="1" s="1"/>
  <c r="BI32" i="1" s="1"/>
  <c r="BI29" i="1"/>
  <c r="BI23" i="1"/>
  <c r="BI37" i="1"/>
  <c r="BI35" i="1"/>
  <c r="BI21" i="1"/>
  <c r="H27" i="1"/>
  <c r="H28" i="1"/>
  <c r="AI1347" i="1"/>
  <c r="AH1345" i="1"/>
  <c r="AV37" i="1"/>
  <c r="AV23" i="1"/>
  <c r="AV35" i="1"/>
  <c r="AV21" i="1"/>
  <c r="DK862" i="1"/>
  <c r="DK66" i="1" s="1"/>
  <c r="AV41" i="1" s="1"/>
  <c r="AV32" i="1" s="1"/>
  <c r="AV25" i="1"/>
  <c r="AV29" i="1"/>
  <c r="BX316" i="1"/>
  <c r="BX66" i="1" s="1"/>
  <c r="I41" i="1" s="1"/>
  <c r="I32" i="1" s="1"/>
  <c r="I29" i="1"/>
  <c r="I26" i="1"/>
  <c r="DG1096" i="1"/>
  <c r="AR26" i="1"/>
  <c r="AR29" i="1"/>
  <c r="AQ1102" i="1"/>
  <c r="AQ1096" i="1" s="1"/>
  <c r="AP1100" i="1"/>
  <c r="AQ46" i="1"/>
  <c r="AQ12" i="1"/>
  <c r="AS1384" i="1"/>
  <c r="AP1385" i="1"/>
  <c r="I23" i="1"/>
  <c r="I37" i="1"/>
  <c r="AR48" i="1"/>
  <c r="AR14" i="1"/>
  <c r="AR7" i="1" s="1"/>
  <c r="AU27" i="1"/>
  <c r="AU28" i="1"/>
  <c r="AU36" i="1" s="1"/>
  <c r="DG66" i="1"/>
  <c r="AR41" i="1" s="1"/>
  <c r="AR32" i="1" s="1"/>
  <c r="BH28" i="1"/>
  <c r="BH36" i="1" s="1"/>
  <c r="BH27" i="1"/>
  <c r="BJ438" i="1"/>
  <c r="BJ15" i="1"/>
  <c r="BJ7" i="1" s="1"/>
  <c r="BK442" i="1"/>
  <c r="BJ49" i="1"/>
  <c r="AT27" i="1"/>
  <c r="AT28" i="1"/>
  <c r="AT36" i="1" s="1"/>
  <c r="DF1096" i="1" l="1"/>
  <c r="DF66" i="1" s="1"/>
  <c r="AQ41" i="1" s="1"/>
  <c r="AQ32" i="1" s="1"/>
  <c r="AQ26" i="1"/>
  <c r="AQ29" i="1"/>
  <c r="AR23" i="1"/>
  <c r="AR21" i="1"/>
  <c r="AR37" i="1"/>
  <c r="AR35" i="1"/>
  <c r="I27" i="1"/>
  <c r="I28" i="1"/>
  <c r="AV27" i="1"/>
  <c r="AV28" i="1"/>
  <c r="AV36" i="1" s="1"/>
  <c r="BL442" i="1"/>
  <c r="BK438" i="1"/>
  <c r="BK15" i="1"/>
  <c r="BK7" i="1" s="1"/>
  <c r="BK49" i="1"/>
  <c r="DY438" i="1"/>
  <c r="DY66" i="1" s="1"/>
  <c r="BJ41" i="1" s="1"/>
  <c r="BJ32" i="1" s="1"/>
  <c r="BJ29" i="1"/>
  <c r="AS1385" i="1"/>
  <c r="AP1386" i="1"/>
  <c r="AJ1347" i="1"/>
  <c r="AK1347" i="1" s="1"/>
  <c r="AL1347" i="1" s="1"/>
  <c r="AM1347" i="1" s="1"/>
  <c r="AN1347" i="1" s="1"/>
  <c r="AO1347" i="1" s="1"/>
  <c r="AP1347" i="1" s="1"/>
  <c r="AQ1347" i="1" s="1"/>
  <c r="AR1347" i="1" s="1"/>
  <c r="AS1347" i="1" s="1"/>
  <c r="AT1347" i="1" s="1"/>
  <c r="AU1347" i="1" s="1"/>
  <c r="AV1347" i="1" s="1"/>
  <c r="AW1347" i="1" s="1"/>
  <c r="AX1347" i="1" s="1"/>
  <c r="AY1347" i="1" s="1"/>
  <c r="AZ1347" i="1" s="1"/>
  <c r="AI1345" i="1"/>
  <c r="AQ48" i="1"/>
  <c r="AQ14" i="1"/>
  <c r="AQ7" i="1" s="1"/>
  <c r="BI28" i="1"/>
  <c r="BI36" i="1" s="1"/>
  <c r="BI27" i="1"/>
  <c r="BJ23" i="1"/>
  <c r="BJ37" i="1"/>
  <c r="BJ35" i="1"/>
  <c r="BJ21" i="1"/>
  <c r="AP12" i="1"/>
  <c r="AP1102" i="1"/>
  <c r="AO1100" i="1"/>
  <c r="AP1096" i="1"/>
  <c r="AP46" i="1"/>
  <c r="AS27" i="1"/>
  <c r="AS28" i="1"/>
  <c r="AS36" i="1" s="1"/>
  <c r="AQ21" i="1" l="1"/>
  <c r="AQ37" i="1"/>
  <c r="AQ23" i="1"/>
  <c r="AQ35" i="1"/>
  <c r="BJ28" i="1"/>
  <c r="BJ36" i="1" s="1"/>
  <c r="BJ27" i="1"/>
  <c r="AR27" i="1"/>
  <c r="AR28" i="1"/>
  <c r="AR36" i="1" s="1"/>
  <c r="BA1347" i="1"/>
  <c r="AZ1345" i="1"/>
  <c r="AS1386" i="1"/>
  <c r="AP1387" i="1"/>
  <c r="AN1100" i="1"/>
  <c r="AO1102" i="1"/>
  <c r="AO46" i="1"/>
  <c r="AO12" i="1"/>
  <c r="DZ438" i="1"/>
  <c r="DZ66" i="1" s="1"/>
  <c r="BK41" i="1" s="1"/>
  <c r="BK32" i="1" s="1"/>
  <c r="BK29" i="1"/>
  <c r="AP48" i="1"/>
  <c r="AP14" i="1"/>
  <c r="AP7" i="1" s="1"/>
  <c r="BL438" i="1"/>
  <c r="BM442" i="1"/>
  <c r="BL15" i="1"/>
  <c r="BL7" i="1" s="1"/>
  <c r="BL49" i="1"/>
  <c r="DE1096" i="1"/>
  <c r="DE66" i="1" s="1"/>
  <c r="AP41" i="1" s="1"/>
  <c r="AP32" i="1" s="1"/>
  <c r="AP29" i="1"/>
  <c r="AP26" i="1"/>
  <c r="BK23" i="1"/>
  <c r="BK37" i="1"/>
  <c r="BK35" i="1"/>
  <c r="BK21" i="1"/>
  <c r="AP23" i="1" l="1"/>
  <c r="AP37" i="1"/>
  <c r="AP35" i="1"/>
  <c r="AP21" i="1"/>
  <c r="AS1387" i="1"/>
  <c r="AP1388" i="1"/>
  <c r="BK28" i="1"/>
  <c r="BK36" i="1" s="1"/>
  <c r="BK27" i="1"/>
  <c r="BB1347" i="1"/>
  <c r="BA1345" i="1"/>
  <c r="BL23" i="1"/>
  <c r="BL37" i="1"/>
  <c r="BL21" i="1"/>
  <c r="BL35" i="1"/>
  <c r="AO48" i="1"/>
  <c r="AO14" i="1"/>
  <c r="AO7" i="1" s="1"/>
  <c r="AN1102" i="1"/>
  <c r="AN1096" i="1"/>
  <c r="AM1100" i="1"/>
  <c r="AN46" i="1"/>
  <c r="AN12" i="1"/>
  <c r="AO1096" i="1"/>
  <c r="BM15" i="1"/>
  <c r="BM7" i="1" s="1"/>
  <c r="BM438" i="1"/>
  <c r="BN442" i="1"/>
  <c r="BM49" i="1"/>
  <c r="EA438" i="1"/>
  <c r="EA66" i="1" s="1"/>
  <c r="BL41" i="1" s="1"/>
  <c r="BL32" i="1" s="1"/>
  <c r="BL29" i="1"/>
  <c r="AQ28" i="1"/>
  <c r="AQ36" i="1" s="1"/>
  <c r="AQ27" i="1"/>
  <c r="AO23" i="1" l="1"/>
  <c r="AO37" i="1"/>
  <c r="AO35" i="1"/>
  <c r="AO21" i="1"/>
  <c r="BL27" i="1"/>
  <c r="BL28" i="1"/>
  <c r="BL36" i="1" s="1"/>
  <c r="AP1389" i="1"/>
  <c r="AS1388" i="1"/>
  <c r="BN15" i="1"/>
  <c r="BN7" i="1" s="1"/>
  <c r="BN438" i="1"/>
  <c r="BN49" i="1"/>
  <c r="EB438" i="1"/>
  <c r="EB66" i="1" s="1"/>
  <c r="BM41" i="1" s="1"/>
  <c r="BM32" i="1" s="1"/>
  <c r="BM29" i="1"/>
  <c r="DC1096" i="1"/>
  <c r="DC66" i="1" s="1"/>
  <c r="AN41" i="1" s="1"/>
  <c r="AN32" i="1" s="1"/>
  <c r="AN29" i="1"/>
  <c r="AN26" i="1"/>
  <c r="BM37" i="1"/>
  <c r="BM35" i="1"/>
  <c r="BM23" i="1"/>
  <c r="BM21" i="1"/>
  <c r="AM1102" i="1"/>
  <c r="AM1096" i="1"/>
  <c r="AM12" i="1"/>
  <c r="AM46" i="1"/>
  <c r="AN14" i="1"/>
  <c r="AN7" i="1" s="1"/>
  <c r="AN48" i="1"/>
  <c r="BC1347" i="1"/>
  <c r="BB1345" i="1"/>
  <c r="DD1096" i="1"/>
  <c r="DD66" i="1" s="1"/>
  <c r="AO41" i="1" s="1"/>
  <c r="AO32" i="1" s="1"/>
  <c r="AO29" i="1"/>
  <c r="AO26" i="1"/>
  <c r="AP28" i="1"/>
  <c r="AP36" i="1" s="1"/>
  <c r="AP27" i="1"/>
  <c r="AN23" i="1" l="1"/>
  <c r="AN37" i="1"/>
  <c r="AN35" i="1"/>
  <c r="AN21" i="1"/>
  <c r="DB1096" i="1"/>
  <c r="DB66" i="1" s="1"/>
  <c r="AM41" i="1" s="1"/>
  <c r="AM32" i="1" s="1"/>
  <c r="AM29" i="1"/>
  <c r="AM26" i="1"/>
  <c r="AM48" i="1"/>
  <c r="AM14" i="1"/>
  <c r="AM7" i="1" s="1"/>
  <c r="AO28" i="1"/>
  <c r="AO36" i="1" s="1"/>
  <c r="AO27" i="1"/>
  <c r="BM27" i="1"/>
  <c r="BM28" i="1"/>
  <c r="BM36" i="1" s="1"/>
  <c r="BN23" i="1"/>
  <c r="BN37" i="1"/>
  <c r="BN35" i="1"/>
  <c r="BN21" i="1"/>
  <c r="BC1345" i="1"/>
  <c r="BD1347" i="1"/>
  <c r="EC438" i="1"/>
  <c r="EC66" i="1" s="1"/>
  <c r="BN41" i="1" s="1"/>
  <c r="BN32" i="1" s="1"/>
  <c r="BN29" i="1"/>
  <c r="AS1389" i="1"/>
  <c r="AP1390" i="1"/>
  <c r="AM23" i="1" l="1"/>
  <c r="AM35" i="1"/>
  <c r="AM37" i="1"/>
  <c r="AM21" i="1"/>
  <c r="AS1390" i="1"/>
  <c r="AP1391" i="1"/>
  <c r="AN28" i="1"/>
  <c r="AN36" i="1" s="1"/>
  <c r="AN27" i="1"/>
  <c r="BD1345" i="1"/>
  <c r="BE1347" i="1"/>
  <c r="BN27" i="1"/>
  <c r="BN28" i="1"/>
  <c r="BN36" i="1" s="1"/>
  <c r="BF1348" i="1" l="1"/>
  <c r="BE1345" i="1"/>
  <c r="AS1391" i="1"/>
  <c r="AP1392" i="1"/>
  <c r="AM28" i="1"/>
  <c r="AM36" i="1" s="1"/>
  <c r="AM27" i="1"/>
  <c r="AS1392" i="1" l="1"/>
  <c r="AP1393" i="1"/>
  <c r="BG1347" i="1"/>
  <c r="BF1346" i="1"/>
  <c r="BG1345" i="1" l="1"/>
  <c r="BH1347" i="1"/>
  <c r="AP1394" i="1"/>
  <c r="AS1393" i="1"/>
  <c r="AP1395" i="1" l="1"/>
  <c r="AS1394" i="1"/>
  <c r="BI1347" i="1"/>
  <c r="BH1345" i="1"/>
  <c r="BI1345" i="1" l="1"/>
  <c r="BJ1347" i="1"/>
  <c r="AS1395" i="1"/>
  <c r="AP1396" i="1"/>
  <c r="AS1396" i="1" l="1"/>
  <c r="AP1397" i="1"/>
  <c r="AS1397" i="1" l="1"/>
  <c r="AP1398" i="1"/>
  <c r="AS1398" i="1" l="1"/>
  <c r="AP1399" i="1"/>
  <c r="AS1399" i="1" l="1"/>
  <c r="AP1400" i="1"/>
  <c r="AS1400" i="1" l="1"/>
  <c r="AP1401" i="1"/>
  <c r="AS140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Jean-Sébastien Nadeau</author>
  </authors>
  <commentList>
    <comment ref="AE60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Jean-Sébastien Nadeau:</t>
        </r>
        <r>
          <rPr>
            <sz val="9"/>
            <color indexed="81"/>
            <rFont val="Tahoma"/>
            <family val="2"/>
          </rPr>
          <t xml:space="preserve">
I did not capitalised the interests beacause Jamaica paid back its arraers on January 1987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<sst xmlns="http://schemas.openxmlformats.org/spreadsheetml/2006/main" count="5423" uniqueCount="259">
  <si>
    <t>Database of Sovereign Defaults</t>
  </si>
  <si>
    <t>A. Summary Data</t>
  </si>
  <si>
    <t xml:space="preserve"> - Paris Club</t>
  </si>
  <si>
    <t xml:space="preserve"> - Other official creditors</t>
  </si>
  <si>
    <t xml:space="preserve"> Default Rates (%)</t>
  </si>
  <si>
    <t xml:space="preserve"> - % of all Sovereigns </t>
  </si>
  <si>
    <t xml:space="preserve"> - % of World Public Debt</t>
  </si>
  <si>
    <t xml:space="preserve"> Total Number of Sovereigns</t>
  </si>
  <si>
    <t xml:space="preserve"> Gross World Public Debt (US$bil)</t>
  </si>
  <si>
    <t xml:space="preserve"> Gross World Product (US$bil)</t>
  </si>
  <si>
    <t>B. Sovereign Debt in default (US$ mil)</t>
  </si>
  <si>
    <t>Data</t>
  </si>
  <si>
    <t>by Issuer</t>
  </si>
  <si>
    <t>Score</t>
  </si>
  <si>
    <t>Afghanistan</t>
  </si>
  <si>
    <t xml:space="preserve"> - IMF</t>
  </si>
  <si>
    <t>****</t>
  </si>
  <si>
    <t>Albania</t>
  </si>
  <si>
    <t xml:space="preserve"> - FC bank loans</t>
  </si>
  <si>
    <t>Algeria</t>
  </si>
  <si>
    <t>Angola</t>
  </si>
  <si>
    <t xml:space="preserve"> - LC debt</t>
  </si>
  <si>
    <t>*****</t>
  </si>
  <si>
    <t>Antigua and Barbuda</t>
  </si>
  <si>
    <t xml:space="preserve"> </t>
  </si>
  <si>
    <t xml:space="preserve"> - FC bonds</t>
  </si>
  <si>
    <t>Argentina</t>
  </si>
  <si>
    <t>Armenia</t>
  </si>
  <si>
    <t>Azerbaijan</t>
  </si>
  <si>
    <t>Bangladesh</t>
  </si>
  <si>
    <t>Belarus</t>
  </si>
  <si>
    <t>Belize</t>
  </si>
  <si>
    <t>Benin</t>
  </si>
  <si>
    <t>Bhutan</t>
  </si>
  <si>
    <t>Bolivia</t>
  </si>
  <si>
    <t>Bosnia &amp;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</si>
  <si>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</si>
  <si>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</si>
  <si>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</si>
  <si>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</si>
  <si>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</si>
  <si>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</si>
  <si>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</si>
  <si>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Central African Republic</t>
  </si>
  <si>
    <t>Chad</t>
  </si>
  <si>
    <t>Chile</t>
  </si>
  <si>
    <t>Colombia</t>
  </si>
  <si>
    <t>Comoros</t>
  </si>
  <si>
    <t>Rep. Of Congo (Brazzaville)</t>
  </si>
  <si>
    <t>Dem. Rep. of Congo (Kinshasa)</t>
  </si>
  <si>
    <t>Cook Islands</t>
  </si>
  <si>
    <t>Costa Rica</t>
  </si>
  <si>
    <t>Côte d’Ivoire</t>
  </si>
  <si>
    <t>Croatia</t>
  </si>
  <si>
    <t>Cuba</t>
  </si>
  <si>
    <t>Cyprus</t>
  </si>
  <si>
    <t>Czechoslovakia</t>
  </si>
  <si>
    <t>Djibouti</t>
  </si>
  <si>
    <t xml:space="preserve">Dominica </t>
  </si>
  <si>
    <t>Dominican Republic</t>
  </si>
  <si>
    <t>Ecuador</t>
  </si>
  <si>
    <t>Egypt</t>
  </si>
  <si>
    <t>El Salvador</t>
  </si>
  <si>
    <t>Equatorial Guinea</t>
  </si>
  <si>
    <t>Eritrea</t>
  </si>
  <si>
    <t>Ethiopia</t>
  </si>
  <si>
    <t>Fiji</t>
  </si>
  <si>
    <t>Gabon</t>
  </si>
  <si>
    <t>Gambia</t>
  </si>
  <si>
    <t>Georgia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</si>
  <si>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</si>
  <si>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</si>
  <si>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</si>
  <si>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</si>
  <si>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</si>
  <si>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</si>
  <si>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</si>
  <si>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</si>
  <si>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</si>
  <si>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</si>
  <si>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India</t>
  </si>
  <si>
    <t>Indonesia</t>
  </si>
  <si>
    <t>Iran</t>
  </si>
  <si>
    <t>Iraq</t>
  </si>
  <si>
    <t>Ireland</t>
  </si>
  <si>
    <t>Jamaica</t>
  </si>
  <si>
    <t>Jordan</t>
  </si>
  <si>
    <t>Kazakhstan</t>
  </si>
  <si>
    <t>Kenya</t>
  </si>
  <si>
    <t>Korea (North)</t>
  </si>
  <si>
    <t>Kyrgyzstan</t>
  </si>
  <si>
    <t>Laos</t>
  </si>
  <si>
    <t>Lebanon</t>
  </si>
  <si>
    <t>Lesotho</t>
  </si>
  <si>
    <t>Liberia</t>
  </si>
  <si>
    <t>Macedonia</t>
  </si>
  <si>
    <t>Madagascar</t>
  </si>
  <si>
    <t>Malawi</t>
  </si>
  <si>
    <t>Maldives</t>
  </si>
  <si>
    <t>Mali</t>
  </si>
  <si>
    <t>Mauritania</t>
  </si>
  <si>
    <t>Mauritius</t>
  </si>
  <si>
    <t>Mexico</t>
  </si>
  <si>
    <t>Moldova</t>
  </si>
  <si>
    <t>Mongolia</t>
  </si>
  <si>
    <t>Morocco</t>
  </si>
  <si>
    <t>Mozambique</t>
  </si>
  <si>
    <t>Myanmar</t>
  </si>
  <si>
    <t>Nauru</t>
  </si>
  <si>
    <t>Nepal</t>
  </si>
  <si>
    <t>Nicaragua</t>
  </si>
  <si>
    <t>Niger</t>
  </si>
  <si>
    <t>Nigeria</t>
  </si>
  <si>
    <t>Pakistan</t>
  </si>
  <si>
    <t>Panama</t>
  </si>
  <si>
    <t>Paraguay</t>
  </si>
  <si>
    <t>Peru</t>
  </si>
  <si>
    <t>Philippines</t>
  </si>
  <si>
    <t>Poland</t>
  </si>
  <si>
    <t>Portugal</t>
  </si>
  <si>
    <t>Puerto Rico</t>
  </si>
  <si>
    <t>Romania</t>
  </si>
  <si>
    <t>Rwanda</t>
  </si>
  <si>
    <t>St. Kitts &amp; Nevis</t>
  </si>
  <si>
    <t>St. Lucia</t>
  </si>
  <si>
    <t xml:space="preserve">St. Vincent and the Grenadines </t>
  </si>
  <si>
    <t>Samoa</t>
  </si>
  <si>
    <t>São Tomé and Príncipe</t>
  </si>
  <si>
    <t>Senegal</t>
  </si>
  <si>
    <t>Serbia</t>
  </si>
  <si>
    <t>Seychelles</t>
  </si>
  <si>
    <t>Sierra Leone</t>
  </si>
  <si>
    <t>Slovenia</t>
  </si>
  <si>
    <t>Somalia</t>
  </si>
  <si>
    <t>Solomon Islands</t>
  </si>
  <si>
    <t>South Africa</t>
  </si>
  <si>
    <t>Sri Lanka</t>
  </si>
  <si>
    <t>Sudan</t>
  </si>
  <si>
    <t>Suriname</t>
  </si>
  <si>
    <t>Swaziland</t>
  </si>
  <si>
    <t>Syria</t>
  </si>
  <si>
    <t>Tajikistan</t>
  </si>
  <si>
    <t>Tanzania</t>
  </si>
  <si>
    <t>Thailand</t>
  </si>
  <si>
    <t>Togo</t>
  </si>
  <si>
    <t>Tonga</t>
  </si>
  <si>
    <t>Trinidad &amp; Tobago</t>
  </si>
  <si>
    <t>Tunisia</t>
  </si>
  <si>
    <t>Turkey</t>
  </si>
  <si>
    <t>Turkmenistan</t>
  </si>
  <si>
    <t>Uganda</t>
  </si>
  <si>
    <t>Ukraine</t>
  </si>
  <si>
    <t>Uruguay</t>
  </si>
  <si>
    <t>USSR/Russia</t>
  </si>
  <si>
    <t>Uzbekistan</t>
  </si>
  <si>
    <t>Vanuatu</t>
  </si>
  <si>
    <t>Venezuela</t>
  </si>
  <si>
    <t>Vietnam</t>
  </si>
  <si>
    <t>Yemen</t>
  </si>
  <si>
    <t>Yugoslavia</t>
  </si>
  <si>
    <t>Zambia</t>
  </si>
  <si>
    <t>Zimbabwe</t>
  </si>
  <si>
    <t>FC -- Foreign Currency</t>
  </si>
  <si>
    <t>LC -- Local Currency</t>
  </si>
  <si>
    <t>p -- Provisional</t>
  </si>
  <si>
    <t>Blank cells -- indicate data for those years is unavailable</t>
  </si>
  <si>
    <r>
      <rPr>
        <b/>
        <sz val="10"/>
        <color rgb="FFFF0000"/>
        <rFont val="Arial"/>
        <family val="2"/>
      </rPr>
      <t>****</t>
    </r>
    <r>
      <rPr>
        <b/>
        <i/>
        <sz val="10"/>
        <color indexed="8"/>
        <rFont val="Arial"/>
        <family val="2"/>
      </rPr>
      <t xml:space="preserve"> -- values for debt in default unavailable</t>
    </r>
  </si>
  <si>
    <r>
      <t xml:space="preserve">Zeros highlighted in red </t>
    </r>
    <r>
      <rPr>
        <b/>
        <i/>
        <sz val="10"/>
        <color rgb="FFFF0000"/>
        <rFont val="Arial"/>
        <family val="2"/>
      </rPr>
      <t>(0</t>
    </r>
    <r>
      <rPr>
        <b/>
        <i/>
        <sz val="10"/>
        <color indexed="8"/>
        <rFont val="Arial"/>
        <family val="2"/>
      </rPr>
      <t>) indicate positive values less</t>
    </r>
  </si>
  <si>
    <t>than $0.5 million</t>
  </si>
  <si>
    <t/>
  </si>
  <si>
    <t>Montenegro</t>
  </si>
  <si>
    <t>Papua New Guinea</t>
  </si>
  <si>
    <t xml:space="preserve">  </t>
  </si>
  <si>
    <t xml:space="preserve"> Total Debt in Default (US$ mil) by Creditor</t>
  </si>
  <si>
    <t xml:space="preserve"> - HIPC countries</t>
  </si>
  <si>
    <t xml:space="preserve"> - Advanced economies</t>
  </si>
  <si>
    <t xml:space="preserve"> - Emerging/frontier markets</t>
  </si>
  <si>
    <t xml:space="preserve"> - Other developing countries</t>
  </si>
  <si>
    <t>Total Debt in Default (US$ mil) by Debtor</t>
  </si>
  <si>
    <t>Cabo Verde</t>
  </si>
  <si>
    <t>FC bank loans</t>
  </si>
  <si>
    <t>FC bonds</t>
  </si>
  <si>
    <t>LC debt</t>
  </si>
  <si>
    <t>South Sudan</t>
  </si>
  <si>
    <t xml:space="preserve"> - IBRD</t>
  </si>
  <si>
    <t>US - Cambodia</t>
  </si>
  <si>
    <t>coupon @6.5%</t>
  </si>
  <si>
    <t>Yen</t>
  </si>
  <si>
    <t>USD</t>
  </si>
  <si>
    <t>Nauru bonds</t>
  </si>
  <si>
    <t>IMF</t>
  </si>
  <si>
    <t>IBRD</t>
  </si>
  <si>
    <t>Paris_Club</t>
  </si>
  <si>
    <t>Other_official_creditors</t>
  </si>
  <si>
    <t>Private_creditors</t>
  </si>
  <si>
    <t>FC_bank_loans</t>
  </si>
  <si>
    <t>LC_debt</t>
  </si>
  <si>
    <t>FC_bonds</t>
  </si>
  <si>
    <t>Total</t>
  </si>
  <si>
    <t>country</t>
  </si>
  <si>
    <t>default_type</t>
  </si>
  <si>
    <t>Barbados</t>
  </si>
  <si>
    <t xml:space="preserve"> - IDA</t>
  </si>
  <si>
    <t>North Macedonia</t>
  </si>
  <si>
    <t>eSwatini (Swaziland)</t>
  </si>
  <si>
    <t xml:space="preserve"> - China</t>
  </si>
  <si>
    <t>Kyrgyz Republic</t>
  </si>
  <si>
    <t xml:space="preserve"> - % of World GDP</t>
  </si>
  <si>
    <t xml:space="preserve"> - Other private creditors</t>
  </si>
  <si>
    <t xml:space="preserve">Bosnia &amp; Herzegovina </t>
  </si>
  <si>
    <t>Libya</t>
  </si>
  <si>
    <t xml:space="preserve"> - % of Emerging/Other Developing GDP (ex-China)</t>
  </si>
  <si>
    <t xml:space="preserve"> - Domestic arrears</t>
  </si>
  <si>
    <t>Curaçao</t>
  </si>
  <si>
    <t>Sint Maarten</t>
  </si>
  <si>
    <t>Namibia</t>
  </si>
  <si>
    <t xml:space="preserve"> - Ex AEs</t>
  </si>
  <si>
    <t>Bahamas</t>
  </si>
  <si>
    <t>Palau</t>
  </si>
  <si>
    <t>West Bank &amp; Gaza</t>
  </si>
  <si>
    <t>Tuvalu</t>
  </si>
  <si>
    <t xml:space="preserve"> - % of Paris Club Loans</t>
  </si>
  <si>
    <t xml:space="preserve"> - % of China Bilateral Offical Loans</t>
  </si>
  <si>
    <t xml:space="preserve"> Total Paris Club Loans (US$bil)</t>
  </si>
  <si>
    <t xml:space="preserve"> - SSAs</t>
  </si>
  <si>
    <t>***</t>
  </si>
  <si>
    <t xml:space="preserve"> China EM &amp; LIC Official Loans (US$bil)</t>
  </si>
  <si>
    <t>United Kingdom</t>
  </si>
  <si>
    <t>Latvia</t>
  </si>
  <si>
    <t>The Gambia</t>
  </si>
  <si>
    <t>Kosovo</t>
  </si>
  <si>
    <t xml:space="preserve"> Sovereigns in Default to:</t>
  </si>
  <si>
    <t>USSR/Russian Federation</t>
  </si>
  <si>
    <t>Malaysia</t>
  </si>
  <si>
    <t>Netherlands Antilles</t>
  </si>
  <si>
    <t>Korea, Democratic People's Republic of (North)</t>
  </si>
  <si>
    <t xml:space="preserve">Anguila </t>
  </si>
  <si>
    <t>Aruba</t>
  </si>
  <si>
    <t xml:space="preserve"> - IADB</t>
  </si>
  <si>
    <r>
      <t xml:space="preserve"> - </t>
    </r>
    <r>
      <rPr>
        <i/>
        <sz val="10"/>
        <rFont val="Arial"/>
        <family val="2"/>
      </rPr>
      <t>IMF</t>
    </r>
  </si>
  <si>
    <t xml:space="preserve"> - % Conventional debt in default </t>
  </si>
  <si>
    <t>Sovereigns with Identified Stocks of Domestic Arrears</t>
  </si>
  <si>
    <t>Top 10</t>
  </si>
  <si>
    <t>Russia</t>
  </si>
  <si>
    <t>China</t>
  </si>
  <si>
    <t xml:space="preserve"> Gross EM &amp; Developing Country GDP (US$bil)</t>
  </si>
  <si>
    <t>Marshall Islands</t>
  </si>
  <si>
    <t>Lithuania</t>
  </si>
  <si>
    <t>Slovak Republic</t>
  </si>
  <si>
    <t xml:space="preserve"> ****</t>
  </si>
  <si>
    <t xml:space="preserve">         ****</t>
  </si>
  <si>
    <t xml:space="preserve">          ****</t>
  </si>
  <si>
    <t xml:space="preserve">**** </t>
  </si>
  <si>
    <t xml:space="preserve"> **** </t>
  </si>
  <si>
    <t>`</t>
  </si>
  <si>
    <t>Micronesia</t>
  </si>
  <si>
    <t>Stocks of Domestic Arrears (US$ mil)</t>
  </si>
  <si>
    <t>2025p</t>
  </si>
  <si>
    <t>Last Update: July 22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</si>
</sst>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&quot;£&quot;#,##0.00_);[Red]\(&quot;£&quot;#,##0.00\)"/>
    <numFmt numFmtId="166" formatCode="0.0"/>
    <numFmt numFmtId="167" formatCode="0.000"/>
    <numFmt numFmtId="168" formatCode="#,##0.000"/>
    <numFmt numFmtId="169" formatCode="[$-409]mmm\-yy;@"/>
  </numFmts>
  <fonts count="6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2"/>
      <name val="Arial"/>
      <family val="2"/>
    </font>
    <font>
      <b/>
      <sz val="10"/>
      <color theme="1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i/>
      <sz val="10"/>
      <color indexed="8"/>
      <name val="Arial"/>
      <family val="2"/>
    </font>
    <font>
      <i/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i/>
      <sz val="10"/>
      <color rgb="FFFF0000"/>
      <name val="Arial"/>
      <family val="2"/>
    </font>
    <font>
      <i/>
      <sz val="11"/>
      <name val="Calibri"/>
      <family val="2"/>
      <scheme val="minor"/>
    </font>
    <font>
      <i/>
      <sz val="10"/>
      <color theme="1"/>
      <name val="Arial"/>
      <family val="2"/>
    </font>
    <font>
      <sz val="10"/>
      <color rgb="FF3F3F76"/>
      <name val="Arial"/>
      <family val="2"/>
    </font>
    <font>
      <sz val="11"/>
      <name val="Arial"/>
      <family val="2"/>
    </font>
    <font>
      <sz val="9"/>
      <name val="Geneva"/>
    </font>
    <font>
      <b/>
      <i/>
      <sz val="10"/>
      <name val="Arial"/>
      <family val="2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</font>
    <font>
      <b/>
      <i/>
      <sz val="10"/>
      <color indexed="8"/>
      <name val="Arial"/>
      <family val="2"/>
    </font>
    <font>
      <b/>
      <sz val="10"/>
      <color rgb="FFFF0000"/>
      <name val="Arial"/>
      <family val="2"/>
    </font>
    <font>
      <b/>
      <i/>
      <sz val="10"/>
      <color rgb="FFFF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5" tint="0.79998168889431442"/>
      <name val="Calibri"/>
      <family val="2"/>
      <scheme val="minor"/>
    </font>
    <font>
      <sz val="11"/>
      <color theme="6" tint="0.59999389629810485"/>
      <name val="Calibri"/>
      <family val="2"/>
      <scheme val="minor"/>
    </font>
    <font>
      <b/>
      <sz val="12"/>
      <color theme="6" tint="0.59999389629810485"/>
      <name val="Arial"/>
      <family val="2"/>
    </font>
    <font>
      <sz val="10"/>
      <color rgb="FFFF0000"/>
      <name val="Arial"/>
      <family val="2"/>
    </font>
    <font>
      <b/>
      <sz val="11"/>
      <color theme="1"/>
      <name val="Calibri"/>
      <family val="2"/>
      <scheme val="minor"/>
    </font>
    <font>
      <b/>
      <i/>
      <sz val="12"/>
      <color indexed="8"/>
      <name val="Arial"/>
      <family val="2"/>
    </font>
    <font>
      <sz val="10"/>
      <name val="Arial"/>
      <family val="2"/>
    </font>
    <font>
      <i/>
      <sz val="11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9C6500"/>
      <name val="Calibri"/>
      <family val="2"/>
      <scheme val="minor"/>
    </font>
    <font>
      <sz val="11"/>
      <color rgb="FF2C2825"/>
      <name val="Arial"/>
      <family val="2"/>
    </font>
    <font>
      <i/>
      <sz val="10"/>
      <color rgb="FF2C2825"/>
      <name val="Arial"/>
      <family val="2"/>
    </font>
    <font>
      <b/>
      <sz val="10"/>
      <color rgb="FF2C2825"/>
      <name val="Arial"/>
      <family val="2"/>
    </font>
    <font>
      <sz val="12"/>
      <color indexed="8"/>
      <name val="Arial"/>
      <family val="2"/>
    </font>
    <font>
      <b/>
      <sz val="8"/>
      <color indexed="8"/>
      <name val="Arial"/>
      <family val="2"/>
    </font>
    <font>
      <sz val="10"/>
      <name val="Verdana Ref"/>
    </font>
    <font>
      <b/>
      <sz val="12"/>
      <color rgb="FFFF0000"/>
      <name val="Arial"/>
      <family val="2"/>
    </font>
    <font>
      <i/>
      <sz val="10"/>
      <color rgb="FF404040"/>
      <name val="Arial"/>
      <family val="2"/>
    </font>
    <font>
      <i/>
      <sz val="11"/>
      <color indexed="8"/>
      <name val="Arial"/>
      <family val="2"/>
    </font>
    <font>
      <i/>
      <sz val="11"/>
      <color theme="1"/>
      <name val="Arial"/>
      <family val="2"/>
    </font>
    <font>
      <b/>
      <sz val="10"/>
      <name val="Arial"/>
      <family val="2"/>
    </font>
    <font>
      <i/>
      <sz val="10"/>
      <color indexed="8"/>
      <name val="Arial"/>
      <family val="2"/>
    </font>
    <font>
      <i/>
      <sz val="10"/>
      <name val="Arial"/>
      <family val="2"/>
    </font>
    <font>
      <i/>
      <sz val="10"/>
      <color rgb="FFFF0000"/>
      <name val="Arial"/>
      <family val="2"/>
    </font>
    <font>
      <b/>
      <sz val="12"/>
      <color rgb="FF92D05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6" tint="0.79998168889431442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4F9F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2F7E5"/>
        <bgColor indexed="64"/>
      </patternFill>
    </fill>
    <fill>
      <patternFill patternType="solid">
        <fgColor rgb="FFF4F7E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2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7F7F7F"/>
      </left>
      <right style="thin">
        <color rgb="FF7F7F7F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rgb="FFB2B2B2"/>
      </right>
      <top style="hair">
        <color auto="1"/>
      </top>
      <bottom style="hair">
        <color auto="1"/>
      </bottom>
      <diagonal/>
    </border>
    <border>
      <left style="thin">
        <color rgb="FFB2B2B2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dotted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dotted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rgb="FFB2B2B2"/>
      </left>
      <right style="thin">
        <color rgb="FFB2B2B2"/>
      </right>
      <top/>
      <bottom style="hair">
        <color auto="1"/>
      </bottom>
      <diagonal/>
    </border>
    <border>
      <left style="hair">
        <color indexed="64"/>
      </left>
      <right/>
      <top/>
      <bottom/>
      <diagonal/>
    </border>
  </borders>
  <cellStyleXfs count="102">
    <xf numFmtId="0" fontId="0" fillId="0" borderId="0"/>
    <xf numFmtId="0" fontId="2" fillId="2" borderId="1" applyNumberFormat="0" applyAlignment="0" applyProtection="0"/>
    <xf numFmtId="0" fontId="1" fillId="3" borderId="2" applyNumberFormat="0" applyFont="0" applyAlignment="0" applyProtection="0"/>
    <xf numFmtId="0" fontId="1" fillId="4" borderId="0" applyNumberFormat="0" applyBorder="0" applyAlignment="0" applyProtection="0"/>
    <xf numFmtId="0" fontId="1" fillId="0" borderId="0"/>
    <xf numFmtId="0" fontId="17" fillId="0" borderId="0"/>
    <xf numFmtId="164" fontId="11" fillId="0" borderId="0" applyFont="0" applyFill="0" applyBorder="0" applyAlignment="0" applyProtection="0"/>
    <xf numFmtId="0" fontId="11" fillId="0" borderId="0"/>
    <xf numFmtId="168" fontId="11" fillId="0" borderId="0"/>
    <xf numFmtId="169" fontId="1" fillId="0" borderId="0"/>
    <xf numFmtId="0" fontId="11" fillId="0" borderId="0"/>
    <xf numFmtId="169" fontId="1" fillId="0" borderId="0"/>
    <xf numFmtId="0" fontId="11" fillId="0" borderId="0"/>
    <xf numFmtId="0" fontId="11" fillId="0" borderId="0"/>
    <xf numFmtId="0" fontId="11" fillId="0" borderId="0"/>
    <xf numFmtId="168" fontId="11" fillId="0" borderId="0"/>
    <xf numFmtId="164" fontId="11" fillId="0" borderId="0" applyFont="0" applyFill="0" applyBorder="0" applyAlignment="0" applyProtection="0"/>
    <xf numFmtId="0" fontId="33" fillId="0" borderId="0"/>
    <xf numFmtId="0" fontId="35" fillId="0" borderId="13" applyNumberFormat="0" applyFill="0" applyAlignment="0" applyProtection="0"/>
    <xf numFmtId="0" fontId="36" fillId="0" borderId="14" applyNumberFormat="0" applyFill="0" applyAlignment="0" applyProtection="0"/>
    <xf numFmtId="0" fontId="37" fillId="0" borderId="15" applyNumberFormat="0" applyFill="0" applyAlignment="0" applyProtection="0"/>
    <xf numFmtId="0" fontId="37" fillId="0" borderId="0" applyNumberFormat="0" applyFill="0" applyBorder="0" applyAlignment="0" applyProtection="0"/>
    <xf numFmtId="0" fontId="38" fillId="8" borderId="0" applyNumberFormat="0" applyBorder="0" applyAlignment="0" applyProtection="0"/>
    <xf numFmtId="0" fontId="39" fillId="9" borderId="0" applyNumberFormat="0" applyBorder="0" applyAlignment="0" applyProtection="0"/>
    <xf numFmtId="0" fontId="40" fillId="11" borderId="1" applyNumberFormat="0" applyAlignment="0" applyProtection="0"/>
    <xf numFmtId="0" fontId="41" fillId="2" borderId="16" applyNumberFormat="0" applyAlignment="0" applyProtection="0"/>
    <xf numFmtId="0" fontId="42" fillId="0" borderId="17" applyNumberFormat="0" applyFill="0" applyAlignment="0" applyProtection="0"/>
    <xf numFmtId="0" fontId="43" fillId="12" borderId="18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31" fillId="0" borderId="19" applyNumberFormat="0" applyFill="0" applyAlignment="0" applyProtection="0"/>
    <xf numFmtId="0" fontId="4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4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46" fillId="21" borderId="0" applyNumberFormat="0" applyBorder="0" applyAlignment="0" applyProtection="0"/>
    <xf numFmtId="0" fontId="1" fillId="22" borderId="0" applyNumberFormat="0" applyBorder="0" applyAlignment="0" applyProtection="0"/>
    <xf numFmtId="0" fontId="46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46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46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47" fillId="0" borderId="0" applyNumberFormat="0" applyFill="0" applyBorder="0" applyAlignment="0" applyProtection="0"/>
    <xf numFmtId="0" fontId="48" fillId="10" borderId="0" applyNumberFormat="0" applyBorder="0" applyAlignment="0" applyProtection="0"/>
    <xf numFmtId="0" fontId="46" fillId="16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7" borderId="0" applyNumberFormat="0" applyBorder="0" applyAlignment="0" applyProtection="0"/>
    <xf numFmtId="0" fontId="46" fillId="31" borderId="0" applyNumberFormat="0" applyBorder="0" applyAlignment="0" applyProtection="0"/>
    <xf numFmtId="0" fontId="46" fillId="35" borderId="0" applyNumberFormat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164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</cellStyleXfs>
  <cellXfs count="273">
    <xf numFmtId="0" fontId="0" fillId="0" borderId="0" xfId="0"/>
    <xf numFmtId="0" fontId="3" fillId="5" borderId="0" xfId="0" applyFont="1" applyFill="1"/>
    <xf numFmtId="1" fontId="5" fillId="6" borderId="3" xfId="0" applyNumberFormat="1" applyFont="1" applyFill="1" applyBorder="1"/>
    <xf numFmtId="1" fontId="5" fillId="6" borderId="4" xfId="0" applyNumberFormat="1" applyFont="1" applyFill="1" applyBorder="1"/>
    <xf numFmtId="1" fontId="6" fillId="6" borderId="3" xfId="0" applyNumberFormat="1" applyFont="1" applyFill="1" applyBorder="1"/>
    <xf numFmtId="1" fontId="6" fillId="6" borderId="4" xfId="0" applyNumberFormat="1" applyFont="1" applyFill="1" applyBorder="1"/>
    <xf numFmtId="1" fontId="0" fillId="0" borderId="0" xfId="0" applyNumberFormat="1"/>
    <xf numFmtId="1" fontId="6" fillId="6" borderId="5" xfId="0" applyNumberFormat="1" applyFont="1" applyFill="1" applyBorder="1"/>
    <xf numFmtId="1" fontId="7" fillId="6" borderId="4" xfId="0" applyNumberFormat="1" applyFont="1" applyFill="1" applyBorder="1"/>
    <xf numFmtId="1" fontId="7" fillId="6" borderId="3" xfId="0" applyNumberFormat="1" applyFont="1" applyFill="1" applyBorder="1"/>
    <xf numFmtId="166" fontId="7" fillId="6" borderId="3" xfId="0" applyNumberFormat="1" applyFont="1" applyFill="1" applyBorder="1"/>
    <xf numFmtId="166" fontId="6" fillId="6" borderId="3" xfId="0" applyNumberFormat="1" applyFont="1" applyFill="1" applyBorder="1"/>
    <xf numFmtId="166" fontId="6" fillId="6" borderId="4" xfId="0" applyNumberFormat="1" applyFont="1" applyFill="1" applyBorder="1"/>
    <xf numFmtId="167" fontId="6" fillId="6" borderId="3" xfId="0" applyNumberFormat="1" applyFont="1" applyFill="1" applyBorder="1"/>
    <xf numFmtId="167" fontId="6" fillId="6" borderId="5" xfId="0" applyNumberFormat="1" applyFont="1" applyFill="1" applyBorder="1"/>
    <xf numFmtId="166" fontId="7" fillId="6" borderId="5" xfId="0" applyNumberFormat="1" applyFont="1" applyFill="1" applyBorder="1"/>
    <xf numFmtId="0" fontId="7" fillId="6" borderId="3" xfId="0" applyFont="1" applyFill="1" applyBorder="1"/>
    <xf numFmtId="0" fontId="3" fillId="5" borderId="0" xfId="0" applyFont="1" applyFill="1" applyAlignment="1">
      <alignment vertical="center"/>
    </xf>
    <xf numFmtId="1" fontId="9" fillId="6" borderId="3" xfId="0" applyNumberFormat="1" applyFont="1" applyFill="1" applyBorder="1" applyAlignment="1">
      <alignment horizontal="right"/>
    </xf>
    <xf numFmtId="0" fontId="9" fillId="5" borderId="0" xfId="0" applyFont="1" applyFill="1" applyAlignment="1">
      <alignment horizontal="left"/>
    </xf>
    <xf numFmtId="0" fontId="9" fillId="6" borderId="3" xfId="0" applyFont="1" applyFill="1" applyBorder="1"/>
    <xf numFmtId="0" fontId="7" fillId="5" borderId="0" xfId="0" applyFont="1" applyFill="1" applyAlignment="1">
      <alignment vertical="center"/>
    </xf>
    <xf numFmtId="1" fontId="7" fillId="6" borderId="3" xfId="0" applyNumberFormat="1" applyFont="1" applyFill="1" applyBorder="1" applyAlignment="1">
      <alignment horizontal="right"/>
    </xf>
    <xf numFmtId="1" fontId="7" fillId="6" borderId="4" xfId="0" applyNumberFormat="1" applyFont="1" applyFill="1" applyBorder="1" applyAlignment="1">
      <alignment horizontal="right"/>
    </xf>
    <xf numFmtId="0" fontId="9" fillId="5" borderId="0" xfId="0" applyFont="1" applyFill="1" applyAlignment="1">
      <alignment vertical="center"/>
    </xf>
    <xf numFmtId="1" fontId="9" fillId="6" borderId="4" xfId="0" applyNumberFormat="1" applyFont="1" applyFill="1" applyBorder="1" applyAlignment="1">
      <alignment horizontal="right"/>
    </xf>
    <xf numFmtId="1" fontId="13" fillId="6" borderId="6" xfId="1" applyNumberFormat="1" applyFont="1" applyFill="1" applyBorder="1" applyAlignment="1" applyProtection="1">
      <alignment horizontal="right"/>
    </xf>
    <xf numFmtId="1" fontId="14" fillId="6" borderId="4" xfId="0" applyNumberFormat="1" applyFont="1" applyFill="1" applyBorder="1"/>
    <xf numFmtId="1" fontId="14" fillId="6" borderId="7" xfId="0" applyNumberFormat="1" applyFont="1" applyFill="1" applyBorder="1"/>
    <xf numFmtId="1" fontId="14" fillId="6" borderId="8" xfId="2" applyNumberFormat="1" applyFont="1" applyFill="1" applyBorder="1"/>
    <xf numFmtId="1" fontId="9" fillId="6" borderId="7" xfId="0" applyNumberFormat="1" applyFont="1" applyFill="1" applyBorder="1"/>
    <xf numFmtId="1" fontId="11" fillId="6" borderId="3" xfId="0" applyNumberFormat="1" applyFont="1" applyFill="1" applyBorder="1" applyAlignment="1">
      <alignment horizontal="right"/>
    </xf>
    <xf numFmtId="0" fontId="7" fillId="5" borderId="0" xfId="0" applyFont="1" applyFill="1" applyAlignment="1">
      <alignment horizontal="left"/>
    </xf>
    <xf numFmtId="1" fontId="7" fillId="6" borderId="5" xfId="0" applyNumberFormat="1" applyFont="1" applyFill="1" applyBorder="1" applyAlignment="1">
      <alignment horizontal="right"/>
    </xf>
    <xf numFmtId="1" fontId="9" fillId="6" borderId="3" xfId="0" applyNumberFormat="1" applyFont="1" applyFill="1" applyBorder="1"/>
    <xf numFmtId="1" fontId="9" fillId="6" borderId="5" xfId="0" applyNumberFormat="1" applyFont="1" applyFill="1" applyBorder="1"/>
    <xf numFmtId="1" fontId="11" fillId="6" borderId="3" xfId="0" applyNumberFormat="1" applyFont="1" applyFill="1" applyBorder="1"/>
    <xf numFmtId="0" fontId="0" fillId="5" borderId="0" xfId="0" applyFill="1"/>
    <xf numFmtId="0" fontId="11" fillId="6" borderId="3" xfId="0" applyFont="1" applyFill="1" applyBorder="1"/>
    <xf numFmtId="1" fontId="7" fillId="6" borderId="3" xfId="4" applyNumberFormat="1" applyFont="1" applyFill="1" applyBorder="1"/>
    <xf numFmtId="1" fontId="12" fillId="6" borderId="3" xfId="0" applyNumberFormat="1" applyFont="1" applyFill="1" applyBorder="1" applyAlignment="1">
      <alignment horizontal="right"/>
    </xf>
    <xf numFmtId="1" fontId="9" fillId="6" borderId="4" xfId="4" applyNumberFormat="1" applyFont="1" applyFill="1" applyBorder="1"/>
    <xf numFmtId="1" fontId="9" fillId="6" borderId="4" xfId="0" applyNumberFormat="1" applyFont="1" applyFill="1" applyBorder="1"/>
    <xf numFmtId="1" fontId="9" fillId="6" borderId="3" xfId="0" quotePrefix="1" applyNumberFormat="1" applyFont="1" applyFill="1" applyBorder="1" applyAlignment="1">
      <alignment horizontal="right"/>
    </xf>
    <xf numFmtId="0" fontId="11" fillId="5" borderId="0" xfId="0" applyFont="1" applyFill="1" applyAlignment="1">
      <alignment horizontal="left"/>
    </xf>
    <xf numFmtId="1" fontId="9" fillId="6" borderId="9" xfId="2" applyNumberFormat="1" applyFont="1" applyFill="1" applyBorder="1" applyAlignment="1" applyProtection="1">
      <alignment horizontal="right"/>
    </xf>
    <xf numFmtId="1" fontId="9" fillId="6" borderId="8" xfId="2" applyNumberFormat="1" applyFont="1" applyFill="1" applyBorder="1" applyAlignment="1" applyProtection="1">
      <alignment horizontal="right"/>
    </xf>
    <xf numFmtId="0" fontId="15" fillId="6" borderId="8" xfId="2" applyFont="1" applyFill="1" applyBorder="1"/>
    <xf numFmtId="0" fontId="14" fillId="6" borderId="8" xfId="2" applyFont="1" applyFill="1" applyBorder="1"/>
    <xf numFmtId="1" fontId="9" fillId="6" borderId="10" xfId="2" applyNumberFormat="1" applyFont="1" applyFill="1" applyBorder="1" applyAlignment="1" applyProtection="1">
      <alignment horizontal="right"/>
    </xf>
    <xf numFmtId="0" fontId="0" fillId="6" borderId="9" xfId="2" applyFont="1" applyFill="1" applyBorder="1"/>
    <xf numFmtId="0" fontId="0" fillId="6" borderId="8" xfId="2" applyFont="1" applyFill="1" applyBorder="1"/>
    <xf numFmtId="0" fontId="6" fillId="5" borderId="0" xfId="0" applyFont="1" applyFill="1" applyAlignment="1">
      <alignment horizontal="left"/>
    </xf>
    <xf numFmtId="0" fontId="8" fillId="5" borderId="0" xfId="0" applyFont="1" applyFill="1" applyAlignment="1">
      <alignment horizontal="left"/>
    </xf>
    <xf numFmtId="0" fontId="7" fillId="5" borderId="0" xfId="0" applyFont="1" applyFill="1"/>
    <xf numFmtId="1" fontId="11" fillId="6" borderId="4" xfId="0" applyNumberFormat="1" applyFont="1" applyFill="1" applyBorder="1" applyAlignment="1">
      <alignment horizontal="right"/>
    </xf>
    <xf numFmtId="0" fontId="9" fillId="6" borderId="4" xfId="0" applyFont="1" applyFill="1" applyBorder="1"/>
    <xf numFmtId="0" fontId="9" fillId="5" borderId="0" xfId="0" applyFont="1" applyFill="1"/>
    <xf numFmtId="1" fontId="9" fillId="6" borderId="3" xfId="4" applyNumberFormat="1" applyFont="1" applyFill="1" applyBorder="1"/>
    <xf numFmtId="1" fontId="9" fillId="6" borderId="5" xfId="4" applyNumberFormat="1" applyFont="1" applyFill="1" applyBorder="1"/>
    <xf numFmtId="1" fontId="9" fillId="6" borderId="5" xfId="0" applyNumberFormat="1" applyFont="1" applyFill="1" applyBorder="1" applyAlignment="1">
      <alignment horizontal="right"/>
    </xf>
    <xf numFmtId="1" fontId="9" fillId="6" borderId="7" xfId="0" applyNumberFormat="1" applyFont="1" applyFill="1" applyBorder="1" applyAlignment="1">
      <alignment horizontal="right"/>
    </xf>
    <xf numFmtId="1" fontId="7" fillId="6" borderId="5" xfId="0" applyNumberFormat="1" applyFont="1" applyFill="1" applyBorder="1"/>
    <xf numFmtId="1" fontId="9" fillId="6" borderId="3" xfId="0" applyNumberFormat="1" applyFont="1" applyFill="1" applyBorder="1" applyAlignment="1">
      <alignment horizontal="right" wrapText="1"/>
    </xf>
    <xf numFmtId="0" fontId="9" fillId="6" borderId="3" xfId="4" applyFont="1" applyFill="1" applyBorder="1"/>
    <xf numFmtId="0" fontId="16" fillId="6" borderId="3" xfId="4" applyFont="1" applyFill="1" applyBorder="1"/>
    <xf numFmtId="0" fontId="16" fillId="6" borderId="4" xfId="4" applyFont="1" applyFill="1" applyBorder="1"/>
    <xf numFmtId="0" fontId="9" fillId="6" borderId="5" xfId="4" applyFont="1" applyFill="1" applyBorder="1"/>
    <xf numFmtId="0" fontId="0" fillId="6" borderId="7" xfId="0" applyFill="1" applyBorder="1"/>
    <xf numFmtId="0" fontId="0" fillId="6" borderId="5" xfId="0" applyFill="1" applyBorder="1"/>
    <xf numFmtId="0" fontId="17" fillId="6" borderId="4" xfId="5" applyFill="1" applyBorder="1"/>
    <xf numFmtId="1" fontId="14" fillId="6" borderId="3" xfId="0" applyNumberFormat="1" applyFont="1" applyFill="1" applyBorder="1" applyAlignment="1">
      <alignment horizontal="right"/>
    </xf>
    <xf numFmtId="1" fontId="9" fillId="6" borderId="0" xfId="0" applyNumberFormat="1" applyFont="1" applyFill="1" applyAlignment="1">
      <alignment horizontal="right"/>
    </xf>
    <xf numFmtId="1" fontId="11" fillId="6" borderId="0" xfId="0" applyNumberFormat="1" applyFont="1" applyFill="1" applyAlignment="1">
      <alignment horizontal="right"/>
    </xf>
    <xf numFmtId="1" fontId="11" fillId="6" borderId="4" xfId="0" applyNumberFormat="1" applyFont="1" applyFill="1" applyBorder="1"/>
    <xf numFmtId="0" fontId="7" fillId="5" borderId="0" xfId="0" quotePrefix="1" applyFont="1" applyFill="1" applyAlignment="1">
      <alignment horizontal="left"/>
    </xf>
    <xf numFmtId="1" fontId="18" fillId="6" borderId="3" xfId="0" applyNumberFormat="1" applyFont="1" applyFill="1" applyBorder="1" applyAlignment="1">
      <alignment horizontal="right"/>
    </xf>
    <xf numFmtId="0" fontId="11" fillId="6" borderId="4" xfId="0" applyFont="1" applyFill="1" applyBorder="1"/>
    <xf numFmtId="0" fontId="11" fillId="5" borderId="0" xfId="0" applyFont="1" applyFill="1"/>
    <xf numFmtId="0" fontId="19" fillId="5" borderId="0" xfId="0" applyFont="1" applyFill="1"/>
    <xf numFmtId="0" fontId="4" fillId="5" borderId="0" xfId="0" applyFont="1" applyFill="1"/>
    <xf numFmtId="0" fontId="20" fillId="5" borderId="0" xfId="0" applyFont="1" applyFill="1"/>
    <xf numFmtId="1" fontId="9" fillId="6" borderId="11" xfId="4" applyNumberFormat="1" applyFont="1" applyFill="1" applyBorder="1"/>
    <xf numFmtId="1" fontId="9" fillId="6" borderId="12" xfId="0" applyNumberFormat="1" applyFont="1" applyFill="1" applyBorder="1"/>
    <xf numFmtId="0" fontId="22" fillId="5" borderId="0" xfId="0" applyFont="1" applyFill="1" applyAlignment="1">
      <alignment horizontal="left"/>
    </xf>
    <xf numFmtId="0" fontId="27" fillId="0" borderId="0" xfId="0" applyFont="1"/>
    <xf numFmtId="0" fontId="28" fillId="0" borderId="0" xfId="0" applyFont="1"/>
    <xf numFmtId="1" fontId="29" fillId="6" borderId="3" xfId="0" applyNumberFormat="1" applyFont="1" applyFill="1" applyBorder="1"/>
    <xf numFmtId="0" fontId="0" fillId="7" borderId="0" xfId="0" applyFill="1"/>
    <xf numFmtId="0" fontId="29" fillId="7" borderId="0" xfId="0" applyFont="1" applyFill="1"/>
    <xf numFmtId="0" fontId="3" fillId="7" borderId="0" xfId="0" applyFont="1" applyFill="1"/>
    <xf numFmtId="0" fontId="7" fillId="7" borderId="0" xfId="0" applyFont="1" applyFill="1"/>
    <xf numFmtId="0" fontId="3" fillId="7" borderId="0" xfId="0" applyFont="1" applyFill="1" applyAlignment="1">
      <alignment horizontal="right"/>
    </xf>
    <xf numFmtId="0" fontId="3" fillId="7" borderId="0" xfId="0" applyFont="1" applyFill="1" applyAlignment="1">
      <alignment horizontal="center"/>
    </xf>
    <xf numFmtId="0" fontId="11" fillId="7" borderId="0" xfId="0" applyFont="1" applyFill="1" applyAlignment="1">
      <alignment horizontal="center"/>
    </xf>
    <xf numFmtId="0" fontId="10" fillId="7" borderId="0" xfId="0" applyFont="1" applyFill="1" applyAlignment="1">
      <alignment horizontal="center"/>
    </xf>
    <xf numFmtId="0" fontId="11" fillId="7" borderId="0" xfId="0" applyFont="1" applyFill="1"/>
    <xf numFmtId="0" fontId="11" fillId="7" borderId="0" xfId="0" quotePrefix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7" fillId="7" borderId="0" xfId="0" applyFont="1" applyFill="1" applyAlignment="1">
      <alignment horizontal="center"/>
    </xf>
    <xf numFmtId="0" fontId="20" fillId="7" borderId="0" xfId="0" applyFont="1" applyFill="1"/>
    <xf numFmtId="1" fontId="3" fillId="7" borderId="0" xfId="0" applyNumberFormat="1" applyFont="1" applyFill="1"/>
    <xf numFmtId="1" fontId="12" fillId="6" borderId="3" xfId="0" applyNumberFormat="1" applyFont="1" applyFill="1" applyBorder="1"/>
    <xf numFmtId="0" fontId="9" fillId="6" borderId="3" xfId="3" applyFont="1" applyFill="1" applyBorder="1"/>
    <xf numFmtId="0" fontId="14" fillId="5" borderId="0" xfId="0" applyFont="1" applyFill="1"/>
    <xf numFmtId="1" fontId="30" fillId="6" borderId="3" xfId="0" applyNumberFormat="1" applyFont="1" applyFill="1" applyBorder="1" applyAlignment="1">
      <alignment horizontal="right"/>
    </xf>
    <xf numFmtId="0" fontId="19" fillId="6" borderId="8" xfId="2" applyFont="1" applyFill="1" applyBorder="1"/>
    <xf numFmtId="0" fontId="31" fillId="5" borderId="0" xfId="0" applyFont="1" applyFill="1"/>
    <xf numFmtId="1" fontId="23" fillId="6" borderId="3" xfId="0" applyNumberFormat="1" applyFont="1" applyFill="1" applyBorder="1"/>
    <xf numFmtId="0" fontId="14" fillId="6" borderId="10" xfId="2" applyFont="1" applyFill="1" applyBorder="1"/>
    <xf numFmtId="166" fontId="6" fillId="6" borderId="5" xfId="0" applyNumberFormat="1" applyFont="1" applyFill="1" applyBorder="1"/>
    <xf numFmtId="166" fontId="6" fillId="6" borderId="7" xfId="0" applyNumberFormat="1" applyFont="1" applyFill="1" applyBorder="1"/>
    <xf numFmtId="1" fontId="8" fillId="6" borderId="3" xfId="0" applyNumberFormat="1" applyFont="1" applyFill="1" applyBorder="1"/>
    <xf numFmtId="1" fontId="32" fillId="6" borderId="3" xfId="0" applyNumberFormat="1" applyFont="1" applyFill="1" applyBorder="1"/>
    <xf numFmtId="1" fontId="23" fillId="6" borderId="3" xfId="0" applyNumberFormat="1" applyFont="1" applyFill="1" applyBorder="1" applyAlignment="1">
      <alignment horizontal="right"/>
    </xf>
    <xf numFmtId="0" fontId="8" fillId="6" borderId="3" xfId="0" applyFont="1" applyFill="1" applyBorder="1" applyAlignment="1">
      <alignment horizontal="right"/>
    </xf>
    <xf numFmtId="1" fontId="13" fillId="6" borderId="6" xfId="1" applyNumberFormat="1" applyFont="1" applyFill="1" applyBorder="1"/>
    <xf numFmtId="0" fontId="34" fillId="6" borderId="3" xfId="3" applyFont="1" applyFill="1" applyBorder="1"/>
    <xf numFmtId="165" fontId="0" fillId="0" borderId="0" xfId="0" applyNumberFormat="1"/>
    <xf numFmtId="1" fontId="22" fillId="6" borderId="3" xfId="0" applyNumberFormat="1" applyFont="1" applyFill="1" applyBorder="1"/>
    <xf numFmtId="1" fontId="0" fillId="7" borderId="0" xfId="0" applyNumberFormat="1" applyFill="1"/>
    <xf numFmtId="0" fontId="6" fillId="36" borderId="0" xfId="0" applyFont="1" applyFill="1" applyAlignment="1">
      <alignment horizontal="left"/>
    </xf>
    <xf numFmtId="1" fontId="8" fillId="6" borderId="4" xfId="0" applyNumberFormat="1" applyFont="1" applyFill="1" applyBorder="1"/>
    <xf numFmtId="1" fontId="10" fillId="6" borderId="3" xfId="0" applyNumberFormat="1" applyFont="1" applyFill="1" applyBorder="1"/>
    <xf numFmtId="1" fontId="4" fillId="6" borderId="3" xfId="0" applyNumberFormat="1" applyFont="1" applyFill="1" applyBorder="1" applyAlignment="1">
      <alignment horizontal="right"/>
    </xf>
    <xf numFmtId="15" fontId="3" fillId="5" borderId="0" xfId="0" applyNumberFormat="1" applyFont="1" applyFill="1" applyAlignment="1">
      <alignment horizontal="left"/>
    </xf>
    <xf numFmtId="1" fontId="12" fillId="6" borderId="5" xfId="0" applyNumberFormat="1" applyFont="1" applyFill="1" applyBorder="1" applyAlignment="1">
      <alignment horizontal="right"/>
    </xf>
    <xf numFmtId="1" fontId="14" fillId="6" borderId="4" xfId="0" applyNumberFormat="1" applyFont="1" applyFill="1" applyBorder="1" applyAlignment="1">
      <alignment horizontal="right"/>
    </xf>
    <xf numFmtId="1" fontId="8" fillId="6" borderId="0" xfId="0" applyNumberFormat="1" applyFont="1" applyFill="1"/>
    <xf numFmtId="1" fontId="14" fillId="6" borderId="3" xfId="0" applyNumberFormat="1" applyFont="1" applyFill="1" applyBorder="1"/>
    <xf numFmtId="1" fontId="12" fillId="6" borderId="3" xfId="0" applyNumberFormat="1" applyFont="1" applyFill="1" applyBorder="1" applyAlignment="1">
      <alignment horizontal="left" indent="4"/>
    </xf>
    <xf numFmtId="1" fontId="18" fillId="6" borderId="3" xfId="0" applyNumberFormat="1" applyFont="1" applyFill="1" applyBorder="1"/>
    <xf numFmtId="0" fontId="49" fillId="5" borderId="0" xfId="0" applyFont="1" applyFill="1"/>
    <xf numFmtId="0" fontId="50" fillId="5" borderId="0" xfId="0" applyFont="1" applyFill="1"/>
    <xf numFmtId="0" fontId="0" fillId="6" borderId="4" xfId="2" applyFont="1" applyFill="1" applyBorder="1"/>
    <xf numFmtId="0" fontId="51" fillId="5" borderId="0" xfId="0" applyFont="1" applyFill="1"/>
    <xf numFmtId="166" fontId="7" fillId="6" borderId="7" xfId="0" applyNumberFormat="1" applyFont="1" applyFill="1" applyBorder="1"/>
    <xf numFmtId="1" fontId="4" fillId="6" borderId="3" xfId="0" applyNumberFormat="1" applyFont="1" applyFill="1" applyBorder="1"/>
    <xf numFmtId="1" fontId="7" fillId="6" borderId="5" xfId="4" applyNumberFormat="1" applyFont="1" applyFill="1" applyBorder="1"/>
    <xf numFmtId="166" fontId="7" fillId="37" borderId="3" xfId="0" applyNumberFormat="1" applyFont="1" applyFill="1" applyBorder="1"/>
    <xf numFmtId="0" fontId="14" fillId="37" borderId="8" xfId="2" applyFont="1" applyFill="1" applyBorder="1"/>
    <xf numFmtId="1" fontId="8" fillId="37" borderId="3" xfId="0" applyNumberFormat="1" applyFont="1" applyFill="1" applyBorder="1"/>
    <xf numFmtId="1" fontId="6" fillId="37" borderId="3" xfId="0" applyNumberFormat="1" applyFont="1" applyFill="1" applyBorder="1"/>
    <xf numFmtId="1" fontId="6" fillId="38" borderId="5" xfId="0" applyNumberFormat="1" applyFont="1" applyFill="1" applyBorder="1"/>
    <xf numFmtId="1" fontId="7" fillId="38" borderId="3" xfId="0" applyNumberFormat="1" applyFont="1" applyFill="1" applyBorder="1"/>
    <xf numFmtId="1" fontId="9" fillId="37" borderId="3" xfId="0" applyNumberFormat="1" applyFont="1" applyFill="1" applyBorder="1" applyAlignment="1">
      <alignment horizontal="right"/>
    </xf>
    <xf numFmtId="1" fontId="9" fillId="38" borderId="3" xfId="0" applyNumberFormat="1" applyFont="1" applyFill="1" applyBorder="1" applyAlignment="1">
      <alignment horizontal="right"/>
    </xf>
    <xf numFmtId="1" fontId="9" fillId="37" borderId="4" xfId="0" applyNumberFormat="1" applyFont="1" applyFill="1" applyBorder="1" applyAlignment="1">
      <alignment horizontal="right"/>
    </xf>
    <xf numFmtId="1" fontId="9" fillId="38" borderId="3" xfId="0" applyNumberFormat="1" applyFont="1" applyFill="1" applyBorder="1"/>
    <xf numFmtId="1" fontId="18" fillId="6" borderId="3" xfId="4" applyNumberFormat="1" applyFont="1" applyFill="1" applyBorder="1"/>
    <xf numFmtId="1" fontId="18" fillId="38" borderId="3" xfId="4" applyNumberFormat="1" applyFont="1" applyFill="1" applyBorder="1"/>
    <xf numFmtId="1" fontId="9" fillId="38" borderId="4" xfId="0" applyNumberFormat="1" applyFont="1" applyFill="1" applyBorder="1" applyAlignment="1">
      <alignment horizontal="right"/>
    </xf>
    <xf numFmtId="1" fontId="9" fillId="38" borderId="3" xfId="4" applyNumberFormat="1" applyFont="1" applyFill="1" applyBorder="1"/>
    <xf numFmtId="1" fontId="8" fillId="38" borderId="3" xfId="0" applyNumberFormat="1" applyFont="1" applyFill="1" applyBorder="1"/>
    <xf numFmtId="1" fontId="9" fillId="6" borderId="20" xfId="0" applyNumberFormat="1" applyFont="1" applyFill="1" applyBorder="1" applyAlignment="1">
      <alignment horizontal="right"/>
    </xf>
    <xf numFmtId="0" fontId="9" fillId="38" borderId="3" xfId="0" applyFont="1" applyFill="1" applyBorder="1"/>
    <xf numFmtId="1" fontId="11" fillId="38" borderId="3" xfId="0" applyNumberFormat="1" applyFont="1" applyFill="1" applyBorder="1" applyAlignment="1">
      <alignment horizontal="right"/>
    </xf>
    <xf numFmtId="1" fontId="11" fillId="38" borderId="4" xfId="0" applyNumberFormat="1" applyFont="1" applyFill="1" applyBorder="1" applyAlignment="1">
      <alignment horizontal="right"/>
    </xf>
    <xf numFmtId="1" fontId="9" fillId="38" borderId="4" xfId="0" applyNumberFormat="1" applyFont="1" applyFill="1" applyBorder="1"/>
    <xf numFmtId="1" fontId="8" fillId="6" borderId="5" xfId="0" applyNumberFormat="1" applyFont="1" applyFill="1" applyBorder="1"/>
    <xf numFmtId="1" fontId="9" fillId="38" borderId="5" xfId="0" applyNumberFormat="1" applyFont="1" applyFill="1" applyBorder="1" applyAlignment="1">
      <alignment horizontal="right"/>
    </xf>
    <xf numFmtId="1" fontId="9" fillId="38" borderId="7" xfId="0" applyNumberFormat="1" applyFont="1" applyFill="1" applyBorder="1" applyAlignment="1">
      <alignment horizontal="right"/>
    </xf>
    <xf numFmtId="1" fontId="4" fillId="6" borderId="5" xfId="2" applyNumberFormat="1" applyFont="1" applyFill="1" applyBorder="1"/>
    <xf numFmtId="1" fontId="14" fillId="6" borderId="5" xfId="2" applyNumberFormat="1" applyFont="1" applyFill="1" applyBorder="1"/>
    <xf numFmtId="1" fontId="19" fillId="6" borderId="7" xfId="2" applyNumberFormat="1" applyFont="1" applyFill="1" applyBorder="1"/>
    <xf numFmtId="1" fontId="19" fillId="38" borderId="5" xfId="2" applyNumberFormat="1" applyFont="1" applyFill="1" applyBorder="1"/>
    <xf numFmtId="1" fontId="19" fillId="38" borderId="8" xfId="2" applyNumberFormat="1" applyFont="1" applyFill="1" applyBorder="1"/>
    <xf numFmtId="1" fontId="14" fillId="38" borderId="0" xfId="0" applyNumberFormat="1" applyFont="1" applyFill="1"/>
    <xf numFmtId="1" fontId="14" fillId="38" borderId="3" xfId="0" applyNumberFormat="1" applyFont="1" applyFill="1" applyBorder="1" applyAlignment="1">
      <alignment horizontal="right"/>
    </xf>
    <xf numFmtId="0" fontId="0" fillId="39" borderId="0" xfId="0" applyFill="1"/>
    <xf numFmtId="1" fontId="6" fillId="40" borderId="3" xfId="0" applyNumberFormat="1" applyFont="1" applyFill="1" applyBorder="1"/>
    <xf numFmtId="1" fontId="6" fillId="40" borderId="0" xfId="0" applyNumberFormat="1" applyFont="1" applyFill="1"/>
    <xf numFmtId="1" fontId="52" fillId="6" borderId="3" xfId="0" applyNumberFormat="1" applyFont="1" applyFill="1" applyBorder="1"/>
    <xf numFmtId="1" fontId="53" fillId="6" borderId="3" xfId="0" applyNumberFormat="1" applyFont="1" applyFill="1" applyBorder="1"/>
    <xf numFmtId="1" fontId="9" fillId="37" borderId="3" xfId="0" applyNumberFormat="1" applyFont="1" applyFill="1" applyBorder="1"/>
    <xf numFmtId="166" fontId="7" fillId="7" borderId="0" xfId="0" applyNumberFormat="1" applyFont="1" applyFill="1" applyAlignment="1">
      <alignment horizontal="right"/>
    </xf>
    <xf numFmtId="1" fontId="12" fillId="37" borderId="3" xfId="0" applyNumberFormat="1" applyFont="1" applyFill="1" applyBorder="1"/>
    <xf numFmtId="1" fontId="14" fillId="6" borderId="0" xfId="0" applyNumberFormat="1" applyFont="1" applyFill="1" applyAlignment="1">
      <alignment horizontal="right"/>
    </xf>
    <xf numFmtId="1" fontId="14" fillId="37" borderId="3" xfId="0" applyNumberFormat="1" applyFont="1" applyFill="1" applyBorder="1" applyAlignment="1">
      <alignment horizontal="right"/>
    </xf>
    <xf numFmtId="1" fontId="7" fillId="37" borderId="3" xfId="0" applyNumberFormat="1" applyFont="1" applyFill="1" applyBorder="1"/>
    <xf numFmtId="1" fontId="9" fillId="38" borderId="12" xfId="0" applyNumberFormat="1" applyFont="1" applyFill="1" applyBorder="1"/>
    <xf numFmtId="0" fontId="3" fillId="5" borderId="0" xfId="0" applyFont="1" applyFill="1" applyAlignment="1">
      <alignment horizontal="left"/>
    </xf>
    <xf numFmtId="0" fontId="8" fillId="5" borderId="0" xfId="0" applyFont="1" applyFill="1" applyAlignment="1">
      <alignment horizontal="left" readingOrder="1"/>
    </xf>
    <xf numFmtId="0" fontId="14" fillId="6" borderId="7" xfId="0" applyFont="1" applyFill="1" applyBorder="1"/>
    <xf numFmtId="1" fontId="12" fillId="38" borderId="3" xfId="0" applyNumberFormat="1" applyFont="1" applyFill="1" applyBorder="1" applyAlignment="1">
      <alignment horizontal="right"/>
    </xf>
    <xf numFmtId="0" fontId="0" fillId="38" borderId="0" xfId="0" applyFill="1"/>
    <xf numFmtId="1" fontId="12" fillId="38" borderId="3" xfId="0" applyNumberFormat="1" applyFont="1" applyFill="1" applyBorder="1"/>
    <xf numFmtId="0" fontId="14" fillId="5" borderId="0" xfId="0" applyFont="1" applyFill="1" applyAlignment="1">
      <alignment horizontal="left"/>
    </xf>
    <xf numFmtId="1" fontId="14" fillId="38" borderId="8" xfId="2" applyNumberFormat="1" applyFont="1" applyFill="1" applyBorder="1"/>
    <xf numFmtId="1" fontId="14" fillId="6" borderId="5" xfId="0" applyNumberFormat="1" applyFont="1" applyFill="1" applyBorder="1"/>
    <xf numFmtId="1" fontId="9" fillId="6" borderId="23" xfId="0" applyNumberFormat="1" applyFont="1" applyFill="1" applyBorder="1" applyAlignment="1">
      <alignment horizontal="right"/>
    </xf>
    <xf numFmtId="1" fontId="9" fillId="6" borderId="22" xfId="0" applyNumberFormat="1" applyFont="1" applyFill="1" applyBorder="1" applyAlignment="1">
      <alignment horizontal="right"/>
    </xf>
    <xf numFmtId="1" fontId="6" fillId="38" borderId="3" xfId="0" applyNumberFormat="1" applyFont="1" applyFill="1" applyBorder="1"/>
    <xf numFmtId="1" fontId="3" fillId="6" borderId="3" xfId="0" applyNumberFormat="1" applyFont="1" applyFill="1" applyBorder="1"/>
    <xf numFmtId="1" fontId="23" fillId="6" borderId="4" xfId="0" applyNumberFormat="1" applyFont="1" applyFill="1" applyBorder="1" applyAlignment="1">
      <alignment horizontal="right"/>
    </xf>
    <xf numFmtId="1" fontId="12" fillId="6" borderId="3" xfId="4" applyNumberFormat="1" applyFont="1" applyFill="1" applyBorder="1" applyAlignment="1">
      <alignment horizontal="right"/>
    </xf>
    <xf numFmtId="1" fontId="9" fillId="38" borderId="0" xfId="0" applyNumberFormat="1" applyFont="1" applyFill="1"/>
    <xf numFmtId="0" fontId="9" fillId="6" borderId="3" xfId="0" applyFont="1" applyFill="1" applyBorder="1" applyAlignment="1">
      <alignment horizontal="right"/>
    </xf>
    <xf numFmtId="0" fontId="14" fillId="38" borderId="0" xfId="0" applyFont="1" applyFill="1"/>
    <xf numFmtId="1" fontId="19" fillId="38" borderId="0" xfId="0" applyNumberFormat="1" applyFont="1" applyFill="1"/>
    <xf numFmtId="1" fontId="0" fillId="38" borderId="0" xfId="0" applyNumberFormat="1" applyFill="1"/>
    <xf numFmtId="1" fontId="9" fillId="6" borderId="8" xfId="0" applyNumberFormat="1" applyFont="1" applyFill="1" applyBorder="1"/>
    <xf numFmtId="0" fontId="0" fillId="6" borderId="3" xfId="2" applyFont="1" applyFill="1" applyBorder="1"/>
    <xf numFmtId="1" fontId="9" fillId="6" borderId="8" xfId="0" applyNumberFormat="1" applyFont="1" applyFill="1" applyBorder="1" applyAlignment="1">
      <alignment horizontal="right"/>
    </xf>
    <xf numFmtId="0" fontId="19" fillId="6" borderId="3" xfId="2" applyFont="1" applyFill="1" applyBorder="1"/>
    <xf numFmtId="1" fontId="14" fillId="6" borderId="3" xfId="2" applyNumberFormat="1" applyFont="1" applyFill="1" applyBorder="1"/>
    <xf numFmtId="0" fontId="14" fillId="6" borderId="7" xfId="2" applyFont="1" applyFill="1" applyBorder="1"/>
    <xf numFmtId="0" fontId="14" fillId="6" borderId="3" xfId="2" applyFont="1" applyFill="1" applyBorder="1"/>
    <xf numFmtId="3" fontId="0" fillId="6" borderId="3" xfId="2" applyNumberFormat="1" applyFont="1" applyFill="1" applyBorder="1"/>
    <xf numFmtId="1" fontId="14" fillId="6" borderId="8" xfId="0" applyNumberFormat="1" applyFont="1" applyFill="1" applyBorder="1" applyAlignment="1">
      <alignment horizontal="right"/>
    </xf>
    <xf numFmtId="1" fontId="11" fillId="6" borderId="5" xfId="0" applyNumberFormat="1" applyFont="1" applyFill="1" applyBorder="1"/>
    <xf numFmtId="1" fontId="9" fillId="6" borderId="10" xfId="0" applyNumberFormat="1" applyFont="1" applyFill="1" applyBorder="1" applyAlignment="1">
      <alignment horizontal="right"/>
    </xf>
    <xf numFmtId="0" fontId="14" fillId="38" borderId="8" xfId="2" applyFont="1" applyFill="1" applyBorder="1"/>
    <xf numFmtId="0" fontId="19" fillId="38" borderId="8" xfId="2" applyFont="1" applyFill="1" applyBorder="1"/>
    <xf numFmtId="0" fontId="14" fillId="38" borderId="0" xfId="0" applyFont="1" applyFill="1" applyProtection="1">
      <protection locked="0"/>
    </xf>
    <xf numFmtId="1" fontId="9" fillId="6" borderId="8" xfId="2" applyNumberFormat="1" applyFont="1" applyFill="1" applyBorder="1" applyAlignment="1">
      <alignment horizontal="right"/>
    </xf>
    <xf numFmtId="1" fontId="7" fillId="38" borderId="3" xfId="0" applyNumberFormat="1" applyFont="1" applyFill="1" applyBorder="1" applyAlignment="1">
      <alignment horizontal="right"/>
    </xf>
    <xf numFmtId="0" fontId="4" fillId="5" borderId="0" xfId="0" applyFont="1" applyFill="1" applyAlignment="1">
      <alignment horizontal="left"/>
    </xf>
    <xf numFmtId="1" fontId="14" fillId="6" borderId="5" xfId="0" applyNumberFormat="1" applyFont="1" applyFill="1" applyBorder="1" applyAlignment="1">
      <alignment horizontal="right"/>
    </xf>
    <xf numFmtId="1" fontId="14" fillId="6" borderId="21" xfId="2" applyNumberFormat="1" applyFont="1" applyFill="1" applyBorder="1"/>
    <xf numFmtId="1" fontId="55" fillId="38" borderId="3" xfId="0" applyNumberFormat="1" applyFont="1" applyFill="1" applyBorder="1"/>
    <xf numFmtId="1" fontId="9" fillId="6" borderId="4" xfId="2" applyNumberFormat="1" applyFont="1" applyFill="1" applyBorder="1" applyAlignment="1" applyProtection="1">
      <alignment horizontal="right"/>
    </xf>
    <xf numFmtId="1" fontId="9" fillId="6" borderId="7" xfId="2" applyNumberFormat="1" applyFont="1" applyFill="1" applyBorder="1" applyAlignment="1" applyProtection="1">
      <alignment horizontal="right"/>
    </xf>
    <xf numFmtId="1" fontId="9" fillId="6" borderId="5" xfId="2" applyNumberFormat="1" applyFont="1" applyFill="1" applyBorder="1" applyAlignment="1" applyProtection="1">
      <alignment horizontal="right"/>
    </xf>
    <xf numFmtId="1" fontId="8" fillId="38" borderId="4" xfId="0" applyNumberFormat="1" applyFont="1" applyFill="1" applyBorder="1"/>
    <xf numFmtId="1" fontId="12" fillId="38" borderId="0" xfId="0" applyNumberFormat="1" applyFont="1" applyFill="1"/>
    <xf numFmtId="1" fontId="14" fillId="38" borderId="5" xfId="0" applyNumberFormat="1" applyFont="1" applyFill="1" applyBorder="1"/>
    <xf numFmtId="1" fontId="14" fillId="38" borderId="3" xfId="0" applyNumberFormat="1" applyFont="1" applyFill="1" applyBorder="1"/>
    <xf numFmtId="1" fontId="5" fillId="6" borderId="3" xfId="0" applyNumberFormat="1" applyFont="1" applyFill="1" applyBorder="1" applyAlignment="1">
      <alignment horizontal="left" indent="2"/>
    </xf>
    <xf numFmtId="1" fontId="11" fillId="6" borderId="5" xfId="0" applyNumberFormat="1" applyFont="1" applyFill="1" applyBorder="1" applyAlignment="1">
      <alignment horizontal="right"/>
    </xf>
    <xf numFmtId="1" fontId="56" fillId="38" borderId="0" xfId="0" applyNumberFormat="1" applyFont="1" applyFill="1"/>
    <xf numFmtId="1" fontId="14" fillId="6" borderId="3" xfId="4" applyNumberFormat="1" applyFont="1" applyFill="1" applyBorder="1" applyAlignment="1">
      <alignment horizontal="right"/>
    </xf>
    <xf numFmtId="1" fontId="9" fillId="38" borderId="5" xfId="4" applyNumberFormat="1" applyFont="1" applyFill="1" applyBorder="1"/>
    <xf numFmtId="1" fontId="14" fillId="38" borderId="3" xfId="2" applyNumberFormat="1" applyFont="1" applyFill="1" applyBorder="1"/>
    <xf numFmtId="1" fontId="14" fillId="38" borderId="4" xfId="2" applyNumberFormat="1" applyFont="1" applyFill="1" applyBorder="1"/>
    <xf numFmtId="1" fontId="19" fillId="38" borderId="3" xfId="0" applyNumberFormat="1" applyFont="1" applyFill="1" applyBorder="1"/>
    <xf numFmtId="1" fontId="19" fillId="38" borderId="5" xfId="0" applyNumberFormat="1" applyFont="1" applyFill="1" applyBorder="1"/>
    <xf numFmtId="1" fontId="0" fillId="38" borderId="3" xfId="0" applyNumberFormat="1" applyFill="1" applyBorder="1"/>
    <xf numFmtId="1" fontId="0" fillId="38" borderId="5" xfId="0" applyNumberFormat="1" applyFill="1" applyBorder="1"/>
    <xf numFmtId="0" fontId="14" fillId="38" borderId="3" xfId="0" applyFont="1" applyFill="1" applyBorder="1"/>
    <xf numFmtId="1" fontId="9" fillId="6" borderId="12" xfId="0" applyNumberFormat="1" applyFont="1" applyFill="1" applyBorder="1" applyAlignment="1">
      <alignment horizontal="right"/>
    </xf>
    <xf numFmtId="1" fontId="9" fillId="6" borderId="24" xfId="0" applyNumberFormat="1" applyFont="1" applyFill="1" applyBorder="1" applyAlignment="1">
      <alignment horizontal="right"/>
    </xf>
    <xf numFmtId="1" fontId="14" fillId="38" borderId="2" xfId="0" applyNumberFormat="1" applyFont="1" applyFill="1" applyBorder="1"/>
    <xf numFmtId="1" fontId="34" fillId="6" borderId="3" xfId="0" applyNumberFormat="1" applyFont="1" applyFill="1" applyBorder="1" applyAlignment="1">
      <alignment horizontal="right"/>
    </xf>
    <xf numFmtId="1" fontId="14" fillId="38" borderId="7" xfId="0" applyNumberFormat="1" applyFont="1" applyFill="1" applyBorder="1"/>
    <xf numFmtId="0" fontId="14" fillId="38" borderId="7" xfId="0" applyFont="1" applyFill="1" applyBorder="1"/>
    <xf numFmtId="0" fontId="14" fillId="38" borderId="5" xfId="0" applyFont="1" applyFill="1" applyBorder="1"/>
    <xf numFmtId="1" fontId="14" fillId="38" borderId="4" xfId="0" applyNumberFormat="1" applyFont="1" applyFill="1" applyBorder="1"/>
    <xf numFmtId="1" fontId="9" fillId="37" borderId="4" xfId="0" applyNumberFormat="1" applyFont="1" applyFill="1" applyBorder="1"/>
    <xf numFmtId="2" fontId="5" fillId="6" borderId="3" xfId="0" applyNumberFormat="1" applyFont="1" applyFill="1" applyBorder="1"/>
    <xf numFmtId="1" fontId="14" fillId="37" borderId="0" xfId="0" applyNumberFormat="1" applyFont="1" applyFill="1"/>
    <xf numFmtId="1" fontId="8" fillId="37" borderId="20" xfId="0" applyNumberFormat="1" applyFont="1" applyFill="1" applyBorder="1"/>
    <xf numFmtId="1" fontId="8" fillId="37" borderId="25" xfId="0" applyNumberFormat="1" applyFont="1" applyFill="1" applyBorder="1"/>
    <xf numFmtId="1" fontId="57" fillId="6" borderId="3" xfId="0" applyNumberFormat="1" applyFont="1" applyFill="1" applyBorder="1"/>
    <xf numFmtId="1" fontId="58" fillId="37" borderId="7" xfId="0" applyNumberFormat="1" applyFont="1" applyFill="1" applyBorder="1"/>
    <xf numFmtId="1" fontId="59" fillId="6" borderId="3" xfId="0" applyNumberFormat="1" applyFont="1" applyFill="1" applyBorder="1" applyAlignment="1">
      <alignment horizontal="right"/>
    </xf>
    <xf numFmtId="1" fontId="60" fillId="6" borderId="3" xfId="0" applyNumberFormat="1" applyFont="1" applyFill="1" applyBorder="1"/>
    <xf numFmtId="1" fontId="61" fillId="38" borderId="3" xfId="0" applyNumberFormat="1" applyFont="1" applyFill="1" applyBorder="1" applyAlignment="1">
      <alignment horizontal="right"/>
    </xf>
    <xf numFmtId="0" fontId="9" fillId="7" borderId="0" xfId="0" applyFont="1" applyFill="1"/>
    <xf numFmtId="1" fontId="61" fillId="6" borderId="3" xfId="0" applyNumberFormat="1" applyFont="1" applyFill="1" applyBorder="1" applyAlignment="1">
      <alignment horizontal="right"/>
    </xf>
    <xf numFmtId="1" fontId="59" fillId="6" borderId="3" xfId="0" applyNumberFormat="1" applyFont="1" applyFill="1" applyBorder="1"/>
    <xf numFmtId="1" fontId="62" fillId="6" borderId="3" xfId="0" applyNumberFormat="1" applyFont="1" applyFill="1" applyBorder="1" applyAlignment="1">
      <alignment horizontal="left" indent="4"/>
    </xf>
    <xf numFmtId="1" fontId="61" fillId="6" borderId="3" xfId="0" applyNumberFormat="1" applyFont="1" applyFill="1" applyBorder="1"/>
    <xf numFmtId="1" fontId="8" fillId="6" borderId="23" xfId="0" applyNumberFormat="1" applyFont="1" applyFill="1" applyBorder="1"/>
    <xf numFmtId="0" fontId="0" fillId="38" borderId="3" xfId="0" applyFill="1" applyBorder="1"/>
    <xf numFmtId="1" fontId="14" fillId="38" borderId="3" xfId="0" applyNumberFormat="1" applyFont="1" applyFill="1" applyBorder="1" applyAlignment="1">
      <alignment horizontal="right" readingOrder="1"/>
    </xf>
    <xf numFmtId="1" fontId="5" fillId="6" borderId="25" xfId="0" applyNumberFormat="1" applyFont="1" applyFill="1" applyBorder="1"/>
    <xf numFmtId="1" fontId="60" fillId="38" borderId="3" xfId="0" applyNumberFormat="1" applyFont="1" applyFill="1" applyBorder="1"/>
    <xf numFmtId="0" fontId="3" fillId="7" borderId="0" xfId="0" applyFont="1" applyFill="1" applyAlignment="1">
      <alignment horizontal="center" vertical="center"/>
    </xf>
    <xf numFmtId="0" fontId="7" fillId="36" borderId="0" xfId="0" applyFont="1" applyFill="1"/>
    <xf numFmtId="0" fontId="7" fillId="36" borderId="0" xfId="0" applyFont="1" applyFill="1" applyAlignment="1">
      <alignment horizontal="left"/>
    </xf>
    <xf numFmtId="0" fontId="63" fillId="7" borderId="0" xfId="0" applyFont="1" applyFill="1"/>
  </cellXfs>
  <cellStyles count="102">
    <cellStyle name="20% - Accent1" xfId="32" builtinId="30" customBuiltin="1"/>
    <cellStyle name="20% - Accent2" xfId="35" builtinId="34" customBuiltin="1"/>
    <cellStyle name="20% - Accent3" xfId="3" builtinId="38" customBuiltin="1"/>
    <cellStyle name="20% - Accent4" xfId="40" builtinId="42" customBuiltin="1"/>
    <cellStyle name="20% - Accent5" xfId="43" builtinId="46" customBuiltin="1"/>
    <cellStyle name="20% - Accent6" xfId="46" builtinId="50" customBuiltin="1"/>
    <cellStyle name="40% - Accent1" xfId="33" builtinId="31" customBuiltin="1"/>
    <cellStyle name="40% - Accent2" xfId="36" builtinId="35" customBuiltin="1"/>
    <cellStyle name="40% - Accent3" xfId="38" builtinId="39" customBuiltin="1"/>
    <cellStyle name="40% - Accent4" xfId="41" builtinId="43" customBuiltin="1"/>
    <cellStyle name="40% - Accent5" xfId="44" builtinId="47" customBuiltin="1"/>
    <cellStyle name="40% - Accent6" xfId="47" builtinId="51" customBuiltin="1"/>
    <cellStyle name="60% - Accent1 2" xfId="50" xr:uid="{00000000-0005-0000-0000-00000C000000}"/>
    <cellStyle name="60% - Accent2 2" xfId="51" xr:uid="{00000000-0005-0000-0000-00000D000000}"/>
    <cellStyle name="60% - Accent3 2" xfId="52" xr:uid="{00000000-0005-0000-0000-00000E000000}"/>
    <cellStyle name="60% - Accent4 2" xfId="53" xr:uid="{00000000-0005-0000-0000-00000F000000}"/>
    <cellStyle name="60% - Accent5 2" xfId="54" xr:uid="{00000000-0005-0000-0000-000010000000}"/>
    <cellStyle name="60% - Accent6 2" xfId="55" xr:uid="{00000000-0005-0000-0000-000011000000}"/>
    <cellStyle name="Accent1" xfId="31" builtinId="29" customBuiltin="1"/>
    <cellStyle name="Accent2" xfId="34" builtinId="33" customBuiltin="1"/>
    <cellStyle name="Accent3" xfId="37" builtinId="37" customBuiltin="1"/>
    <cellStyle name="Accent4" xfId="39" builtinId="41" customBuiltin="1"/>
    <cellStyle name="Accent5" xfId="42" builtinId="45" customBuiltin="1"/>
    <cellStyle name="Accent6" xfId="45" builtinId="49" customBuiltin="1"/>
    <cellStyle name="Bad" xfId="23" builtinId="27" customBuiltin="1"/>
    <cellStyle name="Calculation" xfId="1" builtinId="22" customBuiltin="1"/>
    <cellStyle name="Check Cell" xfId="27" builtinId="23" customBuiltin="1"/>
    <cellStyle name="Comma 10" xfId="76" xr:uid="{1ECF0C83-48D3-49E1-ACE7-BF2B0202C9F8}"/>
    <cellStyle name="Comma 2" xfId="77" xr:uid="{3588C244-0C90-4546-A1D1-DEF4396DF55F}"/>
    <cellStyle name="Comma 3" xfId="78" xr:uid="{F343DD8D-E28B-40E3-A85B-0E0941CC4B3E}"/>
    <cellStyle name="Comma 3 2" xfId="79" xr:uid="{CC3C962A-AAED-4A51-B237-52E34AEFAC8A}"/>
    <cellStyle name="Comma 4" xfId="80" xr:uid="{CA7A76D2-38F6-4DAD-BBFC-9ECD78713343}"/>
    <cellStyle name="Comma 5" xfId="81" xr:uid="{1C6EDC1A-B858-443B-A2E3-F97651035D13}"/>
    <cellStyle name="Comma 5 2" xfId="82" xr:uid="{94AA0E80-59E7-4C6D-92E3-F717346B00D7}"/>
    <cellStyle name="Comma 6" xfId="83" xr:uid="{848E3274-CC2D-4390-A8B8-B63742713448}"/>
    <cellStyle name="Comma 6 2" xfId="84" xr:uid="{AC6AB377-5841-4A98-896B-83B6F670ABF2}"/>
    <cellStyle name="Comma 7" xfId="85" xr:uid="{9FC1A589-8102-4BC2-B2A2-F4AF02D349A4}"/>
    <cellStyle name="Explanatory Text" xfId="29" builtinId="53" customBuiltin="1"/>
    <cellStyle name="Good" xfId="22" builtinId="26" customBuiltin="1"/>
    <cellStyle name="Heading 1" xfId="18" builtinId="16" customBuiltin="1"/>
    <cellStyle name="Heading 2" xfId="19" builtinId="17" customBuiltin="1"/>
    <cellStyle name="Heading 3" xfId="20" builtinId="18" customBuiltin="1"/>
    <cellStyle name="Heading 4" xfId="21" builtinId="19" customBuiltin="1"/>
    <cellStyle name="Input" xfId="24" builtinId="20" customBuiltin="1"/>
    <cellStyle name="Komma 2" xfId="6" xr:uid="{00000000-0005-0000-0000-000022000000}"/>
    <cellStyle name="Komma 2 2" xfId="16" xr:uid="{00000000-0005-0000-0000-000023000000}"/>
    <cellStyle name="Komma 2 2 2" xfId="57" xr:uid="{00000000-0005-0000-0000-000024000000}"/>
    <cellStyle name="Komma 2 2 2 2" xfId="64" xr:uid="{F213FB07-7C12-4AB9-97BA-6F7160D2A70B}"/>
    <cellStyle name="Komma 2 2 2 2 2" xfId="74" xr:uid="{61600BC4-2DCB-48C8-9C90-3A0D7CCC91FD}"/>
    <cellStyle name="Komma 2 2 2 2 2 2" xfId="100" xr:uid="{3BFD6DFD-F0E6-4569-B7E7-756AB24BDFCA}"/>
    <cellStyle name="Komma 2 2 2 2 3" xfId="90" xr:uid="{21E52F51-09E8-4501-95C6-3DC7731458A6}"/>
    <cellStyle name="Komma 2 2 2 3" xfId="69" xr:uid="{38A22A14-E93B-4F19-A8F7-4D5A601F0E07}"/>
    <cellStyle name="Komma 2 2 2 3 2" xfId="95" xr:uid="{30ED009A-96A3-4A9C-90C3-358C1AC9A3CC}"/>
    <cellStyle name="Komma 2 2 3" xfId="62" xr:uid="{97319BAC-751B-45D6-AEF9-15872622D246}"/>
    <cellStyle name="Komma 2 2 3 2" xfId="72" xr:uid="{37415A68-CCDB-4BFD-8AB3-0D1F86AF2A6A}"/>
    <cellStyle name="Komma 2 2 3 2 2" xfId="98" xr:uid="{7194BEFB-438A-4C74-8663-B896F539D346}"/>
    <cellStyle name="Komma 2 2 3 3" xfId="88" xr:uid="{717FA237-2CAD-41CF-AFE6-D71B2B962ABF}"/>
    <cellStyle name="Komma 2 2 4" xfId="67" xr:uid="{E4D1D452-D51E-4E99-B9E3-90066A97D430}"/>
    <cellStyle name="Komma 2 2 4 2" xfId="93" xr:uid="{82456248-6F1D-4F1A-9C7A-6D8FEAB3F03C}"/>
    <cellStyle name="Komma 2 3" xfId="56" xr:uid="{00000000-0005-0000-0000-000025000000}"/>
    <cellStyle name="Komma 2 3 2" xfId="63" xr:uid="{0DB352DB-2C5E-4506-88AF-E496F7E9CC20}"/>
    <cellStyle name="Komma 2 3 2 2" xfId="73" xr:uid="{1306A621-2F15-44CC-B404-EFAEA4CF2706}"/>
    <cellStyle name="Komma 2 3 2 2 2" xfId="99" xr:uid="{B139A878-EDCF-4117-A5E8-3B73ABAF9423}"/>
    <cellStyle name="Komma 2 3 2 3" xfId="89" xr:uid="{6361F69B-C374-4E28-9370-424EB673033D}"/>
    <cellStyle name="Komma 2 3 3" xfId="68" xr:uid="{169CC829-576C-40D3-B21C-248EA9ADD206}"/>
    <cellStyle name="Komma 2 3 3 2" xfId="94" xr:uid="{9EC20F1C-5D7D-4ECC-A4BD-B6A53D073D45}"/>
    <cellStyle name="Komma 2 4" xfId="59" xr:uid="{00000000-0005-0000-0000-000026000000}"/>
    <cellStyle name="Komma 2 4 2" xfId="65" xr:uid="{E9A34879-0933-49B8-83E1-2F82A0DBFEB0}"/>
    <cellStyle name="Komma 2 4 2 2" xfId="75" xr:uid="{E3915CF2-5175-4420-A969-B50F42625F8C}"/>
    <cellStyle name="Komma 2 4 2 2 2" xfId="101" xr:uid="{43D39432-ADA4-4439-9B2E-5A960F0675FC}"/>
    <cellStyle name="Komma 2 4 2 3" xfId="91" xr:uid="{D64701DA-4549-4294-9086-08AC7EA93E9B}"/>
    <cellStyle name="Komma 2 4 3" xfId="70" xr:uid="{C393448D-B5A6-4ED1-B807-578BD6D6D95B}"/>
    <cellStyle name="Komma 2 4 3 2" xfId="96" xr:uid="{5CF9E66E-8192-443D-BADF-F6FC454FB46C}"/>
    <cellStyle name="Komma 2 5" xfId="61" xr:uid="{C5467A0A-2D96-4C30-8FA9-A6403E66992E}"/>
    <cellStyle name="Komma 2 5 2" xfId="71" xr:uid="{6DF7A557-9F02-4DA0-B456-2976561CEF50}"/>
    <cellStyle name="Komma 2 5 2 2" xfId="97" xr:uid="{F5642703-EB99-4A32-9F7C-9FE44DDD2460}"/>
    <cellStyle name="Komma 2 5 3" xfId="87" xr:uid="{1188D574-EB05-40F2-A02D-5F9C59B3B0E8}"/>
    <cellStyle name="Komma 2 6" xfId="66" xr:uid="{FE2E541B-5096-4A8D-930F-53436AC1CAC8}"/>
    <cellStyle name="Komma 2 6 2" xfId="92" xr:uid="{95BCC4D0-0D70-4E8B-8FD6-E7847412F3BA}"/>
    <cellStyle name="Linked Cell" xfId="26" builtinId="24" customBuiltin="1"/>
    <cellStyle name="Neutral 2" xfId="49" xr:uid="{00000000-0005-0000-0000-000028000000}"/>
    <cellStyle name="Normal" xfId="0" builtinId="0"/>
    <cellStyle name="Normal 2" xfId="5" xr:uid="{00000000-0005-0000-0000-00002A000000}"/>
    <cellStyle name="Normal 2 2" xfId="60" xr:uid="{00000000-0005-0000-0000-00002B000000}"/>
    <cellStyle name="Normal 3" xfId="4" xr:uid="{00000000-0005-0000-0000-00002C000000}"/>
    <cellStyle name="Normal 3 2" xfId="7" xr:uid="{00000000-0005-0000-0000-00002D000000}"/>
    <cellStyle name="Normal 4" xfId="17" xr:uid="{00000000-0005-0000-0000-00002E000000}"/>
    <cellStyle name="Normal 4 2" xfId="58" xr:uid="{00000000-0005-0000-0000-00002F000000}"/>
    <cellStyle name="Note" xfId="2" builtinId="10" customBuiltin="1"/>
    <cellStyle name="Output" xfId="25" builtinId="21" customBuiltin="1"/>
    <cellStyle name="Percent 2" xfId="86" xr:uid="{FB462DD6-C877-48F7-9C94-857E3E9C2DF7}"/>
    <cellStyle name="Standard 15" xfId="8" xr:uid="{00000000-0005-0000-0000-000033000000}"/>
    <cellStyle name="Standard 2" xfId="9" xr:uid="{00000000-0005-0000-0000-000034000000}"/>
    <cellStyle name="Standard 2 2" xfId="10" xr:uid="{00000000-0005-0000-0000-000035000000}"/>
    <cellStyle name="Standard 2 3" xfId="11" xr:uid="{00000000-0005-0000-0000-000036000000}"/>
    <cellStyle name="Standard 2 4" xfId="12" xr:uid="{00000000-0005-0000-0000-000037000000}"/>
    <cellStyle name="Standard 3" xfId="13" xr:uid="{00000000-0005-0000-0000-000038000000}"/>
    <cellStyle name="Standard 4" xfId="14" xr:uid="{00000000-0005-0000-0000-000039000000}"/>
    <cellStyle name="Standard 7" xfId="15" xr:uid="{00000000-0005-0000-0000-00003A000000}"/>
    <cellStyle name="Title 2" xfId="48" xr:uid="{00000000-0005-0000-0000-00003B000000}"/>
    <cellStyle name="Total" xfId="30" builtinId="25" customBuiltin="1"/>
    <cellStyle name="Warning Text" xfId="28" builtinId="11" customBuiltin="1"/>
  </cellStyles>
  <dxfs count="885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2F7E5"/>
      <color rgb="FFF4F7ED"/>
      <color rgb="FFFFFFFF"/>
      <color rgb="FFFCFD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Private</a:t>
            </a:r>
            <a:r>
              <a:rPr lang="en-GB" b="1" baseline="0"/>
              <a:t> Creditor LC vs. FC Debt</a:t>
            </a:r>
          </a:p>
          <a:p>
            <a:pPr>
              <a:defRPr/>
            </a:pPr>
            <a:r>
              <a:rPr lang="en-GB" b="1" baseline="0"/>
              <a:t>1960-2015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FC bank loans</c:v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'2025 in progress'!$D$1331:$BG$1331</c:f>
              <c:numCache>
                <c:formatCode>General</c:formatCode>
                <c:ptCount val="56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</c:numCache>
            </c:numRef>
          </c:cat>
          <c:val>
            <c:numRef>
              <c:f>'2025 in progress'!$D$1332:$BG$1332</c:f>
              <c:numCache>
                <c:formatCode>General</c:formatCode>
                <c:ptCount val="56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3</c:v>
                </c:pt>
                <c:pt idx="9">
                  <c:v>1</c:v>
                </c:pt>
                <c:pt idx="10">
                  <c:v>3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3</c:v>
                </c:pt>
                <c:pt idx="16">
                  <c:v>7</c:v>
                </c:pt>
                <c:pt idx="17">
                  <c:v>5</c:v>
                </c:pt>
                <c:pt idx="18">
                  <c:v>8</c:v>
                </c:pt>
                <c:pt idx="19">
                  <c:v>10</c:v>
                </c:pt>
                <c:pt idx="20">
                  <c:v>13</c:v>
                </c:pt>
                <c:pt idx="21">
                  <c:v>18</c:v>
                </c:pt>
                <c:pt idx="22">
                  <c:v>26</c:v>
                </c:pt>
                <c:pt idx="23">
                  <c:v>33</c:v>
                </c:pt>
                <c:pt idx="24">
                  <c:v>36</c:v>
                </c:pt>
                <c:pt idx="25">
                  <c:v>38</c:v>
                </c:pt>
                <c:pt idx="26">
                  <c:v>42</c:v>
                </c:pt>
                <c:pt idx="27">
                  <c:v>44</c:v>
                </c:pt>
                <c:pt idx="28">
                  <c:v>45</c:v>
                </c:pt>
                <c:pt idx="29">
                  <c:v>45</c:v>
                </c:pt>
                <c:pt idx="30">
                  <c:v>48</c:v>
                </c:pt>
                <c:pt idx="31">
                  <c:v>43</c:v>
                </c:pt>
                <c:pt idx="32">
                  <c:v>47</c:v>
                </c:pt>
                <c:pt idx="33">
                  <c:v>46</c:v>
                </c:pt>
                <c:pt idx="34">
                  <c:v>40</c:v>
                </c:pt>
                <c:pt idx="35">
                  <c:v>33</c:v>
                </c:pt>
                <c:pt idx="36">
                  <c:v>31</c:v>
                </c:pt>
                <c:pt idx="37">
                  <c:v>27</c:v>
                </c:pt>
                <c:pt idx="38">
                  <c:v>27</c:v>
                </c:pt>
                <c:pt idx="39">
                  <c:v>24</c:v>
                </c:pt>
                <c:pt idx="40">
                  <c:v>20</c:v>
                </c:pt>
                <c:pt idx="41">
                  <c:v>21</c:v>
                </c:pt>
                <c:pt idx="42">
                  <c:v>22</c:v>
                </c:pt>
                <c:pt idx="43">
                  <c:v>19</c:v>
                </c:pt>
                <c:pt idx="44">
                  <c:v>19</c:v>
                </c:pt>
                <c:pt idx="45">
                  <c:v>15</c:v>
                </c:pt>
                <c:pt idx="46">
                  <c:v>14</c:v>
                </c:pt>
                <c:pt idx="47">
                  <c:v>13</c:v>
                </c:pt>
                <c:pt idx="48">
                  <c:v>10</c:v>
                </c:pt>
                <c:pt idx="49">
                  <c:v>10</c:v>
                </c:pt>
                <c:pt idx="50">
                  <c:v>10</c:v>
                </c:pt>
                <c:pt idx="51">
                  <c:v>10</c:v>
                </c:pt>
                <c:pt idx="52">
                  <c:v>10</c:v>
                </c:pt>
                <c:pt idx="53">
                  <c:v>10</c:v>
                </c:pt>
                <c:pt idx="54">
                  <c:v>10</c:v>
                </c:pt>
                <c:pt idx="5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B0-4107-A9D0-B806EB9B62FE}"/>
            </c:ext>
          </c:extLst>
        </c:ser>
        <c:ser>
          <c:idx val="1"/>
          <c:order val="1"/>
          <c:tx>
            <c:v>FC bonds</c:v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'2025 in progress'!$D$1331:$BG$1331</c:f>
              <c:numCache>
                <c:formatCode>General</c:formatCode>
                <c:ptCount val="56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</c:numCache>
            </c:numRef>
          </c:cat>
          <c:val>
            <c:numRef>
              <c:f>'2025 in progress'!$D$1334:$BG$1334</c:f>
              <c:numCache>
                <c:formatCode>0</c:formatCode>
                <c:ptCount val="56"/>
                <c:pt idx="0">
                  <c:v>9</c:v>
                </c:pt>
                <c:pt idx="1">
                  <c:v>10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10</c:v>
                </c:pt>
                <c:pt idx="6">
                  <c:v>8</c:v>
                </c:pt>
                <c:pt idx="7">
                  <c:v>8</c:v>
                </c:pt>
                <c:pt idx="8">
                  <c:v>7</c:v>
                </c:pt>
                <c:pt idx="9">
                  <c:v>7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3</c:v>
                </c:pt>
                <c:pt idx="16">
                  <c:v>2</c:v>
                </c:pt>
                <c:pt idx="17">
                  <c:v>1</c:v>
                </c:pt>
                <c:pt idx="18">
                  <c:v>2</c:v>
                </c:pt>
                <c:pt idx="19">
                  <c:v>3</c:v>
                </c:pt>
                <c:pt idx="20">
                  <c:v>3</c:v>
                </c:pt>
                <c:pt idx="21">
                  <c:v>2</c:v>
                </c:pt>
                <c:pt idx="22">
                  <c:v>5</c:v>
                </c:pt>
                <c:pt idx="23">
                  <c:v>3</c:v>
                </c:pt>
                <c:pt idx="24">
                  <c:v>5</c:v>
                </c:pt>
                <c:pt idx="25">
                  <c:v>3</c:v>
                </c:pt>
                <c:pt idx="26">
                  <c:v>3</c:v>
                </c:pt>
                <c:pt idx="27">
                  <c:v>4</c:v>
                </c:pt>
                <c:pt idx="28">
                  <c:v>3</c:v>
                </c:pt>
                <c:pt idx="29">
                  <c:v>5</c:v>
                </c:pt>
                <c:pt idx="30">
                  <c:v>8</c:v>
                </c:pt>
                <c:pt idx="31">
                  <c:v>7</c:v>
                </c:pt>
                <c:pt idx="32">
                  <c:v>6</c:v>
                </c:pt>
                <c:pt idx="33">
                  <c:v>7</c:v>
                </c:pt>
                <c:pt idx="34">
                  <c:v>6</c:v>
                </c:pt>
                <c:pt idx="35">
                  <c:v>7</c:v>
                </c:pt>
                <c:pt idx="36">
                  <c:v>10</c:v>
                </c:pt>
                <c:pt idx="37">
                  <c:v>8</c:v>
                </c:pt>
                <c:pt idx="38">
                  <c:v>13</c:v>
                </c:pt>
                <c:pt idx="39">
                  <c:v>15</c:v>
                </c:pt>
                <c:pt idx="40">
                  <c:v>11</c:v>
                </c:pt>
                <c:pt idx="41">
                  <c:v>10</c:v>
                </c:pt>
                <c:pt idx="42">
                  <c:v>14</c:v>
                </c:pt>
                <c:pt idx="43">
                  <c:v>10</c:v>
                </c:pt>
                <c:pt idx="44">
                  <c:v>7</c:v>
                </c:pt>
                <c:pt idx="45">
                  <c:v>9</c:v>
                </c:pt>
                <c:pt idx="46">
                  <c:v>6</c:v>
                </c:pt>
                <c:pt idx="47">
                  <c:v>5</c:v>
                </c:pt>
                <c:pt idx="48">
                  <c:v>4</c:v>
                </c:pt>
                <c:pt idx="49">
                  <c:v>3</c:v>
                </c:pt>
                <c:pt idx="50">
                  <c:v>4</c:v>
                </c:pt>
                <c:pt idx="51">
                  <c:v>2</c:v>
                </c:pt>
                <c:pt idx="52">
                  <c:v>2</c:v>
                </c:pt>
                <c:pt idx="53">
                  <c:v>3</c:v>
                </c:pt>
                <c:pt idx="54">
                  <c:v>2</c:v>
                </c:pt>
                <c:pt idx="5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B0-4107-A9D0-B806EB9B62FE}"/>
            </c:ext>
          </c:extLst>
        </c:ser>
        <c:ser>
          <c:idx val="2"/>
          <c:order val="2"/>
          <c:tx>
            <c:v>LC debt</c:v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'2025 in progress'!$D$1331:$BG$1331</c:f>
              <c:numCache>
                <c:formatCode>General</c:formatCode>
                <c:ptCount val="56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</c:numCache>
            </c:numRef>
          </c:cat>
          <c:val>
            <c:numRef>
              <c:f>'2020 in progress'!#REF!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B0-4107-A9D0-B806EB9B62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009152"/>
        <c:axId val="66638208"/>
      </c:areaChart>
      <c:catAx>
        <c:axId val="19500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38208"/>
        <c:crosses val="autoZero"/>
        <c:auto val="1"/>
        <c:lblAlgn val="ctr"/>
        <c:lblOffset val="100"/>
        <c:noMultiLvlLbl val="0"/>
      </c:catAx>
      <c:valAx>
        <c:axId val="6663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091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Private</a:t>
            </a:r>
            <a:r>
              <a:rPr lang="en-GB" b="1" baseline="0"/>
              <a:t> Creditor LC vs. FC Debt</a:t>
            </a:r>
          </a:p>
          <a:p>
            <a:pPr>
              <a:defRPr/>
            </a:pPr>
            <a:r>
              <a:rPr lang="en-GB" b="1" baseline="0"/>
              <a:t>1960-2015</a:t>
            </a:r>
            <a:endParaRPr lang="en-GB" b="1"/>
          </a:p>
        </c:rich>
      </c:tx>
      <c:layout>
        <c:manualLayout>
          <c:xMode val="edge"/>
          <c:yMode val="edge"/>
          <c:x val="0.2998087022126137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FC bank loans</c:v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'2025 in progress'!$D$1331:$BG$1331</c:f>
              <c:numCache>
                <c:formatCode>General</c:formatCode>
                <c:ptCount val="56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</c:numCache>
            </c:numRef>
          </c:cat>
          <c:val>
            <c:numRef>
              <c:f>'2025 in progress'!$D$1332:$BG$1332</c:f>
              <c:numCache>
                <c:formatCode>General</c:formatCode>
                <c:ptCount val="56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3</c:v>
                </c:pt>
                <c:pt idx="9">
                  <c:v>1</c:v>
                </c:pt>
                <c:pt idx="10">
                  <c:v>3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3</c:v>
                </c:pt>
                <c:pt idx="16">
                  <c:v>7</c:v>
                </c:pt>
                <c:pt idx="17">
                  <c:v>5</c:v>
                </c:pt>
                <c:pt idx="18">
                  <c:v>8</c:v>
                </c:pt>
                <c:pt idx="19">
                  <c:v>10</c:v>
                </c:pt>
                <c:pt idx="20">
                  <c:v>13</c:v>
                </c:pt>
                <c:pt idx="21">
                  <c:v>18</c:v>
                </c:pt>
                <c:pt idx="22">
                  <c:v>26</c:v>
                </c:pt>
                <c:pt idx="23">
                  <c:v>33</c:v>
                </c:pt>
                <c:pt idx="24">
                  <c:v>36</c:v>
                </c:pt>
                <c:pt idx="25">
                  <c:v>38</c:v>
                </c:pt>
                <c:pt idx="26">
                  <c:v>42</c:v>
                </c:pt>
                <c:pt idx="27">
                  <c:v>44</c:v>
                </c:pt>
                <c:pt idx="28">
                  <c:v>45</c:v>
                </c:pt>
                <c:pt idx="29">
                  <c:v>45</c:v>
                </c:pt>
                <c:pt idx="30">
                  <c:v>48</c:v>
                </c:pt>
                <c:pt idx="31">
                  <c:v>43</c:v>
                </c:pt>
                <c:pt idx="32">
                  <c:v>47</c:v>
                </c:pt>
                <c:pt idx="33">
                  <c:v>46</c:v>
                </c:pt>
                <c:pt idx="34">
                  <c:v>40</c:v>
                </c:pt>
                <c:pt idx="35">
                  <c:v>33</c:v>
                </c:pt>
                <c:pt idx="36">
                  <c:v>31</c:v>
                </c:pt>
                <c:pt idx="37">
                  <c:v>27</c:v>
                </c:pt>
                <c:pt idx="38">
                  <c:v>27</c:v>
                </c:pt>
                <c:pt idx="39">
                  <c:v>24</c:v>
                </c:pt>
                <c:pt idx="40">
                  <c:v>20</c:v>
                </c:pt>
                <c:pt idx="41">
                  <c:v>21</c:v>
                </c:pt>
                <c:pt idx="42">
                  <c:v>22</c:v>
                </c:pt>
                <c:pt idx="43">
                  <c:v>19</c:v>
                </c:pt>
                <c:pt idx="44">
                  <c:v>19</c:v>
                </c:pt>
                <c:pt idx="45">
                  <c:v>15</c:v>
                </c:pt>
                <c:pt idx="46">
                  <c:v>14</c:v>
                </c:pt>
                <c:pt idx="47">
                  <c:v>13</c:v>
                </c:pt>
                <c:pt idx="48">
                  <c:v>10</c:v>
                </c:pt>
                <c:pt idx="49">
                  <c:v>10</c:v>
                </c:pt>
                <c:pt idx="50">
                  <c:v>10</c:v>
                </c:pt>
                <c:pt idx="51">
                  <c:v>10</c:v>
                </c:pt>
                <c:pt idx="52">
                  <c:v>10</c:v>
                </c:pt>
                <c:pt idx="53">
                  <c:v>10</c:v>
                </c:pt>
                <c:pt idx="54">
                  <c:v>10</c:v>
                </c:pt>
                <c:pt idx="5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B0-4107-A9D0-B806EB9B62FE}"/>
            </c:ext>
          </c:extLst>
        </c:ser>
        <c:ser>
          <c:idx val="1"/>
          <c:order val="1"/>
          <c:tx>
            <c:v>FC bonds</c:v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'2025 in progress'!$D$1331:$BG$1331</c:f>
              <c:numCache>
                <c:formatCode>General</c:formatCode>
                <c:ptCount val="56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</c:numCache>
            </c:numRef>
          </c:cat>
          <c:val>
            <c:numRef>
              <c:f>'2025 in progress'!$D$1334:$BG$1334</c:f>
              <c:numCache>
                <c:formatCode>0</c:formatCode>
                <c:ptCount val="56"/>
                <c:pt idx="0">
                  <c:v>9</c:v>
                </c:pt>
                <c:pt idx="1">
                  <c:v>10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10</c:v>
                </c:pt>
                <c:pt idx="6">
                  <c:v>8</c:v>
                </c:pt>
                <c:pt idx="7">
                  <c:v>8</c:v>
                </c:pt>
                <c:pt idx="8">
                  <c:v>7</c:v>
                </c:pt>
                <c:pt idx="9">
                  <c:v>7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3</c:v>
                </c:pt>
                <c:pt idx="16">
                  <c:v>2</c:v>
                </c:pt>
                <c:pt idx="17">
                  <c:v>1</c:v>
                </c:pt>
                <c:pt idx="18">
                  <c:v>2</c:v>
                </c:pt>
                <c:pt idx="19">
                  <c:v>3</c:v>
                </c:pt>
                <c:pt idx="20">
                  <c:v>3</c:v>
                </c:pt>
                <c:pt idx="21">
                  <c:v>2</c:v>
                </c:pt>
                <c:pt idx="22">
                  <c:v>5</c:v>
                </c:pt>
                <c:pt idx="23">
                  <c:v>3</c:v>
                </c:pt>
                <c:pt idx="24">
                  <c:v>5</c:v>
                </c:pt>
                <c:pt idx="25">
                  <c:v>3</c:v>
                </c:pt>
                <c:pt idx="26">
                  <c:v>3</c:v>
                </c:pt>
                <c:pt idx="27">
                  <c:v>4</c:v>
                </c:pt>
                <c:pt idx="28">
                  <c:v>3</c:v>
                </c:pt>
                <c:pt idx="29">
                  <c:v>5</c:v>
                </c:pt>
                <c:pt idx="30">
                  <c:v>8</c:v>
                </c:pt>
                <c:pt idx="31">
                  <c:v>7</c:v>
                </c:pt>
                <c:pt idx="32">
                  <c:v>6</c:v>
                </c:pt>
                <c:pt idx="33">
                  <c:v>7</c:v>
                </c:pt>
                <c:pt idx="34">
                  <c:v>6</c:v>
                </c:pt>
                <c:pt idx="35">
                  <c:v>7</c:v>
                </c:pt>
                <c:pt idx="36">
                  <c:v>10</c:v>
                </c:pt>
                <c:pt idx="37">
                  <c:v>8</c:v>
                </c:pt>
                <c:pt idx="38">
                  <c:v>13</c:v>
                </c:pt>
                <c:pt idx="39">
                  <c:v>15</c:v>
                </c:pt>
                <c:pt idx="40">
                  <c:v>11</c:v>
                </c:pt>
                <c:pt idx="41">
                  <c:v>10</c:v>
                </c:pt>
                <c:pt idx="42">
                  <c:v>14</c:v>
                </c:pt>
                <c:pt idx="43">
                  <c:v>10</c:v>
                </c:pt>
                <c:pt idx="44">
                  <c:v>7</c:v>
                </c:pt>
                <c:pt idx="45">
                  <c:v>9</c:v>
                </c:pt>
                <c:pt idx="46">
                  <c:v>6</c:v>
                </c:pt>
                <c:pt idx="47">
                  <c:v>5</c:v>
                </c:pt>
                <c:pt idx="48">
                  <c:v>4</c:v>
                </c:pt>
                <c:pt idx="49">
                  <c:v>3</c:v>
                </c:pt>
                <c:pt idx="50">
                  <c:v>4</c:v>
                </c:pt>
                <c:pt idx="51">
                  <c:v>2</c:v>
                </c:pt>
                <c:pt idx="52">
                  <c:v>2</c:v>
                </c:pt>
                <c:pt idx="53">
                  <c:v>3</c:v>
                </c:pt>
                <c:pt idx="54">
                  <c:v>2</c:v>
                </c:pt>
                <c:pt idx="5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B0-4107-A9D0-B806EB9B62FE}"/>
            </c:ext>
          </c:extLst>
        </c:ser>
        <c:ser>
          <c:idx val="2"/>
          <c:order val="2"/>
          <c:tx>
            <c:v>LC debt</c:v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'2025 in progress'!$D$1331:$BG$1331</c:f>
              <c:numCache>
                <c:formatCode>General</c:formatCode>
                <c:ptCount val="56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</c:numCache>
            </c:numRef>
          </c:cat>
          <c:val>
            <c:numRef>
              <c:f>'2020 in progress'!#REF!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B0-4107-A9D0-B806EB9B62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03328"/>
        <c:axId val="66417408"/>
      </c:areaChart>
      <c:catAx>
        <c:axId val="66403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17408"/>
        <c:crosses val="autoZero"/>
        <c:auto val="1"/>
        <c:lblAlgn val="ctr"/>
        <c:lblOffset val="100"/>
        <c:noMultiLvlLbl val="0"/>
      </c:catAx>
      <c:valAx>
        <c:axId val="6641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033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 Number</a:t>
            </a:r>
            <a:r>
              <a:rPr lang="en-GB" baseline="0"/>
              <a:t> of </a:t>
            </a:r>
            <a:r>
              <a:rPr lang="en-GB"/>
              <a:t>Sovereign Defaults</a:t>
            </a:r>
          </a:p>
          <a:p>
            <a:pPr>
              <a:defRPr/>
            </a:pPr>
            <a:r>
              <a:rPr lang="en-GB"/>
              <a:t> 1976-2025</a:t>
            </a:r>
          </a:p>
          <a:p>
            <a:pPr>
              <a:defRPr/>
            </a:pPr>
            <a:r>
              <a:rPr lang="en-GB"/>
              <a:t> </a:t>
            </a:r>
            <a:r>
              <a:rPr lang="en-GB" sz="1000"/>
              <a:t>Local currency debt, foreign currency bonds, foreign currency bank loans</a:t>
            </a:r>
          </a:p>
        </c:rich>
      </c:tx>
      <c:layout>
        <c:manualLayout>
          <c:xMode val="edge"/>
          <c:yMode val="edge"/>
          <c:x val="0.1425693737741266"/>
          <c:y val="3.2006033759160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618938258095535"/>
          <c:y val="0.3138978219746702"/>
          <c:w val="0.81583428235018496"/>
          <c:h val="0.53096022176707258"/>
        </c:manualLayout>
      </c:layout>
      <c:lineChart>
        <c:grouping val="standard"/>
        <c:varyColors val="0"/>
        <c:ser>
          <c:idx val="0"/>
          <c:order val="0"/>
          <c:tx>
            <c:v>FC Bank Loans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'2025 in progress'!$T$1331:$BO$1331</c15:sqref>
                  </c15:fullRef>
                </c:ext>
              </c:extLst>
              <c:f>('2025 in progress'!$T$1331,'2025 in progress'!$W$1331,'2025 in progress'!$AB$1331,'2025 in progress'!$AG$1331,'2025 in progress'!$AL$1331,'2025 in progress'!$AQ$1331,'2025 in progress'!$AV$1331,'2025 in progress'!$BA$1331,'2025 in progress'!$BF$1331,'2025 in progress'!$BK$1331,'2025 in progress'!$BO$1331)</c:f>
              <c:numCache>
                <c:formatCode>General</c:formatCode>
                <c:ptCount val="11"/>
                <c:pt idx="0">
                  <c:v>1976</c:v>
                </c:pt>
                <c:pt idx="1">
                  <c:v>1979</c:v>
                </c:pt>
                <c:pt idx="2">
                  <c:v>1984</c:v>
                </c:pt>
                <c:pt idx="3">
                  <c:v>1989</c:v>
                </c:pt>
                <c:pt idx="4">
                  <c:v>1994</c:v>
                </c:pt>
                <c:pt idx="5">
                  <c:v>1999</c:v>
                </c:pt>
                <c:pt idx="6">
                  <c:v>2004</c:v>
                </c:pt>
                <c:pt idx="7">
                  <c:v>2009</c:v>
                </c:pt>
                <c:pt idx="8">
                  <c:v>2014</c:v>
                </c:pt>
                <c:pt idx="9">
                  <c:v>2019</c:v>
                </c:pt>
                <c:pt idx="10">
                  <c:v>2023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'2025 in progress'!$T$1332:$BO$1332</c15:sqref>
                  </c15:fullRef>
                </c:ext>
              </c:extLst>
              <c:f>('2025 in progress'!$T$1332,'2025 in progress'!$W$1332,'2025 in progress'!$AB$1332,'2025 in progress'!$AG$1332,'2025 in progress'!$AL$1332,'2025 in progress'!$AQ$1332,'2025 in progress'!$AV$1332,'2025 in progress'!$BA$1332,'2025 in progress'!$BF$1332,'2025 in progress'!$BK$1332,'2025 in progress'!$BO$1332)</c:f>
              <c:numCache>
                <c:formatCode>General</c:formatCode>
                <c:ptCount val="11"/>
                <c:pt idx="0">
                  <c:v>7</c:v>
                </c:pt>
                <c:pt idx="1">
                  <c:v>10</c:v>
                </c:pt>
                <c:pt idx="2">
                  <c:v>36</c:v>
                </c:pt>
                <c:pt idx="3">
                  <c:v>45</c:v>
                </c:pt>
                <c:pt idx="4">
                  <c:v>40</c:v>
                </c:pt>
                <c:pt idx="5">
                  <c:v>24</c:v>
                </c:pt>
                <c:pt idx="6">
                  <c:v>19</c:v>
                </c:pt>
                <c:pt idx="7">
                  <c:v>10</c:v>
                </c:pt>
                <c:pt idx="8">
                  <c:v>10</c:v>
                </c:pt>
                <c:pt idx="9">
                  <c:v>9</c:v>
                </c:pt>
                <c:pt idx="10">
                  <c:v>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B7A-4C4A-A2CA-7726AAD9D94C}"/>
            </c:ext>
          </c:extLst>
        </c:ser>
        <c:ser>
          <c:idx val="1"/>
          <c:order val="1"/>
          <c:tx>
            <c:v>LC Debt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'2025 in progress'!$T$1331:$BO$1331</c15:sqref>
                  </c15:fullRef>
                </c:ext>
              </c:extLst>
              <c:f>('2025 in progress'!$T$1331,'2025 in progress'!$W$1331,'2025 in progress'!$AB$1331,'2025 in progress'!$AG$1331,'2025 in progress'!$AL$1331,'2025 in progress'!$AQ$1331,'2025 in progress'!$AV$1331,'2025 in progress'!$BA$1331,'2025 in progress'!$BF$1331,'2025 in progress'!$BK$1331,'2025 in progress'!$BO$1331)</c:f>
              <c:numCache>
                <c:formatCode>General</c:formatCode>
                <c:ptCount val="11"/>
                <c:pt idx="0">
                  <c:v>1976</c:v>
                </c:pt>
                <c:pt idx="1">
                  <c:v>1979</c:v>
                </c:pt>
                <c:pt idx="2">
                  <c:v>1984</c:v>
                </c:pt>
                <c:pt idx="3">
                  <c:v>1989</c:v>
                </c:pt>
                <c:pt idx="4">
                  <c:v>1994</c:v>
                </c:pt>
                <c:pt idx="5">
                  <c:v>1999</c:v>
                </c:pt>
                <c:pt idx="6">
                  <c:v>2004</c:v>
                </c:pt>
                <c:pt idx="7">
                  <c:v>2009</c:v>
                </c:pt>
                <c:pt idx="8">
                  <c:v>2014</c:v>
                </c:pt>
                <c:pt idx="9">
                  <c:v>2019</c:v>
                </c:pt>
                <c:pt idx="10">
                  <c:v>2023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'2025 in progress'!$T$1334:$BO$1334</c15:sqref>
                  </c15:fullRef>
                </c:ext>
              </c:extLst>
              <c:f>('2025 in progress'!$T$1334,'2025 in progress'!$W$1334,'2025 in progress'!$AB$1334,'2025 in progress'!$AG$1334,'2025 in progress'!$AL$1334,'2025 in progress'!$AQ$1334,'2025 in progress'!$AV$1334,'2025 in progress'!$BA$1334,'2025 in progress'!$BF$1334,'2025 in progress'!$BK$1334,'2025 in progress'!$BO$1334)</c:f>
              <c:numCache>
                <c:formatCode>0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5</c:v>
                </c:pt>
                <c:pt idx="4">
                  <c:v>6</c:v>
                </c:pt>
                <c:pt idx="5">
                  <c:v>15</c:v>
                </c:pt>
                <c:pt idx="6">
                  <c:v>7</c:v>
                </c:pt>
                <c:pt idx="7">
                  <c:v>3</c:v>
                </c:pt>
                <c:pt idx="8">
                  <c:v>2</c:v>
                </c:pt>
                <c:pt idx="9">
                  <c:v>4</c:v>
                </c:pt>
                <c:pt idx="10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B7A-4C4A-A2CA-7726AAD9D94C}"/>
            </c:ext>
          </c:extLst>
        </c:ser>
        <c:ser>
          <c:idx val="2"/>
          <c:order val="2"/>
          <c:tx>
            <c:v>FC Bonds</c:v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'2025 in progress'!$T$1331:$BO$1331</c15:sqref>
                  </c15:fullRef>
                </c:ext>
              </c:extLst>
              <c:f>('2025 in progress'!$T$1331,'2025 in progress'!$W$1331,'2025 in progress'!$AB$1331,'2025 in progress'!$AG$1331,'2025 in progress'!$AL$1331,'2025 in progress'!$AQ$1331,'2025 in progress'!$AV$1331,'2025 in progress'!$BA$1331,'2025 in progress'!$BF$1331,'2025 in progress'!$BK$1331,'2025 in progress'!$BO$1331)</c:f>
              <c:numCache>
                <c:formatCode>General</c:formatCode>
                <c:ptCount val="11"/>
                <c:pt idx="0">
                  <c:v>1976</c:v>
                </c:pt>
                <c:pt idx="1">
                  <c:v>1979</c:v>
                </c:pt>
                <c:pt idx="2">
                  <c:v>1984</c:v>
                </c:pt>
                <c:pt idx="3">
                  <c:v>1989</c:v>
                </c:pt>
                <c:pt idx="4">
                  <c:v>1994</c:v>
                </c:pt>
                <c:pt idx="5">
                  <c:v>1999</c:v>
                </c:pt>
                <c:pt idx="6">
                  <c:v>2004</c:v>
                </c:pt>
                <c:pt idx="7">
                  <c:v>2009</c:v>
                </c:pt>
                <c:pt idx="8">
                  <c:v>2014</c:v>
                </c:pt>
                <c:pt idx="9">
                  <c:v>2019</c:v>
                </c:pt>
                <c:pt idx="10">
                  <c:v>2023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'2025 in progress'!$S$1333:$BO$1333</c15:sqref>
                  </c15:fullRef>
                </c:ext>
              </c:extLst>
              <c:f>('2025 in progress'!$S$1333,'2025 in progress'!$V$1333,'2025 in progress'!$AA$1333,'2025 in progress'!$AF$1333,'2025 in progress'!$AK$1333,'2025 in progress'!$AP$1333,'2025 in progress'!$AU$1333,'2025 in progress'!$AZ$1333,'2025 in progress'!$BE$1333,'2025 in progress'!$BJ$1333,'2025 in progress'!$BN$1333)</c:f>
              <c:numCache>
                <c:formatCode>General</c:formatCode>
                <c:ptCount val="11"/>
                <c:pt idx="0">
                  <c:v>8</c:v>
                </c:pt>
                <c:pt idx="1">
                  <c:v>5</c:v>
                </c:pt>
                <c:pt idx="2">
                  <c:v>5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10</c:v>
                </c:pt>
                <c:pt idx="7">
                  <c:v>8</c:v>
                </c:pt>
                <c:pt idx="8">
                  <c:v>9</c:v>
                </c:pt>
                <c:pt idx="9">
                  <c:v>9</c:v>
                </c:pt>
                <c:pt idx="10">
                  <c:v>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B7A-4C4A-A2CA-7726AAD9D9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8184984"/>
        <c:axId val="1118187280"/>
      </c:lineChart>
      <c:dateAx>
        <c:axId val="111818498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138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187280"/>
        <c:crossesAt val="0"/>
        <c:auto val="0"/>
        <c:lblOffset val="100"/>
        <c:baseTimeUnit val="days"/>
        <c:minorUnit val="1"/>
        <c:minorTimeUnit val="years"/>
      </c:dateAx>
      <c:valAx>
        <c:axId val="1118187280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184984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zero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4803149606299213" l="0.70866141732283472" r="0.70866141732283472" t="0.74803149606299213" header="0.31496062992125984" footer="0.31496062992125984"/>
    <c:pageSetup orientation="portrait"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52</xdr:col>
      <xdr:colOff>640366</xdr:colOff>
      <xdr:row>1337</xdr:row>
      <xdr:rowOff>96698</xdr:rowOff>
    </xdr:from>
    <xdr:to>
      <xdr:col>53</xdr:col>
      <xdr:colOff>5</xdr:colOff>
      <xdr:row>1337</xdr:row>
      <xdr:rowOff>152399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54</xdr:col>
      <xdr:colOff>278484</xdr:colOff>
      <xdr:row>1342</xdr:row>
      <xdr:rowOff>85443</xdr:rowOff>
    </xdr:from>
    <xdr:to>
      <xdr:col>54</xdr:col>
      <xdr:colOff>399209</xdr:colOff>
      <xdr:row>1342</xdr:row>
      <xdr:rowOff>141910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1337</xdr:row>
      <xdr:rowOff>178593</xdr:rowOff>
    </xdr:from>
    <xdr:to>
      <xdr:col>1</xdr:col>
      <xdr:colOff>4362450</xdr:colOff>
      <xdr:row>1359</xdr:row>
      <xdr:rowOff>1983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twoCellAnchor>
  <xdr:oneCellAnchor>
    <xdr:from>
      <xdr:col>1</xdr:col>
      <xdr:colOff>1399645</xdr:colOff>
      <xdr:row>1330</xdr:row>
      <xdr:rowOff>1011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736989" y="227672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</xdr:col>
      <xdr:colOff>3822699</xdr:colOff>
      <xdr:row>1329</xdr:row>
      <xdr:rowOff>167482</xdr:rowOff>
    </xdr:from>
    <xdr:ext cx="579437" cy="23320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1A1E7F6-2683-4074-9961-59CCEA9D93DA}"/>
            </a:ext>
          </a:extLst>
        </xdr:cNvPr>
        <xdr:cNvSpPr txBox="1"/>
      </xdr:nvSpPr>
      <xdr:spPr>
        <a:xfrm>
          <a:off x="4140199" y="246001779"/>
          <a:ext cx="57943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900"/>
            <a:t>Number</a:t>
          </a:r>
        </a:p>
      </xdr:txBody>
    </xdr:sp>
    <xdr:clientData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0.11301</cdr:x>
      <cdr:y>0.76571</cdr:y>
    </cdr:from>
    <cdr:to>
      <cdr:x>0.97089</cdr:x>
      <cdr:y>0.92572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FB1F5A2-BCED-4145-ABDD-D86015D3532C}"/>
            </a:ext>
          </a:extLst>
        </cdr:cNvPr>
        <cdr:cNvSpPr txBox="1"/>
      </cdr:nvSpPr>
      <cdr:spPr>
        <a:xfrm xmlns:a="http://schemas.openxmlformats.org/drawingml/2006/main">
          <a:off x="523874" y="2203053"/>
          <a:ext cx="3976688" cy="4603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0.06678</cdr:x>
      <cdr:y>0.18084</cdr:y>
    </cdr:from>
    <cdr:to>
      <cdr:x>0.26404</cdr:x>
      <cdr:y>0.26636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3D7C450C-3E35-4245-A0D9-287D5A883AB1}"/>
            </a:ext>
          </a:extLst>
        </cdr:cNvPr>
        <cdr:cNvSpPr txBox="1"/>
      </cdr:nvSpPr>
      <cdr:spPr>
        <a:xfrm xmlns:a="http://schemas.openxmlformats.org/drawingml/2006/main">
          <a:off x="309562" y="520304"/>
          <a:ext cx="914400" cy="2460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/../Temp/AppData/Local/Microsoft/AppData/Local/Microsoft/Windows/Users/325319/AppData/Local/Microsoft/Windows/Temporary%20Internet%20Files/Jean-Seb/Jean-Seb/Jean-Seb/Jean-Seb/James%20-%20David%20-%20Article/Technical%20Paper/CRAG%20Database/Microsoft/AppData/Jean-Seb/James%20-%20David%20-%20Article/Technical%20Paper/Microsoft/Windows/Temporary%20Internet%20Files/AppData/AppData/Local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</sheetPr>
  <dimension ref="A1:EG1401"/>
  <sheetViews>
    <sheetView showGridLines="0" zoomScale="86" zoomScaleNormal="100" zoomScaleSheetLayoutView="112" workbookViewId="0">
      <pane xSplit="4" ySplit="10" topLeftCell="BM136" activePane="bottomRight" state="frozen"/>
      <selection pane="topRight" activeCell="D1" sqref="D1"/>
      <selection pane="bottomLeft" activeCell="A11" sqref="A11"/>
      <selection pane="bottomRight" activeCell="B6" sqref="B6"/>
    </sheetView>
  </sheetViews>
  <sheetFormatPr defaultRowHeight="14.5"/>
  <cols>
    <col min="2" max="2" width="65.7265625" customWidth="1"/>
    <col min="3" max="3" width="12.1796875" customWidth="1"/>
    <col min="4" max="69" width="9.81640625" customWidth="1"/>
    <col min="70" max="70" width="4.81640625" customWidth="1"/>
  </cols>
  <sheetData>
    <row r="1" spans="1:137" ht="15.5">
      <c r="A1" s="90"/>
      <c r="B1" s="1" t="s">
        <v>24</v>
      </c>
      <c r="C1" s="88"/>
      <c r="D1" s="100">
        <v>1960</v>
      </c>
      <c r="E1" s="100">
        <v>1961</v>
      </c>
      <c r="F1" s="100">
        <v>1962</v>
      </c>
      <c r="G1" s="100">
        <v>1963</v>
      </c>
      <c r="H1" s="100">
        <v>1964</v>
      </c>
      <c r="I1" s="100">
        <v>1965</v>
      </c>
      <c r="J1" s="100">
        <v>1966</v>
      </c>
      <c r="K1" s="100">
        <v>1967</v>
      </c>
      <c r="L1" s="100">
        <v>1968</v>
      </c>
      <c r="M1" s="100">
        <v>1969</v>
      </c>
      <c r="N1" s="100">
        <v>1970</v>
      </c>
      <c r="O1" s="100">
        <v>1971</v>
      </c>
      <c r="P1" s="100">
        <v>1972</v>
      </c>
      <c r="Q1" s="100">
        <v>1973</v>
      </c>
      <c r="R1" s="100">
        <v>1974</v>
      </c>
      <c r="S1" s="100">
        <v>1975</v>
      </c>
      <c r="T1" s="100">
        <v>1976</v>
      </c>
      <c r="U1" s="100">
        <v>1977</v>
      </c>
      <c r="V1" s="100">
        <v>1978</v>
      </c>
      <c r="W1" s="100">
        <v>1979</v>
      </c>
      <c r="X1" s="100">
        <v>1980</v>
      </c>
      <c r="Y1" s="100">
        <v>1981</v>
      </c>
      <c r="Z1" s="100">
        <v>1982</v>
      </c>
      <c r="AA1" s="100">
        <v>1983</v>
      </c>
      <c r="AB1" s="100">
        <v>1984</v>
      </c>
      <c r="AC1" s="100">
        <v>1985</v>
      </c>
      <c r="AD1" s="100">
        <v>1986</v>
      </c>
      <c r="AE1" s="100">
        <v>1987</v>
      </c>
      <c r="AF1" s="100">
        <v>1988</v>
      </c>
      <c r="AG1" s="100">
        <v>1989</v>
      </c>
      <c r="AH1" s="100">
        <v>1990</v>
      </c>
      <c r="AI1" s="100">
        <v>1991</v>
      </c>
      <c r="AJ1" s="100">
        <v>1992</v>
      </c>
      <c r="AK1" s="100">
        <v>1993</v>
      </c>
      <c r="AL1" s="100">
        <v>1994</v>
      </c>
      <c r="AM1" s="100">
        <v>1995</v>
      </c>
      <c r="AN1" s="100">
        <v>1996</v>
      </c>
      <c r="AO1" s="100">
        <v>1997</v>
      </c>
      <c r="AP1" s="100">
        <v>1998</v>
      </c>
      <c r="AQ1" s="100">
        <v>1999</v>
      </c>
      <c r="AR1" s="100">
        <v>2000</v>
      </c>
      <c r="AS1" s="100">
        <v>2001</v>
      </c>
      <c r="AT1" s="100">
        <v>2002</v>
      </c>
      <c r="AU1" s="100">
        <v>2003</v>
      </c>
      <c r="AV1" s="100">
        <v>2004</v>
      </c>
      <c r="AW1" s="100">
        <v>2005</v>
      </c>
      <c r="AX1" s="100">
        <v>2006</v>
      </c>
      <c r="AY1" s="100">
        <v>2007</v>
      </c>
      <c r="AZ1" s="100">
        <v>2008</v>
      </c>
      <c r="BA1" s="100">
        <v>2009</v>
      </c>
      <c r="BB1" s="100">
        <v>2010</v>
      </c>
      <c r="BC1" s="100">
        <v>2011</v>
      </c>
      <c r="BD1" s="100">
        <v>2012</v>
      </c>
      <c r="BE1" s="100">
        <v>2013</v>
      </c>
      <c r="BF1" s="100">
        <v>2014</v>
      </c>
      <c r="BG1" s="100">
        <v>2015</v>
      </c>
      <c r="BH1" s="100">
        <v>2016</v>
      </c>
      <c r="BI1" s="100">
        <v>2017</v>
      </c>
      <c r="BJ1" s="100">
        <v>2018</v>
      </c>
      <c r="BK1" s="100">
        <v>2019</v>
      </c>
      <c r="BL1" s="100">
        <v>2020</v>
      </c>
      <c r="BM1" s="100">
        <v>2021</v>
      </c>
      <c r="BN1" s="100">
        <v>2022</v>
      </c>
      <c r="BO1" s="100">
        <v>2023</v>
      </c>
      <c r="BP1" s="100">
        <v>2024</v>
      </c>
      <c r="BQ1" s="100" t="s">
        <v>257</v>
      </c>
      <c r="BR1" s="101"/>
      <c r="BS1">
        <v>1960</v>
      </c>
      <c r="BT1">
        <v>1961</v>
      </c>
      <c r="BU1">
        <v>1962</v>
      </c>
      <c r="BV1">
        <v>1963</v>
      </c>
      <c r="BW1">
        <v>1964</v>
      </c>
      <c r="BX1">
        <v>1965</v>
      </c>
      <c r="BY1">
        <v>1966</v>
      </c>
      <c r="BZ1">
        <v>1967</v>
      </c>
      <c r="CA1">
        <v>1968</v>
      </c>
      <c r="CB1">
        <v>1969</v>
      </c>
      <c r="CC1">
        <v>1970</v>
      </c>
      <c r="CD1">
        <v>1971</v>
      </c>
      <c r="CE1">
        <v>1972</v>
      </c>
      <c r="CF1">
        <v>1973</v>
      </c>
      <c r="CG1">
        <v>1974</v>
      </c>
      <c r="CH1">
        <v>1975</v>
      </c>
      <c r="CI1">
        <v>1976</v>
      </c>
      <c r="CJ1">
        <v>1977</v>
      </c>
      <c r="CK1">
        <v>1978</v>
      </c>
      <c r="CL1">
        <v>1979</v>
      </c>
      <c r="CM1">
        <v>1980</v>
      </c>
      <c r="CN1">
        <v>1981</v>
      </c>
      <c r="CO1">
        <v>1982</v>
      </c>
      <c r="CP1">
        <v>1983</v>
      </c>
      <c r="CQ1">
        <v>1984</v>
      </c>
      <c r="CR1">
        <v>1985</v>
      </c>
      <c r="CS1">
        <v>1986</v>
      </c>
      <c r="CT1">
        <v>1987</v>
      </c>
      <c r="CU1">
        <v>1988</v>
      </c>
      <c r="CV1">
        <v>1989</v>
      </c>
      <c r="CW1">
        <v>1990</v>
      </c>
      <c r="CX1">
        <v>1991</v>
      </c>
      <c r="CY1">
        <v>1992</v>
      </c>
      <c r="CZ1">
        <v>1993</v>
      </c>
      <c r="DA1">
        <v>1994</v>
      </c>
      <c r="DB1">
        <v>1995</v>
      </c>
      <c r="DC1">
        <v>1996</v>
      </c>
      <c r="DD1">
        <v>1997</v>
      </c>
      <c r="DE1">
        <v>1998</v>
      </c>
      <c r="DF1">
        <v>1999</v>
      </c>
      <c r="DG1">
        <v>2000</v>
      </c>
      <c r="DH1">
        <v>2001</v>
      </c>
      <c r="DI1">
        <v>2002</v>
      </c>
      <c r="DJ1">
        <v>2003</v>
      </c>
      <c r="DK1">
        <v>2004</v>
      </c>
      <c r="DL1">
        <v>2005</v>
      </c>
      <c r="DM1">
        <v>2006</v>
      </c>
      <c r="DN1">
        <v>2007</v>
      </c>
      <c r="DO1">
        <v>2008</v>
      </c>
      <c r="DP1">
        <v>2009</v>
      </c>
      <c r="DQ1">
        <v>2010</v>
      </c>
      <c r="DR1">
        <v>2011</v>
      </c>
      <c r="DS1">
        <v>2012</v>
      </c>
      <c r="DT1">
        <v>2013</v>
      </c>
      <c r="DU1">
        <v>2014</v>
      </c>
      <c r="DV1">
        <v>2015</v>
      </c>
      <c r="DW1">
        <v>2016</v>
      </c>
      <c r="DX1">
        <v>2017</v>
      </c>
      <c r="DY1">
        <v>2018</v>
      </c>
      <c r="DZ1">
        <v>2019</v>
      </c>
      <c r="EA1">
        <v>2020</v>
      </c>
      <c r="EB1">
        <v>2021</v>
      </c>
      <c r="EC1">
        <v>2022</v>
      </c>
      <c r="ED1">
        <v>2023</v>
      </c>
      <c r="EE1">
        <v>2024</v>
      </c>
      <c r="EF1">
        <v>2025</v>
      </c>
      <c r="EG1">
        <v>2026</v>
      </c>
    </row>
    <row r="2" spans="1:137" ht="15.5">
      <c r="A2" s="272"/>
      <c r="B2" s="1" t="s">
        <v>0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90"/>
      <c r="O2" s="90"/>
      <c r="P2" s="90"/>
      <c r="Q2" s="90"/>
      <c r="R2" s="90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2"/>
      <c r="AK2" s="102"/>
      <c r="AL2" s="102"/>
      <c r="AM2" s="102"/>
      <c r="AN2" s="102"/>
      <c r="AO2" s="102"/>
      <c r="AP2" s="102"/>
      <c r="AQ2" s="102"/>
      <c r="AR2" s="102"/>
      <c r="AS2" s="102"/>
      <c r="AT2" s="102"/>
      <c r="AU2" s="102"/>
      <c r="AV2" s="102"/>
      <c r="AW2" s="102"/>
      <c r="AX2" s="102"/>
      <c r="AY2" s="102"/>
      <c r="AZ2" s="102"/>
      <c r="BA2" s="102"/>
      <c r="BB2" s="102"/>
      <c r="BC2" s="102"/>
      <c r="BD2" s="102"/>
      <c r="BE2" s="102"/>
      <c r="BF2" s="101"/>
      <c r="BG2" s="101"/>
      <c r="BH2" s="101"/>
      <c r="BI2" s="101"/>
      <c r="BJ2" s="101"/>
      <c r="BK2" s="101"/>
      <c r="BL2" s="101"/>
      <c r="BM2" s="101"/>
      <c r="BN2" s="101"/>
      <c r="BO2" s="101"/>
      <c r="BP2" s="101"/>
      <c r="BQ2" s="101"/>
      <c r="BR2" s="101"/>
      <c r="BS2" s="85"/>
      <c r="BT2" s="85"/>
      <c r="BU2" s="85"/>
      <c r="BV2" s="85"/>
      <c r="BW2" s="85"/>
      <c r="BX2" s="85"/>
      <c r="BY2" s="85"/>
      <c r="BZ2" s="85"/>
      <c r="CA2" s="85"/>
    </row>
    <row r="3" spans="1:137" ht="15.5">
      <c r="A3" s="90"/>
      <c r="B3" s="126" t="s">
        <v>258</v>
      </c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  <c r="AI3" s="102"/>
      <c r="AJ3" s="102"/>
      <c r="AK3" s="102"/>
      <c r="AL3" s="102"/>
      <c r="AM3" s="102"/>
      <c r="AN3" s="102"/>
      <c r="AO3" s="102"/>
      <c r="AP3" s="102"/>
      <c r="AQ3" s="102"/>
      <c r="AR3" s="102"/>
      <c r="AS3" s="102"/>
      <c r="AT3" s="102"/>
      <c r="AU3" s="102"/>
      <c r="AV3" s="102"/>
      <c r="AW3" s="102"/>
      <c r="AX3" s="102"/>
      <c r="AY3" s="102"/>
      <c r="AZ3" s="102"/>
      <c r="BA3" s="102"/>
      <c r="BB3" s="102"/>
      <c r="BC3" s="102"/>
      <c r="BD3" s="102"/>
      <c r="BE3" s="102"/>
      <c r="BF3" s="101"/>
      <c r="BG3" s="101"/>
      <c r="BH3" s="101"/>
      <c r="BI3" s="101"/>
      <c r="BJ3" s="101"/>
      <c r="BK3" s="101"/>
      <c r="BL3" s="101"/>
      <c r="BM3" s="101"/>
      <c r="BN3" s="101"/>
      <c r="BO3" s="101"/>
      <c r="BP3" s="101"/>
      <c r="BQ3" s="101"/>
      <c r="BR3" s="101"/>
      <c r="BS3" s="86"/>
      <c r="BT3" s="86"/>
      <c r="BU3" s="86"/>
      <c r="BV3" s="86"/>
      <c r="BW3" s="86"/>
      <c r="BX3" s="86"/>
      <c r="BY3" s="86"/>
      <c r="BZ3" s="86"/>
      <c r="CA3" s="86"/>
    </row>
    <row r="4" spans="1:137" ht="15.5">
      <c r="A4" s="90"/>
      <c r="B4" s="1"/>
      <c r="C4" s="90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3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101"/>
    </row>
    <row r="5" spans="1:137" ht="15.5">
      <c r="A5" s="90"/>
      <c r="B5" s="1" t="s">
        <v>1</v>
      </c>
      <c r="C5" s="90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4"/>
      <c r="BE5" s="4"/>
      <c r="BF5" s="2"/>
      <c r="BG5" s="2"/>
      <c r="BH5" s="2"/>
      <c r="BI5" s="2"/>
      <c r="BJ5" s="4" t="s">
        <v>254</v>
      </c>
      <c r="BK5" s="2"/>
      <c r="BL5" s="2"/>
      <c r="BM5" s="2"/>
      <c r="BN5" s="2"/>
      <c r="BO5" s="2"/>
      <c r="BP5" s="2"/>
      <c r="BQ5" s="2"/>
      <c r="BR5" s="101"/>
    </row>
    <row r="6" spans="1:137" ht="15.5">
      <c r="A6" s="90"/>
      <c r="B6" s="1"/>
      <c r="C6" s="90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5"/>
      <c r="BF6" s="2"/>
      <c r="BG6" s="2"/>
      <c r="BH6" s="2"/>
      <c r="BI6" s="2"/>
      <c r="BJ6" s="2"/>
      <c r="BK6" s="2"/>
      <c r="BL6" s="2"/>
      <c r="BM6" s="2"/>
      <c r="BN6" s="4"/>
      <c r="BO6" s="250"/>
      <c r="BP6" s="250"/>
      <c r="BQ6" s="2"/>
      <c r="BR6" s="101"/>
    </row>
    <row r="7" spans="1:137" ht="15.5">
      <c r="A7" s="90"/>
      <c r="B7" s="1" t="s">
        <v>173</v>
      </c>
      <c r="C7" s="90"/>
      <c r="D7" s="4">
        <f t="shared" ref="D7:AI7" si="0">SUM(D8:D18)</f>
        <v>13353.272521999999</v>
      </c>
      <c r="E7" s="4">
        <f t="shared" si="0"/>
        <v>15269.615335993711</v>
      </c>
      <c r="F7" s="4">
        <f t="shared" si="0"/>
        <v>14661.346068553456</v>
      </c>
      <c r="G7" s="4">
        <f t="shared" si="0"/>
        <v>15053.833950415594</v>
      </c>
      <c r="H7" s="4">
        <f t="shared" si="0"/>
        <v>16915.69046755222</v>
      </c>
      <c r="I7" s="4">
        <f t="shared" si="0"/>
        <v>18444.357035854311</v>
      </c>
      <c r="J7" s="4">
        <f t="shared" si="0"/>
        <v>17567.800840179283</v>
      </c>
      <c r="K7" s="4">
        <f t="shared" si="0"/>
        <v>15163.151986994559</v>
      </c>
      <c r="L7" s="4">
        <f t="shared" si="0"/>
        <v>16162.992486683142</v>
      </c>
      <c r="M7" s="4">
        <f t="shared" si="0"/>
        <v>16552.613825630469</v>
      </c>
      <c r="N7" s="4">
        <f t="shared" si="0"/>
        <v>20355.720306994641</v>
      </c>
      <c r="O7" s="4">
        <f t="shared" si="0"/>
        <v>17852.679237415414</v>
      </c>
      <c r="P7" s="4">
        <f t="shared" si="0"/>
        <v>18859.763939151522</v>
      </c>
      <c r="Q7" s="4">
        <f t="shared" si="0"/>
        <v>18777.155016524957</v>
      </c>
      <c r="R7" s="4">
        <f t="shared" si="0"/>
        <v>20451.606370045411</v>
      </c>
      <c r="S7" s="4">
        <f t="shared" si="0"/>
        <v>19242.877495678164</v>
      </c>
      <c r="T7" s="4">
        <f t="shared" si="0"/>
        <v>19639.32761249087</v>
      </c>
      <c r="U7" s="4">
        <f t="shared" si="0"/>
        <v>28046.212189266123</v>
      </c>
      <c r="V7" s="4">
        <f t="shared" si="0"/>
        <v>30554.740287968943</v>
      </c>
      <c r="W7" s="4">
        <f t="shared" si="0"/>
        <v>36304.074618440318</v>
      </c>
      <c r="X7" s="4">
        <f t="shared" si="0"/>
        <v>35937.715378308785</v>
      </c>
      <c r="Y7" s="4">
        <f t="shared" si="0"/>
        <v>37090.0180942148</v>
      </c>
      <c r="Z7" s="4">
        <f t="shared" si="0"/>
        <v>68820.146444436366</v>
      </c>
      <c r="AA7" s="4">
        <f t="shared" si="0"/>
        <v>126397.46339454413</v>
      </c>
      <c r="AB7" s="4">
        <f t="shared" si="0"/>
        <v>142874.47404408338</v>
      </c>
      <c r="AC7" s="4">
        <f t="shared" si="0"/>
        <v>184078.83469600973</v>
      </c>
      <c r="AD7" s="4">
        <f t="shared" si="0"/>
        <v>266891.44471509545</v>
      </c>
      <c r="AE7" s="4">
        <f t="shared" si="0"/>
        <v>365522.96198491723</v>
      </c>
      <c r="AF7" s="4">
        <f t="shared" si="0"/>
        <v>303939.75111302413</v>
      </c>
      <c r="AG7" s="4">
        <f t="shared" si="0"/>
        <v>358014.79540837422</v>
      </c>
      <c r="AH7" s="4">
        <f t="shared" si="0"/>
        <v>470854.74460513255</v>
      </c>
      <c r="AI7" s="4">
        <f t="shared" si="0"/>
        <v>406371.37973864959</v>
      </c>
      <c r="AJ7" s="4">
        <f t="shared" ref="AJ7:BO7" si="1">SUM(AJ8:AJ18)</f>
        <v>289449.8717107753</v>
      </c>
      <c r="AK7" s="4">
        <f t="shared" si="1"/>
        <v>363923.05758416868</v>
      </c>
      <c r="AL7" s="4">
        <f t="shared" si="1"/>
        <v>367624.49881022424</v>
      </c>
      <c r="AM7" s="4">
        <f t="shared" si="1"/>
        <v>268315.70744142268</v>
      </c>
      <c r="AN7" s="4">
        <f t="shared" si="1"/>
        <v>284447.75112583762</v>
      </c>
      <c r="AO7" s="4">
        <f t="shared" si="1"/>
        <v>242181.19624793748</v>
      </c>
      <c r="AP7" s="4">
        <f t="shared" si="1"/>
        <v>268120.39640108257</v>
      </c>
      <c r="AQ7" s="4">
        <f t="shared" si="1"/>
        <v>349592.34780732379</v>
      </c>
      <c r="AR7" s="4">
        <f t="shared" si="1"/>
        <v>274204.83949754026</v>
      </c>
      <c r="AS7" s="4">
        <f t="shared" si="1"/>
        <v>312378.52750714822</v>
      </c>
      <c r="AT7" s="4">
        <f t="shared" si="1"/>
        <v>314497.61354203155</v>
      </c>
      <c r="AU7" s="4">
        <f t="shared" si="1"/>
        <v>370840.04419411655</v>
      </c>
      <c r="AV7" s="4">
        <f t="shared" si="1"/>
        <v>370637.12727498764</v>
      </c>
      <c r="AW7" s="4">
        <f t="shared" si="1"/>
        <v>374256.88992269145</v>
      </c>
      <c r="AX7" s="4">
        <f t="shared" si="1"/>
        <v>280711.64905941917</v>
      </c>
      <c r="AY7" s="4">
        <f t="shared" si="1"/>
        <v>213025.84900455576</v>
      </c>
      <c r="AZ7" s="4">
        <f t="shared" si="1"/>
        <v>213217.82666463256</v>
      </c>
      <c r="BA7" s="4">
        <f t="shared" si="1"/>
        <v>201940.98664766477</v>
      </c>
      <c r="BB7" s="4">
        <f t="shared" si="1"/>
        <v>203705.95463807922</v>
      </c>
      <c r="BC7" s="4">
        <f t="shared" si="1"/>
        <v>169142.93491527357</v>
      </c>
      <c r="BD7" s="4">
        <f t="shared" si="1"/>
        <v>490694.0608879581</v>
      </c>
      <c r="BE7" s="4">
        <f t="shared" si="1"/>
        <v>519574.89600819862</v>
      </c>
      <c r="BF7" s="4">
        <f t="shared" si="1"/>
        <v>224973.18902989975</v>
      </c>
      <c r="BG7" s="4">
        <f t="shared" si="1"/>
        <v>199399.51529954025</v>
      </c>
      <c r="BH7" s="4">
        <f t="shared" si="1"/>
        <v>246290.41118112998</v>
      </c>
      <c r="BI7" s="4">
        <f t="shared" si="1"/>
        <v>258490.82914502124</v>
      </c>
      <c r="BJ7" s="4">
        <f t="shared" si="1"/>
        <v>433703.12751134159</v>
      </c>
      <c r="BK7" s="4">
        <f t="shared" si="1"/>
        <v>286575.97749764903</v>
      </c>
      <c r="BL7" s="4">
        <f t="shared" si="1"/>
        <v>432868.61595916905</v>
      </c>
      <c r="BM7" s="4">
        <f>SUM(BM8:BM18)</f>
        <v>363303.1722897985</v>
      </c>
      <c r="BN7" s="4">
        <f t="shared" si="1"/>
        <v>527621.47699900705</v>
      </c>
      <c r="BO7" s="4">
        <f t="shared" si="1"/>
        <v>516501.0725468201</v>
      </c>
      <c r="BP7" s="4">
        <f>SUM(BP8:BP18)</f>
        <v>485340.62476474821</v>
      </c>
      <c r="BQ7" s="4">
        <f>SUM(BQ8:BQ18)</f>
        <v>433068.86526069802</v>
      </c>
      <c r="BR7" s="101"/>
      <c r="CB7" s="6"/>
      <c r="CC7" s="6"/>
      <c r="CD7" s="6"/>
      <c r="CE7" s="6"/>
      <c r="CF7" s="6"/>
      <c r="CG7" s="6"/>
    </row>
    <row r="8" spans="1:137" ht="15.5">
      <c r="A8" s="90"/>
      <c r="B8" s="1" t="s">
        <v>15</v>
      </c>
      <c r="C8" s="90"/>
      <c r="D8" s="4">
        <f t="shared" ref="D8:AI8" si="2">SUMIF($B$67:$B$1313," - IMF",D67:D1313)</f>
        <v>173</v>
      </c>
      <c r="E8" s="4">
        <f t="shared" si="2"/>
        <v>53</v>
      </c>
      <c r="F8" s="4">
        <f t="shared" si="2"/>
        <v>54</v>
      </c>
      <c r="G8" s="4">
        <f t="shared" si="2"/>
        <v>25.3</v>
      </c>
      <c r="H8" s="4">
        <f t="shared" si="2"/>
        <v>211</v>
      </c>
      <c r="I8" s="4">
        <f t="shared" si="2"/>
        <v>188.6</v>
      </c>
      <c r="J8" s="4">
        <f t="shared" si="2"/>
        <v>114.65</v>
      </c>
      <c r="K8" s="4">
        <f t="shared" si="2"/>
        <v>40.15</v>
      </c>
      <c r="L8" s="4">
        <f t="shared" si="2"/>
        <v>16.8</v>
      </c>
      <c r="M8" s="4">
        <f t="shared" si="2"/>
        <v>3.5</v>
      </c>
      <c r="N8" s="4">
        <f t="shared" si="2"/>
        <v>0</v>
      </c>
      <c r="O8" s="4">
        <f t="shared" si="2"/>
        <v>0</v>
      </c>
      <c r="P8" s="4">
        <f t="shared" si="2"/>
        <v>0</v>
      </c>
      <c r="Q8" s="4">
        <f t="shared" si="2"/>
        <v>0</v>
      </c>
      <c r="R8" s="4">
        <f t="shared" si="2"/>
        <v>0</v>
      </c>
      <c r="S8" s="4">
        <f t="shared" si="2"/>
        <v>15</v>
      </c>
      <c r="T8" s="4">
        <f t="shared" si="2"/>
        <v>16</v>
      </c>
      <c r="U8" s="4">
        <f t="shared" si="2"/>
        <v>16</v>
      </c>
      <c r="V8" s="4">
        <f t="shared" si="2"/>
        <v>85.490920791692503</v>
      </c>
      <c r="W8" s="4">
        <f t="shared" si="2"/>
        <v>175.26601625709031</v>
      </c>
      <c r="X8" s="4">
        <f t="shared" si="2"/>
        <v>248.45283306295121</v>
      </c>
      <c r="Y8" s="4">
        <f t="shared" si="2"/>
        <v>75.360295585397054</v>
      </c>
      <c r="Z8" s="4">
        <f t="shared" si="2"/>
        <v>128.14140651444905</v>
      </c>
      <c r="AA8" s="4">
        <f t="shared" si="2"/>
        <v>79.12874046920814</v>
      </c>
      <c r="AB8" s="4">
        <f t="shared" si="2"/>
        <v>996.90661539586972</v>
      </c>
      <c r="AC8" s="4">
        <f t="shared" si="2"/>
        <v>3521.1306801967294</v>
      </c>
      <c r="AD8" s="4">
        <f t="shared" si="2"/>
        <v>5922.9754988077102</v>
      </c>
      <c r="AE8" s="4">
        <f t="shared" si="2"/>
        <v>5978.3103388647169</v>
      </c>
      <c r="AF8" s="4">
        <f t="shared" si="2"/>
        <v>6395.0566783910381</v>
      </c>
      <c r="AG8" s="4">
        <f t="shared" si="2"/>
        <v>6531.8117592740236</v>
      </c>
      <c r="AH8" s="4">
        <f t="shared" si="2"/>
        <v>6534.8799438983115</v>
      </c>
      <c r="AI8" s="4">
        <f t="shared" si="2"/>
        <v>6722.1146665954802</v>
      </c>
      <c r="AJ8" s="4">
        <f t="shared" ref="AJ8:BP8" si="3">SUMIF($B$67:$B$1313," - IMF",AJ67:AJ1313)</f>
        <v>7354.6857866949758</v>
      </c>
      <c r="AK8" s="4">
        <f t="shared" si="3"/>
        <v>7704.0844198455643</v>
      </c>
      <c r="AL8" s="4">
        <f t="shared" si="3"/>
        <v>6583.8043190845219</v>
      </c>
      <c r="AM8" s="4">
        <f t="shared" si="3"/>
        <v>6751.497654564273</v>
      </c>
      <c r="AN8" s="4">
        <f t="shared" si="3"/>
        <v>4536.2567727281921</v>
      </c>
      <c r="AO8" s="4">
        <f t="shared" si="3"/>
        <v>3229.6807796161183</v>
      </c>
      <c r="AP8" s="4">
        <f t="shared" si="3"/>
        <v>3401.4072588868171</v>
      </c>
      <c r="AQ8" s="4">
        <f t="shared" si="3"/>
        <v>3424.864739367174</v>
      </c>
      <c r="AR8" s="4">
        <f t="shared" si="3"/>
        <v>3410.2948002252142</v>
      </c>
      <c r="AS8" s="4">
        <f t="shared" si="3"/>
        <v>3335.4707767947534</v>
      </c>
      <c r="AT8" s="4">
        <f t="shared" si="3"/>
        <v>3580.4864917588784</v>
      </c>
      <c r="AU8" s="4">
        <f t="shared" si="3"/>
        <v>6036.9811708926172</v>
      </c>
      <c r="AV8" s="4">
        <f t="shared" si="3"/>
        <v>3668.9162945914427</v>
      </c>
      <c r="AW8" s="4">
        <f t="shared" si="3"/>
        <v>3275.3568261109967</v>
      </c>
      <c r="AX8" s="4">
        <f t="shared" si="3"/>
        <v>3580.3243812931801</v>
      </c>
      <c r="AY8" s="4">
        <f t="shared" si="3"/>
        <v>3779.0411722598797</v>
      </c>
      <c r="AZ8" s="4">
        <f t="shared" si="3"/>
        <v>3709.9475148145884</v>
      </c>
      <c r="BA8" s="4">
        <f t="shared" si="3"/>
        <v>2446.7668116789264</v>
      </c>
      <c r="BB8" s="4">
        <f t="shared" si="3"/>
        <v>2409.3915535434871</v>
      </c>
      <c r="BC8" s="4">
        <f t="shared" si="3"/>
        <v>2410.8748904400909</v>
      </c>
      <c r="BD8" s="4">
        <f t="shared" si="3"/>
        <v>2409.9250099451615</v>
      </c>
      <c r="BE8" s="4">
        <f t="shared" si="3"/>
        <v>2417.5754401341019</v>
      </c>
      <c r="BF8" s="4">
        <f t="shared" si="3"/>
        <v>2276.0027869955934</v>
      </c>
      <c r="BG8" s="4">
        <f t="shared" si="3"/>
        <v>4400.220368485061</v>
      </c>
      <c r="BH8" s="4">
        <f t="shared" si="3"/>
        <v>2113.8344717907876</v>
      </c>
      <c r="BI8" s="4">
        <f t="shared" si="3"/>
        <v>2069.049578196225</v>
      </c>
      <c r="BJ8" s="4">
        <f t="shared" si="3"/>
        <v>2037.8947199999998</v>
      </c>
      <c r="BK8" s="4">
        <f t="shared" si="3"/>
        <v>2034.3881200000001</v>
      </c>
      <c r="BL8" s="4">
        <f t="shared" si="3"/>
        <v>2120.8944000000001</v>
      </c>
      <c r="BM8" s="4">
        <f t="shared" si="3"/>
        <v>1349.6246369999999</v>
      </c>
      <c r="BN8" s="4">
        <f t="shared" si="3"/>
        <v>1900.2608180201541</v>
      </c>
      <c r="BO8" s="4">
        <f t="shared" si="3"/>
        <v>0</v>
      </c>
      <c r="BP8" s="4">
        <f t="shared" si="3"/>
        <v>0</v>
      </c>
      <c r="BQ8" s="4">
        <f>SUMIF($B$67:$B$1313," - IMF",BQ67:BQ1313)</f>
        <v>0</v>
      </c>
      <c r="BR8" s="101"/>
    </row>
    <row r="9" spans="1:137" ht="15.5">
      <c r="A9" s="90"/>
      <c r="B9" s="1" t="s">
        <v>184</v>
      </c>
      <c r="C9" s="90"/>
      <c r="D9" s="4">
        <f t="shared" ref="D9:AI9" si="4">SUMIF($B$67:$B$1313," - IBRD",D67:D1313)</f>
        <v>0</v>
      </c>
      <c r="E9" s="4">
        <f t="shared" si="4"/>
        <v>0</v>
      </c>
      <c r="F9" s="4">
        <f t="shared" si="4"/>
        <v>0</v>
      </c>
      <c r="G9" s="4">
        <f t="shared" si="4"/>
        <v>0</v>
      </c>
      <c r="H9" s="4">
        <f t="shared" si="4"/>
        <v>0</v>
      </c>
      <c r="I9" s="4">
        <f t="shared" si="4"/>
        <v>0</v>
      </c>
      <c r="J9" s="4">
        <f t="shared" si="4"/>
        <v>0</v>
      </c>
      <c r="K9" s="4">
        <f t="shared" si="4"/>
        <v>30</v>
      </c>
      <c r="L9" s="4">
        <f t="shared" si="4"/>
        <v>1</v>
      </c>
      <c r="M9" s="4">
        <f t="shared" si="4"/>
        <v>0</v>
      </c>
      <c r="N9" s="4">
        <f t="shared" si="4"/>
        <v>0</v>
      </c>
      <c r="O9" s="4">
        <f t="shared" si="4"/>
        <v>0</v>
      </c>
      <c r="P9" s="4">
        <f t="shared" si="4"/>
        <v>0</v>
      </c>
      <c r="Q9" s="4">
        <f t="shared" si="4"/>
        <v>0</v>
      </c>
      <c r="R9" s="4">
        <f t="shared" si="4"/>
        <v>0</v>
      </c>
      <c r="S9" s="4">
        <f t="shared" si="4"/>
        <v>0</v>
      </c>
      <c r="T9" s="4">
        <f t="shared" si="4"/>
        <v>0.3</v>
      </c>
      <c r="U9" s="4">
        <f t="shared" si="4"/>
        <v>0</v>
      </c>
      <c r="V9" s="4">
        <f t="shared" si="4"/>
        <v>0</v>
      </c>
      <c r="W9" s="4">
        <f t="shared" si="4"/>
        <v>0</v>
      </c>
      <c r="X9" s="4">
        <f t="shared" si="4"/>
        <v>0</v>
      </c>
      <c r="Y9" s="4">
        <f t="shared" si="4"/>
        <v>0</v>
      </c>
      <c r="Z9" s="4">
        <f t="shared" si="4"/>
        <v>0</v>
      </c>
      <c r="AA9" s="4">
        <f t="shared" si="4"/>
        <v>0</v>
      </c>
      <c r="AB9" s="4">
        <f t="shared" si="4"/>
        <v>0</v>
      </c>
      <c r="AC9" s="4">
        <f t="shared" si="4"/>
        <v>24</v>
      </c>
      <c r="AD9" s="4">
        <f t="shared" si="4"/>
        <v>48</v>
      </c>
      <c r="AE9" s="4">
        <f t="shared" si="4"/>
        <v>250</v>
      </c>
      <c r="AF9" s="4">
        <f t="shared" si="4"/>
        <v>697</v>
      </c>
      <c r="AG9" s="4">
        <f t="shared" si="4"/>
        <v>810</v>
      </c>
      <c r="AH9" s="4">
        <f t="shared" si="4"/>
        <v>2029.3</v>
      </c>
      <c r="AI9" s="4">
        <f t="shared" si="4"/>
        <v>1867</v>
      </c>
      <c r="AJ9" s="4">
        <f t="shared" ref="AJ9:BQ9" si="5">SUMIF($B$67:$B$1313," - IBRD",AJ67:AJ1313)</f>
        <v>2001.65</v>
      </c>
      <c r="AK9" s="4">
        <f t="shared" si="5"/>
        <v>1342</v>
      </c>
      <c r="AL9" s="4">
        <f t="shared" si="5"/>
        <v>1664</v>
      </c>
      <c r="AM9" s="4">
        <f t="shared" si="5"/>
        <v>2730</v>
      </c>
      <c r="AN9" s="4">
        <f t="shared" si="5"/>
        <v>2658</v>
      </c>
      <c r="AO9" s="4">
        <f t="shared" si="5"/>
        <v>2786</v>
      </c>
      <c r="AP9" s="4">
        <f t="shared" si="5"/>
        <v>2648</v>
      </c>
      <c r="AQ9" s="4">
        <f t="shared" si="5"/>
        <v>2836</v>
      </c>
      <c r="AR9" s="4">
        <f t="shared" si="5"/>
        <v>2928</v>
      </c>
      <c r="AS9" s="4">
        <f t="shared" si="5"/>
        <v>2367</v>
      </c>
      <c r="AT9" s="4">
        <f t="shared" si="5"/>
        <v>1512.2</v>
      </c>
      <c r="AU9" s="4">
        <f t="shared" si="5"/>
        <v>1441</v>
      </c>
      <c r="AV9" s="4">
        <f t="shared" si="5"/>
        <v>229</v>
      </c>
      <c r="AW9" s="4">
        <f t="shared" si="5"/>
        <v>829</v>
      </c>
      <c r="AX9" s="4">
        <f t="shared" si="5"/>
        <v>1019</v>
      </c>
      <c r="AY9" s="4">
        <f t="shared" si="5"/>
        <v>1186</v>
      </c>
      <c r="AZ9" s="4">
        <f t="shared" si="5"/>
        <v>795</v>
      </c>
      <c r="BA9" s="4">
        <f t="shared" si="5"/>
        <v>565</v>
      </c>
      <c r="BB9" s="4">
        <f t="shared" si="5"/>
        <v>631</v>
      </c>
      <c r="BC9" s="4">
        <f t="shared" si="5"/>
        <v>701</v>
      </c>
      <c r="BD9" s="4">
        <f t="shared" si="5"/>
        <v>761</v>
      </c>
      <c r="BE9" s="4">
        <f t="shared" si="5"/>
        <v>888</v>
      </c>
      <c r="BF9" s="4">
        <f t="shared" si="5"/>
        <v>852</v>
      </c>
      <c r="BG9" s="4">
        <f t="shared" si="5"/>
        <v>873</v>
      </c>
      <c r="BH9" s="4">
        <f t="shared" si="5"/>
        <v>896</v>
      </c>
      <c r="BI9" s="4">
        <f t="shared" si="5"/>
        <v>919</v>
      </c>
      <c r="BJ9" s="4">
        <f t="shared" si="5"/>
        <v>954</v>
      </c>
      <c r="BK9" s="4">
        <f t="shared" si="5"/>
        <v>988</v>
      </c>
      <c r="BL9" s="4">
        <f t="shared" si="5"/>
        <v>1015</v>
      </c>
      <c r="BM9" s="4">
        <f t="shared" si="5"/>
        <v>1042.93</v>
      </c>
      <c r="BN9" s="4">
        <f t="shared" si="5"/>
        <v>1192.3869999999999</v>
      </c>
      <c r="BO9" s="4">
        <f t="shared" si="5"/>
        <v>1391</v>
      </c>
      <c r="BP9" s="4">
        <f t="shared" si="5"/>
        <v>1625</v>
      </c>
      <c r="BQ9" s="4">
        <f t="shared" si="5"/>
        <v>1811</v>
      </c>
      <c r="BR9" s="101"/>
    </row>
    <row r="10" spans="1:137" ht="15.5">
      <c r="A10" s="90"/>
      <c r="B10" s="1" t="s">
        <v>202</v>
      </c>
      <c r="C10" s="90"/>
      <c r="D10" s="4">
        <f t="shared" ref="D10:AI10" si="6">SUMIF($B$67:$B$1313," - IDA",D67:D1313)</f>
        <v>0</v>
      </c>
      <c r="E10" s="4">
        <f t="shared" si="6"/>
        <v>0</v>
      </c>
      <c r="F10" s="4">
        <f t="shared" si="6"/>
        <v>0</v>
      </c>
      <c r="G10" s="4">
        <f t="shared" si="6"/>
        <v>0</v>
      </c>
      <c r="H10" s="4">
        <f t="shared" si="6"/>
        <v>0</v>
      </c>
      <c r="I10" s="4">
        <f t="shared" si="6"/>
        <v>0</v>
      </c>
      <c r="J10" s="4">
        <f t="shared" si="6"/>
        <v>0</v>
      </c>
      <c r="K10" s="4">
        <f t="shared" si="6"/>
        <v>0</v>
      </c>
      <c r="L10" s="4">
        <f t="shared" si="6"/>
        <v>0</v>
      </c>
      <c r="M10" s="4">
        <f t="shared" si="6"/>
        <v>0</v>
      </c>
      <c r="N10" s="4">
        <f t="shared" si="6"/>
        <v>0</v>
      </c>
      <c r="O10" s="4">
        <f t="shared" si="6"/>
        <v>0</v>
      </c>
      <c r="P10" s="4">
        <f t="shared" si="6"/>
        <v>0</v>
      </c>
      <c r="Q10" s="4">
        <f t="shared" si="6"/>
        <v>0</v>
      </c>
      <c r="R10" s="4">
        <f t="shared" si="6"/>
        <v>0</v>
      </c>
      <c r="S10" s="4">
        <f t="shared" si="6"/>
        <v>0</v>
      </c>
      <c r="T10" s="4">
        <f t="shared" si="6"/>
        <v>0</v>
      </c>
      <c r="U10" s="4">
        <f t="shared" si="6"/>
        <v>0</v>
      </c>
      <c r="V10" s="4">
        <f t="shared" si="6"/>
        <v>0</v>
      </c>
      <c r="W10" s="4">
        <f t="shared" si="6"/>
        <v>0</v>
      </c>
      <c r="X10" s="4">
        <f t="shared" si="6"/>
        <v>0</v>
      </c>
      <c r="Y10" s="4">
        <f t="shared" si="6"/>
        <v>1</v>
      </c>
      <c r="Z10" s="4">
        <f t="shared" si="6"/>
        <v>1</v>
      </c>
      <c r="AA10" s="4">
        <f t="shared" si="6"/>
        <v>1</v>
      </c>
      <c r="AB10" s="4">
        <f t="shared" si="6"/>
        <v>2</v>
      </c>
      <c r="AC10" s="4">
        <f t="shared" si="6"/>
        <v>0</v>
      </c>
      <c r="AD10" s="4">
        <f t="shared" si="6"/>
        <v>0</v>
      </c>
      <c r="AE10" s="4">
        <f t="shared" si="6"/>
        <v>1</v>
      </c>
      <c r="AF10" s="4">
        <f t="shared" si="6"/>
        <v>13</v>
      </c>
      <c r="AG10" s="4">
        <f t="shared" si="6"/>
        <v>10.372</v>
      </c>
      <c r="AH10" s="4">
        <f t="shared" si="6"/>
        <v>29</v>
      </c>
      <c r="AI10" s="4">
        <f t="shared" si="6"/>
        <v>18</v>
      </c>
      <c r="AJ10" s="4">
        <f t="shared" ref="AJ10:BP10" si="7">SUMIF($B$67:$B$1313," - IDA",AJ67:AJ1313)</f>
        <v>24</v>
      </c>
      <c r="AK10" s="4">
        <f t="shared" si="7"/>
        <v>49</v>
      </c>
      <c r="AL10" s="4">
        <f t="shared" si="7"/>
        <v>110</v>
      </c>
      <c r="AM10" s="4">
        <f t="shared" si="7"/>
        <v>131</v>
      </c>
      <c r="AN10" s="4">
        <f t="shared" si="7"/>
        <v>181</v>
      </c>
      <c r="AO10" s="4">
        <f t="shared" si="7"/>
        <v>238</v>
      </c>
      <c r="AP10" s="4">
        <f t="shared" si="7"/>
        <v>287</v>
      </c>
      <c r="AQ10" s="4">
        <f t="shared" si="7"/>
        <v>379</v>
      </c>
      <c r="AR10" s="4">
        <f t="shared" si="7"/>
        <v>469</v>
      </c>
      <c r="AS10" s="4">
        <f t="shared" si="7"/>
        <v>547</v>
      </c>
      <c r="AT10" s="4">
        <f t="shared" si="7"/>
        <v>694</v>
      </c>
      <c r="AU10" s="4">
        <f t="shared" si="7"/>
        <v>597</v>
      </c>
      <c r="AV10" s="4">
        <f t="shared" si="7"/>
        <v>751</v>
      </c>
      <c r="AW10" s="4">
        <f t="shared" si="7"/>
        <v>877</v>
      </c>
      <c r="AX10" s="4">
        <f t="shared" si="7"/>
        <v>1053</v>
      </c>
      <c r="AY10" s="4">
        <f t="shared" si="7"/>
        <v>1213</v>
      </c>
      <c r="AZ10" s="4">
        <f t="shared" si="7"/>
        <v>1066</v>
      </c>
      <c r="BA10" s="4">
        <f t="shared" si="7"/>
        <v>1149</v>
      </c>
      <c r="BB10" s="4">
        <f t="shared" si="7"/>
        <v>1265</v>
      </c>
      <c r="BC10" s="4">
        <f t="shared" si="7"/>
        <v>1414</v>
      </c>
      <c r="BD10" s="4">
        <f t="shared" si="7"/>
        <v>1509</v>
      </c>
      <c r="BE10" s="4">
        <f t="shared" si="7"/>
        <v>1215</v>
      </c>
      <c r="BF10" s="4">
        <f t="shared" si="7"/>
        <v>1348</v>
      </c>
      <c r="BG10" s="4">
        <f t="shared" si="7"/>
        <v>1366</v>
      </c>
      <c r="BH10" s="4">
        <f t="shared" si="7"/>
        <v>1460</v>
      </c>
      <c r="BI10" s="4">
        <f t="shared" si="7"/>
        <v>1554</v>
      </c>
      <c r="BJ10" s="4">
        <f t="shared" si="7"/>
        <v>1671</v>
      </c>
      <c r="BK10" s="4">
        <f t="shared" si="7"/>
        <v>1762</v>
      </c>
      <c r="BL10" s="4">
        <f t="shared" si="7"/>
        <v>1879</v>
      </c>
      <c r="BM10" s="4">
        <f t="shared" si="7"/>
        <v>1628</v>
      </c>
      <c r="BN10" s="4">
        <f t="shared" si="7"/>
        <v>607.70000000000005</v>
      </c>
      <c r="BO10" s="4">
        <f t="shared" si="7"/>
        <v>603</v>
      </c>
      <c r="BP10" s="4">
        <f t="shared" si="7"/>
        <v>625</v>
      </c>
      <c r="BQ10" s="4">
        <f>SUMIF($B$67:$B$1313," - IDA",BQ67:BQ1313)</f>
        <v>708</v>
      </c>
      <c r="BR10" s="101"/>
    </row>
    <row r="11" spans="1:137" ht="15.5">
      <c r="A11" s="90"/>
      <c r="B11" s="1" t="s">
        <v>238</v>
      </c>
      <c r="C11" s="90"/>
      <c r="D11" s="4">
        <f t="shared" ref="D11:AI11" si="8">SUMIF($B$67:$B$1313," - IADB",D67:D1313)</f>
        <v>0</v>
      </c>
      <c r="E11" s="4">
        <f t="shared" si="8"/>
        <v>0</v>
      </c>
      <c r="F11" s="4">
        <f t="shared" si="8"/>
        <v>0</v>
      </c>
      <c r="G11" s="4">
        <f t="shared" si="8"/>
        <v>0</v>
      </c>
      <c r="H11" s="4">
        <f t="shared" si="8"/>
        <v>0</v>
      </c>
      <c r="I11" s="4">
        <f t="shared" si="8"/>
        <v>0</v>
      </c>
      <c r="J11" s="4">
        <f t="shared" si="8"/>
        <v>0</v>
      </c>
      <c r="K11" s="4">
        <f t="shared" si="8"/>
        <v>0</v>
      </c>
      <c r="L11" s="4">
        <f t="shared" si="8"/>
        <v>0</v>
      </c>
      <c r="M11" s="4">
        <f t="shared" si="8"/>
        <v>0</v>
      </c>
      <c r="N11" s="4">
        <f t="shared" si="8"/>
        <v>0</v>
      </c>
      <c r="O11" s="4">
        <f t="shared" si="8"/>
        <v>0</v>
      </c>
      <c r="P11" s="4">
        <f t="shared" si="8"/>
        <v>0</v>
      </c>
      <c r="Q11" s="4">
        <f t="shared" si="8"/>
        <v>0</v>
      </c>
      <c r="R11" s="4">
        <f t="shared" si="8"/>
        <v>0</v>
      </c>
      <c r="S11" s="4">
        <f t="shared" si="8"/>
        <v>0</v>
      </c>
      <c r="T11" s="4">
        <f t="shared" si="8"/>
        <v>0</v>
      </c>
      <c r="U11" s="4">
        <f t="shared" si="8"/>
        <v>0</v>
      </c>
      <c r="V11" s="4">
        <f t="shared" si="8"/>
        <v>0</v>
      </c>
      <c r="W11" s="4">
        <f t="shared" si="8"/>
        <v>0</v>
      </c>
      <c r="X11" s="4">
        <f t="shared" si="8"/>
        <v>0</v>
      </c>
      <c r="Y11" s="4">
        <f t="shared" si="8"/>
        <v>0</v>
      </c>
      <c r="Z11" s="4">
        <f t="shared" si="8"/>
        <v>0</v>
      </c>
      <c r="AA11" s="4">
        <f t="shared" si="8"/>
        <v>0</v>
      </c>
      <c r="AB11" s="4">
        <f t="shared" si="8"/>
        <v>0</v>
      </c>
      <c r="AC11" s="4">
        <f t="shared" si="8"/>
        <v>0</v>
      </c>
      <c r="AD11" s="4">
        <f t="shared" si="8"/>
        <v>0</v>
      </c>
      <c r="AE11" s="4">
        <f t="shared" si="8"/>
        <v>0</v>
      </c>
      <c r="AF11" s="4">
        <f t="shared" si="8"/>
        <v>105</v>
      </c>
      <c r="AG11" s="4">
        <f t="shared" si="8"/>
        <v>652</v>
      </c>
      <c r="AH11" s="4">
        <f t="shared" si="8"/>
        <v>1171</v>
      </c>
      <c r="AI11" s="4">
        <f t="shared" si="8"/>
        <v>1072</v>
      </c>
      <c r="AJ11" s="4">
        <f t="shared" ref="AJ11:BP11" si="9">SUMIF($B$67:$B$1313," - IADB",AJ67:AJ1313)</f>
        <v>11.6</v>
      </c>
      <c r="AK11" s="4">
        <f t="shared" si="9"/>
        <v>13</v>
      </c>
      <c r="AL11" s="4">
        <f t="shared" si="9"/>
        <v>0</v>
      </c>
      <c r="AM11" s="4">
        <f t="shared" si="9"/>
        <v>0</v>
      </c>
      <c r="AN11" s="4">
        <f t="shared" si="9"/>
        <v>0</v>
      </c>
      <c r="AO11" s="4">
        <f t="shared" si="9"/>
        <v>0</v>
      </c>
      <c r="AP11" s="4">
        <f t="shared" si="9"/>
        <v>0</v>
      </c>
      <c r="AQ11" s="4">
        <f t="shared" si="9"/>
        <v>27</v>
      </c>
      <c r="AR11" s="4">
        <f t="shared" si="9"/>
        <v>27</v>
      </c>
      <c r="AS11" s="4">
        <f t="shared" si="9"/>
        <v>0</v>
      </c>
      <c r="AT11" s="4">
        <f t="shared" si="9"/>
        <v>10.1</v>
      </c>
      <c r="AU11" s="4">
        <f t="shared" si="9"/>
        <v>0</v>
      </c>
      <c r="AV11" s="4">
        <f t="shared" si="9"/>
        <v>0</v>
      </c>
      <c r="AW11" s="4">
        <f t="shared" si="9"/>
        <v>0</v>
      </c>
      <c r="AX11" s="4">
        <f t="shared" si="9"/>
        <v>0</v>
      </c>
      <c r="AY11" s="4">
        <f t="shared" si="9"/>
        <v>0</v>
      </c>
      <c r="AZ11" s="4">
        <f t="shared" si="9"/>
        <v>0</v>
      </c>
      <c r="BA11" s="4">
        <f t="shared" si="9"/>
        <v>0</v>
      </c>
      <c r="BB11" s="4">
        <f t="shared" si="9"/>
        <v>0</v>
      </c>
      <c r="BC11" s="4">
        <f t="shared" si="9"/>
        <v>0</v>
      </c>
      <c r="BD11" s="4">
        <f t="shared" si="9"/>
        <v>0</v>
      </c>
      <c r="BE11" s="4">
        <f t="shared" si="9"/>
        <v>0</v>
      </c>
      <c r="BF11" s="4">
        <f t="shared" si="9"/>
        <v>0</v>
      </c>
      <c r="BG11" s="4">
        <f t="shared" si="9"/>
        <v>0</v>
      </c>
      <c r="BH11" s="4">
        <f t="shared" si="9"/>
        <v>0</v>
      </c>
      <c r="BI11" s="4">
        <f t="shared" si="9"/>
        <v>0</v>
      </c>
      <c r="BJ11" s="4">
        <f t="shared" si="9"/>
        <v>2091</v>
      </c>
      <c r="BK11" s="4">
        <f t="shared" si="9"/>
        <v>2173</v>
      </c>
      <c r="BL11" s="4">
        <f t="shared" si="9"/>
        <v>2232</v>
      </c>
      <c r="BM11" s="4">
        <f t="shared" si="9"/>
        <v>2283</v>
      </c>
      <c r="BN11" s="4">
        <f t="shared" si="9"/>
        <v>2361</v>
      </c>
      <c r="BO11" s="4">
        <f t="shared" si="9"/>
        <v>2487</v>
      </c>
      <c r="BP11" s="4">
        <f t="shared" si="9"/>
        <v>2514</v>
      </c>
      <c r="BQ11" s="4">
        <f>SUMIF($B$67:$B$1313," - IADB",BQ67:BQ1313)</f>
        <v>2641</v>
      </c>
      <c r="BR11" s="101"/>
    </row>
    <row r="12" spans="1:137" ht="15.5">
      <c r="A12" s="90"/>
      <c r="B12" s="1" t="s">
        <v>2</v>
      </c>
      <c r="C12" s="90"/>
      <c r="D12" s="4">
        <f t="shared" ref="D12:AI12" si="10">SUMIF($B$67:$B$1313," - Paris Club",D67:D1313)</f>
        <v>0</v>
      </c>
      <c r="E12" s="4">
        <f t="shared" si="10"/>
        <v>300</v>
      </c>
      <c r="F12" s="4">
        <f t="shared" si="10"/>
        <v>270</v>
      </c>
      <c r="G12" s="4">
        <f t="shared" si="10"/>
        <v>0</v>
      </c>
      <c r="H12" s="4">
        <f t="shared" si="10"/>
        <v>270</v>
      </c>
      <c r="I12" s="4">
        <f t="shared" si="10"/>
        <v>297</v>
      </c>
      <c r="J12" s="4">
        <f t="shared" si="10"/>
        <v>480</v>
      </c>
      <c r="K12" s="4">
        <f t="shared" si="10"/>
        <v>110</v>
      </c>
      <c r="L12" s="4">
        <f t="shared" si="10"/>
        <v>484</v>
      </c>
      <c r="M12" s="4">
        <f t="shared" si="10"/>
        <v>859</v>
      </c>
      <c r="N12" s="4">
        <f t="shared" si="10"/>
        <v>2112</v>
      </c>
      <c r="O12" s="4">
        <f t="shared" si="10"/>
        <v>0</v>
      </c>
      <c r="P12" s="4">
        <f t="shared" si="10"/>
        <v>499</v>
      </c>
      <c r="Q12" s="4">
        <f t="shared" si="10"/>
        <v>239</v>
      </c>
      <c r="R12" s="4">
        <f t="shared" si="10"/>
        <v>1304</v>
      </c>
      <c r="S12" s="4">
        <f t="shared" si="10"/>
        <v>242</v>
      </c>
      <c r="T12" s="4">
        <f t="shared" si="10"/>
        <v>326.08908780903664</v>
      </c>
      <c r="U12" s="4">
        <f t="shared" si="10"/>
        <v>328.20376629647512</v>
      </c>
      <c r="V12" s="4">
        <f t="shared" si="10"/>
        <v>3100.7052689352358</v>
      </c>
      <c r="W12" s="4">
        <f t="shared" si="10"/>
        <v>3304.1325160537071</v>
      </c>
      <c r="X12" s="4">
        <f t="shared" si="10"/>
        <v>3821.8354430379745</v>
      </c>
      <c r="Y12" s="4">
        <f t="shared" si="10"/>
        <v>3778.0625</v>
      </c>
      <c r="Z12" s="4">
        <f t="shared" si="10"/>
        <v>1090.8078512396694</v>
      </c>
      <c r="AA12" s="4">
        <f t="shared" si="10"/>
        <v>9999.0420543201635</v>
      </c>
      <c r="AB12" s="4">
        <f t="shared" si="10"/>
        <v>14996.55393992632</v>
      </c>
      <c r="AC12" s="4">
        <f t="shared" si="10"/>
        <v>17527.079102308886</v>
      </c>
      <c r="AD12" s="4">
        <f t="shared" si="10"/>
        <v>23925.832607614713</v>
      </c>
      <c r="AE12" s="4">
        <f t="shared" si="10"/>
        <v>35204.847677106554</v>
      </c>
      <c r="AF12" s="4">
        <f t="shared" si="10"/>
        <v>20024.015680501496</v>
      </c>
      <c r="AG12" s="4">
        <f t="shared" si="10"/>
        <v>28764.960731619212</v>
      </c>
      <c r="AH12" s="4">
        <f t="shared" si="10"/>
        <v>48053.364042632507</v>
      </c>
      <c r="AI12" s="4">
        <f t="shared" si="10"/>
        <v>99965.758663924149</v>
      </c>
      <c r="AJ12" s="4">
        <f t="shared" ref="AJ12:BP12" si="11">SUMIF($B$67:$B$1313," - Paris Club",AJ67:AJ1313)</f>
        <v>52399.746536509992</v>
      </c>
      <c r="AK12" s="4">
        <f t="shared" si="11"/>
        <v>55079.070833006619</v>
      </c>
      <c r="AL12" s="4">
        <f t="shared" si="11"/>
        <v>65773.019508316167</v>
      </c>
      <c r="AM12" s="4">
        <f t="shared" si="11"/>
        <v>81086.481611135183</v>
      </c>
      <c r="AN12" s="4">
        <f t="shared" si="11"/>
        <v>110211.46380509672</v>
      </c>
      <c r="AO12" s="4">
        <f t="shared" si="11"/>
        <v>57563.567064809875</v>
      </c>
      <c r="AP12" s="4">
        <f t="shared" si="11"/>
        <v>59246.145588484171</v>
      </c>
      <c r="AQ12" s="4">
        <f t="shared" si="11"/>
        <v>70759.847934534453</v>
      </c>
      <c r="AR12" s="4">
        <f t="shared" si="11"/>
        <v>96940.827953571716</v>
      </c>
      <c r="AS12" s="4">
        <f t="shared" si="11"/>
        <v>109102.92547292286</v>
      </c>
      <c r="AT12" s="4">
        <f t="shared" si="11"/>
        <v>109348.07076590088</v>
      </c>
      <c r="AU12" s="4">
        <f t="shared" si="11"/>
        <v>93647.12012973144</v>
      </c>
      <c r="AV12" s="4">
        <f t="shared" si="11"/>
        <v>105199.35991268785</v>
      </c>
      <c r="AW12" s="4">
        <f t="shared" si="11"/>
        <v>92113.115132320119</v>
      </c>
      <c r="AX12" s="4">
        <f t="shared" si="11"/>
        <v>47869.051659550438</v>
      </c>
      <c r="AY12" s="4">
        <f t="shared" si="11"/>
        <v>51426.431649579754</v>
      </c>
      <c r="AZ12" s="4">
        <f t="shared" si="11"/>
        <v>57538.796734500007</v>
      </c>
      <c r="BA12" s="4">
        <f t="shared" si="11"/>
        <v>49098.952325699996</v>
      </c>
      <c r="BB12" s="4">
        <f t="shared" si="11"/>
        <v>53859.743114000004</v>
      </c>
      <c r="BC12" s="4">
        <f t="shared" si="11"/>
        <v>48201.1234855</v>
      </c>
      <c r="BD12" s="4">
        <f t="shared" si="11"/>
        <v>53607.862681400002</v>
      </c>
      <c r="BE12" s="4">
        <f t="shared" si="11"/>
        <v>44631.7</v>
      </c>
      <c r="BF12" s="4">
        <f t="shared" si="11"/>
        <v>44505.3</v>
      </c>
      <c r="BG12" s="4">
        <f t="shared" si="11"/>
        <v>36521.961190200003</v>
      </c>
      <c r="BH12" s="4">
        <f t="shared" si="11"/>
        <v>37766.199999999997</v>
      </c>
      <c r="BI12" s="4">
        <f t="shared" si="11"/>
        <v>40237.142457199996</v>
      </c>
      <c r="BJ12" s="4">
        <f t="shared" si="11"/>
        <v>40848.963771199997</v>
      </c>
      <c r="BK12" s="4">
        <f t="shared" si="11"/>
        <v>42062.6</v>
      </c>
      <c r="BL12" s="4">
        <f t="shared" si="11"/>
        <v>46871.411999999997</v>
      </c>
      <c r="BM12" s="4">
        <f t="shared" si="11"/>
        <v>46920.991093600001</v>
      </c>
      <c r="BN12" s="4">
        <f t="shared" si="11"/>
        <v>56886.387000000002</v>
      </c>
      <c r="BO12" s="4">
        <f t="shared" si="11"/>
        <v>58138</v>
      </c>
      <c r="BP12" s="4">
        <f t="shared" si="11"/>
        <v>48900.831478537366</v>
      </c>
      <c r="BQ12" s="4">
        <f>SUMIF($B$67:$B$1313," - Paris Club",BQ67:BQ1313)</f>
        <v>43290</v>
      </c>
      <c r="BR12" s="101"/>
    </row>
    <row r="13" spans="1:137" ht="15.5">
      <c r="A13" s="90"/>
      <c r="B13" s="1" t="s">
        <v>205</v>
      </c>
      <c r="C13" s="90"/>
      <c r="D13" s="4">
        <f t="shared" ref="D13:AI13" si="12">SUMIF($B$67:$B$1313," - China",D67:D1313)</f>
        <v>0</v>
      </c>
      <c r="E13" s="4">
        <f t="shared" si="12"/>
        <v>0</v>
      </c>
      <c r="F13" s="4">
        <f t="shared" si="12"/>
        <v>0</v>
      </c>
      <c r="G13" s="4">
        <f t="shared" si="12"/>
        <v>0</v>
      </c>
      <c r="H13" s="4">
        <f t="shared" si="12"/>
        <v>0</v>
      </c>
      <c r="I13" s="4">
        <f t="shared" si="12"/>
        <v>0</v>
      </c>
      <c r="J13" s="4">
        <f t="shared" si="12"/>
        <v>0</v>
      </c>
      <c r="K13" s="4">
        <f t="shared" si="12"/>
        <v>150</v>
      </c>
      <c r="L13" s="4">
        <f t="shared" si="12"/>
        <v>153</v>
      </c>
      <c r="M13" s="4">
        <f t="shared" si="12"/>
        <v>156</v>
      </c>
      <c r="N13" s="4">
        <f t="shared" si="12"/>
        <v>159</v>
      </c>
      <c r="O13" s="4">
        <f t="shared" si="12"/>
        <v>164.1771119</v>
      </c>
      <c r="P13" s="4">
        <f t="shared" si="12"/>
        <v>169.00585860000001</v>
      </c>
      <c r="Q13" s="4">
        <f t="shared" si="12"/>
        <v>188.86428470000001</v>
      </c>
      <c r="R13" s="4">
        <f t="shared" si="12"/>
        <v>200.78947170000001</v>
      </c>
      <c r="S13" s="4">
        <f t="shared" si="12"/>
        <v>206.3826085</v>
      </c>
      <c r="T13" s="4">
        <f t="shared" si="12"/>
        <v>212.4770896</v>
      </c>
      <c r="U13" s="4">
        <f t="shared" si="12"/>
        <v>226.33186929999999</v>
      </c>
      <c r="V13" s="4">
        <f t="shared" si="12"/>
        <v>239.81160850000001</v>
      </c>
      <c r="W13" s="4">
        <f t="shared" si="12"/>
        <v>244.34836920000001</v>
      </c>
      <c r="X13" s="4">
        <f t="shared" si="12"/>
        <v>201.09124660000001</v>
      </c>
      <c r="Y13" s="4">
        <f t="shared" si="12"/>
        <v>208.83628469999999</v>
      </c>
      <c r="Z13" s="4">
        <f t="shared" si="12"/>
        <v>234.48769040000002</v>
      </c>
      <c r="AA13" s="4">
        <f t="shared" si="12"/>
        <v>278.41913969999996</v>
      </c>
      <c r="AB13" s="4">
        <f t="shared" si="12"/>
        <v>412.93689489999997</v>
      </c>
      <c r="AC13" s="4">
        <f t="shared" si="12"/>
        <v>530.09371190000002</v>
      </c>
      <c r="AD13" s="4">
        <f t="shared" si="12"/>
        <v>561.41837750000013</v>
      </c>
      <c r="AE13" s="4">
        <f t="shared" si="12"/>
        <v>609.25925730000006</v>
      </c>
      <c r="AF13" s="4">
        <f t="shared" si="12"/>
        <v>580.21426280000003</v>
      </c>
      <c r="AG13" s="4">
        <f t="shared" si="12"/>
        <v>919.36112309999999</v>
      </c>
      <c r="AH13" s="4">
        <f t="shared" si="12"/>
        <v>942.50790659999996</v>
      </c>
      <c r="AI13" s="4">
        <f t="shared" si="12"/>
        <v>777.39961759999994</v>
      </c>
      <c r="AJ13" s="4">
        <f t="shared" ref="AJ13:BP13" si="13">SUMIF($B$67:$B$1313," - China",AJ67:AJ1313)</f>
        <v>915.23405430000003</v>
      </c>
      <c r="AK13" s="4">
        <f t="shared" si="13"/>
        <v>955.41356950000011</v>
      </c>
      <c r="AL13" s="4">
        <f t="shared" si="13"/>
        <v>901.30806829999983</v>
      </c>
      <c r="AM13" s="4">
        <f t="shared" si="13"/>
        <v>823.59203120000018</v>
      </c>
      <c r="AN13" s="4">
        <f t="shared" si="13"/>
        <v>884.9338446999999</v>
      </c>
      <c r="AO13" s="4">
        <f t="shared" si="13"/>
        <v>1021.6943463720818</v>
      </c>
      <c r="AP13" s="4">
        <f t="shared" si="13"/>
        <v>1078.2504219236714</v>
      </c>
      <c r="AQ13" s="4">
        <f t="shared" si="13"/>
        <v>1082.4398613000001</v>
      </c>
      <c r="AR13" s="4">
        <f t="shared" si="13"/>
        <v>1232.7046715429949</v>
      </c>
      <c r="AS13" s="4">
        <f t="shared" si="13"/>
        <v>1946.7287522682966</v>
      </c>
      <c r="AT13" s="4">
        <f t="shared" si="13"/>
        <v>8840.7384829953317</v>
      </c>
      <c r="AU13" s="4">
        <f t="shared" si="13"/>
        <v>8393.3458342924423</v>
      </c>
      <c r="AV13" s="4">
        <f t="shared" si="13"/>
        <v>8681.7725695321496</v>
      </c>
      <c r="AW13" s="4">
        <f t="shared" si="13"/>
        <v>8900.4577506802161</v>
      </c>
      <c r="AX13" s="4">
        <f t="shared" si="13"/>
        <v>9029.3295654287085</v>
      </c>
      <c r="AY13" s="4">
        <f t="shared" si="13"/>
        <v>9797.2623174465189</v>
      </c>
      <c r="AZ13" s="4">
        <f t="shared" si="13"/>
        <v>9257.0259877283006</v>
      </c>
      <c r="BA13" s="4">
        <f t="shared" si="13"/>
        <v>9487.1206877827117</v>
      </c>
      <c r="BB13" s="4">
        <f t="shared" si="13"/>
        <v>12408.566077645455</v>
      </c>
      <c r="BC13" s="4">
        <f t="shared" si="13"/>
        <v>7180.8857508872507</v>
      </c>
      <c r="BD13" s="4">
        <f t="shared" si="13"/>
        <v>1101.3832343000001</v>
      </c>
      <c r="BE13" s="4">
        <f t="shared" si="13"/>
        <v>1494.4508345000002</v>
      </c>
      <c r="BF13" s="4">
        <f t="shared" si="13"/>
        <v>4683.6458809000005</v>
      </c>
      <c r="BG13" s="4">
        <f t="shared" si="13"/>
        <v>1690.6638723999999</v>
      </c>
      <c r="BH13" s="4">
        <f t="shared" si="13"/>
        <v>14140.538145199997</v>
      </c>
      <c r="BI13" s="4">
        <f t="shared" si="13"/>
        <v>18881.759095941168</v>
      </c>
      <c r="BJ13" s="4">
        <f t="shared" si="13"/>
        <v>27188.447420299999</v>
      </c>
      <c r="BK13" s="4">
        <f t="shared" si="13"/>
        <v>16918.747450399998</v>
      </c>
      <c r="BL13" s="4">
        <f t="shared" si="13"/>
        <v>39530.888408877239</v>
      </c>
      <c r="BM13" s="4">
        <f t="shared" si="13"/>
        <v>32971.796079399996</v>
      </c>
      <c r="BN13" s="4">
        <f t="shared" si="13"/>
        <v>38370.103823600002</v>
      </c>
      <c r="BO13" s="4">
        <f t="shared" si="13"/>
        <v>38450.742002999999</v>
      </c>
      <c r="BP13" s="4">
        <f t="shared" si="13"/>
        <v>56233.633282000003</v>
      </c>
      <c r="BQ13" s="4">
        <f>SUMIF($B$67:$B$1313," - China",BQ67:BQ1313)</f>
        <v>30341.564776399999</v>
      </c>
      <c r="BR13" s="101"/>
    </row>
    <row r="14" spans="1:137" ht="15.5">
      <c r="A14" s="90"/>
      <c r="B14" s="1" t="s">
        <v>3</v>
      </c>
      <c r="C14" s="91"/>
      <c r="D14" s="4">
        <f t="shared" ref="D14:AI14" si="14">SUMIF($B$67:$B$1313," - Other official creditors",D67:D1313)</f>
        <v>8214.7999999999993</v>
      </c>
      <c r="E14" s="4">
        <f t="shared" si="14"/>
        <v>9070.9183139937104</v>
      </c>
      <c r="F14" s="4">
        <f t="shared" si="14"/>
        <v>8949.4470465534559</v>
      </c>
      <c r="G14" s="4">
        <f t="shared" si="14"/>
        <v>9314.9129284155952</v>
      </c>
      <c r="H14" s="4">
        <f t="shared" si="14"/>
        <v>10195.95744555222</v>
      </c>
      <c r="I14" s="4">
        <f t="shared" si="14"/>
        <v>11588.743743374309</v>
      </c>
      <c r="J14" s="4">
        <f t="shared" si="14"/>
        <v>11291.357493109283</v>
      </c>
      <c r="K14" s="4">
        <f t="shared" si="14"/>
        <v>9302.4495367145591</v>
      </c>
      <c r="L14" s="4">
        <f t="shared" si="14"/>
        <v>10286.295518183144</v>
      </c>
      <c r="M14" s="4">
        <f t="shared" si="14"/>
        <v>10257.92333891047</v>
      </c>
      <c r="N14" s="4">
        <f t="shared" si="14"/>
        <v>11810.301332566889</v>
      </c>
      <c r="O14" s="4">
        <f t="shared" si="14"/>
        <v>11601.000337575913</v>
      </c>
      <c r="P14" s="4">
        <f t="shared" si="14"/>
        <v>11881.852164256024</v>
      </c>
      <c r="Q14" s="4">
        <f t="shared" si="14"/>
        <v>11942.645496444959</v>
      </c>
      <c r="R14" s="4">
        <f t="shared" si="14"/>
        <v>12328.489869770159</v>
      </c>
      <c r="S14" s="4">
        <f t="shared" si="14"/>
        <v>11981.761337947186</v>
      </c>
      <c r="T14" s="4">
        <f t="shared" si="14"/>
        <v>11929.22634808176</v>
      </c>
      <c r="U14" s="4">
        <f t="shared" si="14"/>
        <v>20566.434915831695</v>
      </c>
      <c r="V14" s="4">
        <f t="shared" si="14"/>
        <v>15745.732414107792</v>
      </c>
      <c r="W14" s="4">
        <f t="shared" si="14"/>
        <v>17479.513893312105</v>
      </c>
      <c r="X14" s="4">
        <f t="shared" si="14"/>
        <v>19727.581874415657</v>
      </c>
      <c r="Y14" s="4">
        <f t="shared" si="14"/>
        <v>18605.177373161165</v>
      </c>
      <c r="Z14" s="4">
        <f t="shared" si="14"/>
        <v>18660.0676258807</v>
      </c>
      <c r="AA14" s="4">
        <f t="shared" si="14"/>
        <v>19040.41570449758</v>
      </c>
      <c r="AB14" s="4">
        <f t="shared" si="14"/>
        <v>20297.000620889256</v>
      </c>
      <c r="AC14" s="4">
        <f t="shared" si="14"/>
        <v>28594.442995749425</v>
      </c>
      <c r="AD14" s="4">
        <f t="shared" si="14"/>
        <v>40705.626333803448</v>
      </c>
      <c r="AE14" s="4">
        <f t="shared" si="14"/>
        <v>25505.364825899993</v>
      </c>
      <c r="AF14" s="4">
        <f t="shared" si="14"/>
        <v>38106.087725599988</v>
      </c>
      <c r="AG14" s="4">
        <f t="shared" si="14"/>
        <v>67256.94604915235</v>
      </c>
      <c r="AH14" s="4">
        <f t="shared" si="14"/>
        <v>55433.883788223502</v>
      </c>
      <c r="AI14" s="4">
        <f t="shared" si="14"/>
        <v>47668.973015757438</v>
      </c>
      <c r="AJ14" s="4">
        <f t="shared" ref="AJ14:BP14" si="15">SUMIF($B$67:$B$1313," - Other official creditors",AJ67:AJ1313)</f>
        <v>49802.039904309306</v>
      </c>
      <c r="AK14" s="4">
        <f t="shared" si="15"/>
        <v>84756.932633211676</v>
      </c>
      <c r="AL14" s="4">
        <f t="shared" si="15"/>
        <v>124310.26806429458</v>
      </c>
      <c r="AM14" s="4">
        <f t="shared" si="15"/>
        <v>69129.624682998052</v>
      </c>
      <c r="AN14" s="4">
        <f t="shared" si="15"/>
        <v>67666.954101875293</v>
      </c>
      <c r="AO14" s="4">
        <f t="shared" si="15"/>
        <v>87654.978211519265</v>
      </c>
      <c r="AP14" s="4">
        <f t="shared" si="15"/>
        <v>83869.192530308515</v>
      </c>
      <c r="AQ14" s="4">
        <f t="shared" si="15"/>
        <v>102696.95726495713</v>
      </c>
      <c r="AR14" s="4">
        <f t="shared" si="15"/>
        <v>83612.13792008262</v>
      </c>
      <c r="AS14" s="4">
        <f t="shared" si="15"/>
        <v>67031.213927650941</v>
      </c>
      <c r="AT14" s="4">
        <f t="shared" si="15"/>
        <v>38765.437604321109</v>
      </c>
      <c r="AU14" s="4">
        <f t="shared" si="15"/>
        <v>101061.98963035941</v>
      </c>
      <c r="AV14" s="4">
        <f t="shared" si="15"/>
        <v>91948.603834219713</v>
      </c>
      <c r="AW14" s="4">
        <f t="shared" si="15"/>
        <v>116537.70672265576</v>
      </c>
      <c r="AX14" s="4">
        <f t="shared" si="15"/>
        <v>143790.10357876617</v>
      </c>
      <c r="AY14" s="4">
        <f t="shared" si="15"/>
        <v>83638.501471837182</v>
      </c>
      <c r="AZ14" s="4">
        <f t="shared" si="15"/>
        <v>79805.913802326599</v>
      </c>
      <c r="BA14" s="4">
        <f t="shared" si="15"/>
        <v>78500.244363634454</v>
      </c>
      <c r="BB14" s="4">
        <f t="shared" si="15"/>
        <v>86665.099771697744</v>
      </c>
      <c r="BC14" s="4">
        <f t="shared" si="15"/>
        <v>72343.403794543687</v>
      </c>
      <c r="BD14" s="4">
        <f t="shared" si="15"/>
        <v>74301.127234453001</v>
      </c>
      <c r="BE14" s="4">
        <f t="shared" si="15"/>
        <v>419651.27717829717</v>
      </c>
      <c r="BF14" s="4">
        <f t="shared" si="15"/>
        <v>97477.793579540565</v>
      </c>
      <c r="BG14" s="4">
        <f t="shared" si="15"/>
        <v>65249.625396493211</v>
      </c>
      <c r="BH14" s="4">
        <f t="shared" si="15"/>
        <v>61632.931427767049</v>
      </c>
      <c r="BI14" s="4">
        <f t="shared" si="15"/>
        <v>68124.278786250405</v>
      </c>
      <c r="BJ14" s="4">
        <f t="shared" si="15"/>
        <v>207580.45128909993</v>
      </c>
      <c r="BK14" s="4">
        <f t="shared" si="15"/>
        <v>60657.173804300015</v>
      </c>
      <c r="BL14" s="4">
        <f t="shared" si="15"/>
        <v>65948.484982699985</v>
      </c>
      <c r="BM14" s="4">
        <f t="shared" si="15"/>
        <v>68885.659468099984</v>
      </c>
      <c r="BN14" s="4">
        <f t="shared" si="15"/>
        <v>86267.276641086035</v>
      </c>
      <c r="BO14" s="4">
        <f t="shared" si="15"/>
        <v>74233.687404900003</v>
      </c>
      <c r="BP14" s="4">
        <f t="shared" si="15"/>
        <v>82901.779896138134</v>
      </c>
      <c r="BQ14" s="4">
        <f>SUMIF($B$67:$B$1313," - Other official creditors",BQ67:BQ1313)</f>
        <v>73635.4499182</v>
      </c>
      <c r="BR14" s="101"/>
    </row>
    <row r="15" spans="1:137" ht="15.5">
      <c r="A15" s="90"/>
      <c r="B15" s="1" t="s">
        <v>18</v>
      </c>
      <c r="C15" s="91"/>
      <c r="D15" s="4">
        <f t="shared" ref="D15:AI15" si="16">SUMIF($B$67:$B$1313," - FC Bank Loans",D67:D1313)</f>
        <v>1</v>
      </c>
      <c r="E15" s="4">
        <f t="shared" si="16"/>
        <v>363.5</v>
      </c>
      <c r="F15" s="4">
        <f t="shared" si="16"/>
        <v>15</v>
      </c>
      <c r="G15" s="4">
        <f t="shared" si="16"/>
        <v>50</v>
      </c>
      <c r="H15" s="4">
        <f t="shared" si="16"/>
        <v>106</v>
      </c>
      <c r="I15" s="4">
        <f t="shared" si="16"/>
        <v>130.9</v>
      </c>
      <c r="J15" s="4">
        <f t="shared" si="16"/>
        <v>24</v>
      </c>
      <c r="K15" s="4">
        <f t="shared" si="16"/>
        <v>27</v>
      </c>
      <c r="L15" s="4">
        <f t="shared" si="16"/>
        <v>104</v>
      </c>
      <c r="M15" s="4">
        <f t="shared" si="16"/>
        <v>19</v>
      </c>
      <c r="N15" s="4">
        <f t="shared" si="16"/>
        <v>636.70000000000005</v>
      </c>
      <c r="O15" s="4">
        <f t="shared" si="16"/>
        <v>0</v>
      </c>
      <c r="P15" s="4">
        <f t="shared" si="16"/>
        <v>160</v>
      </c>
      <c r="Q15" s="4">
        <f t="shared" si="16"/>
        <v>30</v>
      </c>
      <c r="R15" s="4">
        <f t="shared" si="16"/>
        <v>0</v>
      </c>
      <c r="S15" s="4">
        <f t="shared" si="16"/>
        <v>57.273768613974795</v>
      </c>
      <c r="T15" s="4">
        <f t="shared" si="16"/>
        <v>1449.1781756180733</v>
      </c>
      <c r="U15" s="4">
        <f t="shared" si="16"/>
        <v>136.40753259295025</v>
      </c>
      <c r="V15" s="4">
        <f t="shared" si="16"/>
        <v>2672.4105378704721</v>
      </c>
      <c r="W15" s="4">
        <f t="shared" si="16"/>
        <v>5343.2650321074143</v>
      </c>
      <c r="X15" s="4">
        <f t="shared" si="16"/>
        <v>2331.6708860759495</v>
      </c>
      <c r="Y15" s="4">
        <f t="shared" si="16"/>
        <v>5771.2240000000002</v>
      </c>
      <c r="Z15" s="4">
        <f t="shared" si="16"/>
        <v>36568.115831229341</v>
      </c>
      <c r="AA15" s="4">
        <f t="shared" si="16"/>
        <v>83465.306358436326</v>
      </c>
      <c r="AB15" s="4">
        <f t="shared" si="16"/>
        <v>84176.778789319302</v>
      </c>
      <c r="AC15" s="4">
        <f t="shared" si="16"/>
        <v>120229.71396701224</v>
      </c>
      <c r="AD15" s="4">
        <f t="shared" si="16"/>
        <v>148729.00120392715</v>
      </c>
      <c r="AE15" s="4">
        <f t="shared" si="16"/>
        <v>223228.15804000347</v>
      </c>
      <c r="AF15" s="4">
        <f t="shared" si="16"/>
        <v>218581.44389093164</v>
      </c>
      <c r="AG15" s="4">
        <f t="shared" si="16"/>
        <v>230876.03947589963</v>
      </c>
      <c r="AH15" s="4">
        <f t="shared" si="16"/>
        <v>264209.64735432423</v>
      </c>
      <c r="AI15" s="4">
        <f t="shared" si="16"/>
        <v>147522.42428593247</v>
      </c>
      <c r="AJ15" s="4">
        <f t="shared" ref="AJ15:BP15" si="17">SUMIF($B$67:$B$1313," - FC Bank Loans",AJ67:AJ1313)</f>
        <v>150750.30791630279</v>
      </c>
      <c r="AK15" s="4">
        <f t="shared" si="17"/>
        <v>177303.31634395462</v>
      </c>
      <c r="AL15" s="4">
        <f t="shared" si="17"/>
        <v>140699.15341102172</v>
      </c>
      <c r="AM15" s="4">
        <f t="shared" si="17"/>
        <v>85249.056436377126</v>
      </c>
      <c r="AN15" s="4">
        <f t="shared" si="17"/>
        <v>78095.575018860371</v>
      </c>
      <c r="AO15" s="4">
        <f t="shared" si="17"/>
        <v>73742.334134668199</v>
      </c>
      <c r="AP15" s="4">
        <f t="shared" si="17"/>
        <v>33389.808377846188</v>
      </c>
      <c r="AQ15" s="4">
        <f t="shared" si="17"/>
        <v>26426.164069317907</v>
      </c>
      <c r="AR15" s="4">
        <f t="shared" si="17"/>
        <v>25166.45622475048</v>
      </c>
      <c r="AS15" s="4">
        <f t="shared" si="17"/>
        <v>26727.943320495815</v>
      </c>
      <c r="AT15" s="4">
        <f t="shared" si="17"/>
        <v>31013.303081699403</v>
      </c>
      <c r="AU15" s="4">
        <f t="shared" si="17"/>
        <v>32419.154847272035</v>
      </c>
      <c r="AV15" s="4">
        <f t="shared" si="17"/>
        <v>34391.469290366396</v>
      </c>
      <c r="AW15" s="4">
        <f t="shared" si="17"/>
        <v>30493.152297504159</v>
      </c>
      <c r="AX15" s="4">
        <f t="shared" si="17"/>
        <v>32515.477059967405</v>
      </c>
      <c r="AY15" s="4">
        <f t="shared" si="17"/>
        <v>19046.894409310829</v>
      </c>
      <c r="AZ15" s="4">
        <f t="shared" si="17"/>
        <v>16741.200348940536</v>
      </c>
      <c r="BA15" s="4">
        <f t="shared" si="17"/>
        <v>18567.936139083926</v>
      </c>
      <c r="BB15" s="4">
        <f t="shared" si="17"/>
        <v>16239.029185703155</v>
      </c>
      <c r="BC15" s="4">
        <f t="shared" si="17"/>
        <v>18375.652615030453</v>
      </c>
      <c r="BD15" s="4">
        <f t="shared" si="17"/>
        <v>19209.766532959351</v>
      </c>
      <c r="BE15" s="4">
        <f t="shared" si="17"/>
        <v>15945.242641752726</v>
      </c>
      <c r="BF15" s="4">
        <f t="shared" si="17"/>
        <v>15430.844659058608</v>
      </c>
      <c r="BG15" s="4">
        <f t="shared" si="17"/>
        <v>15539.010459228259</v>
      </c>
      <c r="BH15" s="4">
        <f t="shared" si="17"/>
        <v>14695.413656392924</v>
      </c>
      <c r="BI15" s="4">
        <f t="shared" si="17"/>
        <v>15671.656870555667</v>
      </c>
      <c r="BJ15" s="4">
        <f t="shared" si="17"/>
        <v>16967.4272106565</v>
      </c>
      <c r="BK15" s="4">
        <f t="shared" si="17"/>
        <v>14973.039568624656</v>
      </c>
      <c r="BL15" s="4">
        <f t="shared" si="17"/>
        <v>15444.485352855827</v>
      </c>
      <c r="BM15" s="4">
        <f t="shared" si="17"/>
        <v>15800.729064227831</v>
      </c>
      <c r="BN15" s="4">
        <f t="shared" si="17"/>
        <v>14965.248828136315</v>
      </c>
      <c r="BO15" s="4">
        <f t="shared" si="17"/>
        <v>16245.017376532163</v>
      </c>
      <c r="BP15" s="4">
        <f t="shared" si="17"/>
        <v>15013</v>
      </c>
      <c r="BQ15" s="4">
        <f>SUMIF($B$67:$B$1313," - FC Bank Loans",BQ67:BQ1313)</f>
        <v>15097</v>
      </c>
      <c r="BR15" s="101"/>
    </row>
    <row r="16" spans="1:137" ht="15.5">
      <c r="A16" s="90"/>
      <c r="B16" s="1" t="s">
        <v>25</v>
      </c>
      <c r="C16" s="91"/>
      <c r="D16" s="9">
        <f t="shared" ref="D16:AI16" si="18">SUMIF($B$67:$B$1313," - FC Bonds",D67:D1313)</f>
        <v>4628.4725220000009</v>
      </c>
      <c r="E16" s="9">
        <f t="shared" si="18"/>
        <v>4849.3870219999999</v>
      </c>
      <c r="F16" s="9">
        <f t="shared" si="18"/>
        <v>5000.0890220000001</v>
      </c>
      <c r="G16" s="9">
        <f t="shared" si="18"/>
        <v>5119.811021999999</v>
      </c>
      <c r="H16" s="9">
        <f t="shared" si="18"/>
        <v>5337.9230219999999</v>
      </c>
      <c r="I16" s="9">
        <f t="shared" si="18"/>
        <v>5750.30329248</v>
      </c>
      <c r="J16" s="9">
        <f t="shared" si="18"/>
        <v>5657.79334707</v>
      </c>
      <c r="K16" s="9">
        <f t="shared" si="18"/>
        <v>5213.5524502800008</v>
      </c>
      <c r="L16" s="9">
        <f t="shared" si="18"/>
        <v>5042.8969684999993</v>
      </c>
      <c r="M16" s="9">
        <f t="shared" si="18"/>
        <v>5256.1904867200001</v>
      </c>
      <c r="N16" s="9">
        <f t="shared" si="18"/>
        <v>5391.9593659277498</v>
      </c>
      <c r="O16" s="9">
        <f t="shared" si="18"/>
        <v>5942.7449396394995</v>
      </c>
      <c r="P16" s="9">
        <f t="shared" si="18"/>
        <v>5957.0901063954998</v>
      </c>
      <c r="Q16" s="9">
        <f t="shared" si="18"/>
        <v>6084.21324568</v>
      </c>
      <c r="R16" s="9">
        <f t="shared" si="18"/>
        <v>6310.2673692752505</v>
      </c>
      <c r="S16" s="9">
        <f t="shared" si="18"/>
        <v>5890.1077158170001</v>
      </c>
      <c r="T16" s="9">
        <f t="shared" si="18"/>
        <v>5105.8385465820002</v>
      </c>
      <c r="U16" s="9">
        <f t="shared" si="18"/>
        <v>5892.3359972449998</v>
      </c>
      <c r="V16" s="9">
        <f t="shared" si="18"/>
        <v>6752.7625969637502</v>
      </c>
      <c r="W16" s="9">
        <f t="shared" si="18"/>
        <v>7129.7938130100001</v>
      </c>
      <c r="X16" s="9">
        <f t="shared" si="18"/>
        <v>7875.84081961625</v>
      </c>
      <c r="Y16" s="9">
        <f t="shared" si="18"/>
        <v>7001.9306999999999</v>
      </c>
      <c r="Z16" s="9">
        <f t="shared" si="18"/>
        <v>6163.5206799999996</v>
      </c>
      <c r="AA16" s="9">
        <f t="shared" si="18"/>
        <v>5774.6854499999999</v>
      </c>
      <c r="AB16" s="9">
        <f t="shared" si="18"/>
        <v>5104.8817899999995</v>
      </c>
      <c r="AC16" s="9">
        <f t="shared" si="18"/>
        <v>6383.0294800000001</v>
      </c>
      <c r="AD16" s="9">
        <f t="shared" si="18"/>
        <v>6576.2294199999997</v>
      </c>
      <c r="AE16" s="9">
        <f t="shared" si="18"/>
        <v>7311.1957700000003</v>
      </c>
      <c r="AF16" s="9">
        <f t="shared" si="18"/>
        <v>6356.6</v>
      </c>
      <c r="AG16" s="9">
        <f t="shared" si="18"/>
        <v>2836.8</v>
      </c>
      <c r="AH16" s="9">
        <f t="shared" si="18"/>
        <v>1213</v>
      </c>
      <c r="AI16" s="9">
        <f t="shared" si="18"/>
        <v>1328.6543209876543</v>
      </c>
      <c r="AJ16" s="9">
        <f t="shared" ref="AJ16:BP16" si="19">SUMIF($B$67:$B$1313," - FC Bonds",AJ67:AJ1313)</f>
        <v>6745.391304347826</v>
      </c>
      <c r="AK16" s="9">
        <f t="shared" si="19"/>
        <v>2357.9195402298851</v>
      </c>
      <c r="AL16" s="9">
        <f t="shared" si="19"/>
        <v>1833.0200803212851</v>
      </c>
      <c r="AM16" s="9">
        <f t="shared" si="19"/>
        <v>1081.1362369671679</v>
      </c>
      <c r="AN16" s="9">
        <f t="shared" si="19"/>
        <v>1060.5399471606743</v>
      </c>
      <c r="AO16" s="9">
        <f t="shared" si="19"/>
        <v>630.24258311224901</v>
      </c>
      <c r="AP16" s="9">
        <f t="shared" si="19"/>
        <v>29847.593180427313</v>
      </c>
      <c r="AQ16" s="9">
        <f t="shared" si="19"/>
        <v>39883.5103733781</v>
      </c>
      <c r="AR16" s="9">
        <f t="shared" si="19"/>
        <v>45352.306080939568</v>
      </c>
      <c r="AS16" s="9">
        <f t="shared" si="19"/>
        <v>88900.65254346843</v>
      </c>
      <c r="AT16" s="9">
        <f t="shared" si="19"/>
        <v>98018.710689058527</v>
      </c>
      <c r="AU16" s="9">
        <f t="shared" si="19"/>
        <v>105079.51488035159</v>
      </c>
      <c r="AV16" s="9">
        <f t="shared" si="19"/>
        <v>104623.63894148871</v>
      </c>
      <c r="AW16" s="9">
        <f t="shared" si="19"/>
        <v>107736.12123776984</v>
      </c>
      <c r="AX16" s="9">
        <f t="shared" si="19"/>
        <v>29616.056782570344</v>
      </c>
      <c r="AY16" s="9">
        <f t="shared" si="19"/>
        <v>32464.695756621601</v>
      </c>
      <c r="AZ16" s="9">
        <f t="shared" si="19"/>
        <v>35777.933018677009</v>
      </c>
      <c r="BA16" s="9">
        <f t="shared" si="19"/>
        <v>36631.764280384748</v>
      </c>
      <c r="BB16" s="9">
        <f t="shared" si="19"/>
        <v>15818.305336989373</v>
      </c>
      <c r="BC16" s="9">
        <f t="shared" si="19"/>
        <v>13956.178944172092</v>
      </c>
      <c r="BD16" s="9">
        <f t="shared" si="19"/>
        <v>327570.90404420055</v>
      </c>
      <c r="BE16" s="9">
        <f t="shared" si="19"/>
        <v>15253.145600614629</v>
      </c>
      <c r="BF16" s="9">
        <f t="shared" si="19"/>
        <v>46554.259632304966</v>
      </c>
      <c r="BG16" s="9">
        <f t="shared" si="19"/>
        <v>65514.378949533704</v>
      </c>
      <c r="BH16" s="9">
        <f t="shared" si="19"/>
        <v>97082.005844693223</v>
      </c>
      <c r="BI16" s="9">
        <f t="shared" si="19"/>
        <v>75287.451081458654</v>
      </c>
      <c r="BJ16" s="9">
        <f t="shared" si="19"/>
        <v>88042.465922304982</v>
      </c>
      <c r="BK16" s="9">
        <f t="shared" si="19"/>
        <v>102496.70803735541</v>
      </c>
      <c r="BL16" s="9">
        <f t="shared" si="19"/>
        <v>224108.68200000003</v>
      </c>
      <c r="BM16" s="9">
        <f t="shared" si="19"/>
        <v>154025.57382629398</v>
      </c>
      <c r="BN16" s="9">
        <f t="shared" si="19"/>
        <v>262036.6</v>
      </c>
      <c r="BO16" s="9">
        <f t="shared" si="19"/>
        <v>230807</v>
      </c>
      <c r="BP16" s="9">
        <f t="shared" si="19"/>
        <v>199068</v>
      </c>
      <c r="BQ16" s="9">
        <f>SUMIF($B$67:$B$1313," - FC Bonds",BQ67:BQ1313)</f>
        <v>197181</v>
      </c>
      <c r="BR16" s="101"/>
    </row>
    <row r="17" spans="1:70" ht="15.5">
      <c r="A17" s="90"/>
      <c r="B17" s="1" t="s">
        <v>208</v>
      </c>
      <c r="C17" s="91"/>
      <c r="D17" s="9">
        <f t="shared" ref="D17:AI17" si="20">SUMIF($B$67:$B$1313," - Other private creditors",D67:D1313)</f>
        <v>225</v>
      </c>
      <c r="E17" s="9">
        <f t="shared" si="20"/>
        <v>306.81</v>
      </c>
      <c r="F17" s="9">
        <f t="shared" si="20"/>
        <v>248.81</v>
      </c>
      <c r="G17" s="9">
        <f t="shared" si="20"/>
        <v>413.81</v>
      </c>
      <c r="H17" s="9">
        <f t="shared" si="20"/>
        <v>272.81</v>
      </c>
      <c r="I17" s="9">
        <f t="shared" si="20"/>
        <v>341.81</v>
      </c>
      <c r="J17" s="9">
        <f t="shared" si="20"/>
        <v>0</v>
      </c>
      <c r="K17" s="9">
        <f t="shared" si="20"/>
        <v>0</v>
      </c>
      <c r="L17" s="9">
        <f t="shared" si="20"/>
        <v>75</v>
      </c>
      <c r="M17" s="9">
        <f t="shared" si="20"/>
        <v>1</v>
      </c>
      <c r="N17" s="9">
        <f t="shared" si="20"/>
        <v>133.75960849999998</v>
      </c>
      <c r="O17" s="9">
        <f t="shared" si="20"/>
        <v>144.75684830000003</v>
      </c>
      <c r="P17" s="9">
        <f t="shared" si="20"/>
        <v>192.81580989999998</v>
      </c>
      <c r="Q17" s="9">
        <f t="shared" si="20"/>
        <v>292.43198969999992</v>
      </c>
      <c r="R17" s="9">
        <f t="shared" si="20"/>
        <v>308.05965930000008</v>
      </c>
      <c r="S17" s="9">
        <f t="shared" si="20"/>
        <v>390.35206479999999</v>
      </c>
      <c r="T17" s="9">
        <f t="shared" si="20"/>
        <v>444.21836480000007</v>
      </c>
      <c r="U17" s="9">
        <f t="shared" si="20"/>
        <v>878.49810800000023</v>
      </c>
      <c r="V17" s="9">
        <f t="shared" si="20"/>
        <v>1487.8269408000001</v>
      </c>
      <c r="W17" s="9">
        <f t="shared" si="20"/>
        <v>1569.7549784999997</v>
      </c>
      <c r="X17" s="9">
        <f t="shared" si="20"/>
        <v>1402.2422755</v>
      </c>
      <c r="Y17" s="9">
        <f t="shared" si="20"/>
        <v>1609.9245711000001</v>
      </c>
      <c r="Z17" s="9">
        <f t="shared" si="20"/>
        <v>3027.9595138999998</v>
      </c>
      <c r="AA17" s="9">
        <f t="shared" si="20"/>
        <v>3289.3101189000004</v>
      </c>
      <c r="AB17" s="9">
        <f t="shared" si="20"/>
        <v>5599.5842697333319</v>
      </c>
      <c r="AC17" s="9">
        <f t="shared" si="20"/>
        <v>6889.1334494000012</v>
      </c>
      <c r="AD17" s="9">
        <f t="shared" si="20"/>
        <v>8526.1499640000002</v>
      </c>
      <c r="AE17" s="9">
        <f t="shared" si="20"/>
        <v>12089.614766300003</v>
      </c>
      <c r="AF17" s="9">
        <f t="shared" si="20"/>
        <v>12742.332874799999</v>
      </c>
      <c r="AG17" s="9">
        <f t="shared" si="20"/>
        <v>16157.304269328997</v>
      </c>
      <c r="AH17" s="9">
        <f t="shared" si="20"/>
        <v>25595.161569453991</v>
      </c>
      <c r="AI17" s="9">
        <f t="shared" si="20"/>
        <v>27702.840114089013</v>
      </c>
      <c r="AJ17" s="9">
        <f t="shared" ref="AJ17:BP17" si="21">SUMIF($B$67:$B$1313," - Other private creditors",AJ67:AJ1313)</f>
        <v>18552.876276257593</v>
      </c>
      <c r="AK17" s="9">
        <f t="shared" si="21"/>
        <v>25773.698940534323</v>
      </c>
      <c r="AL17" s="9">
        <f t="shared" si="21"/>
        <v>21663.459469586694</v>
      </c>
      <c r="AM17" s="9">
        <f t="shared" si="21"/>
        <v>19410.368079856002</v>
      </c>
      <c r="AN17" s="9">
        <f t="shared" si="21"/>
        <v>16405.756742380003</v>
      </c>
      <c r="AO17" s="9">
        <f t="shared" si="21"/>
        <v>13914.974475035</v>
      </c>
      <c r="AP17" s="9">
        <f t="shared" si="21"/>
        <v>15290.264934021998</v>
      </c>
      <c r="AQ17" s="9">
        <f t="shared" si="21"/>
        <v>13966.279017522</v>
      </c>
      <c r="AR17" s="9">
        <f t="shared" si="21"/>
        <v>12885.061416475008</v>
      </c>
      <c r="AS17" s="9">
        <f t="shared" si="21"/>
        <v>9368.4418717049994</v>
      </c>
      <c r="AT17" s="9">
        <f t="shared" si="21"/>
        <v>7916.7251397175014</v>
      </c>
      <c r="AU17" s="9">
        <f t="shared" si="21"/>
        <v>8790.1710584252196</v>
      </c>
      <c r="AV17" s="9">
        <f t="shared" si="21"/>
        <v>9361.6755656999994</v>
      </c>
      <c r="AW17" s="9">
        <f t="shared" si="21"/>
        <v>10099.776824800007</v>
      </c>
      <c r="AX17" s="9">
        <f t="shared" si="21"/>
        <v>10724.105212500001</v>
      </c>
      <c r="AY17" s="9">
        <f t="shared" si="21"/>
        <v>9116.0222274999996</v>
      </c>
      <c r="AZ17" s="9">
        <f t="shared" si="21"/>
        <v>6845.0536561999998</v>
      </c>
      <c r="BA17" s="9">
        <f t="shared" si="21"/>
        <v>4516.2020394000001</v>
      </c>
      <c r="BB17" s="9">
        <f t="shared" si="21"/>
        <v>4030.8195984999998</v>
      </c>
      <c r="BC17" s="9">
        <f t="shared" si="21"/>
        <v>3909.8154347000004</v>
      </c>
      <c r="BD17" s="9">
        <f t="shared" si="21"/>
        <v>9583.0921507000003</v>
      </c>
      <c r="BE17" s="9">
        <f t="shared" si="21"/>
        <v>8663.5043128999987</v>
      </c>
      <c r="BF17" s="9">
        <f t="shared" si="21"/>
        <v>11224.342491100002</v>
      </c>
      <c r="BG17" s="9">
        <f t="shared" si="21"/>
        <v>7628.6550632000008</v>
      </c>
      <c r="BH17" s="9">
        <f t="shared" si="21"/>
        <v>15624.487635286001</v>
      </c>
      <c r="BI17" s="9">
        <f t="shared" si="21"/>
        <v>34613.491275419139</v>
      </c>
      <c r="BJ17" s="9">
        <f t="shared" si="21"/>
        <v>40111.967382254996</v>
      </c>
      <c r="BK17" s="9">
        <f t="shared" si="21"/>
        <v>38082.090516968994</v>
      </c>
      <c r="BL17" s="9">
        <f t="shared" si="21"/>
        <v>28323.768814735999</v>
      </c>
      <c r="BM17" s="9">
        <f t="shared" si="21"/>
        <v>37995.928188452082</v>
      </c>
      <c r="BN17" s="9">
        <f t="shared" si="21"/>
        <v>41906.248851698001</v>
      </c>
      <c r="BO17" s="9">
        <f t="shared" si="21"/>
        <v>67564.672271798001</v>
      </c>
      <c r="BP17" s="9">
        <f t="shared" si="21"/>
        <v>67214.380108072713</v>
      </c>
      <c r="BQ17" s="9">
        <f>SUMIF($B$67:$B$1313," - Other private creditors",BQ67:BQ1313)</f>
        <v>67889.850566098001</v>
      </c>
      <c r="BR17" s="101"/>
    </row>
    <row r="18" spans="1:70" ht="15.5">
      <c r="A18" s="90"/>
      <c r="B18" s="1" t="s">
        <v>21</v>
      </c>
      <c r="C18" s="91"/>
      <c r="D18" s="4">
        <f t="shared" ref="D18:AI18" si="22">SUMIF($B$67:$B$1313," - LC Debt",D67:D1313)</f>
        <v>111</v>
      </c>
      <c r="E18" s="4">
        <f t="shared" si="22"/>
        <v>326</v>
      </c>
      <c r="F18" s="4">
        <f t="shared" si="22"/>
        <v>124</v>
      </c>
      <c r="G18" s="4">
        <f t="shared" si="22"/>
        <v>130</v>
      </c>
      <c r="H18" s="4">
        <f t="shared" si="22"/>
        <v>522</v>
      </c>
      <c r="I18" s="4">
        <f t="shared" si="22"/>
        <v>147</v>
      </c>
      <c r="J18" s="4">
        <f t="shared" si="22"/>
        <v>0</v>
      </c>
      <c r="K18" s="4">
        <f t="shared" si="22"/>
        <v>290</v>
      </c>
      <c r="L18" s="4">
        <f t="shared" si="22"/>
        <v>0</v>
      </c>
      <c r="M18" s="4">
        <f t="shared" si="22"/>
        <v>0</v>
      </c>
      <c r="N18" s="4">
        <f t="shared" si="22"/>
        <v>112</v>
      </c>
      <c r="O18" s="4">
        <f t="shared" si="22"/>
        <v>0</v>
      </c>
      <c r="P18" s="4">
        <f t="shared" si="22"/>
        <v>0</v>
      </c>
      <c r="Q18" s="4">
        <f t="shared" si="22"/>
        <v>0</v>
      </c>
      <c r="R18" s="4">
        <f t="shared" si="22"/>
        <v>0</v>
      </c>
      <c r="S18" s="4">
        <f t="shared" si="22"/>
        <v>460</v>
      </c>
      <c r="T18" s="4">
        <f t="shared" si="22"/>
        <v>156</v>
      </c>
      <c r="U18" s="4">
        <f t="shared" si="22"/>
        <v>2</v>
      </c>
      <c r="V18" s="4">
        <f t="shared" si="22"/>
        <v>470</v>
      </c>
      <c r="W18" s="4">
        <f t="shared" si="22"/>
        <v>1058</v>
      </c>
      <c r="X18" s="4">
        <f t="shared" si="22"/>
        <v>329</v>
      </c>
      <c r="Y18" s="4">
        <f t="shared" si="22"/>
        <v>38.502369668246445</v>
      </c>
      <c r="Z18" s="4">
        <f t="shared" si="22"/>
        <v>2946.0458452722064</v>
      </c>
      <c r="AA18" s="4">
        <f t="shared" si="22"/>
        <v>4470.1558282208589</v>
      </c>
      <c r="AB18" s="4">
        <f t="shared" si="22"/>
        <v>11287.831123919308</v>
      </c>
      <c r="AC18" s="4">
        <f t="shared" si="22"/>
        <v>380.21130944245505</v>
      </c>
      <c r="AD18" s="4">
        <f t="shared" si="22"/>
        <v>31896.211309442457</v>
      </c>
      <c r="AE18" s="4">
        <f t="shared" si="22"/>
        <v>55345.211309442457</v>
      </c>
      <c r="AF18" s="4">
        <f t="shared" si="22"/>
        <v>339</v>
      </c>
      <c r="AG18" s="4">
        <f t="shared" si="22"/>
        <v>3199.2</v>
      </c>
      <c r="AH18" s="4">
        <f t="shared" si="22"/>
        <v>65643</v>
      </c>
      <c r="AI18" s="4">
        <f t="shared" si="22"/>
        <v>71726.215053763444</v>
      </c>
      <c r="AJ18" s="4">
        <f t="shared" ref="AJ18:BP18" si="23">SUMIF($B$67:$B$1313," - LC Debt",AJ67:AJ1313)</f>
        <v>892.33993205278591</v>
      </c>
      <c r="AK18" s="4">
        <f t="shared" si="23"/>
        <v>8588.6213038860005</v>
      </c>
      <c r="AL18" s="4">
        <f t="shared" si="23"/>
        <v>4086.4658892992966</v>
      </c>
      <c r="AM18" s="4">
        <f t="shared" si="23"/>
        <v>1922.9507083248875</v>
      </c>
      <c r="AN18" s="4">
        <f t="shared" si="23"/>
        <v>2747.270893036412</v>
      </c>
      <c r="AO18" s="4">
        <f t="shared" si="23"/>
        <v>1399.7246528046981</v>
      </c>
      <c r="AP18" s="4">
        <f t="shared" si="23"/>
        <v>39062.734109183875</v>
      </c>
      <c r="AQ18" s="4">
        <f t="shared" si="23"/>
        <v>88110.284546947019</v>
      </c>
      <c r="AR18" s="4">
        <f t="shared" si="23"/>
        <v>2181.0504299526524</v>
      </c>
      <c r="AS18" s="4">
        <f t="shared" si="23"/>
        <v>3051.1508418421013</v>
      </c>
      <c r="AT18" s="4">
        <f t="shared" si="23"/>
        <v>14797.841286579924</v>
      </c>
      <c r="AU18" s="4">
        <f t="shared" si="23"/>
        <v>13373.766642791816</v>
      </c>
      <c r="AV18" s="4">
        <f t="shared" si="23"/>
        <v>11781.690866401386</v>
      </c>
      <c r="AW18" s="4">
        <f t="shared" si="23"/>
        <v>3395.2031308503542</v>
      </c>
      <c r="AX18" s="4">
        <f t="shared" si="23"/>
        <v>1515.2008193429192</v>
      </c>
      <c r="AY18" s="4">
        <f t="shared" si="23"/>
        <v>1358</v>
      </c>
      <c r="AZ18" s="4">
        <f t="shared" si="23"/>
        <v>1680.9556014455343</v>
      </c>
      <c r="BA18" s="4">
        <f t="shared" si="23"/>
        <v>978</v>
      </c>
      <c r="BB18" s="4">
        <f t="shared" si="23"/>
        <v>10379</v>
      </c>
      <c r="BC18" s="4">
        <f t="shared" si="23"/>
        <v>650</v>
      </c>
      <c r="BD18" s="4">
        <f t="shared" si="23"/>
        <v>640</v>
      </c>
      <c r="BE18" s="4">
        <f t="shared" si="23"/>
        <v>9415</v>
      </c>
      <c r="BF18" s="4">
        <f t="shared" si="23"/>
        <v>621</v>
      </c>
      <c r="BG18" s="4">
        <f t="shared" si="23"/>
        <v>616</v>
      </c>
      <c r="BH18" s="4">
        <f t="shared" si="23"/>
        <v>879</v>
      </c>
      <c r="BI18" s="4">
        <f t="shared" si="23"/>
        <v>1133</v>
      </c>
      <c r="BJ18" s="4">
        <f t="shared" si="23"/>
        <v>6209.509795525104</v>
      </c>
      <c r="BK18" s="4">
        <f t="shared" si="23"/>
        <v>4428.2299999999996</v>
      </c>
      <c r="BL18" s="4">
        <f t="shared" si="23"/>
        <v>5394</v>
      </c>
      <c r="BM18" s="4">
        <f t="shared" si="23"/>
        <v>398.93993272465161</v>
      </c>
      <c r="BN18" s="4">
        <f t="shared" si="23"/>
        <v>21128.26403646652</v>
      </c>
      <c r="BO18" s="4">
        <f t="shared" si="23"/>
        <v>26580.953490589905</v>
      </c>
      <c r="BP18" s="4">
        <f t="shared" si="23"/>
        <v>11245</v>
      </c>
      <c r="BQ18" s="4">
        <f>SUMIF($B$67:$B$1313," - LC Debt",BQ67:BQ1313)</f>
        <v>474</v>
      </c>
      <c r="BR18" s="101"/>
    </row>
    <row r="19" spans="1:70" ht="15.5">
      <c r="A19" s="90"/>
      <c r="B19" s="1"/>
      <c r="C19" s="91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"/>
      <c r="BM19" s="2"/>
      <c r="BN19" s="2"/>
      <c r="BO19" s="2"/>
      <c r="BP19" s="2"/>
      <c r="BQ19" s="2"/>
      <c r="BR19" s="101"/>
    </row>
    <row r="20" spans="1:70" ht="15.5">
      <c r="A20" s="90"/>
      <c r="B20" s="1" t="s">
        <v>256</v>
      </c>
      <c r="C20" s="91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>
        <f t="shared" ref="W20:BP20" si="24">SUMIF($B$67:$B$1313," - Domestic arrears",W67:W1313)</f>
        <v>2559.1615699605641</v>
      </c>
      <c r="X20" s="4">
        <f t="shared" si="24"/>
        <v>4315.5428082050121</v>
      </c>
      <c r="Y20" s="4">
        <f t="shared" si="24"/>
        <v>3626.8652187353323</v>
      </c>
      <c r="Z20" s="4">
        <f t="shared" si="24"/>
        <v>4897.6442872490024</v>
      </c>
      <c r="AA20" s="4">
        <f t="shared" si="24"/>
        <v>4557.8465958977386</v>
      </c>
      <c r="AB20" s="4">
        <f t="shared" si="24"/>
        <v>7135.2311716441382</v>
      </c>
      <c r="AC20" s="4">
        <f t="shared" si="24"/>
        <v>15812.55055224711</v>
      </c>
      <c r="AD20" s="4">
        <f t="shared" si="24"/>
        <v>19858.922225832732</v>
      </c>
      <c r="AE20" s="4">
        <f t="shared" si="24"/>
        <v>27714.647895401697</v>
      </c>
      <c r="AF20" s="4">
        <f t="shared" si="24"/>
        <v>31708.176488571746</v>
      </c>
      <c r="AG20" s="4">
        <f t="shared" si="24"/>
        <v>47372.584069756107</v>
      </c>
      <c r="AH20" s="4">
        <f t="shared" si="24"/>
        <v>54847.220352478973</v>
      </c>
      <c r="AI20" s="4">
        <f t="shared" si="24"/>
        <v>31927.951348515438</v>
      </c>
      <c r="AJ20" s="4">
        <f t="shared" si="24"/>
        <v>55028.664065510326</v>
      </c>
      <c r="AK20" s="4">
        <f t="shared" si="24"/>
        <v>37165.404037343418</v>
      </c>
      <c r="AL20" s="4">
        <f t="shared" si="24"/>
        <v>28990.220886972471</v>
      </c>
      <c r="AM20" s="4">
        <f t="shared" si="24"/>
        <v>35661.218174519585</v>
      </c>
      <c r="AN20" s="4">
        <f t="shared" si="24"/>
        <v>46953.843198107745</v>
      </c>
      <c r="AO20" s="4">
        <f t="shared" si="24"/>
        <v>35960.59346128333</v>
      </c>
      <c r="AP20" s="4">
        <f t="shared" si="24"/>
        <v>38269.673956447215</v>
      </c>
      <c r="AQ20" s="4">
        <f t="shared" si="24"/>
        <v>46637.939243715395</v>
      </c>
      <c r="AR20" s="4">
        <f t="shared" si="24"/>
        <v>53560.471657876886</v>
      </c>
      <c r="AS20" s="4">
        <f t="shared" si="24"/>
        <v>46957.192327438512</v>
      </c>
      <c r="AT20" s="4">
        <f t="shared" si="24"/>
        <v>47916.926990919659</v>
      </c>
      <c r="AU20" s="4">
        <f t="shared" si="24"/>
        <v>51814.677096532025</v>
      </c>
      <c r="AV20" s="4">
        <f t="shared" si="24"/>
        <v>53597.748101067453</v>
      </c>
      <c r="AW20" s="4">
        <f t="shared" si="24"/>
        <v>50879.150707267443</v>
      </c>
      <c r="AX20" s="4">
        <f t="shared" si="24"/>
        <v>34928.550996243903</v>
      </c>
      <c r="AY20" s="4">
        <f t="shared" si="24"/>
        <v>52221.728653332728</v>
      </c>
      <c r="AZ20" s="4">
        <f t="shared" si="24"/>
        <v>60259.895409987788</v>
      </c>
      <c r="BA20" s="4">
        <f t="shared" si="24"/>
        <v>68115.011355297203</v>
      </c>
      <c r="BB20" s="4">
        <f t="shared" si="24"/>
        <v>67597.327169241456</v>
      </c>
      <c r="BC20" s="4">
        <f t="shared" si="24"/>
        <v>88017.174778111992</v>
      </c>
      <c r="BD20" s="4">
        <f t="shared" si="24"/>
        <v>98000.392456217771</v>
      </c>
      <c r="BE20" s="4">
        <f t="shared" si="24"/>
        <v>103210.11749541569</v>
      </c>
      <c r="BF20" s="4">
        <f t="shared" si="24"/>
        <v>135662.18566646037</v>
      </c>
      <c r="BG20" s="4">
        <f t="shared" si="24"/>
        <v>207381.85641354948</v>
      </c>
      <c r="BH20" s="4">
        <f t="shared" si="24"/>
        <v>226757.80887406328</v>
      </c>
      <c r="BI20" s="4">
        <f t="shared" si="24"/>
        <v>208488.43781639796</v>
      </c>
      <c r="BJ20" s="4">
        <f t="shared" si="24"/>
        <v>175259.786837044</v>
      </c>
      <c r="BK20" s="4">
        <f t="shared" si="24"/>
        <v>206746.96425576121</v>
      </c>
      <c r="BL20" s="4">
        <f t="shared" si="24"/>
        <v>206210.17843304353</v>
      </c>
      <c r="BM20" s="4">
        <f t="shared" si="24"/>
        <v>222779.10319028661</v>
      </c>
      <c r="BN20" s="4">
        <f t="shared" si="24"/>
        <v>151077.17140838178</v>
      </c>
      <c r="BO20" s="4">
        <f t="shared" si="24"/>
        <v>132959.23332908537</v>
      </c>
      <c r="BP20" s="4">
        <f t="shared" si="24"/>
        <v>121833.51597690092</v>
      </c>
      <c r="BQ20" s="4">
        <f>SUMIF($B$67:$B$1313," - Domestic arrears",BQ67:BQ1313)</f>
        <v>87543.041857423159</v>
      </c>
      <c r="BR20" s="101"/>
    </row>
    <row r="21" spans="1:70" ht="15.5">
      <c r="A21" s="90"/>
      <c r="B21" s="1" t="s">
        <v>240</v>
      </c>
      <c r="C21" s="91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1"/>
      <c r="U21" s="11"/>
      <c r="V21" s="11"/>
      <c r="W21" s="11">
        <f t="shared" ref="W21:BP21" si="25">(W20/W7)*100</f>
        <v>7.0492406068950224</v>
      </c>
      <c r="X21" s="11">
        <f t="shared" si="25"/>
        <v>12.008394976631649</v>
      </c>
      <c r="Y21" s="11">
        <f t="shared" si="25"/>
        <v>9.7785479897111216</v>
      </c>
      <c r="Z21" s="11">
        <f t="shared" si="25"/>
        <v>7.1165850993985256</v>
      </c>
      <c r="AA21" s="11">
        <f t="shared" si="25"/>
        <v>3.6059636589941846</v>
      </c>
      <c r="AB21" s="11">
        <f t="shared" si="25"/>
        <v>4.9940559497301029</v>
      </c>
      <c r="AC21" s="11">
        <f t="shared" si="25"/>
        <v>8.5900970518203081</v>
      </c>
      <c r="AD21" s="11">
        <f t="shared" si="25"/>
        <v>7.440823832712951</v>
      </c>
      <c r="AE21" s="11">
        <f t="shared" si="25"/>
        <v>7.5821906631806355</v>
      </c>
      <c r="AF21" s="11">
        <f t="shared" si="25"/>
        <v>10.432388778518355</v>
      </c>
      <c r="AG21" s="11">
        <f t="shared" si="25"/>
        <v>13.23201853032916</v>
      </c>
      <c r="AH21" s="11">
        <f t="shared" si="25"/>
        <v>11.648437438699883</v>
      </c>
      <c r="AI21" s="11">
        <f t="shared" si="25"/>
        <v>7.8568405503973535</v>
      </c>
      <c r="AJ21" s="11">
        <f t="shared" si="25"/>
        <v>19.01146604082664</v>
      </c>
      <c r="AK21" s="11">
        <f t="shared" si="25"/>
        <v>10.212434541537052</v>
      </c>
      <c r="AL21" s="11">
        <f t="shared" si="25"/>
        <v>7.8858239809360073</v>
      </c>
      <c r="AM21" s="11">
        <f t="shared" si="25"/>
        <v>13.290767996616434</v>
      </c>
      <c r="AN21" s="11">
        <f t="shared" si="25"/>
        <v>16.507018604388861</v>
      </c>
      <c r="AO21" s="11">
        <f t="shared" si="25"/>
        <v>14.848631528134003</v>
      </c>
      <c r="AP21" s="11">
        <f t="shared" si="25"/>
        <v>14.273316939006545</v>
      </c>
      <c r="AQ21" s="11">
        <f t="shared" si="25"/>
        <v>13.340663643307114</v>
      </c>
      <c r="AR21" s="11">
        <f t="shared" si="25"/>
        <v>19.533014718493817</v>
      </c>
      <c r="AS21" s="11">
        <f t="shared" si="25"/>
        <v>15.032144719474672</v>
      </c>
      <c r="AT21" s="11">
        <f t="shared" si="25"/>
        <v>15.236022445847819</v>
      </c>
      <c r="AU21" s="11">
        <f t="shared" si="25"/>
        <v>13.972244343011022</v>
      </c>
      <c r="AV21" s="11">
        <f t="shared" si="25"/>
        <v>14.460976560856398</v>
      </c>
      <c r="AW21" s="11">
        <f t="shared" si="25"/>
        <v>13.594713170885731</v>
      </c>
      <c r="AX21" s="11">
        <f t="shared" si="25"/>
        <v>12.442857684488349</v>
      </c>
      <c r="AY21" s="11">
        <f t="shared" si="25"/>
        <v>24.514268525326198</v>
      </c>
      <c r="AZ21" s="11">
        <f t="shared" si="25"/>
        <v>28.262128149711312</v>
      </c>
      <c r="BA21" s="11">
        <f t="shared" si="25"/>
        <v>33.730156758192145</v>
      </c>
      <c r="BB21" s="11">
        <f t="shared" si="25"/>
        <v>33.183775746438258</v>
      </c>
      <c r="BC21" s="11">
        <f t="shared" si="25"/>
        <v>52.037157107508634</v>
      </c>
      <c r="BD21" s="11">
        <f t="shared" si="25"/>
        <v>19.971791033883036</v>
      </c>
      <c r="BE21" s="11">
        <f t="shared" si="25"/>
        <v>19.864338767781245</v>
      </c>
      <c r="BF21" s="11">
        <f t="shared" si="25"/>
        <v>60.301490258214898</v>
      </c>
      <c r="BG21" s="11">
        <f t="shared" si="25"/>
        <v>104.00318982822905</v>
      </c>
      <c r="BH21" s="11">
        <f t="shared" si="25"/>
        <v>92.069280239780909</v>
      </c>
      <c r="BI21" s="11">
        <f t="shared" si="25"/>
        <v>80.656028883496518</v>
      </c>
      <c r="BJ21" s="11">
        <f t="shared" si="25"/>
        <v>40.41008139431986</v>
      </c>
      <c r="BK21" s="11">
        <f t="shared" si="25"/>
        <v>72.143857297828561</v>
      </c>
      <c r="BL21" s="11">
        <f t="shared" si="25"/>
        <v>47.638052478374775</v>
      </c>
      <c r="BM21" s="11">
        <f t="shared" si="25"/>
        <v>61.320439837112374</v>
      </c>
      <c r="BN21" s="11">
        <f t="shared" si="25"/>
        <v>28.633628082707123</v>
      </c>
      <c r="BO21" s="11">
        <f t="shared" si="25"/>
        <v>25.742295688463031</v>
      </c>
      <c r="BP21" s="11">
        <f t="shared" si="25"/>
        <v>25.10268247912596</v>
      </c>
      <c r="BQ21" s="11">
        <f>(BQ20/BQ7)*100</f>
        <v>20.214577606433139</v>
      </c>
      <c r="BR21" s="101"/>
    </row>
    <row r="22" spans="1:70" ht="15.5">
      <c r="A22" s="90"/>
      <c r="B22" s="1"/>
      <c r="C22" s="91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4"/>
      <c r="AI22" s="4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2"/>
      <c r="BP22" s="2"/>
      <c r="BQ22" s="2"/>
      <c r="BR22" s="101"/>
    </row>
    <row r="23" spans="1:70" ht="15.5">
      <c r="A23" s="90"/>
      <c r="B23" s="1" t="s">
        <v>178</v>
      </c>
      <c r="C23" s="91"/>
      <c r="D23" s="9">
        <f t="shared" ref="D23:AI23" si="26">D7</f>
        <v>13353.272521999999</v>
      </c>
      <c r="E23" s="9">
        <f t="shared" si="26"/>
        <v>15269.615335993711</v>
      </c>
      <c r="F23" s="9">
        <f t="shared" si="26"/>
        <v>14661.346068553456</v>
      </c>
      <c r="G23" s="9">
        <f t="shared" si="26"/>
        <v>15053.833950415594</v>
      </c>
      <c r="H23" s="9">
        <f t="shared" si="26"/>
        <v>16915.69046755222</v>
      </c>
      <c r="I23" s="9">
        <f t="shared" si="26"/>
        <v>18444.357035854311</v>
      </c>
      <c r="J23" s="9">
        <f t="shared" si="26"/>
        <v>17567.800840179283</v>
      </c>
      <c r="K23" s="9">
        <f t="shared" si="26"/>
        <v>15163.151986994559</v>
      </c>
      <c r="L23" s="9">
        <f t="shared" si="26"/>
        <v>16162.992486683142</v>
      </c>
      <c r="M23" s="9">
        <f t="shared" si="26"/>
        <v>16552.613825630469</v>
      </c>
      <c r="N23" s="9">
        <f t="shared" si="26"/>
        <v>20355.720306994641</v>
      </c>
      <c r="O23" s="9">
        <f t="shared" si="26"/>
        <v>17852.679237415414</v>
      </c>
      <c r="P23" s="9">
        <f t="shared" si="26"/>
        <v>18859.763939151522</v>
      </c>
      <c r="Q23" s="9">
        <f t="shared" si="26"/>
        <v>18777.155016524957</v>
      </c>
      <c r="R23" s="9">
        <f t="shared" si="26"/>
        <v>20451.606370045411</v>
      </c>
      <c r="S23" s="9">
        <f t="shared" si="26"/>
        <v>19242.877495678164</v>
      </c>
      <c r="T23" s="9">
        <f t="shared" si="26"/>
        <v>19639.32761249087</v>
      </c>
      <c r="U23" s="9">
        <f t="shared" si="26"/>
        <v>28046.212189266123</v>
      </c>
      <c r="V23" s="9">
        <f t="shared" si="26"/>
        <v>30554.740287968943</v>
      </c>
      <c r="W23" s="9">
        <f t="shared" si="26"/>
        <v>36304.074618440318</v>
      </c>
      <c r="X23" s="9">
        <f t="shared" si="26"/>
        <v>35937.715378308785</v>
      </c>
      <c r="Y23" s="9">
        <f t="shared" si="26"/>
        <v>37090.0180942148</v>
      </c>
      <c r="Z23" s="9">
        <f t="shared" si="26"/>
        <v>68820.146444436366</v>
      </c>
      <c r="AA23" s="9">
        <f t="shared" si="26"/>
        <v>126397.46339454413</v>
      </c>
      <c r="AB23" s="9">
        <f t="shared" si="26"/>
        <v>142874.47404408338</v>
      </c>
      <c r="AC23" s="9">
        <f t="shared" si="26"/>
        <v>184078.83469600973</v>
      </c>
      <c r="AD23" s="9">
        <f t="shared" si="26"/>
        <v>266891.44471509545</v>
      </c>
      <c r="AE23" s="9">
        <f t="shared" si="26"/>
        <v>365522.96198491723</v>
      </c>
      <c r="AF23" s="9">
        <f t="shared" si="26"/>
        <v>303939.75111302413</v>
      </c>
      <c r="AG23" s="9">
        <f t="shared" si="26"/>
        <v>358014.79540837422</v>
      </c>
      <c r="AH23" s="9">
        <f t="shared" si="26"/>
        <v>470854.74460513255</v>
      </c>
      <c r="AI23" s="9">
        <f t="shared" si="26"/>
        <v>406371.37973864959</v>
      </c>
      <c r="AJ23" s="9">
        <f t="shared" ref="AJ23:BO23" si="27">AJ7</f>
        <v>289449.8717107753</v>
      </c>
      <c r="AK23" s="9">
        <f t="shared" si="27"/>
        <v>363923.05758416868</v>
      </c>
      <c r="AL23" s="9">
        <f t="shared" si="27"/>
        <v>367624.49881022424</v>
      </c>
      <c r="AM23" s="9">
        <f t="shared" si="27"/>
        <v>268315.70744142268</v>
      </c>
      <c r="AN23" s="9">
        <f t="shared" si="27"/>
        <v>284447.75112583762</v>
      </c>
      <c r="AO23" s="9">
        <f t="shared" si="27"/>
        <v>242181.19624793748</v>
      </c>
      <c r="AP23" s="9">
        <f t="shared" si="27"/>
        <v>268120.39640108257</v>
      </c>
      <c r="AQ23" s="9">
        <f t="shared" si="27"/>
        <v>349592.34780732379</v>
      </c>
      <c r="AR23" s="9">
        <f t="shared" si="27"/>
        <v>274204.83949754026</v>
      </c>
      <c r="AS23" s="9">
        <f t="shared" si="27"/>
        <v>312378.52750714822</v>
      </c>
      <c r="AT23" s="9">
        <f t="shared" si="27"/>
        <v>314497.61354203155</v>
      </c>
      <c r="AU23" s="9">
        <f t="shared" si="27"/>
        <v>370840.04419411655</v>
      </c>
      <c r="AV23" s="9">
        <f t="shared" si="27"/>
        <v>370637.12727498764</v>
      </c>
      <c r="AW23" s="9">
        <f t="shared" si="27"/>
        <v>374256.88992269145</v>
      </c>
      <c r="AX23" s="9">
        <f t="shared" si="27"/>
        <v>280711.64905941917</v>
      </c>
      <c r="AY23" s="9">
        <f t="shared" si="27"/>
        <v>213025.84900455576</v>
      </c>
      <c r="AZ23" s="9">
        <f t="shared" si="27"/>
        <v>213217.82666463256</v>
      </c>
      <c r="BA23" s="9">
        <f t="shared" si="27"/>
        <v>201940.98664766477</v>
      </c>
      <c r="BB23" s="9">
        <f t="shared" si="27"/>
        <v>203705.95463807922</v>
      </c>
      <c r="BC23" s="9">
        <f t="shared" si="27"/>
        <v>169142.93491527357</v>
      </c>
      <c r="BD23" s="9">
        <f t="shared" si="27"/>
        <v>490694.0608879581</v>
      </c>
      <c r="BE23" s="9">
        <f t="shared" si="27"/>
        <v>519574.89600819862</v>
      </c>
      <c r="BF23" s="9">
        <f t="shared" si="27"/>
        <v>224973.18902989975</v>
      </c>
      <c r="BG23" s="9">
        <f t="shared" si="27"/>
        <v>199399.51529954025</v>
      </c>
      <c r="BH23" s="9">
        <f t="shared" si="27"/>
        <v>246290.41118112998</v>
      </c>
      <c r="BI23" s="9">
        <f t="shared" si="27"/>
        <v>258490.82914502124</v>
      </c>
      <c r="BJ23" s="9">
        <f t="shared" si="27"/>
        <v>433703.12751134159</v>
      </c>
      <c r="BK23" s="4">
        <f t="shared" si="27"/>
        <v>286575.97749764903</v>
      </c>
      <c r="BL23" s="4">
        <f t="shared" si="27"/>
        <v>432868.61595916905</v>
      </c>
      <c r="BM23" s="4">
        <f t="shared" si="27"/>
        <v>363303.1722897985</v>
      </c>
      <c r="BN23" s="4">
        <f t="shared" si="27"/>
        <v>527621.47699900705</v>
      </c>
      <c r="BO23" s="4">
        <f t="shared" si="27"/>
        <v>516501.0725468201</v>
      </c>
      <c r="BP23" s="4">
        <f>BP7</f>
        <v>485340.62476474821</v>
      </c>
      <c r="BQ23" s="4">
        <f>BQ7</f>
        <v>433068.86526069802</v>
      </c>
      <c r="BR23" s="101"/>
    </row>
    <row r="24" spans="1:70" ht="15.5">
      <c r="A24" s="90"/>
      <c r="B24" s="1" t="s">
        <v>175</v>
      </c>
      <c r="C24" s="91"/>
      <c r="D24" s="9">
        <f t="shared" ref="D24:AI24" si="28">D371+D495+D600+D943+D947+D1219</f>
        <v>368.60159999999996</v>
      </c>
      <c r="E24" s="9">
        <f t="shared" si="28"/>
        <v>377.75479999999999</v>
      </c>
      <c r="F24" s="9">
        <f t="shared" si="28"/>
        <v>386.90800000000002</v>
      </c>
      <c r="G24" s="9">
        <f t="shared" si="28"/>
        <v>301.08119999999991</v>
      </c>
      <c r="H24" s="9">
        <f t="shared" si="28"/>
        <v>307.64439999999991</v>
      </c>
      <c r="I24" s="9">
        <f t="shared" si="28"/>
        <v>314.2075999999999</v>
      </c>
      <c r="J24" s="9">
        <f t="shared" si="28"/>
        <v>0</v>
      </c>
      <c r="K24" s="9">
        <f t="shared" si="28"/>
        <v>0</v>
      </c>
      <c r="L24" s="9">
        <f t="shared" si="28"/>
        <v>0</v>
      </c>
      <c r="M24" s="9">
        <f t="shared" si="28"/>
        <v>0</v>
      </c>
      <c r="N24" s="9">
        <f t="shared" si="28"/>
        <v>0</v>
      </c>
      <c r="O24" s="9">
        <f t="shared" si="28"/>
        <v>0</v>
      </c>
      <c r="P24" s="9">
        <f t="shared" si="28"/>
        <v>0</v>
      </c>
      <c r="Q24" s="9">
        <f t="shared" si="28"/>
        <v>0</v>
      </c>
      <c r="R24" s="9">
        <f t="shared" si="28"/>
        <v>0</v>
      </c>
      <c r="S24" s="9">
        <f t="shared" si="28"/>
        <v>0</v>
      </c>
      <c r="T24" s="9">
        <f t="shared" si="28"/>
        <v>0</v>
      </c>
      <c r="U24" s="9">
        <f t="shared" si="28"/>
        <v>0</v>
      </c>
      <c r="V24" s="9">
        <f t="shared" si="28"/>
        <v>0</v>
      </c>
      <c r="W24" s="9">
        <f t="shared" si="28"/>
        <v>728.77725000000009</v>
      </c>
      <c r="X24" s="9">
        <f t="shared" si="28"/>
        <v>798.76215000000002</v>
      </c>
      <c r="Y24" s="9">
        <f t="shared" si="28"/>
        <v>651.48300000000006</v>
      </c>
      <c r="Z24" s="9">
        <f t="shared" si="28"/>
        <v>559.90890000000013</v>
      </c>
      <c r="AA24" s="9">
        <f t="shared" si="28"/>
        <v>497.3725</v>
      </c>
      <c r="AB24" s="9">
        <f t="shared" si="28"/>
        <v>413.98499999999996</v>
      </c>
      <c r="AC24" s="9">
        <f t="shared" si="28"/>
        <v>525.25750000000005</v>
      </c>
      <c r="AD24" s="9">
        <f t="shared" si="28"/>
        <v>547.78374999999994</v>
      </c>
      <c r="AE24" s="9">
        <f t="shared" si="28"/>
        <v>708.19299999999998</v>
      </c>
      <c r="AF24" s="9">
        <f t="shared" si="28"/>
        <v>689.94275000000005</v>
      </c>
      <c r="AG24" s="9">
        <f t="shared" si="28"/>
        <v>624.81150000000002</v>
      </c>
      <c r="AH24" s="9">
        <f t="shared" si="28"/>
        <v>746.32950000000005</v>
      </c>
      <c r="AI24" s="9">
        <f t="shared" si="28"/>
        <v>722.14200000000005</v>
      </c>
      <c r="AJ24" s="9">
        <f t="shared" ref="AJ24:BP24" si="29">AJ371+AJ495+AJ600+AJ943+AJ947+AJ1219</f>
        <v>585.53099999999995</v>
      </c>
      <c r="AK24" s="9">
        <f t="shared" si="29"/>
        <v>571.79250000000002</v>
      </c>
      <c r="AL24" s="9">
        <f t="shared" si="29"/>
        <v>606.2355</v>
      </c>
      <c r="AM24" s="9">
        <f t="shared" si="29"/>
        <v>601.20450000000005</v>
      </c>
      <c r="AN24" s="9">
        <f t="shared" si="29"/>
        <v>662.66009999999994</v>
      </c>
      <c r="AO24" s="9">
        <f t="shared" si="29"/>
        <v>635.72490000000005</v>
      </c>
      <c r="AP24" s="9">
        <f t="shared" si="29"/>
        <v>643.50360000000001</v>
      </c>
      <c r="AQ24" s="9">
        <f t="shared" si="29"/>
        <v>625.005</v>
      </c>
      <c r="AR24" s="9">
        <f t="shared" si="29"/>
        <v>578.75850000000003</v>
      </c>
      <c r="AS24" s="9">
        <f t="shared" si="29"/>
        <v>562.81409999999994</v>
      </c>
      <c r="AT24" s="9">
        <f t="shared" si="29"/>
        <v>622.87649999999996</v>
      </c>
      <c r="AU24" s="9">
        <f t="shared" si="29"/>
        <v>690.48540000000003</v>
      </c>
      <c r="AV24" s="9">
        <f t="shared" si="29"/>
        <v>741.49199999999996</v>
      </c>
      <c r="AW24" s="9">
        <f t="shared" si="29"/>
        <v>665.17560000000003</v>
      </c>
      <c r="AX24" s="9">
        <f t="shared" si="29"/>
        <v>757.97820000000002</v>
      </c>
      <c r="AY24" s="9">
        <f t="shared" si="29"/>
        <v>767.92409999999995</v>
      </c>
      <c r="AZ24" s="9">
        <f t="shared" si="29"/>
        <v>565.75530000000003</v>
      </c>
      <c r="BA24" s="9">
        <f t="shared" si="29"/>
        <v>625.66290000000004</v>
      </c>
      <c r="BB24" s="9">
        <f t="shared" si="29"/>
        <v>595.67039999999997</v>
      </c>
      <c r="BC24" s="9">
        <f t="shared" si="29"/>
        <v>601.28190000000006</v>
      </c>
      <c r="BD24" s="9">
        <f t="shared" si="29"/>
        <v>313049.3394</v>
      </c>
      <c r="BE24" s="9">
        <f t="shared" si="29"/>
        <v>356160.6502467668</v>
      </c>
      <c r="BF24" s="9">
        <f t="shared" si="29"/>
        <v>602.86860000000001</v>
      </c>
      <c r="BG24" s="9">
        <f t="shared" si="29"/>
        <v>3895.6702</v>
      </c>
      <c r="BH24" s="9">
        <f t="shared" si="29"/>
        <v>26381.441900000002</v>
      </c>
      <c r="BI24" s="9">
        <f t="shared" si="29"/>
        <v>47125.5723</v>
      </c>
      <c r="BJ24" s="9">
        <f t="shared" si="29"/>
        <v>161382.92809999999</v>
      </c>
      <c r="BK24" s="9">
        <f t="shared" si="29"/>
        <v>53813.510300000002</v>
      </c>
      <c r="BL24" s="9">
        <f t="shared" si="29"/>
        <v>57177.719400000002</v>
      </c>
      <c r="BM24" s="9">
        <f t="shared" si="29"/>
        <v>60520.45</v>
      </c>
      <c r="BN24" s="9">
        <f t="shared" si="29"/>
        <v>61734.982400000001</v>
      </c>
      <c r="BO24" s="9">
        <f t="shared" si="29"/>
        <v>0</v>
      </c>
      <c r="BP24" s="9">
        <f t="shared" si="29"/>
        <v>0</v>
      </c>
      <c r="BQ24" s="9">
        <f>BQ371+BQ495+BQ600+BQ943+BQ947+BQ1219</f>
        <v>0</v>
      </c>
      <c r="BR24" s="101"/>
    </row>
    <row r="25" spans="1:70" ht="15.5">
      <c r="A25" s="90"/>
      <c r="B25" s="1" t="s">
        <v>176</v>
      </c>
      <c r="C25" s="91"/>
      <c r="D25" s="9">
        <f t="shared" ref="D25:AI25" si="30">D111+D122+D131+D151+D160+D200+D209+D285+D291+D332+D351+D393+D403+D413+D421+D459+D478+D510+D569+D572+D576+D590+D603+D622+D628+D665+D763+D782+D793+D862+D872+D886+D904+D915+D927+D935+D950+D1013+D1075+D1086+D1152+D1172+D1177+D1185+D1209+D1222+D1229+D1250+D1261</f>
        <v>12216.263422</v>
      </c>
      <c r="E25" s="9">
        <f t="shared" si="30"/>
        <v>13841.92893599371</v>
      </c>
      <c r="F25" s="9">
        <f t="shared" si="30"/>
        <v>13501.604868553457</v>
      </c>
      <c r="G25" s="9">
        <f t="shared" si="30"/>
        <v>13785.917950415596</v>
      </c>
      <c r="H25" s="9">
        <f t="shared" si="30"/>
        <v>14945.809667552221</v>
      </c>
      <c r="I25" s="9">
        <f t="shared" si="30"/>
        <v>16247.24316537431</v>
      </c>
      <c r="J25" s="9">
        <f t="shared" si="30"/>
        <v>16447.604115109283</v>
      </c>
      <c r="K25" s="9">
        <f t="shared" si="30"/>
        <v>14540.95911871456</v>
      </c>
      <c r="L25" s="9">
        <f t="shared" si="30"/>
        <v>15505.920700183144</v>
      </c>
      <c r="M25" s="9">
        <f t="shared" si="30"/>
        <v>16203.25452091047</v>
      </c>
      <c r="N25" s="9">
        <f t="shared" si="30"/>
        <v>19999.784401466892</v>
      </c>
      <c r="O25" s="9">
        <f t="shared" si="30"/>
        <v>17442.918071875916</v>
      </c>
      <c r="P25" s="9">
        <f t="shared" si="30"/>
        <v>17755.082465856023</v>
      </c>
      <c r="Q25" s="9">
        <f t="shared" si="30"/>
        <v>17697.197007244959</v>
      </c>
      <c r="R25" s="9">
        <f t="shared" si="30"/>
        <v>18881.779186670159</v>
      </c>
      <c r="S25" s="9">
        <f t="shared" si="30"/>
        <v>17455.501588847186</v>
      </c>
      <c r="T25" s="9">
        <f t="shared" si="30"/>
        <v>16946.219699281763</v>
      </c>
      <c r="U25" s="9">
        <f t="shared" si="30"/>
        <v>24973.302982431698</v>
      </c>
      <c r="V25" s="9">
        <f t="shared" si="30"/>
        <v>25394.719439107794</v>
      </c>
      <c r="W25" s="9">
        <f t="shared" si="30"/>
        <v>27329.335884512107</v>
      </c>
      <c r="X25" s="9">
        <f t="shared" si="30"/>
        <v>27821.41847641566</v>
      </c>
      <c r="Y25" s="9">
        <f t="shared" si="30"/>
        <v>29119.401891191115</v>
      </c>
      <c r="Z25" s="9">
        <f t="shared" si="30"/>
        <v>56701.664718302702</v>
      </c>
      <c r="AA25" s="9">
        <f t="shared" si="30"/>
        <v>108321.86427337691</v>
      </c>
      <c r="AB25" s="9">
        <f t="shared" si="30"/>
        <v>120595.57096593537</v>
      </c>
      <c r="AC25" s="9">
        <f t="shared" si="30"/>
        <v>148651.52527609078</v>
      </c>
      <c r="AD25" s="9">
        <f t="shared" si="30"/>
        <v>224133.34181400188</v>
      </c>
      <c r="AE25" s="9">
        <f t="shared" si="30"/>
        <v>311865.63352853578</v>
      </c>
      <c r="AF25" s="9">
        <f t="shared" si="30"/>
        <v>240577.55786293806</v>
      </c>
      <c r="AG25" s="9">
        <f t="shared" si="30"/>
        <v>282721.32292106358</v>
      </c>
      <c r="AH25" s="9">
        <f t="shared" si="30"/>
        <v>392161.11911882361</v>
      </c>
      <c r="AI25" s="9">
        <f t="shared" si="30"/>
        <v>327849.05986640329</v>
      </c>
      <c r="AJ25" s="9">
        <f t="shared" ref="AJ25:BP25" si="31">AJ111+AJ122+AJ131+AJ151+AJ160+AJ200+AJ209+AJ285+AJ291+AJ332+AJ351+AJ393+AJ403+AJ413+AJ421+AJ459+AJ478+AJ510+AJ569+AJ572+AJ576+AJ590+AJ603+AJ622+AJ628+AJ665+AJ763+AJ782+AJ793+AJ862+AJ872+AJ886+AJ904+AJ915+AJ927+AJ935+AJ950+AJ1013+AJ1075+AJ1086+AJ1152+AJ1172+AJ1177+AJ1185+AJ1209+AJ1222+AJ1229+AJ1250+AJ1261</f>
        <v>212456.55430120853</v>
      </c>
      <c r="AK25" s="9">
        <f t="shared" si="31"/>
        <v>276432.48944669787</v>
      </c>
      <c r="AL25" s="9">
        <f t="shared" si="31"/>
        <v>251978.97744966019</v>
      </c>
      <c r="AM25" s="9">
        <f t="shared" si="31"/>
        <v>145411.27895601408</v>
      </c>
      <c r="AN25" s="9">
        <f t="shared" si="31"/>
        <v>177886.06842355488</v>
      </c>
      <c r="AO25" s="9">
        <f t="shared" si="31"/>
        <v>143607.94872509103</v>
      </c>
      <c r="AP25" s="9">
        <f t="shared" si="31"/>
        <v>174530.67091992308</v>
      </c>
      <c r="AQ25" s="9">
        <f t="shared" si="31"/>
        <v>267891.75777135621</v>
      </c>
      <c r="AR25" s="9">
        <f t="shared" si="31"/>
        <v>186043.30636811137</v>
      </c>
      <c r="AS25" s="9">
        <f t="shared" si="31"/>
        <v>215929.26597769259</v>
      </c>
      <c r="AT25" s="9">
        <f t="shared" si="31"/>
        <v>229420.88466338956</v>
      </c>
      <c r="AU25" s="9">
        <f t="shared" si="31"/>
        <v>290221.8361739649</v>
      </c>
      <c r="AV25" s="9">
        <f t="shared" si="31"/>
        <v>269848.75781739852</v>
      </c>
      <c r="AW25" s="9">
        <f t="shared" si="31"/>
        <v>268531.60928051465</v>
      </c>
      <c r="AX25" s="9">
        <f t="shared" si="31"/>
        <v>150647.50829585956</v>
      </c>
      <c r="AY25" s="9">
        <f t="shared" si="31"/>
        <v>113967.29787820003</v>
      </c>
      <c r="AZ25" s="9">
        <f t="shared" si="31"/>
        <v>108592.0795449283</v>
      </c>
      <c r="BA25" s="9">
        <f t="shared" si="31"/>
        <v>104059.96864196601</v>
      </c>
      <c r="BB25" s="9">
        <f t="shared" si="31"/>
        <v>85986.628044600002</v>
      </c>
      <c r="BC25" s="9">
        <f t="shared" si="31"/>
        <v>65106.171898600012</v>
      </c>
      <c r="BD25" s="9">
        <f t="shared" si="31"/>
        <v>71774.536175100002</v>
      </c>
      <c r="BE25" s="9">
        <f t="shared" si="31"/>
        <v>77309.637811099994</v>
      </c>
      <c r="BF25" s="9">
        <f t="shared" si="31"/>
        <v>110482.1033497</v>
      </c>
      <c r="BG25" s="9">
        <f t="shared" si="31"/>
        <v>113506.83060689998</v>
      </c>
      <c r="BH25" s="9">
        <f t="shared" si="31"/>
        <v>131892.032218301</v>
      </c>
      <c r="BI25" s="9">
        <f t="shared" si="31"/>
        <v>125444.97814590001</v>
      </c>
      <c r="BJ25" s="9">
        <f t="shared" si="31"/>
        <v>180439.84470065596</v>
      </c>
      <c r="BK25" s="9">
        <f t="shared" si="31"/>
        <v>152033.5880403</v>
      </c>
      <c r="BL25" s="9">
        <f t="shared" si="31"/>
        <v>263793.49777292926</v>
      </c>
      <c r="BM25" s="9">
        <f t="shared" si="31"/>
        <v>193445.66971275408</v>
      </c>
      <c r="BN25" s="9">
        <f t="shared" si="31"/>
        <v>345112.79070130002</v>
      </c>
      <c r="BO25" s="9">
        <f t="shared" si="31"/>
        <v>377206.10390081478</v>
      </c>
      <c r="BP25" s="9">
        <f t="shared" si="31"/>
        <v>371876.80064100004</v>
      </c>
      <c r="BQ25" s="9">
        <f>BQ111+BQ122+BQ131+BQ151+BQ160+BQ200+BQ209+BQ285+BQ291+BQ332+BQ351+BQ393+BQ403+BQ413+BQ421+BQ459+BQ478+BQ510+BQ569+BQ572+BQ576+BQ590+BQ603+BQ622+BQ628+BQ665+BQ763+BQ782+BQ793+BQ862+BQ872+BQ886+BQ904+BQ915+BQ927+BQ935+BQ950+BQ1013+BQ1075+BQ1086+BQ1152+BQ1172+BQ1177+BQ1185+BQ1209+BQ1222+BQ1229+BQ1250+BQ1261</f>
        <v>340661.4484233</v>
      </c>
      <c r="BR25" s="101"/>
    </row>
    <row r="26" spans="1:70" ht="15.5">
      <c r="A26" s="90"/>
      <c r="B26" s="1" t="s">
        <v>174</v>
      </c>
      <c r="C26" s="91"/>
      <c r="D26" s="9">
        <f t="shared" ref="D26:AI26" si="32">D67+D165+D175+D217+D224+D249+D258+D268+D296+D305+D316+D340+D445+D468+D485+D520+D529+D538+D548+D557+D681+D711+D720+D738+D750+D800+D838+D852+D960+D996+D1005+D1035+D1066+D1096+D1142+D1157+D1201+D1291</f>
        <v>454.34699999999998</v>
      </c>
      <c r="E26" s="9">
        <f t="shared" si="32"/>
        <v>491.8</v>
      </c>
      <c r="F26" s="9">
        <f t="shared" si="32"/>
        <v>488.23050000000001</v>
      </c>
      <c r="G26" s="9">
        <f t="shared" si="32"/>
        <v>659.96100000000001</v>
      </c>
      <c r="H26" s="9">
        <f t="shared" si="32"/>
        <v>855.0915</v>
      </c>
      <c r="I26" s="9">
        <f t="shared" si="32"/>
        <v>1005.0219999999999</v>
      </c>
      <c r="J26" s="9">
        <f t="shared" si="32"/>
        <v>562.55500000000006</v>
      </c>
      <c r="K26" s="9">
        <f t="shared" si="32"/>
        <v>156.298</v>
      </c>
      <c r="L26" s="9">
        <f t="shared" si="32"/>
        <v>459.89100000000002</v>
      </c>
      <c r="M26" s="9">
        <f t="shared" si="32"/>
        <v>161.834</v>
      </c>
      <c r="N26" s="9">
        <f t="shared" si="32"/>
        <v>92.152325600000012</v>
      </c>
      <c r="O26" s="9">
        <f t="shared" si="32"/>
        <v>121.29408150000003</v>
      </c>
      <c r="P26" s="9">
        <f t="shared" si="32"/>
        <v>305.9131107</v>
      </c>
      <c r="Q26" s="9">
        <f t="shared" si="32"/>
        <v>440.57943689999996</v>
      </c>
      <c r="R26" s="9">
        <f t="shared" si="32"/>
        <v>672.22876259999987</v>
      </c>
      <c r="S26" s="9">
        <f t="shared" si="32"/>
        <v>738.90085909999993</v>
      </c>
      <c r="T26" s="9">
        <f t="shared" si="32"/>
        <v>1783.5558125</v>
      </c>
      <c r="U26" s="9">
        <f t="shared" si="32"/>
        <v>2153.4136782000005</v>
      </c>
      <c r="V26" s="9">
        <f t="shared" si="32"/>
        <v>4138.859720800001</v>
      </c>
      <c r="W26" s="9">
        <f t="shared" si="32"/>
        <v>7157.604610899999</v>
      </c>
      <c r="X26" s="9">
        <f t="shared" si="32"/>
        <v>6234.5676758</v>
      </c>
      <c r="Y26" s="9">
        <f t="shared" si="32"/>
        <v>6212.7121758000012</v>
      </c>
      <c r="Z26" s="9">
        <f t="shared" si="32"/>
        <v>9282.1308688500012</v>
      </c>
      <c r="AA26" s="9">
        <f t="shared" si="32"/>
        <v>10634.353000000003</v>
      </c>
      <c r="AB26" s="9">
        <f t="shared" si="32"/>
        <v>11843.700329113761</v>
      </c>
      <c r="AC26" s="9">
        <f t="shared" si="32"/>
        <v>17185.682563714006</v>
      </c>
      <c r="AD26" s="9">
        <f t="shared" si="32"/>
        <v>18959.667421418111</v>
      </c>
      <c r="AE26" s="9">
        <f t="shared" si="32"/>
        <v>27418.246686757338</v>
      </c>
      <c r="AF26" s="9">
        <f t="shared" si="32"/>
        <v>31563.070029972321</v>
      </c>
      <c r="AG26" s="9">
        <f t="shared" si="32"/>
        <v>41590.377059980725</v>
      </c>
      <c r="AH26" s="9">
        <f t="shared" si="32"/>
        <v>44717.148693921685</v>
      </c>
      <c r="AI26" s="9">
        <f t="shared" si="32"/>
        <v>48477.094557287186</v>
      </c>
      <c r="AJ26" s="9">
        <f t="shared" ref="AJ26:BP26" si="33">AJ67+AJ165+AJ175+AJ217+AJ224+AJ249+AJ258+AJ268+AJ296+AJ305+AJ316+AJ340+AJ445+AJ468+AJ485+AJ520+AJ529+AJ538+AJ548+AJ557+AJ681+AJ711+AJ720+AJ738+AJ750+AJ800+AJ838+AJ852+AJ960+AJ996+AJ1005+AJ1035+AJ1066+AJ1096+AJ1142+AJ1157+AJ1201+AJ1291</f>
        <v>51116.316797727821</v>
      </c>
      <c r="AK26" s="9">
        <f t="shared" si="33"/>
        <v>56476.150407969646</v>
      </c>
      <c r="AL26" s="9">
        <f t="shared" si="33"/>
        <v>64562.078686077926</v>
      </c>
      <c r="AM26" s="9">
        <f t="shared" si="33"/>
        <v>68345.936003415511</v>
      </c>
      <c r="AN26" s="9">
        <f t="shared" si="33"/>
        <v>61871.949144412516</v>
      </c>
      <c r="AO26" s="9">
        <f t="shared" si="33"/>
        <v>60897.419316514133</v>
      </c>
      <c r="AP26" s="9">
        <f t="shared" si="33"/>
        <v>60123.699427624379</v>
      </c>
      <c r="AQ26" s="9">
        <f t="shared" si="33"/>
        <v>46461.282692007262</v>
      </c>
      <c r="AR26" s="9">
        <f t="shared" si="33"/>
        <v>49006.140514809864</v>
      </c>
      <c r="AS26" s="9">
        <f t="shared" si="33"/>
        <v>53505.656079377055</v>
      </c>
      <c r="AT26" s="9">
        <f t="shared" si="33"/>
        <v>53107.312995823064</v>
      </c>
      <c r="AU26" s="9">
        <f t="shared" si="33"/>
        <v>44661.326062683314</v>
      </c>
      <c r="AV26" s="9">
        <f t="shared" si="33"/>
        <v>56448.930583707239</v>
      </c>
      <c r="AW26" s="9">
        <f t="shared" si="33"/>
        <v>55919.875739805007</v>
      </c>
      <c r="AX26" s="9">
        <f t="shared" si="33"/>
        <v>92337.972343581845</v>
      </c>
      <c r="AY26" s="9">
        <f t="shared" si="33"/>
        <v>57003.163341330372</v>
      </c>
      <c r="AZ26" s="9">
        <f t="shared" si="33"/>
        <v>49733.309146943306</v>
      </c>
      <c r="BA26" s="9">
        <f t="shared" si="33"/>
        <v>48783.156416409351</v>
      </c>
      <c r="BB26" s="9">
        <f t="shared" si="33"/>
        <v>54904.824995451396</v>
      </c>
      <c r="BC26" s="9">
        <f t="shared" si="33"/>
        <v>42667.852393611356</v>
      </c>
      <c r="BD26" s="9">
        <f t="shared" si="33"/>
        <v>48070.704738960296</v>
      </c>
      <c r="BE26" s="9">
        <f t="shared" si="33"/>
        <v>39665.151018239099</v>
      </c>
      <c r="BF26" s="9">
        <f t="shared" si="33"/>
        <v>42039.464999490767</v>
      </c>
      <c r="BG26" s="9">
        <f t="shared" si="33"/>
        <v>44676.058910810796</v>
      </c>
      <c r="BH26" s="9">
        <f t="shared" si="33"/>
        <v>44260.410724647023</v>
      </c>
      <c r="BI26" s="9">
        <f t="shared" si="33"/>
        <v>50625.006104258049</v>
      </c>
      <c r="BJ26" s="9">
        <f t="shared" si="33"/>
        <v>55325.742177663378</v>
      </c>
      <c r="BK26" s="9">
        <f t="shared" si="33"/>
        <v>52299.046147862282</v>
      </c>
      <c r="BL26" s="9">
        <f t="shared" si="33"/>
        <v>63240.220594134378</v>
      </c>
      <c r="BM26" s="9">
        <f t="shared" si="33"/>
        <v>66092.865076577786</v>
      </c>
      <c r="BN26" s="9">
        <f t="shared" si="33"/>
        <v>80651.954579320154</v>
      </c>
      <c r="BO26" s="9">
        <f t="shared" si="33"/>
        <v>96836.715739100007</v>
      </c>
      <c r="BP26" s="9">
        <f t="shared" si="33"/>
        <v>70505.551974850227</v>
      </c>
      <c r="BQ26" s="9">
        <f>BQ67+BQ165+BQ175+BQ217+BQ224+BQ249+BQ258+BQ268+BQ296+BQ305+BQ316+BQ340+BQ445+BQ468+BQ485+BQ520+BQ529+BQ538+BQ548+BQ557+BQ681+BQ711+BQ720+BQ738+BQ750+BQ800+BQ838+BQ852+BQ960+BQ996+BQ1005+BQ1035+BQ1066+BQ1096+BQ1142+BQ1157+BQ1201+BQ1291</f>
        <v>49114.7133674</v>
      </c>
      <c r="BR26" s="101"/>
    </row>
    <row r="27" spans="1:70" ht="15.5">
      <c r="A27" s="90"/>
      <c r="B27" s="1" t="s">
        <v>177</v>
      </c>
      <c r="C27" s="91"/>
      <c r="D27" s="9">
        <f t="shared" ref="D27:AI27" si="34">D23-D24-D25-D26</f>
        <v>314.06049999999937</v>
      </c>
      <c r="E27" s="9">
        <f t="shared" si="34"/>
        <v>558.13159999999993</v>
      </c>
      <c r="F27" s="9">
        <f t="shared" si="34"/>
        <v>284.60269999999912</v>
      </c>
      <c r="G27" s="9">
        <f t="shared" si="34"/>
        <v>306.87379999999689</v>
      </c>
      <c r="H27" s="9">
        <f t="shared" si="34"/>
        <v>807.14489999999796</v>
      </c>
      <c r="I27" s="9">
        <f t="shared" si="34"/>
        <v>877.88427047999994</v>
      </c>
      <c r="J27" s="9">
        <f t="shared" si="34"/>
        <v>557.64172506999989</v>
      </c>
      <c r="K27" s="9">
        <f t="shared" si="34"/>
        <v>465.89486827999895</v>
      </c>
      <c r="L27" s="9">
        <f t="shared" si="34"/>
        <v>197.18078649999876</v>
      </c>
      <c r="M27" s="9">
        <f t="shared" si="34"/>
        <v>187.52530471999927</v>
      </c>
      <c r="N27" s="9">
        <f t="shared" si="34"/>
        <v>263.78357992774909</v>
      </c>
      <c r="O27" s="9">
        <f t="shared" si="34"/>
        <v>288.46708403949754</v>
      </c>
      <c r="P27" s="9">
        <f t="shared" si="34"/>
        <v>798.76836259549896</v>
      </c>
      <c r="Q27" s="9">
        <f t="shared" si="34"/>
        <v>639.37857237999879</v>
      </c>
      <c r="R27" s="9">
        <f t="shared" si="34"/>
        <v>897.59842077525161</v>
      </c>
      <c r="S27" s="9">
        <f t="shared" si="34"/>
        <v>1048.4750477309774</v>
      </c>
      <c r="T27" s="9">
        <f t="shared" si="34"/>
        <v>909.55210070910721</v>
      </c>
      <c r="U27" s="9">
        <f t="shared" si="34"/>
        <v>919.49552863442477</v>
      </c>
      <c r="V27" s="9">
        <f t="shared" si="34"/>
        <v>1021.1611280611487</v>
      </c>
      <c r="W27" s="9">
        <f t="shared" si="34"/>
        <v>1088.3568730282122</v>
      </c>
      <c r="X27" s="9">
        <f t="shared" si="34"/>
        <v>1082.9670760931231</v>
      </c>
      <c r="Y27" s="9">
        <f t="shared" si="34"/>
        <v>1106.4210272236833</v>
      </c>
      <c r="Z27" s="9">
        <f t="shared" si="34"/>
        <v>2276.4419572836687</v>
      </c>
      <c r="AA27" s="9">
        <f t="shared" si="34"/>
        <v>6943.8736211672222</v>
      </c>
      <c r="AB27" s="9">
        <f t="shared" si="34"/>
        <v>10021.217749034264</v>
      </c>
      <c r="AC27" s="9">
        <f t="shared" si="34"/>
        <v>17716.369356204938</v>
      </c>
      <c r="AD27" s="9">
        <f t="shared" si="34"/>
        <v>23250.651729675461</v>
      </c>
      <c r="AE27" s="9">
        <f t="shared" si="34"/>
        <v>25530.888769624085</v>
      </c>
      <c r="AF27" s="9">
        <f t="shared" si="34"/>
        <v>31109.180470113763</v>
      </c>
      <c r="AG27" s="9">
        <f t="shared" si="34"/>
        <v>33078.283927329911</v>
      </c>
      <c r="AH27" s="9">
        <f t="shared" si="34"/>
        <v>33230.147292387264</v>
      </c>
      <c r="AI27" s="9">
        <f t="shared" si="34"/>
        <v>29323.08331495912</v>
      </c>
      <c r="AJ27" s="9">
        <f t="shared" ref="AJ27:BO27" si="35">AJ23-AJ24-AJ25-AJ26</f>
        <v>25291.46961183894</v>
      </c>
      <c r="AK27" s="9">
        <f t="shared" si="35"/>
        <v>30442.62522950118</v>
      </c>
      <c r="AL27" s="9">
        <f t="shared" si="35"/>
        <v>50477.20717448611</v>
      </c>
      <c r="AM27" s="9">
        <f t="shared" si="35"/>
        <v>53957.287981993097</v>
      </c>
      <c r="AN27" s="9">
        <f t="shared" si="35"/>
        <v>44027.07345787024</v>
      </c>
      <c r="AO27" s="9">
        <f t="shared" si="35"/>
        <v>37040.103306332312</v>
      </c>
      <c r="AP27" s="9">
        <f t="shared" si="35"/>
        <v>32822.522453535115</v>
      </c>
      <c r="AQ27" s="9">
        <f t="shared" si="35"/>
        <v>34614.30234396032</v>
      </c>
      <c r="AR27" s="9">
        <f t="shared" si="35"/>
        <v>38576.634114619032</v>
      </c>
      <c r="AS27" s="9">
        <f t="shared" si="35"/>
        <v>42380.791350078558</v>
      </c>
      <c r="AT27" s="9">
        <f t="shared" si="35"/>
        <v>31346.539382818919</v>
      </c>
      <c r="AU27" s="9">
        <f t="shared" si="35"/>
        <v>35266.396557468332</v>
      </c>
      <c r="AV27" s="9">
        <f t="shared" si="35"/>
        <v>43597.946873881847</v>
      </c>
      <c r="AW27" s="9">
        <f t="shared" si="35"/>
        <v>49140.229302371779</v>
      </c>
      <c r="AX27" s="9">
        <f t="shared" si="35"/>
        <v>36968.190219977754</v>
      </c>
      <c r="AY27" s="9">
        <f t="shared" si="35"/>
        <v>41287.463685025352</v>
      </c>
      <c r="AZ27" s="9">
        <f t="shared" si="35"/>
        <v>54326.682672760966</v>
      </c>
      <c r="BA27" s="9">
        <f t="shared" si="35"/>
        <v>48472.198689289413</v>
      </c>
      <c r="BB27" s="9">
        <f t="shared" si="35"/>
        <v>62218.831198027816</v>
      </c>
      <c r="BC27" s="9">
        <f t="shared" si="35"/>
        <v>60767.628723062204</v>
      </c>
      <c r="BD27" s="9">
        <f t="shared" si="35"/>
        <v>57799.480573897803</v>
      </c>
      <c r="BE27" s="9">
        <f t="shared" si="35"/>
        <v>46439.456932092718</v>
      </c>
      <c r="BF27" s="9">
        <f t="shared" si="35"/>
        <v>71848.75208070899</v>
      </c>
      <c r="BG27" s="9">
        <f t="shared" si="35"/>
        <v>37320.955581829476</v>
      </c>
      <c r="BH27" s="9">
        <f t="shared" si="35"/>
        <v>43756.526338181953</v>
      </c>
      <c r="BI27" s="9">
        <f t="shared" si="35"/>
        <v>35295.272594863185</v>
      </c>
      <c r="BJ27" s="9">
        <f t="shared" si="35"/>
        <v>36554.612533022235</v>
      </c>
      <c r="BK27" s="9">
        <f t="shared" si="35"/>
        <v>28429.833009486749</v>
      </c>
      <c r="BL27" s="9">
        <f t="shared" si="35"/>
        <v>48657.178192105413</v>
      </c>
      <c r="BM27" s="9">
        <f t="shared" si="35"/>
        <v>43244.187500466622</v>
      </c>
      <c r="BN27" s="9">
        <f t="shared" si="35"/>
        <v>40121.749318386894</v>
      </c>
      <c r="BO27" s="9">
        <f t="shared" si="35"/>
        <v>42458.252906905313</v>
      </c>
      <c r="BP27" s="9">
        <f>BP23-BP24-BP25-BP26</f>
        <v>42958.272148897944</v>
      </c>
      <c r="BQ27" s="9">
        <f>BQ23-BQ24-BQ25-BQ26</f>
        <v>43292.703469998021</v>
      </c>
      <c r="BR27" s="101" t="s">
        <v>24</v>
      </c>
    </row>
    <row r="28" spans="1:70" ht="15.5">
      <c r="A28" s="90"/>
      <c r="B28" s="1" t="s">
        <v>216</v>
      </c>
      <c r="C28" s="91"/>
      <c r="D28" s="9">
        <f t="shared" ref="D28:AI28" si="36">D23-D24</f>
        <v>12984.670921999999</v>
      </c>
      <c r="E28" s="9">
        <f t="shared" si="36"/>
        <v>14891.86053599371</v>
      </c>
      <c r="F28" s="9">
        <f t="shared" si="36"/>
        <v>14274.438068553456</v>
      </c>
      <c r="G28" s="9">
        <f t="shared" si="36"/>
        <v>14752.752750415593</v>
      </c>
      <c r="H28" s="9">
        <f t="shared" si="36"/>
        <v>16608.046067552219</v>
      </c>
      <c r="I28" s="9">
        <f t="shared" si="36"/>
        <v>18130.14943585431</v>
      </c>
      <c r="J28" s="9">
        <f t="shared" si="36"/>
        <v>17567.800840179283</v>
      </c>
      <c r="K28" s="9">
        <f t="shared" si="36"/>
        <v>15163.151986994559</v>
      </c>
      <c r="L28" s="9">
        <f t="shared" si="36"/>
        <v>16162.992486683142</v>
      </c>
      <c r="M28" s="9">
        <f t="shared" si="36"/>
        <v>16552.613825630469</v>
      </c>
      <c r="N28" s="9">
        <f t="shared" si="36"/>
        <v>20355.720306994641</v>
      </c>
      <c r="O28" s="9">
        <f t="shared" si="36"/>
        <v>17852.679237415414</v>
      </c>
      <c r="P28" s="9">
        <f t="shared" si="36"/>
        <v>18859.763939151522</v>
      </c>
      <c r="Q28" s="9">
        <f t="shared" si="36"/>
        <v>18777.155016524957</v>
      </c>
      <c r="R28" s="9">
        <f t="shared" si="36"/>
        <v>20451.606370045411</v>
      </c>
      <c r="S28" s="9">
        <f t="shared" si="36"/>
        <v>19242.877495678164</v>
      </c>
      <c r="T28" s="9">
        <f t="shared" si="36"/>
        <v>19639.32761249087</v>
      </c>
      <c r="U28" s="9">
        <f t="shared" si="36"/>
        <v>28046.212189266123</v>
      </c>
      <c r="V28" s="9">
        <f t="shared" si="36"/>
        <v>30554.740287968943</v>
      </c>
      <c r="W28" s="9">
        <f t="shared" si="36"/>
        <v>35575.297368440319</v>
      </c>
      <c r="X28" s="9">
        <f t="shared" si="36"/>
        <v>35138.953228308783</v>
      </c>
      <c r="Y28" s="9">
        <f t="shared" si="36"/>
        <v>36438.5350942148</v>
      </c>
      <c r="Z28" s="9">
        <f t="shared" si="36"/>
        <v>68260.237544436372</v>
      </c>
      <c r="AA28" s="9">
        <f t="shared" si="36"/>
        <v>125900.09089454413</v>
      </c>
      <c r="AB28" s="9">
        <f t="shared" si="36"/>
        <v>142460.4890440834</v>
      </c>
      <c r="AC28" s="9">
        <f t="shared" si="36"/>
        <v>183553.57719600972</v>
      </c>
      <c r="AD28" s="9">
        <f t="shared" si="36"/>
        <v>266343.66096509545</v>
      </c>
      <c r="AE28" s="9">
        <f t="shared" si="36"/>
        <v>364814.7689849172</v>
      </c>
      <c r="AF28" s="9">
        <f t="shared" si="36"/>
        <v>303249.80836302415</v>
      </c>
      <c r="AG28" s="9">
        <f t="shared" si="36"/>
        <v>357389.98390837421</v>
      </c>
      <c r="AH28" s="9">
        <f t="shared" si="36"/>
        <v>470108.41510513256</v>
      </c>
      <c r="AI28" s="9">
        <f t="shared" si="36"/>
        <v>405649.23773864959</v>
      </c>
      <c r="AJ28" s="9">
        <f t="shared" ref="AJ28:BN28" si="37">AJ23-AJ24</f>
        <v>288864.34071077529</v>
      </c>
      <c r="AK28" s="9">
        <f t="shared" si="37"/>
        <v>363351.2650841687</v>
      </c>
      <c r="AL28" s="9">
        <f t="shared" si="37"/>
        <v>367018.26331022423</v>
      </c>
      <c r="AM28" s="9">
        <f t="shared" si="37"/>
        <v>267714.50294142269</v>
      </c>
      <c r="AN28" s="9">
        <f t="shared" si="37"/>
        <v>283785.09102583764</v>
      </c>
      <c r="AO28" s="9">
        <f t="shared" si="37"/>
        <v>241545.47134793748</v>
      </c>
      <c r="AP28" s="9">
        <f t="shared" si="37"/>
        <v>267476.89280108258</v>
      </c>
      <c r="AQ28" s="9">
        <f t="shared" si="37"/>
        <v>348967.34280732379</v>
      </c>
      <c r="AR28" s="9">
        <f t="shared" si="37"/>
        <v>273626.08099754027</v>
      </c>
      <c r="AS28" s="9">
        <f t="shared" si="37"/>
        <v>311815.7134071482</v>
      </c>
      <c r="AT28" s="9">
        <f t="shared" si="37"/>
        <v>313874.73704203154</v>
      </c>
      <c r="AU28" s="9">
        <f t="shared" si="37"/>
        <v>370149.55879411654</v>
      </c>
      <c r="AV28" s="9">
        <f t="shared" si="37"/>
        <v>369895.63527498761</v>
      </c>
      <c r="AW28" s="9">
        <f t="shared" si="37"/>
        <v>373591.71432269143</v>
      </c>
      <c r="AX28" s="9">
        <f t="shared" si="37"/>
        <v>279953.67085941916</v>
      </c>
      <c r="AY28" s="9">
        <f t="shared" si="37"/>
        <v>212257.92490455575</v>
      </c>
      <c r="AZ28" s="9">
        <f t="shared" si="37"/>
        <v>212652.07136463257</v>
      </c>
      <c r="BA28" s="9">
        <f t="shared" si="37"/>
        <v>201315.32374766478</v>
      </c>
      <c r="BB28" s="9">
        <f t="shared" si="37"/>
        <v>203110.28423807921</v>
      </c>
      <c r="BC28" s="9">
        <f t="shared" si="37"/>
        <v>168541.65301527356</v>
      </c>
      <c r="BD28" s="9">
        <f t="shared" si="37"/>
        <v>177644.7214879581</v>
      </c>
      <c r="BE28" s="9">
        <f t="shared" si="37"/>
        <v>163414.24576143181</v>
      </c>
      <c r="BF28" s="9">
        <f t="shared" si="37"/>
        <v>224370.32042989976</v>
      </c>
      <c r="BG28" s="9">
        <f t="shared" si="37"/>
        <v>195503.84509954025</v>
      </c>
      <c r="BH28" s="9">
        <f t="shared" si="37"/>
        <v>219908.96928112998</v>
      </c>
      <c r="BI28" s="9">
        <f t="shared" si="37"/>
        <v>211365.25684502124</v>
      </c>
      <c r="BJ28" s="9">
        <f t="shared" si="37"/>
        <v>272320.19941134157</v>
      </c>
      <c r="BK28" s="9">
        <f t="shared" si="37"/>
        <v>232762.46719764904</v>
      </c>
      <c r="BL28" s="9">
        <f t="shared" si="37"/>
        <v>375690.89655916905</v>
      </c>
      <c r="BM28" s="9">
        <f t="shared" si="37"/>
        <v>302782.72228979849</v>
      </c>
      <c r="BN28" s="9">
        <f t="shared" si="37"/>
        <v>465886.49459900707</v>
      </c>
      <c r="BO28" s="9">
        <f>BO23-BO24</f>
        <v>516501.0725468201</v>
      </c>
      <c r="BP28" s="9">
        <f>BP23-BP24</f>
        <v>485340.62476474821</v>
      </c>
      <c r="BQ28" s="9">
        <f>BQ23-BQ24</f>
        <v>433068.86526069802</v>
      </c>
      <c r="BR28" s="101"/>
    </row>
    <row r="29" spans="1:70" ht="15.5">
      <c r="A29" s="90"/>
      <c r="B29" s="1" t="s">
        <v>224</v>
      </c>
      <c r="C29" s="91"/>
      <c r="D29" s="62">
        <f t="shared" ref="D29:AI29" si="38">SUM(D92+D165+D217+D224+D249+D258+D268+D296+D305+D316+D340+D378+D430+D438+D445+D459+D468+D485+D520+D529+D628+D674+D681+D711+D720+D731+D738+D758+D800+D818+D852+D862+D960+D996+D1005+D1025+D1035+D1066+D1079+D1096+D1120+D1142+D1157+D1201+D1291+D1303)</f>
        <v>336.8</v>
      </c>
      <c r="E29" s="62">
        <f t="shared" si="38"/>
        <v>369.61</v>
      </c>
      <c r="F29" s="62">
        <f t="shared" si="38"/>
        <v>389.39750000000004</v>
      </c>
      <c r="G29" s="62">
        <f t="shared" si="38"/>
        <v>530.18499999999995</v>
      </c>
      <c r="H29" s="62">
        <f t="shared" si="38"/>
        <v>454.97250000000003</v>
      </c>
      <c r="I29" s="62">
        <f t="shared" si="38"/>
        <v>783.52827047999995</v>
      </c>
      <c r="J29" s="62">
        <f t="shared" si="38"/>
        <v>374.30462506999993</v>
      </c>
      <c r="K29" s="62">
        <f t="shared" si="38"/>
        <v>538.09226827999998</v>
      </c>
      <c r="L29" s="62">
        <f t="shared" si="38"/>
        <v>557.16628649999996</v>
      </c>
      <c r="M29" s="62">
        <f t="shared" si="38"/>
        <v>260.24030472000004</v>
      </c>
      <c r="N29" s="62">
        <f t="shared" si="38"/>
        <v>456.63740552775005</v>
      </c>
      <c r="O29" s="62">
        <f t="shared" si="38"/>
        <v>327.63904303950005</v>
      </c>
      <c r="P29" s="62">
        <f t="shared" si="38"/>
        <v>476.18637349550005</v>
      </c>
      <c r="Q29" s="62">
        <f t="shared" si="38"/>
        <v>635.7217679800001</v>
      </c>
      <c r="R29" s="62">
        <f t="shared" si="38"/>
        <v>876.86359997525005</v>
      </c>
      <c r="S29" s="62">
        <f t="shared" si="38"/>
        <v>913.65371571700007</v>
      </c>
      <c r="T29" s="62">
        <f t="shared" si="38"/>
        <v>1479.549463582</v>
      </c>
      <c r="U29" s="62">
        <f t="shared" si="38"/>
        <v>2286.9363642450012</v>
      </c>
      <c r="V29" s="62">
        <f t="shared" si="38"/>
        <v>4276.4906553637511</v>
      </c>
      <c r="W29" s="62">
        <f t="shared" si="38"/>
        <v>6795.3342371099989</v>
      </c>
      <c r="X29" s="62">
        <f t="shared" si="38"/>
        <v>5514.22524471625</v>
      </c>
      <c r="Y29" s="62">
        <f t="shared" si="38"/>
        <v>5397.686881900001</v>
      </c>
      <c r="Z29" s="62">
        <f t="shared" si="38"/>
        <v>10235.003663850001</v>
      </c>
      <c r="AA29" s="62">
        <f t="shared" si="38"/>
        <v>11194.071648100002</v>
      </c>
      <c r="AB29" s="62">
        <f t="shared" si="38"/>
        <v>17052.324500060215</v>
      </c>
      <c r="AC29" s="62">
        <f t="shared" si="38"/>
        <v>15984.348954524134</v>
      </c>
      <c r="AD29" s="62">
        <f t="shared" si="38"/>
        <v>25736.881232046457</v>
      </c>
      <c r="AE29" s="62">
        <f t="shared" si="38"/>
        <v>34213.277339230532</v>
      </c>
      <c r="AF29" s="62">
        <f t="shared" si="38"/>
        <v>38780.362271990678</v>
      </c>
      <c r="AG29" s="62">
        <f t="shared" si="38"/>
        <v>50437.530823237204</v>
      </c>
      <c r="AH29" s="62">
        <f t="shared" si="38"/>
        <v>48070.322054338751</v>
      </c>
      <c r="AI29" s="62">
        <f t="shared" si="38"/>
        <v>51992.948134576189</v>
      </c>
      <c r="AJ29" s="62">
        <f t="shared" ref="AJ29:BP29" si="39">SUM(AJ92+AJ165+AJ217+AJ224+AJ249+AJ258+AJ268+AJ296+AJ305+AJ316+AJ340+AJ378+AJ430+AJ438+AJ445+AJ459+AJ468+AJ485+AJ520+AJ529+AJ628+AJ674+AJ681+AJ711+AJ720+AJ731+AJ738+AJ758+AJ800+AJ818+AJ852+AJ862+AJ960+AJ996+AJ1005+AJ1025+AJ1035+AJ1066+AJ1079+AJ1096+AJ1120+AJ1142+AJ1157+AJ1201+AJ1291+AJ1303)</f>
        <v>65653.47006955964</v>
      </c>
      <c r="AK29" s="62">
        <f t="shared" si="39"/>
        <v>58183.78877643335</v>
      </c>
      <c r="AL29" s="62">
        <f t="shared" si="39"/>
        <v>73879.863484896574</v>
      </c>
      <c r="AM29" s="62">
        <f t="shared" si="39"/>
        <v>74499.911419582058</v>
      </c>
      <c r="AN29" s="62">
        <f t="shared" si="39"/>
        <v>77112.667528173071</v>
      </c>
      <c r="AO29" s="62">
        <f t="shared" si="39"/>
        <v>74652.240249823182</v>
      </c>
      <c r="AP29" s="62">
        <f t="shared" si="39"/>
        <v>75675.413394429226</v>
      </c>
      <c r="AQ29" s="62">
        <f t="shared" si="39"/>
        <v>62289.358170601561</v>
      </c>
      <c r="AR29" s="62">
        <f t="shared" si="39"/>
        <v>74304.781867788988</v>
      </c>
      <c r="AS29" s="62">
        <f t="shared" si="39"/>
        <v>80776.190517680283</v>
      </c>
      <c r="AT29" s="62">
        <f t="shared" si="39"/>
        <v>79343.643622985517</v>
      </c>
      <c r="AU29" s="62">
        <f t="shared" si="39"/>
        <v>73982.891864903708</v>
      </c>
      <c r="AV29" s="62">
        <f t="shared" si="39"/>
        <v>89193.969961477327</v>
      </c>
      <c r="AW29" s="62">
        <f t="shared" si="39"/>
        <v>87441.827759849883</v>
      </c>
      <c r="AX29" s="62">
        <f t="shared" si="39"/>
        <v>98056.242761624875</v>
      </c>
      <c r="AY29" s="62">
        <f t="shared" si="39"/>
        <v>55455.297471260346</v>
      </c>
      <c r="AZ29" s="62">
        <f t="shared" si="39"/>
        <v>51647.20119985965</v>
      </c>
      <c r="BA29" s="62">
        <f t="shared" si="39"/>
        <v>49908.085948017448</v>
      </c>
      <c r="BB29" s="62">
        <f t="shared" si="39"/>
        <v>56874.738483782603</v>
      </c>
      <c r="BC29" s="62">
        <f t="shared" si="39"/>
        <v>43868.750698057469</v>
      </c>
      <c r="BD29" s="62">
        <f t="shared" si="39"/>
        <v>49518.991225230326</v>
      </c>
      <c r="BE29" s="62">
        <f t="shared" si="39"/>
        <v>41308.235676049851</v>
      </c>
      <c r="BF29" s="62">
        <f t="shared" si="39"/>
        <v>45558.823412034901</v>
      </c>
      <c r="BG29" s="62">
        <f t="shared" si="39"/>
        <v>47783.090334949055</v>
      </c>
      <c r="BH29" s="62">
        <f t="shared" si="39"/>
        <v>48583.697673109797</v>
      </c>
      <c r="BI29" s="62">
        <f t="shared" si="39"/>
        <v>54716.03150625425</v>
      </c>
      <c r="BJ29" s="62">
        <f t="shared" si="39"/>
        <v>57643.779573426255</v>
      </c>
      <c r="BK29" s="62">
        <f t="shared" si="39"/>
        <v>54033.660234657698</v>
      </c>
      <c r="BL29" s="62">
        <f t="shared" si="39"/>
        <v>82680.691901886443</v>
      </c>
      <c r="BM29" s="62">
        <f t="shared" si="39"/>
        <v>78444.810134639527</v>
      </c>
      <c r="BN29" s="62">
        <f t="shared" si="39"/>
        <v>82765.092214610078</v>
      </c>
      <c r="BO29" s="62">
        <f t="shared" si="39"/>
        <v>104578.63989229998</v>
      </c>
      <c r="BP29" s="62">
        <f t="shared" si="39"/>
        <v>78292.79673065024</v>
      </c>
      <c r="BQ29" s="62">
        <f>SUM(BQ92+BQ165+BQ217+BQ224+BQ249+BQ258+BQ268+BQ296+BQ305+BQ316+BQ340+BQ378+BQ430+BQ438+BQ445+BQ459+BQ468+BQ485+BQ520+BQ529+BQ628+BQ674+BQ681+BQ711+BQ720+BQ731+BQ738+BQ758+BQ800+BQ818+BQ852+BQ862+BQ960+BQ996+BQ1005+BQ1025+BQ1035+BQ1066+BQ1079+BQ1096+BQ1120+BQ1142+BQ1157+BQ1201+BQ1291+BQ1303)</f>
        <v>57624.454615800001</v>
      </c>
      <c r="BR29" s="101"/>
    </row>
    <row r="30" spans="1:70" ht="15.5">
      <c r="A30" s="90"/>
      <c r="B30" s="1"/>
      <c r="C30" s="91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11"/>
      <c r="U30" s="111"/>
      <c r="V30" s="111"/>
      <c r="W30" s="111"/>
      <c r="X30" s="111"/>
      <c r="Y30" s="111"/>
      <c r="Z30" s="111"/>
      <c r="AA30" s="111"/>
      <c r="AB30" s="111"/>
      <c r="AC30" s="111"/>
      <c r="AD30" s="111"/>
      <c r="AE30" s="111"/>
      <c r="AF30" s="111"/>
      <c r="AG30" s="111"/>
      <c r="AH30" s="111"/>
      <c r="AI30" s="111"/>
      <c r="AJ30" s="111"/>
      <c r="AK30" s="111"/>
      <c r="AL30" s="111"/>
      <c r="AM30" s="111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2"/>
      <c r="BF30" s="11"/>
      <c r="BG30" s="11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101"/>
    </row>
    <row r="31" spans="1:70" ht="15.5">
      <c r="A31" s="90"/>
      <c r="B31" s="1" t="s">
        <v>4</v>
      </c>
      <c r="C31" s="91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0"/>
      <c r="BG31" s="10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101"/>
    </row>
    <row r="32" spans="1:70" ht="15.5">
      <c r="A32" s="90"/>
      <c r="B32" s="1" t="s">
        <v>5</v>
      </c>
      <c r="C32" s="91"/>
      <c r="D32" s="10">
        <f t="shared" ref="D32:AI32" si="40">(D41/D39)*100</f>
        <v>14.285714285714285</v>
      </c>
      <c r="E32" s="10">
        <f t="shared" si="40"/>
        <v>14.0625</v>
      </c>
      <c r="F32" s="10">
        <f t="shared" si="40"/>
        <v>13.23529411764706</v>
      </c>
      <c r="G32" s="10">
        <f t="shared" si="40"/>
        <v>13.868613138686131</v>
      </c>
      <c r="H32" s="10">
        <f t="shared" si="40"/>
        <v>14.893617021276595</v>
      </c>
      <c r="I32" s="10">
        <f t="shared" si="40"/>
        <v>17.931034482758619</v>
      </c>
      <c r="J32" s="10">
        <f t="shared" si="40"/>
        <v>12.751677852348994</v>
      </c>
      <c r="K32" s="10">
        <f t="shared" si="40"/>
        <v>14.000000000000002</v>
      </c>
      <c r="L32" s="10">
        <f t="shared" si="40"/>
        <v>13.636363636363635</v>
      </c>
      <c r="M32" s="10">
        <f t="shared" si="40"/>
        <v>12.258064516129032</v>
      </c>
      <c r="N32" s="10">
        <f t="shared" si="40"/>
        <v>22.929936305732486</v>
      </c>
      <c r="O32" s="10">
        <f t="shared" si="40"/>
        <v>24.844720496894411</v>
      </c>
      <c r="P32" s="10">
        <f t="shared" si="40"/>
        <v>29.813664596273291</v>
      </c>
      <c r="Q32" s="10">
        <f t="shared" si="40"/>
        <v>31.481481481481481</v>
      </c>
      <c r="R32" s="10">
        <f t="shared" si="40"/>
        <v>31.901840490797547</v>
      </c>
      <c r="S32" s="10">
        <f t="shared" si="40"/>
        <v>33.529411764705877</v>
      </c>
      <c r="T32" s="10">
        <f t="shared" si="40"/>
        <v>36.416184971098261</v>
      </c>
      <c r="U32" s="10">
        <f t="shared" si="40"/>
        <v>34.104046242774565</v>
      </c>
      <c r="V32" s="10">
        <f t="shared" si="40"/>
        <v>37.5</v>
      </c>
      <c r="W32" s="10">
        <f t="shared" si="40"/>
        <v>37.362637362637365</v>
      </c>
      <c r="X32" s="10">
        <f t="shared" si="40"/>
        <v>40.983606557377051</v>
      </c>
      <c r="Y32" s="10">
        <f t="shared" si="40"/>
        <v>43.78378378378379</v>
      </c>
      <c r="Z32" s="10">
        <f t="shared" si="40"/>
        <v>46.486486486486491</v>
      </c>
      <c r="AA32" s="10">
        <f t="shared" si="40"/>
        <v>47.8494623655914</v>
      </c>
      <c r="AB32" s="10">
        <f t="shared" si="40"/>
        <v>48.663101604278076</v>
      </c>
      <c r="AC32" s="10">
        <f t="shared" si="40"/>
        <v>48.128342245989302</v>
      </c>
      <c r="AD32" s="10">
        <f t="shared" si="40"/>
        <v>51.595744680851062</v>
      </c>
      <c r="AE32" s="10">
        <f t="shared" si="40"/>
        <v>51.063829787234042</v>
      </c>
      <c r="AF32" s="10">
        <f t="shared" si="40"/>
        <v>51.322751322751323</v>
      </c>
      <c r="AG32" s="10">
        <f t="shared" si="40"/>
        <v>53.439153439153444</v>
      </c>
      <c r="AH32" s="10">
        <f t="shared" si="40"/>
        <v>55.319148936170215</v>
      </c>
      <c r="AI32" s="10">
        <f t="shared" si="40"/>
        <v>49.75845410628019</v>
      </c>
      <c r="AJ32" s="10">
        <f t="shared" ref="AJ32:BO32" si="41">(AJ41/AJ39)*100</f>
        <v>53.365384615384613</v>
      </c>
      <c r="AK32" s="10">
        <f t="shared" si="41"/>
        <v>55.714285714285715</v>
      </c>
      <c r="AL32" s="10">
        <f t="shared" si="41"/>
        <v>55.45023696682464</v>
      </c>
      <c r="AM32" s="10">
        <f t="shared" si="41"/>
        <v>54.976303317535546</v>
      </c>
      <c r="AN32" s="10">
        <f t="shared" si="41"/>
        <v>55.45023696682464</v>
      </c>
      <c r="AO32" s="10">
        <f t="shared" si="41"/>
        <v>55.924170616113742</v>
      </c>
      <c r="AP32" s="10">
        <f t="shared" si="41"/>
        <v>54.502369668246445</v>
      </c>
      <c r="AQ32" s="10">
        <f t="shared" si="41"/>
        <v>53.080568720379148</v>
      </c>
      <c r="AR32" s="10">
        <f t="shared" si="41"/>
        <v>52.606635071090047</v>
      </c>
      <c r="AS32" s="10">
        <f t="shared" si="41"/>
        <v>52.606635071090047</v>
      </c>
      <c r="AT32" s="10">
        <f t="shared" si="41"/>
        <v>53.301886792452834</v>
      </c>
      <c r="AU32" s="10">
        <f t="shared" si="41"/>
        <v>52.830188679245282</v>
      </c>
      <c r="AV32" s="10">
        <f t="shared" si="41"/>
        <v>51.415094339622648</v>
      </c>
      <c r="AW32" s="10">
        <f t="shared" si="41"/>
        <v>49.528301886792455</v>
      </c>
      <c r="AX32" s="10">
        <f t="shared" si="41"/>
        <v>49.295774647887328</v>
      </c>
      <c r="AY32" s="10">
        <f t="shared" si="41"/>
        <v>49.295774647887328</v>
      </c>
      <c r="AZ32" s="10">
        <f t="shared" si="41"/>
        <v>50.467289719626166</v>
      </c>
      <c r="BA32" s="10">
        <f t="shared" si="41"/>
        <v>47.663551401869157</v>
      </c>
      <c r="BB32" s="10">
        <f t="shared" si="41"/>
        <v>46.04651162790698</v>
      </c>
      <c r="BC32" s="10">
        <f t="shared" si="41"/>
        <v>46.04651162790698</v>
      </c>
      <c r="BD32" s="10">
        <f t="shared" si="41"/>
        <v>46.97674418604651</v>
      </c>
      <c r="BE32" s="10">
        <f t="shared" si="41"/>
        <v>48.837209302325576</v>
      </c>
      <c r="BF32" s="10">
        <f t="shared" si="41"/>
        <v>45.581395348837212</v>
      </c>
      <c r="BG32" s="10">
        <f t="shared" si="41"/>
        <v>45.116279069767437</v>
      </c>
      <c r="BH32" s="10">
        <f t="shared" si="41"/>
        <v>45.116279069767437</v>
      </c>
      <c r="BI32" s="10">
        <f t="shared" si="41"/>
        <v>48.837209302325576</v>
      </c>
      <c r="BJ32" s="10">
        <f t="shared" si="41"/>
        <v>45.581395348837212</v>
      </c>
      <c r="BK32" s="10">
        <f t="shared" si="41"/>
        <v>42.790697674418603</v>
      </c>
      <c r="BL32" s="140">
        <f t="shared" si="41"/>
        <v>48.837209302325576</v>
      </c>
      <c r="BM32" s="140">
        <f t="shared" si="41"/>
        <v>46.04651162790698</v>
      </c>
      <c r="BN32" s="140">
        <f t="shared" si="41"/>
        <v>45.581395348837212</v>
      </c>
      <c r="BO32" s="140">
        <f t="shared" si="41"/>
        <v>41.860465116279073</v>
      </c>
      <c r="BP32" s="140">
        <f>(BP41/BP39)*100</f>
        <v>40</v>
      </c>
      <c r="BQ32" s="140">
        <f>(BQ41/BQ39)*100</f>
        <v>33.95348837209302</v>
      </c>
      <c r="BR32" s="101"/>
    </row>
    <row r="33" spans="1:70" ht="15.5">
      <c r="A33" s="90"/>
      <c r="B33" s="1" t="s">
        <v>221</v>
      </c>
      <c r="C33" s="91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>
        <f t="shared" ref="AZ33:BO33" si="42">(AZ12/1000/AZ58*100)</f>
        <v>17.4273909355379</v>
      </c>
      <c r="BA33" s="15">
        <f t="shared" si="42"/>
        <v>14.338935369943664</v>
      </c>
      <c r="BB33" s="15">
        <f t="shared" si="42"/>
        <v>15.264203801615416</v>
      </c>
      <c r="BC33" s="15">
        <f t="shared" si="42"/>
        <v>11.633285743885425</v>
      </c>
      <c r="BD33" s="15">
        <f t="shared" si="42"/>
        <v>13.47313751929568</v>
      </c>
      <c r="BE33" s="15">
        <f t="shared" si="42"/>
        <v>11.960825300349189</v>
      </c>
      <c r="BF33" s="15">
        <f t="shared" si="42"/>
        <v>14.639901315789475</v>
      </c>
      <c r="BG33" s="15">
        <f t="shared" si="42"/>
        <v>11.743395881093248</v>
      </c>
      <c r="BH33" s="15">
        <f t="shared" si="42"/>
        <v>12.546910299003322</v>
      </c>
      <c r="BI33" s="15">
        <f t="shared" si="42"/>
        <v>12.855317078977635</v>
      </c>
      <c r="BJ33" s="15">
        <f t="shared" si="42"/>
        <v>12.967925006730157</v>
      </c>
      <c r="BK33" s="15">
        <f t="shared" si="42"/>
        <v>13.268958990536275</v>
      </c>
      <c r="BL33" s="15">
        <f t="shared" si="42"/>
        <v>13.391832000000001</v>
      </c>
      <c r="BM33" s="15">
        <f t="shared" si="42"/>
        <v>14.048200926227544</v>
      </c>
      <c r="BN33" s="15">
        <f t="shared" si="42"/>
        <v>17.557526851851851</v>
      </c>
      <c r="BO33" s="15">
        <f t="shared" si="42"/>
        <v>17.406586826347308</v>
      </c>
      <c r="BP33" s="15">
        <f>(BP12/1000/BP58*100)</f>
        <v>15.186593626874959</v>
      </c>
      <c r="BQ33" s="15">
        <f>(BQ12/1000/BQ58*100)</f>
        <v>12.547826086956521</v>
      </c>
      <c r="BR33" s="101"/>
    </row>
    <row r="34" spans="1:70" ht="15.5">
      <c r="A34" s="90"/>
      <c r="B34" s="1" t="s">
        <v>222</v>
      </c>
      <c r="C34" s="91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5"/>
      <c r="U34" s="15"/>
      <c r="V34" s="15"/>
      <c r="W34" s="15"/>
      <c r="X34" s="15">
        <f t="shared" ref="X34:AF34" si="43">(X13/1000/X59)*100</f>
        <v>4.0218249319999995</v>
      </c>
      <c r="Y34" s="15">
        <f t="shared" si="43"/>
        <v>4.2498619399881763</v>
      </c>
      <c r="Z34" s="15">
        <f t="shared" si="43"/>
        <v>4.4902726156316852</v>
      </c>
      <c r="AA34" s="15">
        <f t="shared" si="43"/>
        <v>5.2495883113650814</v>
      </c>
      <c r="AB34" s="15">
        <f t="shared" si="43"/>
        <v>6.6758488777730181</v>
      </c>
      <c r="AC34" s="15">
        <f t="shared" si="43"/>
        <v>5.3328138279144541</v>
      </c>
      <c r="AD34" s="15">
        <f t="shared" si="43"/>
        <v>3.3878683686077617</v>
      </c>
      <c r="AE34" s="15">
        <f t="shared" si="43"/>
        <v>2.3466280266957811</v>
      </c>
      <c r="AF34" s="15">
        <f t="shared" si="43"/>
        <v>1.7786888834547239</v>
      </c>
      <c r="AG34" s="15">
        <f t="shared" ref="AG34:AL34" si="44">(AG13/1000/AG59)*100</f>
        <v>2.4768651121124252</v>
      </c>
      <c r="AH34" s="15">
        <f t="shared" si="44"/>
        <v>2.070754459113707</v>
      </c>
      <c r="AI34" s="15">
        <f t="shared" si="44"/>
        <v>1.5711649146899678</v>
      </c>
      <c r="AJ34" s="15">
        <f t="shared" si="44"/>
        <v>1.5625396121069723</v>
      </c>
      <c r="AK34" s="15">
        <f t="shared" si="44"/>
        <v>1.3601889539419769</v>
      </c>
      <c r="AL34" s="15">
        <f t="shared" si="44"/>
        <v>1.091149440546189</v>
      </c>
      <c r="AM34" s="15">
        <f>(AM13/1000/AM59)*100</f>
        <v>0.86785680686944122</v>
      </c>
      <c r="AN34" s="15">
        <f>(AN13/1000/AN59)*100</f>
        <v>0.86351747655387234</v>
      </c>
      <c r="AO34" s="15">
        <f>(AO13/1000/AO59)*100</f>
        <v>0.90392205916969193</v>
      </c>
      <c r="AP34" s="15">
        <f>(AP13/1000/AP59)*100</f>
        <v>1.0822351001810659</v>
      </c>
      <c r="AQ34" s="15">
        <f>(AQ13/1000/AQ59)*100</f>
        <v>1.1318737261839653</v>
      </c>
      <c r="AR34" s="15">
        <f t="shared" ref="AR34:BQ34" si="45">(AR13/1000/AR59)*100</f>
        <v>1.3012912617267598</v>
      </c>
      <c r="AS34" s="15">
        <f t="shared" si="45"/>
        <v>2.1398772781435782</v>
      </c>
      <c r="AT34" s="15">
        <f t="shared" si="45"/>
        <v>10.089309478236654</v>
      </c>
      <c r="AU34" s="15">
        <f t="shared" si="45"/>
        <v>10.027218249327237</v>
      </c>
      <c r="AV34" s="15">
        <f t="shared" si="45"/>
        <v>9.7478505047463084</v>
      </c>
      <c r="AW34" s="15">
        <f t="shared" si="45"/>
        <v>10.25876007768327</v>
      </c>
      <c r="AX34" s="15">
        <f t="shared" si="45"/>
        <v>10.143003115933004</v>
      </c>
      <c r="AY34" s="15">
        <f t="shared" si="45"/>
        <v>10.719932326050943</v>
      </c>
      <c r="AZ34" s="15">
        <f t="shared" si="45"/>
        <v>9.5338740258856305</v>
      </c>
      <c r="BA34" s="15">
        <f t="shared" si="45"/>
        <v>9.4051295101113048</v>
      </c>
      <c r="BB34" s="15">
        <f t="shared" si="45"/>
        <v>12.132573112374914</v>
      </c>
      <c r="BC34" s="15">
        <f t="shared" si="45"/>
        <v>6.2642683170957021</v>
      </c>
      <c r="BD34" s="15">
        <f t="shared" si="45"/>
        <v>0.79516650351969043</v>
      </c>
      <c r="BE34" s="15">
        <f t="shared" si="45"/>
        <v>0.97965010825414733</v>
      </c>
      <c r="BF34" s="15">
        <f t="shared" si="45"/>
        <v>2.615772162706516</v>
      </c>
      <c r="BG34" s="15">
        <f t="shared" si="45"/>
        <v>1.1574980251576719</v>
      </c>
      <c r="BH34" s="15">
        <f t="shared" si="45"/>
        <v>8.8275989326567004</v>
      </c>
      <c r="BI34" s="15">
        <f t="shared" si="45"/>
        <v>9.6193395738763794</v>
      </c>
      <c r="BJ34" s="15">
        <f t="shared" si="45"/>
        <v>10.469714961573692</v>
      </c>
      <c r="BK34" s="15">
        <f t="shared" si="45"/>
        <v>5.3192857872659767</v>
      </c>
      <c r="BL34" s="15">
        <f t="shared" si="45"/>
        <v>10.092602723005943</v>
      </c>
      <c r="BM34" s="15">
        <f t="shared" si="45"/>
        <v>6.9389874435114791</v>
      </c>
      <c r="BN34" s="15">
        <f t="shared" si="45"/>
        <v>8.262898611131904</v>
      </c>
      <c r="BO34" s="15">
        <f t="shared" si="45"/>
        <v>8.1810089368085102</v>
      </c>
      <c r="BP34" s="15">
        <f t="shared" si="45"/>
        <v>11.838659638315789</v>
      </c>
      <c r="BQ34" s="15">
        <f t="shared" si="45"/>
        <v>6.3476076938075305</v>
      </c>
      <c r="BR34" s="101"/>
    </row>
    <row r="35" spans="1:70" ht="15.5">
      <c r="A35" s="90"/>
      <c r="B35" s="1" t="s">
        <v>6</v>
      </c>
      <c r="C35" s="9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>
        <f t="shared" ref="X35:BO35" si="46">(X7/1000/X60)*100</f>
        <v>1.6129312791182577</v>
      </c>
      <c r="Y35" s="11">
        <f t="shared" si="46"/>
        <v>1.5454000348418913</v>
      </c>
      <c r="Z35" s="11">
        <f t="shared" si="46"/>
        <v>2.6082671677180573</v>
      </c>
      <c r="AA35" s="11">
        <f t="shared" si="46"/>
        <v>6.1860903063264683</v>
      </c>
      <c r="AB35" s="11">
        <f t="shared" si="46"/>
        <v>4.3446909078682321</v>
      </c>
      <c r="AC35" s="11">
        <f t="shared" si="46"/>
        <v>4.5309991097448439</v>
      </c>
      <c r="AD35" s="11">
        <f t="shared" si="46"/>
        <v>5.4796265044683992</v>
      </c>
      <c r="AE35" s="11">
        <f t="shared" si="46"/>
        <v>6.2024172463696026</v>
      </c>
      <c r="AF35" s="11">
        <f t="shared" si="46"/>
        <v>4.8414743375530183</v>
      </c>
      <c r="AG35" s="11">
        <f t="shared" si="46"/>
        <v>5.6061054323981763</v>
      </c>
      <c r="AH35" s="11">
        <f t="shared" si="46"/>
        <v>6.4043289618278987</v>
      </c>
      <c r="AI35" s="11">
        <f t="shared" si="46"/>
        <v>4.626163600664766</v>
      </c>
      <c r="AJ35" s="11">
        <f t="shared" si="46"/>
        <v>3.0153810620439887</v>
      </c>
      <c r="AK35" s="11">
        <f t="shared" si="46"/>
        <v>3.3451489633477509</v>
      </c>
      <c r="AL35" s="11">
        <f t="shared" si="46"/>
        <v>2.9636115233968647</v>
      </c>
      <c r="AM35" s="11">
        <f t="shared" si="46"/>
        <v>1.9824483679377725</v>
      </c>
      <c r="AN35" s="11">
        <f t="shared" si="46"/>
        <v>2.0170706805438083</v>
      </c>
      <c r="AO35" s="11">
        <f t="shared" si="46"/>
        <v>1.7179562015404031</v>
      </c>
      <c r="AP35" s="11">
        <f t="shared" si="46"/>
        <v>1.7043153108405571</v>
      </c>
      <c r="AQ35" s="11">
        <f t="shared" si="46"/>
        <v>1.66583010148703</v>
      </c>
      <c r="AR35" s="15">
        <f t="shared" si="46"/>
        <v>1.248529962811602</v>
      </c>
      <c r="AS35" s="11">
        <f t="shared" si="46"/>
        <v>1.4103299777275051</v>
      </c>
      <c r="AT35" s="11">
        <f t="shared" si="46"/>
        <v>1.3408770285227796</v>
      </c>
      <c r="AU35" s="11">
        <f t="shared" si="46"/>
        <v>1.3818880674332454</v>
      </c>
      <c r="AV35" s="11">
        <f t="shared" si="46"/>
        <v>1.1963280544838397</v>
      </c>
      <c r="AW35" s="11">
        <f t="shared" si="46"/>
        <v>1.1517151873793838</v>
      </c>
      <c r="AX35" s="11">
        <f t="shared" si="46"/>
        <v>0.84690666643961376</v>
      </c>
      <c r="AY35" s="11">
        <f t="shared" si="46"/>
        <v>0.59678001505535705</v>
      </c>
      <c r="AZ35" s="11">
        <f t="shared" si="46"/>
        <v>0.51885317978042644</v>
      </c>
      <c r="BA35" s="11">
        <f t="shared" si="46"/>
        <v>0.44542351130014934</v>
      </c>
      <c r="BB35" s="11">
        <f t="shared" si="46"/>
        <v>0.39913698755654436</v>
      </c>
      <c r="BC35" s="11">
        <f t="shared" si="46"/>
        <v>0.29482389982076312</v>
      </c>
      <c r="BD35" s="11">
        <f t="shared" si="46"/>
        <v>0.82108991107372464</v>
      </c>
      <c r="BE35" s="11">
        <f t="shared" si="46"/>
        <v>0.85843095869555974</v>
      </c>
      <c r="BF35" s="11">
        <f t="shared" si="46"/>
        <v>0.36057480203507775</v>
      </c>
      <c r="BG35" s="11">
        <f t="shared" si="46"/>
        <v>0.32667024131641587</v>
      </c>
      <c r="BH35" s="11">
        <f t="shared" si="46"/>
        <v>0.37843091973376658</v>
      </c>
      <c r="BI35" s="11">
        <f t="shared" si="46"/>
        <v>0.3786967522415266</v>
      </c>
      <c r="BJ35" s="11">
        <f t="shared" si="46"/>
        <v>0.59721447998697563</v>
      </c>
      <c r="BK35" s="11">
        <f t="shared" si="46"/>
        <v>0.38155186863935803</v>
      </c>
      <c r="BL35" s="11">
        <f t="shared" si="46"/>
        <v>0.50097635085836356</v>
      </c>
      <c r="BM35" s="11">
        <f t="shared" si="46"/>
        <v>0.38715171812638371</v>
      </c>
      <c r="BN35" s="11">
        <f t="shared" si="46"/>
        <v>0.56282625953278265</v>
      </c>
      <c r="BO35" s="11">
        <f t="shared" si="46"/>
        <v>0.51972858707254055</v>
      </c>
      <c r="BP35" s="11">
        <f>(BP7/1000/BP60)*100</f>
        <v>0.46450746496123674</v>
      </c>
      <c r="BQ35" s="11">
        <f>(BQ7/1000/BQ60)*100</f>
        <v>0.39050393621343377</v>
      </c>
      <c r="BR35" s="101"/>
    </row>
    <row r="36" spans="1:70" ht="15.5">
      <c r="A36" s="90"/>
      <c r="B36" s="1" t="s">
        <v>211</v>
      </c>
      <c r="C36" s="9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1"/>
      <c r="U36" s="111"/>
      <c r="V36" s="111"/>
      <c r="W36" s="15"/>
      <c r="X36" s="15">
        <f t="shared" ref="X36:BO36" si="47">(X28/1000/X61)*100</f>
        <v>1.2769146014595483</v>
      </c>
      <c r="Y36" s="15">
        <f t="shared" si="47"/>
        <v>1.2519144546004657</v>
      </c>
      <c r="Z36" s="15">
        <f t="shared" si="47"/>
        <v>2.4776496001668349</v>
      </c>
      <c r="AA36" s="15">
        <f t="shared" si="47"/>
        <v>4.6474936182665978</v>
      </c>
      <c r="AB36" s="15">
        <f t="shared" si="47"/>
        <v>5.244914852125401</v>
      </c>
      <c r="AC36" s="15">
        <f t="shared" si="47"/>
        <v>6.6703628416249323</v>
      </c>
      <c r="AD36" s="15">
        <f t="shared" si="47"/>
        <v>9.4333534967316446</v>
      </c>
      <c r="AE36" s="15">
        <f t="shared" si="47"/>
        <v>11.72007907472042</v>
      </c>
      <c r="AF36" s="15">
        <f t="shared" si="47"/>
        <v>8.8467636975564297</v>
      </c>
      <c r="AG36" s="15">
        <f t="shared" si="47"/>
        <v>9.5359914762916773</v>
      </c>
      <c r="AH36" s="15">
        <f t="shared" si="47"/>
        <v>11.12474363036725</v>
      </c>
      <c r="AI36" s="15">
        <f t="shared" si="47"/>
        <v>10.142858872315246</v>
      </c>
      <c r="AJ36" s="15">
        <f t="shared" si="47"/>
        <v>6.8888610300792381</v>
      </c>
      <c r="AK36" s="15">
        <f t="shared" si="47"/>
        <v>7.6466107036218673</v>
      </c>
      <c r="AL36" s="15">
        <f t="shared" si="47"/>
        <v>7.1580162342404554</v>
      </c>
      <c r="AM36" s="15">
        <f t="shared" si="47"/>
        <v>4.5534718714847964</v>
      </c>
      <c r="AN36" s="15">
        <f t="shared" si="47"/>
        <v>4.3190817105107078</v>
      </c>
      <c r="AO36" s="15">
        <f t="shared" si="47"/>
        <v>3.4586316183697874</v>
      </c>
      <c r="AP36" s="15">
        <f t="shared" si="47"/>
        <v>3.9659579142312724</v>
      </c>
      <c r="AQ36" s="15">
        <f t="shared" si="47"/>
        <v>5.337419050730321</v>
      </c>
      <c r="AR36" s="15">
        <f t="shared" si="47"/>
        <v>3.8144715424824192</v>
      </c>
      <c r="AS36" s="15">
        <f t="shared" si="47"/>
        <v>4.3299655370879133</v>
      </c>
      <c r="AT36" s="15">
        <f t="shared" si="47"/>
        <v>4.3833433656344969</v>
      </c>
      <c r="AU36" s="15">
        <f t="shared" si="47"/>
        <v>4.5884378763833391</v>
      </c>
      <c r="AV36" s="15">
        <f t="shared" si="47"/>
        <v>3.8599200361535253</v>
      </c>
      <c r="AW36" s="15">
        <f t="shared" si="47"/>
        <v>3.2625752255771605</v>
      </c>
      <c r="AX36" s="15">
        <f t="shared" si="47"/>
        <v>2.0655023927228804</v>
      </c>
      <c r="AY36" s="15">
        <f t="shared" si="47"/>
        <v>1.2718738397666323</v>
      </c>
      <c r="AZ36" s="15">
        <f t="shared" si="47"/>
        <v>1.0615654614074796</v>
      </c>
      <c r="BA36" s="15">
        <f t="shared" si="47"/>
        <v>1.0519453380561443</v>
      </c>
      <c r="BB36" s="15">
        <f t="shared" si="47"/>
        <v>0.88287185035040638</v>
      </c>
      <c r="BC36" s="15">
        <f t="shared" si="47"/>
        <v>0.62130139363559589</v>
      </c>
      <c r="BD36" s="15">
        <f t="shared" si="47"/>
        <v>0.61793274809365861</v>
      </c>
      <c r="BE36" s="15">
        <f t="shared" si="47"/>
        <v>0.53578202327173818</v>
      </c>
      <c r="BF36" s="15">
        <f t="shared" si="47"/>
        <v>0.71240928853728758</v>
      </c>
      <c r="BG36" s="15">
        <f t="shared" si="47"/>
        <v>0.65572310950709456</v>
      </c>
      <c r="BH36" s="15">
        <f t="shared" si="47"/>
        <v>0.73624483337617586</v>
      </c>
      <c r="BI36" s="15">
        <f t="shared" si="47"/>
        <v>0.6462583527335084</v>
      </c>
      <c r="BJ36" s="15">
        <f t="shared" si="47"/>
        <v>0.78001890298848975</v>
      </c>
      <c r="BK36" s="15">
        <f t="shared" si="47"/>
        <v>0.65331331311791019</v>
      </c>
      <c r="BL36" s="15">
        <f t="shared" si="47"/>
        <v>1.0975165684881221</v>
      </c>
      <c r="BM36" s="15">
        <f t="shared" si="47"/>
        <v>0.75158298736483753</v>
      </c>
      <c r="BN36" s="15">
        <f t="shared" si="47"/>
        <v>1.0811689090506302</v>
      </c>
      <c r="BO36" s="15">
        <f t="shared" si="47"/>
        <v>1.1671813082952636</v>
      </c>
      <c r="BP36" s="15">
        <f>(BP28/1000/BP61)*100</f>
        <v>1.0588864945232863</v>
      </c>
      <c r="BQ36" s="15">
        <f>(BQ28/1000/BQ61)*100</f>
        <v>0.88763999271615146</v>
      </c>
      <c r="BR36" s="101"/>
    </row>
    <row r="37" spans="1:70" ht="15.5">
      <c r="A37" s="90"/>
      <c r="B37" s="1" t="s">
        <v>207</v>
      </c>
      <c r="C37" s="91"/>
      <c r="D37" s="10">
        <f t="shared" ref="D37:AI37" si="48">(D7/1000/D62)*100</f>
        <v>0.97826172322344318</v>
      </c>
      <c r="E37" s="10">
        <f t="shared" si="48"/>
        <v>1.0753250236615288</v>
      </c>
      <c r="F37" s="10">
        <f t="shared" si="48"/>
        <v>0.9613997422002265</v>
      </c>
      <c r="G37" s="10">
        <f t="shared" si="48"/>
        <v>0.91903748171035371</v>
      </c>
      <c r="H37" s="10">
        <f t="shared" si="48"/>
        <v>0.93976058153067887</v>
      </c>
      <c r="I37" s="10">
        <f t="shared" si="48"/>
        <v>0.94103862427828111</v>
      </c>
      <c r="J37" s="10">
        <f t="shared" si="48"/>
        <v>0.82672003953784878</v>
      </c>
      <c r="K37" s="10">
        <f t="shared" si="48"/>
        <v>0.6700464863895077</v>
      </c>
      <c r="L37" s="10">
        <f t="shared" si="48"/>
        <v>0.66214635340774852</v>
      </c>
      <c r="M37" s="10">
        <f t="shared" si="48"/>
        <v>0.61602582157165875</v>
      </c>
      <c r="N37" s="10">
        <f t="shared" si="48"/>
        <v>0.68979058986765973</v>
      </c>
      <c r="O37" s="10">
        <f t="shared" si="48"/>
        <v>0.54749691279903923</v>
      </c>
      <c r="P37" s="10">
        <f t="shared" si="48"/>
        <v>0.50164863568996387</v>
      </c>
      <c r="Q37" s="10">
        <f t="shared" si="48"/>
        <v>0.40989337801746634</v>
      </c>
      <c r="R37" s="10">
        <f t="shared" si="48"/>
        <v>0.38714051301449487</v>
      </c>
      <c r="S37" s="10">
        <f t="shared" si="48"/>
        <v>0.32705988368858574</v>
      </c>
      <c r="T37" s="15">
        <f t="shared" si="48"/>
        <v>0.30672785675348113</v>
      </c>
      <c r="U37" s="15">
        <f t="shared" si="48"/>
        <v>0.38728803729413791</v>
      </c>
      <c r="V37" s="15">
        <f t="shared" si="48"/>
        <v>0.35832405077499269</v>
      </c>
      <c r="W37" s="15">
        <f t="shared" si="48"/>
        <v>0.36644191249756575</v>
      </c>
      <c r="X37" s="15">
        <f t="shared" si="48"/>
        <v>0.31991736258732556</v>
      </c>
      <c r="Y37" s="15">
        <f t="shared" si="48"/>
        <v>0.32174899941848212</v>
      </c>
      <c r="Z37" s="15">
        <f t="shared" si="48"/>
        <v>0.60841727367788756</v>
      </c>
      <c r="AA37" s="15">
        <f t="shared" si="48"/>
        <v>1.088462832248702</v>
      </c>
      <c r="AB37" s="15">
        <f t="shared" si="48"/>
        <v>1.1880313028095546</v>
      </c>
      <c r="AC37" s="15">
        <f t="shared" si="48"/>
        <v>1.4662771228415505</v>
      </c>
      <c r="AD37" s="15">
        <f t="shared" si="48"/>
        <v>1.8042019494326988</v>
      </c>
      <c r="AE37" s="15">
        <f t="shared" si="48"/>
        <v>2.1464034849114801</v>
      </c>
      <c r="AF37" s="15">
        <f t="shared" si="48"/>
        <v>1.5874396469932459</v>
      </c>
      <c r="AG37" s="15">
        <f t="shared" si="48"/>
        <v>1.7771455100282421</v>
      </c>
      <c r="AH37" s="15">
        <f t="shared" si="48"/>
        <v>2.0805467923454173</v>
      </c>
      <c r="AI37" s="15">
        <f t="shared" si="48"/>
        <v>1.7177754076142442</v>
      </c>
      <c r="AJ37" s="15">
        <f t="shared" ref="AJ37:BO37" si="49">(AJ7/1000/AJ62)*100</f>
        <v>1.1421710687359024</v>
      </c>
      <c r="AK37" s="15">
        <f t="shared" si="49"/>
        <v>1.3961448647880381</v>
      </c>
      <c r="AL37" s="15">
        <f t="shared" si="49"/>
        <v>1.3118699828295093</v>
      </c>
      <c r="AM37" s="15">
        <f t="shared" si="49"/>
        <v>0.8589012183180601</v>
      </c>
      <c r="AN37" s="15">
        <f t="shared" si="49"/>
        <v>0.88589556566860661</v>
      </c>
      <c r="AO37" s="15">
        <f t="shared" si="49"/>
        <v>0.75621108035774831</v>
      </c>
      <c r="AP37" s="15">
        <f t="shared" si="49"/>
        <v>0.84111009679804727</v>
      </c>
      <c r="AQ37" s="15">
        <f t="shared" si="49"/>
        <v>1.0592312533850052</v>
      </c>
      <c r="AR37" s="15">
        <f t="shared" si="49"/>
        <v>0.80416827342793162</v>
      </c>
      <c r="AS37" s="15">
        <f t="shared" si="49"/>
        <v>0.92276204117281013</v>
      </c>
      <c r="AT37" s="15">
        <f t="shared" si="49"/>
        <v>0.89949646275560602</v>
      </c>
      <c r="AU37" s="15">
        <f t="shared" si="49"/>
        <v>0.94469243275854009</v>
      </c>
      <c r="AV37" s="15">
        <f t="shared" si="49"/>
        <v>0.83884486399759572</v>
      </c>
      <c r="AW37" s="15">
        <f t="shared" si="49"/>
        <v>0.78203623215860074</v>
      </c>
      <c r="AX37" s="15">
        <f t="shared" si="49"/>
        <v>0.54156970998673337</v>
      </c>
      <c r="AY37" s="15">
        <f t="shared" si="49"/>
        <v>0.36411622069048016</v>
      </c>
      <c r="AZ37" s="15">
        <f t="shared" si="49"/>
        <v>0.3320439208551848</v>
      </c>
      <c r="BA37" s="15">
        <f t="shared" si="49"/>
        <v>0.33207589975399593</v>
      </c>
      <c r="BB37" s="15">
        <f t="shared" si="49"/>
        <v>0.30496272982032008</v>
      </c>
      <c r="BC37" s="15">
        <f t="shared" si="49"/>
        <v>0.22801075047218133</v>
      </c>
      <c r="BD37" s="15">
        <f t="shared" si="49"/>
        <v>0.64882591221235264</v>
      </c>
      <c r="BE37" s="15">
        <f t="shared" si="49"/>
        <v>0.66726799374335211</v>
      </c>
      <c r="BF37" s="15">
        <f t="shared" si="49"/>
        <v>0.28127625749209179</v>
      </c>
      <c r="BG37" s="15">
        <f t="shared" si="49"/>
        <v>0.2640388714092351</v>
      </c>
      <c r="BH37" s="15">
        <f t="shared" si="49"/>
        <v>0.32061966905910144</v>
      </c>
      <c r="BI37" s="15">
        <f t="shared" si="49"/>
        <v>0.31632829451395228</v>
      </c>
      <c r="BJ37" s="15">
        <f t="shared" si="49"/>
        <v>0.49981921300804588</v>
      </c>
      <c r="BK37" s="15">
        <f t="shared" si="49"/>
        <v>0.3255546338028662</v>
      </c>
      <c r="BL37" s="15">
        <f t="shared" si="49"/>
        <v>0.50472064731025734</v>
      </c>
      <c r="BM37" s="15">
        <f t="shared" si="49"/>
        <v>0.37130858539082467</v>
      </c>
      <c r="BN37" s="15">
        <f t="shared" si="49"/>
        <v>0.51753980166261926</v>
      </c>
      <c r="BO37" s="15">
        <f t="shared" si="49"/>
        <v>0.48528738776572844</v>
      </c>
      <c r="BP37" s="15">
        <f>(BP7/1000/BP62)*100</f>
        <v>0.43902760293150384</v>
      </c>
      <c r="BQ37" s="15">
        <f>(BQ7/1000/BQ62)*100</f>
        <v>0.36646402814529133</v>
      </c>
      <c r="BR37" s="101"/>
    </row>
    <row r="38" spans="1:70" ht="15.5">
      <c r="A38" s="90"/>
      <c r="B38" s="1"/>
      <c r="C38" s="91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37"/>
      <c r="BF38" s="15"/>
      <c r="BG38" s="15"/>
      <c r="BH38" s="15"/>
      <c r="BI38" s="15"/>
      <c r="BJ38" s="15"/>
      <c r="BK38" s="15"/>
      <c r="BL38" s="2"/>
      <c r="BM38" s="2"/>
      <c r="BN38" s="2"/>
      <c r="BO38" s="2"/>
      <c r="BP38" s="2"/>
      <c r="BQ38" s="2"/>
      <c r="BR38" s="101"/>
    </row>
    <row r="39" spans="1:70" ht="15.5">
      <c r="A39" s="90"/>
      <c r="B39" s="182" t="s">
        <v>7</v>
      </c>
      <c r="C39" s="91"/>
      <c r="D39" s="4">
        <v>126</v>
      </c>
      <c r="E39" s="4">
        <v>128</v>
      </c>
      <c r="F39" s="4">
        <v>136</v>
      </c>
      <c r="G39" s="4">
        <v>137</v>
      </c>
      <c r="H39" s="4">
        <v>141</v>
      </c>
      <c r="I39" s="4">
        <v>145</v>
      </c>
      <c r="J39" s="4">
        <v>149</v>
      </c>
      <c r="K39" s="4">
        <v>150</v>
      </c>
      <c r="L39" s="4">
        <v>154</v>
      </c>
      <c r="M39" s="4">
        <v>155</v>
      </c>
      <c r="N39" s="4">
        <v>157</v>
      </c>
      <c r="O39" s="4">
        <v>161</v>
      </c>
      <c r="P39" s="4">
        <v>161</v>
      </c>
      <c r="Q39" s="4">
        <v>162</v>
      </c>
      <c r="R39" s="4">
        <v>163</v>
      </c>
      <c r="S39" s="4">
        <v>170</v>
      </c>
      <c r="T39" s="4">
        <v>173</v>
      </c>
      <c r="U39" s="4">
        <v>173</v>
      </c>
      <c r="V39" s="4">
        <v>176</v>
      </c>
      <c r="W39" s="4">
        <v>182</v>
      </c>
      <c r="X39" s="4">
        <v>183</v>
      </c>
      <c r="Y39" s="4">
        <v>185</v>
      </c>
      <c r="Z39" s="4">
        <v>185</v>
      </c>
      <c r="AA39" s="4">
        <v>186</v>
      </c>
      <c r="AB39" s="4">
        <v>187</v>
      </c>
      <c r="AC39" s="4">
        <v>187</v>
      </c>
      <c r="AD39" s="4">
        <v>188</v>
      </c>
      <c r="AE39" s="4">
        <v>188</v>
      </c>
      <c r="AF39" s="4">
        <v>189</v>
      </c>
      <c r="AG39" s="4">
        <v>189</v>
      </c>
      <c r="AH39" s="4">
        <v>188</v>
      </c>
      <c r="AI39" s="4">
        <v>207</v>
      </c>
      <c r="AJ39" s="4">
        <v>208</v>
      </c>
      <c r="AK39" s="4">
        <v>210</v>
      </c>
      <c r="AL39" s="4">
        <v>211</v>
      </c>
      <c r="AM39" s="4">
        <v>211</v>
      </c>
      <c r="AN39" s="4">
        <v>211</v>
      </c>
      <c r="AO39" s="4">
        <v>211</v>
      </c>
      <c r="AP39" s="4">
        <v>211</v>
      </c>
      <c r="AQ39" s="4">
        <v>211</v>
      </c>
      <c r="AR39" s="4">
        <v>211</v>
      </c>
      <c r="AS39" s="4">
        <v>211</v>
      </c>
      <c r="AT39" s="4">
        <v>212</v>
      </c>
      <c r="AU39" s="4">
        <v>212</v>
      </c>
      <c r="AV39" s="4">
        <v>212</v>
      </c>
      <c r="AW39" s="4">
        <v>212</v>
      </c>
      <c r="AX39" s="4">
        <v>213</v>
      </c>
      <c r="AY39" s="4">
        <v>213</v>
      </c>
      <c r="AZ39" s="4">
        <v>214</v>
      </c>
      <c r="BA39" s="4">
        <v>214</v>
      </c>
      <c r="BB39" s="4">
        <v>215</v>
      </c>
      <c r="BC39" s="4">
        <v>215</v>
      </c>
      <c r="BD39" s="4">
        <v>215</v>
      </c>
      <c r="BE39" s="4">
        <v>215</v>
      </c>
      <c r="BF39" s="4">
        <v>215</v>
      </c>
      <c r="BG39" s="4">
        <v>215</v>
      </c>
      <c r="BH39" s="4">
        <v>215</v>
      </c>
      <c r="BI39" s="4">
        <v>215</v>
      </c>
      <c r="BJ39" s="4">
        <v>215</v>
      </c>
      <c r="BK39" s="4">
        <v>215</v>
      </c>
      <c r="BL39" s="4">
        <v>215</v>
      </c>
      <c r="BM39" s="4">
        <v>215</v>
      </c>
      <c r="BN39" s="4">
        <v>215</v>
      </c>
      <c r="BO39" s="4">
        <v>215</v>
      </c>
      <c r="BP39" s="4">
        <v>215</v>
      </c>
      <c r="BQ39" s="4">
        <v>215</v>
      </c>
      <c r="BR39" s="101"/>
    </row>
    <row r="40" spans="1:70" ht="15.5">
      <c r="A40" s="90"/>
      <c r="B40" s="1"/>
      <c r="C40" s="9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4"/>
      <c r="U40" s="4"/>
      <c r="V40" s="4"/>
      <c r="W40" s="4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2"/>
      <c r="BF40" s="11"/>
      <c r="BG40" s="11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101"/>
    </row>
    <row r="41" spans="1:70" ht="15.5">
      <c r="A41" s="90"/>
      <c r="B41" s="1" t="s">
        <v>231</v>
      </c>
      <c r="C41" s="91" t="s">
        <v>24</v>
      </c>
      <c r="D41" s="4">
        <f t="shared" ref="D41:AI41" si="50">BS66</f>
        <v>18</v>
      </c>
      <c r="E41" s="4">
        <f t="shared" si="50"/>
        <v>18</v>
      </c>
      <c r="F41" s="4">
        <f t="shared" si="50"/>
        <v>18</v>
      </c>
      <c r="G41" s="4">
        <f t="shared" si="50"/>
        <v>19</v>
      </c>
      <c r="H41" s="4">
        <f t="shared" si="50"/>
        <v>21</v>
      </c>
      <c r="I41" s="4">
        <f t="shared" si="50"/>
        <v>26</v>
      </c>
      <c r="J41" s="4">
        <f t="shared" si="50"/>
        <v>19</v>
      </c>
      <c r="K41" s="4">
        <f t="shared" si="50"/>
        <v>21</v>
      </c>
      <c r="L41" s="4">
        <f t="shared" si="50"/>
        <v>21</v>
      </c>
      <c r="M41" s="4">
        <f t="shared" si="50"/>
        <v>19</v>
      </c>
      <c r="N41" s="4">
        <f t="shared" si="50"/>
        <v>36</v>
      </c>
      <c r="O41" s="4">
        <f t="shared" si="50"/>
        <v>40</v>
      </c>
      <c r="P41" s="4">
        <f t="shared" si="50"/>
        <v>48</v>
      </c>
      <c r="Q41" s="4">
        <f t="shared" si="50"/>
        <v>51</v>
      </c>
      <c r="R41" s="4">
        <f t="shared" si="50"/>
        <v>52</v>
      </c>
      <c r="S41" s="4">
        <f t="shared" si="50"/>
        <v>57</v>
      </c>
      <c r="T41" s="7">
        <f t="shared" si="50"/>
        <v>63</v>
      </c>
      <c r="U41" s="7">
        <f t="shared" si="50"/>
        <v>59</v>
      </c>
      <c r="V41" s="7">
        <f t="shared" si="50"/>
        <v>66</v>
      </c>
      <c r="W41" s="7">
        <f t="shared" si="50"/>
        <v>68</v>
      </c>
      <c r="X41" s="7">
        <f t="shared" si="50"/>
        <v>75</v>
      </c>
      <c r="Y41" s="7">
        <f t="shared" si="50"/>
        <v>81</v>
      </c>
      <c r="Z41" s="7">
        <f t="shared" si="50"/>
        <v>86</v>
      </c>
      <c r="AA41" s="7">
        <f t="shared" si="50"/>
        <v>89</v>
      </c>
      <c r="AB41" s="7">
        <f t="shared" si="50"/>
        <v>91</v>
      </c>
      <c r="AC41" s="7">
        <f t="shared" si="50"/>
        <v>90</v>
      </c>
      <c r="AD41" s="7">
        <f t="shared" si="50"/>
        <v>97</v>
      </c>
      <c r="AE41" s="7">
        <f t="shared" si="50"/>
        <v>96</v>
      </c>
      <c r="AF41" s="7">
        <f t="shared" si="50"/>
        <v>97</v>
      </c>
      <c r="AG41" s="7">
        <f t="shared" si="50"/>
        <v>101</v>
      </c>
      <c r="AH41" s="7">
        <f t="shared" si="50"/>
        <v>104</v>
      </c>
      <c r="AI41" s="7">
        <f t="shared" si="50"/>
        <v>103</v>
      </c>
      <c r="AJ41" s="7">
        <f t="shared" ref="AJ41:BQ41" si="51">CY66</f>
        <v>111</v>
      </c>
      <c r="AK41" s="7">
        <f t="shared" si="51"/>
        <v>117</v>
      </c>
      <c r="AL41" s="7">
        <f t="shared" si="51"/>
        <v>117</v>
      </c>
      <c r="AM41" s="7">
        <f t="shared" si="51"/>
        <v>116</v>
      </c>
      <c r="AN41" s="7">
        <f t="shared" si="51"/>
        <v>117</v>
      </c>
      <c r="AO41" s="7">
        <f t="shared" si="51"/>
        <v>118</v>
      </c>
      <c r="AP41" s="7">
        <f t="shared" si="51"/>
        <v>115</v>
      </c>
      <c r="AQ41" s="7">
        <f t="shared" si="51"/>
        <v>112</v>
      </c>
      <c r="AR41" s="7">
        <f t="shared" si="51"/>
        <v>111</v>
      </c>
      <c r="AS41" s="7">
        <f t="shared" si="51"/>
        <v>111</v>
      </c>
      <c r="AT41" s="7">
        <f t="shared" si="51"/>
        <v>113</v>
      </c>
      <c r="AU41" s="7">
        <f t="shared" si="51"/>
        <v>112</v>
      </c>
      <c r="AV41" s="7">
        <f t="shared" si="51"/>
        <v>109</v>
      </c>
      <c r="AW41" s="7">
        <f t="shared" si="51"/>
        <v>105</v>
      </c>
      <c r="AX41" s="7">
        <f t="shared" si="51"/>
        <v>105</v>
      </c>
      <c r="AY41" s="7">
        <f t="shared" si="51"/>
        <v>105</v>
      </c>
      <c r="AZ41" s="7">
        <f t="shared" si="51"/>
        <v>108</v>
      </c>
      <c r="BA41" s="7">
        <f t="shared" si="51"/>
        <v>102</v>
      </c>
      <c r="BB41" s="7">
        <f t="shared" si="51"/>
        <v>99</v>
      </c>
      <c r="BC41" s="7">
        <f t="shared" si="51"/>
        <v>99</v>
      </c>
      <c r="BD41" s="7">
        <f t="shared" si="51"/>
        <v>101</v>
      </c>
      <c r="BE41" s="7">
        <f t="shared" si="51"/>
        <v>105</v>
      </c>
      <c r="BF41" s="7">
        <f t="shared" si="51"/>
        <v>98</v>
      </c>
      <c r="BG41" s="7">
        <f t="shared" si="51"/>
        <v>97</v>
      </c>
      <c r="BH41" s="7">
        <f t="shared" si="51"/>
        <v>97</v>
      </c>
      <c r="BI41" s="7">
        <f t="shared" si="51"/>
        <v>105</v>
      </c>
      <c r="BJ41" s="7">
        <f t="shared" si="51"/>
        <v>98</v>
      </c>
      <c r="BK41" s="7">
        <f t="shared" si="51"/>
        <v>92</v>
      </c>
      <c r="BL41" s="144">
        <f t="shared" si="51"/>
        <v>105</v>
      </c>
      <c r="BM41" s="144">
        <f t="shared" si="51"/>
        <v>99</v>
      </c>
      <c r="BN41" s="144">
        <f t="shared" si="51"/>
        <v>98</v>
      </c>
      <c r="BO41" s="144">
        <f t="shared" si="51"/>
        <v>90</v>
      </c>
      <c r="BP41" s="144">
        <f t="shared" si="51"/>
        <v>86</v>
      </c>
      <c r="BQ41" s="144">
        <f t="shared" si="51"/>
        <v>73</v>
      </c>
      <c r="BR41" s="101"/>
    </row>
    <row r="42" spans="1:70" ht="15.5">
      <c r="A42" s="90"/>
      <c r="B42" s="1" t="s">
        <v>15</v>
      </c>
      <c r="C42" s="91"/>
      <c r="D42" s="4">
        <f t="shared" ref="D42:AI42" si="52">COUNTIF($B$67:$B$1312," - IMF")-COUNTIFS($B$67:$B$1312," - IMF",D67:D1312,"=0")-COUNTIFS($B$67:$B$1312," - IMF",D67:D1312,"")</f>
        <v>3</v>
      </c>
      <c r="E42" s="4">
        <f t="shared" si="52"/>
        <v>2</v>
      </c>
      <c r="F42" s="4">
        <f t="shared" si="52"/>
        <v>2</v>
      </c>
      <c r="G42" s="4">
        <f t="shared" si="52"/>
        <v>2</v>
      </c>
      <c r="H42" s="4">
        <f t="shared" si="52"/>
        <v>4</v>
      </c>
      <c r="I42" s="4">
        <f t="shared" si="52"/>
        <v>3</v>
      </c>
      <c r="J42" s="4">
        <f t="shared" si="52"/>
        <v>3</v>
      </c>
      <c r="K42" s="4">
        <f t="shared" si="52"/>
        <v>4</v>
      </c>
      <c r="L42" s="4">
        <f t="shared" si="52"/>
        <v>2</v>
      </c>
      <c r="M42" s="4">
        <f t="shared" si="52"/>
        <v>1</v>
      </c>
      <c r="N42" s="4">
        <f t="shared" si="52"/>
        <v>0</v>
      </c>
      <c r="O42" s="4">
        <f t="shared" si="52"/>
        <v>0</v>
      </c>
      <c r="P42" s="4">
        <f t="shared" si="52"/>
        <v>0</v>
      </c>
      <c r="Q42" s="4">
        <f t="shared" si="52"/>
        <v>0</v>
      </c>
      <c r="R42" s="4">
        <f t="shared" si="52"/>
        <v>0</v>
      </c>
      <c r="S42" s="4">
        <f t="shared" si="52"/>
        <v>1</v>
      </c>
      <c r="T42" s="4">
        <f t="shared" si="52"/>
        <v>1</v>
      </c>
      <c r="U42" s="4">
        <f t="shared" si="52"/>
        <v>1</v>
      </c>
      <c r="V42" s="4">
        <f t="shared" si="52"/>
        <v>3</v>
      </c>
      <c r="W42" s="4">
        <f t="shared" si="52"/>
        <v>4</v>
      </c>
      <c r="X42" s="4">
        <f t="shared" si="52"/>
        <v>8</v>
      </c>
      <c r="Y42" s="4">
        <f t="shared" si="52"/>
        <v>4</v>
      </c>
      <c r="Z42" s="4">
        <f t="shared" si="52"/>
        <v>10</v>
      </c>
      <c r="AA42" s="4">
        <f t="shared" si="52"/>
        <v>8</v>
      </c>
      <c r="AB42" s="4">
        <f t="shared" si="52"/>
        <v>12</v>
      </c>
      <c r="AC42" s="4">
        <f t="shared" si="52"/>
        <v>14</v>
      </c>
      <c r="AD42" s="4">
        <f t="shared" si="52"/>
        <v>14</v>
      </c>
      <c r="AE42" s="4">
        <f t="shared" si="52"/>
        <v>12</v>
      </c>
      <c r="AF42" s="4">
        <f t="shared" si="52"/>
        <v>14</v>
      </c>
      <c r="AG42" s="4">
        <f t="shared" si="52"/>
        <v>16</v>
      </c>
      <c r="AH42" s="4">
        <f t="shared" si="52"/>
        <v>13</v>
      </c>
      <c r="AI42" s="4">
        <f t="shared" si="52"/>
        <v>12</v>
      </c>
      <c r="AJ42" s="4">
        <f t="shared" ref="AJ42:BP42" si="53">COUNTIF($B$67:$B$1312," - IMF")-COUNTIFS($B$67:$B$1312," - IMF",AJ67:AJ1312,"=0")-COUNTIFS($B$67:$B$1312," - IMF",AJ67:AJ1312,"")</f>
        <v>16</v>
      </c>
      <c r="AK42" s="4">
        <f t="shared" si="53"/>
        <v>15</v>
      </c>
      <c r="AL42" s="4">
        <f t="shared" si="53"/>
        <v>12</v>
      </c>
      <c r="AM42" s="4">
        <f t="shared" si="53"/>
        <v>10</v>
      </c>
      <c r="AN42" s="4">
        <f t="shared" si="53"/>
        <v>8</v>
      </c>
      <c r="AO42" s="4">
        <f t="shared" si="53"/>
        <v>8</v>
      </c>
      <c r="AP42" s="4">
        <f t="shared" si="53"/>
        <v>8</v>
      </c>
      <c r="AQ42" s="4">
        <f t="shared" si="53"/>
        <v>7</v>
      </c>
      <c r="AR42" s="4">
        <f t="shared" si="53"/>
        <v>7</v>
      </c>
      <c r="AS42" s="4">
        <f t="shared" si="53"/>
        <v>7</v>
      </c>
      <c r="AT42" s="4">
        <f t="shared" si="53"/>
        <v>7</v>
      </c>
      <c r="AU42" s="4">
        <f t="shared" si="53"/>
        <v>6</v>
      </c>
      <c r="AV42" s="4">
        <f t="shared" si="53"/>
        <v>4</v>
      </c>
      <c r="AW42" s="4">
        <f t="shared" si="53"/>
        <v>4</v>
      </c>
      <c r="AX42" s="4">
        <f t="shared" si="53"/>
        <v>5</v>
      </c>
      <c r="AY42" s="4">
        <f t="shared" si="53"/>
        <v>4</v>
      </c>
      <c r="AZ42" s="4">
        <f t="shared" si="53"/>
        <v>4</v>
      </c>
      <c r="BA42" s="4">
        <f t="shared" si="53"/>
        <v>3</v>
      </c>
      <c r="BB42" s="4">
        <f t="shared" si="53"/>
        <v>3</v>
      </c>
      <c r="BC42" s="4">
        <f t="shared" si="53"/>
        <v>3</v>
      </c>
      <c r="BD42" s="4">
        <f t="shared" si="53"/>
        <v>3</v>
      </c>
      <c r="BE42" s="4">
        <f t="shared" si="53"/>
        <v>3</v>
      </c>
      <c r="BF42" s="4">
        <f t="shared" si="53"/>
        <v>3</v>
      </c>
      <c r="BG42" s="4">
        <f t="shared" si="53"/>
        <v>4</v>
      </c>
      <c r="BH42" s="4">
        <f t="shared" si="53"/>
        <v>3</v>
      </c>
      <c r="BI42" s="4">
        <f t="shared" si="53"/>
        <v>2</v>
      </c>
      <c r="BJ42" s="4">
        <f t="shared" si="53"/>
        <v>2</v>
      </c>
      <c r="BK42" s="4">
        <f t="shared" si="53"/>
        <v>2</v>
      </c>
      <c r="BL42" s="4">
        <f t="shared" si="53"/>
        <v>2</v>
      </c>
      <c r="BM42" s="4">
        <f t="shared" si="53"/>
        <v>1</v>
      </c>
      <c r="BN42" s="4">
        <f t="shared" si="53"/>
        <v>1</v>
      </c>
      <c r="BO42" s="4">
        <f t="shared" si="53"/>
        <v>0</v>
      </c>
      <c r="BP42" s="4">
        <f t="shared" si="53"/>
        <v>0</v>
      </c>
      <c r="BQ42" s="4">
        <f>COUNTIF($B$67:$B$1312," - IMF")-COUNTIFS($B$67:$B$1312," - IMF",BQ67:BQ1312,"=0")-COUNTIFS($B$67:$B$1312," - IMF",BQ67:BQ1312,"")</f>
        <v>0</v>
      </c>
      <c r="BR42" s="101"/>
    </row>
    <row r="43" spans="1:70" ht="15.5">
      <c r="A43" s="90"/>
      <c r="B43" s="1" t="s">
        <v>184</v>
      </c>
      <c r="C43" s="91"/>
      <c r="D43" s="4">
        <f t="shared" ref="D43:AI43" si="54">COUNTIF($B$67:$B$1312," - IBRD")-COUNTIFS($B$67:$B$1312," - IBRD",D67:D1312,"=0")-COUNTIFS($B$67:$B$1312," - IBRD",D67:D1312,"")</f>
        <v>0</v>
      </c>
      <c r="E43" s="4">
        <f t="shared" si="54"/>
        <v>0</v>
      </c>
      <c r="F43" s="4">
        <f t="shared" si="54"/>
        <v>0</v>
      </c>
      <c r="G43" s="4">
        <f t="shared" si="54"/>
        <v>0</v>
      </c>
      <c r="H43" s="4">
        <f t="shared" si="54"/>
        <v>0</v>
      </c>
      <c r="I43" s="4">
        <f t="shared" si="54"/>
        <v>0</v>
      </c>
      <c r="J43" s="4">
        <f t="shared" si="54"/>
        <v>0</v>
      </c>
      <c r="K43" s="4">
        <f t="shared" si="54"/>
        <v>1</v>
      </c>
      <c r="L43" s="4">
        <f t="shared" si="54"/>
        <v>1</v>
      </c>
      <c r="M43" s="4">
        <f t="shared" si="54"/>
        <v>0</v>
      </c>
      <c r="N43" s="4">
        <f t="shared" si="54"/>
        <v>0</v>
      </c>
      <c r="O43" s="4">
        <f t="shared" si="54"/>
        <v>0</v>
      </c>
      <c r="P43" s="4">
        <f t="shared" si="54"/>
        <v>0</v>
      </c>
      <c r="Q43" s="4">
        <f t="shared" si="54"/>
        <v>0</v>
      </c>
      <c r="R43" s="4">
        <f t="shared" si="54"/>
        <v>0</v>
      </c>
      <c r="S43" s="4">
        <f t="shared" si="54"/>
        <v>0</v>
      </c>
      <c r="T43" s="4">
        <f t="shared" si="54"/>
        <v>1</v>
      </c>
      <c r="U43" s="4">
        <f t="shared" si="54"/>
        <v>0</v>
      </c>
      <c r="V43" s="4">
        <f t="shared" si="54"/>
        <v>0</v>
      </c>
      <c r="W43" s="4">
        <f t="shared" si="54"/>
        <v>0</v>
      </c>
      <c r="X43" s="4">
        <f t="shared" si="54"/>
        <v>0</v>
      </c>
      <c r="Y43" s="4">
        <f t="shared" si="54"/>
        <v>0</v>
      </c>
      <c r="Z43" s="4">
        <f t="shared" si="54"/>
        <v>0</v>
      </c>
      <c r="AA43" s="4">
        <f t="shared" si="54"/>
        <v>0</v>
      </c>
      <c r="AB43" s="4">
        <f t="shared" si="54"/>
        <v>1</v>
      </c>
      <c r="AC43" s="4">
        <f t="shared" si="54"/>
        <v>1</v>
      </c>
      <c r="AD43" s="4">
        <f t="shared" si="54"/>
        <v>3</v>
      </c>
      <c r="AE43" s="4">
        <f t="shared" si="54"/>
        <v>7</v>
      </c>
      <c r="AF43" s="4">
        <f t="shared" si="54"/>
        <v>7</v>
      </c>
      <c r="AG43" s="4">
        <f t="shared" si="54"/>
        <v>8</v>
      </c>
      <c r="AH43" s="4">
        <f t="shared" si="54"/>
        <v>9</v>
      </c>
      <c r="AI43" s="4">
        <f t="shared" si="54"/>
        <v>7</v>
      </c>
      <c r="AJ43" s="4">
        <f t="shared" ref="AJ43:BP43" si="55">COUNTIF($B$67:$B$1312," - IBRD")-COUNTIFS($B$67:$B$1312," - IBRD",AJ67:AJ1312,"=0")-COUNTIFS($B$67:$B$1312," - IBRD",AJ67:AJ1312,"")</f>
        <v>9</v>
      </c>
      <c r="AK43" s="4">
        <f t="shared" si="55"/>
        <v>8</v>
      </c>
      <c r="AL43" s="4">
        <f t="shared" si="55"/>
        <v>7</v>
      </c>
      <c r="AM43" s="4">
        <f t="shared" si="55"/>
        <v>7</v>
      </c>
      <c r="AN43" s="4">
        <f t="shared" si="55"/>
        <v>7</v>
      </c>
      <c r="AO43" s="4">
        <f t="shared" si="55"/>
        <v>8</v>
      </c>
      <c r="AP43" s="4">
        <f t="shared" si="55"/>
        <v>8</v>
      </c>
      <c r="AQ43" s="4">
        <f t="shared" si="55"/>
        <v>8</v>
      </c>
      <c r="AR43" s="4">
        <f t="shared" si="55"/>
        <v>7</v>
      </c>
      <c r="AS43" s="4">
        <f t="shared" si="55"/>
        <v>8</v>
      </c>
      <c r="AT43" s="4">
        <f t="shared" si="55"/>
        <v>7</v>
      </c>
      <c r="AU43" s="4">
        <f t="shared" si="55"/>
        <v>5</v>
      </c>
      <c r="AV43" s="4">
        <f t="shared" si="55"/>
        <v>5</v>
      </c>
      <c r="AW43" s="4">
        <f t="shared" si="55"/>
        <v>4</v>
      </c>
      <c r="AX43" s="4">
        <f t="shared" si="55"/>
        <v>5</v>
      </c>
      <c r="AY43" s="4">
        <f t="shared" si="55"/>
        <v>4</v>
      </c>
      <c r="AZ43" s="4">
        <f t="shared" si="55"/>
        <v>4</v>
      </c>
      <c r="BA43" s="4">
        <f t="shared" si="55"/>
        <v>1</v>
      </c>
      <c r="BB43" s="4">
        <f t="shared" si="55"/>
        <v>1</v>
      </c>
      <c r="BC43" s="4">
        <f t="shared" si="55"/>
        <v>1</v>
      </c>
      <c r="BD43" s="4">
        <f t="shared" si="55"/>
        <v>1</v>
      </c>
      <c r="BE43" s="4">
        <f t="shared" si="55"/>
        <v>2</v>
      </c>
      <c r="BF43" s="4">
        <f t="shared" si="55"/>
        <v>1</v>
      </c>
      <c r="BG43" s="4">
        <f t="shared" si="55"/>
        <v>1</v>
      </c>
      <c r="BH43" s="4">
        <f t="shared" si="55"/>
        <v>1</v>
      </c>
      <c r="BI43" s="4">
        <f t="shared" si="55"/>
        <v>1</v>
      </c>
      <c r="BJ43" s="4">
        <f t="shared" si="55"/>
        <v>1</v>
      </c>
      <c r="BK43" s="4">
        <f t="shared" si="55"/>
        <v>1</v>
      </c>
      <c r="BL43" s="4">
        <f t="shared" si="55"/>
        <v>1</v>
      </c>
      <c r="BM43" s="4">
        <f t="shared" si="55"/>
        <v>2</v>
      </c>
      <c r="BN43" s="4">
        <f t="shared" si="55"/>
        <v>4</v>
      </c>
      <c r="BO43" s="4">
        <f t="shared" si="55"/>
        <v>2</v>
      </c>
      <c r="BP43" s="4">
        <f t="shared" si="55"/>
        <v>2</v>
      </c>
      <c r="BQ43" s="4">
        <f>COUNTIF($B$67:$B$1312," - IBRD")-COUNTIFS($B$67:$B$1312," - IBRD",BQ67:BQ1312,"=0")-COUNTIFS($B$67:$B$1312," - IBRD",BQ67:BQ1312,"")</f>
        <v>2</v>
      </c>
      <c r="BR43" s="101"/>
    </row>
    <row r="44" spans="1:70" ht="15.5">
      <c r="A44" s="90"/>
      <c r="B44" s="1" t="s">
        <v>202</v>
      </c>
      <c r="C44" s="91"/>
      <c r="D44" s="4">
        <f t="shared" ref="D44:AI44" si="56">COUNTIF($B$67:$B$1312," - IDA")-COUNTIFS($B$67:$B$1312," - IDA",D67:D1312,"=0")-COUNTIFS($B$67:$B$1312," - IDA",D67:D1312,"")</f>
        <v>0</v>
      </c>
      <c r="E44" s="4">
        <f t="shared" si="56"/>
        <v>0</v>
      </c>
      <c r="F44" s="4">
        <f t="shared" si="56"/>
        <v>0</v>
      </c>
      <c r="G44" s="4">
        <f t="shared" si="56"/>
        <v>0</v>
      </c>
      <c r="H44" s="4">
        <f t="shared" si="56"/>
        <v>0</v>
      </c>
      <c r="I44" s="4">
        <f t="shared" si="56"/>
        <v>0</v>
      </c>
      <c r="J44" s="4">
        <f t="shared" si="56"/>
        <v>0</v>
      </c>
      <c r="K44" s="4">
        <f t="shared" si="56"/>
        <v>0</v>
      </c>
      <c r="L44" s="4">
        <f t="shared" si="56"/>
        <v>0</v>
      </c>
      <c r="M44" s="4">
        <f t="shared" si="56"/>
        <v>0</v>
      </c>
      <c r="N44" s="4">
        <f t="shared" si="56"/>
        <v>0</v>
      </c>
      <c r="O44" s="4">
        <f t="shared" si="56"/>
        <v>0</v>
      </c>
      <c r="P44" s="4">
        <f t="shared" si="56"/>
        <v>0</v>
      </c>
      <c r="Q44" s="4">
        <f t="shared" si="56"/>
        <v>0</v>
      </c>
      <c r="R44" s="4">
        <f t="shared" si="56"/>
        <v>0</v>
      </c>
      <c r="S44" s="4">
        <f t="shared" si="56"/>
        <v>0</v>
      </c>
      <c r="T44" s="4">
        <f t="shared" si="56"/>
        <v>0</v>
      </c>
      <c r="U44" s="4">
        <f t="shared" si="56"/>
        <v>0</v>
      </c>
      <c r="V44" s="4">
        <f t="shared" si="56"/>
        <v>0</v>
      </c>
      <c r="W44" s="4">
        <f t="shared" si="56"/>
        <v>0</v>
      </c>
      <c r="X44" s="4">
        <f t="shared" si="56"/>
        <v>0</v>
      </c>
      <c r="Y44" s="4">
        <f t="shared" si="56"/>
        <v>1</v>
      </c>
      <c r="Z44" s="4">
        <f t="shared" si="56"/>
        <v>1</v>
      </c>
      <c r="AA44" s="4">
        <f t="shared" si="56"/>
        <v>1</v>
      </c>
      <c r="AB44" s="4">
        <f t="shared" si="56"/>
        <v>1</v>
      </c>
      <c r="AC44" s="4">
        <f t="shared" si="56"/>
        <v>0</v>
      </c>
      <c r="AD44" s="4">
        <f t="shared" si="56"/>
        <v>0</v>
      </c>
      <c r="AE44" s="4">
        <f t="shared" si="56"/>
        <v>1</v>
      </c>
      <c r="AF44" s="4">
        <f t="shared" si="56"/>
        <v>6</v>
      </c>
      <c r="AG44" s="4">
        <f t="shared" si="56"/>
        <v>8</v>
      </c>
      <c r="AH44" s="4">
        <f t="shared" si="56"/>
        <v>5</v>
      </c>
      <c r="AI44" s="4">
        <f t="shared" si="56"/>
        <v>4</v>
      </c>
      <c r="AJ44" s="4">
        <f t="shared" ref="AJ44:BP44" si="57">COUNTIF($B$67:$B$1312," - IDA")-COUNTIFS($B$67:$B$1312," - IDA",AJ67:AJ1312,"=0")-COUNTIFS($B$67:$B$1312," - IDA",AJ67:AJ1312,"")</f>
        <v>6</v>
      </c>
      <c r="AK44" s="4">
        <f t="shared" si="57"/>
        <v>6</v>
      </c>
      <c r="AL44" s="4">
        <f t="shared" si="57"/>
        <v>7</v>
      </c>
      <c r="AM44" s="4">
        <f t="shared" si="57"/>
        <v>6</v>
      </c>
      <c r="AN44" s="4">
        <f t="shared" si="57"/>
        <v>6</v>
      </c>
      <c r="AO44" s="4">
        <f t="shared" si="57"/>
        <v>6</v>
      </c>
      <c r="AP44" s="4">
        <f t="shared" si="57"/>
        <v>7</v>
      </c>
      <c r="AQ44" s="4">
        <f t="shared" si="57"/>
        <v>8</v>
      </c>
      <c r="AR44" s="4">
        <f t="shared" si="57"/>
        <v>7</v>
      </c>
      <c r="AS44" s="4">
        <f t="shared" si="57"/>
        <v>8</v>
      </c>
      <c r="AT44" s="4">
        <f t="shared" si="57"/>
        <v>11</v>
      </c>
      <c r="AU44" s="4">
        <f t="shared" si="57"/>
        <v>8</v>
      </c>
      <c r="AV44" s="4">
        <f t="shared" si="57"/>
        <v>8</v>
      </c>
      <c r="AW44" s="4">
        <f t="shared" si="57"/>
        <v>8</v>
      </c>
      <c r="AX44" s="4">
        <f t="shared" si="57"/>
        <v>8</v>
      </c>
      <c r="AY44" s="4">
        <f t="shared" si="57"/>
        <v>8</v>
      </c>
      <c r="AZ44" s="4">
        <f t="shared" si="57"/>
        <v>4</v>
      </c>
      <c r="BA44" s="4">
        <f t="shared" si="57"/>
        <v>4</v>
      </c>
      <c r="BB44" s="4">
        <f t="shared" si="57"/>
        <v>5</v>
      </c>
      <c r="BC44" s="4">
        <f t="shared" si="57"/>
        <v>4</v>
      </c>
      <c r="BD44" s="4">
        <f t="shared" si="57"/>
        <v>6</v>
      </c>
      <c r="BE44" s="4">
        <f t="shared" si="57"/>
        <v>5</v>
      </c>
      <c r="BF44" s="4">
        <f t="shared" si="57"/>
        <v>5</v>
      </c>
      <c r="BG44" s="4">
        <f t="shared" si="57"/>
        <v>5</v>
      </c>
      <c r="BH44" s="4">
        <f t="shared" si="57"/>
        <v>5</v>
      </c>
      <c r="BI44" s="4">
        <f t="shared" si="57"/>
        <v>5</v>
      </c>
      <c r="BJ44" s="4">
        <f t="shared" si="57"/>
        <v>5</v>
      </c>
      <c r="BK44" s="4">
        <f t="shared" si="57"/>
        <v>5</v>
      </c>
      <c r="BL44" s="4">
        <f t="shared" si="57"/>
        <v>5</v>
      </c>
      <c r="BM44" s="4">
        <f t="shared" si="57"/>
        <v>4</v>
      </c>
      <c r="BN44" s="4">
        <f t="shared" si="57"/>
        <v>4</v>
      </c>
      <c r="BO44" s="4">
        <f t="shared" si="57"/>
        <v>4</v>
      </c>
      <c r="BP44" s="4">
        <f t="shared" si="57"/>
        <v>3</v>
      </c>
      <c r="BQ44" s="4">
        <f>COUNTIF($B$67:$B$1312," - IDA")-COUNTIFS($B$67:$B$1312," - IDA",BQ67:BQ1312,"=0")-COUNTIFS($B$67:$B$1312," - IDA",BQ67:BQ1312,"")</f>
        <v>4</v>
      </c>
      <c r="BR44" s="101"/>
    </row>
    <row r="45" spans="1:70" ht="15.5">
      <c r="A45" s="90"/>
      <c r="B45" s="1" t="s">
        <v>238</v>
      </c>
      <c r="C45" s="91"/>
      <c r="D45" s="4">
        <f t="shared" ref="D45:AI45" si="58">COUNTIF($B$67:$B$1312," - IADB")-COUNTIFS($B$67:$B$1312," - IADB",D67:D1312,"=0")-COUNTIFS($B$67:$B$1312," - IADB",D67:D1312,"")</f>
        <v>0</v>
      </c>
      <c r="E45" s="4">
        <f t="shared" si="58"/>
        <v>0</v>
      </c>
      <c r="F45" s="4">
        <f t="shared" si="58"/>
        <v>0</v>
      </c>
      <c r="G45" s="4">
        <f t="shared" si="58"/>
        <v>0</v>
      </c>
      <c r="H45" s="4">
        <f t="shared" si="58"/>
        <v>0</v>
      </c>
      <c r="I45" s="4">
        <f t="shared" si="58"/>
        <v>0</v>
      </c>
      <c r="J45" s="4">
        <f t="shared" si="58"/>
        <v>0</v>
      </c>
      <c r="K45" s="4">
        <f t="shared" si="58"/>
        <v>0</v>
      </c>
      <c r="L45" s="4">
        <f t="shared" si="58"/>
        <v>0</v>
      </c>
      <c r="M45" s="4">
        <f t="shared" si="58"/>
        <v>0</v>
      </c>
      <c r="N45" s="4">
        <f t="shared" si="58"/>
        <v>0</v>
      </c>
      <c r="O45" s="4">
        <f t="shared" si="58"/>
        <v>0</v>
      </c>
      <c r="P45" s="4">
        <f t="shared" si="58"/>
        <v>0</v>
      </c>
      <c r="Q45" s="4">
        <f t="shared" si="58"/>
        <v>0</v>
      </c>
      <c r="R45" s="4">
        <f t="shared" si="58"/>
        <v>0</v>
      </c>
      <c r="S45" s="4">
        <f t="shared" si="58"/>
        <v>0</v>
      </c>
      <c r="T45" s="4">
        <f t="shared" si="58"/>
        <v>0</v>
      </c>
      <c r="U45" s="4">
        <f t="shared" si="58"/>
        <v>0</v>
      </c>
      <c r="V45" s="4">
        <f t="shared" si="58"/>
        <v>0</v>
      </c>
      <c r="W45" s="4">
        <f t="shared" si="58"/>
        <v>0</v>
      </c>
      <c r="X45" s="4">
        <f t="shared" si="58"/>
        <v>0</v>
      </c>
      <c r="Y45" s="4">
        <f t="shared" si="58"/>
        <v>0</v>
      </c>
      <c r="Z45" s="4">
        <f t="shared" si="58"/>
        <v>0</v>
      </c>
      <c r="AA45" s="4">
        <f t="shared" si="58"/>
        <v>0</v>
      </c>
      <c r="AB45" s="4">
        <f t="shared" si="58"/>
        <v>0</v>
      </c>
      <c r="AC45" s="4">
        <f t="shared" si="58"/>
        <v>0</v>
      </c>
      <c r="AD45" s="4">
        <f t="shared" si="58"/>
        <v>0</v>
      </c>
      <c r="AE45" s="4">
        <f t="shared" si="58"/>
        <v>0</v>
      </c>
      <c r="AF45" s="4">
        <f t="shared" si="58"/>
        <v>2</v>
      </c>
      <c r="AG45" s="4">
        <f t="shared" si="58"/>
        <v>4</v>
      </c>
      <c r="AH45" s="4">
        <f t="shared" si="58"/>
        <v>4</v>
      </c>
      <c r="AI45" s="4">
        <f t="shared" si="58"/>
        <v>3</v>
      </c>
      <c r="AJ45" s="4">
        <f t="shared" ref="AJ45:BP45" si="59">COUNTIF($B$67:$B$1312," - IADB")-COUNTIFS($B$67:$B$1312," - IADB",AJ67:AJ1312,"=0")-COUNTIFS($B$67:$B$1312," - IADB",AJ67:AJ1312,"")</f>
        <v>1</v>
      </c>
      <c r="AK45" s="4">
        <f t="shared" si="59"/>
        <v>1</v>
      </c>
      <c r="AL45" s="4">
        <f t="shared" si="59"/>
        <v>0</v>
      </c>
      <c r="AM45" s="4">
        <f t="shared" si="59"/>
        <v>0</v>
      </c>
      <c r="AN45" s="4">
        <f t="shared" si="59"/>
        <v>0</v>
      </c>
      <c r="AO45" s="4">
        <f t="shared" si="59"/>
        <v>0</v>
      </c>
      <c r="AP45" s="4">
        <f t="shared" si="59"/>
        <v>0</v>
      </c>
      <c r="AQ45" s="4">
        <f t="shared" si="59"/>
        <v>1</v>
      </c>
      <c r="AR45" s="4">
        <f t="shared" si="59"/>
        <v>1</v>
      </c>
      <c r="AS45" s="4">
        <f t="shared" si="59"/>
        <v>0</v>
      </c>
      <c r="AT45" s="4">
        <f t="shared" si="59"/>
        <v>1</v>
      </c>
      <c r="AU45" s="4">
        <f t="shared" si="59"/>
        <v>0</v>
      </c>
      <c r="AV45" s="4">
        <f t="shared" si="59"/>
        <v>0</v>
      </c>
      <c r="AW45" s="4">
        <f t="shared" si="59"/>
        <v>0</v>
      </c>
      <c r="AX45" s="4">
        <f t="shared" si="59"/>
        <v>0</v>
      </c>
      <c r="AY45" s="4">
        <f t="shared" si="59"/>
        <v>0</v>
      </c>
      <c r="AZ45" s="4">
        <f t="shared" si="59"/>
        <v>0</v>
      </c>
      <c r="BA45" s="4">
        <f t="shared" si="59"/>
        <v>0</v>
      </c>
      <c r="BB45" s="4">
        <f t="shared" si="59"/>
        <v>0</v>
      </c>
      <c r="BC45" s="4">
        <f t="shared" si="59"/>
        <v>0</v>
      </c>
      <c r="BD45" s="4">
        <f t="shared" si="59"/>
        <v>0</v>
      </c>
      <c r="BE45" s="4">
        <f t="shared" si="59"/>
        <v>0</v>
      </c>
      <c r="BF45" s="4">
        <f t="shared" si="59"/>
        <v>0</v>
      </c>
      <c r="BG45" s="4">
        <f t="shared" si="59"/>
        <v>0</v>
      </c>
      <c r="BH45" s="4">
        <f t="shared" si="59"/>
        <v>0</v>
      </c>
      <c r="BI45" s="4">
        <f t="shared" si="59"/>
        <v>0</v>
      </c>
      <c r="BJ45" s="4">
        <f t="shared" si="59"/>
        <v>1</v>
      </c>
      <c r="BK45" s="4">
        <f t="shared" si="59"/>
        <v>1</v>
      </c>
      <c r="BL45" s="4">
        <f t="shared" si="59"/>
        <v>1</v>
      </c>
      <c r="BM45" s="4">
        <f t="shared" si="59"/>
        <v>1</v>
      </c>
      <c r="BN45" s="4">
        <f t="shared" si="59"/>
        <v>1</v>
      </c>
      <c r="BO45" s="4">
        <f t="shared" si="59"/>
        <v>1</v>
      </c>
      <c r="BP45" s="4">
        <f t="shared" si="59"/>
        <v>1</v>
      </c>
      <c r="BQ45" s="4">
        <f>COUNTIF($B$67:$B$1312," - IADB")-COUNTIFS($B$67:$B$1312," - IADB",BQ67:BQ1312,"=0")-COUNTIFS($B$67:$B$1312," - IADB",BQ67:BQ1312,"")</f>
        <v>1</v>
      </c>
      <c r="BR45" s="101"/>
    </row>
    <row r="46" spans="1:70" ht="15.5">
      <c r="A46" s="90"/>
      <c r="B46" s="1" t="s">
        <v>2</v>
      </c>
      <c r="C46" s="91"/>
      <c r="D46" s="4">
        <f t="shared" ref="D46:AI46" si="60">COUNTIF($B$67:$B$1312," - Paris Club")-COUNTIFS($B$67:$B$1312," - Paris Club",D67:D1312,"=0")-COUNTIFS($B$67:$B$1312," - Paris Club",D67:D1312,"")</f>
        <v>0</v>
      </c>
      <c r="E46" s="4">
        <f t="shared" si="60"/>
        <v>1</v>
      </c>
      <c r="F46" s="4">
        <f t="shared" si="60"/>
        <v>2</v>
      </c>
      <c r="G46" s="4">
        <f t="shared" si="60"/>
        <v>1</v>
      </c>
      <c r="H46" s="4">
        <f t="shared" si="60"/>
        <v>1</v>
      </c>
      <c r="I46" s="4">
        <f t="shared" si="60"/>
        <v>4</v>
      </c>
      <c r="J46" s="4">
        <f t="shared" si="60"/>
        <v>2</v>
      </c>
      <c r="K46" s="4">
        <f t="shared" si="60"/>
        <v>2</v>
      </c>
      <c r="L46" s="4">
        <f t="shared" si="60"/>
        <v>3</v>
      </c>
      <c r="M46" s="4">
        <f t="shared" si="60"/>
        <v>3</v>
      </c>
      <c r="N46" s="4">
        <f t="shared" si="60"/>
        <v>2</v>
      </c>
      <c r="O46" s="4">
        <f t="shared" si="60"/>
        <v>2</v>
      </c>
      <c r="P46" s="4">
        <f t="shared" si="60"/>
        <v>4</v>
      </c>
      <c r="Q46" s="4">
        <f t="shared" si="60"/>
        <v>3</v>
      </c>
      <c r="R46" s="4">
        <f t="shared" si="60"/>
        <v>4</v>
      </c>
      <c r="S46" s="4">
        <f t="shared" si="60"/>
        <v>4</v>
      </c>
      <c r="T46" s="4">
        <f t="shared" si="60"/>
        <v>3</v>
      </c>
      <c r="U46" s="4">
        <f t="shared" si="60"/>
        <v>6</v>
      </c>
      <c r="V46" s="4">
        <f t="shared" si="60"/>
        <v>9</v>
      </c>
      <c r="W46" s="4">
        <f t="shared" si="60"/>
        <v>8</v>
      </c>
      <c r="X46" s="4">
        <f t="shared" si="60"/>
        <v>12</v>
      </c>
      <c r="Y46" s="4">
        <f t="shared" si="60"/>
        <v>13</v>
      </c>
      <c r="Z46" s="4">
        <f t="shared" si="60"/>
        <v>20</v>
      </c>
      <c r="AA46" s="4">
        <f t="shared" si="60"/>
        <v>27</v>
      </c>
      <c r="AB46" s="4">
        <f t="shared" si="60"/>
        <v>26</v>
      </c>
      <c r="AC46" s="4">
        <f t="shared" si="60"/>
        <v>35</v>
      </c>
      <c r="AD46" s="4">
        <f t="shared" si="60"/>
        <v>33</v>
      </c>
      <c r="AE46" s="4">
        <f t="shared" si="60"/>
        <v>35</v>
      </c>
      <c r="AF46" s="4">
        <f t="shared" si="60"/>
        <v>35</v>
      </c>
      <c r="AG46" s="4">
        <f t="shared" si="60"/>
        <v>50</v>
      </c>
      <c r="AH46" s="4">
        <f t="shared" si="60"/>
        <v>46</v>
      </c>
      <c r="AI46" s="4">
        <f t="shared" si="60"/>
        <v>46</v>
      </c>
      <c r="AJ46" s="4">
        <f t="shared" ref="AJ46:BP46" si="61">COUNTIF($B$67:$B$1312," - Paris Club")-COUNTIFS($B$67:$B$1312," - Paris Club",AJ67:AJ1312,"=0")-COUNTIFS($B$67:$B$1312," - Paris Club",AJ67:AJ1312,"")</f>
        <v>45</v>
      </c>
      <c r="AK46" s="4">
        <f t="shared" si="61"/>
        <v>42</v>
      </c>
      <c r="AL46" s="4">
        <f t="shared" si="61"/>
        <v>45</v>
      </c>
      <c r="AM46" s="4">
        <f t="shared" si="61"/>
        <v>44</v>
      </c>
      <c r="AN46" s="4">
        <f t="shared" si="61"/>
        <v>44</v>
      </c>
      <c r="AO46" s="4">
        <f t="shared" si="61"/>
        <v>34</v>
      </c>
      <c r="AP46" s="4">
        <f t="shared" si="61"/>
        <v>33</v>
      </c>
      <c r="AQ46" s="4">
        <f t="shared" si="61"/>
        <v>36</v>
      </c>
      <c r="AR46" s="4">
        <f t="shared" si="61"/>
        <v>51</v>
      </c>
      <c r="AS46" s="4">
        <f t="shared" si="61"/>
        <v>43</v>
      </c>
      <c r="AT46" s="4">
        <f t="shared" si="61"/>
        <v>43</v>
      </c>
      <c r="AU46" s="4">
        <f t="shared" si="61"/>
        <v>38</v>
      </c>
      <c r="AV46" s="4">
        <f t="shared" si="61"/>
        <v>35</v>
      </c>
      <c r="AW46" s="4">
        <f t="shared" si="61"/>
        <v>37</v>
      </c>
      <c r="AX46" s="4">
        <f t="shared" si="61"/>
        <v>34</v>
      </c>
      <c r="AY46" s="4">
        <f t="shared" si="61"/>
        <v>30</v>
      </c>
      <c r="AZ46" s="4">
        <f t="shared" si="61"/>
        <v>28</v>
      </c>
      <c r="BA46" s="4">
        <f t="shared" si="61"/>
        <v>24</v>
      </c>
      <c r="BB46" s="4">
        <f t="shared" si="61"/>
        <v>23</v>
      </c>
      <c r="BC46" s="4">
        <f t="shared" si="61"/>
        <v>19</v>
      </c>
      <c r="BD46" s="4">
        <f t="shared" si="61"/>
        <v>16</v>
      </c>
      <c r="BE46" s="4">
        <f t="shared" si="61"/>
        <v>13</v>
      </c>
      <c r="BF46" s="4">
        <f t="shared" si="61"/>
        <v>12</v>
      </c>
      <c r="BG46" s="4">
        <f t="shared" si="61"/>
        <v>13</v>
      </c>
      <c r="BH46" s="4">
        <f t="shared" si="61"/>
        <v>12</v>
      </c>
      <c r="BI46" s="4">
        <f t="shared" si="61"/>
        <v>15</v>
      </c>
      <c r="BJ46" s="4">
        <f t="shared" si="61"/>
        <v>17</v>
      </c>
      <c r="BK46" s="4">
        <f t="shared" si="61"/>
        <v>16</v>
      </c>
      <c r="BL46" s="4">
        <f t="shared" si="61"/>
        <v>29</v>
      </c>
      <c r="BM46" s="4">
        <f t="shared" si="61"/>
        <v>32</v>
      </c>
      <c r="BN46" s="4">
        <f t="shared" si="61"/>
        <v>25</v>
      </c>
      <c r="BO46" s="4">
        <f t="shared" si="61"/>
        <v>23</v>
      </c>
      <c r="BP46" s="4">
        <f t="shared" si="61"/>
        <v>24</v>
      </c>
      <c r="BQ46" s="4">
        <f>COUNTIF($B$67:$B$1312," - Paris Club")-COUNTIFS($B$67:$B$1312," - Paris Club",BQ67:BQ1312,"=0")-COUNTIFS($B$67:$B$1312," - Paris Club",BQ67:BQ1312,"")</f>
        <v>21</v>
      </c>
      <c r="BR46" s="101"/>
    </row>
    <row r="47" spans="1:70" ht="15.5">
      <c r="A47" s="90"/>
      <c r="B47" s="1" t="s">
        <v>205</v>
      </c>
      <c r="C47" s="91"/>
      <c r="D47" s="4">
        <f t="shared" ref="D47:AI47" si="62">COUNTIF($B$67:$B$1312," - China")-COUNTIFS($B$67:$B$1312," - China",D67:D1312,"=0")-COUNTIFS($B$67:$B$1312," - China",D67:D1312,"")</f>
        <v>0</v>
      </c>
      <c r="E47" s="4">
        <f t="shared" si="62"/>
        <v>0</v>
      </c>
      <c r="F47" s="4">
        <f t="shared" si="62"/>
        <v>0</v>
      </c>
      <c r="G47" s="4">
        <f t="shared" si="62"/>
        <v>0</v>
      </c>
      <c r="H47" s="4">
        <f t="shared" si="62"/>
        <v>0</v>
      </c>
      <c r="I47" s="4">
        <f t="shared" si="62"/>
        <v>0</v>
      </c>
      <c r="J47" s="4">
        <f t="shared" si="62"/>
        <v>0</v>
      </c>
      <c r="K47" s="4">
        <f t="shared" si="62"/>
        <v>1</v>
      </c>
      <c r="L47" s="4">
        <f t="shared" si="62"/>
        <v>1</v>
      </c>
      <c r="M47" s="4">
        <f t="shared" si="62"/>
        <v>1</v>
      </c>
      <c r="N47" s="4">
        <f t="shared" si="62"/>
        <v>1</v>
      </c>
      <c r="O47" s="4">
        <f t="shared" si="62"/>
        <v>2</v>
      </c>
      <c r="P47" s="4">
        <f t="shared" si="62"/>
        <v>2</v>
      </c>
      <c r="Q47" s="4">
        <f t="shared" si="62"/>
        <v>3</v>
      </c>
      <c r="R47" s="4">
        <f t="shared" si="62"/>
        <v>3</v>
      </c>
      <c r="S47" s="4">
        <f t="shared" si="62"/>
        <v>3</v>
      </c>
      <c r="T47" s="4">
        <f t="shared" si="62"/>
        <v>3</v>
      </c>
      <c r="U47" s="4">
        <f t="shared" si="62"/>
        <v>3</v>
      </c>
      <c r="V47" s="4">
        <f t="shared" si="62"/>
        <v>3</v>
      </c>
      <c r="W47" s="4">
        <f t="shared" si="62"/>
        <v>3</v>
      </c>
      <c r="X47" s="4">
        <f t="shared" si="62"/>
        <v>3</v>
      </c>
      <c r="Y47" s="4">
        <f t="shared" si="62"/>
        <v>6</v>
      </c>
      <c r="Z47" s="4">
        <f t="shared" si="62"/>
        <v>9</v>
      </c>
      <c r="AA47" s="4">
        <f t="shared" si="62"/>
        <v>12</v>
      </c>
      <c r="AB47" s="4">
        <f t="shared" si="62"/>
        <v>13</v>
      </c>
      <c r="AC47" s="4">
        <f t="shared" si="62"/>
        <v>16</v>
      </c>
      <c r="AD47" s="4">
        <f t="shared" si="62"/>
        <v>20</v>
      </c>
      <c r="AE47" s="4">
        <f t="shared" si="62"/>
        <v>23</v>
      </c>
      <c r="AF47" s="4">
        <f t="shared" si="62"/>
        <v>25</v>
      </c>
      <c r="AG47" s="4">
        <f t="shared" si="62"/>
        <v>30</v>
      </c>
      <c r="AH47" s="4">
        <f t="shared" si="62"/>
        <v>32</v>
      </c>
      <c r="AI47" s="4">
        <f t="shared" si="62"/>
        <v>31</v>
      </c>
      <c r="AJ47" s="4">
        <f t="shared" ref="AJ47:BP47" si="63">COUNTIF($B$67:$B$1312," - China")-COUNTIFS($B$67:$B$1312," - China",AJ67:AJ1312,"=0")-COUNTIFS($B$67:$B$1312," - China",AJ67:AJ1312,"")</f>
        <v>34</v>
      </c>
      <c r="AK47" s="4">
        <f t="shared" si="63"/>
        <v>33</v>
      </c>
      <c r="AL47" s="4">
        <f t="shared" si="63"/>
        <v>38</v>
      </c>
      <c r="AM47" s="4">
        <f t="shared" si="63"/>
        <v>40</v>
      </c>
      <c r="AN47" s="4">
        <f t="shared" si="63"/>
        <v>43</v>
      </c>
      <c r="AO47" s="4">
        <f t="shared" si="63"/>
        <v>46</v>
      </c>
      <c r="AP47" s="4">
        <f t="shared" si="63"/>
        <v>46</v>
      </c>
      <c r="AQ47" s="4">
        <f t="shared" si="63"/>
        <v>48</v>
      </c>
      <c r="AR47" s="4">
        <f t="shared" si="63"/>
        <v>54</v>
      </c>
      <c r="AS47" s="4">
        <f t="shared" si="63"/>
        <v>57</v>
      </c>
      <c r="AT47" s="4">
        <f t="shared" si="63"/>
        <v>52</v>
      </c>
      <c r="AU47" s="4">
        <f t="shared" si="63"/>
        <v>55</v>
      </c>
      <c r="AV47" s="4">
        <f t="shared" si="63"/>
        <v>48</v>
      </c>
      <c r="AW47" s="4">
        <f t="shared" si="63"/>
        <v>46</v>
      </c>
      <c r="AX47" s="4">
        <f t="shared" si="63"/>
        <v>51</v>
      </c>
      <c r="AY47" s="4">
        <f t="shared" si="63"/>
        <v>51</v>
      </c>
      <c r="AZ47" s="4">
        <f t="shared" si="63"/>
        <v>41</v>
      </c>
      <c r="BA47" s="4">
        <f t="shared" si="63"/>
        <v>35</v>
      </c>
      <c r="BB47" s="4">
        <f t="shared" si="63"/>
        <v>36</v>
      </c>
      <c r="BC47" s="4">
        <f t="shared" si="63"/>
        <v>34</v>
      </c>
      <c r="BD47" s="4">
        <f t="shared" si="63"/>
        <v>34</v>
      </c>
      <c r="BE47" s="4">
        <f t="shared" si="63"/>
        <v>31</v>
      </c>
      <c r="BF47" s="4">
        <f t="shared" si="63"/>
        <v>32</v>
      </c>
      <c r="BG47" s="4">
        <f t="shared" si="63"/>
        <v>33</v>
      </c>
      <c r="BH47" s="4">
        <f t="shared" si="63"/>
        <v>40</v>
      </c>
      <c r="BI47" s="4">
        <f t="shared" si="63"/>
        <v>42</v>
      </c>
      <c r="BJ47" s="4">
        <f t="shared" si="63"/>
        <v>38</v>
      </c>
      <c r="BK47" s="4">
        <f t="shared" si="63"/>
        <v>32</v>
      </c>
      <c r="BL47" s="4">
        <f t="shared" si="63"/>
        <v>55</v>
      </c>
      <c r="BM47" s="4">
        <f t="shared" si="63"/>
        <v>48</v>
      </c>
      <c r="BN47" s="4">
        <f t="shared" si="63"/>
        <v>34</v>
      </c>
      <c r="BO47" s="4">
        <f t="shared" si="63"/>
        <v>35</v>
      </c>
      <c r="BP47" s="4">
        <f t="shared" si="63"/>
        <v>41</v>
      </c>
      <c r="BQ47" s="4">
        <f>COUNTIF($B$67:$B$1312," - China")-COUNTIFS($B$67:$B$1312," - China",BQ67:BQ1312,"=0")-COUNTIFS($B$67:$B$1312," - China",BQ67:BQ1312,"")</f>
        <v>31</v>
      </c>
      <c r="BR47" s="101"/>
    </row>
    <row r="48" spans="1:70" ht="15.5">
      <c r="A48" s="90"/>
      <c r="B48" s="1" t="s">
        <v>3</v>
      </c>
      <c r="C48" s="91"/>
      <c r="D48" s="9">
        <f t="shared" ref="D48:AI48" si="64">COUNTIF($B$67:$B$1312," - Other Official Creditors")-COUNTIFS($B$67:$B$1312," - Other Official Creditors",D67:D1312,"=0")-COUNTIFS($B$67:$B$1312," - Other Official Creditors",D67:D1312,"")</f>
        <v>5</v>
      </c>
      <c r="E48" s="9">
        <f t="shared" si="64"/>
        <v>7</v>
      </c>
      <c r="F48" s="9">
        <f t="shared" si="64"/>
        <v>7</v>
      </c>
      <c r="G48" s="9">
        <f t="shared" si="64"/>
        <v>8</v>
      </c>
      <c r="H48" s="9">
        <f t="shared" si="64"/>
        <v>8</v>
      </c>
      <c r="I48" s="9">
        <f t="shared" si="64"/>
        <v>15</v>
      </c>
      <c r="J48" s="9">
        <f t="shared" si="64"/>
        <v>8</v>
      </c>
      <c r="K48" s="9">
        <f t="shared" si="64"/>
        <v>6</v>
      </c>
      <c r="L48" s="9">
        <f t="shared" si="64"/>
        <v>10</v>
      </c>
      <c r="M48" s="9">
        <f t="shared" si="64"/>
        <v>9</v>
      </c>
      <c r="N48" s="9">
        <f t="shared" si="64"/>
        <v>21</v>
      </c>
      <c r="O48" s="9">
        <f t="shared" si="64"/>
        <v>29</v>
      </c>
      <c r="P48" s="9">
        <f t="shared" si="64"/>
        <v>34</v>
      </c>
      <c r="Q48" s="9">
        <f t="shared" si="64"/>
        <v>35</v>
      </c>
      <c r="R48" s="9">
        <f t="shared" si="64"/>
        <v>36</v>
      </c>
      <c r="S48" s="9">
        <f t="shared" si="64"/>
        <v>43</v>
      </c>
      <c r="T48" s="9">
        <f t="shared" si="64"/>
        <v>46</v>
      </c>
      <c r="U48" s="9">
        <f t="shared" si="64"/>
        <v>49</v>
      </c>
      <c r="V48" s="9">
        <f t="shared" si="64"/>
        <v>54</v>
      </c>
      <c r="W48" s="9">
        <f t="shared" si="64"/>
        <v>55</v>
      </c>
      <c r="X48" s="9">
        <f t="shared" si="64"/>
        <v>59</v>
      </c>
      <c r="Y48" s="9">
        <f t="shared" si="64"/>
        <v>64</v>
      </c>
      <c r="Z48" s="9">
        <f t="shared" si="64"/>
        <v>67</v>
      </c>
      <c r="AA48" s="9">
        <f t="shared" si="64"/>
        <v>74</v>
      </c>
      <c r="AB48" s="9">
        <f t="shared" si="64"/>
        <v>78</v>
      </c>
      <c r="AC48" s="9">
        <f t="shared" si="64"/>
        <v>74</v>
      </c>
      <c r="AD48" s="9">
        <f t="shared" si="64"/>
        <v>79</v>
      </c>
      <c r="AE48" s="9">
        <f t="shared" si="64"/>
        <v>83</v>
      </c>
      <c r="AF48" s="9">
        <f t="shared" si="64"/>
        <v>87</v>
      </c>
      <c r="AG48" s="9">
        <f t="shared" si="64"/>
        <v>89</v>
      </c>
      <c r="AH48" s="9">
        <f t="shared" si="64"/>
        <v>93</v>
      </c>
      <c r="AI48" s="9">
        <f t="shared" si="64"/>
        <v>95</v>
      </c>
      <c r="AJ48" s="9">
        <f t="shared" ref="AJ48:BP48" si="65">COUNTIF($B$67:$B$1312," - Other Official Creditors")-COUNTIFS($B$67:$B$1312," - Other Official Creditors",AJ67:AJ1312,"=0")-COUNTIFS($B$67:$B$1312," - Other Official Creditors",AJ67:AJ1312,"")</f>
        <v>98</v>
      </c>
      <c r="AK48" s="9">
        <f t="shared" si="65"/>
        <v>106</v>
      </c>
      <c r="AL48" s="9">
        <f t="shared" si="65"/>
        <v>105</v>
      </c>
      <c r="AM48" s="9">
        <f t="shared" si="65"/>
        <v>109</v>
      </c>
      <c r="AN48" s="9">
        <f t="shared" si="65"/>
        <v>107</v>
      </c>
      <c r="AO48" s="9">
        <f t="shared" si="65"/>
        <v>106</v>
      </c>
      <c r="AP48" s="9">
        <f t="shared" si="65"/>
        <v>105</v>
      </c>
      <c r="AQ48" s="9">
        <f t="shared" si="65"/>
        <v>99</v>
      </c>
      <c r="AR48" s="9">
        <f t="shared" si="65"/>
        <v>103</v>
      </c>
      <c r="AS48" s="9">
        <f t="shared" si="65"/>
        <v>101</v>
      </c>
      <c r="AT48" s="9">
        <f t="shared" si="65"/>
        <v>105</v>
      </c>
      <c r="AU48" s="9">
        <f t="shared" si="65"/>
        <v>103</v>
      </c>
      <c r="AV48" s="9">
        <f t="shared" si="65"/>
        <v>101</v>
      </c>
      <c r="AW48" s="9">
        <f t="shared" si="65"/>
        <v>101</v>
      </c>
      <c r="AX48" s="9">
        <f t="shared" si="65"/>
        <v>99</v>
      </c>
      <c r="AY48" s="9">
        <f t="shared" si="65"/>
        <v>96</v>
      </c>
      <c r="AZ48" s="9">
        <f t="shared" si="65"/>
        <v>99</v>
      </c>
      <c r="BA48" s="9">
        <f t="shared" si="65"/>
        <v>93</v>
      </c>
      <c r="BB48" s="9">
        <f t="shared" si="65"/>
        <v>91</v>
      </c>
      <c r="BC48" s="9">
        <f t="shared" si="65"/>
        <v>91</v>
      </c>
      <c r="BD48" s="9">
        <f t="shared" si="65"/>
        <v>91</v>
      </c>
      <c r="BE48" s="9">
        <f t="shared" si="65"/>
        <v>93</v>
      </c>
      <c r="BF48" s="9">
        <f t="shared" si="65"/>
        <v>86</v>
      </c>
      <c r="BG48" s="9">
        <f t="shared" si="65"/>
        <v>81</v>
      </c>
      <c r="BH48" s="9">
        <f t="shared" si="65"/>
        <v>84</v>
      </c>
      <c r="BI48" s="9">
        <f t="shared" si="65"/>
        <v>88</v>
      </c>
      <c r="BJ48" s="9">
        <f t="shared" si="65"/>
        <v>78</v>
      </c>
      <c r="BK48" s="9">
        <f t="shared" si="65"/>
        <v>76</v>
      </c>
      <c r="BL48" s="9">
        <f t="shared" si="65"/>
        <v>86</v>
      </c>
      <c r="BM48" s="9">
        <f t="shared" si="65"/>
        <v>79</v>
      </c>
      <c r="BN48" s="9">
        <f t="shared" si="65"/>
        <v>81</v>
      </c>
      <c r="BO48" s="9">
        <f t="shared" si="65"/>
        <v>73</v>
      </c>
      <c r="BP48" s="9">
        <f t="shared" si="65"/>
        <v>68</v>
      </c>
      <c r="BQ48" s="9">
        <f>COUNTIF($B$67:$B$1312," - Other Official Creditors")-COUNTIFS($B$67:$B$1312," - Other Official Creditors",BQ67:BQ1312,"=0")-COUNTIFS($B$67:$B$1312," - Other Official Creditors",BQ67:BQ1312,"")</f>
        <v>54</v>
      </c>
      <c r="BR48" s="101"/>
    </row>
    <row r="49" spans="1:70" ht="15.5">
      <c r="A49" s="90"/>
      <c r="B49" s="1" t="s">
        <v>18</v>
      </c>
      <c r="C49" s="91"/>
      <c r="D49" s="4">
        <f t="shared" ref="D49:AI49" si="66">COUNTIF($B$67:$B$1312," - FC Bank Loans")-COUNTIFS($B$67:$B$1312," - FC Bank Loans",D67:D1312,"=0")-COUNTIFS($B$67:$B$1312," - FC Bank Loans",D67:D1312,"")</f>
        <v>1</v>
      </c>
      <c r="E49" s="4">
        <f t="shared" si="66"/>
        <v>3</v>
      </c>
      <c r="F49" s="4">
        <f t="shared" si="66"/>
        <v>1</v>
      </c>
      <c r="G49" s="4">
        <f t="shared" si="66"/>
        <v>2</v>
      </c>
      <c r="H49" s="4">
        <f t="shared" si="66"/>
        <v>2</v>
      </c>
      <c r="I49" s="4">
        <f t="shared" si="66"/>
        <v>2</v>
      </c>
      <c r="J49" s="4">
        <f t="shared" si="66"/>
        <v>1</v>
      </c>
      <c r="K49" s="4">
        <f t="shared" si="66"/>
        <v>1</v>
      </c>
      <c r="L49" s="4">
        <f t="shared" si="66"/>
        <v>3</v>
      </c>
      <c r="M49" s="4">
        <f t="shared" si="66"/>
        <v>1</v>
      </c>
      <c r="N49" s="4">
        <f t="shared" si="66"/>
        <v>3</v>
      </c>
      <c r="O49" s="4">
        <f t="shared" si="66"/>
        <v>0</v>
      </c>
      <c r="P49" s="4">
        <f t="shared" si="66"/>
        <v>1</v>
      </c>
      <c r="Q49" s="4">
        <f t="shared" si="66"/>
        <v>1</v>
      </c>
      <c r="R49" s="4">
        <f t="shared" si="66"/>
        <v>0</v>
      </c>
      <c r="S49" s="4">
        <f t="shared" si="66"/>
        <v>3</v>
      </c>
      <c r="T49" s="4">
        <f t="shared" si="66"/>
        <v>7</v>
      </c>
      <c r="U49" s="4">
        <f t="shared" si="66"/>
        <v>5</v>
      </c>
      <c r="V49" s="4">
        <f t="shared" si="66"/>
        <v>8</v>
      </c>
      <c r="W49" s="4">
        <f t="shared" si="66"/>
        <v>10</v>
      </c>
      <c r="X49" s="4">
        <f t="shared" si="66"/>
        <v>13</v>
      </c>
      <c r="Y49" s="4">
        <f t="shared" si="66"/>
        <v>18</v>
      </c>
      <c r="Z49" s="4">
        <f t="shared" si="66"/>
        <v>26</v>
      </c>
      <c r="AA49" s="4">
        <f t="shared" si="66"/>
        <v>33</v>
      </c>
      <c r="AB49" s="4">
        <f t="shared" si="66"/>
        <v>36</v>
      </c>
      <c r="AC49" s="4">
        <f t="shared" si="66"/>
        <v>38</v>
      </c>
      <c r="AD49" s="4">
        <f t="shared" si="66"/>
        <v>42</v>
      </c>
      <c r="AE49" s="4">
        <f t="shared" si="66"/>
        <v>44</v>
      </c>
      <c r="AF49" s="4">
        <f t="shared" si="66"/>
        <v>45</v>
      </c>
      <c r="AG49" s="4">
        <f t="shared" si="66"/>
        <v>45</v>
      </c>
      <c r="AH49" s="4">
        <f t="shared" si="66"/>
        <v>48</v>
      </c>
      <c r="AI49" s="4">
        <f t="shared" si="66"/>
        <v>43</v>
      </c>
      <c r="AJ49" s="4">
        <f t="shared" ref="AJ49:BP49" si="67">COUNTIF($B$67:$B$1312," - FC Bank Loans")-COUNTIFS($B$67:$B$1312," - FC Bank Loans",AJ67:AJ1312,"=0")-COUNTIFS($B$67:$B$1312," - FC Bank Loans",AJ67:AJ1312,"")</f>
        <v>47</v>
      </c>
      <c r="AK49" s="4">
        <f t="shared" si="67"/>
        <v>46</v>
      </c>
      <c r="AL49" s="4">
        <f t="shared" si="67"/>
        <v>40</v>
      </c>
      <c r="AM49" s="4">
        <f t="shared" si="67"/>
        <v>33</v>
      </c>
      <c r="AN49" s="4">
        <f t="shared" si="67"/>
        <v>31</v>
      </c>
      <c r="AO49" s="4">
        <f t="shared" si="67"/>
        <v>27</v>
      </c>
      <c r="AP49" s="4">
        <f t="shared" si="67"/>
        <v>27</v>
      </c>
      <c r="AQ49" s="4">
        <f t="shared" si="67"/>
        <v>24</v>
      </c>
      <c r="AR49" s="4">
        <f t="shared" si="67"/>
        <v>20</v>
      </c>
      <c r="AS49" s="4">
        <f t="shared" si="67"/>
        <v>21</v>
      </c>
      <c r="AT49" s="4">
        <f t="shared" si="67"/>
        <v>22</v>
      </c>
      <c r="AU49" s="4">
        <f t="shared" si="67"/>
        <v>19</v>
      </c>
      <c r="AV49" s="4">
        <f t="shared" si="67"/>
        <v>19</v>
      </c>
      <c r="AW49" s="4">
        <f t="shared" si="67"/>
        <v>15</v>
      </c>
      <c r="AX49" s="4">
        <f t="shared" si="67"/>
        <v>14</v>
      </c>
      <c r="AY49" s="4">
        <f t="shared" si="67"/>
        <v>13</v>
      </c>
      <c r="AZ49" s="4">
        <f t="shared" si="67"/>
        <v>10</v>
      </c>
      <c r="BA49" s="4">
        <f t="shared" si="67"/>
        <v>10</v>
      </c>
      <c r="BB49" s="4">
        <f t="shared" si="67"/>
        <v>10</v>
      </c>
      <c r="BC49" s="4">
        <f t="shared" si="67"/>
        <v>10</v>
      </c>
      <c r="BD49" s="4">
        <f t="shared" si="67"/>
        <v>10</v>
      </c>
      <c r="BE49" s="4">
        <f t="shared" si="67"/>
        <v>10</v>
      </c>
      <c r="BF49" s="4">
        <f t="shared" si="67"/>
        <v>10</v>
      </c>
      <c r="BG49" s="4">
        <f t="shared" si="67"/>
        <v>10</v>
      </c>
      <c r="BH49" s="4">
        <f t="shared" si="67"/>
        <v>11</v>
      </c>
      <c r="BI49" s="4">
        <f t="shared" si="67"/>
        <v>9</v>
      </c>
      <c r="BJ49" s="4">
        <f t="shared" si="67"/>
        <v>9</v>
      </c>
      <c r="BK49" s="4">
        <f t="shared" si="67"/>
        <v>9</v>
      </c>
      <c r="BL49" s="4">
        <f t="shared" si="67"/>
        <v>7</v>
      </c>
      <c r="BM49" s="4">
        <f t="shared" si="67"/>
        <v>8</v>
      </c>
      <c r="BN49" s="4">
        <f t="shared" si="67"/>
        <v>9</v>
      </c>
      <c r="BO49" s="4">
        <f t="shared" si="67"/>
        <v>10</v>
      </c>
      <c r="BP49" s="4">
        <f t="shared" si="67"/>
        <v>7</v>
      </c>
      <c r="BQ49" s="4">
        <f>COUNTIF($B$67:$B$1312," - FC Bank Loans")-COUNTIFS($B$67:$B$1312," - FC Bank Loans",BQ67:BQ1312,"=0")-COUNTIFS($B$67:$B$1312," - FC Bank Loans",BQ67:BQ1312,"")</f>
        <v>7</v>
      </c>
      <c r="BR49" s="101"/>
    </row>
    <row r="50" spans="1:70" ht="15.5">
      <c r="A50" s="90"/>
      <c r="B50" s="1" t="s">
        <v>25</v>
      </c>
      <c r="C50" s="91"/>
      <c r="D50" s="9">
        <f t="shared" ref="D50:AI50" si="68">COUNTIF($B$67:$B$1312," - FC Bonds")-COUNTIFS($B$67:$B$1312," - FC Bonds",D67:D1312,"=0")-COUNTIFS($B$67:$B$1312," - FC Bonds",D67:D1312,"")</f>
        <v>11</v>
      </c>
      <c r="E50" s="9">
        <f t="shared" si="68"/>
        <v>12</v>
      </c>
      <c r="F50" s="9">
        <f t="shared" si="68"/>
        <v>11</v>
      </c>
      <c r="G50" s="9">
        <f t="shared" si="68"/>
        <v>11</v>
      </c>
      <c r="H50" s="9">
        <f t="shared" si="68"/>
        <v>11</v>
      </c>
      <c r="I50" s="9">
        <f t="shared" si="68"/>
        <v>12</v>
      </c>
      <c r="J50" s="9">
        <f t="shared" si="68"/>
        <v>10</v>
      </c>
      <c r="K50" s="9">
        <f t="shared" si="68"/>
        <v>10</v>
      </c>
      <c r="L50" s="9">
        <f t="shared" si="68"/>
        <v>9</v>
      </c>
      <c r="M50" s="9">
        <f t="shared" si="68"/>
        <v>9</v>
      </c>
      <c r="N50" s="9">
        <f t="shared" si="68"/>
        <v>8</v>
      </c>
      <c r="O50" s="9">
        <f t="shared" si="68"/>
        <v>8</v>
      </c>
      <c r="P50" s="9">
        <f t="shared" si="68"/>
        <v>8</v>
      </c>
      <c r="Q50" s="9">
        <f t="shared" si="68"/>
        <v>8</v>
      </c>
      <c r="R50" s="9">
        <f t="shared" si="68"/>
        <v>8</v>
      </c>
      <c r="S50" s="9">
        <f t="shared" si="68"/>
        <v>8</v>
      </c>
      <c r="T50" s="9">
        <f t="shared" si="68"/>
        <v>7</v>
      </c>
      <c r="U50" s="9">
        <f t="shared" si="68"/>
        <v>5</v>
      </c>
      <c r="V50" s="9">
        <f t="shared" si="68"/>
        <v>5</v>
      </c>
      <c r="W50" s="9">
        <f t="shared" si="68"/>
        <v>5</v>
      </c>
      <c r="X50" s="9">
        <f t="shared" si="68"/>
        <v>5</v>
      </c>
      <c r="Y50" s="9">
        <f t="shared" si="68"/>
        <v>6</v>
      </c>
      <c r="Z50" s="9">
        <f t="shared" si="68"/>
        <v>5</v>
      </c>
      <c r="AA50" s="9">
        <f t="shared" si="68"/>
        <v>5</v>
      </c>
      <c r="AB50" s="9">
        <f t="shared" si="68"/>
        <v>6</v>
      </c>
      <c r="AC50" s="9">
        <f t="shared" si="68"/>
        <v>6</v>
      </c>
      <c r="AD50" s="9">
        <f t="shared" si="68"/>
        <v>5</v>
      </c>
      <c r="AE50" s="9">
        <f t="shared" si="68"/>
        <v>6</v>
      </c>
      <c r="AF50" s="9">
        <f t="shared" si="68"/>
        <v>4</v>
      </c>
      <c r="AG50" s="9">
        <f t="shared" si="68"/>
        <v>6</v>
      </c>
      <c r="AH50" s="9">
        <f t="shared" si="68"/>
        <v>4</v>
      </c>
      <c r="AI50" s="9">
        <f t="shared" si="68"/>
        <v>5</v>
      </c>
      <c r="AJ50" s="9">
        <f t="shared" ref="AJ50:BP50" si="69">COUNTIF($B$67:$B$1312," - FC Bonds")-COUNTIFS($B$67:$B$1312," - FC Bonds",AJ67:AJ1312,"=0")-COUNTIFS($B$67:$B$1312," - FC Bonds",AJ67:AJ1312,"")</f>
        <v>7</v>
      </c>
      <c r="AK50" s="9">
        <f t="shared" si="69"/>
        <v>5</v>
      </c>
      <c r="AL50" s="9">
        <f t="shared" si="69"/>
        <v>6</v>
      </c>
      <c r="AM50" s="9">
        <f t="shared" si="69"/>
        <v>4</v>
      </c>
      <c r="AN50" s="9">
        <f t="shared" si="69"/>
        <v>4</v>
      </c>
      <c r="AO50" s="9">
        <f t="shared" si="69"/>
        <v>4</v>
      </c>
      <c r="AP50" s="9">
        <f t="shared" si="69"/>
        <v>6</v>
      </c>
      <c r="AQ50" s="9">
        <f t="shared" si="69"/>
        <v>7</v>
      </c>
      <c r="AR50" s="9">
        <f t="shared" si="69"/>
        <v>8</v>
      </c>
      <c r="AS50" s="9">
        <f t="shared" si="69"/>
        <v>8</v>
      </c>
      <c r="AT50" s="9">
        <f t="shared" si="69"/>
        <v>9</v>
      </c>
      <c r="AU50" s="9">
        <f t="shared" si="69"/>
        <v>10</v>
      </c>
      <c r="AV50" s="9">
        <f t="shared" si="69"/>
        <v>13</v>
      </c>
      <c r="AW50" s="9">
        <f t="shared" si="69"/>
        <v>9</v>
      </c>
      <c r="AX50" s="9">
        <f t="shared" si="69"/>
        <v>5</v>
      </c>
      <c r="AY50" s="9">
        <f t="shared" si="69"/>
        <v>5</v>
      </c>
      <c r="AZ50" s="9">
        <f t="shared" si="69"/>
        <v>8</v>
      </c>
      <c r="BA50" s="9">
        <f t="shared" si="69"/>
        <v>7</v>
      </c>
      <c r="BB50" s="9">
        <f t="shared" si="69"/>
        <v>8</v>
      </c>
      <c r="BC50" s="9">
        <f t="shared" si="69"/>
        <v>7</v>
      </c>
      <c r="BD50" s="9">
        <f t="shared" si="69"/>
        <v>8</v>
      </c>
      <c r="BE50" s="9">
        <f t="shared" si="69"/>
        <v>9</v>
      </c>
      <c r="BF50" s="9">
        <f t="shared" si="69"/>
        <v>5</v>
      </c>
      <c r="BG50" s="9">
        <f t="shared" si="69"/>
        <v>8</v>
      </c>
      <c r="BH50" s="9">
        <f t="shared" si="69"/>
        <v>11</v>
      </c>
      <c r="BI50" s="9">
        <f t="shared" si="69"/>
        <v>11</v>
      </c>
      <c r="BJ50" s="9">
        <f t="shared" si="69"/>
        <v>9</v>
      </c>
      <c r="BK50" s="9">
        <f t="shared" si="69"/>
        <v>9</v>
      </c>
      <c r="BL50" s="9">
        <f t="shared" si="69"/>
        <v>10</v>
      </c>
      <c r="BM50" s="9">
        <f t="shared" si="69"/>
        <v>11</v>
      </c>
      <c r="BN50" s="9">
        <f t="shared" si="69"/>
        <v>17</v>
      </c>
      <c r="BO50" s="9">
        <f t="shared" si="69"/>
        <v>16</v>
      </c>
      <c r="BP50" s="9">
        <f t="shared" si="69"/>
        <v>11</v>
      </c>
      <c r="BQ50" s="9">
        <f>COUNTIF($B$67:$B$1312," - FC Bonds")-COUNTIFS($B$67:$B$1312," - FC Bonds",BQ67:BQ1312,"=0")-COUNTIFS($B$67:$B$1312," - FC Bonds",BQ67:BQ1312,"")</f>
        <v>9</v>
      </c>
      <c r="BR50" s="101"/>
    </row>
    <row r="51" spans="1:70" ht="15.5">
      <c r="A51" s="90"/>
      <c r="B51" s="1" t="s">
        <v>208</v>
      </c>
      <c r="C51" s="91"/>
      <c r="D51" s="4">
        <f t="shared" ref="D51:M51" si="70">COUNTIF($B$67:$B$1312," - Other private creditors")-COUNTIFS($B$67:$B$1312," - Other private creditors",D67:D1312,"=0")-COUNTIFS($B$67:$B$1312," - Other private creditors",D67:D1312,"")-1</f>
        <v>1</v>
      </c>
      <c r="E51" s="4">
        <f t="shared" si="70"/>
        <v>2</v>
      </c>
      <c r="F51" s="4">
        <f t="shared" si="70"/>
        <v>1</v>
      </c>
      <c r="G51" s="4">
        <f t="shared" si="70"/>
        <v>3</v>
      </c>
      <c r="H51" s="4">
        <f t="shared" si="70"/>
        <v>1</v>
      </c>
      <c r="I51" s="4">
        <f t="shared" si="70"/>
        <v>3</v>
      </c>
      <c r="J51" s="4">
        <f t="shared" si="70"/>
        <v>0</v>
      </c>
      <c r="K51" s="4">
        <f t="shared" si="70"/>
        <v>0</v>
      </c>
      <c r="L51" s="4">
        <f t="shared" si="70"/>
        <v>1</v>
      </c>
      <c r="M51" s="4">
        <f t="shared" si="70"/>
        <v>1</v>
      </c>
      <c r="N51" s="4">
        <f t="shared" ref="N51:AS51" si="71">COUNTIF($B$67:$B$1312," - Other private creditors")-COUNTIFS($B$67:$B$1312," - Other private creditors",N67:N1312,"=0")-COUNTIFS($B$67:$B$1312," - Other private creditors",N67:N1312,"")</f>
        <v>19</v>
      </c>
      <c r="O51" s="4">
        <f t="shared" si="71"/>
        <v>22</v>
      </c>
      <c r="P51" s="4">
        <f t="shared" si="71"/>
        <v>24</v>
      </c>
      <c r="Q51" s="4">
        <f t="shared" si="71"/>
        <v>30</v>
      </c>
      <c r="R51" s="4">
        <f t="shared" si="71"/>
        <v>29</v>
      </c>
      <c r="S51" s="4">
        <f t="shared" si="71"/>
        <v>34</v>
      </c>
      <c r="T51" s="4">
        <f t="shared" si="71"/>
        <v>36</v>
      </c>
      <c r="U51" s="4">
        <f t="shared" si="71"/>
        <v>31</v>
      </c>
      <c r="V51" s="4">
        <f t="shared" si="71"/>
        <v>37</v>
      </c>
      <c r="W51" s="4">
        <f t="shared" si="71"/>
        <v>38</v>
      </c>
      <c r="X51" s="4">
        <f t="shared" si="71"/>
        <v>46</v>
      </c>
      <c r="Y51" s="4">
        <f t="shared" si="71"/>
        <v>54</v>
      </c>
      <c r="Z51" s="4">
        <f t="shared" si="71"/>
        <v>62</v>
      </c>
      <c r="AA51" s="4">
        <f t="shared" si="71"/>
        <v>62</v>
      </c>
      <c r="AB51" s="4">
        <f t="shared" si="71"/>
        <v>64</v>
      </c>
      <c r="AC51" s="4">
        <f t="shared" si="71"/>
        <v>67</v>
      </c>
      <c r="AD51" s="4">
        <f t="shared" si="71"/>
        <v>71</v>
      </c>
      <c r="AE51" s="4">
        <f t="shared" si="71"/>
        <v>77</v>
      </c>
      <c r="AF51" s="4">
        <f t="shared" si="71"/>
        <v>72</v>
      </c>
      <c r="AG51" s="4">
        <f t="shared" si="71"/>
        <v>77</v>
      </c>
      <c r="AH51" s="4">
        <f t="shared" si="71"/>
        <v>80</v>
      </c>
      <c r="AI51" s="4">
        <f t="shared" si="71"/>
        <v>78</v>
      </c>
      <c r="AJ51" s="4">
        <f t="shared" si="71"/>
        <v>86</v>
      </c>
      <c r="AK51" s="4">
        <f t="shared" si="71"/>
        <v>89</v>
      </c>
      <c r="AL51" s="4">
        <f t="shared" si="71"/>
        <v>91</v>
      </c>
      <c r="AM51" s="4">
        <f t="shared" si="71"/>
        <v>92</v>
      </c>
      <c r="AN51" s="4">
        <f t="shared" si="71"/>
        <v>81</v>
      </c>
      <c r="AO51" s="4">
        <f t="shared" si="71"/>
        <v>78</v>
      </c>
      <c r="AP51" s="4">
        <f t="shared" si="71"/>
        <v>77</v>
      </c>
      <c r="AQ51" s="4">
        <f t="shared" si="71"/>
        <v>81</v>
      </c>
      <c r="AR51" s="4">
        <f t="shared" si="71"/>
        <v>78</v>
      </c>
      <c r="AS51" s="4">
        <f t="shared" si="71"/>
        <v>70</v>
      </c>
      <c r="AT51" s="4">
        <f t="shared" ref="AT51:BP51" si="72">COUNTIF($B$67:$B$1312," - Other private creditors")-COUNTIFS($B$67:$B$1312," - Other private creditors",AT67:AT1312,"=0")-COUNTIFS($B$67:$B$1312," - Other private creditors",AT67:AT1312,"")</f>
        <v>72</v>
      </c>
      <c r="AU51" s="4">
        <f t="shared" si="72"/>
        <v>65</v>
      </c>
      <c r="AV51" s="4">
        <f t="shared" si="72"/>
        <v>62</v>
      </c>
      <c r="AW51" s="4">
        <f t="shared" si="72"/>
        <v>57</v>
      </c>
      <c r="AX51" s="4">
        <f t="shared" si="72"/>
        <v>55</v>
      </c>
      <c r="AY51" s="4">
        <f t="shared" si="72"/>
        <v>56</v>
      </c>
      <c r="AZ51" s="4">
        <f t="shared" si="72"/>
        <v>54</v>
      </c>
      <c r="BA51" s="4">
        <f t="shared" si="72"/>
        <v>55</v>
      </c>
      <c r="BB51" s="4">
        <f t="shared" si="72"/>
        <v>51</v>
      </c>
      <c r="BC51" s="4">
        <f t="shared" si="72"/>
        <v>47</v>
      </c>
      <c r="BD51" s="4">
        <f t="shared" si="72"/>
        <v>48</v>
      </c>
      <c r="BE51" s="4">
        <f t="shared" si="72"/>
        <v>45</v>
      </c>
      <c r="BF51" s="4">
        <f t="shared" si="72"/>
        <v>44</v>
      </c>
      <c r="BG51" s="4">
        <f t="shared" si="72"/>
        <v>43</v>
      </c>
      <c r="BH51" s="4">
        <f t="shared" si="72"/>
        <v>43</v>
      </c>
      <c r="BI51" s="4">
        <f t="shared" si="72"/>
        <v>45</v>
      </c>
      <c r="BJ51" s="4">
        <f t="shared" si="72"/>
        <v>47</v>
      </c>
      <c r="BK51" s="4">
        <f t="shared" si="72"/>
        <v>39</v>
      </c>
      <c r="BL51" s="4">
        <f t="shared" si="72"/>
        <v>45</v>
      </c>
      <c r="BM51" s="4">
        <f t="shared" si="72"/>
        <v>46</v>
      </c>
      <c r="BN51" s="4">
        <f t="shared" si="72"/>
        <v>42</v>
      </c>
      <c r="BO51" s="4">
        <f t="shared" si="72"/>
        <v>44</v>
      </c>
      <c r="BP51" s="4">
        <f t="shared" si="72"/>
        <v>43</v>
      </c>
      <c r="BQ51" s="4">
        <f>COUNTIF($B$67:$B$1312," - Other private creditors")-COUNTIFS($B$67:$B$1312," - Other private creditors",BQ67:BQ1312,"=0")-COUNTIFS($B$67:$B$1312," - Other private creditors",BQ67:BQ1312,"")</f>
        <v>33</v>
      </c>
      <c r="BR51" s="101"/>
    </row>
    <row r="52" spans="1:70" ht="15.5">
      <c r="A52" s="90"/>
      <c r="B52" s="1" t="s">
        <v>21</v>
      </c>
      <c r="C52" s="91"/>
      <c r="D52" s="16">
        <f t="shared" ref="D52:AI52" si="73">COUNTIF($B$67:$B$1312," - LC Debt")-COUNTIFS($B$67:$B$1312," - LC Debt",D67:D1312,"=0")-COUNTIFS($B$67:$B$1312," - LC Debt",D67:D1312,"")</f>
        <v>1</v>
      </c>
      <c r="E52" s="16">
        <f t="shared" si="73"/>
        <v>2</v>
      </c>
      <c r="F52" s="16">
        <f t="shared" si="73"/>
        <v>1</v>
      </c>
      <c r="G52" s="16">
        <f t="shared" si="73"/>
        <v>1</v>
      </c>
      <c r="H52" s="16">
        <f t="shared" si="73"/>
        <v>2</v>
      </c>
      <c r="I52" s="16">
        <f t="shared" si="73"/>
        <v>1</v>
      </c>
      <c r="J52" s="16">
        <f t="shared" si="73"/>
        <v>0</v>
      </c>
      <c r="K52" s="16">
        <f t="shared" si="73"/>
        <v>1</v>
      </c>
      <c r="L52" s="16">
        <f t="shared" si="73"/>
        <v>0</v>
      </c>
      <c r="M52" s="16">
        <f t="shared" si="73"/>
        <v>0</v>
      </c>
      <c r="N52" s="16">
        <f t="shared" si="73"/>
        <v>1</v>
      </c>
      <c r="O52" s="16">
        <f t="shared" si="73"/>
        <v>0</v>
      </c>
      <c r="P52" s="16">
        <f t="shared" si="73"/>
        <v>0</v>
      </c>
      <c r="Q52" s="16">
        <f t="shared" si="73"/>
        <v>0</v>
      </c>
      <c r="R52" s="16">
        <f t="shared" si="73"/>
        <v>0</v>
      </c>
      <c r="S52" s="16">
        <f t="shared" si="73"/>
        <v>3</v>
      </c>
      <c r="T52" s="16">
        <f t="shared" si="73"/>
        <v>2</v>
      </c>
      <c r="U52" s="16">
        <f t="shared" si="73"/>
        <v>1</v>
      </c>
      <c r="V52" s="16">
        <f t="shared" si="73"/>
        <v>2</v>
      </c>
      <c r="W52" s="16">
        <f t="shared" si="73"/>
        <v>3</v>
      </c>
      <c r="X52" s="16">
        <f t="shared" si="73"/>
        <v>3</v>
      </c>
      <c r="Y52" s="16">
        <f t="shared" si="73"/>
        <v>2</v>
      </c>
      <c r="Z52" s="16">
        <f t="shared" si="73"/>
        <v>5</v>
      </c>
      <c r="AA52" s="16">
        <f t="shared" si="73"/>
        <v>3</v>
      </c>
      <c r="AB52" s="16">
        <f t="shared" si="73"/>
        <v>5</v>
      </c>
      <c r="AC52" s="16">
        <f t="shared" si="73"/>
        <v>3</v>
      </c>
      <c r="AD52" s="16">
        <f t="shared" si="73"/>
        <v>3</v>
      </c>
      <c r="AE52" s="16">
        <f t="shared" si="73"/>
        <v>4</v>
      </c>
      <c r="AF52" s="16">
        <f t="shared" si="73"/>
        <v>3</v>
      </c>
      <c r="AG52" s="16">
        <f t="shared" si="73"/>
        <v>5</v>
      </c>
      <c r="AH52" s="16">
        <f t="shared" si="73"/>
        <v>8</v>
      </c>
      <c r="AI52" s="16">
        <f t="shared" si="73"/>
        <v>7</v>
      </c>
      <c r="AJ52" s="16">
        <f t="shared" ref="AJ52:BP52" si="74">COUNTIF($B$67:$B$1312," - LC Debt")-COUNTIFS($B$67:$B$1312," - LC Debt",AJ67:AJ1312,"=0")-COUNTIFS($B$67:$B$1312," - LC Debt",AJ67:AJ1312,"")</f>
        <v>6</v>
      </c>
      <c r="AK52" s="16">
        <f t="shared" si="74"/>
        <v>7</v>
      </c>
      <c r="AL52" s="16">
        <f t="shared" si="74"/>
        <v>6</v>
      </c>
      <c r="AM52" s="16">
        <f t="shared" si="74"/>
        <v>7</v>
      </c>
      <c r="AN52" s="16">
        <f t="shared" si="74"/>
        <v>10</v>
      </c>
      <c r="AO52" s="16">
        <f t="shared" si="74"/>
        <v>8</v>
      </c>
      <c r="AP52" s="16">
        <f t="shared" si="74"/>
        <v>13</v>
      </c>
      <c r="AQ52" s="16">
        <f t="shared" si="74"/>
        <v>15</v>
      </c>
      <c r="AR52" s="16">
        <f t="shared" si="74"/>
        <v>11</v>
      </c>
      <c r="AS52" s="16">
        <f t="shared" si="74"/>
        <v>10</v>
      </c>
      <c r="AT52" s="16">
        <f t="shared" si="74"/>
        <v>14</v>
      </c>
      <c r="AU52" s="16">
        <f t="shared" si="74"/>
        <v>10</v>
      </c>
      <c r="AV52" s="16">
        <f t="shared" si="74"/>
        <v>7</v>
      </c>
      <c r="AW52" s="16">
        <f t="shared" si="74"/>
        <v>9</v>
      </c>
      <c r="AX52" s="16">
        <f t="shared" si="74"/>
        <v>6</v>
      </c>
      <c r="AY52" s="16">
        <f t="shared" si="74"/>
        <v>5</v>
      </c>
      <c r="AZ52" s="16">
        <f t="shared" si="74"/>
        <v>4</v>
      </c>
      <c r="BA52" s="16">
        <f t="shared" si="74"/>
        <v>3</v>
      </c>
      <c r="BB52" s="16">
        <f t="shared" si="74"/>
        <v>4</v>
      </c>
      <c r="BC52" s="16">
        <f t="shared" si="74"/>
        <v>2</v>
      </c>
      <c r="BD52" s="16">
        <f t="shared" si="74"/>
        <v>2</v>
      </c>
      <c r="BE52" s="16">
        <f t="shared" si="74"/>
        <v>3</v>
      </c>
      <c r="BF52" s="16">
        <f t="shared" si="74"/>
        <v>2</v>
      </c>
      <c r="BG52" s="16">
        <f t="shared" si="74"/>
        <v>2</v>
      </c>
      <c r="BH52" s="16">
        <f t="shared" si="74"/>
        <v>4</v>
      </c>
      <c r="BI52" s="16">
        <f t="shared" si="74"/>
        <v>4</v>
      </c>
      <c r="BJ52" s="16">
        <f t="shared" si="74"/>
        <v>5</v>
      </c>
      <c r="BK52" s="16">
        <f t="shared" si="74"/>
        <v>4</v>
      </c>
      <c r="BL52" s="16">
        <f t="shared" si="74"/>
        <v>5</v>
      </c>
      <c r="BM52" s="16">
        <f t="shared" si="74"/>
        <v>5</v>
      </c>
      <c r="BN52" s="16">
        <f t="shared" si="74"/>
        <v>7</v>
      </c>
      <c r="BO52" s="16">
        <f t="shared" si="74"/>
        <v>5</v>
      </c>
      <c r="BP52" s="16">
        <f t="shared" si="74"/>
        <v>3</v>
      </c>
      <c r="BQ52" s="16">
        <f>COUNTIF($B$67:$B$1312," - LC Debt")-COUNTIFS($B$67:$B$1312," - LC Debt",BQ67:BQ1312,"=0")-COUNTIFS($B$67:$B$1312," - LC Debt",BQ67:BQ1312,"")</f>
        <v>2</v>
      </c>
      <c r="BR52" s="101"/>
    </row>
    <row r="53" spans="1:70" ht="15.5">
      <c r="A53" s="90"/>
      <c r="B53" s="1"/>
      <c r="C53" s="91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2"/>
      <c r="BO53" s="2"/>
      <c r="BP53" s="2"/>
      <c r="BQ53" s="2"/>
      <c r="BR53" s="101"/>
    </row>
    <row r="54" spans="1:70" ht="15.5">
      <c r="A54" s="90"/>
      <c r="B54" s="1" t="s">
        <v>241</v>
      </c>
      <c r="C54" s="91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>
        <f t="shared" ref="W54:BP54" si="75">COUNTIF($B$67:$B$1313," - Domestic arrears")-COUNTIFS($B$67:$B$1313," - Domestic arrears",W67:W1313,"=0")-COUNTIFS($B$67:$B$1313," - Domestic arrears",W67:W1313,"")</f>
        <v>6</v>
      </c>
      <c r="X54" s="16">
        <f t="shared" si="75"/>
        <v>9</v>
      </c>
      <c r="Y54" s="16">
        <f t="shared" si="75"/>
        <v>9</v>
      </c>
      <c r="Z54" s="16">
        <f t="shared" si="75"/>
        <v>14</v>
      </c>
      <c r="AA54" s="16">
        <f t="shared" si="75"/>
        <v>17</v>
      </c>
      <c r="AB54" s="16">
        <f t="shared" si="75"/>
        <v>21</v>
      </c>
      <c r="AC54" s="16">
        <f t="shared" si="75"/>
        <v>25</v>
      </c>
      <c r="AD54" s="16">
        <f t="shared" si="75"/>
        <v>24</v>
      </c>
      <c r="AE54" s="16">
        <f t="shared" si="75"/>
        <v>30</v>
      </c>
      <c r="AF54" s="16">
        <f t="shared" si="75"/>
        <v>34</v>
      </c>
      <c r="AG54" s="16">
        <f t="shared" si="75"/>
        <v>43</v>
      </c>
      <c r="AH54" s="16">
        <f t="shared" si="75"/>
        <v>52</v>
      </c>
      <c r="AI54" s="16">
        <f t="shared" si="75"/>
        <v>61</v>
      </c>
      <c r="AJ54" s="16">
        <f t="shared" si="75"/>
        <v>67</v>
      </c>
      <c r="AK54" s="16">
        <f t="shared" si="75"/>
        <v>76</v>
      </c>
      <c r="AL54" s="16">
        <f t="shared" si="75"/>
        <v>74</v>
      </c>
      <c r="AM54" s="16">
        <f t="shared" si="75"/>
        <v>80</v>
      </c>
      <c r="AN54" s="16">
        <f t="shared" si="75"/>
        <v>79</v>
      </c>
      <c r="AO54" s="16">
        <f t="shared" si="75"/>
        <v>82</v>
      </c>
      <c r="AP54" s="16">
        <f t="shared" si="75"/>
        <v>81</v>
      </c>
      <c r="AQ54" s="16">
        <f t="shared" si="75"/>
        <v>75</v>
      </c>
      <c r="AR54" s="16">
        <f t="shared" si="75"/>
        <v>80</v>
      </c>
      <c r="AS54" s="16">
        <f t="shared" si="75"/>
        <v>77</v>
      </c>
      <c r="AT54" s="16">
        <f t="shared" si="75"/>
        <v>73</v>
      </c>
      <c r="AU54" s="16">
        <f t="shared" si="75"/>
        <v>79</v>
      </c>
      <c r="AV54" s="16">
        <f t="shared" si="75"/>
        <v>77</v>
      </c>
      <c r="AW54" s="16">
        <f t="shared" si="75"/>
        <v>68</v>
      </c>
      <c r="AX54" s="16">
        <f t="shared" si="75"/>
        <v>67</v>
      </c>
      <c r="AY54" s="16">
        <f t="shared" si="75"/>
        <v>66</v>
      </c>
      <c r="AZ54" s="16">
        <f t="shared" si="75"/>
        <v>68</v>
      </c>
      <c r="BA54" s="16">
        <f t="shared" si="75"/>
        <v>76</v>
      </c>
      <c r="BB54" s="16">
        <f t="shared" si="75"/>
        <v>79</v>
      </c>
      <c r="BC54" s="16">
        <f t="shared" si="75"/>
        <v>80</v>
      </c>
      <c r="BD54" s="16">
        <f t="shared" si="75"/>
        <v>79</v>
      </c>
      <c r="BE54" s="16">
        <f t="shared" si="75"/>
        <v>88</v>
      </c>
      <c r="BF54" s="16">
        <f t="shared" si="75"/>
        <v>86</v>
      </c>
      <c r="BG54" s="16">
        <f t="shared" si="75"/>
        <v>90</v>
      </c>
      <c r="BH54" s="16">
        <f t="shared" si="75"/>
        <v>87</v>
      </c>
      <c r="BI54" s="16">
        <f t="shared" si="75"/>
        <v>88</v>
      </c>
      <c r="BJ54" s="16">
        <f t="shared" si="75"/>
        <v>86</v>
      </c>
      <c r="BK54" s="16">
        <f t="shared" si="75"/>
        <v>85</v>
      </c>
      <c r="BL54" s="16">
        <f t="shared" si="75"/>
        <v>86</v>
      </c>
      <c r="BM54" s="16">
        <f t="shared" si="75"/>
        <v>82</v>
      </c>
      <c r="BN54" s="16">
        <f t="shared" si="75"/>
        <v>84</v>
      </c>
      <c r="BO54" s="16">
        <f t="shared" si="75"/>
        <v>80</v>
      </c>
      <c r="BP54" s="16">
        <f t="shared" si="75"/>
        <v>76</v>
      </c>
      <c r="BQ54" s="16">
        <f>COUNTIF($B$67:$B$1313," - Domestic arrears")-COUNTIFS($B$67:$B$1313," - Domestic arrears",BQ67:BQ1313,"=0")-COUNTIFS($B$67:$B$1313," - Domestic arrears",BQ67:BQ1313,"")</f>
        <v>68</v>
      </c>
      <c r="BR54" s="101"/>
    </row>
    <row r="55" spans="1:70" ht="15.5">
      <c r="A55" s="90"/>
      <c r="B55" s="1" t="s">
        <v>5</v>
      </c>
      <c r="C55" s="91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0">
        <f t="shared" ref="W55:BP55" si="76">(W54/W39)*100</f>
        <v>3.296703296703297</v>
      </c>
      <c r="X55" s="10">
        <f t="shared" si="76"/>
        <v>4.918032786885246</v>
      </c>
      <c r="Y55" s="10">
        <f t="shared" si="76"/>
        <v>4.8648648648648649</v>
      </c>
      <c r="Z55" s="10">
        <f t="shared" si="76"/>
        <v>7.5675675675675684</v>
      </c>
      <c r="AA55" s="10">
        <f t="shared" si="76"/>
        <v>9.1397849462365599</v>
      </c>
      <c r="AB55" s="10">
        <f t="shared" si="76"/>
        <v>11.229946524064172</v>
      </c>
      <c r="AC55" s="10">
        <f t="shared" si="76"/>
        <v>13.368983957219251</v>
      </c>
      <c r="AD55" s="10">
        <f t="shared" si="76"/>
        <v>12.76595744680851</v>
      </c>
      <c r="AE55" s="10">
        <f t="shared" si="76"/>
        <v>15.957446808510639</v>
      </c>
      <c r="AF55" s="10">
        <f t="shared" si="76"/>
        <v>17.989417989417987</v>
      </c>
      <c r="AG55" s="10">
        <f t="shared" si="76"/>
        <v>22.75132275132275</v>
      </c>
      <c r="AH55" s="10">
        <f t="shared" si="76"/>
        <v>27.659574468085108</v>
      </c>
      <c r="AI55" s="10">
        <f t="shared" si="76"/>
        <v>29.468599033816425</v>
      </c>
      <c r="AJ55" s="10">
        <f t="shared" si="76"/>
        <v>32.211538461538467</v>
      </c>
      <c r="AK55" s="10">
        <f t="shared" si="76"/>
        <v>36.19047619047619</v>
      </c>
      <c r="AL55" s="10">
        <f t="shared" si="76"/>
        <v>35.071090047393369</v>
      </c>
      <c r="AM55" s="10">
        <f t="shared" si="76"/>
        <v>37.914691943127963</v>
      </c>
      <c r="AN55" s="10">
        <f t="shared" si="76"/>
        <v>37.440758293838861</v>
      </c>
      <c r="AO55" s="10">
        <f t="shared" si="76"/>
        <v>38.862559241706165</v>
      </c>
      <c r="AP55" s="10">
        <f t="shared" si="76"/>
        <v>38.388625592417064</v>
      </c>
      <c r="AQ55" s="10">
        <f t="shared" si="76"/>
        <v>35.545023696682463</v>
      </c>
      <c r="AR55" s="10">
        <f t="shared" si="76"/>
        <v>37.914691943127963</v>
      </c>
      <c r="AS55" s="10">
        <f t="shared" si="76"/>
        <v>36.492890995260666</v>
      </c>
      <c r="AT55" s="10">
        <f t="shared" si="76"/>
        <v>34.433962264150942</v>
      </c>
      <c r="AU55" s="10">
        <f t="shared" si="76"/>
        <v>37.264150943396224</v>
      </c>
      <c r="AV55" s="10">
        <f t="shared" si="76"/>
        <v>36.320754716981128</v>
      </c>
      <c r="AW55" s="10">
        <f t="shared" si="76"/>
        <v>32.075471698113205</v>
      </c>
      <c r="AX55" s="10">
        <f t="shared" si="76"/>
        <v>31.455399061032864</v>
      </c>
      <c r="AY55" s="10">
        <f t="shared" si="76"/>
        <v>30.985915492957744</v>
      </c>
      <c r="AZ55" s="10">
        <f t="shared" si="76"/>
        <v>31.775700934579437</v>
      </c>
      <c r="BA55" s="10">
        <f t="shared" si="76"/>
        <v>35.514018691588781</v>
      </c>
      <c r="BB55" s="10">
        <f t="shared" si="76"/>
        <v>36.744186046511629</v>
      </c>
      <c r="BC55" s="10">
        <f t="shared" si="76"/>
        <v>37.209302325581397</v>
      </c>
      <c r="BD55" s="10">
        <f t="shared" si="76"/>
        <v>36.744186046511629</v>
      </c>
      <c r="BE55" s="10">
        <f t="shared" si="76"/>
        <v>40.930232558139537</v>
      </c>
      <c r="BF55" s="10">
        <f t="shared" si="76"/>
        <v>40</v>
      </c>
      <c r="BG55" s="10">
        <f t="shared" si="76"/>
        <v>41.860465116279073</v>
      </c>
      <c r="BH55" s="10">
        <f t="shared" si="76"/>
        <v>40.465116279069768</v>
      </c>
      <c r="BI55" s="10">
        <f t="shared" si="76"/>
        <v>40.930232558139537</v>
      </c>
      <c r="BJ55" s="10">
        <f t="shared" si="76"/>
        <v>40</v>
      </c>
      <c r="BK55" s="10">
        <f t="shared" si="76"/>
        <v>39.534883720930232</v>
      </c>
      <c r="BL55" s="10">
        <f t="shared" si="76"/>
        <v>40</v>
      </c>
      <c r="BM55" s="10">
        <f t="shared" si="76"/>
        <v>38.139534883720934</v>
      </c>
      <c r="BN55" s="10">
        <f t="shared" si="76"/>
        <v>39.069767441860463</v>
      </c>
      <c r="BO55" s="10">
        <f t="shared" si="76"/>
        <v>37.209302325581397</v>
      </c>
      <c r="BP55" s="10">
        <f t="shared" si="76"/>
        <v>35.348837209302324</v>
      </c>
      <c r="BQ55" s="10">
        <f>(BQ54/BQ39)*100</f>
        <v>31.627906976744185</v>
      </c>
      <c r="BR55" s="101"/>
    </row>
    <row r="56" spans="1:70" ht="15.5">
      <c r="A56" s="90"/>
      <c r="B56" s="1" t="s">
        <v>207</v>
      </c>
      <c r="C56" s="91"/>
      <c r="D56" s="15">
        <f t="shared" ref="D56:AI56" si="77">(D20/1000/D62)*100</f>
        <v>0</v>
      </c>
      <c r="E56" s="15">
        <f t="shared" si="77"/>
        <v>0</v>
      </c>
      <c r="F56" s="15">
        <f t="shared" si="77"/>
        <v>0</v>
      </c>
      <c r="G56" s="15">
        <f t="shared" si="77"/>
        <v>0</v>
      </c>
      <c r="H56" s="15">
        <f t="shared" si="77"/>
        <v>0</v>
      </c>
      <c r="I56" s="15">
        <f t="shared" si="77"/>
        <v>0</v>
      </c>
      <c r="J56" s="15">
        <f t="shared" si="77"/>
        <v>0</v>
      </c>
      <c r="K56" s="15">
        <f t="shared" si="77"/>
        <v>0</v>
      </c>
      <c r="L56" s="15">
        <f t="shared" si="77"/>
        <v>0</v>
      </c>
      <c r="M56" s="15">
        <f t="shared" si="77"/>
        <v>0</v>
      </c>
      <c r="N56" s="15">
        <f t="shared" si="77"/>
        <v>0</v>
      </c>
      <c r="O56" s="15">
        <f t="shared" si="77"/>
        <v>0</v>
      </c>
      <c r="P56" s="15">
        <f t="shared" si="77"/>
        <v>0</v>
      </c>
      <c r="Q56" s="15">
        <f t="shared" si="77"/>
        <v>0</v>
      </c>
      <c r="R56" s="15">
        <f t="shared" si="77"/>
        <v>0</v>
      </c>
      <c r="S56" s="15">
        <f t="shared" si="77"/>
        <v>0</v>
      </c>
      <c r="T56" s="15">
        <f t="shared" si="77"/>
        <v>0</v>
      </c>
      <c r="U56" s="15">
        <f t="shared" si="77"/>
        <v>0</v>
      </c>
      <c r="V56" s="15">
        <f t="shared" si="77"/>
        <v>0</v>
      </c>
      <c r="W56" s="15">
        <f t="shared" si="77"/>
        <v>2.5831372096461129E-2</v>
      </c>
      <c r="X56" s="15">
        <f t="shared" si="77"/>
        <v>3.8416940498308863E-2</v>
      </c>
      <c r="Y56" s="15">
        <f t="shared" si="77"/>
        <v>3.1462380314551626E-2</v>
      </c>
      <c r="Z56" s="15">
        <f t="shared" si="77"/>
        <v>4.329853304072729E-2</v>
      </c>
      <c r="AA56" s="15">
        <f t="shared" si="77"/>
        <v>3.9249574172547028E-2</v>
      </c>
      <c r="AB56" s="15">
        <f t="shared" si="77"/>
        <v>5.933094796261662E-2</v>
      </c>
      <c r="AC56" s="15">
        <f t="shared" si="77"/>
        <v>0.12595462790072767</v>
      </c>
      <c r="AD56" s="15">
        <f t="shared" si="77"/>
        <v>0.13424748864365993</v>
      </c>
      <c r="AE56" s="15">
        <f t="shared" si="77"/>
        <v>0.16274440462714204</v>
      </c>
      <c r="AF56" s="15">
        <f t="shared" si="77"/>
        <v>0.16560787559867474</v>
      </c>
      <c r="AG56" s="15">
        <f t="shared" si="77"/>
        <v>0.23515222319784967</v>
      </c>
      <c r="AH56" s="15">
        <f t="shared" si="77"/>
        <v>0.24235119148923309</v>
      </c>
      <c r="AI56" s="15">
        <f t="shared" si="77"/>
        <v>0.1349628747901894</v>
      </c>
      <c r="AJ56" s="15">
        <f t="shared" ref="AJ56:BP56" si="78">(AJ20/1000/AJ62)*100</f>
        <v>0.21714346486087277</v>
      </c>
      <c r="AK56" s="15">
        <f t="shared" si="78"/>
        <v>0.14258038042150939</v>
      </c>
      <c r="AL56" s="15">
        <f t="shared" si="78"/>
        <v>0.10345175770467054</v>
      </c>
      <c r="AM56" s="15">
        <f t="shared" si="78"/>
        <v>0.11415456824676538</v>
      </c>
      <c r="AN56" s="15">
        <f t="shared" si="78"/>
        <v>0.14623494584037289</v>
      </c>
      <c r="AO56" s="15">
        <f t="shared" si="78"/>
        <v>0.11228699689724339</v>
      </c>
      <c r="AP56" s="15">
        <f t="shared" si="78"/>
        <v>0.12005430992197003</v>
      </c>
      <c r="AQ56" s="15">
        <f t="shared" si="78"/>
        <v>0.14130847871887961</v>
      </c>
      <c r="AR56" s="15">
        <f t="shared" si="78"/>
        <v>0.15707830721013549</v>
      </c>
      <c r="AS56" s="15">
        <f t="shared" si="78"/>
        <v>0.13871092544547528</v>
      </c>
      <c r="AT56" s="15">
        <f t="shared" si="78"/>
        <v>0.13704748296505129</v>
      </c>
      <c r="AU56" s="15">
        <f t="shared" si="78"/>
        <v>0.13199473499495831</v>
      </c>
      <c r="AV56" s="15">
        <f t="shared" si="78"/>
        <v>0.12130515916464005</v>
      </c>
      <c r="AW56" s="15">
        <f t="shared" si="78"/>
        <v>0.10631558265436379</v>
      </c>
      <c r="AX56" s="15">
        <f t="shared" si="78"/>
        <v>6.7386748275945499E-2</v>
      </c>
      <c r="AY56" s="15">
        <f t="shared" si="78"/>
        <v>8.9260428084333668E-2</v>
      </c>
      <c r="AZ56" s="15">
        <f t="shared" si="78"/>
        <v>9.3842678425418324E-2</v>
      </c>
      <c r="BA56" s="15">
        <f t="shared" si="78"/>
        <v>0.11200972154319984</v>
      </c>
      <c r="BB56" s="15">
        <f t="shared" si="78"/>
        <v>0.10119814837379142</v>
      </c>
      <c r="BC56" s="15">
        <f t="shared" si="78"/>
        <v>0.11865031244521851</v>
      </c>
      <c r="BD56" s="15">
        <f t="shared" si="78"/>
        <v>0.12958215536073645</v>
      </c>
      <c r="BE56" s="15">
        <f t="shared" si="78"/>
        <v>0.13254837476615683</v>
      </c>
      <c r="BF56" s="15">
        <f t="shared" si="78"/>
        <v>0.16961377501026514</v>
      </c>
      <c r="BG56" s="15">
        <f t="shared" si="78"/>
        <v>0.27460884865206042</v>
      </c>
      <c r="BH56" s="15">
        <f t="shared" si="78"/>
        <v>0.29519222160988229</v>
      </c>
      <c r="BI56" s="15">
        <f t="shared" si="78"/>
        <v>0.25513784058984523</v>
      </c>
      <c r="BJ56" s="15">
        <f t="shared" si="78"/>
        <v>0.20197735080100032</v>
      </c>
      <c r="BK56" s="15">
        <f t="shared" si="78"/>
        <v>0.23486767043720816</v>
      </c>
      <c r="BL56" s="15">
        <f t="shared" si="78"/>
        <v>0.24043908683485321</v>
      </c>
      <c r="BM56" s="15">
        <f t="shared" si="78"/>
        <v>0.22768805771461367</v>
      </c>
      <c r="BN56" s="15">
        <f t="shared" si="78"/>
        <v>0.14819042198805449</v>
      </c>
      <c r="BO56" s="15">
        <f t="shared" si="78"/>
        <v>0.12492411429747198</v>
      </c>
      <c r="BP56" s="15">
        <f t="shared" si="78"/>
        <v>0.11020770515961331</v>
      </c>
      <c r="BQ56" s="15">
        <f>(BQ20/1000/BQ62)*100</f>
        <v>7.407915536909089E-2</v>
      </c>
      <c r="BR56" s="101"/>
    </row>
    <row r="57" spans="1:70" ht="15.5">
      <c r="A57" s="90"/>
      <c r="B57" s="1"/>
      <c r="C57" s="91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4"/>
      <c r="BN57" s="4"/>
      <c r="BO57" s="4"/>
      <c r="BP57" s="4"/>
      <c r="BQ57" s="2"/>
      <c r="BR57" s="101"/>
    </row>
    <row r="58" spans="1:70" ht="15.5">
      <c r="A58" s="90"/>
      <c r="B58" s="1" t="s">
        <v>223</v>
      </c>
      <c r="C58" s="91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4">
        <f>330163/1000</f>
        <v>330.16300000000001</v>
      </c>
      <c r="BA58" s="4">
        <f>342417/1000</f>
        <v>342.41699999999997</v>
      </c>
      <c r="BB58" s="4">
        <f>352850/1000</f>
        <v>352.85</v>
      </c>
      <c r="BC58" s="4">
        <f>414338/1000</f>
        <v>414.33800000000002</v>
      </c>
      <c r="BD58" s="4">
        <f>397887/1000</f>
        <v>397.887</v>
      </c>
      <c r="BE58" s="5">
        <f>373149/1000</f>
        <v>373.149</v>
      </c>
      <c r="BF58" s="16">
        <v>304</v>
      </c>
      <c r="BG58" s="16">
        <v>311</v>
      </c>
      <c r="BH58" s="4">
        <v>301</v>
      </c>
      <c r="BI58" s="4">
        <v>313</v>
      </c>
      <c r="BJ58" s="9">
        <v>315</v>
      </c>
      <c r="BK58" s="4">
        <v>317</v>
      </c>
      <c r="BL58" s="4">
        <v>350</v>
      </c>
      <c r="BM58" s="4">
        <v>334</v>
      </c>
      <c r="BN58" s="4">
        <v>324</v>
      </c>
      <c r="BO58" s="4">
        <v>334</v>
      </c>
      <c r="BP58" s="4">
        <v>322</v>
      </c>
      <c r="BQ58" s="4">
        <v>345</v>
      </c>
      <c r="BR58" s="101"/>
    </row>
    <row r="59" spans="1:70" ht="15.5">
      <c r="A59" s="90"/>
      <c r="B59" s="1" t="s">
        <v>226</v>
      </c>
      <c r="C59" s="88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>
        <v>5</v>
      </c>
      <c r="Y59" s="4">
        <v>4.9139545624999998</v>
      </c>
      <c r="Z59" s="4">
        <v>5.2221259258000003</v>
      </c>
      <c r="AA59" s="4">
        <v>5.3036376033000003</v>
      </c>
      <c r="AB59" s="4">
        <v>6.1855338918000005</v>
      </c>
      <c r="AC59" s="4">
        <v>9.9402253482999985</v>
      </c>
      <c r="AD59" s="4">
        <v>16.571434200399999</v>
      </c>
      <c r="AE59" s="4">
        <v>25.963179948800001</v>
      </c>
      <c r="AF59" s="4">
        <v>32.620334460800002</v>
      </c>
      <c r="AG59" s="4">
        <v>37.1179326078</v>
      </c>
      <c r="AH59" s="4">
        <v>45.515193868199994</v>
      </c>
      <c r="AI59" s="4">
        <v>49.479186451499999</v>
      </c>
      <c r="AJ59" s="4">
        <v>58.573494534699996</v>
      </c>
      <c r="AK59" s="4">
        <v>70.2412386699</v>
      </c>
      <c r="AL59" s="4">
        <v>82.601707411299998</v>
      </c>
      <c r="AM59" s="4">
        <v>94.899530046999999</v>
      </c>
      <c r="AN59" s="4">
        <v>102.48013140760001</v>
      </c>
      <c r="AO59" s="4">
        <v>113.0290312099</v>
      </c>
      <c r="AP59" s="4">
        <v>99.631810291800008</v>
      </c>
      <c r="AQ59" s="4">
        <v>95.632563620799999</v>
      </c>
      <c r="AR59" s="4">
        <v>94.729343675699994</v>
      </c>
      <c r="AS59" s="4">
        <v>90.973850330199994</v>
      </c>
      <c r="AT59" s="4">
        <v>87.62481220410001</v>
      </c>
      <c r="AU59" s="4">
        <v>83.705626282300003</v>
      </c>
      <c r="AV59" s="4">
        <v>89.063456249200001</v>
      </c>
      <c r="AW59" s="4">
        <v>86.75958579089999</v>
      </c>
      <c r="AX59" s="4">
        <v>89.0202779416</v>
      </c>
      <c r="AY59" s="4">
        <v>91.392949315899997</v>
      </c>
      <c r="AZ59" s="4">
        <v>97.096164293699999</v>
      </c>
      <c r="BA59" s="4">
        <v>100.8717708521</v>
      </c>
      <c r="BB59" s="4">
        <v>102.2748098257</v>
      </c>
      <c r="BC59" s="4">
        <v>114.632474016</v>
      </c>
      <c r="BD59" s="4">
        <v>138.5097623485</v>
      </c>
      <c r="BE59" s="4">
        <v>152.5494482069</v>
      </c>
      <c r="BF59" s="4">
        <v>179.05404559600001</v>
      </c>
      <c r="BG59" s="4">
        <v>146.06192284170001</v>
      </c>
      <c r="BH59" s="4">
        <v>160.18555275420002</v>
      </c>
      <c r="BI59" s="4">
        <v>196.28955762429999</v>
      </c>
      <c r="BJ59" s="4">
        <v>259.68660579670001</v>
      </c>
      <c r="BK59" s="4">
        <v>318.06426890809996</v>
      </c>
      <c r="BL59" s="143">
        <v>391.68180392919999</v>
      </c>
      <c r="BM59" s="143">
        <v>475.16725383659997</v>
      </c>
      <c r="BN59" s="143">
        <v>464.36614594190002</v>
      </c>
      <c r="BO59" s="143">
        <v>470</v>
      </c>
      <c r="BP59" s="4">
        <v>475</v>
      </c>
      <c r="BQ59" s="4">
        <v>478</v>
      </c>
      <c r="BR59" s="101"/>
    </row>
    <row r="60" spans="1:70" ht="15.5">
      <c r="A60" s="90"/>
      <c r="B60" s="1" t="s">
        <v>8</v>
      </c>
      <c r="C60" s="88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>
        <f>2242*0.9938</f>
        <v>2228.0996</v>
      </c>
      <c r="Y60" s="4">
        <f>2415*0.9938</f>
        <v>2400.027</v>
      </c>
      <c r="Z60" s="4">
        <f>2655*0.9938</f>
        <v>2638.5390000000002</v>
      </c>
      <c r="AA60" s="4">
        <f>2056*0.9938</f>
        <v>2043.2528</v>
      </c>
      <c r="AB60" s="4">
        <f>3309*0.9938</f>
        <v>3288.4841999999999</v>
      </c>
      <c r="AC60" s="4">
        <f>4088*0.9938</f>
        <v>4062.6543999999999</v>
      </c>
      <c r="AD60" s="4">
        <f>4901*0.9938</f>
        <v>4870.6138000000001</v>
      </c>
      <c r="AE60" s="4">
        <f>5930*0.9938</f>
        <v>5893.2340000000004</v>
      </c>
      <c r="AF60" s="4">
        <f>6317*0.9938</f>
        <v>6277.8346000000001</v>
      </c>
      <c r="AG60" s="4">
        <f>6426*0.9938</f>
        <v>6386.1588000000002</v>
      </c>
      <c r="AH60" s="4">
        <f>7398*0.9938</f>
        <v>7352.1324000000004</v>
      </c>
      <c r="AI60" s="4">
        <f>8839*0.9938</f>
        <v>8784.1982000000007</v>
      </c>
      <c r="AJ60" s="4">
        <f>9659*0.9938</f>
        <v>9599.1142</v>
      </c>
      <c r="AK60" s="4">
        <f>10947*0.9938</f>
        <v>10879.1286</v>
      </c>
      <c r="AL60" s="4">
        <f>12482*0.9938</f>
        <v>12404.6116</v>
      </c>
      <c r="AM60" s="4">
        <f>13619*0.9938</f>
        <v>13534.5622</v>
      </c>
      <c r="AN60" s="4">
        <f>14190*0.9938</f>
        <v>14102.022000000001</v>
      </c>
      <c r="AO60" s="4">
        <f>14185*0.9938</f>
        <v>14097.053</v>
      </c>
      <c r="AP60" s="4">
        <f>15830*0.9938</f>
        <v>15731.853999999999</v>
      </c>
      <c r="AQ60" s="4">
        <f>21117*0.9938</f>
        <v>20986.0746</v>
      </c>
      <c r="AR60" s="4">
        <v>21962.215378479996</v>
      </c>
      <c r="AS60" s="4">
        <v>22149.32196297</v>
      </c>
      <c r="AT60" s="4">
        <v>23454.620136829999</v>
      </c>
      <c r="AU60" s="4">
        <v>26835.751240179998</v>
      </c>
      <c r="AV60" s="4">
        <v>30981.228425249996</v>
      </c>
      <c r="AW60" s="4">
        <v>32495.61124346</v>
      </c>
      <c r="AX60" s="4">
        <v>33145.523607640003</v>
      </c>
      <c r="AY60" s="4">
        <v>35695.875134959999</v>
      </c>
      <c r="AZ60" s="4">
        <v>41094.058005939994</v>
      </c>
      <c r="BA60" s="4">
        <v>45336.84943083</v>
      </c>
      <c r="BB60" s="4">
        <v>51036.6017154</v>
      </c>
      <c r="BC60" s="4">
        <v>57370.835613430005</v>
      </c>
      <c r="BD60" s="4">
        <v>59761.306803330008</v>
      </c>
      <c r="BE60" s="4">
        <v>60526.113456779989</v>
      </c>
      <c r="BF60" s="4">
        <v>62392.931441729997</v>
      </c>
      <c r="BG60" s="4">
        <v>61040</v>
      </c>
      <c r="BH60" s="4">
        <v>65082</v>
      </c>
      <c r="BI60" s="193">
        <v>68258</v>
      </c>
      <c r="BJ60" s="193">
        <v>72621</v>
      </c>
      <c r="BK60" s="193">
        <v>75108</v>
      </c>
      <c r="BL60" s="193">
        <v>86405</v>
      </c>
      <c r="BM60" s="193">
        <v>93840</v>
      </c>
      <c r="BN60" s="193">
        <v>93745</v>
      </c>
      <c r="BO60" s="193">
        <v>99379</v>
      </c>
      <c r="BP60" s="193">
        <v>104485</v>
      </c>
      <c r="BQ60" s="4">
        <v>110900</v>
      </c>
      <c r="BR60" s="101"/>
    </row>
    <row r="61" spans="1:70" ht="15.5">
      <c r="A61" s="90"/>
      <c r="B61" s="1" t="s">
        <v>245</v>
      </c>
      <c r="C61" s="92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>
        <v>2751.864</v>
      </c>
      <c r="Y61" s="4">
        <v>2910.625</v>
      </c>
      <c r="Z61" s="4">
        <v>2755.04</v>
      </c>
      <c r="AA61" s="4">
        <v>2708.989</v>
      </c>
      <c r="AB61" s="4">
        <v>2716.1640000000002</v>
      </c>
      <c r="AC61" s="4">
        <v>2751.7779999999998</v>
      </c>
      <c r="AD61" s="4">
        <v>2823.4250000000002</v>
      </c>
      <c r="AE61" s="4">
        <v>3112.7330000000002</v>
      </c>
      <c r="AF61" s="4">
        <v>3427.8049999999998</v>
      </c>
      <c r="AG61" s="4">
        <v>3747.8009999999999</v>
      </c>
      <c r="AH61" s="4">
        <v>4225.7910000000002</v>
      </c>
      <c r="AI61" s="4">
        <v>3999.3580000000002</v>
      </c>
      <c r="AJ61" s="4">
        <v>4193.2089999999998</v>
      </c>
      <c r="AK61" s="4">
        <v>4751.7950000000001</v>
      </c>
      <c r="AL61" s="4">
        <v>5127.3739999999998</v>
      </c>
      <c r="AM61" s="4">
        <v>5879.3490000000002</v>
      </c>
      <c r="AN61" s="4">
        <v>6570.4960000000001</v>
      </c>
      <c r="AO61" s="4">
        <v>6983.8450000000003</v>
      </c>
      <c r="AP61" s="4">
        <v>6744.32</v>
      </c>
      <c r="AQ61" s="4">
        <v>6538.1289999999999</v>
      </c>
      <c r="AR61" s="4">
        <v>7173.3680000000004</v>
      </c>
      <c r="AS61" s="4">
        <v>7201.3440000000001</v>
      </c>
      <c r="AT61" s="4">
        <v>7160.6239999999998</v>
      </c>
      <c r="AU61" s="4">
        <v>8067.0060000000003</v>
      </c>
      <c r="AV61" s="4">
        <v>9582.9869999999992</v>
      </c>
      <c r="AW61" s="4">
        <v>11450.823</v>
      </c>
      <c r="AX61" s="4">
        <v>13553.781000000001</v>
      </c>
      <c r="AY61" s="4">
        <v>16688.598999999998</v>
      </c>
      <c r="AZ61" s="4">
        <v>20031.932000000001</v>
      </c>
      <c r="BA61" s="4">
        <v>19137.432000000001</v>
      </c>
      <c r="BB61" s="4">
        <v>23005.635999999999</v>
      </c>
      <c r="BC61" s="4">
        <v>27127.197</v>
      </c>
      <c r="BD61" s="4">
        <v>28748.228999999999</v>
      </c>
      <c r="BE61" s="4">
        <v>30500.135999999999</v>
      </c>
      <c r="BF61" s="4">
        <v>31494.580999999998</v>
      </c>
      <c r="BG61" s="4">
        <v>29815</v>
      </c>
      <c r="BH61" s="4">
        <v>29869</v>
      </c>
      <c r="BI61" s="193">
        <v>32706</v>
      </c>
      <c r="BJ61" s="193">
        <v>34912</v>
      </c>
      <c r="BK61" s="193">
        <v>35628</v>
      </c>
      <c r="BL61" s="193">
        <v>34231</v>
      </c>
      <c r="BM61" s="193">
        <v>40286</v>
      </c>
      <c r="BN61" s="193">
        <v>43091</v>
      </c>
      <c r="BO61" s="193">
        <v>44252</v>
      </c>
      <c r="BP61" s="193">
        <v>45835</v>
      </c>
      <c r="BQ61" s="4">
        <v>48788.796000000002</v>
      </c>
      <c r="BR61" s="101"/>
    </row>
    <row r="62" spans="1:70" ht="15.5">
      <c r="A62" s="90"/>
      <c r="B62" s="1" t="s">
        <v>9</v>
      </c>
      <c r="C62" s="92"/>
      <c r="D62" s="9">
        <v>1365</v>
      </c>
      <c r="E62" s="9">
        <v>1420</v>
      </c>
      <c r="F62" s="9">
        <v>1525</v>
      </c>
      <c r="G62" s="9">
        <v>1638</v>
      </c>
      <c r="H62" s="9">
        <v>1800</v>
      </c>
      <c r="I62" s="9">
        <v>1960</v>
      </c>
      <c r="J62" s="9">
        <v>2125</v>
      </c>
      <c r="K62" s="9">
        <v>2263</v>
      </c>
      <c r="L62" s="9">
        <v>2441</v>
      </c>
      <c r="M62" s="9">
        <v>2687</v>
      </c>
      <c r="N62" s="9">
        <v>2951</v>
      </c>
      <c r="O62" s="9">
        <v>3260.7817176803528</v>
      </c>
      <c r="P62" s="9">
        <v>3759.5565097494864</v>
      </c>
      <c r="Q62" s="9">
        <v>4580.9852082374518</v>
      </c>
      <c r="R62" s="9">
        <v>5282.7347390738423</v>
      </c>
      <c r="S62" s="9">
        <v>5883.5945511435812</v>
      </c>
      <c r="T62" s="9">
        <v>6402.8509899168066</v>
      </c>
      <c r="U62" s="9">
        <v>7241.6933880055685</v>
      </c>
      <c r="V62" s="9">
        <v>8527.12516000094</v>
      </c>
      <c r="W62" s="9">
        <v>9907.1840257032509</v>
      </c>
      <c r="X62" s="193">
        <v>11233.437</v>
      </c>
      <c r="Y62" s="145">
        <v>11527.625</v>
      </c>
      <c r="Z62" s="145">
        <v>11311.34</v>
      </c>
      <c r="AA62" s="145">
        <v>11612.474</v>
      </c>
      <c r="AB62" s="9">
        <v>12026.154</v>
      </c>
      <c r="AC62" s="9">
        <v>12554.164000000001</v>
      </c>
      <c r="AD62" s="9">
        <v>14792.77</v>
      </c>
      <c r="AE62" s="9">
        <v>17029.555</v>
      </c>
      <c r="AF62" s="9">
        <v>19146.539000000001</v>
      </c>
      <c r="AG62" s="9">
        <v>20145.496999999999</v>
      </c>
      <c r="AH62" s="9">
        <v>22631.297999999999</v>
      </c>
      <c r="AI62" s="9">
        <v>23656.84</v>
      </c>
      <c r="AJ62" s="9">
        <v>25342.077000000001</v>
      </c>
      <c r="AK62" s="9">
        <v>26066.281999999999</v>
      </c>
      <c r="AL62" s="9">
        <v>28022.937000000002</v>
      </c>
      <c r="AM62" s="9">
        <v>31239.414000000001</v>
      </c>
      <c r="AN62" s="9">
        <v>32108.496999999999</v>
      </c>
      <c r="AO62" s="9">
        <v>32025.608</v>
      </c>
      <c r="AP62" s="9">
        <v>31876.968000000001</v>
      </c>
      <c r="AQ62" s="9">
        <v>33004.345999999998</v>
      </c>
      <c r="AR62" s="9">
        <v>34097.942999999999</v>
      </c>
      <c r="AS62" s="9">
        <v>33852.555</v>
      </c>
      <c r="AT62" s="9">
        <v>34963.741000000002</v>
      </c>
      <c r="AU62" s="9">
        <v>39255.108999999997</v>
      </c>
      <c r="AV62" s="9">
        <v>44184.228000000003</v>
      </c>
      <c r="AW62" s="9">
        <v>47856.72</v>
      </c>
      <c r="AX62" s="9">
        <v>51832.966999999997</v>
      </c>
      <c r="AY62" s="9">
        <v>58504.904999999999</v>
      </c>
      <c r="AZ62" s="9">
        <v>64213.741999999998</v>
      </c>
      <c r="BA62" s="9">
        <v>60811.696000000004</v>
      </c>
      <c r="BB62" s="9">
        <v>66797</v>
      </c>
      <c r="BC62" s="9">
        <v>74182</v>
      </c>
      <c r="BD62" s="9">
        <v>75628</v>
      </c>
      <c r="BE62" s="8">
        <v>77866</v>
      </c>
      <c r="BF62" s="9">
        <v>79983</v>
      </c>
      <c r="BG62" s="9">
        <v>75519</v>
      </c>
      <c r="BH62" s="4">
        <v>76817</v>
      </c>
      <c r="BI62" s="193">
        <v>81716</v>
      </c>
      <c r="BJ62" s="193">
        <v>86772</v>
      </c>
      <c r="BK62" s="193">
        <v>88027</v>
      </c>
      <c r="BL62" s="193">
        <v>85764</v>
      </c>
      <c r="BM62" s="193">
        <v>97844</v>
      </c>
      <c r="BN62" s="193">
        <v>101948</v>
      </c>
      <c r="BO62" s="193">
        <v>106432</v>
      </c>
      <c r="BP62" s="193">
        <v>110549</v>
      </c>
      <c r="BQ62" s="4">
        <v>118175</v>
      </c>
      <c r="BR62" s="101"/>
    </row>
    <row r="63" spans="1:70" ht="15.5">
      <c r="A63" s="90"/>
      <c r="B63" s="1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176"/>
      <c r="Y63" s="176"/>
      <c r="Z63" s="176"/>
      <c r="AA63" s="176"/>
      <c r="AB63" s="176"/>
      <c r="AC63" s="176"/>
      <c r="AD63" s="176"/>
      <c r="AE63" s="176"/>
      <c r="AF63" s="176"/>
      <c r="AG63" s="176"/>
      <c r="AH63" s="176"/>
      <c r="AI63" s="176"/>
      <c r="AJ63" s="176"/>
      <c r="AK63" s="176"/>
      <c r="AL63" s="176"/>
      <c r="AM63" s="176"/>
      <c r="AN63" s="176"/>
      <c r="AO63" s="176"/>
      <c r="AP63" s="176"/>
      <c r="AQ63" s="176"/>
      <c r="AR63" s="176"/>
      <c r="AS63" s="176"/>
      <c r="AT63" s="176"/>
      <c r="AU63" s="176"/>
      <c r="AV63" s="176"/>
      <c r="AW63" s="176"/>
      <c r="AX63" s="176"/>
      <c r="AY63" s="176"/>
      <c r="AZ63" s="176"/>
      <c r="BA63" s="176"/>
      <c r="BB63" s="176"/>
      <c r="BC63" s="176"/>
      <c r="BD63" s="176"/>
      <c r="BE63" s="176"/>
      <c r="BF63" s="176"/>
      <c r="BG63" s="176"/>
      <c r="BH63" s="176"/>
      <c r="BI63" s="176"/>
      <c r="BJ63" s="176"/>
      <c r="BK63" s="176"/>
      <c r="BL63" s="176"/>
      <c r="BM63" s="176"/>
      <c r="BN63" s="176"/>
      <c r="BO63" s="176"/>
      <c r="BP63" s="176"/>
      <c r="BQ63" s="176"/>
      <c r="BR63" s="101"/>
    </row>
    <row r="64" spans="1:70" ht="15.5">
      <c r="A64" s="90"/>
      <c r="B64" s="17" t="s">
        <v>10</v>
      </c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  <c r="AM64" s="92"/>
      <c r="AN64" s="92"/>
      <c r="AO64" s="92"/>
      <c r="AP64" s="92"/>
      <c r="AQ64" s="92"/>
      <c r="AR64" s="92"/>
      <c r="AS64" s="92"/>
      <c r="AT64" s="92"/>
      <c r="AU64" s="92"/>
      <c r="AV64" s="92"/>
      <c r="AW64" s="92"/>
      <c r="AX64" s="92"/>
      <c r="AY64" s="92"/>
      <c r="AZ64" s="92"/>
      <c r="BA64" s="92"/>
      <c r="BB64" s="92"/>
      <c r="BC64" s="92"/>
      <c r="BD64" s="92"/>
      <c r="BE64" s="92"/>
      <c r="BF64" s="92"/>
      <c r="BG64" s="92"/>
      <c r="BH64" s="92"/>
      <c r="BI64" s="92"/>
      <c r="BJ64" s="92"/>
      <c r="BK64" s="92"/>
      <c r="BL64" s="92"/>
      <c r="BM64" s="92"/>
      <c r="BN64" s="92"/>
      <c r="BO64" s="92"/>
      <c r="BP64" s="92"/>
      <c r="BQ64" s="92"/>
      <c r="BR64" s="101"/>
    </row>
    <row r="65" spans="1:136" ht="15.5">
      <c r="A65" s="90"/>
      <c r="B65" s="17" t="s">
        <v>12</v>
      </c>
      <c r="C65" s="93" t="s">
        <v>11</v>
      </c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3"/>
      <c r="AM65" s="93"/>
      <c r="AN65" s="93"/>
      <c r="AO65" s="93"/>
      <c r="AP65" s="93"/>
      <c r="AQ65" s="93"/>
      <c r="AR65" s="93"/>
      <c r="AS65" s="93"/>
      <c r="AT65" s="93"/>
      <c r="AU65" s="93"/>
      <c r="AV65" s="93"/>
      <c r="AW65" s="93"/>
      <c r="AX65" s="93"/>
      <c r="AY65" s="93"/>
      <c r="AZ65" s="93"/>
      <c r="BA65" s="93"/>
      <c r="BB65" s="93"/>
      <c r="BC65" s="93"/>
      <c r="BD65" s="93"/>
      <c r="BE65" s="93"/>
      <c r="BF65" s="93"/>
      <c r="BG65" s="93"/>
      <c r="BH65" s="93"/>
      <c r="BI65" s="93"/>
      <c r="BJ65" s="93"/>
      <c r="BK65" s="93"/>
      <c r="BL65" s="93"/>
      <c r="BM65" s="93"/>
      <c r="BN65" s="93"/>
      <c r="BO65" s="93"/>
      <c r="BP65" s="93"/>
      <c r="BQ65" s="93"/>
      <c r="BR65" s="101"/>
    </row>
    <row r="66" spans="1:136" ht="15.5">
      <c r="A66" s="90"/>
      <c r="B66" s="19"/>
      <c r="C66" s="93" t="s">
        <v>13</v>
      </c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3"/>
      <c r="AH66" s="93"/>
      <c r="AI66" s="93"/>
      <c r="AJ66" s="93"/>
      <c r="AK66" s="93"/>
      <c r="AL66" s="93"/>
      <c r="AM66" s="93"/>
      <c r="AN66" s="93"/>
      <c r="AO66" s="93"/>
      <c r="AP66" s="93"/>
      <c r="AQ66" s="93"/>
      <c r="AR66" s="93"/>
      <c r="AS66" s="93"/>
      <c r="AT66" s="93"/>
      <c r="AU66" s="93"/>
      <c r="AV66" s="93"/>
      <c r="AW66" s="93"/>
      <c r="AX66" s="93"/>
      <c r="AY66" s="93"/>
      <c r="AZ66" s="93"/>
      <c r="BA66" s="93"/>
      <c r="BB66" s="93"/>
      <c r="BC66" s="93"/>
      <c r="BD66" s="93"/>
      <c r="BE66" s="93"/>
      <c r="BF66" s="93"/>
      <c r="BG66" s="93"/>
      <c r="BH66" s="93"/>
      <c r="BI66" s="93"/>
      <c r="BJ66" s="93"/>
      <c r="BK66" s="93"/>
      <c r="BL66" s="93"/>
      <c r="BM66" s="93"/>
      <c r="BN66" s="93"/>
      <c r="BO66" s="93"/>
      <c r="BP66" s="93"/>
      <c r="BQ66" s="93"/>
      <c r="BR66" s="101"/>
      <c r="BS66">
        <f t="shared" ref="BS66:CX66" si="79">SUM(BS67:BS1313)</f>
        <v>18</v>
      </c>
      <c r="BT66">
        <f t="shared" si="79"/>
        <v>18</v>
      </c>
      <c r="BU66">
        <f t="shared" si="79"/>
        <v>18</v>
      </c>
      <c r="BV66">
        <f t="shared" si="79"/>
        <v>19</v>
      </c>
      <c r="BW66">
        <f t="shared" si="79"/>
        <v>21</v>
      </c>
      <c r="BX66">
        <f t="shared" si="79"/>
        <v>26</v>
      </c>
      <c r="BY66">
        <f t="shared" si="79"/>
        <v>19</v>
      </c>
      <c r="BZ66">
        <f t="shared" si="79"/>
        <v>21</v>
      </c>
      <c r="CA66">
        <f t="shared" si="79"/>
        <v>21</v>
      </c>
      <c r="CB66">
        <f t="shared" si="79"/>
        <v>19</v>
      </c>
      <c r="CC66">
        <f t="shared" si="79"/>
        <v>36</v>
      </c>
      <c r="CD66">
        <f t="shared" si="79"/>
        <v>40</v>
      </c>
      <c r="CE66">
        <f t="shared" si="79"/>
        <v>48</v>
      </c>
      <c r="CF66">
        <f t="shared" si="79"/>
        <v>51</v>
      </c>
      <c r="CG66">
        <f t="shared" si="79"/>
        <v>52</v>
      </c>
      <c r="CH66">
        <f t="shared" si="79"/>
        <v>57</v>
      </c>
      <c r="CI66">
        <f t="shared" si="79"/>
        <v>63</v>
      </c>
      <c r="CJ66">
        <f t="shared" si="79"/>
        <v>59</v>
      </c>
      <c r="CK66">
        <f t="shared" si="79"/>
        <v>66</v>
      </c>
      <c r="CL66">
        <f t="shared" si="79"/>
        <v>68</v>
      </c>
      <c r="CM66">
        <f t="shared" si="79"/>
        <v>75</v>
      </c>
      <c r="CN66">
        <f t="shared" si="79"/>
        <v>81</v>
      </c>
      <c r="CO66">
        <f t="shared" si="79"/>
        <v>86</v>
      </c>
      <c r="CP66">
        <f t="shared" si="79"/>
        <v>89</v>
      </c>
      <c r="CQ66">
        <f t="shared" si="79"/>
        <v>91</v>
      </c>
      <c r="CR66">
        <f t="shared" si="79"/>
        <v>90</v>
      </c>
      <c r="CS66">
        <f t="shared" si="79"/>
        <v>97</v>
      </c>
      <c r="CT66">
        <f t="shared" si="79"/>
        <v>96</v>
      </c>
      <c r="CU66">
        <f t="shared" si="79"/>
        <v>97</v>
      </c>
      <c r="CV66">
        <f t="shared" si="79"/>
        <v>101</v>
      </c>
      <c r="CW66">
        <f t="shared" si="79"/>
        <v>104</v>
      </c>
      <c r="CX66">
        <f t="shared" si="79"/>
        <v>103</v>
      </c>
      <c r="CY66">
        <f t="shared" ref="CY66:ED66" si="80">SUM(CY67:CY1313)</f>
        <v>111</v>
      </c>
      <c r="CZ66">
        <f t="shared" si="80"/>
        <v>117</v>
      </c>
      <c r="DA66">
        <f t="shared" si="80"/>
        <v>117</v>
      </c>
      <c r="DB66">
        <f t="shared" si="80"/>
        <v>116</v>
      </c>
      <c r="DC66">
        <f t="shared" si="80"/>
        <v>117</v>
      </c>
      <c r="DD66">
        <f t="shared" si="80"/>
        <v>118</v>
      </c>
      <c r="DE66">
        <f t="shared" si="80"/>
        <v>115</v>
      </c>
      <c r="DF66">
        <f t="shared" si="80"/>
        <v>112</v>
      </c>
      <c r="DG66">
        <f t="shared" si="80"/>
        <v>111</v>
      </c>
      <c r="DH66">
        <f t="shared" si="80"/>
        <v>111</v>
      </c>
      <c r="DI66">
        <f t="shared" si="80"/>
        <v>113</v>
      </c>
      <c r="DJ66">
        <f t="shared" si="80"/>
        <v>112</v>
      </c>
      <c r="DK66">
        <f t="shared" si="80"/>
        <v>109</v>
      </c>
      <c r="DL66">
        <f t="shared" si="80"/>
        <v>105</v>
      </c>
      <c r="DM66">
        <f t="shared" si="80"/>
        <v>105</v>
      </c>
      <c r="DN66">
        <f t="shared" si="80"/>
        <v>105</v>
      </c>
      <c r="DO66">
        <f t="shared" si="80"/>
        <v>108</v>
      </c>
      <c r="DP66">
        <f t="shared" si="80"/>
        <v>102</v>
      </c>
      <c r="DQ66">
        <f t="shared" si="80"/>
        <v>99</v>
      </c>
      <c r="DR66">
        <f t="shared" si="80"/>
        <v>99</v>
      </c>
      <c r="DS66">
        <f t="shared" si="80"/>
        <v>101</v>
      </c>
      <c r="DT66">
        <f t="shared" si="80"/>
        <v>105</v>
      </c>
      <c r="DU66">
        <f t="shared" si="80"/>
        <v>98</v>
      </c>
      <c r="DV66">
        <f t="shared" si="80"/>
        <v>97</v>
      </c>
      <c r="DW66">
        <f t="shared" si="80"/>
        <v>97</v>
      </c>
      <c r="DX66">
        <f t="shared" si="80"/>
        <v>105</v>
      </c>
      <c r="DY66">
        <f t="shared" si="80"/>
        <v>98</v>
      </c>
      <c r="DZ66">
        <f t="shared" si="80"/>
        <v>92</v>
      </c>
      <c r="EA66">
        <f t="shared" si="80"/>
        <v>105</v>
      </c>
      <c r="EB66">
        <f t="shared" si="80"/>
        <v>99</v>
      </c>
      <c r="EC66">
        <f t="shared" si="80"/>
        <v>98</v>
      </c>
      <c r="ED66">
        <f t="shared" si="80"/>
        <v>90</v>
      </c>
      <c r="EE66">
        <f>SUM(EE67:EE1313)</f>
        <v>86</v>
      </c>
      <c r="EF66">
        <f>SUM(EF67:EF1313)</f>
        <v>73</v>
      </c>
    </row>
    <row r="67" spans="1:136" ht="15.5">
      <c r="A67" s="93">
        <v>1</v>
      </c>
      <c r="B67" s="21" t="s">
        <v>14</v>
      </c>
      <c r="C67" s="94">
        <v>4</v>
      </c>
      <c r="D67" s="22">
        <f t="shared" ref="D67:AI67" si="81">SUM(D68:D73)</f>
        <v>0</v>
      </c>
      <c r="E67" s="22">
        <f t="shared" si="81"/>
        <v>0</v>
      </c>
      <c r="F67" s="22">
        <f t="shared" si="81"/>
        <v>0</v>
      </c>
      <c r="G67" s="22">
        <f t="shared" si="81"/>
        <v>0</v>
      </c>
      <c r="H67" s="22">
        <f t="shared" si="81"/>
        <v>267</v>
      </c>
      <c r="I67" s="22">
        <f t="shared" si="81"/>
        <v>267</v>
      </c>
      <c r="J67" s="22">
        <f t="shared" si="81"/>
        <v>267</v>
      </c>
      <c r="K67" s="22">
        <f t="shared" si="81"/>
        <v>2.7</v>
      </c>
      <c r="L67" s="22">
        <f t="shared" si="81"/>
        <v>0</v>
      </c>
      <c r="M67" s="22">
        <f t="shared" si="81"/>
        <v>0</v>
      </c>
      <c r="N67" s="22">
        <f t="shared" si="81"/>
        <v>0</v>
      </c>
      <c r="O67" s="22">
        <f t="shared" si="81"/>
        <v>0</v>
      </c>
      <c r="P67" s="22">
        <f t="shared" si="81"/>
        <v>37</v>
      </c>
      <c r="Q67" s="22">
        <f t="shared" si="81"/>
        <v>0</v>
      </c>
      <c r="R67" s="22">
        <f t="shared" si="81"/>
        <v>0</v>
      </c>
      <c r="S67" s="22">
        <f t="shared" si="81"/>
        <v>0</v>
      </c>
      <c r="T67" s="22">
        <f t="shared" si="81"/>
        <v>437</v>
      </c>
      <c r="U67" s="22">
        <f t="shared" si="81"/>
        <v>0</v>
      </c>
      <c r="V67" s="22">
        <f t="shared" si="81"/>
        <v>0</v>
      </c>
      <c r="W67" s="22">
        <f t="shared" si="81"/>
        <v>0</v>
      </c>
      <c r="X67" s="22">
        <f t="shared" si="81"/>
        <v>15</v>
      </c>
      <c r="Y67" s="22">
        <f t="shared" si="81"/>
        <v>0</v>
      </c>
      <c r="Z67" s="22">
        <f t="shared" si="81"/>
        <v>3</v>
      </c>
      <c r="AA67" s="22">
        <f t="shared" si="81"/>
        <v>0</v>
      </c>
      <c r="AB67" s="22">
        <f t="shared" si="81"/>
        <v>0</v>
      </c>
      <c r="AC67" s="22">
        <f t="shared" si="81"/>
        <v>10</v>
      </c>
      <c r="AD67" s="22">
        <f t="shared" si="81"/>
        <v>10</v>
      </c>
      <c r="AE67" s="22">
        <f t="shared" si="81"/>
        <v>0</v>
      </c>
      <c r="AF67" s="22">
        <f t="shared" si="81"/>
        <v>0</v>
      </c>
      <c r="AG67" s="22">
        <f t="shared" si="81"/>
        <v>0.372</v>
      </c>
      <c r="AH67" s="22">
        <f t="shared" si="81"/>
        <v>0</v>
      </c>
      <c r="AI67" s="22">
        <f t="shared" si="81"/>
        <v>0</v>
      </c>
      <c r="AJ67" s="22">
        <f t="shared" ref="AJ67:BP67" si="82">SUM(AJ68:AJ73)</f>
        <v>5.0229999999999997</v>
      </c>
      <c r="AK67" s="22">
        <f t="shared" si="82"/>
        <v>115.79300000000001</v>
      </c>
      <c r="AL67" s="22">
        <f t="shared" si="82"/>
        <v>30.347999999999999</v>
      </c>
      <c r="AM67" s="22">
        <f t="shared" si="82"/>
        <v>249.56200000000001</v>
      </c>
      <c r="AN67" s="22">
        <f t="shared" si="82"/>
        <v>27.483999999999998</v>
      </c>
      <c r="AO67" s="22">
        <f t="shared" si="82"/>
        <v>32.602327177500001</v>
      </c>
      <c r="AP67" s="22">
        <f t="shared" si="82"/>
        <v>112.64898667637357</v>
      </c>
      <c r="AQ67" s="22">
        <f t="shared" si="82"/>
        <v>42.152287665509625</v>
      </c>
      <c r="AR67" s="22">
        <f t="shared" si="82"/>
        <v>396.32001815615718</v>
      </c>
      <c r="AS67" s="22">
        <f t="shared" si="82"/>
        <v>288.78969941102474</v>
      </c>
      <c r="AT67" s="22">
        <f t="shared" si="82"/>
        <v>113.34601563427105</v>
      </c>
      <c r="AU67" s="22">
        <f t="shared" si="82"/>
        <v>0.20799999999999999</v>
      </c>
      <c r="AV67" s="22">
        <f t="shared" si="82"/>
        <v>3.8450000000000002</v>
      </c>
      <c r="AW67" s="22">
        <f t="shared" si="82"/>
        <v>0</v>
      </c>
      <c r="AX67" s="22">
        <f t="shared" si="82"/>
        <v>2533.5376051999997</v>
      </c>
      <c r="AY67" s="22">
        <f t="shared" si="82"/>
        <v>164.39039829999999</v>
      </c>
      <c r="AZ67" s="22">
        <f t="shared" si="82"/>
        <v>170.87456389999997</v>
      </c>
      <c r="BA67" s="22">
        <f t="shared" si="82"/>
        <v>91.309927900000019</v>
      </c>
      <c r="BB67" s="22">
        <f t="shared" si="82"/>
        <v>1092</v>
      </c>
      <c r="BC67" s="22">
        <f t="shared" si="82"/>
        <v>144.105277</v>
      </c>
      <c r="BD67" s="22">
        <f t="shared" si="82"/>
        <v>172.65312169999999</v>
      </c>
      <c r="BE67" s="22">
        <f t="shared" si="82"/>
        <v>201.36184850000001</v>
      </c>
      <c r="BF67" s="22">
        <f t="shared" si="82"/>
        <v>320.22705160000004</v>
      </c>
      <c r="BG67" s="22">
        <f t="shared" si="82"/>
        <v>367.92815040000005</v>
      </c>
      <c r="BH67" s="22">
        <f t="shared" si="82"/>
        <v>445.6615443</v>
      </c>
      <c r="BI67" s="22">
        <f t="shared" si="82"/>
        <v>529.59900500000003</v>
      </c>
      <c r="BJ67" s="22">
        <f t="shared" si="82"/>
        <v>605.33000400000003</v>
      </c>
      <c r="BK67" s="22">
        <f t="shared" si="82"/>
        <v>679.09</v>
      </c>
      <c r="BL67" s="22">
        <f t="shared" si="82"/>
        <v>751.56799999999998</v>
      </c>
      <c r="BM67" s="22">
        <f t="shared" si="82"/>
        <v>825.79480509999985</v>
      </c>
      <c r="BN67" s="22">
        <f t="shared" si="82"/>
        <v>4371.960818020154</v>
      </c>
      <c r="BO67" s="22">
        <f t="shared" si="82"/>
        <v>2505</v>
      </c>
      <c r="BP67" s="22">
        <f t="shared" si="82"/>
        <v>2581</v>
      </c>
      <c r="BQ67" s="22">
        <f>SUM(BQ68:BQ73)</f>
        <v>2658</v>
      </c>
      <c r="BR67" s="101"/>
      <c r="BS67">
        <f t="shared" ref="BS67:CB74" si="83">IF($C67&lt;&gt;"",IF(D67&gt;0,1,0),0)</f>
        <v>0</v>
      </c>
      <c r="BT67">
        <f t="shared" si="83"/>
        <v>0</v>
      </c>
      <c r="BU67">
        <f t="shared" si="83"/>
        <v>0</v>
      </c>
      <c r="BV67">
        <f t="shared" si="83"/>
        <v>0</v>
      </c>
      <c r="BW67">
        <f t="shared" si="83"/>
        <v>1</v>
      </c>
      <c r="BX67">
        <f t="shared" si="83"/>
        <v>1</v>
      </c>
      <c r="BY67">
        <f t="shared" si="83"/>
        <v>1</v>
      </c>
      <c r="BZ67">
        <f t="shared" si="83"/>
        <v>1</v>
      </c>
      <c r="CA67">
        <f t="shared" si="83"/>
        <v>0</v>
      </c>
      <c r="CB67">
        <f t="shared" si="83"/>
        <v>0</v>
      </c>
      <c r="CC67">
        <f t="shared" ref="CC67:CL74" si="84">IF($C67&lt;&gt;"",IF(N67&gt;0,1,0),0)</f>
        <v>0</v>
      </c>
      <c r="CD67">
        <f t="shared" si="84"/>
        <v>0</v>
      </c>
      <c r="CE67">
        <f t="shared" si="84"/>
        <v>1</v>
      </c>
      <c r="CF67">
        <f t="shared" si="84"/>
        <v>0</v>
      </c>
      <c r="CG67">
        <f t="shared" si="84"/>
        <v>0</v>
      </c>
      <c r="CH67">
        <f t="shared" si="84"/>
        <v>0</v>
      </c>
      <c r="CI67">
        <f t="shared" si="84"/>
        <v>1</v>
      </c>
      <c r="CJ67">
        <f t="shared" si="84"/>
        <v>0</v>
      </c>
      <c r="CK67">
        <f t="shared" si="84"/>
        <v>0</v>
      </c>
      <c r="CL67">
        <f t="shared" si="84"/>
        <v>0</v>
      </c>
      <c r="CM67">
        <f t="shared" ref="CM67:CV74" si="85">IF($C67&lt;&gt;"",IF(X67&gt;0,1,0),0)</f>
        <v>1</v>
      </c>
      <c r="CN67">
        <f t="shared" si="85"/>
        <v>0</v>
      </c>
      <c r="CO67">
        <f t="shared" si="85"/>
        <v>1</v>
      </c>
      <c r="CP67">
        <f t="shared" si="85"/>
        <v>0</v>
      </c>
      <c r="CQ67">
        <f t="shared" si="85"/>
        <v>0</v>
      </c>
      <c r="CR67">
        <f t="shared" si="85"/>
        <v>1</v>
      </c>
      <c r="CS67">
        <f t="shared" si="85"/>
        <v>1</v>
      </c>
      <c r="CT67">
        <f t="shared" si="85"/>
        <v>0</v>
      </c>
      <c r="CU67">
        <f t="shared" si="85"/>
        <v>0</v>
      </c>
      <c r="CV67">
        <f t="shared" si="85"/>
        <v>1</v>
      </c>
      <c r="CW67">
        <f t="shared" ref="CW67:DF74" si="86">IF($C67&lt;&gt;"",IF(AH67&gt;0,1,0),0)</f>
        <v>0</v>
      </c>
      <c r="CX67">
        <f t="shared" si="86"/>
        <v>0</v>
      </c>
      <c r="CY67">
        <f t="shared" si="86"/>
        <v>1</v>
      </c>
      <c r="CZ67">
        <f t="shared" si="86"/>
        <v>1</v>
      </c>
      <c r="DA67">
        <f t="shared" si="86"/>
        <v>1</v>
      </c>
      <c r="DB67">
        <f t="shared" si="86"/>
        <v>1</v>
      </c>
      <c r="DC67">
        <f t="shared" si="86"/>
        <v>1</v>
      </c>
      <c r="DD67">
        <f t="shared" si="86"/>
        <v>1</v>
      </c>
      <c r="DE67">
        <f t="shared" si="86"/>
        <v>1</v>
      </c>
      <c r="DF67">
        <f t="shared" si="86"/>
        <v>1</v>
      </c>
      <c r="DG67">
        <f t="shared" ref="DG67:DP74" si="87">IF($C67&lt;&gt;"",IF(AR67&gt;0,1,0),0)</f>
        <v>1</v>
      </c>
      <c r="DH67">
        <f t="shared" si="87"/>
        <v>1</v>
      </c>
      <c r="DI67">
        <f t="shared" si="87"/>
        <v>1</v>
      </c>
      <c r="DJ67">
        <f t="shared" si="87"/>
        <v>1</v>
      </c>
      <c r="DK67">
        <f t="shared" si="87"/>
        <v>1</v>
      </c>
      <c r="DL67">
        <f t="shared" si="87"/>
        <v>0</v>
      </c>
      <c r="DM67">
        <f t="shared" si="87"/>
        <v>1</v>
      </c>
      <c r="DN67">
        <f t="shared" si="87"/>
        <v>1</v>
      </c>
      <c r="DO67">
        <f t="shared" si="87"/>
        <v>1</v>
      </c>
      <c r="DP67">
        <f t="shared" si="87"/>
        <v>1</v>
      </c>
      <c r="DQ67">
        <f t="shared" ref="DQ67:DZ74" si="88">IF($C67&lt;&gt;"",IF(BB67&gt;0,1,0),0)</f>
        <v>1</v>
      </c>
      <c r="DR67">
        <f t="shared" si="88"/>
        <v>1</v>
      </c>
      <c r="DS67">
        <f t="shared" si="88"/>
        <v>1</v>
      </c>
      <c r="DT67">
        <f t="shared" si="88"/>
        <v>1</v>
      </c>
      <c r="DU67">
        <f t="shared" si="88"/>
        <v>1</v>
      </c>
      <c r="DV67">
        <f t="shared" si="88"/>
        <v>1</v>
      </c>
      <c r="DW67">
        <f t="shared" si="88"/>
        <v>1</v>
      </c>
      <c r="DX67">
        <f t="shared" si="88"/>
        <v>1</v>
      </c>
      <c r="DY67">
        <f t="shared" si="88"/>
        <v>1</v>
      </c>
      <c r="DZ67">
        <f t="shared" si="88"/>
        <v>1</v>
      </c>
      <c r="EA67">
        <f t="shared" ref="EA67:EF74" si="89">IF($C67&lt;&gt;"",IF(BL67&gt;0,1,0),0)</f>
        <v>1</v>
      </c>
      <c r="EB67">
        <f t="shared" si="89"/>
        <v>1</v>
      </c>
      <c r="EC67">
        <f t="shared" si="89"/>
        <v>1</v>
      </c>
      <c r="ED67">
        <f t="shared" si="89"/>
        <v>1</v>
      </c>
      <c r="EE67">
        <f t="shared" si="89"/>
        <v>1</v>
      </c>
      <c r="EF67">
        <f t="shared" si="89"/>
        <v>1</v>
      </c>
    </row>
    <row r="68" spans="1:136" ht="15.5">
      <c r="A68" s="90"/>
      <c r="B68" s="24" t="s">
        <v>15</v>
      </c>
      <c r="C68" s="94"/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2.7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40">
        <v>0.3</v>
      </c>
      <c r="AN68" s="40">
        <v>0.3</v>
      </c>
      <c r="AO68" s="18">
        <v>2.9743271775000002</v>
      </c>
      <c r="AP68" s="18">
        <v>4.9879866763735743</v>
      </c>
      <c r="AQ68" s="18">
        <v>6.3922876655096283</v>
      </c>
      <c r="AR68" s="18">
        <v>7.9650181561571705</v>
      </c>
      <c r="AS68" s="18">
        <v>9.2906994110247059</v>
      </c>
      <c r="AT68" s="18">
        <v>11.048015634271053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25">
        <v>0</v>
      </c>
      <c r="BF68" s="18">
        <v>0</v>
      </c>
      <c r="BG68" s="18">
        <v>0</v>
      </c>
      <c r="BH68" s="113">
        <v>0</v>
      </c>
      <c r="BI68" s="113">
        <v>0</v>
      </c>
      <c r="BJ68" s="113">
        <v>0</v>
      </c>
      <c r="BK68" s="113">
        <v>0</v>
      </c>
      <c r="BL68" s="113">
        <v>0</v>
      </c>
      <c r="BM68" s="113">
        <v>0</v>
      </c>
      <c r="BN68" s="113">
        <v>1900.2608180201541</v>
      </c>
      <c r="BO68" s="113">
        <v>0</v>
      </c>
      <c r="BP68" s="113">
        <v>0</v>
      </c>
      <c r="BQ68" s="71">
        <v>0</v>
      </c>
      <c r="BR68" s="101"/>
      <c r="BS68">
        <f t="shared" si="83"/>
        <v>0</v>
      </c>
      <c r="BT68">
        <f t="shared" si="83"/>
        <v>0</v>
      </c>
      <c r="BU68">
        <f t="shared" si="83"/>
        <v>0</v>
      </c>
      <c r="BV68">
        <f t="shared" si="83"/>
        <v>0</v>
      </c>
      <c r="BW68">
        <f t="shared" si="83"/>
        <v>0</v>
      </c>
      <c r="BX68">
        <f t="shared" si="83"/>
        <v>0</v>
      </c>
      <c r="BY68">
        <f t="shared" si="83"/>
        <v>0</v>
      </c>
      <c r="BZ68">
        <f t="shared" si="83"/>
        <v>0</v>
      </c>
      <c r="CA68">
        <f t="shared" si="83"/>
        <v>0</v>
      </c>
      <c r="CB68">
        <f t="shared" si="83"/>
        <v>0</v>
      </c>
      <c r="CC68">
        <f t="shared" si="84"/>
        <v>0</v>
      </c>
      <c r="CD68">
        <f t="shared" si="84"/>
        <v>0</v>
      </c>
      <c r="CE68">
        <f t="shared" si="84"/>
        <v>0</v>
      </c>
      <c r="CF68">
        <f t="shared" si="84"/>
        <v>0</v>
      </c>
      <c r="CG68">
        <f t="shared" si="84"/>
        <v>0</v>
      </c>
      <c r="CH68">
        <f t="shared" si="84"/>
        <v>0</v>
      </c>
      <c r="CI68">
        <f t="shared" si="84"/>
        <v>0</v>
      </c>
      <c r="CJ68">
        <f t="shared" si="84"/>
        <v>0</v>
      </c>
      <c r="CK68">
        <f t="shared" si="84"/>
        <v>0</v>
      </c>
      <c r="CL68">
        <f t="shared" si="84"/>
        <v>0</v>
      </c>
      <c r="CM68">
        <f t="shared" si="85"/>
        <v>0</v>
      </c>
      <c r="CN68">
        <f t="shared" si="85"/>
        <v>0</v>
      </c>
      <c r="CO68">
        <f t="shared" si="85"/>
        <v>0</v>
      </c>
      <c r="CP68">
        <f t="shared" si="85"/>
        <v>0</v>
      </c>
      <c r="CQ68">
        <f t="shared" si="85"/>
        <v>0</v>
      </c>
      <c r="CR68">
        <f t="shared" si="85"/>
        <v>0</v>
      </c>
      <c r="CS68">
        <f t="shared" si="85"/>
        <v>0</v>
      </c>
      <c r="CT68">
        <f t="shared" si="85"/>
        <v>0</v>
      </c>
      <c r="CU68">
        <f t="shared" si="85"/>
        <v>0</v>
      </c>
      <c r="CV68">
        <f t="shared" si="85"/>
        <v>0</v>
      </c>
      <c r="CW68">
        <f t="shared" si="86"/>
        <v>0</v>
      </c>
      <c r="CX68">
        <f t="shared" si="86"/>
        <v>0</v>
      </c>
      <c r="CY68">
        <f t="shared" si="86"/>
        <v>0</v>
      </c>
      <c r="CZ68">
        <f t="shared" si="86"/>
        <v>0</v>
      </c>
      <c r="DA68">
        <f t="shared" si="86"/>
        <v>0</v>
      </c>
      <c r="DB68">
        <f t="shared" si="86"/>
        <v>0</v>
      </c>
      <c r="DC68">
        <f t="shared" si="86"/>
        <v>0</v>
      </c>
      <c r="DD68">
        <f t="shared" si="86"/>
        <v>0</v>
      </c>
      <c r="DE68">
        <f t="shared" si="86"/>
        <v>0</v>
      </c>
      <c r="DF68">
        <f t="shared" si="86"/>
        <v>0</v>
      </c>
      <c r="DG68">
        <f t="shared" si="87"/>
        <v>0</v>
      </c>
      <c r="DH68">
        <f t="shared" si="87"/>
        <v>0</v>
      </c>
      <c r="DI68">
        <f t="shared" si="87"/>
        <v>0</v>
      </c>
      <c r="DJ68">
        <f t="shared" si="87"/>
        <v>0</v>
      </c>
      <c r="DK68">
        <f t="shared" si="87"/>
        <v>0</v>
      </c>
      <c r="DL68">
        <f t="shared" si="87"/>
        <v>0</v>
      </c>
      <c r="DM68">
        <f t="shared" si="87"/>
        <v>0</v>
      </c>
      <c r="DN68">
        <f t="shared" si="87"/>
        <v>0</v>
      </c>
      <c r="DO68">
        <f t="shared" si="87"/>
        <v>0</v>
      </c>
      <c r="DP68">
        <f t="shared" si="87"/>
        <v>0</v>
      </c>
      <c r="DQ68">
        <f t="shared" si="88"/>
        <v>0</v>
      </c>
      <c r="DR68">
        <f t="shared" si="88"/>
        <v>0</v>
      </c>
      <c r="DS68">
        <f t="shared" si="88"/>
        <v>0</v>
      </c>
      <c r="DT68">
        <f t="shared" si="88"/>
        <v>0</v>
      </c>
      <c r="DU68">
        <f t="shared" si="88"/>
        <v>0</v>
      </c>
      <c r="DV68">
        <f t="shared" si="88"/>
        <v>0</v>
      </c>
      <c r="DW68">
        <f t="shared" si="88"/>
        <v>0</v>
      </c>
      <c r="DX68">
        <f t="shared" si="88"/>
        <v>0</v>
      </c>
      <c r="DY68">
        <f t="shared" si="88"/>
        <v>0</v>
      </c>
      <c r="DZ68">
        <f t="shared" si="88"/>
        <v>0</v>
      </c>
      <c r="EA68">
        <f t="shared" si="89"/>
        <v>0</v>
      </c>
      <c r="EB68">
        <f t="shared" si="89"/>
        <v>0</v>
      </c>
      <c r="EC68">
        <f t="shared" si="89"/>
        <v>0</v>
      </c>
      <c r="ED68">
        <f t="shared" si="89"/>
        <v>0</v>
      </c>
      <c r="EE68">
        <f t="shared" si="89"/>
        <v>0</v>
      </c>
      <c r="EF68">
        <f t="shared" si="89"/>
        <v>0</v>
      </c>
    </row>
    <row r="69" spans="1:136" ht="15.5">
      <c r="A69" s="90"/>
      <c r="B69" s="19" t="s">
        <v>202</v>
      </c>
      <c r="C69" s="94"/>
      <c r="D69" s="18">
        <v>0</v>
      </c>
      <c r="E69" s="18">
        <v>0</v>
      </c>
      <c r="F69" s="18">
        <v>0</v>
      </c>
      <c r="G69" s="18">
        <v>0</v>
      </c>
      <c r="H69" s="18">
        <v>0</v>
      </c>
      <c r="I69" s="18">
        <v>0</v>
      </c>
      <c r="J69" s="18">
        <v>0</v>
      </c>
      <c r="K69" s="18">
        <v>0</v>
      </c>
      <c r="L69" s="18">
        <v>0</v>
      </c>
      <c r="M69" s="18">
        <v>0</v>
      </c>
      <c r="N69" s="18">
        <v>0</v>
      </c>
      <c r="O69" s="18">
        <v>0</v>
      </c>
      <c r="P69" s="18">
        <v>0</v>
      </c>
      <c r="Q69" s="18">
        <v>0</v>
      </c>
      <c r="R69" s="18">
        <v>0</v>
      </c>
      <c r="S69" s="18">
        <v>0</v>
      </c>
      <c r="T69" s="18">
        <v>0</v>
      </c>
      <c r="U69" s="18">
        <v>0</v>
      </c>
      <c r="V69" s="18">
        <v>0</v>
      </c>
      <c r="W69" s="18">
        <v>0</v>
      </c>
      <c r="X69" s="61">
        <v>0</v>
      </c>
      <c r="Y69" s="61">
        <v>0</v>
      </c>
      <c r="Z69" s="25">
        <v>0</v>
      </c>
      <c r="AA69" s="25">
        <v>0</v>
      </c>
      <c r="AB69" s="18">
        <v>0</v>
      </c>
      <c r="AC69" s="18">
        <v>0</v>
      </c>
      <c r="AD69" s="18">
        <v>0</v>
      </c>
      <c r="AE69" s="18">
        <v>0</v>
      </c>
      <c r="AF69" s="18">
        <v>0</v>
      </c>
      <c r="AG69" s="18">
        <v>0.372</v>
      </c>
      <c r="AH69" s="18">
        <v>0</v>
      </c>
      <c r="AI69" s="18">
        <v>0</v>
      </c>
      <c r="AJ69" s="18">
        <v>1</v>
      </c>
      <c r="AK69" s="18">
        <v>1</v>
      </c>
      <c r="AL69" s="18">
        <v>3</v>
      </c>
      <c r="AM69" s="18">
        <v>5</v>
      </c>
      <c r="AN69" s="18">
        <v>8</v>
      </c>
      <c r="AO69" s="18">
        <v>11</v>
      </c>
      <c r="AP69" s="18">
        <v>14</v>
      </c>
      <c r="AQ69" s="18">
        <v>17</v>
      </c>
      <c r="AR69" s="18">
        <v>21</v>
      </c>
      <c r="AS69" s="18">
        <v>24</v>
      </c>
      <c r="AT69" s="18">
        <v>27</v>
      </c>
      <c r="AU69" s="18">
        <v>0</v>
      </c>
      <c r="AV69" s="18">
        <v>0</v>
      </c>
      <c r="AW69" s="18">
        <v>0</v>
      </c>
      <c r="AX69" s="18">
        <v>0</v>
      </c>
      <c r="AY69" s="18">
        <v>0</v>
      </c>
      <c r="AZ69" s="18">
        <v>0</v>
      </c>
      <c r="BA69" s="18">
        <v>0</v>
      </c>
      <c r="BB69" s="18">
        <v>0</v>
      </c>
      <c r="BC69" s="18">
        <v>0</v>
      </c>
      <c r="BD69" s="18">
        <v>0</v>
      </c>
      <c r="BE69" s="25">
        <v>0</v>
      </c>
      <c r="BF69" s="25">
        <v>0</v>
      </c>
      <c r="BG69" s="25">
        <v>0</v>
      </c>
      <c r="BH69" s="123">
        <v>0</v>
      </c>
      <c r="BI69" s="123">
        <v>0</v>
      </c>
      <c r="BJ69" s="113">
        <v>0</v>
      </c>
      <c r="BK69" s="113">
        <v>0</v>
      </c>
      <c r="BL69" s="113">
        <v>0</v>
      </c>
      <c r="BM69" s="113">
        <v>0</v>
      </c>
      <c r="BN69" s="113">
        <v>55.7</v>
      </c>
      <c r="BO69" s="113">
        <v>0</v>
      </c>
      <c r="BP69" s="113">
        <v>0</v>
      </c>
      <c r="BQ69" s="71">
        <v>0</v>
      </c>
      <c r="BR69" s="101"/>
      <c r="BS69">
        <f t="shared" si="83"/>
        <v>0</v>
      </c>
      <c r="BT69">
        <f t="shared" si="83"/>
        <v>0</v>
      </c>
      <c r="BU69">
        <f t="shared" si="83"/>
        <v>0</v>
      </c>
      <c r="BV69">
        <f t="shared" si="83"/>
        <v>0</v>
      </c>
      <c r="BW69">
        <f t="shared" si="83"/>
        <v>0</v>
      </c>
      <c r="BX69">
        <f t="shared" si="83"/>
        <v>0</v>
      </c>
      <c r="BY69">
        <f t="shared" si="83"/>
        <v>0</v>
      </c>
      <c r="BZ69">
        <f t="shared" si="83"/>
        <v>0</v>
      </c>
      <c r="CA69">
        <f t="shared" si="83"/>
        <v>0</v>
      </c>
      <c r="CB69">
        <f t="shared" si="83"/>
        <v>0</v>
      </c>
      <c r="CC69">
        <f t="shared" si="84"/>
        <v>0</v>
      </c>
      <c r="CD69">
        <f t="shared" si="84"/>
        <v>0</v>
      </c>
      <c r="CE69">
        <f t="shared" si="84"/>
        <v>0</v>
      </c>
      <c r="CF69">
        <f t="shared" si="84"/>
        <v>0</v>
      </c>
      <c r="CG69">
        <f t="shared" si="84"/>
        <v>0</v>
      </c>
      <c r="CH69">
        <f t="shared" si="84"/>
        <v>0</v>
      </c>
      <c r="CI69">
        <f t="shared" si="84"/>
        <v>0</v>
      </c>
      <c r="CJ69">
        <f t="shared" si="84"/>
        <v>0</v>
      </c>
      <c r="CK69">
        <f t="shared" si="84"/>
        <v>0</v>
      </c>
      <c r="CL69">
        <f t="shared" si="84"/>
        <v>0</v>
      </c>
      <c r="CM69">
        <f t="shared" si="85"/>
        <v>0</v>
      </c>
      <c r="CN69">
        <f t="shared" si="85"/>
        <v>0</v>
      </c>
      <c r="CO69">
        <f t="shared" si="85"/>
        <v>0</v>
      </c>
      <c r="CP69">
        <f t="shared" si="85"/>
        <v>0</v>
      </c>
      <c r="CQ69">
        <f t="shared" si="85"/>
        <v>0</v>
      </c>
      <c r="CR69">
        <f t="shared" si="85"/>
        <v>0</v>
      </c>
      <c r="CS69">
        <f t="shared" si="85"/>
        <v>0</v>
      </c>
      <c r="CT69">
        <f t="shared" si="85"/>
        <v>0</v>
      </c>
      <c r="CU69">
        <f t="shared" si="85"/>
        <v>0</v>
      </c>
      <c r="CV69">
        <f t="shared" si="85"/>
        <v>0</v>
      </c>
      <c r="CW69">
        <f t="shared" si="86"/>
        <v>0</v>
      </c>
      <c r="CX69">
        <f t="shared" si="86"/>
        <v>0</v>
      </c>
      <c r="CY69">
        <f t="shared" si="86"/>
        <v>0</v>
      </c>
      <c r="CZ69">
        <f t="shared" si="86"/>
        <v>0</v>
      </c>
      <c r="DA69">
        <f t="shared" si="86"/>
        <v>0</v>
      </c>
      <c r="DB69">
        <f t="shared" si="86"/>
        <v>0</v>
      </c>
      <c r="DC69">
        <f t="shared" si="86"/>
        <v>0</v>
      </c>
      <c r="DD69">
        <f t="shared" si="86"/>
        <v>0</v>
      </c>
      <c r="DE69">
        <f t="shared" si="86"/>
        <v>0</v>
      </c>
      <c r="DF69">
        <f t="shared" si="86"/>
        <v>0</v>
      </c>
      <c r="DG69">
        <f t="shared" si="87"/>
        <v>0</v>
      </c>
      <c r="DH69">
        <f t="shared" si="87"/>
        <v>0</v>
      </c>
      <c r="DI69">
        <f t="shared" si="87"/>
        <v>0</v>
      </c>
      <c r="DJ69">
        <f t="shared" si="87"/>
        <v>0</v>
      </c>
      <c r="DK69">
        <f t="shared" si="87"/>
        <v>0</v>
      </c>
      <c r="DL69">
        <f t="shared" si="87"/>
        <v>0</v>
      </c>
      <c r="DM69">
        <f t="shared" si="87"/>
        <v>0</v>
      </c>
      <c r="DN69">
        <f t="shared" si="87"/>
        <v>0</v>
      </c>
      <c r="DO69">
        <f t="shared" si="87"/>
        <v>0</v>
      </c>
      <c r="DP69">
        <f t="shared" si="87"/>
        <v>0</v>
      </c>
      <c r="DQ69">
        <f t="shared" si="88"/>
        <v>0</v>
      </c>
      <c r="DR69">
        <f t="shared" si="88"/>
        <v>0</v>
      </c>
      <c r="DS69">
        <f t="shared" si="88"/>
        <v>0</v>
      </c>
      <c r="DT69">
        <f t="shared" si="88"/>
        <v>0</v>
      </c>
      <c r="DU69">
        <f t="shared" si="88"/>
        <v>0</v>
      </c>
      <c r="DV69">
        <f t="shared" si="88"/>
        <v>0</v>
      </c>
      <c r="DW69">
        <f t="shared" si="88"/>
        <v>0</v>
      </c>
      <c r="DX69">
        <f t="shared" si="88"/>
        <v>0</v>
      </c>
      <c r="DY69">
        <f t="shared" si="88"/>
        <v>0</v>
      </c>
      <c r="DZ69">
        <f t="shared" si="88"/>
        <v>0</v>
      </c>
      <c r="EA69">
        <f t="shared" si="89"/>
        <v>0</v>
      </c>
      <c r="EB69">
        <f t="shared" si="89"/>
        <v>0</v>
      </c>
      <c r="EC69">
        <f t="shared" si="89"/>
        <v>0</v>
      </c>
      <c r="ED69">
        <f t="shared" si="89"/>
        <v>0</v>
      </c>
      <c r="EE69">
        <f t="shared" si="89"/>
        <v>0</v>
      </c>
      <c r="EF69">
        <f t="shared" si="89"/>
        <v>0</v>
      </c>
    </row>
    <row r="70" spans="1:136" ht="15.5">
      <c r="A70" s="90"/>
      <c r="B70" s="19" t="s">
        <v>2</v>
      </c>
      <c r="C70" s="94"/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26">
        <v>0</v>
      </c>
      <c r="Y70" s="26">
        <v>0</v>
      </c>
      <c r="Z70" s="27">
        <v>0</v>
      </c>
      <c r="AA70" s="27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30">
        <v>0</v>
      </c>
      <c r="AI70" s="130">
        <v>0</v>
      </c>
      <c r="AJ70" s="130">
        <v>0</v>
      </c>
      <c r="AK70" s="130">
        <v>0</v>
      </c>
      <c r="AL70" s="130">
        <v>0</v>
      </c>
      <c r="AM70" s="130">
        <v>0</v>
      </c>
      <c r="AN70" s="130">
        <v>0</v>
      </c>
      <c r="AO70" s="130">
        <v>0</v>
      </c>
      <c r="AP70" s="130">
        <v>0</v>
      </c>
      <c r="AQ70" s="130">
        <v>0</v>
      </c>
      <c r="AR70" s="130">
        <v>0</v>
      </c>
      <c r="AS70" s="130">
        <v>0</v>
      </c>
      <c r="AT70" s="130">
        <v>0</v>
      </c>
      <c r="AU70" s="130">
        <v>0</v>
      </c>
      <c r="AV70" s="130">
        <v>0</v>
      </c>
      <c r="AW70" s="130">
        <v>0</v>
      </c>
      <c r="AX70" s="18">
        <v>2362</v>
      </c>
      <c r="AY70" s="18">
        <v>22</v>
      </c>
      <c r="AZ70" s="18">
        <v>0.433</v>
      </c>
      <c r="BA70" s="18">
        <v>0.433</v>
      </c>
      <c r="BB70" s="18">
        <v>1027</v>
      </c>
      <c r="BC70" s="18">
        <v>0</v>
      </c>
      <c r="BD70" s="18">
        <v>0</v>
      </c>
      <c r="BE70" s="25">
        <v>0</v>
      </c>
      <c r="BF70" s="25">
        <v>0</v>
      </c>
      <c r="BG70" s="25">
        <v>0</v>
      </c>
      <c r="BH70" s="25">
        <v>0</v>
      </c>
      <c r="BI70" s="25">
        <v>0</v>
      </c>
      <c r="BJ70" s="25">
        <v>0</v>
      </c>
      <c r="BK70" s="123">
        <v>0</v>
      </c>
      <c r="BL70" s="123">
        <v>0</v>
      </c>
      <c r="BM70" s="113">
        <v>0</v>
      </c>
      <c r="BN70" s="113">
        <v>1517</v>
      </c>
      <c r="BO70" s="113">
        <v>1599</v>
      </c>
      <c r="BP70" s="113">
        <v>1671</v>
      </c>
      <c r="BQ70" s="113">
        <v>1743</v>
      </c>
      <c r="BR70" s="101"/>
      <c r="BS70">
        <f t="shared" si="83"/>
        <v>0</v>
      </c>
      <c r="BT70">
        <f t="shared" si="83"/>
        <v>0</v>
      </c>
      <c r="BU70">
        <f t="shared" si="83"/>
        <v>0</v>
      </c>
      <c r="BV70">
        <f t="shared" si="83"/>
        <v>0</v>
      </c>
      <c r="BW70">
        <f t="shared" si="83"/>
        <v>0</v>
      </c>
      <c r="BX70">
        <f t="shared" si="83"/>
        <v>0</v>
      </c>
      <c r="BY70">
        <f t="shared" si="83"/>
        <v>0</v>
      </c>
      <c r="BZ70">
        <f t="shared" si="83"/>
        <v>0</v>
      </c>
      <c r="CA70">
        <f t="shared" si="83"/>
        <v>0</v>
      </c>
      <c r="CB70">
        <f t="shared" si="83"/>
        <v>0</v>
      </c>
      <c r="CC70">
        <f t="shared" si="84"/>
        <v>0</v>
      </c>
      <c r="CD70">
        <f t="shared" si="84"/>
        <v>0</v>
      </c>
      <c r="CE70">
        <f t="shared" si="84"/>
        <v>0</v>
      </c>
      <c r="CF70">
        <f t="shared" si="84"/>
        <v>0</v>
      </c>
      <c r="CG70">
        <f t="shared" si="84"/>
        <v>0</v>
      </c>
      <c r="CH70">
        <f t="shared" si="84"/>
        <v>0</v>
      </c>
      <c r="CI70">
        <f t="shared" si="84"/>
        <v>0</v>
      </c>
      <c r="CJ70">
        <f t="shared" si="84"/>
        <v>0</v>
      </c>
      <c r="CK70">
        <f t="shared" si="84"/>
        <v>0</v>
      </c>
      <c r="CL70">
        <f t="shared" si="84"/>
        <v>0</v>
      </c>
      <c r="CM70">
        <f t="shared" si="85"/>
        <v>0</v>
      </c>
      <c r="CN70">
        <f t="shared" si="85"/>
        <v>0</v>
      </c>
      <c r="CO70">
        <f t="shared" si="85"/>
        <v>0</v>
      </c>
      <c r="CP70">
        <f t="shared" si="85"/>
        <v>0</v>
      </c>
      <c r="CQ70">
        <f t="shared" si="85"/>
        <v>0</v>
      </c>
      <c r="CR70">
        <f t="shared" si="85"/>
        <v>0</v>
      </c>
      <c r="CS70">
        <f t="shared" si="85"/>
        <v>0</v>
      </c>
      <c r="CT70">
        <f t="shared" si="85"/>
        <v>0</v>
      </c>
      <c r="CU70">
        <f t="shared" si="85"/>
        <v>0</v>
      </c>
      <c r="CV70">
        <f t="shared" si="85"/>
        <v>0</v>
      </c>
      <c r="CW70">
        <f t="shared" si="86"/>
        <v>0</v>
      </c>
      <c r="CX70">
        <f t="shared" si="86"/>
        <v>0</v>
      </c>
      <c r="CY70">
        <f t="shared" si="86"/>
        <v>0</v>
      </c>
      <c r="CZ70">
        <f t="shared" si="86"/>
        <v>0</v>
      </c>
      <c r="DA70">
        <f t="shared" si="86"/>
        <v>0</v>
      </c>
      <c r="DB70">
        <f t="shared" si="86"/>
        <v>0</v>
      </c>
      <c r="DC70">
        <f t="shared" si="86"/>
        <v>0</v>
      </c>
      <c r="DD70">
        <f t="shared" si="86"/>
        <v>0</v>
      </c>
      <c r="DE70">
        <f t="shared" si="86"/>
        <v>0</v>
      </c>
      <c r="DF70">
        <f t="shared" si="86"/>
        <v>0</v>
      </c>
      <c r="DG70">
        <f t="shared" si="87"/>
        <v>0</v>
      </c>
      <c r="DH70">
        <f t="shared" si="87"/>
        <v>0</v>
      </c>
      <c r="DI70">
        <f t="shared" si="87"/>
        <v>0</v>
      </c>
      <c r="DJ70">
        <f t="shared" si="87"/>
        <v>0</v>
      </c>
      <c r="DK70">
        <f t="shared" si="87"/>
        <v>0</v>
      </c>
      <c r="DL70">
        <f t="shared" si="87"/>
        <v>0</v>
      </c>
      <c r="DM70">
        <f t="shared" si="87"/>
        <v>0</v>
      </c>
      <c r="DN70">
        <f t="shared" si="87"/>
        <v>0</v>
      </c>
      <c r="DO70">
        <f t="shared" si="87"/>
        <v>0</v>
      </c>
      <c r="DP70">
        <f t="shared" si="87"/>
        <v>0</v>
      </c>
      <c r="DQ70">
        <f t="shared" si="88"/>
        <v>0</v>
      </c>
      <c r="DR70">
        <f t="shared" si="88"/>
        <v>0</v>
      </c>
      <c r="DS70">
        <f t="shared" si="88"/>
        <v>0</v>
      </c>
      <c r="DT70">
        <f t="shared" si="88"/>
        <v>0</v>
      </c>
      <c r="DU70">
        <f t="shared" si="88"/>
        <v>0</v>
      </c>
      <c r="DV70">
        <f t="shared" si="88"/>
        <v>0</v>
      </c>
      <c r="DW70">
        <f t="shared" si="88"/>
        <v>0</v>
      </c>
      <c r="DX70">
        <f t="shared" si="88"/>
        <v>0</v>
      </c>
      <c r="DY70">
        <f t="shared" si="88"/>
        <v>0</v>
      </c>
      <c r="DZ70">
        <f t="shared" si="88"/>
        <v>0</v>
      </c>
      <c r="EA70">
        <f t="shared" si="89"/>
        <v>0</v>
      </c>
      <c r="EB70">
        <f t="shared" si="89"/>
        <v>0</v>
      </c>
      <c r="EC70">
        <f t="shared" si="89"/>
        <v>0</v>
      </c>
      <c r="ED70">
        <f t="shared" si="89"/>
        <v>0</v>
      </c>
      <c r="EE70">
        <f t="shared" si="89"/>
        <v>0</v>
      </c>
      <c r="EF70">
        <f t="shared" si="89"/>
        <v>0</v>
      </c>
    </row>
    <row r="71" spans="1:136" ht="15.5">
      <c r="A71" s="90"/>
      <c r="B71" s="19" t="s">
        <v>205</v>
      </c>
      <c r="C71" s="94"/>
      <c r="D71" s="25">
        <v>0</v>
      </c>
      <c r="E71" s="25">
        <v>0</v>
      </c>
      <c r="F71" s="25">
        <v>0</v>
      </c>
      <c r="G71" s="25">
        <v>0</v>
      </c>
      <c r="H71" s="25">
        <v>0</v>
      </c>
      <c r="I71" s="25">
        <v>0</v>
      </c>
      <c r="J71" s="25">
        <v>0</v>
      </c>
      <c r="K71" s="25">
        <v>0</v>
      </c>
      <c r="L71" s="25">
        <v>0</v>
      </c>
      <c r="M71" s="25">
        <v>0</v>
      </c>
      <c r="N71" s="25">
        <v>0</v>
      </c>
      <c r="O71" s="25">
        <v>0</v>
      </c>
      <c r="P71" s="25">
        <v>0</v>
      </c>
      <c r="Q71" s="25">
        <v>0</v>
      </c>
      <c r="R71" s="25">
        <v>0</v>
      </c>
      <c r="S71" s="25">
        <v>0</v>
      </c>
      <c r="T71" s="25">
        <v>0</v>
      </c>
      <c r="U71" s="25">
        <v>0</v>
      </c>
      <c r="V71" s="25">
        <v>0</v>
      </c>
      <c r="W71" s="25">
        <v>0</v>
      </c>
      <c r="X71" s="25">
        <v>0</v>
      </c>
      <c r="Y71" s="25">
        <v>0</v>
      </c>
      <c r="Z71" s="25">
        <v>0</v>
      </c>
      <c r="AA71" s="25">
        <v>0</v>
      </c>
      <c r="AB71" s="25">
        <v>0</v>
      </c>
      <c r="AC71" s="25">
        <v>0</v>
      </c>
      <c r="AD71" s="25">
        <v>0</v>
      </c>
      <c r="AE71" s="25">
        <v>0</v>
      </c>
      <c r="AF71" s="25">
        <v>0</v>
      </c>
      <c r="AG71" s="25">
        <v>0</v>
      </c>
      <c r="AH71" s="25">
        <v>0</v>
      </c>
      <c r="AI71" s="128">
        <v>0</v>
      </c>
      <c r="AJ71" s="128">
        <v>0</v>
      </c>
      <c r="AK71" s="128">
        <v>0</v>
      </c>
      <c r="AL71" s="71">
        <v>0</v>
      </c>
      <c r="AM71" s="71">
        <v>0</v>
      </c>
      <c r="AN71" s="71">
        <v>0</v>
      </c>
      <c r="AO71" s="71">
        <v>0</v>
      </c>
      <c r="AP71" s="71">
        <v>0</v>
      </c>
      <c r="AQ71" s="71">
        <v>0</v>
      </c>
      <c r="AR71" s="71">
        <v>0</v>
      </c>
      <c r="AS71" s="71">
        <v>0</v>
      </c>
      <c r="AT71" s="71">
        <v>0</v>
      </c>
      <c r="AU71" s="71">
        <v>0</v>
      </c>
      <c r="AV71" s="131" t="s">
        <v>253</v>
      </c>
      <c r="AW71" s="71">
        <v>0</v>
      </c>
      <c r="AX71" s="71">
        <v>0</v>
      </c>
      <c r="AY71" s="71">
        <v>0</v>
      </c>
      <c r="AZ71" s="71">
        <v>0</v>
      </c>
      <c r="BA71" s="71">
        <v>0</v>
      </c>
      <c r="BB71" s="71">
        <v>0</v>
      </c>
      <c r="BC71" s="71">
        <v>0</v>
      </c>
      <c r="BD71" s="71">
        <v>0</v>
      </c>
      <c r="BE71" s="71">
        <v>0</v>
      </c>
      <c r="BF71" s="71">
        <v>0</v>
      </c>
      <c r="BG71" s="71">
        <v>0</v>
      </c>
      <c r="BH71" s="71">
        <v>0</v>
      </c>
      <c r="BI71" s="71">
        <v>0</v>
      </c>
      <c r="BJ71" s="71">
        <v>0</v>
      </c>
      <c r="BK71" s="71">
        <v>0</v>
      </c>
      <c r="BL71" s="71">
        <v>0</v>
      </c>
      <c r="BM71" s="71">
        <v>0</v>
      </c>
      <c r="BN71" s="71">
        <v>0</v>
      </c>
      <c r="BO71" s="71">
        <v>0</v>
      </c>
      <c r="BP71" s="71">
        <v>0</v>
      </c>
      <c r="BQ71" s="71">
        <v>0</v>
      </c>
      <c r="BR71" s="101"/>
      <c r="BS71">
        <f t="shared" si="83"/>
        <v>0</v>
      </c>
      <c r="BT71">
        <f t="shared" si="83"/>
        <v>0</v>
      </c>
      <c r="BU71">
        <f t="shared" si="83"/>
        <v>0</v>
      </c>
      <c r="BV71">
        <f t="shared" si="83"/>
        <v>0</v>
      </c>
      <c r="BW71">
        <f t="shared" si="83"/>
        <v>0</v>
      </c>
      <c r="BX71">
        <f t="shared" si="83"/>
        <v>0</v>
      </c>
      <c r="BY71">
        <f t="shared" si="83"/>
        <v>0</v>
      </c>
      <c r="BZ71">
        <f t="shared" si="83"/>
        <v>0</v>
      </c>
      <c r="CA71">
        <f t="shared" si="83"/>
        <v>0</v>
      </c>
      <c r="CB71">
        <f t="shared" si="83"/>
        <v>0</v>
      </c>
      <c r="CC71">
        <f t="shared" si="84"/>
        <v>0</v>
      </c>
      <c r="CD71">
        <f t="shared" si="84"/>
        <v>0</v>
      </c>
      <c r="CE71">
        <f t="shared" si="84"/>
        <v>0</v>
      </c>
      <c r="CF71">
        <f t="shared" si="84"/>
        <v>0</v>
      </c>
      <c r="CG71">
        <f t="shared" si="84"/>
        <v>0</v>
      </c>
      <c r="CH71">
        <f t="shared" si="84"/>
        <v>0</v>
      </c>
      <c r="CI71">
        <f t="shared" si="84"/>
        <v>0</v>
      </c>
      <c r="CJ71">
        <f t="shared" si="84"/>
        <v>0</v>
      </c>
      <c r="CK71">
        <f t="shared" si="84"/>
        <v>0</v>
      </c>
      <c r="CL71">
        <f t="shared" si="84"/>
        <v>0</v>
      </c>
      <c r="CM71">
        <f t="shared" si="85"/>
        <v>0</v>
      </c>
      <c r="CN71">
        <f t="shared" si="85"/>
        <v>0</v>
      </c>
      <c r="CO71">
        <f t="shared" si="85"/>
        <v>0</v>
      </c>
      <c r="CP71">
        <f t="shared" si="85"/>
        <v>0</v>
      </c>
      <c r="CQ71">
        <f t="shared" si="85"/>
        <v>0</v>
      </c>
      <c r="CR71">
        <f t="shared" si="85"/>
        <v>0</v>
      </c>
      <c r="CS71">
        <f t="shared" si="85"/>
        <v>0</v>
      </c>
      <c r="CT71">
        <f t="shared" si="85"/>
        <v>0</v>
      </c>
      <c r="CU71">
        <f t="shared" si="85"/>
        <v>0</v>
      </c>
      <c r="CV71">
        <f t="shared" si="85"/>
        <v>0</v>
      </c>
      <c r="CW71">
        <f t="shared" si="86"/>
        <v>0</v>
      </c>
      <c r="CX71">
        <f t="shared" si="86"/>
        <v>0</v>
      </c>
      <c r="CY71">
        <f t="shared" si="86"/>
        <v>0</v>
      </c>
      <c r="CZ71">
        <f t="shared" si="86"/>
        <v>0</v>
      </c>
      <c r="DA71">
        <f t="shared" si="86"/>
        <v>0</v>
      </c>
      <c r="DB71">
        <f t="shared" si="86"/>
        <v>0</v>
      </c>
      <c r="DC71">
        <f t="shared" si="86"/>
        <v>0</v>
      </c>
      <c r="DD71">
        <f t="shared" si="86"/>
        <v>0</v>
      </c>
      <c r="DE71">
        <f t="shared" si="86"/>
        <v>0</v>
      </c>
      <c r="DF71">
        <f t="shared" si="86"/>
        <v>0</v>
      </c>
      <c r="DG71">
        <f t="shared" si="87"/>
        <v>0</v>
      </c>
      <c r="DH71">
        <f t="shared" si="87"/>
        <v>0</v>
      </c>
      <c r="DI71">
        <f t="shared" si="87"/>
        <v>0</v>
      </c>
      <c r="DJ71">
        <f t="shared" si="87"/>
        <v>0</v>
      </c>
      <c r="DK71">
        <f t="shared" si="87"/>
        <v>0</v>
      </c>
      <c r="DL71">
        <f t="shared" si="87"/>
        <v>0</v>
      </c>
      <c r="DM71">
        <f t="shared" si="87"/>
        <v>0</v>
      </c>
      <c r="DN71">
        <f t="shared" si="87"/>
        <v>0</v>
      </c>
      <c r="DO71">
        <f t="shared" si="87"/>
        <v>0</v>
      </c>
      <c r="DP71">
        <f t="shared" si="87"/>
        <v>0</v>
      </c>
      <c r="DQ71">
        <f t="shared" si="88"/>
        <v>0</v>
      </c>
      <c r="DR71">
        <f t="shared" si="88"/>
        <v>0</v>
      </c>
      <c r="DS71">
        <f t="shared" si="88"/>
        <v>0</v>
      </c>
      <c r="DT71">
        <f t="shared" si="88"/>
        <v>0</v>
      </c>
      <c r="DU71">
        <f t="shared" si="88"/>
        <v>0</v>
      </c>
      <c r="DV71">
        <f t="shared" si="88"/>
        <v>0</v>
      </c>
      <c r="DW71">
        <f t="shared" si="88"/>
        <v>0</v>
      </c>
      <c r="DX71">
        <f t="shared" si="88"/>
        <v>0</v>
      </c>
      <c r="DY71">
        <f t="shared" si="88"/>
        <v>0</v>
      </c>
      <c r="DZ71">
        <f t="shared" si="88"/>
        <v>0</v>
      </c>
      <c r="EA71">
        <f t="shared" si="89"/>
        <v>0</v>
      </c>
      <c r="EB71">
        <f t="shared" si="89"/>
        <v>0</v>
      </c>
      <c r="EC71">
        <f t="shared" si="89"/>
        <v>0</v>
      </c>
      <c r="ED71">
        <f t="shared" si="89"/>
        <v>0</v>
      </c>
      <c r="EE71">
        <f t="shared" si="89"/>
        <v>0</v>
      </c>
      <c r="EF71">
        <f t="shared" si="89"/>
        <v>0</v>
      </c>
    </row>
    <row r="72" spans="1:136" ht="15.5">
      <c r="A72" s="90"/>
      <c r="B72" s="19" t="s">
        <v>3</v>
      </c>
      <c r="C72" s="94"/>
      <c r="D72" s="27">
        <v>0</v>
      </c>
      <c r="E72" s="27">
        <v>0</v>
      </c>
      <c r="F72" s="27">
        <v>0</v>
      </c>
      <c r="G72" s="27">
        <v>0</v>
      </c>
      <c r="H72" s="27">
        <v>267</v>
      </c>
      <c r="I72" s="27">
        <v>267</v>
      </c>
      <c r="J72" s="27">
        <v>267</v>
      </c>
      <c r="K72" s="27">
        <v>0</v>
      </c>
      <c r="L72" s="27">
        <v>0</v>
      </c>
      <c r="M72" s="27">
        <v>0</v>
      </c>
      <c r="N72" s="27">
        <v>0</v>
      </c>
      <c r="O72" s="27">
        <v>0</v>
      </c>
      <c r="P72" s="27">
        <v>37</v>
      </c>
      <c r="Q72" s="27">
        <v>0</v>
      </c>
      <c r="R72" s="27">
        <v>0</v>
      </c>
      <c r="S72" s="27">
        <v>0</v>
      </c>
      <c r="T72" s="117">
        <v>437</v>
      </c>
      <c r="U72" s="28">
        <v>0</v>
      </c>
      <c r="V72" s="29">
        <v>0</v>
      </c>
      <c r="W72" s="28">
        <v>0</v>
      </c>
      <c r="X72" s="117">
        <v>15</v>
      </c>
      <c r="Y72" s="106" t="s">
        <v>16</v>
      </c>
      <c r="Z72" s="27">
        <v>3</v>
      </c>
      <c r="AA72" s="106" t="s">
        <v>16</v>
      </c>
      <c r="AB72" s="106" t="s">
        <v>16</v>
      </c>
      <c r="AC72" s="27">
        <v>10</v>
      </c>
      <c r="AD72" s="27">
        <v>10</v>
      </c>
      <c r="AE72" s="27">
        <v>0</v>
      </c>
      <c r="AF72" s="27">
        <v>0</v>
      </c>
      <c r="AG72" s="27">
        <v>0</v>
      </c>
      <c r="AH72" s="42">
        <v>0</v>
      </c>
      <c r="AI72" s="42">
        <v>0</v>
      </c>
      <c r="AJ72" s="42">
        <v>0</v>
      </c>
      <c r="AK72" s="42">
        <v>109</v>
      </c>
      <c r="AL72" s="202">
        <v>0</v>
      </c>
      <c r="AM72" s="30">
        <v>0</v>
      </c>
      <c r="AN72" s="202">
        <v>0</v>
      </c>
      <c r="AO72" s="30">
        <v>0</v>
      </c>
      <c r="AP72" s="30">
        <v>75</v>
      </c>
      <c r="AQ72" s="30">
        <v>0</v>
      </c>
      <c r="AR72" s="30">
        <v>89</v>
      </c>
      <c r="AS72" s="30">
        <v>0</v>
      </c>
      <c r="AT72" s="30">
        <v>0</v>
      </c>
      <c r="AU72" s="30">
        <v>0</v>
      </c>
      <c r="AV72" s="30">
        <v>0</v>
      </c>
      <c r="AW72" s="30">
        <v>0</v>
      </c>
      <c r="AX72" s="34">
        <v>171.11660520000001</v>
      </c>
      <c r="AY72" s="34">
        <f>163.9573983-AY70</f>
        <v>141.95739829999999</v>
      </c>
      <c r="AZ72" s="34">
        <v>170.00856389999998</v>
      </c>
      <c r="BA72" s="34">
        <v>90.443927900000006</v>
      </c>
      <c r="BB72" s="34">
        <v>65</v>
      </c>
      <c r="BC72" s="34">
        <v>144.105277</v>
      </c>
      <c r="BD72" s="34">
        <v>172.65312169999999</v>
      </c>
      <c r="BE72" s="34">
        <v>201.36184850000001</v>
      </c>
      <c r="BF72" s="34">
        <v>320.22705160000004</v>
      </c>
      <c r="BG72" s="34">
        <v>367.92815040000005</v>
      </c>
      <c r="BH72" s="34">
        <v>445.6615443</v>
      </c>
      <c r="BI72" s="34">
        <v>529.59900500000003</v>
      </c>
      <c r="BJ72" s="113">
        <v>605.33000400000003</v>
      </c>
      <c r="BK72" s="113">
        <v>679.09</v>
      </c>
      <c r="BL72" s="113">
        <v>751.56799999999998</v>
      </c>
      <c r="BM72" s="113">
        <v>825.79480509999985</v>
      </c>
      <c r="BN72" s="113">
        <v>899</v>
      </c>
      <c r="BO72" s="113">
        <v>906</v>
      </c>
      <c r="BP72" s="113">
        <v>910</v>
      </c>
      <c r="BQ72" s="113">
        <v>915</v>
      </c>
      <c r="BR72" s="101"/>
      <c r="BS72">
        <f t="shared" si="83"/>
        <v>0</v>
      </c>
      <c r="BT72">
        <f t="shared" si="83"/>
        <v>0</v>
      </c>
      <c r="BU72">
        <f t="shared" si="83"/>
        <v>0</v>
      </c>
      <c r="BV72">
        <f t="shared" si="83"/>
        <v>0</v>
      </c>
      <c r="BW72">
        <f t="shared" si="83"/>
        <v>0</v>
      </c>
      <c r="BX72">
        <f t="shared" si="83"/>
        <v>0</v>
      </c>
      <c r="BY72">
        <f t="shared" si="83"/>
        <v>0</v>
      </c>
      <c r="BZ72">
        <f t="shared" si="83"/>
        <v>0</v>
      </c>
      <c r="CA72">
        <f t="shared" si="83"/>
        <v>0</v>
      </c>
      <c r="CB72">
        <f t="shared" si="83"/>
        <v>0</v>
      </c>
      <c r="CC72">
        <f t="shared" si="84"/>
        <v>0</v>
      </c>
      <c r="CD72">
        <f t="shared" si="84"/>
        <v>0</v>
      </c>
      <c r="CE72">
        <f t="shared" si="84"/>
        <v>0</v>
      </c>
      <c r="CF72">
        <f t="shared" si="84"/>
        <v>0</v>
      </c>
      <c r="CG72">
        <f t="shared" si="84"/>
        <v>0</v>
      </c>
      <c r="CH72">
        <f t="shared" si="84"/>
        <v>0</v>
      </c>
      <c r="CI72">
        <f t="shared" si="84"/>
        <v>0</v>
      </c>
      <c r="CJ72">
        <f t="shared" si="84"/>
        <v>0</v>
      </c>
      <c r="CK72">
        <f t="shared" si="84"/>
        <v>0</v>
      </c>
      <c r="CL72">
        <f t="shared" si="84"/>
        <v>0</v>
      </c>
      <c r="CM72">
        <f t="shared" si="85"/>
        <v>0</v>
      </c>
      <c r="CN72">
        <f t="shared" si="85"/>
        <v>0</v>
      </c>
      <c r="CO72">
        <f t="shared" si="85"/>
        <v>0</v>
      </c>
      <c r="CP72">
        <f t="shared" si="85"/>
        <v>0</v>
      </c>
      <c r="CQ72">
        <f t="shared" si="85"/>
        <v>0</v>
      </c>
      <c r="CR72">
        <f t="shared" si="85"/>
        <v>0</v>
      </c>
      <c r="CS72">
        <f t="shared" si="85"/>
        <v>0</v>
      </c>
      <c r="CT72">
        <f t="shared" si="85"/>
        <v>0</v>
      </c>
      <c r="CU72">
        <f t="shared" si="85"/>
        <v>0</v>
      </c>
      <c r="CV72">
        <f t="shared" si="85"/>
        <v>0</v>
      </c>
      <c r="CW72">
        <f t="shared" si="86"/>
        <v>0</v>
      </c>
      <c r="CX72">
        <f t="shared" si="86"/>
        <v>0</v>
      </c>
      <c r="CY72">
        <f t="shared" si="86"/>
        <v>0</v>
      </c>
      <c r="CZ72">
        <f t="shared" si="86"/>
        <v>0</v>
      </c>
      <c r="DA72">
        <f t="shared" si="86"/>
        <v>0</v>
      </c>
      <c r="DB72">
        <f t="shared" si="86"/>
        <v>0</v>
      </c>
      <c r="DC72">
        <f t="shared" si="86"/>
        <v>0</v>
      </c>
      <c r="DD72">
        <f t="shared" si="86"/>
        <v>0</v>
      </c>
      <c r="DE72">
        <f t="shared" si="86"/>
        <v>0</v>
      </c>
      <c r="DF72">
        <f t="shared" si="86"/>
        <v>0</v>
      </c>
      <c r="DG72">
        <f t="shared" si="87"/>
        <v>0</v>
      </c>
      <c r="DH72">
        <f t="shared" si="87"/>
        <v>0</v>
      </c>
      <c r="DI72">
        <f t="shared" si="87"/>
        <v>0</v>
      </c>
      <c r="DJ72">
        <f t="shared" si="87"/>
        <v>0</v>
      </c>
      <c r="DK72">
        <f t="shared" si="87"/>
        <v>0</v>
      </c>
      <c r="DL72">
        <f t="shared" si="87"/>
        <v>0</v>
      </c>
      <c r="DM72">
        <f t="shared" si="87"/>
        <v>0</v>
      </c>
      <c r="DN72">
        <f t="shared" si="87"/>
        <v>0</v>
      </c>
      <c r="DO72">
        <f t="shared" si="87"/>
        <v>0</v>
      </c>
      <c r="DP72">
        <f t="shared" si="87"/>
        <v>0</v>
      </c>
      <c r="DQ72">
        <f t="shared" si="88"/>
        <v>0</v>
      </c>
      <c r="DR72">
        <f t="shared" si="88"/>
        <v>0</v>
      </c>
      <c r="DS72">
        <f t="shared" si="88"/>
        <v>0</v>
      </c>
      <c r="DT72">
        <f t="shared" si="88"/>
        <v>0</v>
      </c>
      <c r="DU72">
        <f t="shared" si="88"/>
        <v>0</v>
      </c>
      <c r="DV72">
        <f t="shared" si="88"/>
        <v>0</v>
      </c>
      <c r="DW72">
        <f t="shared" si="88"/>
        <v>0</v>
      </c>
      <c r="DX72">
        <f t="shared" si="88"/>
        <v>0</v>
      </c>
      <c r="DY72">
        <f t="shared" si="88"/>
        <v>0</v>
      </c>
      <c r="DZ72">
        <f t="shared" si="88"/>
        <v>0</v>
      </c>
      <c r="EA72">
        <f t="shared" si="89"/>
        <v>0</v>
      </c>
      <c r="EB72">
        <f t="shared" si="89"/>
        <v>0</v>
      </c>
      <c r="EC72">
        <f t="shared" si="89"/>
        <v>0</v>
      </c>
      <c r="ED72">
        <f t="shared" si="89"/>
        <v>0</v>
      </c>
      <c r="EE72">
        <f t="shared" si="89"/>
        <v>0</v>
      </c>
      <c r="EF72">
        <f t="shared" si="89"/>
        <v>0</v>
      </c>
    </row>
    <row r="73" spans="1:136" ht="15.5">
      <c r="A73" s="90"/>
      <c r="B73" s="19" t="s">
        <v>208</v>
      </c>
      <c r="C73" s="94"/>
      <c r="D73" s="27">
        <v>0</v>
      </c>
      <c r="E73" s="27">
        <v>0</v>
      </c>
      <c r="F73" s="27">
        <v>0</v>
      </c>
      <c r="G73" s="27">
        <v>0</v>
      </c>
      <c r="H73" s="27">
        <v>0</v>
      </c>
      <c r="I73" s="27">
        <v>0</v>
      </c>
      <c r="J73" s="27">
        <v>0</v>
      </c>
      <c r="K73" s="27">
        <v>0</v>
      </c>
      <c r="L73" s="27">
        <v>0</v>
      </c>
      <c r="M73" s="27">
        <v>0</v>
      </c>
      <c r="N73" s="27">
        <v>0</v>
      </c>
      <c r="O73" s="27">
        <v>0</v>
      </c>
      <c r="P73" s="27">
        <v>0</v>
      </c>
      <c r="Q73" s="27">
        <v>0</v>
      </c>
      <c r="R73" s="27">
        <v>0</v>
      </c>
      <c r="S73" s="27">
        <v>0</v>
      </c>
      <c r="T73" s="27">
        <v>0</v>
      </c>
      <c r="U73" s="27">
        <v>0</v>
      </c>
      <c r="V73" s="27">
        <v>0</v>
      </c>
      <c r="W73" s="27">
        <v>0</v>
      </c>
      <c r="X73" s="27">
        <v>0</v>
      </c>
      <c r="Y73" s="27">
        <v>0</v>
      </c>
      <c r="Z73" s="27">
        <v>0</v>
      </c>
      <c r="AA73" s="27">
        <v>0</v>
      </c>
      <c r="AB73" s="27">
        <v>0</v>
      </c>
      <c r="AC73" s="27">
        <v>0</v>
      </c>
      <c r="AD73" s="27">
        <v>0</v>
      </c>
      <c r="AE73" s="27">
        <v>0</v>
      </c>
      <c r="AF73" s="27">
        <v>0</v>
      </c>
      <c r="AG73" s="27">
        <v>0</v>
      </c>
      <c r="AH73" s="42">
        <v>0</v>
      </c>
      <c r="AI73" s="42">
        <v>0</v>
      </c>
      <c r="AJ73" s="42">
        <v>4.0229999999999997</v>
      </c>
      <c r="AK73" s="42">
        <v>5.7930000000000001</v>
      </c>
      <c r="AL73" s="42">
        <v>27.347999999999999</v>
      </c>
      <c r="AM73" s="42">
        <v>244.262</v>
      </c>
      <c r="AN73" s="42">
        <v>19.183999999999997</v>
      </c>
      <c r="AO73" s="42">
        <v>18.628</v>
      </c>
      <c r="AP73" s="42">
        <v>18.660999999999998</v>
      </c>
      <c r="AQ73" s="42">
        <v>18.759999999999998</v>
      </c>
      <c r="AR73" s="42">
        <v>278.35500000000002</v>
      </c>
      <c r="AS73" s="42">
        <v>255.49900000000002</v>
      </c>
      <c r="AT73" s="42">
        <v>75.298000000000002</v>
      </c>
      <c r="AU73" s="42">
        <v>0.20799999999999999</v>
      </c>
      <c r="AV73" s="42">
        <v>3.8450000000000002</v>
      </c>
      <c r="AW73" s="42">
        <v>0</v>
      </c>
      <c r="AX73" s="34">
        <v>0.42099999999999999</v>
      </c>
      <c r="AY73" s="34">
        <v>0.433</v>
      </c>
      <c r="AZ73" s="34">
        <v>0.433</v>
      </c>
      <c r="BA73" s="34">
        <v>0.433</v>
      </c>
      <c r="BB73" s="34">
        <v>0</v>
      </c>
      <c r="BC73" s="34">
        <v>0</v>
      </c>
      <c r="BD73" s="18">
        <v>0</v>
      </c>
      <c r="BE73" s="18">
        <v>0</v>
      </c>
      <c r="BF73" s="18">
        <v>0</v>
      </c>
      <c r="BG73" s="18">
        <v>0</v>
      </c>
      <c r="BH73" s="18">
        <v>0</v>
      </c>
      <c r="BI73" s="18">
        <v>0</v>
      </c>
      <c r="BJ73" s="113">
        <v>0</v>
      </c>
      <c r="BK73" s="34">
        <v>0</v>
      </c>
      <c r="BL73" s="113">
        <v>0</v>
      </c>
      <c r="BM73" s="113">
        <v>0</v>
      </c>
      <c r="BN73" s="113">
        <v>0</v>
      </c>
      <c r="BO73" s="113">
        <v>0</v>
      </c>
      <c r="BP73" s="113">
        <v>0</v>
      </c>
      <c r="BQ73" s="71">
        <v>0</v>
      </c>
      <c r="BR73" s="101"/>
      <c r="BS73">
        <f t="shared" si="83"/>
        <v>0</v>
      </c>
      <c r="BT73">
        <f t="shared" si="83"/>
        <v>0</v>
      </c>
      <c r="BU73">
        <f t="shared" si="83"/>
        <v>0</v>
      </c>
      <c r="BV73">
        <f t="shared" si="83"/>
        <v>0</v>
      </c>
      <c r="BW73">
        <f t="shared" si="83"/>
        <v>0</v>
      </c>
      <c r="BX73">
        <f t="shared" si="83"/>
        <v>0</v>
      </c>
      <c r="BY73">
        <f t="shared" si="83"/>
        <v>0</v>
      </c>
      <c r="BZ73">
        <f t="shared" si="83"/>
        <v>0</v>
      </c>
      <c r="CA73">
        <f t="shared" si="83"/>
        <v>0</v>
      </c>
      <c r="CB73">
        <f t="shared" si="83"/>
        <v>0</v>
      </c>
      <c r="CC73">
        <f t="shared" si="84"/>
        <v>0</v>
      </c>
      <c r="CD73">
        <f t="shared" si="84"/>
        <v>0</v>
      </c>
      <c r="CE73">
        <f t="shared" si="84"/>
        <v>0</v>
      </c>
      <c r="CF73">
        <f t="shared" si="84"/>
        <v>0</v>
      </c>
      <c r="CG73">
        <f t="shared" si="84"/>
        <v>0</v>
      </c>
      <c r="CH73">
        <f t="shared" si="84"/>
        <v>0</v>
      </c>
      <c r="CI73">
        <f t="shared" si="84"/>
        <v>0</v>
      </c>
      <c r="CJ73">
        <f t="shared" si="84"/>
        <v>0</v>
      </c>
      <c r="CK73">
        <f t="shared" si="84"/>
        <v>0</v>
      </c>
      <c r="CL73">
        <f t="shared" si="84"/>
        <v>0</v>
      </c>
      <c r="CM73">
        <f t="shared" si="85"/>
        <v>0</v>
      </c>
      <c r="CN73">
        <f t="shared" si="85"/>
        <v>0</v>
      </c>
      <c r="CO73">
        <f t="shared" si="85"/>
        <v>0</v>
      </c>
      <c r="CP73">
        <f t="shared" si="85"/>
        <v>0</v>
      </c>
      <c r="CQ73">
        <f t="shared" si="85"/>
        <v>0</v>
      </c>
      <c r="CR73">
        <f t="shared" si="85"/>
        <v>0</v>
      </c>
      <c r="CS73">
        <f t="shared" si="85"/>
        <v>0</v>
      </c>
      <c r="CT73">
        <f t="shared" si="85"/>
        <v>0</v>
      </c>
      <c r="CU73">
        <f t="shared" si="85"/>
        <v>0</v>
      </c>
      <c r="CV73">
        <f t="shared" si="85"/>
        <v>0</v>
      </c>
      <c r="CW73">
        <f t="shared" si="86"/>
        <v>0</v>
      </c>
      <c r="CX73">
        <f t="shared" si="86"/>
        <v>0</v>
      </c>
      <c r="CY73">
        <f t="shared" si="86"/>
        <v>0</v>
      </c>
      <c r="CZ73">
        <f t="shared" si="86"/>
        <v>0</v>
      </c>
      <c r="DA73">
        <f t="shared" si="86"/>
        <v>0</v>
      </c>
      <c r="DB73">
        <f t="shared" si="86"/>
        <v>0</v>
      </c>
      <c r="DC73">
        <f t="shared" si="86"/>
        <v>0</v>
      </c>
      <c r="DD73">
        <f t="shared" si="86"/>
        <v>0</v>
      </c>
      <c r="DE73">
        <f t="shared" si="86"/>
        <v>0</v>
      </c>
      <c r="DF73">
        <f t="shared" si="86"/>
        <v>0</v>
      </c>
      <c r="DG73">
        <f t="shared" si="87"/>
        <v>0</v>
      </c>
      <c r="DH73">
        <f t="shared" si="87"/>
        <v>0</v>
      </c>
      <c r="DI73">
        <f t="shared" si="87"/>
        <v>0</v>
      </c>
      <c r="DJ73">
        <f t="shared" si="87"/>
        <v>0</v>
      </c>
      <c r="DK73">
        <f t="shared" si="87"/>
        <v>0</v>
      </c>
      <c r="DL73">
        <f t="shared" si="87"/>
        <v>0</v>
      </c>
      <c r="DM73">
        <f t="shared" si="87"/>
        <v>0</v>
      </c>
      <c r="DN73">
        <f t="shared" si="87"/>
        <v>0</v>
      </c>
      <c r="DO73">
        <f t="shared" si="87"/>
        <v>0</v>
      </c>
      <c r="DP73">
        <f t="shared" si="87"/>
        <v>0</v>
      </c>
      <c r="DQ73">
        <f t="shared" si="88"/>
        <v>0</v>
      </c>
      <c r="DR73">
        <f t="shared" si="88"/>
        <v>0</v>
      </c>
      <c r="DS73">
        <f t="shared" si="88"/>
        <v>0</v>
      </c>
      <c r="DT73">
        <f t="shared" si="88"/>
        <v>0</v>
      </c>
      <c r="DU73">
        <f t="shared" si="88"/>
        <v>0</v>
      </c>
      <c r="DV73">
        <f t="shared" si="88"/>
        <v>0</v>
      </c>
      <c r="DW73">
        <f t="shared" si="88"/>
        <v>0</v>
      </c>
      <c r="DX73">
        <f t="shared" si="88"/>
        <v>0</v>
      </c>
      <c r="DY73">
        <f t="shared" si="88"/>
        <v>0</v>
      </c>
      <c r="DZ73">
        <f t="shared" si="88"/>
        <v>0</v>
      </c>
      <c r="EA73">
        <f t="shared" si="89"/>
        <v>0</v>
      </c>
      <c r="EB73">
        <f t="shared" si="89"/>
        <v>0</v>
      </c>
      <c r="EC73">
        <f t="shared" si="89"/>
        <v>0</v>
      </c>
      <c r="ED73">
        <f t="shared" si="89"/>
        <v>0</v>
      </c>
      <c r="EE73">
        <f t="shared" si="89"/>
        <v>0</v>
      </c>
      <c r="EF73">
        <f t="shared" si="89"/>
        <v>0</v>
      </c>
    </row>
    <row r="74" spans="1:136" ht="15.5">
      <c r="A74" s="90"/>
      <c r="B74" s="19" t="s">
        <v>212</v>
      </c>
      <c r="C74" s="94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>
        <v>0</v>
      </c>
      <c r="Y74" s="27">
        <v>0</v>
      </c>
      <c r="Z74" s="27">
        <v>0</v>
      </c>
      <c r="AA74" s="27">
        <v>0</v>
      </c>
      <c r="AB74" s="27">
        <v>0</v>
      </c>
      <c r="AC74" s="27">
        <v>0</v>
      </c>
      <c r="AD74" s="27">
        <v>0</v>
      </c>
      <c r="AE74" s="27">
        <v>0</v>
      </c>
      <c r="AF74" s="27">
        <v>0</v>
      </c>
      <c r="AG74" s="27">
        <v>0</v>
      </c>
      <c r="AH74" s="25">
        <v>0</v>
      </c>
      <c r="AI74" s="55">
        <v>425</v>
      </c>
      <c r="AJ74" s="55">
        <v>442</v>
      </c>
      <c r="AK74" s="55">
        <v>457</v>
      </c>
      <c r="AL74" s="55">
        <v>484.5</v>
      </c>
      <c r="AM74" s="55">
        <v>501</v>
      </c>
      <c r="AN74" s="25">
        <v>0</v>
      </c>
      <c r="AO74" s="25">
        <v>0</v>
      </c>
      <c r="AP74" s="25">
        <v>0</v>
      </c>
      <c r="AQ74" s="25">
        <v>0</v>
      </c>
      <c r="AR74" s="25">
        <v>0</v>
      </c>
      <c r="AS74" s="18">
        <v>13.831578947368421</v>
      </c>
      <c r="AT74" s="18">
        <v>0</v>
      </c>
      <c r="AU74" s="18">
        <v>33.470057424118131</v>
      </c>
      <c r="AV74" s="18">
        <v>41.567398119122252</v>
      </c>
      <c r="AW74" s="18">
        <v>0</v>
      </c>
      <c r="AX74" s="18">
        <v>24.734628479871819</v>
      </c>
      <c r="AY74" s="18">
        <v>203.9031224979984</v>
      </c>
      <c r="AZ74" s="18">
        <v>399.74129353233832</v>
      </c>
      <c r="BA74" s="18">
        <v>643.49294655275185</v>
      </c>
      <c r="BB74" s="18">
        <v>825.27906976744191</v>
      </c>
      <c r="BC74" s="18">
        <v>1042.6165205353022</v>
      </c>
      <c r="BD74" s="18">
        <v>1148.3143865150921</v>
      </c>
      <c r="BE74" s="18">
        <v>1200.1913709116216</v>
      </c>
      <c r="BF74" s="18">
        <v>1192.7860262008733</v>
      </c>
      <c r="BG74" s="18">
        <v>1334.5701813297514</v>
      </c>
      <c r="BH74" s="18">
        <v>1322.9782739891371</v>
      </c>
      <c r="BI74" s="18">
        <v>1603.9412449098311</v>
      </c>
      <c r="BJ74" s="113">
        <v>1699.0951430472387</v>
      </c>
      <c r="BK74" s="113">
        <v>1843.5233824471493</v>
      </c>
      <c r="BL74" s="113">
        <v>2088.4299674267099</v>
      </c>
      <c r="BM74" s="113">
        <v>1544.9349397590361</v>
      </c>
      <c r="BN74" s="113">
        <v>1800.9775280898875</v>
      </c>
      <c r="BO74" s="113">
        <v>1900.2608180201541</v>
      </c>
      <c r="BP74" s="113">
        <v>1900.2608180201541</v>
      </c>
      <c r="BQ74" s="113">
        <v>1764</v>
      </c>
      <c r="BR74" s="101"/>
      <c r="BS74">
        <f t="shared" si="83"/>
        <v>0</v>
      </c>
      <c r="BT74">
        <f t="shared" si="83"/>
        <v>0</v>
      </c>
      <c r="BU74">
        <f t="shared" si="83"/>
        <v>0</v>
      </c>
      <c r="BV74">
        <f t="shared" si="83"/>
        <v>0</v>
      </c>
      <c r="BW74">
        <f t="shared" si="83"/>
        <v>0</v>
      </c>
      <c r="BX74">
        <f t="shared" si="83"/>
        <v>0</v>
      </c>
      <c r="BY74">
        <f t="shared" si="83"/>
        <v>0</v>
      </c>
      <c r="BZ74">
        <f t="shared" si="83"/>
        <v>0</v>
      </c>
      <c r="CA74">
        <f t="shared" si="83"/>
        <v>0</v>
      </c>
      <c r="CB74">
        <f t="shared" si="83"/>
        <v>0</v>
      </c>
      <c r="CC74">
        <f t="shared" si="84"/>
        <v>0</v>
      </c>
      <c r="CD74">
        <f t="shared" si="84"/>
        <v>0</v>
      </c>
      <c r="CE74">
        <f t="shared" si="84"/>
        <v>0</v>
      </c>
      <c r="CF74">
        <f t="shared" si="84"/>
        <v>0</v>
      </c>
      <c r="CG74">
        <f t="shared" si="84"/>
        <v>0</v>
      </c>
      <c r="CH74">
        <f t="shared" si="84"/>
        <v>0</v>
      </c>
      <c r="CI74">
        <f t="shared" si="84"/>
        <v>0</v>
      </c>
      <c r="CJ74">
        <f t="shared" si="84"/>
        <v>0</v>
      </c>
      <c r="CK74">
        <f t="shared" si="84"/>
        <v>0</v>
      </c>
      <c r="CL74">
        <f t="shared" si="84"/>
        <v>0</v>
      </c>
      <c r="CM74">
        <f t="shared" si="85"/>
        <v>0</v>
      </c>
      <c r="CN74">
        <f t="shared" si="85"/>
        <v>0</v>
      </c>
      <c r="CO74">
        <f t="shared" si="85"/>
        <v>0</v>
      </c>
      <c r="CP74">
        <f t="shared" si="85"/>
        <v>0</v>
      </c>
      <c r="CQ74">
        <f t="shared" si="85"/>
        <v>0</v>
      </c>
      <c r="CR74">
        <f t="shared" si="85"/>
        <v>0</v>
      </c>
      <c r="CS74">
        <f t="shared" si="85"/>
        <v>0</v>
      </c>
      <c r="CT74">
        <f t="shared" si="85"/>
        <v>0</v>
      </c>
      <c r="CU74">
        <f t="shared" si="85"/>
        <v>0</v>
      </c>
      <c r="CV74">
        <f t="shared" si="85"/>
        <v>0</v>
      </c>
      <c r="CW74">
        <f t="shared" si="86"/>
        <v>0</v>
      </c>
      <c r="CX74">
        <f t="shared" si="86"/>
        <v>0</v>
      </c>
      <c r="CY74">
        <f t="shared" si="86"/>
        <v>0</v>
      </c>
      <c r="CZ74">
        <f t="shared" si="86"/>
        <v>0</v>
      </c>
      <c r="DA74">
        <f t="shared" si="86"/>
        <v>0</v>
      </c>
      <c r="DB74">
        <f t="shared" si="86"/>
        <v>0</v>
      </c>
      <c r="DC74">
        <f t="shared" si="86"/>
        <v>0</v>
      </c>
      <c r="DD74">
        <f t="shared" si="86"/>
        <v>0</v>
      </c>
      <c r="DE74">
        <f t="shared" si="86"/>
        <v>0</v>
      </c>
      <c r="DF74">
        <f t="shared" si="86"/>
        <v>0</v>
      </c>
      <c r="DG74">
        <f t="shared" si="87"/>
        <v>0</v>
      </c>
      <c r="DH74">
        <f t="shared" si="87"/>
        <v>0</v>
      </c>
      <c r="DI74">
        <f t="shared" si="87"/>
        <v>0</v>
      </c>
      <c r="DJ74">
        <f t="shared" si="87"/>
        <v>0</v>
      </c>
      <c r="DK74">
        <f t="shared" si="87"/>
        <v>0</v>
      </c>
      <c r="DL74">
        <f t="shared" si="87"/>
        <v>0</v>
      </c>
      <c r="DM74">
        <f t="shared" si="87"/>
        <v>0</v>
      </c>
      <c r="DN74">
        <f t="shared" si="87"/>
        <v>0</v>
      </c>
      <c r="DO74">
        <f t="shared" si="87"/>
        <v>0</v>
      </c>
      <c r="DP74">
        <f t="shared" si="87"/>
        <v>0</v>
      </c>
      <c r="DQ74">
        <f t="shared" si="88"/>
        <v>0</v>
      </c>
      <c r="DR74">
        <f t="shared" si="88"/>
        <v>0</v>
      </c>
      <c r="DS74">
        <f t="shared" si="88"/>
        <v>0</v>
      </c>
      <c r="DT74">
        <f t="shared" si="88"/>
        <v>0</v>
      </c>
      <c r="DU74">
        <f t="shared" si="88"/>
        <v>0</v>
      </c>
      <c r="DV74">
        <f t="shared" si="88"/>
        <v>0</v>
      </c>
      <c r="DW74">
        <f t="shared" si="88"/>
        <v>0</v>
      </c>
      <c r="DX74">
        <f t="shared" si="88"/>
        <v>0</v>
      </c>
      <c r="DY74">
        <f t="shared" si="88"/>
        <v>0</v>
      </c>
      <c r="DZ74">
        <f t="shared" si="88"/>
        <v>0</v>
      </c>
      <c r="EA74">
        <f t="shared" si="89"/>
        <v>0</v>
      </c>
      <c r="EB74">
        <f t="shared" si="89"/>
        <v>0</v>
      </c>
      <c r="EC74">
        <f t="shared" si="89"/>
        <v>0</v>
      </c>
      <c r="ED74">
        <f t="shared" si="89"/>
        <v>0</v>
      </c>
      <c r="EE74">
        <f t="shared" si="89"/>
        <v>0</v>
      </c>
      <c r="EF74">
        <f t="shared" si="89"/>
        <v>0</v>
      </c>
    </row>
    <row r="75" spans="1:136" ht="15.5">
      <c r="A75" s="90"/>
      <c r="B75" s="19"/>
      <c r="C75" s="94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4"/>
      <c r="AI75" s="106"/>
      <c r="AJ75" s="106"/>
      <c r="AK75" s="106"/>
      <c r="AL75" s="106"/>
      <c r="AM75" s="106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18"/>
      <c r="BE75" s="18"/>
      <c r="BF75" s="18"/>
      <c r="BG75" s="18"/>
      <c r="BH75" s="18"/>
      <c r="BI75" s="18"/>
      <c r="BJ75" s="113"/>
      <c r="BK75" s="113"/>
      <c r="BL75" s="113"/>
      <c r="BM75" s="113"/>
      <c r="BN75" s="113"/>
      <c r="BO75" s="113"/>
      <c r="BP75" s="2"/>
      <c r="BQ75" s="2"/>
      <c r="BR75" s="101"/>
    </row>
    <row r="76" spans="1:136" ht="15.5">
      <c r="A76" s="93">
        <v>2</v>
      </c>
      <c r="B76" s="32" t="s">
        <v>17</v>
      </c>
      <c r="C76" s="94">
        <v>3</v>
      </c>
      <c r="D76" s="22">
        <f t="shared" ref="D76:AI76" si="90">SUM(D77:D81)</f>
        <v>0</v>
      </c>
      <c r="E76" s="22">
        <f t="shared" si="90"/>
        <v>0</v>
      </c>
      <c r="F76" s="22">
        <f t="shared" si="90"/>
        <v>0</v>
      </c>
      <c r="G76" s="22">
        <f t="shared" si="90"/>
        <v>0</v>
      </c>
      <c r="H76" s="22">
        <f t="shared" si="90"/>
        <v>0</v>
      </c>
      <c r="I76" s="22">
        <f t="shared" si="90"/>
        <v>0</v>
      </c>
      <c r="J76" s="22">
        <f t="shared" si="90"/>
        <v>0</v>
      </c>
      <c r="K76" s="22">
        <f t="shared" si="90"/>
        <v>0</v>
      </c>
      <c r="L76" s="22">
        <f t="shared" si="90"/>
        <v>0</v>
      </c>
      <c r="M76" s="22">
        <f t="shared" si="90"/>
        <v>0</v>
      </c>
      <c r="N76" s="22">
        <f t="shared" si="90"/>
        <v>0</v>
      </c>
      <c r="O76" s="22">
        <f t="shared" si="90"/>
        <v>0</v>
      </c>
      <c r="P76" s="22">
        <f t="shared" si="90"/>
        <v>0</v>
      </c>
      <c r="Q76" s="22">
        <f t="shared" si="90"/>
        <v>0</v>
      </c>
      <c r="R76" s="22">
        <f t="shared" si="90"/>
        <v>0</v>
      </c>
      <c r="S76" s="22">
        <f t="shared" si="90"/>
        <v>0</v>
      </c>
      <c r="T76" s="22">
        <f t="shared" si="90"/>
        <v>0</v>
      </c>
      <c r="U76" s="22">
        <f t="shared" si="90"/>
        <v>0</v>
      </c>
      <c r="V76" s="22">
        <f t="shared" si="90"/>
        <v>0</v>
      </c>
      <c r="W76" s="22">
        <f t="shared" si="90"/>
        <v>0</v>
      </c>
      <c r="X76" s="22">
        <f t="shared" si="90"/>
        <v>0</v>
      </c>
      <c r="Y76" s="22">
        <f t="shared" si="90"/>
        <v>0</v>
      </c>
      <c r="Z76" s="22">
        <f t="shared" si="90"/>
        <v>0</v>
      </c>
      <c r="AA76" s="22">
        <f t="shared" si="90"/>
        <v>0</v>
      </c>
      <c r="AB76" s="22">
        <f t="shared" si="90"/>
        <v>0</v>
      </c>
      <c r="AC76" s="22">
        <f t="shared" si="90"/>
        <v>0</v>
      </c>
      <c r="AD76" s="22">
        <f t="shared" si="90"/>
        <v>0</v>
      </c>
      <c r="AE76" s="22">
        <f t="shared" si="90"/>
        <v>0</v>
      </c>
      <c r="AF76" s="22">
        <f t="shared" si="90"/>
        <v>0</v>
      </c>
      <c r="AG76" s="22">
        <f t="shared" si="90"/>
        <v>0</v>
      </c>
      <c r="AH76" s="22">
        <f t="shared" si="90"/>
        <v>0.76400000000000001</v>
      </c>
      <c r="AI76" s="22">
        <f t="shared" si="90"/>
        <v>1266.744727</v>
      </c>
      <c r="AJ76" s="22">
        <f t="shared" ref="AJ76:BO76" si="91">SUM(AJ77:AJ81)</f>
        <v>1483.2603098999998</v>
      </c>
      <c r="AK76" s="22">
        <f t="shared" si="91"/>
        <v>982.67556330000002</v>
      </c>
      <c r="AL76" s="22">
        <f t="shared" si="91"/>
        <v>627.29909099999998</v>
      </c>
      <c r="AM76" s="22">
        <f t="shared" si="91"/>
        <v>3374.6613992000002</v>
      </c>
      <c r="AN76" s="22">
        <f t="shared" si="91"/>
        <v>34.958079599999998</v>
      </c>
      <c r="AO76" s="22">
        <f t="shared" si="91"/>
        <v>37.222414800000003</v>
      </c>
      <c r="AP76" s="22">
        <f t="shared" si="91"/>
        <v>97.864000000000004</v>
      </c>
      <c r="AQ76" s="22">
        <f t="shared" si="91"/>
        <v>37.3537398</v>
      </c>
      <c r="AR76" s="22">
        <f t="shared" si="91"/>
        <v>107.7722548</v>
      </c>
      <c r="AS76" s="22">
        <f t="shared" si="91"/>
        <v>274.09285950000003</v>
      </c>
      <c r="AT76" s="22">
        <f t="shared" si="91"/>
        <v>272.43533280000003</v>
      </c>
      <c r="AU76" s="22">
        <f t="shared" si="91"/>
        <v>44.208035800000005</v>
      </c>
      <c r="AV76" s="22">
        <f t="shared" si="91"/>
        <v>17</v>
      </c>
      <c r="AW76" s="22">
        <f t="shared" si="91"/>
        <v>17</v>
      </c>
      <c r="AX76" s="22">
        <f t="shared" si="91"/>
        <v>18.8771944</v>
      </c>
      <c r="AY76" s="22">
        <f t="shared" si="91"/>
        <v>18.059698900000001</v>
      </c>
      <c r="AZ76" s="22">
        <f t="shared" si="91"/>
        <v>8.7009488999999984</v>
      </c>
      <c r="BA76" s="22">
        <f t="shared" si="91"/>
        <v>0.3054115</v>
      </c>
      <c r="BB76" s="22">
        <f t="shared" si="91"/>
        <v>0</v>
      </c>
      <c r="BC76" s="22">
        <f t="shared" si="91"/>
        <v>0</v>
      </c>
      <c r="BD76" s="22">
        <f t="shared" si="91"/>
        <v>0</v>
      </c>
      <c r="BE76" s="22">
        <f t="shared" si="91"/>
        <v>1.232</v>
      </c>
      <c r="BF76" s="22">
        <f t="shared" si="91"/>
        <v>0</v>
      </c>
      <c r="BG76" s="22">
        <f t="shared" si="91"/>
        <v>0</v>
      </c>
      <c r="BH76" s="22">
        <f t="shared" si="91"/>
        <v>0</v>
      </c>
      <c r="BI76" s="22">
        <f t="shared" si="91"/>
        <v>0.6</v>
      </c>
      <c r="BJ76" s="22">
        <f t="shared" si="91"/>
        <v>0</v>
      </c>
      <c r="BK76" s="22">
        <f t="shared" si="91"/>
        <v>5.4861899999999998E-2</v>
      </c>
      <c r="BL76" s="22">
        <f t="shared" si="91"/>
        <v>0</v>
      </c>
      <c r="BM76" s="22">
        <f t="shared" si="91"/>
        <v>0</v>
      </c>
      <c r="BN76" s="22">
        <f t="shared" si="91"/>
        <v>0</v>
      </c>
      <c r="BO76" s="22">
        <f t="shared" si="91"/>
        <v>0</v>
      </c>
      <c r="BP76" s="22">
        <f>SUM(BP77:BP81)</f>
        <v>0</v>
      </c>
      <c r="BQ76" s="22">
        <f>SUM(BQ77:BQ81)</f>
        <v>0</v>
      </c>
      <c r="BR76" s="101"/>
      <c r="BS76">
        <f t="shared" ref="BS76:CB82" si="92">IF($C76&lt;&gt;"",IF(D76&gt;0,1,0),0)</f>
        <v>0</v>
      </c>
      <c r="BT76">
        <f t="shared" si="92"/>
        <v>0</v>
      </c>
      <c r="BU76">
        <f t="shared" si="92"/>
        <v>0</v>
      </c>
      <c r="BV76">
        <f t="shared" si="92"/>
        <v>0</v>
      </c>
      <c r="BW76">
        <f t="shared" si="92"/>
        <v>0</v>
      </c>
      <c r="BX76">
        <f t="shared" si="92"/>
        <v>0</v>
      </c>
      <c r="BY76">
        <f t="shared" si="92"/>
        <v>0</v>
      </c>
      <c r="BZ76">
        <f t="shared" si="92"/>
        <v>0</v>
      </c>
      <c r="CA76">
        <f t="shared" si="92"/>
        <v>0</v>
      </c>
      <c r="CB76">
        <f t="shared" si="92"/>
        <v>0</v>
      </c>
      <c r="CC76">
        <f t="shared" ref="CC76:CL82" si="93">IF($C76&lt;&gt;"",IF(N76&gt;0,1,0),0)</f>
        <v>0</v>
      </c>
      <c r="CD76">
        <f t="shared" si="93"/>
        <v>0</v>
      </c>
      <c r="CE76">
        <f t="shared" si="93"/>
        <v>0</v>
      </c>
      <c r="CF76">
        <f t="shared" si="93"/>
        <v>0</v>
      </c>
      <c r="CG76">
        <f t="shared" si="93"/>
        <v>0</v>
      </c>
      <c r="CH76">
        <f t="shared" si="93"/>
        <v>0</v>
      </c>
      <c r="CI76">
        <f t="shared" si="93"/>
        <v>0</v>
      </c>
      <c r="CJ76">
        <f t="shared" si="93"/>
        <v>0</v>
      </c>
      <c r="CK76">
        <f t="shared" si="93"/>
        <v>0</v>
      </c>
      <c r="CL76">
        <f t="shared" si="93"/>
        <v>0</v>
      </c>
      <c r="CM76">
        <f t="shared" ref="CM76:CV82" si="94">IF($C76&lt;&gt;"",IF(X76&gt;0,1,0),0)</f>
        <v>0</v>
      </c>
      <c r="CN76">
        <f t="shared" si="94"/>
        <v>0</v>
      </c>
      <c r="CO76">
        <f t="shared" si="94"/>
        <v>0</v>
      </c>
      <c r="CP76">
        <f t="shared" si="94"/>
        <v>0</v>
      </c>
      <c r="CQ76">
        <f t="shared" si="94"/>
        <v>0</v>
      </c>
      <c r="CR76">
        <f t="shared" si="94"/>
        <v>0</v>
      </c>
      <c r="CS76">
        <f t="shared" si="94"/>
        <v>0</v>
      </c>
      <c r="CT76">
        <f t="shared" si="94"/>
        <v>0</v>
      </c>
      <c r="CU76">
        <f t="shared" si="94"/>
        <v>0</v>
      </c>
      <c r="CV76">
        <f t="shared" si="94"/>
        <v>0</v>
      </c>
      <c r="CW76">
        <f t="shared" ref="CW76:DF82" si="95">IF($C76&lt;&gt;"",IF(AH76&gt;0,1,0),0)</f>
        <v>1</v>
      </c>
      <c r="CX76">
        <f t="shared" si="95"/>
        <v>1</v>
      </c>
      <c r="CY76">
        <f t="shared" si="95"/>
        <v>1</v>
      </c>
      <c r="CZ76">
        <f t="shared" si="95"/>
        <v>1</v>
      </c>
      <c r="DA76">
        <f t="shared" si="95"/>
        <v>1</v>
      </c>
      <c r="DB76">
        <f t="shared" si="95"/>
        <v>1</v>
      </c>
      <c r="DC76">
        <f t="shared" si="95"/>
        <v>1</v>
      </c>
      <c r="DD76">
        <f t="shared" si="95"/>
        <v>1</v>
      </c>
      <c r="DE76">
        <f t="shared" si="95"/>
        <v>1</v>
      </c>
      <c r="DF76">
        <f t="shared" si="95"/>
        <v>1</v>
      </c>
      <c r="DG76">
        <f t="shared" ref="DG76:DP82" si="96">IF($C76&lt;&gt;"",IF(AR76&gt;0,1,0),0)</f>
        <v>1</v>
      </c>
      <c r="DH76">
        <f t="shared" si="96"/>
        <v>1</v>
      </c>
      <c r="DI76">
        <f t="shared" si="96"/>
        <v>1</v>
      </c>
      <c r="DJ76">
        <f t="shared" si="96"/>
        <v>1</v>
      </c>
      <c r="DK76">
        <f t="shared" si="96"/>
        <v>1</v>
      </c>
      <c r="DL76">
        <f t="shared" si="96"/>
        <v>1</v>
      </c>
      <c r="DM76">
        <f t="shared" si="96"/>
        <v>1</v>
      </c>
      <c r="DN76">
        <f t="shared" si="96"/>
        <v>1</v>
      </c>
      <c r="DO76">
        <f t="shared" si="96"/>
        <v>1</v>
      </c>
      <c r="DP76">
        <f t="shared" si="96"/>
        <v>1</v>
      </c>
      <c r="DQ76">
        <f t="shared" ref="DQ76:DZ82" si="97">IF($C76&lt;&gt;"",IF(BB76&gt;0,1,0),0)</f>
        <v>0</v>
      </c>
      <c r="DR76">
        <f t="shared" si="97"/>
        <v>0</v>
      </c>
      <c r="DS76">
        <f t="shared" si="97"/>
        <v>0</v>
      </c>
      <c r="DT76">
        <f t="shared" si="97"/>
        <v>1</v>
      </c>
      <c r="DU76">
        <f t="shared" si="97"/>
        <v>0</v>
      </c>
      <c r="DV76">
        <f t="shared" si="97"/>
        <v>0</v>
      </c>
      <c r="DW76">
        <f t="shared" si="97"/>
        <v>0</v>
      </c>
      <c r="DX76">
        <f t="shared" si="97"/>
        <v>1</v>
      </c>
      <c r="DY76">
        <f t="shared" si="97"/>
        <v>0</v>
      </c>
      <c r="DZ76">
        <f t="shared" si="97"/>
        <v>1</v>
      </c>
      <c r="EA76">
        <f t="shared" ref="EA76:EF82" si="98">IF($C76&lt;&gt;"",IF(BL76&gt;0,1,0),0)</f>
        <v>0</v>
      </c>
      <c r="EB76">
        <f t="shared" si="98"/>
        <v>0</v>
      </c>
      <c r="EC76">
        <f t="shared" si="98"/>
        <v>0</v>
      </c>
      <c r="ED76">
        <f t="shared" si="98"/>
        <v>0</v>
      </c>
      <c r="EE76">
        <f t="shared" si="98"/>
        <v>0</v>
      </c>
      <c r="EF76">
        <f t="shared" si="98"/>
        <v>0</v>
      </c>
    </row>
    <row r="77" spans="1:136" ht="15.5">
      <c r="A77" s="90"/>
      <c r="B77" s="19" t="s">
        <v>2</v>
      </c>
      <c r="C77" s="94"/>
      <c r="D77" s="34">
        <v>0</v>
      </c>
      <c r="E77" s="34">
        <v>0</v>
      </c>
      <c r="F77" s="34">
        <v>0</v>
      </c>
      <c r="G77" s="34">
        <v>0</v>
      </c>
      <c r="H77" s="34">
        <v>0</v>
      </c>
      <c r="I77" s="34">
        <v>0</v>
      </c>
      <c r="J77" s="34">
        <v>0</v>
      </c>
      <c r="K77" s="34">
        <v>0</v>
      </c>
      <c r="L77" s="34">
        <v>0</v>
      </c>
      <c r="M77" s="34">
        <v>0</v>
      </c>
      <c r="N77" s="34">
        <v>0</v>
      </c>
      <c r="O77" s="34">
        <v>0</v>
      </c>
      <c r="P77" s="34">
        <v>0</v>
      </c>
      <c r="Q77" s="34">
        <v>0</v>
      </c>
      <c r="R77" s="34">
        <v>0</v>
      </c>
      <c r="S77" s="34">
        <v>0</v>
      </c>
      <c r="T77" s="35">
        <v>0</v>
      </c>
      <c r="U77" s="35">
        <v>0</v>
      </c>
      <c r="V77" s="35">
        <v>0</v>
      </c>
      <c r="W77" s="35">
        <v>0</v>
      </c>
      <c r="X77" s="35">
        <v>0</v>
      </c>
      <c r="Y77" s="35">
        <v>0</v>
      </c>
      <c r="Z77" s="35">
        <v>0</v>
      </c>
      <c r="AA77" s="35">
        <v>0</v>
      </c>
      <c r="AB77" s="35">
        <v>0</v>
      </c>
      <c r="AC77" s="35">
        <v>0</v>
      </c>
      <c r="AD77" s="35">
        <v>0</v>
      </c>
      <c r="AE77" s="35">
        <v>0</v>
      </c>
      <c r="AF77" s="35">
        <v>0</v>
      </c>
      <c r="AG77" s="35">
        <v>0</v>
      </c>
      <c r="AH77" s="35">
        <v>0</v>
      </c>
      <c r="AI77" s="35">
        <v>0</v>
      </c>
      <c r="AJ77" s="35">
        <v>0</v>
      </c>
      <c r="AK77" s="34">
        <v>27</v>
      </c>
      <c r="AL77" s="35">
        <v>0</v>
      </c>
      <c r="AM77" s="35">
        <v>0</v>
      </c>
      <c r="AN77" s="35">
        <v>0</v>
      </c>
      <c r="AO77" s="35">
        <v>0</v>
      </c>
      <c r="AP77" s="34">
        <v>75</v>
      </c>
      <c r="AQ77" s="35">
        <v>0</v>
      </c>
      <c r="AR77" s="34">
        <v>0</v>
      </c>
      <c r="AS77" s="35">
        <v>0</v>
      </c>
      <c r="AT77" s="35">
        <v>0</v>
      </c>
      <c r="AU77" s="35">
        <v>27</v>
      </c>
      <c r="AV77" s="35">
        <v>0</v>
      </c>
      <c r="AW77" s="35">
        <v>0</v>
      </c>
      <c r="AX77" s="35">
        <v>0</v>
      </c>
      <c r="AY77" s="35">
        <v>0</v>
      </c>
      <c r="AZ77" s="35">
        <v>0</v>
      </c>
      <c r="BA77" s="35">
        <v>0</v>
      </c>
      <c r="BB77" s="35">
        <v>0</v>
      </c>
      <c r="BC77" s="35">
        <v>0</v>
      </c>
      <c r="BD77" s="211">
        <v>0</v>
      </c>
      <c r="BE77" s="60">
        <v>0</v>
      </c>
      <c r="BF77" s="60">
        <v>0</v>
      </c>
      <c r="BG77" s="60">
        <v>0</v>
      </c>
      <c r="BH77" s="60">
        <v>0</v>
      </c>
      <c r="BI77" s="60">
        <v>0</v>
      </c>
      <c r="BJ77" s="18">
        <v>0</v>
      </c>
      <c r="BK77" s="18">
        <v>0</v>
      </c>
      <c r="BL77" s="18">
        <v>0</v>
      </c>
      <c r="BM77" s="18">
        <v>0</v>
      </c>
      <c r="BN77" s="18">
        <v>0</v>
      </c>
      <c r="BO77" s="18">
        <v>0</v>
      </c>
      <c r="BP77" s="18">
        <v>0</v>
      </c>
      <c r="BQ77" s="18">
        <v>0</v>
      </c>
      <c r="BR77" s="101"/>
      <c r="BS77">
        <f t="shared" si="92"/>
        <v>0</v>
      </c>
      <c r="BT77">
        <f t="shared" si="92"/>
        <v>0</v>
      </c>
      <c r="BU77">
        <f t="shared" si="92"/>
        <v>0</v>
      </c>
      <c r="BV77">
        <f t="shared" si="92"/>
        <v>0</v>
      </c>
      <c r="BW77">
        <f t="shared" si="92"/>
        <v>0</v>
      </c>
      <c r="BX77">
        <f t="shared" si="92"/>
        <v>0</v>
      </c>
      <c r="BY77">
        <f t="shared" si="92"/>
        <v>0</v>
      </c>
      <c r="BZ77">
        <f t="shared" si="92"/>
        <v>0</v>
      </c>
      <c r="CA77">
        <f t="shared" si="92"/>
        <v>0</v>
      </c>
      <c r="CB77">
        <f t="shared" si="92"/>
        <v>0</v>
      </c>
      <c r="CC77">
        <f t="shared" si="93"/>
        <v>0</v>
      </c>
      <c r="CD77">
        <f t="shared" si="93"/>
        <v>0</v>
      </c>
      <c r="CE77">
        <f t="shared" si="93"/>
        <v>0</v>
      </c>
      <c r="CF77">
        <f t="shared" si="93"/>
        <v>0</v>
      </c>
      <c r="CG77">
        <f t="shared" si="93"/>
        <v>0</v>
      </c>
      <c r="CH77">
        <f t="shared" si="93"/>
        <v>0</v>
      </c>
      <c r="CI77">
        <f t="shared" si="93"/>
        <v>0</v>
      </c>
      <c r="CJ77">
        <f t="shared" si="93"/>
        <v>0</v>
      </c>
      <c r="CK77">
        <f t="shared" si="93"/>
        <v>0</v>
      </c>
      <c r="CL77">
        <f t="shared" si="93"/>
        <v>0</v>
      </c>
      <c r="CM77">
        <f t="shared" si="94"/>
        <v>0</v>
      </c>
      <c r="CN77">
        <f t="shared" si="94"/>
        <v>0</v>
      </c>
      <c r="CO77">
        <f t="shared" si="94"/>
        <v>0</v>
      </c>
      <c r="CP77">
        <f t="shared" si="94"/>
        <v>0</v>
      </c>
      <c r="CQ77">
        <f t="shared" si="94"/>
        <v>0</v>
      </c>
      <c r="CR77">
        <f t="shared" si="94"/>
        <v>0</v>
      </c>
      <c r="CS77">
        <f t="shared" si="94"/>
        <v>0</v>
      </c>
      <c r="CT77">
        <f t="shared" si="94"/>
        <v>0</v>
      </c>
      <c r="CU77">
        <f t="shared" si="94"/>
        <v>0</v>
      </c>
      <c r="CV77">
        <f t="shared" si="94"/>
        <v>0</v>
      </c>
      <c r="CW77">
        <f t="shared" si="95"/>
        <v>0</v>
      </c>
      <c r="CX77">
        <f t="shared" si="95"/>
        <v>0</v>
      </c>
      <c r="CY77">
        <f t="shared" si="95"/>
        <v>0</v>
      </c>
      <c r="CZ77">
        <f t="shared" si="95"/>
        <v>0</v>
      </c>
      <c r="DA77">
        <f t="shared" si="95"/>
        <v>0</v>
      </c>
      <c r="DB77">
        <f t="shared" si="95"/>
        <v>0</v>
      </c>
      <c r="DC77">
        <f t="shared" si="95"/>
        <v>0</v>
      </c>
      <c r="DD77">
        <f t="shared" si="95"/>
        <v>0</v>
      </c>
      <c r="DE77">
        <f t="shared" si="95"/>
        <v>0</v>
      </c>
      <c r="DF77">
        <f t="shared" si="95"/>
        <v>0</v>
      </c>
      <c r="DG77">
        <f t="shared" si="96"/>
        <v>0</v>
      </c>
      <c r="DH77">
        <f t="shared" si="96"/>
        <v>0</v>
      </c>
      <c r="DI77">
        <f t="shared" si="96"/>
        <v>0</v>
      </c>
      <c r="DJ77">
        <f t="shared" si="96"/>
        <v>0</v>
      </c>
      <c r="DK77">
        <f t="shared" si="96"/>
        <v>0</v>
      </c>
      <c r="DL77">
        <f t="shared" si="96"/>
        <v>0</v>
      </c>
      <c r="DM77">
        <f t="shared" si="96"/>
        <v>0</v>
      </c>
      <c r="DN77">
        <f t="shared" si="96"/>
        <v>0</v>
      </c>
      <c r="DO77">
        <f t="shared" si="96"/>
        <v>0</v>
      </c>
      <c r="DP77">
        <f t="shared" si="96"/>
        <v>0</v>
      </c>
      <c r="DQ77">
        <f t="shared" si="97"/>
        <v>0</v>
      </c>
      <c r="DR77">
        <f t="shared" si="97"/>
        <v>0</v>
      </c>
      <c r="DS77">
        <f t="shared" si="97"/>
        <v>0</v>
      </c>
      <c r="DT77">
        <f t="shared" si="97"/>
        <v>0</v>
      </c>
      <c r="DU77">
        <f t="shared" si="97"/>
        <v>0</v>
      </c>
      <c r="DV77">
        <f t="shared" si="97"/>
        <v>0</v>
      </c>
      <c r="DW77">
        <f t="shared" si="97"/>
        <v>0</v>
      </c>
      <c r="DX77">
        <f t="shared" si="97"/>
        <v>0</v>
      </c>
      <c r="DY77">
        <f t="shared" si="97"/>
        <v>0</v>
      </c>
      <c r="DZ77">
        <f t="shared" si="97"/>
        <v>0</v>
      </c>
      <c r="EA77">
        <f t="shared" si="98"/>
        <v>0</v>
      </c>
      <c r="EB77">
        <f t="shared" si="98"/>
        <v>0</v>
      </c>
      <c r="EC77">
        <f t="shared" si="98"/>
        <v>0</v>
      </c>
      <c r="ED77">
        <f t="shared" si="98"/>
        <v>0</v>
      </c>
      <c r="EE77">
        <f t="shared" si="98"/>
        <v>0</v>
      </c>
      <c r="EF77">
        <f t="shared" si="98"/>
        <v>0</v>
      </c>
    </row>
    <row r="78" spans="1:136" ht="15.5">
      <c r="A78" s="90"/>
      <c r="B78" s="19" t="s">
        <v>205</v>
      </c>
      <c r="C78" s="9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4"/>
      <c r="AL78" s="35">
        <v>4.2699999999999996</v>
      </c>
      <c r="AM78" s="35">
        <v>4.2699999999999996</v>
      </c>
      <c r="AN78" s="35">
        <v>4.2699999999999996</v>
      </c>
      <c r="AO78" s="35">
        <v>4.2699999999999996</v>
      </c>
      <c r="AP78" s="35">
        <v>4.2699999999999996</v>
      </c>
      <c r="AQ78" s="35">
        <v>4.2699999999999996</v>
      </c>
      <c r="AR78" s="35">
        <v>4.2699999999999996</v>
      </c>
      <c r="AS78" s="35">
        <v>40</v>
      </c>
      <c r="AT78" s="35">
        <v>0</v>
      </c>
      <c r="AU78" s="35">
        <v>0</v>
      </c>
      <c r="AV78" s="35">
        <v>0</v>
      </c>
      <c r="AW78" s="35">
        <v>0</v>
      </c>
      <c r="AX78" s="35">
        <v>0</v>
      </c>
      <c r="AY78" s="35">
        <v>0</v>
      </c>
      <c r="AZ78" s="35">
        <v>0</v>
      </c>
      <c r="BA78" s="35">
        <v>0</v>
      </c>
      <c r="BB78" s="35">
        <v>0</v>
      </c>
      <c r="BC78" s="35">
        <v>0</v>
      </c>
      <c r="BD78" s="211">
        <v>0</v>
      </c>
      <c r="BE78" s="61">
        <v>0</v>
      </c>
      <c r="BF78" s="60">
        <v>0</v>
      </c>
      <c r="BG78" s="60">
        <v>0</v>
      </c>
      <c r="BH78" s="60">
        <v>0</v>
      </c>
      <c r="BI78" s="60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01"/>
      <c r="BS78">
        <f t="shared" si="92"/>
        <v>0</v>
      </c>
      <c r="BT78">
        <f t="shared" si="92"/>
        <v>0</v>
      </c>
      <c r="BU78">
        <f t="shared" si="92"/>
        <v>0</v>
      </c>
      <c r="BV78">
        <f t="shared" si="92"/>
        <v>0</v>
      </c>
      <c r="BW78">
        <f t="shared" si="92"/>
        <v>0</v>
      </c>
      <c r="BX78">
        <f t="shared" si="92"/>
        <v>0</v>
      </c>
      <c r="BY78">
        <f t="shared" si="92"/>
        <v>0</v>
      </c>
      <c r="BZ78">
        <f t="shared" si="92"/>
        <v>0</v>
      </c>
      <c r="CA78">
        <f t="shared" si="92"/>
        <v>0</v>
      </c>
      <c r="CB78">
        <f t="shared" si="92"/>
        <v>0</v>
      </c>
      <c r="CC78">
        <f t="shared" si="93"/>
        <v>0</v>
      </c>
      <c r="CD78">
        <f t="shared" si="93"/>
        <v>0</v>
      </c>
      <c r="CE78">
        <f t="shared" si="93"/>
        <v>0</v>
      </c>
      <c r="CF78">
        <f t="shared" si="93"/>
        <v>0</v>
      </c>
      <c r="CG78">
        <f t="shared" si="93"/>
        <v>0</v>
      </c>
      <c r="CH78">
        <f t="shared" si="93"/>
        <v>0</v>
      </c>
      <c r="CI78">
        <f t="shared" si="93"/>
        <v>0</v>
      </c>
      <c r="CJ78">
        <f t="shared" si="93"/>
        <v>0</v>
      </c>
      <c r="CK78">
        <f t="shared" si="93"/>
        <v>0</v>
      </c>
      <c r="CL78">
        <f t="shared" si="93"/>
        <v>0</v>
      </c>
      <c r="CM78">
        <f t="shared" si="94"/>
        <v>0</v>
      </c>
      <c r="CN78">
        <f t="shared" si="94"/>
        <v>0</v>
      </c>
      <c r="CO78">
        <f t="shared" si="94"/>
        <v>0</v>
      </c>
      <c r="CP78">
        <f t="shared" si="94"/>
        <v>0</v>
      </c>
      <c r="CQ78">
        <f t="shared" si="94"/>
        <v>0</v>
      </c>
      <c r="CR78">
        <f t="shared" si="94"/>
        <v>0</v>
      </c>
      <c r="CS78">
        <f t="shared" si="94"/>
        <v>0</v>
      </c>
      <c r="CT78">
        <f t="shared" si="94"/>
        <v>0</v>
      </c>
      <c r="CU78">
        <f t="shared" si="94"/>
        <v>0</v>
      </c>
      <c r="CV78">
        <f t="shared" si="94"/>
        <v>0</v>
      </c>
      <c r="CW78">
        <f t="shared" si="95"/>
        <v>0</v>
      </c>
      <c r="CX78">
        <f t="shared" si="95"/>
        <v>0</v>
      </c>
      <c r="CY78">
        <f t="shared" si="95"/>
        <v>0</v>
      </c>
      <c r="CZ78">
        <f t="shared" si="95"/>
        <v>0</v>
      </c>
      <c r="DA78">
        <f t="shared" si="95"/>
        <v>0</v>
      </c>
      <c r="DB78">
        <f t="shared" si="95"/>
        <v>0</v>
      </c>
      <c r="DC78">
        <f t="shared" si="95"/>
        <v>0</v>
      </c>
      <c r="DD78">
        <f t="shared" si="95"/>
        <v>0</v>
      </c>
      <c r="DE78">
        <f t="shared" si="95"/>
        <v>0</v>
      </c>
      <c r="DF78">
        <f t="shared" si="95"/>
        <v>0</v>
      </c>
      <c r="DG78">
        <f t="shared" si="96"/>
        <v>0</v>
      </c>
      <c r="DH78">
        <f t="shared" si="96"/>
        <v>0</v>
      </c>
      <c r="DI78">
        <f t="shared" si="96"/>
        <v>0</v>
      </c>
      <c r="DJ78">
        <f t="shared" si="96"/>
        <v>0</v>
      </c>
      <c r="DK78">
        <f t="shared" si="96"/>
        <v>0</v>
      </c>
      <c r="DL78">
        <f t="shared" si="96"/>
        <v>0</v>
      </c>
      <c r="DM78">
        <f t="shared" si="96"/>
        <v>0</v>
      </c>
      <c r="DN78">
        <f t="shared" si="96"/>
        <v>0</v>
      </c>
      <c r="DO78">
        <f t="shared" si="96"/>
        <v>0</v>
      </c>
      <c r="DP78">
        <f t="shared" si="96"/>
        <v>0</v>
      </c>
      <c r="DQ78">
        <f t="shared" si="97"/>
        <v>0</v>
      </c>
      <c r="DR78">
        <f t="shared" si="97"/>
        <v>0</v>
      </c>
      <c r="DS78">
        <f t="shared" si="97"/>
        <v>0</v>
      </c>
      <c r="DT78">
        <f t="shared" si="97"/>
        <v>0</v>
      </c>
      <c r="DU78">
        <f t="shared" si="97"/>
        <v>0</v>
      </c>
      <c r="DV78">
        <f t="shared" si="97"/>
        <v>0</v>
      </c>
      <c r="DW78">
        <f t="shared" si="97"/>
        <v>0</v>
      </c>
      <c r="DX78">
        <f t="shared" si="97"/>
        <v>0</v>
      </c>
      <c r="DY78">
        <f t="shared" si="97"/>
        <v>0</v>
      </c>
      <c r="DZ78">
        <f t="shared" si="97"/>
        <v>0</v>
      </c>
      <c r="EA78">
        <f t="shared" si="98"/>
        <v>0</v>
      </c>
      <c r="EB78">
        <f t="shared" si="98"/>
        <v>0</v>
      </c>
      <c r="EC78">
        <f t="shared" si="98"/>
        <v>0</v>
      </c>
      <c r="ED78">
        <f t="shared" si="98"/>
        <v>0</v>
      </c>
      <c r="EE78">
        <f t="shared" si="98"/>
        <v>0</v>
      </c>
      <c r="EF78">
        <f t="shared" si="98"/>
        <v>0</v>
      </c>
    </row>
    <row r="79" spans="1:136" ht="15.5">
      <c r="A79" s="90"/>
      <c r="B79" s="19" t="s">
        <v>3</v>
      </c>
      <c r="C79" s="9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>
        <v>0</v>
      </c>
      <c r="O79" s="34">
        <v>0</v>
      </c>
      <c r="P79" s="34">
        <v>0</v>
      </c>
      <c r="Q79" s="34">
        <v>0</v>
      </c>
      <c r="R79" s="34">
        <v>0</v>
      </c>
      <c r="S79" s="34">
        <v>0</v>
      </c>
      <c r="T79" s="34">
        <v>0</v>
      </c>
      <c r="U79" s="34">
        <v>0</v>
      </c>
      <c r="V79" s="34">
        <v>0</v>
      </c>
      <c r="W79" s="34">
        <v>0</v>
      </c>
      <c r="X79" s="34">
        <v>0</v>
      </c>
      <c r="Y79" s="34">
        <v>0</v>
      </c>
      <c r="Z79" s="34">
        <v>0</v>
      </c>
      <c r="AA79" s="34">
        <v>0</v>
      </c>
      <c r="AB79" s="34">
        <v>0</v>
      </c>
      <c r="AC79" s="34">
        <v>0</v>
      </c>
      <c r="AD79" s="34">
        <v>0</v>
      </c>
      <c r="AE79" s="34">
        <v>0</v>
      </c>
      <c r="AF79" s="34">
        <v>0</v>
      </c>
      <c r="AG79" s="34">
        <v>0</v>
      </c>
      <c r="AH79" s="34">
        <v>0.44500000000000001</v>
      </c>
      <c r="AI79" s="34">
        <v>0</v>
      </c>
      <c r="AJ79" s="34">
        <v>4.0229999999999997</v>
      </c>
      <c r="AK79" s="34">
        <v>5.8140579000000008</v>
      </c>
      <c r="AL79" s="18">
        <f>18.984339-AL78</f>
        <v>14.714338999999999</v>
      </c>
      <c r="AM79" s="18">
        <f>165.3013992-AM78</f>
        <v>161.03139919999998</v>
      </c>
      <c r="AN79" s="34">
        <f>19.1840796-AN78</f>
        <v>14.914079600000001</v>
      </c>
      <c r="AO79" s="34">
        <f>18.6284148-AO78</f>
        <v>14.358414800000002</v>
      </c>
      <c r="AP79" s="131" t="s">
        <v>253</v>
      </c>
      <c r="AQ79" s="34">
        <f>18.7597398-AQ78</f>
        <v>14.489739799999999</v>
      </c>
      <c r="AR79" s="34">
        <f>89-AR78</f>
        <v>84.73</v>
      </c>
      <c r="AS79" s="34">
        <f>255.4988595-AS78</f>
        <v>215.49885950000001</v>
      </c>
      <c r="AT79" s="34">
        <v>255.43533280000003</v>
      </c>
      <c r="AU79" s="103">
        <v>0.20803579999999999</v>
      </c>
      <c r="AV79" s="34">
        <v>0</v>
      </c>
      <c r="AW79" s="34">
        <v>0</v>
      </c>
      <c r="AX79" s="34">
        <v>1.8771943999999998</v>
      </c>
      <c r="AY79" s="34">
        <v>1.0596989000000001</v>
      </c>
      <c r="AZ79" s="34">
        <v>8.7009488999999984</v>
      </c>
      <c r="BA79" s="34">
        <v>0.3054115</v>
      </c>
      <c r="BB79" s="34">
        <v>0</v>
      </c>
      <c r="BC79" s="34">
        <v>0</v>
      </c>
      <c r="BD79" s="36">
        <v>0</v>
      </c>
      <c r="BE79" s="25">
        <v>1.232</v>
      </c>
      <c r="BF79" s="18">
        <v>0</v>
      </c>
      <c r="BG79" s="18">
        <v>0</v>
      </c>
      <c r="BH79" s="18">
        <v>0</v>
      </c>
      <c r="BI79" s="18">
        <v>0.6</v>
      </c>
      <c r="BJ79" s="18">
        <v>0</v>
      </c>
      <c r="BK79" s="40">
        <v>5.4861899999999998E-2</v>
      </c>
      <c r="BL79" s="18">
        <v>0</v>
      </c>
      <c r="BM79" s="18">
        <v>0</v>
      </c>
      <c r="BN79" s="18">
        <v>0</v>
      </c>
      <c r="BO79" s="18">
        <v>0</v>
      </c>
      <c r="BP79" s="18">
        <v>0</v>
      </c>
      <c r="BQ79" s="18">
        <v>0</v>
      </c>
      <c r="BR79" s="101"/>
      <c r="BS79">
        <f t="shared" si="92"/>
        <v>0</v>
      </c>
      <c r="BT79">
        <f t="shared" si="92"/>
        <v>0</v>
      </c>
      <c r="BU79">
        <f t="shared" si="92"/>
        <v>0</v>
      </c>
      <c r="BV79">
        <f t="shared" si="92"/>
        <v>0</v>
      </c>
      <c r="BW79">
        <f t="shared" si="92"/>
        <v>0</v>
      </c>
      <c r="BX79">
        <f t="shared" si="92"/>
        <v>0</v>
      </c>
      <c r="BY79">
        <f t="shared" si="92"/>
        <v>0</v>
      </c>
      <c r="BZ79">
        <f t="shared" si="92"/>
        <v>0</v>
      </c>
      <c r="CA79">
        <f t="shared" si="92"/>
        <v>0</v>
      </c>
      <c r="CB79">
        <f t="shared" si="92"/>
        <v>0</v>
      </c>
      <c r="CC79">
        <f t="shared" si="93"/>
        <v>0</v>
      </c>
      <c r="CD79">
        <f t="shared" si="93"/>
        <v>0</v>
      </c>
      <c r="CE79">
        <f t="shared" si="93"/>
        <v>0</v>
      </c>
      <c r="CF79">
        <f t="shared" si="93"/>
        <v>0</v>
      </c>
      <c r="CG79">
        <f t="shared" si="93"/>
        <v>0</v>
      </c>
      <c r="CH79">
        <f t="shared" si="93"/>
        <v>0</v>
      </c>
      <c r="CI79">
        <f t="shared" si="93"/>
        <v>0</v>
      </c>
      <c r="CJ79">
        <f t="shared" si="93"/>
        <v>0</v>
      </c>
      <c r="CK79">
        <f t="shared" si="93"/>
        <v>0</v>
      </c>
      <c r="CL79">
        <f t="shared" si="93"/>
        <v>0</v>
      </c>
      <c r="CM79">
        <f t="shared" si="94"/>
        <v>0</v>
      </c>
      <c r="CN79">
        <f t="shared" si="94"/>
        <v>0</v>
      </c>
      <c r="CO79">
        <f t="shared" si="94"/>
        <v>0</v>
      </c>
      <c r="CP79">
        <f t="shared" si="94"/>
        <v>0</v>
      </c>
      <c r="CQ79">
        <f t="shared" si="94"/>
        <v>0</v>
      </c>
      <c r="CR79">
        <f t="shared" si="94"/>
        <v>0</v>
      </c>
      <c r="CS79">
        <f t="shared" si="94"/>
        <v>0</v>
      </c>
      <c r="CT79">
        <f t="shared" si="94"/>
        <v>0</v>
      </c>
      <c r="CU79">
        <f t="shared" si="94"/>
        <v>0</v>
      </c>
      <c r="CV79">
        <f t="shared" si="94"/>
        <v>0</v>
      </c>
      <c r="CW79">
        <f t="shared" si="95"/>
        <v>0</v>
      </c>
      <c r="CX79">
        <f t="shared" si="95"/>
        <v>0</v>
      </c>
      <c r="CY79">
        <f t="shared" si="95"/>
        <v>0</v>
      </c>
      <c r="CZ79">
        <f t="shared" si="95"/>
        <v>0</v>
      </c>
      <c r="DA79">
        <f t="shared" si="95"/>
        <v>0</v>
      </c>
      <c r="DB79">
        <f t="shared" si="95"/>
        <v>0</v>
      </c>
      <c r="DC79">
        <f t="shared" si="95"/>
        <v>0</v>
      </c>
      <c r="DD79">
        <f t="shared" si="95"/>
        <v>0</v>
      </c>
      <c r="DE79">
        <f t="shared" si="95"/>
        <v>0</v>
      </c>
      <c r="DF79">
        <f t="shared" si="95"/>
        <v>0</v>
      </c>
      <c r="DG79">
        <f t="shared" si="96"/>
        <v>0</v>
      </c>
      <c r="DH79">
        <f t="shared" si="96"/>
        <v>0</v>
      </c>
      <c r="DI79">
        <f t="shared" si="96"/>
        <v>0</v>
      </c>
      <c r="DJ79">
        <f t="shared" si="96"/>
        <v>0</v>
      </c>
      <c r="DK79">
        <f t="shared" si="96"/>
        <v>0</v>
      </c>
      <c r="DL79">
        <f t="shared" si="96"/>
        <v>0</v>
      </c>
      <c r="DM79">
        <f t="shared" si="96"/>
        <v>0</v>
      </c>
      <c r="DN79">
        <f t="shared" si="96"/>
        <v>0</v>
      </c>
      <c r="DO79">
        <f t="shared" si="96"/>
        <v>0</v>
      </c>
      <c r="DP79">
        <f t="shared" si="96"/>
        <v>0</v>
      </c>
      <c r="DQ79">
        <f t="shared" si="97"/>
        <v>0</v>
      </c>
      <c r="DR79">
        <f t="shared" si="97"/>
        <v>0</v>
      </c>
      <c r="DS79">
        <f t="shared" si="97"/>
        <v>0</v>
      </c>
      <c r="DT79">
        <f t="shared" si="97"/>
        <v>0</v>
      </c>
      <c r="DU79">
        <f t="shared" si="97"/>
        <v>0</v>
      </c>
      <c r="DV79">
        <f t="shared" si="97"/>
        <v>0</v>
      </c>
      <c r="DW79">
        <f t="shared" si="97"/>
        <v>0</v>
      </c>
      <c r="DX79">
        <f t="shared" si="97"/>
        <v>0</v>
      </c>
      <c r="DY79">
        <f t="shared" si="97"/>
        <v>0</v>
      </c>
      <c r="DZ79">
        <f t="shared" si="97"/>
        <v>0</v>
      </c>
      <c r="EA79">
        <f t="shared" si="98"/>
        <v>0</v>
      </c>
      <c r="EB79">
        <f t="shared" si="98"/>
        <v>0</v>
      </c>
      <c r="EC79">
        <f t="shared" si="98"/>
        <v>0</v>
      </c>
      <c r="ED79">
        <f t="shared" si="98"/>
        <v>0</v>
      </c>
      <c r="EE79">
        <f t="shared" si="98"/>
        <v>0</v>
      </c>
      <c r="EF79">
        <f t="shared" si="98"/>
        <v>0</v>
      </c>
    </row>
    <row r="80" spans="1:136" ht="15.5">
      <c r="A80" s="90"/>
      <c r="B80" s="19" t="s">
        <v>18</v>
      </c>
      <c r="C80" s="94"/>
      <c r="D80" s="18">
        <v>0</v>
      </c>
      <c r="E80" s="18">
        <v>0</v>
      </c>
      <c r="F80" s="18">
        <v>0</v>
      </c>
      <c r="G80" s="18">
        <v>0</v>
      </c>
      <c r="H80" s="18">
        <v>0</v>
      </c>
      <c r="I80" s="18">
        <v>0</v>
      </c>
      <c r="J80" s="18">
        <v>0</v>
      </c>
      <c r="K80" s="18">
        <v>0</v>
      </c>
      <c r="L80" s="18">
        <v>0</v>
      </c>
      <c r="M80" s="18">
        <v>0</v>
      </c>
      <c r="N80" s="18">
        <v>0</v>
      </c>
      <c r="O80" s="18">
        <v>0</v>
      </c>
      <c r="P80" s="18">
        <v>0</v>
      </c>
      <c r="Q80" s="18">
        <v>0</v>
      </c>
      <c r="R80" s="18">
        <v>0</v>
      </c>
      <c r="S80" s="18">
        <v>0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8">
        <v>0</v>
      </c>
      <c r="AC80" s="18">
        <v>0</v>
      </c>
      <c r="AD80" s="18">
        <v>0</v>
      </c>
      <c r="AE80" s="18">
        <v>0</v>
      </c>
      <c r="AF80" s="18">
        <v>0</v>
      </c>
      <c r="AG80" s="18">
        <v>0</v>
      </c>
      <c r="AH80" s="18">
        <v>0</v>
      </c>
      <c r="AI80" s="18">
        <v>1260</v>
      </c>
      <c r="AJ80" s="18">
        <v>1457</v>
      </c>
      <c r="AK80" s="18">
        <v>900</v>
      </c>
      <c r="AL80" s="18">
        <v>600</v>
      </c>
      <c r="AM80" s="18">
        <v>3200</v>
      </c>
      <c r="AN80" s="18">
        <v>0</v>
      </c>
      <c r="AO80" s="18">
        <v>0</v>
      </c>
      <c r="AP80" s="18">
        <v>0</v>
      </c>
      <c r="AQ80" s="18">
        <v>0</v>
      </c>
      <c r="AR80" s="18">
        <v>0</v>
      </c>
      <c r="AS80" s="18">
        <v>0</v>
      </c>
      <c r="AT80" s="18">
        <v>0</v>
      </c>
      <c r="AU80" s="18">
        <v>0</v>
      </c>
      <c r="AV80" s="18">
        <v>0</v>
      </c>
      <c r="AW80" s="18">
        <v>0</v>
      </c>
      <c r="AX80" s="18">
        <v>0</v>
      </c>
      <c r="AY80" s="18">
        <v>0</v>
      </c>
      <c r="AZ80" s="18">
        <v>0</v>
      </c>
      <c r="BA80" s="18">
        <v>0</v>
      </c>
      <c r="BB80" s="18">
        <v>0</v>
      </c>
      <c r="BC80" s="18">
        <v>0</v>
      </c>
      <c r="BD80" s="18">
        <v>0</v>
      </c>
      <c r="BE80" s="25">
        <v>0</v>
      </c>
      <c r="BF80" s="18">
        <v>0</v>
      </c>
      <c r="BG80" s="18">
        <v>0</v>
      </c>
      <c r="BH80" s="18">
        <v>0</v>
      </c>
      <c r="BI80" s="18">
        <v>0</v>
      </c>
      <c r="BJ80" s="18">
        <v>0</v>
      </c>
      <c r="BK80" s="18">
        <v>0</v>
      </c>
      <c r="BL80" s="18">
        <v>0</v>
      </c>
      <c r="BM80" s="18">
        <v>0</v>
      </c>
      <c r="BN80" s="18">
        <v>0</v>
      </c>
      <c r="BO80" s="18">
        <v>0</v>
      </c>
      <c r="BP80" s="18">
        <v>0</v>
      </c>
      <c r="BQ80" s="18">
        <v>0</v>
      </c>
      <c r="BR80" s="101"/>
      <c r="BS80">
        <f t="shared" si="92"/>
        <v>0</v>
      </c>
      <c r="BT80">
        <f t="shared" si="92"/>
        <v>0</v>
      </c>
      <c r="BU80">
        <f t="shared" si="92"/>
        <v>0</v>
      </c>
      <c r="BV80">
        <f t="shared" si="92"/>
        <v>0</v>
      </c>
      <c r="BW80">
        <f t="shared" si="92"/>
        <v>0</v>
      </c>
      <c r="BX80">
        <f t="shared" si="92"/>
        <v>0</v>
      </c>
      <c r="BY80">
        <f t="shared" si="92"/>
        <v>0</v>
      </c>
      <c r="BZ80">
        <f t="shared" si="92"/>
        <v>0</v>
      </c>
      <c r="CA80">
        <f t="shared" si="92"/>
        <v>0</v>
      </c>
      <c r="CB80">
        <f t="shared" si="92"/>
        <v>0</v>
      </c>
      <c r="CC80">
        <f t="shared" si="93"/>
        <v>0</v>
      </c>
      <c r="CD80">
        <f t="shared" si="93"/>
        <v>0</v>
      </c>
      <c r="CE80">
        <f t="shared" si="93"/>
        <v>0</v>
      </c>
      <c r="CF80">
        <f t="shared" si="93"/>
        <v>0</v>
      </c>
      <c r="CG80">
        <f t="shared" si="93"/>
        <v>0</v>
      </c>
      <c r="CH80">
        <f t="shared" si="93"/>
        <v>0</v>
      </c>
      <c r="CI80">
        <f t="shared" si="93"/>
        <v>0</v>
      </c>
      <c r="CJ80">
        <f t="shared" si="93"/>
        <v>0</v>
      </c>
      <c r="CK80">
        <f t="shared" si="93"/>
        <v>0</v>
      </c>
      <c r="CL80">
        <f t="shared" si="93"/>
        <v>0</v>
      </c>
      <c r="CM80">
        <f t="shared" si="94"/>
        <v>0</v>
      </c>
      <c r="CN80">
        <f t="shared" si="94"/>
        <v>0</v>
      </c>
      <c r="CO80">
        <f t="shared" si="94"/>
        <v>0</v>
      </c>
      <c r="CP80">
        <f t="shared" si="94"/>
        <v>0</v>
      </c>
      <c r="CQ80">
        <f t="shared" si="94"/>
        <v>0</v>
      </c>
      <c r="CR80">
        <f t="shared" si="94"/>
        <v>0</v>
      </c>
      <c r="CS80">
        <f t="shared" si="94"/>
        <v>0</v>
      </c>
      <c r="CT80">
        <f t="shared" si="94"/>
        <v>0</v>
      </c>
      <c r="CU80">
        <f t="shared" si="94"/>
        <v>0</v>
      </c>
      <c r="CV80">
        <f t="shared" si="94"/>
        <v>0</v>
      </c>
      <c r="CW80">
        <f t="shared" si="95"/>
        <v>0</v>
      </c>
      <c r="CX80">
        <f t="shared" si="95"/>
        <v>0</v>
      </c>
      <c r="CY80">
        <f t="shared" si="95"/>
        <v>0</v>
      </c>
      <c r="CZ80">
        <f t="shared" si="95"/>
        <v>0</v>
      </c>
      <c r="DA80">
        <f t="shared" si="95"/>
        <v>0</v>
      </c>
      <c r="DB80">
        <f t="shared" si="95"/>
        <v>0</v>
      </c>
      <c r="DC80">
        <f t="shared" si="95"/>
        <v>0</v>
      </c>
      <c r="DD80">
        <f t="shared" si="95"/>
        <v>0</v>
      </c>
      <c r="DE80">
        <f t="shared" si="95"/>
        <v>0</v>
      </c>
      <c r="DF80">
        <f t="shared" si="95"/>
        <v>0</v>
      </c>
      <c r="DG80">
        <f t="shared" si="96"/>
        <v>0</v>
      </c>
      <c r="DH80">
        <f t="shared" si="96"/>
        <v>0</v>
      </c>
      <c r="DI80">
        <f t="shared" si="96"/>
        <v>0</v>
      </c>
      <c r="DJ80">
        <f t="shared" si="96"/>
        <v>0</v>
      </c>
      <c r="DK80">
        <f t="shared" si="96"/>
        <v>0</v>
      </c>
      <c r="DL80">
        <f t="shared" si="96"/>
        <v>0</v>
      </c>
      <c r="DM80">
        <f t="shared" si="96"/>
        <v>0</v>
      </c>
      <c r="DN80">
        <f t="shared" si="96"/>
        <v>0</v>
      </c>
      <c r="DO80">
        <f t="shared" si="96"/>
        <v>0</v>
      </c>
      <c r="DP80">
        <f t="shared" si="96"/>
        <v>0</v>
      </c>
      <c r="DQ80">
        <f t="shared" si="97"/>
        <v>0</v>
      </c>
      <c r="DR80">
        <f t="shared" si="97"/>
        <v>0</v>
      </c>
      <c r="DS80">
        <f t="shared" si="97"/>
        <v>0</v>
      </c>
      <c r="DT80">
        <f t="shared" si="97"/>
        <v>0</v>
      </c>
      <c r="DU80">
        <f t="shared" si="97"/>
        <v>0</v>
      </c>
      <c r="DV80">
        <f t="shared" si="97"/>
        <v>0</v>
      </c>
      <c r="DW80">
        <f t="shared" si="97"/>
        <v>0</v>
      </c>
      <c r="DX80">
        <f t="shared" si="97"/>
        <v>0</v>
      </c>
      <c r="DY80">
        <f t="shared" si="97"/>
        <v>0</v>
      </c>
      <c r="DZ80">
        <f t="shared" si="97"/>
        <v>0</v>
      </c>
      <c r="EA80">
        <f t="shared" si="98"/>
        <v>0</v>
      </c>
      <c r="EB80">
        <f t="shared" si="98"/>
        <v>0</v>
      </c>
      <c r="EC80">
        <f t="shared" si="98"/>
        <v>0</v>
      </c>
      <c r="ED80">
        <f t="shared" si="98"/>
        <v>0</v>
      </c>
      <c r="EE80">
        <f t="shared" si="98"/>
        <v>0</v>
      </c>
      <c r="EF80">
        <f t="shared" si="98"/>
        <v>0</v>
      </c>
    </row>
    <row r="81" spans="1:136" ht="15.5">
      <c r="A81" s="90"/>
      <c r="B81" s="19" t="s">
        <v>208</v>
      </c>
      <c r="C81" s="9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>
        <v>0</v>
      </c>
      <c r="O81" s="34">
        <v>0</v>
      </c>
      <c r="P81" s="34">
        <v>0</v>
      </c>
      <c r="Q81" s="34">
        <v>0</v>
      </c>
      <c r="R81" s="34">
        <v>0</v>
      </c>
      <c r="S81" s="34">
        <v>0</v>
      </c>
      <c r="T81" s="35">
        <v>0</v>
      </c>
      <c r="U81" s="35">
        <v>0</v>
      </c>
      <c r="V81" s="35">
        <v>0</v>
      </c>
      <c r="W81" s="35">
        <v>0</v>
      </c>
      <c r="X81" s="35">
        <v>0</v>
      </c>
      <c r="Y81" s="35">
        <v>0</v>
      </c>
      <c r="Z81" s="35">
        <v>0</v>
      </c>
      <c r="AA81" s="35">
        <v>0</v>
      </c>
      <c r="AB81" s="35">
        <v>0</v>
      </c>
      <c r="AC81" s="35">
        <v>0</v>
      </c>
      <c r="AD81" s="35">
        <v>0</v>
      </c>
      <c r="AE81" s="35">
        <v>0</v>
      </c>
      <c r="AF81" s="35">
        <v>0</v>
      </c>
      <c r="AG81" s="35">
        <v>0</v>
      </c>
      <c r="AH81" s="35">
        <v>0.31900000000000001</v>
      </c>
      <c r="AI81" s="34">
        <v>6.7447270000000001</v>
      </c>
      <c r="AJ81" s="34">
        <v>22.2373099</v>
      </c>
      <c r="AK81" s="34">
        <v>49.861505399999999</v>
      </c>
      <c r="AL81" s="34">
        <v>8.3147520000000004</v>
      </c>
      <c r="AM81" s="34">
        <v>9.36</v>
      </c>
      <c r="AN81" s="31">
        <v>15.773999999999999</v>
      </c>
      <c r="AO81" s="34">
        <v>18.594000000000001</v>
      </c>
      <c r="AP81" s="34">
        <v>18.594000000000001</v>
      </c>
      <c r="AQ81" s="34">
        <v>18.594000000000001</v>
      </c>
      <c r="AR81" s="34">
        <v>18.772254800000002</v>
      </c>
      <c r="AS81" s="34">
        <v>18.594000000000001</v>
      </c>
      <c r="AT81" s="34">
        <v>17</v>
      </c>
      <c r="AU81" s="34">
        <v>17</v>
      </c>
      <c r="AV81" s="34">
        <v>17</v>
      </c>
      <c r="AW81" s="34">
        <v>17</v>
      </c>
      <c r="AX81" s="168">
        <v>17</v>
      </c>
      <c r="AY81" s="168">
        <v>17</v>
      </c>
      <c r="AZ81" s="18">
        <v>0</v>
      </c>
      <c r="BA81" s="18">
        <v>0</v>
      </c>
      <c r="BB81" s="18">
        <v>0</v>
      </c>
      <c r="BC81" s="18">
        <v>0</v>
      </c>
      <c r="BD81" s="18">
        <v>0</v>
      </c>
      <c r="BE81" s="18">
        <v>0</v>
      </c>
      <c r="BF81" s="18">
        <v>0</v>
      </c>
      <c r="BG81" s="18">
        <v>0</v>
      </c>
      <c r="BH81" s="18">
        <v>0</v>
      </c>
      <c r="BI81" s="18">
        <v>0</v>
      </c>
      <c r="BJ81" s="18">
        <v>0</v>
      </c>
      <c r="BK81" s="18">
        <v>0</v>
      </c>
      <c r="BL81" s="18">
        <v>0</v>
      </c>
      <c r="BM81" s="18">
        <v>0</v>
      </c>
      <c r="BN81" s="18">
        <v>0</v>
      </c>
      <c r="BO81" s="18">
        <v>0</v>
      </c>
      <c r="BP81" s="18">
        <v>0</v>
      </c>
      <c r="BQ81" s="18">
        <v>0</v>
      </c>
      <c r="BR81" s="101"/>
      <c r="BS81">
        <f t="shared" si="92"/>
        <v>0</v>
      </c>
      <c r="BT81">
        <f t="shared" si="92"/>
        <v>0</v>
      </c>
      <c r="BU81">
        <f t="shared" si="92"/>
        <v>0</v>
      </c>
      <c r="BV81">
        <f t="shared" si="92"/>
        <v>0</v>
      </c>
      <c r="BW81">
        <f t="shared" si="92"/>
        <v>0</v>
      </c>
      <c r="BX81">
        <f t="shared" si="92"/>
        <v>0</v>
      </c>
      <c r="BY81">
        <f t="shared" si="92"/>
        <v>0</v>
      </c>
      <c r="BZ81">
        <f t="shared" si="92"/>
        <v>0</v>
      </c>
      <c r="CA81">
        <f t="shared" si="92"/>
        <v>0</v>
      </c>
      <c r="CB81">
        <f t="shared" si="92"/>
        <v>0</v>
      </c>
      <c r="CC81">
        <f t="shared" si="93"/>
        <v>0</v>
      </c>
      <c r="CD81">
        <f t="shared" si="93"/>
        <v>0</v>
      </c>
      <c r="CE81">
        <f t="shared" si="93"/>
        <v>0</v>
      </c>
      <c r="CF81">
        <f t="shared" si="93"/>
        <v>0</v>
      </c>
      <c r="CG81">
        <f t="shared" si="93"/>
        <v>0</v>
      </c>
      <c r="CH81">
        <f t="shared" si="93"/>
        <v>0</v>
      </c>
      <c r="CI81">
        <f t="shared" si="93"/>
        <v>0</v>
      </c>
      <c r="CJ81">
        <f t="shared" si="93"/>
        <v>0</v>
      </c>
      <c r="CK81">
        <f t="shared" si="93"/>
        <v>0</v>
      </c>
      <c r="CL81">
        <f t="shared" si="93"/>
        <v>0</v>
      </c>
      <c r="CM81">
        <f t="shared" si="94"/>
        <v>0</v>
      </c>
      <c r="CN81">
        <f t="shared" si="94"/>
        <v>0</v>
      </c>
      <c r="CO81">
        <f t="shared" si="94"/>
        <v>0</v>
      </c>
      <c r="CP81">
        <f t="shared" si="94"/>
        <v>0</v>
      </c>
      <c r="CQ81">
        <f t="shared" si="94"/>
        <v>0</v>
      </c>
      <c r="CR81">
        <f t="shared" si="94"/>
        <v>0</v>
      </c>
      <c r="CS81">
        <f t="shared" si="94"/>
        <v>0</v>
      </c>
      <c r="CT81">
        <f t="shared" si="94"/>
        <v>0</v>
      </c>
      <c r="CU81">
        <f t="shared" si="94"/>
        <v>0</v>
      </c>
      <c r="CV81">
        <f t="shared" si="94"/>
        <v>0</v>
      </c>
      <c r="CW81">
        <f t="shared" si="95"/>
        <v>0</v>
      </c>
      <c r="CX81">
        <f t="shared" si="95"/>
        <v>0</v>
      </c>
      <c r="CY81">
        <f t="shared" si="95"/>
        <v>0</v>
      </c>
      <c r="CZ81">
        <f t="shared" si="95"/>
        <v>0</v>
      </c>
      <c r="DA81">
        <f t="shared" si="95"/>
        <v>0</v>
      </c>
      <c r="DB81">
        <f t="shared" si="95"/>
        <v>0</v>
      </c>
      <c r="DC81">
        <f t="shared" si="95"/>
        <v>0</v>
      </c>
      <c r="DD81">
        <f t="shared" si="95"/>
        <v>0</v>
      </c>
      <c r="DE81">
        <f t="shared" si="95"/>
        <v>0</v>
      </c>
      <c r="DF81">
        <f t="shared" si="95"/>
        <v>0</v>
      </c>
      <c r="DG81">
        <f t="shared" si="96"/>
        <v>0</v>
      </c>
      <c r="DH81">
        <f t="shared" si="96"/>
        <v>0</v>
      </c>
      <c r="DI81">
        <f t="shared" si="96"/>
        <v>0</v>
      </c>
      <c r="DJ81">
        <f t="shared" si="96"/>
        <v>0</v>
      </c>
      <c r="DK81">
        <f t="shared" si="96"/>
        <v>0</v>
      </c>
      <c r="DL81">
        <f t="shared" si="96"/>
        <v>0</v>
      </c>
      <c r="DM81">
        <f t="shared" si="96"/>
        <v>0</v>
      </c>
      <c r="DN81">
        <f t="shared" si="96"/>
        <v>0</v>
      </c>
      <c r="DO81">
        <f t="shared" si="96"/>
        <v>0</v>
      </c>
      <c r="DP81">
        <f t="shared" si="96"/>
        <v>0</v>
      </c>
      <c r="DQ81">
        <f t="shared" si="97"/>
        <v>0</v>
      </c>
      <c r="DR81">
        <f t="shared" si="97"/>
        <v>0</v>
      </c>
      <c r="DS81">
        <f t="shared" si="97"/>
        <v>0</v>
      </c>
      <c r="DT81">
        <f t="shared" si="97"/>
        <v>0</v>
      </c>
      <c r="DU81">
        <f t="shared" si="97"/>
        <v>0</v>
      </c>
      <c r="DV81">
        <f t="shared" si="97"/>
        <v>0</v>
      </c>
      <c r="DW81">
        <f t="shared" si="97"/>
        <v>0</v>
      </c>
      <c r="DX81">
        <f t="shared" si="97"/>
        <v>0</v>
      </c>
      <c r="DY81">
        <f t="shared" si="97"/>
        <v>0</v>
      </c>
      <c r="DZ81">
        <f t="shared" si="97"/>
        <v>0</v>
      </c>
      <c r="EA81">
        <f t="shared" si="98"/>
        <v>0</v>
      </c>
      <c r="EB81">
        <f t="shared" si="98"/>
        <v>0</v>
      </c>
      <c r="EC81">
        <f t="shared" si="98"/>
        <v>0</v>
      </c>
      <c r="ED81">
        <f t="shared" si="98"/>
        <v>0</v>
      </c>
      <c r="EE81">
        <f t="shared" si="98"/>
        <v>0</v>
      </c>
      <c r="EF81">
        <f t="shared" si="98"/>
        <v>0</v>
      </c>
    </row>
    <row r="82" spans="1:136" ht="15.5">
      <c r="A82" s="90"/>
      <c r="B82" s="19" t="s">
        <v>212</v>
      </c>
      <c r="C82" s="9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5"/>
      <c r="U82" s="35"/>
      <c r="V82" s="35"/>
      <c r="W82" s="35"/>
      <c r="X82" s="35">
        <v>0</v>
      </c>
      <c r="Y82" s="35">
        <v>0</v>
      </c>
      <c r="Z82" s="35">
        <v>0</v>
      </c>
      <c r="AA82" s="35">
        <v>0</v>
      </c>
      <c r="AB82" s="35">
        <v>0</v>
      </c>
      <c r="AC82" s="35">
        <v>0</v>
      </c>
      <c r="AD82" s="35">
        <v>0</v>
      </c>
      <c r="AE82" s="35">
        <v>0</v>
      </c>
      <c r="AF82" s="35">
        <v>44.165109563444879</v>
      </c>
      <c r="AG82" s="35">
        <v>33.973161202649905</v>
      </c>
      <c r="AH82" s="60">
        <v>0</v>
      </c>
      <c r="AI82" s="18">
        <v>19.806352981144897</v>
      </c>
      <c r="AJ82" s="18">
        <v>12.755825734549138</v>
      </c>
      <c r="AK82" s="18">
        <v>14.063429137760158</v>
      </c>
      <c r="AL82" s="18">
        <v>3.1361818564512736</v>
      </c>
      <c r="AM82" s="18">
        <v>0</v>
      </c>
      <c r="AN82" s="18">
        <v>0</v>
      </c>
      <c r="AO82" s="18">
        <v>0</v>
      </c>
      <c r="AP82" s="18">
        <v>0</v>
      </c>
      <c r="AQ82" s="18">
        <v>0</v>
      </c>
      <c r="AR82" s="103">
        <v>0</v>
      </c>
      <c r="AS82" s="103">
        <v>0</v>
      </c>
      <c r="AT82" s="103">
        <v>0</v>
      </c>
      <c r="AU82" s="18">
        <v>25.409836065573771</v>
      </c>
      <c r="AV82" s="18">
        <v>14.563106796116505</v>
      </c>
      <c r="AW82" s="18">
        <v>0</v>
      </c>
      <c r="AX82" s="18">
        <v>0</v>
      </c>
      <c r="AY82" s="18">
        <v>0</v>
      </c>
      <c r="AZ82" s="18">
        <v>0</v>
      </c>
      <c r="BA82" s="18">
        <v>58.51063829787234</v>
      </c>
      <c r="BB82" s="18">
        <v>92.307692307692307</v>
      </c>
      <c r="BC82" s="18">
        <v>0</v>
      </c>
      <c r="BD82" s="18">
        <v>0</v>
      </c>
      <c r="BE82" s="25">
        <v>652</v>
      </c>
      <c r="BF82" s="18">
        <v>235.39823008849558</v>
      </c>
      <c r="BG82" s="18">
        <v>113.70967741935483</v>
      </c>
      <c r="BH82" s="18">
        <v>102.5078125</v>
      </c>
      <c r="BI82" s="18">
        <v>244.60550458715596</v>
      </c>
      <c r="BJ82" s="18">
        <v>277.77777777777777</v>
      </c>
      <c r="BK82" s="18">
        <v>268.51851851851853</v>
      </c>
      <c r="BL82" s="18">
        <v>260</v>
      </c>
      <c r="BM82" s="113">
        <v>177.57009345794393</v>
      </c>
      <c r="BN82" s="18">
        <v>149.12280701754386</v>
      </c>
      <c r="BO82" s="18">
        <v>179.57114186120208</v>
      </c>
      <c r="BP82" s="113">
        <v>191.87358916478556</v>
      </c>
      <c r="BQ82" s="113">
        <v>195</v>
      </c>
      <c r="BR82" s="101"/>
      <c r="BS82">
        <f t="shared" si="92"/>
        <v>0</v>
      </c>
      <c r="BT82">
        <f t="shared" si="92"/>
        <v>0</v>
      </c>
      <c r="BU82">
        <f t="shared" si="92"/>
        <v>0</v>
      </c>
      <c r="BV82">
        <f t="shared" si="92"/>
        <v>0</v>
      </c>
      <c r="BW82">
        <f t="shared" si="92"/>
        <v>0</v>
      </c>
      <c r="BX82">
        <f t="shared" si="92"/>
        <v>0</v>
      </c>
      <c r="BY82">
        <f t="shared" si="92"/>
        <v>0</v>
      </c>
      <c r="BZ82">
        <f t="shared" si="92"/>
        <v>0</v>
      </c>
      <c r="CA82">
        <f t="shared" si="92"/>
        <v>0</v>
      </c>
      <c r="CB82">
        <f t="shared" si="92"/>
        <v>0</v>
      </c>
      <c r="CC82">
        <f t="shared" si="93"/>
        <v>0</v>
      </c>
      <c r="CD82">
        <f t="shared" si="93"/>
        <v>0</v>
      </c>
      <c r="CE82">
        <f t="shared" si="93"/>
        <v>0</v>
      </c>
      <c r="CF82">
        <f t="shared" si="93"/>
        <v>0</v>
      </c>
      <c r="CG82">
        <f t="shared" si="93"/>
        <v>0</v>
      </c>
      <c r="CH82">
        <f t="shared" si="93"/>
        <v>0</v>
      </c>
      <c r="CI82">
        <f t="shared" si="93"/>
        <v>0</v>
      </c>
      <c r="CJ82">
        <f t="shared" si="93"/>
        <v>0</v>
      </c>
      <c r="CK82">
        <f t="shared" si="93"/>
        <v>0</v>
      </c>
      <c r="CL82">
        <f t="shared" si="93"/>
        <v>0</v>
      </c>
      <c r="CM82">
        <f t="shared" si="94"/>
        <v>0</v>
      </c>
      <c r="CN82">
        <f t="shared" si="94"/>
        <v>0</v>
      </c>
      <c r="CO82">
        <f t="shared" si="94"/>
        <v>0</v>
      </c>
      <c r="CP82">
        <f t="shared" si="94"/>
        <v>0</v>
      </c>
      <c r="CQ82">
        <f t="shared" si="94"/>
        <v>0</v>
      </c>
      <c r="CR82">
        <f t="shared" si="94"/>
        <v>0</v>
      </c>
      <c r="CS82">
        <f t="shared" si="94"/>
        <v>0</v>
      </c>
      <c r="CT82">
        <f t="shared" si="94"/>
        <v>0</v>
      </c>
      <c r="CU82">
        <f t="shared" si="94"/>
        <v>0</v>
      </c>
      <c r="CV82">
        <f t="shared" si="94"/>
        <v>0</v>
      </c>
      <c r="CW82">
        <f t="shared" si="95"/>
        <v>0</v>
      </c>
      <c r="CX82">
        <f t="shared" si="95"/>
        <v>0</v>
      </c>
      <c r="CY82">
        <f t="shared" si="95"/>
        <v>0</v>
      </c>
      <c r="CZ82">
        <f t="shared" si="95"/>
        <v>0</v>
      </c>
      <c r="DA82">
        <f t="shared" si="95"/>
        <v>0</v>
      </c>
      <c r="DB82">
        <f t="shared" si="95"/>
        <v>0</v>
      </c>
      <c r="DC82">
        <f t="shared" si="95"/>
        <v>0</v>
      </c>
      <c r="DD82">
        <f t="shared" si="95"/>
        <v>0</v>
      </c>
      <c r="DE82">
        <f t="shared" si="95"/>
        <v>0</v>
      </c>
      <c r="DF82">
        <f t="shared" si="95"/>
        <v>0</v>
      </c>
      <c r="DG82">
        <f t="shared" si="96"/>
        <v>0</v>
      </c>
      <c r="DH82">
        <f t="shared" si="96"/>
        <v>0</v>
      </c>
      <c r="DI82">
        <f t="shared" si="96"/>
        <v>0</v>
      </c>
      <c r="DJ82">
        <f t="shared" si="96"/>
        <v>0</v>
      </c>
      <c r="DK82">
        <f t="shared" si="96"/>
        <v>0</v>
      </c>
      <c r="DL82">
        <f t="shared" si="96"/>
        <v>0</v>
      </c>
      <c r="DM82">
        <f t="shared" si="96"/>
        <v>0</v>
      </c>
      <c r="DN82">
        <f t="shared" si="96"/>
        <v>0</v>
      </c>
      <c r="DO82">
        <f t="shared" si="96"/>
        <v>0</v>
      </c>
      <c r="DP82">
        <f t="shared" si="96"/>
        <v>0</v>
      </c>
      <c r="DQ82">
        <f t="shared" si="97"/>
        <v>0</v>
      </c>
      <c r="DR82">
        <f t="shared" si="97"/>
        <v>0</v>
      </c>
      <c r="DS82">
        <f t="shared" si="97"/>
        <v>0</v>
      </c>
      <c r="DT82">
        <f t="shared" si="97"/>
        <v>0</v>
      </c>
      <c r="DU82">
        <f t="shared" si="97"/>
        <v>0</v>
      </c>
      <c r="DV82">
        <f t="shared" si="97"/>
        <v>0</v>
      </c>
      <c r="DW82">
        <f t="shared" si="97"/>
        <v>0</v>
      </c>
      <c r="DX82">
        <f t="shared" si="97"/>
        <v>0</v>
      </c>
      <c r="DY82">
        <f t="shared" si="97"/>
        <v>0</v>
      </c>
      <c r="DZ82">
        <f t="shared" si="97"/>
        <v>0</v>
      </c>
      <c r="EA82">
        <f t="shared" si="98"/>
        <v>0</v>
      </c>
      <c r="EB82">
        <f t="shared" si="98"/>
        <v>0</v>
      </c>
      <c r="EC82">
        <f t="shared" si="98"/>
        <v>0</v>
      </c>
      <c r="ED82">
        <f t="shared" si="98"/>
        <v>0</v>
      </c>
      <c r="EE82">
        <f t="shared" si="98"/>
        <v>0</v>
      </c>
      <c r="EF82">
        <f t="shared" si="98"/>
        <v>0</v>
      </c>
    </row>
    <row r="83" spans="1:136" ht="15.5">
      <c r="A83" s="90"/>
      <c r="B83" s="19"/>
      <c r="C83" s="94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31"/>
      <c r="BC83" s="18"/>
      <c r="BD83" s="18"/>
      <c r="BE83" s="18"/>
      <c r="BF83" s="18"/>
      <c r="BG83" s="18"/>
      <c r="BH83" s="18"/>
      <c r="BI83" s="18"/>
      <c r="BJ83" s="18"/>
      <c r="BK83" s="18"/>
      <c r="BL83" s="113"/>
      <c r="BM83" s="113"/>
      <c r="BN83" s="18"/>
      <c r="BO83" s="18"/>
      <c r="BP83" s="2"/>
      <c r="BQ83" s="2"/>
      <c r="BR83" s="101"/>
    </row>
    <row r="84" spans="1:136" ht="15.5">
      <c r="A84" s="93">
        <v>3</v>
      </c>
      <c r="B84" s="32" t="s">
        <v>19</v>
      </c>
      <c r="C84" s="94">
        <v>3</v>
      </c>
      <c r="D84" s="22"/>
      <c r="E84" s="22"/>
      <c r="F84" s="22">
        <f t="shared" ref="F84:AK84" si="99">SUM(F85:F89)</f>
        <v>0</v>
      </c>
      <c r="G84" s="22">
        <f t="shared" si="99"/>
        <v>0</v>
      </c>
      <c r="H84" s="22">
        <f t="shared" si="99"/>
        <v>0</v>
      </c>
      <c r="I84" s="22">
        <f t="shared" si="99"/>
        <v>0</v>
      </c>
      <c r="J84" s="22">
        <f t="shared" si="99"/>
        <v>0</v>
      </c>
      <c r="K84" s="22">
        <f t="shared" si="99"/>
        <v>0</v>
      </c>
      <c r="L84" s="22">
        <f t="shared" si="99"/>
        <v>0</v>
      </c>
      <c r="M84" s="22">
        <f t="shared" si="99"/>
        <v>0</v>
      </c>
      <c r="N84" s="22">
        <f t="shared" si="99"/>
        <v>0</v>
      </c>
      <c r="O84" s="22">
        <f t="shared" si="99"/>
        <v>0</v>
      </c>
      <c r="P84" s="22">
        <f t="shared" si="99"/>
        <v>0</v>
      </c>
      <c r="Q84" s="22">
        <f t="shared" si="99"/>
        <v>0</v>
      </c>
      <c r="R84" s="22">
        <f t="shared" si="99"/>
        <v>0</v>
      </c>
      <c r="S84" s="22">
        <f t="shared" si="99"/>
        <v>0</v>
      </c>
      <c r="T84" s="22">
        <f t="shared" si="99"/>
        <v>6.423</v>
      </c>
      <c r="U84" s="22">
        <f t="shared" si="99"/>
        <v>13.012</v>
      </c>
      <c r="V84" s="22">
        <f t="shared" si="99"/>
        <v>0.95899999999999996</v>
      </c>
      <c r="W84" s="22">
        <f t="shared" si="99"/>
        <v>3.4855522999999997</v>
      </c>
      <c r="X84" s="22">
        <f t="shared" si="99"/>
        <v>1.6990000000000001</v>
      </c>
      <c r="Y84" s="22">
        <f t="shared" si="99"/>
        <v>1.6990000000000001</v>
      </c>
      <c r="Z84" s="22">
        <f t="shared" si="99"/>
        <v>1.6990000000000001</v>
      </c>
      <c r="AA84" s="22">
        <f t="shared" si="99"/>
        <v>1.6990000000000001</v>
      </c>
      <c r="AB84" s="22">
        <f t="shared" si="99"/>
        <v>0</v>
      </c>
      <c r="AC84" s="22">
        <f t="shared" si="99"/>
        <v>0</v>
      </c>
      <c r="AD84" s="22">
        <f t="shared" si="99"/>
        <v>1.6194299999999998E-2</v>
      </c>
      <c r="AE84" s="22">
        <f t="shared" si="99"/>
        <v>1.58919E-2</v>
      </c>
      <c r="AF84" s="22">
        <f t="shared" si="99"/>
        <v>0</v>
      </c>
      <c r="AG84" s="22">
        <f t="shared" si="99"/>
        <v>0.31909720000000003</v>
      </c>
      <c r="AH84" s="22">
        <f t="shared" si="99"/>
        <v>0.76403129999999997</v>
      </c>
      <c r="AI84" s="22">
        <f t="shared" si="99"/>
        <v>6.6181829000000008</v>
      </c>
      <c r="AJ84" s="22">
        <f t="shared" si="99"/>
        <v>8.4612908000000004</v>
      </c>
      <c r="AK84" s="22">
        <f t="shared" si="99"/>
        <v>3580.7574464999998</v>
      </c>
      <c r="AL84" s="22">
        <f t="shared" ref="AL84:BO84" si="100">SUM(AL85:AL89)</f>
        <v>9549.8845489999985</v>
      </c>
      <c r="AM84" s="22">
        <f t="shared" si="100"/>
        <v>10454.9721961</v>
      </c>
      <c r="AN84" s="22">
        <f t="shared" si="100"/>
        <v>2371.1718044999998</v>
      </c>
      <c r="AO84" s="22">
        <f t="shared" si="100"/>
        <v>710.13014980000003</v>
      </c>
      <c r="AP84" s="22">
        <f t="shared" si="100"/>
        <v>93.669162992592589</v>
      </c>
      <c r="AQ84" s="22">
        <f t="shared" si="100"/>
        <v>12.592592592592592</v>
      </c>
      <c r="AR84" s="22">
        <f t="shared" si="100"/>
        <v>14.888888888888889</v>
      </c>
      <c r="AS84" s="22">
        <f t="shared" si="100"/>
        <v>17.333333333333332</v>
      </c>
      <c r="AT84" s="22">
        <f t="shared" si="100"/>
        <v>15.811765777777778</v>
      </c>
      <c r="AU84" s="22">
        <f t="shared" si="100"/>
        <v>19.010401799999997</v>
      </c>
      <c r="AV84" s="22">
        <f t="shared" si="100"/>
        <v>1.08711E-2</v>
      </c>
      <c r="AW84" s="22">
        <f t="shared" si="100"/>
        <v>85.010004899999998</v>
      </c>
      <c r="AX84" s="22">
        <f t="shared" si="100"/>
        <v>105</v>
      </c>
      <c r="AY84" s="22">
        <f t="shared" si="100"/>
        <v>55</v>
      </c>
      <c r="AZ84" s="22">
        <f t="shared" si="100"/>
        <v>51</v>
      </c>
      <c r="BA84" s="22">
        <f t="shared" si="100"/>
        <v>36</v>
      </c>
      <c r="BB84" s="22">
        <f t="shared" si="100"/>
        <v>46</v>
      </c>
      <c r="BC84" s="22">
        <f t="shared" si="100"/>
        <v>46</v>
      </c>
      <c r="BD84" s="22">
        <f t="shared" si="100"/>
        <v>78.7</v>
      </c>
      <c r="BE84" s="22">
        <f t="shared" si="100"/>
        <v>1.9</v>
      </c>
      <c r="BF84" s="22">
        <f t="shared" si="100"/>
        <v>2</v>
      </c>
      <c r="BG84" s="22">
        <f t="shared" si="100"/>
        <v>2</v>
      </c>
      <c r="BH84" s="22">
        <f t="shared" si="100"/>
        <v>2</v>
      </c>
      <c r="BI84" s="22">
        <f t="shared" si="100"/>
        <v>2</v>
      </c>
      <c r="BJ84" s="22">
        <f t="shared" si="100"/>
        <v>2.1712818999999999</v>
      </c>
      <c r="BK84" s="22">
        <f t="shared" si="100"/>
        <v>2</v>
      </c>
      <c r="BL84" s="22">
        <f t="shared" si="100"/>
        <v>0</v>
      </c>
      <c r="BM84" s="22">
        <f t="shared" si="100"/>
        <v>0</v>
      </c>
      <c r="BN84" s="22">
        <f t="shared" si="100"/>
        <v>0</v>
      </c>
      <c r="BO84" s="22">
        <f t="shared" si="100"/>
        <v>0</v>
      </c>
      <c r="BP84" s="22">
        <f>SUM(BP85:BP89)</f>
        <v>0</v>
      </c>
      <c r="BQ84" s="22">
        <f>SUM(BQ85:BQ89)</f>
        <v>0</v>
      </c>
      <c r="BR84" s="101"/>
      <c r="BS84">
        <f t="shared" ref="BS84:CB90" si="101">IF($C84&lt;&gt;"",IF(D84&gt;0,1,0),0)</f>
        <v>0</v>
      </c>
      <c r="BT84">
        <f t="shared" si="101"/>
        <v>0</v>
      </c>
      <c r="BU84">
        <f t="shared" si="101"/>
        <v>0</v>
      </c>
      <c r="BV84">
        <f t="shared" si="101"/>
        <v>0</v>
      </c>
      <c r="BW84">
        <f t="shared" si="101"/>
        <v>0</v>
      </c>
      <c r="BX84">
        <f t="shared" si="101"/>
        <v>0</v>
      </c>
      <c r="BY84">
        <f t="shared" si="101"/>
        <v>0</v>
      </c>
      <c r="BZ84">
        <f t="shared" si="101"/>
        <v>0</v>
      </c>
      <c r="CA84">
        <f t="shared" si="101"/>
        <v>0</v>
      </c>
      <c r="CB84">
        <f t="shared" si="101"/>
        <v>0</v>
      </c>
      <c r="CC84">
        <f t="shared" ref="CC84:CL90" si="102">IF($C84&lt;&gt;"",IF(N84&gt;0,1,0),0)</f>
        <v>0</v>
      </c>
      <c r="CD84">
        <f t="shared" si="102"/>
        <v>0</v>
      </c>
      <c r="CE84">
        <f t="shared" si="102"/>
        <v>0</v>
      </c>
      <c r="CF84">
        <f t="shared" si="102"/>
        <v>0</v>
      </c>
      <c r="CG84">
        <f t="shared" si="102"/>
        <v>0</v>
      </c>
      <c r="CH84">
        <f t="shared" si="102"/>
        <v>0</v>
      </c>
      <c r="CI84">
        <f t="shared" si="102"/>
        <v>1</v>
      </c>
      <c r="CJ84">
        <f t="shared" si="102"/>
        <v>1</v>
      </c>
      <c r="CK84">
        <f t="shared" si="102"/>
        <v>1</v>
      </c>
      <c r="CL84">
        <f t="shared" si="102"/>
        <v>1</v>
      </c>
      <c r="CM84">
        <f t="shared" ref="CM84:CV90" si="103">IF($C84&lt;&gt;"",IF(X84&gt;0,1,0),0)</f>
        <v>1</v>
      </c>
      <c r="CN84">
        <f t="shared" si="103"/>
        <v>1</v>
      </c>
      <c r="CO84">
        <f t="shared" si="103"/>
        <v>1</v>
      </c>
      <c r="CP84">
        <f t="shared" si="103"/>
        <v>1</v>
      </c>
      <c r="CQ84">
        <f t="shared" si="103"/>
        <v>0</v>
      </c>
      <c r="CR84">
        <f t="shared" si="103"/>
        <v>0</v>
      </c>
      <c r="CS84">
        <f t="shared" si="103"/>
        <v>1</v>
      </c>
      <c r="CT84">
        <f t="shared" si="103"/>
        <v>1</v>
      </c>
      <c r="CU84">
        <f t="shared" si="103"/>
        <v>0</v>
      </c>
      <c r="CV84">
        <f t="shared" si="103"/>
        <v>1</v>
      </c>
      <c r="CW84">
        <f t="shared" ref="CW84:DF90" si="104">IF($C84&lt;&gt;"",IF(AH84&gt;0,1,0),0)</f>
        <v>1</v>
      </c>
      <c r="CX84">
        <f t="shared" si="104"/>
        <v>1</v>
      </c>
      <c r="CY84">
        <f t="shared" si="104"/>
        <v>1</v>
      </c>
      <c r="CZ84">
        <f t="shared" si="104"/>
        <v>1</v>
      </c>
      <c r="DA84">
        <f t="shared" si="104"/>
        <v>1</v>
      </c>
      <c r="DB84">
        <f t="shared" si="104"/>
        <v>1</v>
      </c>
      <c r="DC84">
        <f t="shared" si="104"/>
        <v>1</v>
      </c>
      <c r="DD84">
        <f t="shared" si="104"/>
        <v>1</v>
      </c>
      <c r="DE84">
        <f t="shared" si="104"/>
        <v>1</v>
      </c>
      <c r="DF84">
        <f t="shared" si="104"/>
        <v>1</v>
      </c>
      <c r="DG84">
        <f t="shared" ref="DG84:DP90" si="105">IF($C84&lt;&gt;"",IF(AR84&gt;0,1,0),0)</f>
        <v>1</v>
      </c>
      <c r="DH84">
        <f t="shared" si="105"/>
        <v>1</v>
      </c>
      <c r="DI84">
        <f t="shared" si="105"/>
        <v>1</v>
      </c>
      <c r="DJ84">
        <f t="shared" si="105"/>
        <v>1</v>
      </c>
      <c r="DK84">
        <f t="shared" si="105"/>
        <v>1</v>
      </c>
      <c r="DL84">
        <f t="shared" si="105"/>
        <v>1</v>
      </c>
      <c r="DM84">
        <f t="shared" si="105"/>
        <v>1</v>
      </c>
      <c r="DN84">
        <f t="shared" si="105"/>
        <v>1</v>
      </c>
      <c r="DO84">
        <f t="shared" si="105"/>
        <v>1</v>
      </c>
      <c r="DP84">
        <f t="shared" si="105"/>
        <v>1</v>
      </c>
      <c r="DQ84">
        <f t="shared" ref="DQ84:DZ90" si="106">IF($C84&lt;&gt;"",IF(BB84&gt;0,1,0),0)</f>
        <v>1</v>
      </c>
      <c r="DR84">
        <f t="shared" si="106"/>
        <v>1</v>
      </c>
      <c r="DS84">
        <f t="shared" si="106"/>
        <v>1</v>
      </c>
      <c r="DT84">
        <f t="shared" si="106"/>
        <v>1</v>
      </c>
      <c r="DU84">
        <f t="shared" si="106"/>
        <v>1</v>
      </c>
      <c r="DV84">
        <f t="shared" si="106"/>
        <v>1</v>
      </c>
      <c r="DW84">
        <f t="shared" si="106"/>
        <v>1</v>
      </c>
      <c r="DX84">
        <f t="shared" si="106"/>
        <v>1</v>
      </c>
      <c r="DY84">
        <f t="shared" si="106"/>
        <v>1</v>
      </c>
      <c r="DZ84">
        <f t="shared" si="106"/>
        <v>1</v>
      </c>
      <c r="EA84">
        <f t="shared" ref="EA84:EF90" si="107">IF($C84&lt;&gt;"",IF(BL84&gt;0,1,0),0)</f>
        <v>0</v>
      </c>
      <c r="EB84">
        <f t="shared" si="107"/>
        <v>0</v>
      </c>
      <c r="EC84">
        <f t="shared" si="107"/>
        <v>0</v>
      </c>
      <c r="ED84">
        <f t="shared" si="107"/>
        <v>0</v>
      </c>
      <c r="EE84">
        <f t="shared" si="107"/>
        <v>0</v>
      </c>
      <c r="EF84">
        <f t="shared" si="107"/>
        <v>0</v>
      </c>
    </row>
    <row r="85" spans="1:136" ht="15.5">
      <c r="A85" s="90"/>
      <c r="B85" s="19" t="s">
        <v>2</v>
      </c>
      <c r="C85" s="94"/>
      <c r="D85" s="18"/>
      <c r="E85" s="18"/>
      <c r="F85" s="18">
        <v>0</v>
      </c>
      <c r="G85" s="18">
        <v>0</v>
      </c>
      <c r="H85" s="18">
        <v>0</v>
      </c>
      <c r="I85" s="18">
        <v>0</v>
      </c>
      <c r="J85" s="18">
        <v>0</v>
      </c>
      <c r="K85" s="18">
        <v>0</v>
      </c>
      <c r="L85" s="18">
        <v>0</v>
      </c>
      <c r="M85" s="18">
        <v>0</v>
      </c>
      <c r="N85" s="18">
        <v>0</v>
      </c>
      <c r="O85" s="18">
        <v>0</v>
      </c>
      <c r="P85" s="18">
        <v>0</v>
      </c>
      <c r="Q85" s="18">
        <v>0</v>
      </c>
      <c r="R85" s="18">
        <v>0</v>
      </c>
      <c r="S85" s="34">
        <v>0</v>
      </c>
      <c r="T85" s="34">
        <v>0</v>
      </c>
      <c r="U85" s="34">
        <v>0</v>
      </c>
      <c r="V85" s="34">
        <v>0</v>
      </c>
      <c r="W85" s="34">
        <v>0</v>
      </c>
      <c r="X85" s="34">
        <v>0</v>
      </c>
      <c r="Y85" s="34">
        <v>0</v>
      </c>
      <c r="Z85" s="34">
        <v>0</v>
      </c>
      <c r="AA85" s="34">
        <v>0</v>
      </c>
      <c r="AB85" s="34">
        <v>0</v>
      </c>
      <c r="AC85" s="34">
        <v>0</v>
      </c>
      <c r="AD85" s="34">
        <v>0</v>
      </c>
      <c r="AE85" s="34">
        <v>0</v>
      </c>
      <c r="AF85" s="34">
        <v>0</v>
      </c>
      <c r="AG85" s="34">
        <v>0</v>
      </c>
      <c r="AH85" s="18">
        <v>0</v>
      </c>
      <c r="AI85" s="18">
        <v>0</v>
      </c>
      <c r="AJ85" s="18">
        <v>0</v>
      </c>
      <c r="AK85" s="18">
        <v>0</v>
      </c>
      <c r="AL85" s="18">
        <v>5344</v>
      </c>
      <c r="AM85" s="18">
        <v>7320</v>
      </c>
      <c r="AN85" s="18">
        <v>0</v>
      </c>
      <c r="AO85" s="18">
        <v>0</v>
      </c>
      <c r="AP85" s="18">
        <v>0</v>
      </c>
      <c r="AQ85" s="18">
        <v>0</v>
      </c>
      <c r="AR85" s="18">
        <v>0</v>
      </c>
      <c r="AS85" s="18">
        <v>0</v>
      </c>
      <c r="AT85" s="18">
        <v>0</v>
      </c>
      <c r="AU85" s="18">
        <v>0</v>
      </c>
      <c r="AV85" s="18">
        <v>0</v>
      </c>
      <c r="AW85" s="18">
        <v>0</v>
      </c>
      <c r="AX85" s="18">
        <v>0</v>
      </c>
      <c r="AY85" s="18">
        <v>8</v>
      </c>
      <c r="AZ85" s="18">
        <v>8</v>
      </c>
      <c r="BA85" s="18">
        <v>3</v>
      </c>
      <c r="BB85" s="18">
        <v>3</v>
      </c>
      <c r="BC85" s="18">
        <v>2</v>
      </c>
      <c r="BD85" s="18">
        <v>2</v>
      </c>
      <c r="BE85" s="25">
        <v>1.9</v>
      </c>
      <c r="BF85" s="18">
        <v>2</v>
      </c>
      <c r="BG85" s="113">
        <v>2</v>
      </c>
      <c r="BH85" s="113">
        <v>2</v>
      </c>
      <c r="BI85" s="113">
        <v>2</v>
      </c>
      <c r="BJ85" s="160">
        <v>2</v>
      </c>
      <c r="BK85" s="113">
        <v>2</v>
      </c>
      <c r="BL85" s="113">
        <v>0</v>
      </c>
      <c r="BM85" s="113">
        <v>0</v>
      </c>
      <c r="BN85" s="113">
        <v>0</v>
      </c>
      <c r="BO85" s="113">
        <v>0</v>
      </c>
      <c r="BP85" s="113">
        <v>0</v>
      </c>
      <c r="BQ85" s="113">
        <v>0</v>
      </c>
      <c r="BR85" s="101"/>
      <c r="BS85">
        <f t="shared" si="101"/>
        <v>0</v>
      </c>
      <c r="BT85">
        <f t="shared" si="101"/>
        <v>0</v>
      </c>
      <c r="BU85">
        <f t="shared" si="101"/>
        <v>0</v>
      </c>
      <c r="BV85">
        <f t="shared" si="101"/>
        <v>0</v>
      </c>
      <c r="BW85">
        <f t="shared" si="101"/>
        <v>0</v>
      </c>
      <c r="BX85">
        <f t="shared" si="101"/>
        <v>0</v>
      </c>
      <c r="BY85">
        <f t="shared" si="101"/>
        <v>0</v>
      </c>
      <c r="BZ85">
        <f t="shared" si="101"/>
        <v>0</v>
      </c>
      <c r="CA85">
        <f t="shared" si="101"/>
        <v>0</v>
      </c>
      <c r="CB85">
        <f t="shared" si="101"/>
        <v>0</v>
      </c>
      <c r="CC85">
        <f t="shared" si="102"/>
        <v>0</v>
      </c>
      <c r="CD85">
        <f t="shared" si="102"/>
        <v>0</v>
      </c>
      <c r="CE85">
        <f t="shared" si="102"/>
        <v>0</v>
      </c>
      <c r="CF85">
        <f t="shared" si="102"/>
        <v>0</v>
      </c>
      <c r="CG85">
        <f t="shared" si="102"/>
        <v>0</v>
      </c>
      <c r="CH85">
        <f t="shared" si="102"/>
        <v>0</v>
      </c>
      <c r="CI85">
        <f t="shared" si="102"/>
        <v>0</v>
      </c>
      <c r="CJ85">
        <f t="shared" si="102"/>
        <v>0</v>
      </c>
      <c r="CK85">
        <f t="shared" si="102"/>
        <v>0</v>
      </c>
      <c r="CL85">
        <f t="shared" si="102"/>
        <v>0</v>
      </c>
      <c r="CM85">
        <f t="shared" si="103"/>
        <v>0</v>
      </c>
      <c r="CN85">
        <f t="shared" si="103"/>
        <v>0</v>
      </c>
      <c r="CO85">
        <f t="shared" si="103"/>
        <v>0</v>
      </c>
      <c r="CP85">
        <f t="shared" si="103"/>
        <v>0</v>
      </c>
      <c r="CQ85">
        <f t="shared" si="103"/>
        <v>0</v>
      </c>
      <c r="CR85">
        <f t="shared" si="103"/>
        <v>0</v>
      </c>
      <c r="CS85">
        <f t="shared" si="103"/>
        <v>0</v>
      </c>
      <c r="CT85">
        <f t="shared" si="103"/>
        <v>0</v>
      </c>
      <c r="CU85">
        <f t="shared" si="103"/>
        <v>0</v>
      </c>
      <c r="CV85">
        <f t="shared" si="103"/>
        <v>0</v>
      </c>
      <c r="CW85">
        <f t="shared" si="104"/>
        <v>0</v>
      </c>
      <c r="CX85">
        <f t="shared" si="104"/>
        <v>0</v>
      </c>
      <c r="CY85">
        <f t="shared" si="104"/>
        <v>0</v>
      </c>
      <c r="CZ85">
        <f t="shared" si="104"/>
        <v>0</v>
      </c>
      <c r="DA85">
        <f t="shared" si="104"/>
        <v>0</v>
      </c>
      <c r="DB85">
        <f t="shared" si="104"/>
        <v>0</v>
      </c>
      <c r="DC85">
        <f t="shared" si="104"/>
        <v>0</v>
      </c>
      <c r="DD85">
        <f t="shared" si="104"/>
        <v>0</v>
      </c>
      <c r="DE85">
        <f t="shared" si="104"/>
        <v>0</v>
      </c>
      <c r="DF85">
        <f t="shared" si="104"/>
        <v>0</v>
      </c>
      <c r="DG85">
        <f t="shared" si="105"/>
        <v>0</v>
      </c>
      <c r="DH85">
        <f t="shared" si="105"/>
        <v>0</v>
      </c>
      <c r="DI85">
        <f t="shared" si="105"/>
        <v>0</v>
      </c>
      <c r="DJ85">
        <f t="shared" si="105"/>
        <v>0</v>
      </c>
      <c r="DK85">
        <f t="shared" si="105"/>
        <v>0</v>
      </c>
      <c r="DL85">
        <f t="shared" si="105"/>
        <v>0</v>
      </c>
      <c r="DM85">
        <f t="shared" si="105"/>
        <v>0</v>
      </c>
      <c r="DN85">
        <f t="shared" si="105"/>
        <v>0</v>
      </c>
      <c r="DO85">
        <f t="shared" si="105"/>
        <v>0</v>
      </c>
      <c r="DP85">
        <f t="shared" si="105"/>
        <v>0</v>
      </c>
      <c r="DQ85">
        <f t="shared" si="106"/>
        <v>0</v>
      </c>
      <c r="DR85">
        <f t="shared" si="106"/>
        <v>0</v>
      </c>
      <c r="DS85">
        <f t="shared" si="106"/>
        <v>0</v>
      </c>
      <c r="DT85">
        <f t="shared" si="106"/>
        <v>0</v>
      </c>
      <c r="DU85">
        <f t="shared" si="106"/>
        <v>0</v>
      </c>
      <c r="DV85">
        <f t="shared" si="106"/>
        <v>0</v>
      </c>
      <c r="DW85">
        <f t="shared" si="106"/>
        <v>0</v>
      </c>
      <c r="DX85">
        <f t="shared" si="106"/>
        <v>0</v>
      </c>
      <c r="DY85">
        <f t="shared" si="106"/>
        <v>0</v>
      </c>
      <c r="DZ85">
        <f t="shared" si="106"/>
        <v>0</v>
      </c>
      <c r="EA85">
        <f t="shared" si="107"/>
        <v>0</v>
      </c>
      <c r="EB85">
        <f t="shared" si="107"/>
        <v>0</v>
      </c>
      <c r="EC85">
        <f t="shared" si="107"/>
        <v>0</v>
      </c>
      <c r="ED85">
        <f t="shared" si="107"/>
        <v>0</v>
      </c>
      <c r="EE85">
        <f t="shared" si="107"/>
        <v>0</v>
      </c>
      <c r="EF85">
        <f t="shared" si="107"/>
        <v>0</v>
      </c>
    </row>
    <row r="86" spans="1:136" ht="15.5">
      <c r="A86" s="90"/>
      <c r="B86" s="19" t="s">
        <v>205</v>
      </c>
      <c r="C86" s="94"/>
      <c r="D86" s="18"/>
      <c r="E86" s="18"/>
      <c r="F86" s="18">
        <v>0</v>
      </c>
      <c r="G86" s="18">
        <v>0</v>
      </c>
      <c r="H86" s="18">
        <v>0</v>
      </c>
      <c r="I86" s="18">
        <v>0</v>
      </c>
      <c r="J86" s="18">
        <v>0</v>
      </c>
      <c r="K86" s="18">
        <v>0</v>
      </c>
      <c r="L86" s="18">
        <v>0</v>
      </c>
      <c r="M86" s="18">
        <v>0</v>
      </c>
      <c r="N86" s="18">
        <v>0</v>
      </c>
      <c r="O86" s="18">
        <v>0</v>
      </c>
      <c r="P86" s="18">
        <v>0</v>
      </c>
      <c r="Q86" s="18">
        <v>0</v>
      </c>
      <c r="R86" s="18">
        <v>0</v>
      </c>
      <c r="S86" s="34">
        <v>0</v>
      </c>
      <c r="T86" s="34">
        <v>0</v>
      </c>
      <c r="U86" s="34">
        <v>0</v>
      </c>
      <c r="V86" s="34">
        <v>0</v>
      </c>
      <c r="W86" s="34">
        <v>0</v>
      </c>
      <c r="X86" s="34">
        <v>0</v>
      </c>
      <c r="Y86" s="34">
        <v>0</v>
      </c>
      <c r="Z86" s="34">
        <v>0</v>
      </c>
      <c r="AA86" s="34">
        <v>0</v>
      </c>
      <c r="AB86" s="34">
        <v>0</v>
      </c>
      <c r="AC86" s="34">
        <v>0</v>
      </c>
      <c r="AD86" s="34">
        <v>0</v>
      </c>
      <c r="AE86" s="34">
        <v>0</v>
      </c>
      <c r="AF86" s="34">
        <v>0</v>
      </c>
      <c r="AG86" s="34">
        <v>0</v>
      </c>
      <c r="AH86" s="18">
        <v>0</v>
      </c>
      <c r="AI86" s="18">
        <v>0</v>
      </c>
      <c r="AJ86" s="18">
        <v>0</v>
      </c>
      <c r="AK86" s="18">
        <v>0</v>
      </c>
      <c r="AL86" s="18">
        <v>14.753879</v>
      </c>
      <c r="AM86" s="18">
        <v>4.3616239999999999</v>
      </c>
      <c r="AN86" s="18">
        <v>4.2531410000000003</v>
      </c>
      <c r="AO86" s="18">
        <v>4.913411</v>
      </c>
      <c r="AP86" s="18">
        <v>4.8757099999999998</v>
      </c>
      <c r="AQ86" s="18">
        <v>0</v>
      </c>
      <c r="AR86" s="18">
        <v>0</v>
      </c>
      <c r="AS86" s="18">
        <v>0</v>
      </c>
      <c r="AT86" s="18">
        <v>0</v>
      </c>
      <c r="AU86" s="18">
        <v>0</v>
      </c>
      <c r="AV86" s="18">
        <v>0</v>
      </c>
      <c r="AW86" s="18">
        <v>0</v>
      </c>
      <c r="AX86" s="18">
        <v>0</v>
      </c>
      <c r="AY86" s="18">
        <v>0</v>
      </c>
      <c r="AZ86" s="18">
        <v>0</v>
      </c>
      <c r="BA86" s="18">
        <v>0</v>
      </c>
      <c r="BB86" s="18">
        <v>0</v>
      </c>
      <c r="BC86" s="18">
        <v>0</v>
      </c>
      <c r="BD86" s="18">
        <v>0</v>
      </c>
      <c r="BE86" s="25">
        <v>0</v>
      </c>
      <c r="BF86" s="18">
        <v>0</v>
      </c>
      <c r="BG86" s="113">
        <v>0</v>
      </c>
      <c r="BH86" s="113">
        <v>0</v>
      </c>
      <c r="BI86" s="113">
        <v>0</v>
      </c>
      <c r="BJ86" s="160">
        <v>0</v>
      </c>
      <c r="BK86" s="113">
        <v>0</v>
      </c>
      <c r="BL86" s="113">
        <v>0</v>
      </c>
      <c r="BM86" s="113">
        <v>0</v>
      </c>
      <c r="BN86" s="113">
        <v>0</v>
      </c>
      <c r="BO86" s="113">
        <v>0</v>
      </c>
      <c r="BP86" s="113">
        <v>0</v>
      </c>
      <c r="BQ86" s="113">
        <v>0</v>
      </c>
      <c r="BR86" s="101"/>
      <c r="BS86">
        <f t="shared" si="101"/>
        <v>0</v>
      </c>
      <c r="BT86">
        <f t="shared" si="101"/>
        <v>0</v>
      </c>
      <c r="BU86">
        <f t="shared" si="101"/>
        <v>0</v>
      </c>
      <c r="BV86">
        <f t="shared" si="101"/>
        <v>0</v>
      </c>
      <c r="BW86">
        <f t="shared" si="101"/>
        <v>0</v>
      </c>
      <c r="BX86">
        <f t="shared" si="101"/>
        <v>0</v>
      </c>
      <c r="BY86">
        <f t="shared" si="101"/>
        <v>0</v>
      </c>
      <c r="BZ86">
        <f t="shared" si="101"/>
        <v>0</v>
      </c>
      <c r="CA86">
        <f t="shared" si="101"/>
        <v>0</v>
      </c>
      <c r="CB86">
        <f t="shared" si="101"/>
        <v>0</v>
      </c>
      <c r="CC86">
        <f t="shared" si="102"/>
        <v>0</v>
      </c>
      <c r="CD86">
        <f t="shared" si="102"/>
        <v>0</v>
      </c>
      <c r="CE86">
        <f t="shared" si="102"/>
        <v>0</v>
      </c>
      <c r="CF86">
        <f t="shared" si="102"/>
        <v>0</v>
      </c>
      <c r="CG86">
        <f t="shared" si="102"/>
        <v>0</v>
      </c>
      <c r="CH86">
        <f t="shared" si="102"/>
        <v>0</v>
      </c>
      <c r="CI86">
        <f t="shared" si="102"/>
        <v>0</v>
      </c>
      <c r="CJ86">
        <f t="shared" si="102"/>
        <v>0</v>
      </c>
      <c r="CK86">
        <f t="shared" si="102"/>
        <v>0</v>
      </c>
      <c r="CL86">
        <f t="shared" si="102"/>
        <v>0</v>
      </c>
      <c r="CM86">
        <f t="shared" si="103"/>
        <v>0</v>
      </c>
      <c r="CN86">
        <f t="shared" si="103"/>
        <v>0</v>
      </c>
      <c r="CO86">
        <f t="shared" si="103"/>
        <v>0</v>
      </c>
      <c r="CP86">
        <f t="shared" si="103"/>
        <v>0</v>
      </c>
      <c r="CQ86">
        <f t="shared" si="103"/>
        <v>0</v>
      </c>
      <c r="CR86">
        <f t="shared" si="103"/>
        <v>0</v>
      </c>
      <c r="CS86">
        <f t="shared" si="103"/>
        <v>0</v>
      </c>
      <c r="CT86">
        <f t="shared" si="103"/>
        <v>0</v>
      </c>
      <c r="CU86">
        <f t="shared" si="103"/>
        <v>0</v>
      </c>
      <c r="CV86">
        <f t="shared" si="103"/>
        <v>0</v>
      </c>
      <c r="CW86">
        <f t="shared" si="104"/>
        <v>0</v>
      </c>
      <c r="CX86">
        <f t="shared" si="104"/>
        <v>0</v>
      </c>
      <c r="CY86">
        <f t="shared" si="104"/>
        <v>0</v>
      </c>
      <c r="CZ86">
        <f t="shared" si="104"/>
        <v>0</v>
      </c>
      <c r="DA86">
        <f t="shared" si="104"/>
        <v>0</v>
      </c>
      <c r="DB86">
        <f t="shared" si="104"/>
        <v>0</v>
      </c>
      <c r="DC86">
        <f t="shared" si="104"/>
        <v>0</v>
      </c>
      <c r="DD86">
        <f t="shared" si="104"/>
        <v>0</v>
      </c>
      <c r="DE86">
        <f t="shared" si="104"/>
        <v>0</v>
      </c>
      <c r="DF86">
        <f t="shared" si="104"/>
        <v>0</v>
      </c>
      <c r="DG86">
        <f t="shared" si="105"/>
        <v>0</v>
      </c>
      <c r="DH86">
        <f t="shared" si="105"/>
        <v>0</v>
      </c>
      <c r="DI86">
        <f t="shared" si="105"/>
        <v>0</v>
      </c>
      <c r="DJ86">
        <f t="shared" si="105"/>
        <v>0</v>
      </c>
      <c r="DK86">
        <f t="shared" si="105"/>
        <v>0</v>
      </c>
      <c r="DL86">
        <f t="shared" si="105"/>
        <v>0</v>
      </c>
      <c r="DM86">
        <f t="shared" si="105"/>
        <v>0</v>
      </c>
      <c r="DN86">
        <f t="shared" si="105"/>
        <v>0</v>
      </c>
      <c r="DO86">
        <f t="shared" si="105"/>
        <v>0</v>
      </c>
      <c r="DP86">
        <f t="shared" si="105"/>
        <v>0</v>
      </c>
      <c r="DQ86">
        <f t="shared" si="106"/>
        <v>0</v>
      </c>
      <c r="DR86">
        <f t="shared" si="106"/>
        <v>0</v>
      </c>
      <c r="DS86">
        <f t="shared" si="106"/>
        <v>0</v>
      </c>
      <c r="DT86">
        <f t="shared" si="106"/>
        <v>0</v>
      </c>
      <c r="DU86">
        <f t="shared" si="106"/>
        <v>0</v>
      </c>
      <c r="DV86">
        <f t="shared" si="106"/>
        <v>0</v>
      </c>
      <c r="DW86">
        <f t="shared" si="106"/>
        <v>0</v>
      </c>
      <c r="DX86">
        <f t="shared" si="106"/>
        <v>0</v>
      </c>
      <c r="DY86">
        <f t="shared" si="106"/>
        <v>0</v>
      </c>
      <c r="DZ86">
        <f t="shared" si="106"/>
        <v>0</v>
      </c>
      <c r="EA86">
        <f t="shared" si="107"/>
        <v>0</v>
      </c>
      <c r="EB86">
        <f t="shared" si="107"/>
        <v>0</v>
      </c>
      <c r="EC86">
        <f t="shared" si="107"/>
        <v>0</v>
      </c>
      <c r="ED86">
        <f t="shared" si="107"/>
        <v>0</v>
      </c>
      <c r="EE86">
        <f t="shared" si="107"/>
        <v>0</v>
      </c>
      <c r="EF86">
        <f t="shared" si="107"/>
        <v>0</v>
      </c>
    </row>
    <row r="87" spans="1:136" ht="15.5">
      <c r="A87" s="90"/>
      <c r="B87" s="19" t="s">
        <v>3</v>
      </c>
      <c r="C87" s="94"/>
      <c r="D87" s="18"/>
      <c r="E87" s="18"/>
      <c r="F87" s="18">
        <v>0</v>
      </c>
      <c r="G87" s="18">
        <v>0</v>
      </c>
      <c r="H87" s="18">
        <v>0</v>
      </c>
      <c r="I87" s="18">
        <v>0</v>
      </c>
      <c r="J87" s="18">
        <v>0</v>
      </c>
      <c r="K87" s="18">
        <v>0</v>
      </c>
      <c r="L87" s="18">
        <v>0</v>
      </c>
      <c r="M87" s="18">
        <v>0</v>
      </c>
      <c r="N87" s="18">
        <v>0</v>
      </c>
      <c r="O87" s="18">
        <v>0</v>
      </c>
      <c r="P87" s="18">
        <v>0</v>
      </c>
      <c r="Q87" s="18">
        <v>0</v>
      </c>
      <c r="R87" s="18">
        <v>0</v>
      </c>
      <c r="S87" s="34">
        <v>0</v>
      </c>
      <c r="T87" s="34">
        <v>6.423</v>
      </c>
      <c r="U87" s="34">
        <v>13.012</v>
      </c>
      <c r="V87" s="34">
        <v>0.95899999999999996</v>
      </c>
      <c r="W87" s="34">
        <v>0</v>
      </c>
      <c r="X87" s="34">
        <v>0</v>
      </c>
      <c r="Y87" s="34">
        <v>0</v>
      </c>
      <c r="Z87" s="34">
        <v>0</v>
      </c>
      <c r="AA87" s="34">
        <v>0</v>
      </c>
      <c r="AB87" s="34">
        <v>0</v>
      </c>
      <c r="AC87" s="34">
        <v>0</v>
      </c>
      <c r="AD87" s="34">
        <v>0</v>
      </c>
      <c r="AE87" s="34">
        <v>0</v>
      </c>
      <c r="AF87" s="34">
        <v>0</v>
      </c>
      <c r="AG87" s="34">
        <v>0</v>
      </c>
      <c r="AH87" s="18">
        <v>0.44529249999999998</v>
      </c>
      <c r="AI87" s="18">
        <v>4.0239499999999997E-2</v>
      </c>
      <c r="AJ87" s="18">
        <v>1.0140064</v>
      </c>
      <c r="AK87" s="18">
        <v>3.2304469999999998</v>
      </c>
      <c r="AL87" s="40" t="s">
        <v>16</v>
      </c>
      <c r="AM87" s="40" t="s">
        <v>16</v>
      </c>
      <c r="AN87" s="18">
        <f>406.8909308-AN86</f>
        <v>402.63778979999995</v>
      </c>
      <c r="AO87" s="18">
        <f>248.6761491-AO86</f>
        <v>243.76273810000001</v>
      </c>
      <c r="AP87" s="18">
        <f>81.0765704-AP86</f>
        <v>76.200860399999996</v>
      </c>
      <c r="AQ87" s="18">
        <v>0</v>
      </c>
      <c r="AR87" s="18">
        <v>0</v>
      </c>
      <c r="AS87" s="18">
        <v>0</v>
      </c>
      <c r="AT87" s="18">
        <v>3.3987999999999997E-2</v>
      </c>
      <c r="AU87" s="18">
        <v>1.0401799999999999E-2</v>
      </c>
      <c r="AV87" s="18">
        <v>1.08711E-2</v>
      </c>
      <c r="AW87" s="18">
        <v>1.0004899999999999E-2</v>
      </c>
      <c r="AX87" s="18">
        <v>0</v>
      </c>
      <c r="AY87" s="18">
        <v>0</v>
      </c>
      <c r="AZ87" s="18">
        <v>0</v>
      </c>
      <c r="BA87" s="18">
        <v>0</v>
      </c>
      <c r="BB87" s="18">
        <v>0</v>
      </c>
      <c r="BC87" s="18">
        <v>0</v>
      </c>
      <c r="BD87" s="18">
        <v>76.7</v>
      </c>
      <c r="BE87" s="25">
        <v>0</v>
      </c>
      <c r="BF87" s="18">
        <v>0</v>
      </c>
      <c r="BG87" s="18">
        <v>0</v>
      </c>
      <c r="BH87" s="113">
        <v>0</v>
      </c>
      <c r="BI87" s="113">
        <v>0</v>
      </c>
      <c r="BJ87" s="113">
        <v>0.17128189999999999</v>
      </c>
      <c r="BK87" s="113">
        <v>0</v>
      </c>
      <c r="BL87" s="113">
        <v>0</v>
      </c>
      <c r="BM87" s="113">
        <v>0</v>
      </c>
      <c r="BN87" s="113">
        <v>0</v>
      </c>
      <c r="BO87" s="113">
        <v>0</v>
      </c>
      <c r="BP87" s="113">
        <v>0</v>
      </c>
      <c r="BQ87" s="113">
        <v>0</v>
      </c>
      <c r="BR87" s="101"/>
      <c r="BS87">
        <f t="shared" si="101"/>
        <v>0</v>
      </c>
      <c r="BT87">
        <f t="shared" si="101"/>
        <v>0</v>
      </c>
      <c r="BU87">
        <f t="shared" si="101"/>
        <v>0</v>
      </c>
      <c r="BV87">
        <f t="shared" si="101"/>
        <v>0</v>
      </c>
      <c r="BW87">
        <f t="shared" si="101"/>
        <v>0</v>
      </c>
      <c r="BX87">
        <f t="shared" si="101"/>
        <v>0</v>
      </c>
      <c r="BY87">
        <f t="shared" si="101"/>
        <v>0</v>
      </c>
      <c r="BZ87">
        <f t="shared" si="101"/>
        <v>0</v>
      </c>
      <c r="CA87">
        <f t="shared" si="101"/>
        <v>0</v>
      </c>
      <c r="CB87">
        <f t="shared" si="101"/>
        <v>0</v>
      </c>
      <c r="CC87">
        <f t="shared" si="102"/>
        <v>0</v>
      </c>
      <c r="CD87">
        <f t="shared" si="102"/>
        <v>0</v>
      </c>
      <c r="CE87">
        <f t="shared" si="102"/>
        <v>0</v>
      </c>
      <c r="CF87">
        <f t="shared" si="102"/>
        <v>0</v>
      </c>
      <c r="CG87">
        <f t="shared" si="102"/>
        <v>0</v>
      </c>
      <c r="CH87">
        <f t="shared" si="102"/>
        <v>0</v>
      </c>
      <c r="CI87">
        <f t="shared" si="102"/>
        <v>0</v>
      </c>
      <c r="CJ87">
        <f t="shared" si="102"/>
        <v>0</v>
      </c>
      <c r="CK87">
        <f t="shared" si="102"/>
        <v>0</v>
      </c>
      <c r="CL87">
        <f t="shared" si="102"/>
        <v>0</v>
      </c>
      <c r="CM87">
        <f t="shared" si="103"/>
        <v>0</v>
      </c>
      <c r="CN87">
        <f t="shared" si="103"/>
        <v>0</v>
      </c>
      <c r="CO87">
        <f t="shared" si="103"/>
        <v>0</v>
      </c>
      <c r="CP87">
        <f t="shared" si="103"/>
        <v>0</v>
      </c>
      <c r="CQ87">
        <f t="shared" si="103"/>
        <v>0</v>
      </c>
      <c r="CR87">
        <f t="shared" si="103"/>
        <v>0</v>
      </c>
      <c r="CS87">
        <f t="shared" si="103"/>
        <v>0</v>
      </c>
      <c r="CT87">
        <f t="shared" si="103"/>
        <v>0</v>
      </c>
      <c r="CU87">
        <f t="shared" si="103"/>
        <v>0</v>
      </c>
      <c r="CV87">
        <f t="shared" si="103"/>
        <v>0</v>
      </c>
      <c r="CW87">
        <f t="shared" si="104"/>
        <v>0</v>
      </c>
      <c r="CX87">
        <f t="shared" si="104"/>
        <v>0</v>
      </c>
      <c r="CY87">
        <f t="shared" si="104"/>
        <v>0</v>
      </c>
      <c r="CZ87">
        <f t="shared" si="104"/>
        <v>0</v>
      </c>
      <c r="DA87">
        <f t="shared" si="104"/>
        <v>0</v>
      </c>
      <c r="DB87">
        <f t="shared" si="104"/>
        <v>0</v>
      </c>
      <c r="DC87">
        <f t="shared" si="104"/>
        <v>0</v>
      </c>
      <c r="DD87">
        <f t="shared" si="104"/>
        <v>0</v>
      </c>
      <c r="DE87">
        <f t="shared" si="104"/>
        <v>0</v>
      </c>
      <c r="DF87">
        <f t="shared" si="104"/>
        <v>0</v>
      </c>
      <c r="DG87">
        <f t="shared" si="105"/>
        <v>0</v>
      </c>
      <c r="DH87">
        <f t="shared" si="105"/>
        <v>0</v>
      </c>
      <c r="DI87">
        <f t="shared" si="105"/>
        <v>0</v>
      </c>
      <c r="DJ87">
        <f t="shared" si="105"/>
        <v>0</v>
      </c>
      <c r="DK87">
        <f t="shared" si="105"/>
        <v>0</v>
      </c>
      <c r="DL87">
        <f t="shared" si="105"/>
        <v>0</v>
      </c>
      <c r="DM87">
        <f t="shared" si="105"/>
        <v>0</v>
      </c>
      <c r="DN87">
        <f t="shared" si="105"/>
        <v>0</v>
      </c>
      <c r="DO87">
        <f t="shared" si="105"/>
        <v>0</v>
      </c>
      <c r="DP87">
        <f t="shared" si="105"/>
        <v>0</v>
      </c>
      <c r="DQ87">
        <f t="shared" si="106"/>
        <v>0</v>
      </c>
      <c r="DR87">
        <f t="shared" si="106"/>
        <v>0</v>
      </c>
      <c r="DS87">
        <f t="shared" si="106"/>
        <v>0</v>
      </c>
      <c r="DT87">
        <f t="shared" si="106"/>
        <v>0</v>
      </c>
      <c r="DU87">
        <f t="shared" si="106"/>
        <v>0</v>
      </c>
      <c r="DV87">
        <f t="shared" si="106"/>
        <v>0</v>
      </c>
      <c r="DW87">
        <f t="shared" si="106"/>
        <v>0</v>
      </c>
      <c r="DX87">
        <f t="shared" si="106"/>
        <v>0</v>
      </c>
      <c r="DY87">
        <f t="shared" si="106"/>
        <v>0</v>
      </c>
      <c r="DZ87">
        <f t="shared" si="106"/>
        <v>0</v>
      </c>
      <c r="EA87">
        <f t="shared" si="107"/>
        <v>0</v>
      </c>
      <c r="EB87">
        <f t="shared" si="107"/>
        <v>0</v>
      </c>
      <c r="EC87">
        <f t="shared" si="107"/>
        <v>0</v>
      </c>
      <c r="ED87">
        <f t="shared" si="107"/>
        <v>0</v>
      </c>
      <c r="EE87">
        <f t="shared" si="107"/>
        <v>0</v>
      </c>
      <c r="EF87">
        <f t="shared" si="107"/>
        <v>0</v>
      </c>
    </row>
    <row r="88" spans="1:136" ht="15.5">
      <c r="A88" s="90"/>
      <c r="B88" s="19" t="s">
        <v>18</v>
      </c>
      <c r="C88" s="94"/>
      <c r="D88" s="18"/>
      <c r="E88" s="18"/>
      <c r="F88" s="18">
        <v>0</v>
      </c>
      <c r="G88" s="18">
        <v>0</v>
      </c>
      <c r="H88" s="18">
        <v>0</v>
      </c>
      <c r="I88" s="18">
        <v>0</v>
      </c>
      <c r="J88" s="18">
        <v>0</v>
      </c>
      <c r="K88" s="18">
        <v>0</v>
      </c>
      <c r="L88" s="18">
        <v>0</v>
      </c>
      <c r="M88" s="18">
        <v>0</v>
      </c>
      <c r="N88" s="18">
        <v>0</v>
      </c>
      <c r="O88" s="18">
        <v>0</v>
      </c>
      <c r="P88" s="18">
        <v>0</v>
      </c>
      <c r="Q88" s="18">
        <v>0</v>
      </c>
      <c r="R88" s="18">
        <v>0</v>
      </c>
      <c r="S88" s="18">
        <v>0</v>
      </c>
      <c r="T88" s="18">
        <v>0</v>
      </c>
      <c r="U88" s="18">
        <v>0</v>
      </c>
      <c r="V88" s="18">
        <v>0</v>
      </c>
      <c r="W88" s="18">
        <v>0</v>
      </c>
      <c r="X88" s="18">
        <v>0</v>
      </c>
      <c r="Y88" s="18">
        <v>0</v>
      </c>
      <c r="Z88" s="18">
        <v>0</v>
      </c>
      <c r="AA88" s="18">
        <v>0</v>
      </c>
      <c r="AB88" s="18">
        <v>0</v>
      </c>
      <c r="AC88" s="18">
        <v>0</v>
      </c>
      <c r="AD88" s="18">
        <v>0</v>
      </c>
      <c r="AE88" s="18">
        <v>0</v>
      </c>
      <c r="AF88" s="18">
        <v>0</v>
      </c>
      <c r="AG88" s="18">
        <v>0</v>
      </c>
      <c r="AH88" s="34">
        <v>0</v>
      </c>
      <c r="AI88" s="34">
        <v>0</v>
      </c>
      <c r="AJ88" s="34">
        <v>0</v>
      </c>
      <c r="AK88" s="34">
        <v>0</v>
      </c>
      <c r="AL88" s="34">
        <v>0</v>
      </c>
      <c r="AM88" s="34">
        <v>0</v>
      </c>
      <c r="AN88" s="34">
        <v>0</v>
      </c>
      <c r="AO88" s="34">
        <v>0</v>
      </c>
      <c r="AP88" s="34">
        <v>12.592592592592592</v>
      </c>
      <c r="AQ88" s="34">
        <f>34/2.7</f>
        <v>12.592592592592592</v>
      </c>
      <c r="AR88" s="34">
        <f>40.2/2.7</f>
        <v>14.888888888888889</v>
      </c>
      <c r="AS88" s="34">
        <f>46.8/2.7</f>
        <v>17.333333333333332</v>
      </c>
      <c r="AT88" s="34">
        <f>42.6/2.7</f>
        <v>15.777777777777777</v>
      </c>
      <c r="AU88" s="34">
        <f>51.3/2.7</f>
        <v>18.999999999999996</v>
      </c>
      <c r="AV88" s="34">
        <v>0</v>
      </c>
      <c r="AW88" s="34">
        <v>85</v>
      </c>
      <c r="AX88" s="34">
        <v>105</v>
      </c>
      <c r="AY88" s="34">
        <v>47</v>
      </c>
      <c r="AZ88" s="34">
        <v>43</v>
      </c>
      <c r="BA88" s="34">
        <v>33</v>
      </c>
      <c r="BB88" s="34">
        <v>43</v>
      </c>
      <c r="BC88" s="34">
        <v>44</v>
      </c>
      <c r="BD88" s="18">
        <v>0</v>
      </c>
      <c r="BE88" s="25">
        <v>0</v>
      </c>
      <c r="BF88" s="18">
        <v>0</v>
      </c>
      <c r="BG88" s="18">
        <v>0</v>
      </c>
      <c r="BH88" s="113">
        <v>0</v>
      </c>
      <c r="BI88" s="113">
        <v>0</v>
      </c>
      <c r="BJ88" s="160">
        <v>0</v>
      </c>
      <c r="BK88" s="113">
        <v>0</v>
      </c>
      <c r="BL88" s="113">
        <v>0</v>
      </c>
      <c r="BM88" s="113">
        <v>0</v>
      </c>
      <c r="BN88" s="113">
        <v>0</v>
      </c>
      <c r="BO88" s="113">
        <v>0</v>
      </c>
      <c r="BP88" s="113">
        <v>0</v>
      </c>
      <c r="BQ88" s="113">
        <v>0</v>
      </c>
      <c r="BR88" s="101"/>
      <c r="BS88">
        <f t="shared" si="101"/>
        <v>0</v>
      </c>
      <c r="BT88">
        <f t="shared" si="101"/>
        <v>0</v>
      </c>
      <c r="BU88">
        <f t="shared" si="101"/>
        <v>0</v>
      </c>
      <c r="BV88">
        <f t="shared" si="101"/>
        <v>0</v>
      </c>
      <c r="BW88">
        <f t="shared" si="101"/>
        <v>0</v>
      </c>
      <c r="BX88">
        <f t="shared" si="101"/>
        <v>0</v>
      </c>
      <c r="BY88">
        <f t="shared" si="101"/>
        <v>0</v>
      </c>
      <c r="BZ88">
        <f t="shared" si="101"/>
        <v>0</v>
      </c>
      <c r="CA88">
        <f t="shared" si="101"/>
        <v>0</v>
      </c>
      <c r="CB88">
        <f t="shared" si="101"/>
        <v>0</v>
      </c>
      <c r="CC88">
        <f t="shared" si="102"/>
        <v>0</v>
      </c>
      <c r="CD88">
        <f t="shared" si="102"/>
        <v>0</v>
      </c>
      <c r="CE88">
        <f t="shared" si="102"/>
        <v>0</v>
      </c>
      <c r="CF88">
        <f t="shared" si="102"/>
        <v>0</v>
      </c>
      <c r="CG88">
        <f t="shared" si="102"/>
        <v>0</v>
      </c>
      <c r="CH88">
        <f t="shared" si="102"/>
        <v>0</v>
      </c>
      <c r="CI88">
        <f t="shared" si="102"/>
        <v>0</v>
      </c>
      <c r="CJ88">
        <f t="shared" si="102"/>
        <v>0</v>
      </c>
      <c r="CK88">
        <f t="shared" si="102"/>
        <v>0</v>
      </c>
      <c r="CL88">
        <f t="shared" si="102"/>
        <v>0</v>
      </c>
      <c r="CM88">
        <f t="shared" si="103"/>
        <v>0</v>
      </c>
      <c r="CN88">
        <f t="shared" si="103"/>
        <v>0</v>
      </c>
      <c r="CO88">
        <f t="shared" si="103"/>
        <v>0</v>
      </c>
      <c r="CP88">
        <f t="shared" si="103"/>
        <v>0</v>
      </c>
      <c r="CQ88">
        <f t="shared" si="103"/>
        <v>0</v>
      </c>
      <c r="CR88">
        <f t="shared" si="103"/>
        <v>0</v>
      </c>
      <c r="CS88">
        <f t="shared" si="103"/>
        <v>0</v>
      </c>
      <c r="CT88">
        <f t="shared" si="103"/>
        <v>0</v>
      </c>
      <c r="CU88">
        <f t="shared" si="103"/>
        <v>0</v>
      </c>
      <c r="CV88">
        <f t="shared" si="103"/>
        <v>0</v>
      </c>
      <c r="CW88">
        <f t="shared" si="104"/>
        <v>0</v>
      </c>
      <c r="CX88">
        <f t="shared" si="104"/>
        <v>0</v>
      </c>
      <c r="CY88">
        <f t="shared" si="104"/>
        <v>0</v>
      </c>
      <c r="CZ88">
        <f t="shared" si="104"/>
        <v>0</v>
      </c>
      <c r="DA88">
        <f t="shared" si="104"/>
        <v>0</v>
      </c>
      <c r="DB88">
        <f t="shared" si="104"/>
        <v>0</v>
      </c>
      <c r="DC88">
        <f t="shared" si="104"/>
        <v>0</v>
      </c>
      <c r="DD88">
        <f t="shared" si="104"/>
        <v>0</v>
      </c>
      <c r="DE88">
        <f t="shared" si="104"/>
        <v>0</v>
      </c>
      <c r="DF88">
        <f t="shared" si="104"/>
        <v>0</v>
      </c>
      <c r="DG88">
        <f t="shared" si="105"/>
        <v>0</v>
      </c>
      <c r="DH88">
        <f t="shared" si="105"/>
        <v>0</v>
      </c>
      <c r="DI88">
        <f t="shared" si="105"/>
        <v>0</v>
      </c>
      <c r="DJ88">
        <f t="shared" si="105"/>
        <v>0</v>
      </c>
      <c r="DK88">
        <f t="shared" si="105"/>
        <v>0</v>
      </c>
      <c r="DL88">
        <f t="shared" si="105"/>
        <v>0</v>
      </c>
      <c r="DM88">
        <f t="shared" si="105"/>
        <v>0</v>
      </c>
      <c r="DN88">
        <f t="shared" si="105"/>
        <v>0</v>
      </c>
      <c r="DO88">
        <f t="shared" si="105"/>
        <v>0</v>
      </c>
      <c r="DP88">
        <f t="shared" si="105"/>
        <v>0</v>
      </c>
      <c r="DQ88">
        <f t="shared" si="106"/>
        <v>0</v>
      </c>
      <c r="DR88">
        <f t="shared" si="106"/>
        <v>0</v>
      </c>
      <c r="DS88">
        <f t="shared" si="106"/>
        <v>0</v>
      </c>
      <c r="DT88">
        <f t="shared" si="106"/>
        <v>0</v>
      </c>
      <c r="DU88">
        <f t="shared" si="106"/>
        <v>0</v>
      </c>
      <c r="DV88">
        <f t="shared" si="106"/>
        <v>0</v>
      </c>
      <c r="DW88">
        <f t="shared" si="106"/>
        <v>0</v>
      </c>
      <c r="DX88">
        <f t="shared" si="106"/>
        <v>0</v>
      </c>
      <c r="DY88">
        <f t="shared" si="106"/>
        <v>0</v>
      </c>
      <c r="DZ88">
        <f t="shared" si="106"/>
        <v>0</v>
      </c>
      <c r="EA88">
        <f t="shared" si="107"/>
        <v>0</v>
      </c>
      <c r="EB88">
        <f t="shared" si="107"/>
        <v>0</v>
      </c>
      <c r="EC88">
        <f t="shared" si="107"/>
        <v>0</v>
      </c>
      <c r="ED88">
        <f t="shared" si="107"/>
        <v>0</v>
      </c>
      <c r="EE88">
        <f t="shared" si="107"/>
        <v>0</v>
      </c>
      <c r="EF88">
        <f t="shared" si="107"/>
        <v>0</v>
      </c>
    </row>
    <row r="89" spans="1:136" ht="15.5">
      <c r="A89" s="90"/>
      <c r="B89" s="19" t="s">
        <v>208</v>
      </c>
      <c r="C89" s="94"/>
      <c r="D89" s="18"/>
      <c r="E89" s="18"/>
      <c r="F89" s="18">
        <v>0</v>
      </c>
      <c r="G89" s="18">
        <v>0</v>
      </c>
      <c r="H89" s="18">
        <v>0</v>
      </c>
      <c r="I89" s="18">
        <v>0</v>
      </c>
      <c r="J89" s="18">
        <v>0</v>
      </c>
      <c r="K89" s="18">
        <v>0</v>
      </c>
      <c r="L89" s="18">
        <v>0</v>
      </c>
      <c r="M89" s="18">
        <v>0</v>
      </c>
      <c r="N89" s="18">
        <v>0</v>
      </c>
      <c r="O89" s="18">
        <v>0</v>
      </c>
      <c r="P89" s="18">
        <v>0</v>
      </c>
      <c r="Q89" s="18">
        <v>0</v>
      </c>
      <c r="R89" s="18">
        <v>0</v>
      </c>
      <c r="S89" s="34">
        <v>0</v>
      </c>
      <c r="T89" s="34">
        <v>0</v>
      </c>
      <c r="U89" s="34">
        <v>0</v>
      </c>
      <c r="V89" s="34">
        <v>0</v>
      </c>
      <c r="W89" s="34">
        <v>3.4855522999999997</v>
      </c>
      <c r="X89" s="34">
        <v>1.6990000000000001</v>
      </c>
      <c r="Y89" s="34">
        <v>1.6990000000000001</v>
      </c>
      <c r="Z89" s="34">
        <v>1.6990000000000001</v>
      </c>
      <c r="AA89" s="34">
        <v>1.6990000000000001</v>
      </c>
      <c r="AB89" s="34">
        <v>0</v>
      </c>
      <c r="AC89" s="34">
        <v>0</v>
      </c>
      <c r="AD89" s="34">
        <v>1.6194299999999998E-2</v>
      </c>
      <c r="AE89" s="34">
        <v>1.58919E-2</v>
      </c>
      <c r="AF89" s="34">
        <v>0</v>
      </c>
      <c r="AG89" s="34">
        <v>0.31909720000000003</v>
      </c>
      <c r="AH89" s="18">
        <v>0.31873879999999999</v>
      </c>
      <c r="AI89" s="18">
        <v>6.5779434000000006</v>
      </c>
      <c r="AJ89" s="18">
        <v>7.4472844</v>
      </c>
      <c r="AK89" s="18">
        <v>3577.5269994999999</v>
      </c>
      <c r="AL89" s="18">
        <v>4191.1306699999996</v>
      </c>
      <c r="AM89" s="18">
        <v>3130.6105720999999</v>
      </c>
      <c r="AN89" s="18">
        <v>1964.2808736999998</v>
      </c>
      <c r="AO89" s="18">
        <v>461.45400069999999</v>
      </c>
      <c r="AP89" s="18">
        <v>0</v>
      </c>
      <c r="AQ89" s="18">
        <v>0</v>
      </c>
      <c r="AR89" s="18">
        <v>0</v>
      </c>
      <c r="AS89" s="18">
        <v>0</v>
      </c>
      <c r="AT89" s="18">
        <v>0</v>
      </c>
      <c r="AU89" s="18">
        <v>0</v>
      </c>
      <c r="AV89" s="18">
        <v>0</v>
      </c>
      <c r="AW89" s="18">
        <v>0</v>
      </c>
      <c r="AX89" s="18">
        <v>0</v>
      </c>
      <c r="AY89" s="18">
        <v>0</v>
      </c>
      <c r="AZ89" s="18">
        <v>0</v>
      </c>
      <c r="BA89" s="18">
        <v>0</v>
      </c>
      <c r="BB89" s="18">
        <v>0</v>
      </c>
      <c r="BC89" s="18">
        <v>0</v>
      </c>
      <c r="BD89" s="18">
        <v>0</v>
      </c>
      <c r="BE89" s="18">
        <v>0</v>
      </c>
      <c r="BF89" s="18">
        <v>0</v>
      </c>
      <c r="BG89" s="18">
        <v>0</v>
      </c>
      <c r="BH89" s="18">
        <v>0</v>
      </c>
      <c r="BI89" s="18">
        <v>0</v>
      </c>
      <c r="BJ89" s="18">
        <v>0</v>
      </c>
      <c r="BK89" s="18">
        <v>0</v>
      </c>
      <c r="BL89" s="18">
        <v>0</v>
      </c>
      <c r="BM89" s="18">
        <v>0</v>
      </c>
      <c r="BN89" s="18">
        <v>0</v>
      </c>
      <c r="BO89" s="113">
        <v>0</v>
      </c>
      <c r="BP89" s="113">
        <v>0</v>
      </c>
      <c r="BQ89" s="113">
        <v>0</v>
      </c>
      <c r="BR89" s="101"/>
      <c r="BS89">
        <f t="shared" si="101"/>
        <v>0</v>
      </c>
      <c r="BT89">
        <f t="shared" si="101"/>
        <v>0</v>
      </c>
      <c r="BU89">
        <f t="shared" si="101"/>
        <v>0</v>
      </c>
      <c r="BV89">
        <f t="shared" si="101"/>
        <v>0</v>
      </c>
      <c r="BW89">
        <f t="shared" si="101"/>
        <v>0</v>
      </c>
      <c r="BX89">
        <f t="shared" si="101"/>
        <v>0</v>
      </c>
      <c r="BY89">
        <f t="shared" si="101"/>
        <v>0</v>
      </c>
      <c r="BZ89">
        <f t="shared" si="101"/>
        <v>0</v>
      </c>
      <c r="CA89">
        <f t="shared" si="101"/>
        <v>0</v>
      </c>
      <c r="CB89">
        <f t="shared" si="101"/>
        <v>0</v>
      </c>
      <c r="CC89">
        <f t="shared" si="102"/>
        <v>0</v>
      </c>
      <c r="CD89">
        <f t="shared" si="102"/>
        <v>0</v>
      </c>
      <c r="CE89">
        <f t="shared" si="102"/>
        <v>0</v>
      </c>
      <c r="CF89">
        <f t="shared" si="102"/>
        <v>0</v>
      </c>
      <c r="CG89">
        <f t="shared" si="102"/>
        <v>0</v>
      </c>
      <c r="CH89">
        <f t="shared" si="102"/>
        <v>0</v>
      </c>
      <c r="CI89">
        <f t="shared" si="102"/>
        <v>0</v>
      </c>
      <c r="CJ89">
        <f t="shared" si="102"/>
        <v>0</v>
      </c>
      <c r="CK89">
        <f t="shared" si="102"/>
        <v>0</v>
      </c>
      <c r="CL89">
        <f t="shared" si="102"/>
        <v>0</v>
      </c>
      <c r="CM89">
        <f t="shared" si="103"/>
        <v>0</v>
      </c>
      <c r="CN89">
        <f t="shared" si="103"/>
        <v>0</v>
      </c>
      <c r="CO89">
        <f t="shared" si="103"/>
        <v>0</v>
      </c>
      <c r="CP89">
        <f t="shared" si="103"/>
        <v>0</v>
      </c>
      <c r="CQ89">
        <f t="shared" si="103"/>
        <v>0</v>
      </c>
      <c r="CR89">
        <f t="shared" si="103"/>
        <v>0</v>
      </c>
      <c r="CS89">
        <f t="shared" si="103"/>
        <v>0</v>
      </c>
      <c r="CT89">
        <f t="shared" si="103"/>
        <v>0</v>
      </c>
      <c r="CU89">
        <f t="shared" si="103"/>
        <v>0</v>
      </c>
      <c r="CV89">
        <f t="shared" si="103"/>
        <v>0</v>
      </c>
      <c r="CW89">
        <f t="shared" si="104"/>
        <v>0</v>
      </c>
      <c r="CX89">
        <f t="shared" si="104"/>
        <v>0</v>
      </c>
      <c r="CY89">
        <f t="shared" si="104"/>
        <v>0</v>
      </c>
      <c r="CZ89">
        <f t="shared" si="104"/>
        <v>0</v>
      </c>
      <c r="DA89">
        <f t="shared" si="104"/>
        <v>0</v>
      </c>
      <c r="DB89">
        <f t="shared" si="104"/>
        <v>0</v>
      </c>
      <c r="DC89">
        <f t="shared" si="104"/>
        <v>0</v>
      </c>
      <c r="DD89">
        <f t="shared" si="104"/>
        <v>0</v>
      </c>
      <c r="DE89">
        <f t="shared" si="104"/>
        <v>0</v>
      </c>
      <c r="DF89">
        <f t="shared" si="104"/>
        <v>0</v>
      </c>
      <c r="DG89">
        <f t="shared" si="105"/>
        <v>0</v>
      </c>
      <c r="DH89">
        <f t="shared" si="105"/>
        <v>0</v>
      </c>
      <c r="DI89">
        <f t="shared" si="105"/>
        <v>0</v>
      </c>
      <c r="DJ89">
        <f t="shared" si="105"/>
        <v>0</v>
      </c>
      <c r="DK89">
        <f t="shared" si="105"/>
        <v>0</v>
      </c>
      <c r="DL89">
        <f t="shared" si="105"/>
        <v>0</v>
      </c>
      <c r="DM89">
        <f t="shared" si="105"/>
        <v>0</v>
      </c>
      <c r="DN89">
        <f t="shared" si="105"/>
        <v>0</v>
      </c>
      <c r="DO89">
        <f t="shared" si="105"/>
        <v>0</v>
      </c>
      <c r="DP89">
        <f t="shared" si="105"/>
        <v>0</v>
      </c>
      <c r="DQ89">
        <f t="shared" si="106"/>
        <v>0</v>
      </c>
      <c r="DR89">
        <f t="shared" si="106"/>
        <v>0</v>
      </c>
      <c r="DS89">
        <f t="shared" si="106"/>
        <v>0</v>
      </c>
      <c r="DT89">
        <f t="shared" si="106"/>
        <v>0</v>
      </c>
      <c r="DU89">
        <f t="shared" si="106"/>
        <v>0</v>
      </c>
      <c r="DV89">
        <f t="shared" si="106"/>
        <v>0</v>
      </c>
      <c r="DW89">
        <f t="shared" si="106"/>
        <v>0</v>
      </c>
      <c r="DX89">
        <f t="shared" si="106"/>
        <v>0</v>
      </c>
      <c r="DY89">
        <f t="shared" si="106"/>
        <v>0</v>
      </c>
      <c r="DZ89">
        <f t="shared" si="106"/>
        <v>0</v>
      </c>
      <c r="EA89">
        <f t="shared" si="107"/>
        <v>0</v>
      </c>
      <c r="EB89">
        <f t="shared" si="107"/>
        <v>0</v>
      </c>
      <c r="EC89">
        <f t="shared" si="107"/>
        <v>0</v>
      </c>
      <c r="ED89">
        <f t="shared" si="107"/>
        <v>0</v>
      </c>
      <c r="EE89">
        <f t="shared" si="107"/>
        <v>0</v>
      </c>
      <c r="EF89">
        <f t="shared" si="107"/>
        <v>0</v>
      </c>
    </row>
    <row r="90" spans="1:136" ht="15.5">
      <c r="A90" s="90"/>
      <c r="B90" s="19" t="s">
        <v>212</v>
      </c>
      <c r="C90" s="94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34"/>
      <c r="T90" s="34"/>
      <c r="U90" s="34"/>
      <c r="V90" s="34"/>
      <c r="W90" s="34"/>
      <c r="X90" s="18">
        <v>0</v>
      </c>
      <c r="Y90" s="18">
        <v>0</v>
      </c>
      <c r="Z90" s="18">
        <v>0</v>
      </c>
      <c r="AA90" s="18">
        <v>0</v>
      </c>
      <c r="AB90" s="34">
        <v>0</v>
      </c>
      <c r="AC90" s="34">
        <v>0</v>
      </c>
      <c r="AD90" s="34">
        <v>0</v>
      </c>
      <c r="AE90" s="34">
        <v>0</v>
      </c>
      <c r="AF90" s="34">
        <v>0</v>
      </c>
      <c r="AG90" s="34">
        <v>0</v>
      </c>
      <c r="AH90" s="18">
        <v>0</v>
      </c>
      <c r="AI90" s="18">
        <f>2000/35</f>
        <v>57.142857142857146</v>
      </c>
      <c r="AJ90" s="18">
        <f>3943/21.8</f>
        <v>180.87155963302752</v>
      </c>
      <c r="AK90" s="18">
        <f>5886/23.3</f>
        <v>252.61802575107296</v>
      </c>
      <c r="AL90" s="18">
        <f>7829/35.06</f>
        <v>223.30290929834567</v>
      </c>
      <c r="AM90" s="18">
        <f>9772/47.66</f>
        <v>205.03566932438105</v>
      </c>
      <c r="AN90" s="18">
        <f>11715/54.75</f>
        <v>213.97260273972603</v>
      </c>
      <c r="AO90" s="18">
        <f>13658/57.7</f>
        <v>236.70710571923743</v>
      </c>
      <c r="AP90" s="18">
        <f>15601/58.7</f>
        <v>265.77512776831344</v>
      </c>
      <c r="AQ90" s="18">
        <f>17544/66.57</f>
        <v>263.5421360973412</v>
      </c>
      <c r="AR90" s="18">
        <f>19487/75.26</f>
        <v>258.92904597395693</v>
      </c>
      <c r="AS90" s="18">
        <f>21430/77.22</f>
        <v>277.51877751877754</v>
      </c>
      <c r="AT90" s="18">
        <f>23373/79.68</f>
        <v>293.33584337349396</v>
      </c>
      <c r="AU90" s="18">
        <f>25316/77.39</f>
        <v>327.12236723090837</v>
      </c>
      <c r="AV90" s="18">
        <f>27259/72.06</f>
        <v>378.28198723286147</v>
      </c>
      <c r="AW90" s="18">
        <f>29202/73.28</f>
        <v>398.49890829694323</v>
      </c>
      <c r="AX90" s="18">
        <f>31145/72.65</f>
        <v>428.69924294562969</v>
      </c>
      <c r="AY90" s="18">
        <f>33088/69.29</f>
        <v>477.52922499639192</v>
      </c>
      <c r="AZ90" s="18">
        <f>35031/64.58</f>
        <v>542.44348095385567</v>
      </c>
      <c r="BA90" s="18">
        <f>36974/72.65</f>
        <v>508.93324156916719</v>
      </c>
      <c r="BB90" s="18">
        <f>38917/74.39</f>
        <v>523.14827261728726</v>
      </c>
      <c r="BC90" s="18">
        <f>40860/72.94</f>
        <v>560.18645462023585</v>
      </c>
      <c r="BD90" s="18">
        <f>42803/77.54</f>
        <v>552.01186484395146</v>
      </c>
      <c r="BE90" s="18">
        <f>44746/79.37</f>
        <v>563.76464659191129</v>
      </c>
      <c r="BF90" s="18">
        <f>46689/80.58</f>
        <v>579.41176470588232</v>
      </c>
      <c r="BG90" s="18">
        <f>48632/100.39</f>
        <v>484.43072019125412</v>
      </c>
      <c r="BH90" s="18">
        <f>50575/109.44</f>
        <v>462.12536549707602</v>
      </c>
      <c r="BI90" s="113">
        <f>275000/114</f>
        <v>2412.280701754386</v>
      </c>
      <c r="BJ90" s="160">
        <v>0</v>
      </c>
      <c r="BK90" s="113">
        <v>0</v>
      </c>
      <c r="BL90" s="113">
        <v>0</v>
      </c>
      <c r="BM90" s="113">
        <v>0</v>
      </c>
      <c r="BN90" s="113">
        <v>0</v>
      </c>
      <c r="BO90" s="113">
        <v>0</v>
      </c>
      <c r="BP90" s="113">
        <v>0</v>
      </c>
      <c r="BQ90" s="113">
        <v>0</v>
      </c>
      <c r="BR90" s="101"/>
      <c r="BS90">
        <f t="shared" si="101"/>
        <v>0</v>
      </c>
      <c r="BT90">
        <f t="shared" si="101"/>
        <v>0</v>
      </c>
      <c r="BU90">
        <f t="shared" si="101"/>
        <v>0</v>
      </c>
      <c r="BV90">
        <f t="shared" si="101"/>
        <v>0</v>
      </c>
      <c r="BW90">
        <f t="shared" si="101"/>
        <v>0</v>
      </c>
      <c r="BX90">
        <f t="shared" si="101"/>
        <v>0</v>
      </c>
      <c r="BY90">
        <f t="shared" si="101"/>
        <v>0</v>
      </c>
      <c r="BZ90">
        <f t="shared" si="101"/>
        <v>0</v>
      </c>
      <c r="CA90">
        <f t="shared" si="101"/>
        <v>0</v>
      </c>
      <c r="CB90">
        <f t="shared" si="101"/>
        <v>0</v>
      </c>
      <c r="CC90">
        <f t="shared" si="102"/>
        <v>0</v>
      </c>
      <c r="CD90">
        <f t="shared" si="102"/>
        <v>0</v>
      </c>
      <c r="CE90">
        <f t="shared" si="102"/>
        <v>0</v>
      </c>
      <c r="CF90">
        <f t="shared" si="102"/>
        <v>0</v>
      </c>
      <c r="CG90">
        <f t="shared" si="102"/>
        <v>0</v>
      </c>
      <c r="CH90">
        <f t="shared" si="102"/>
        <v>0</v>
      </c>
      <c r="CI90">
        <f t="shared" si="102"/>
        <v>0</v>
      </c>
      <c r="CJ90">
        <f t="shared" si="102"/>
        <v>0</v>
      </c>
      <c r="CK90">
        <f t="shared" si="102"/>
        <v>0</v>
      </c>
      <c r="CL90">
        <f t="shared" si="102"/>
        <v>0</v>
      </c>
      <c r="CM90">
        <f t="shared" si="103"/>
        <v>0</v>
      </c>
      <c r="CN90">
        <f t="shared" si="103"/>
        <v>0</v>
      </c>
      <c r="CO90">
        <f t="shared" si="103"/>
        <v>0</v>
      </c>
      <c r="CP90">
        <f t="shared" si="103"/>
        <v>0</v>
      </c>
      <c r="CQ90">
        <f t="shared" si="103"/>
        <v>0</v>
      </c>
      <c r="CR90">
        <f t="shared" si="103"/>
        <v>0</v>
      </c>
      <c r="CS90">
        <f t="shared" si="103"/>
        <v>0</v>
      </c>
      <c r="CT90">
        <f t="shared" si="103"/>
        <v>0</v>
      </c>
      <c r="CU90">
        <f t="shared" si="103"/>
        <v>0</v>
      </c>
      <c r="CV90">
        <f t="shared" si="103"/>
        <v>0</v>
      </c>
      <c r="CW90">
        <f t="shared" si="104"/>
        <v>0</v>
      </c>
      <c r="CX90">
        <f t="shared" si="104"/>
        <v>0</v>
      </c>
      <c r="CY90">
        <f t="shared" si="104"/>
        <v>0</v>
      </c>
      <c r="CZ90">
        <f t="shared" si="104"/>
        <v>0</v>
      </c>
      <c r="DA90">
        <f t="shared" si="104"/>
        <v>0</v>
      </c>
      <c r="DB90">
        <f t="shared" si="104"/>
        <v>0</v>
      </c>
      <c r="DC90">
        <f t="shared" si="104"/>
        <v>0</v>
      </c>
      <c r="DD90">
        <f t="shared" si="104"/>
        <v>0</v>
      </c>
      <c r="DE90">
        <f t="shared" si="104"/>
        <v>0</v>
      </c>
      <c r="DF90">
        <f t="shared" si="104"/>
        <v>0</v>
      </c>
      <c r="DG90">
        <f t="shared" si="105"/>
        <v>0</v>
      </c>
      <c r="DH90">
        <f t="shared" si="105"/>
        <v>0</v>
      </c>
      <c r="DI90">
        <f t="shared" si="105"/>
        <v>0</v>
      </c>
      <c r="DJ90">
        <f t="shared" si="105"/>
        <v>0</v>
      </c>
      <c r="DK90">
        <f t="shared" si="105"/>
        <v>0</v>
      </c>
      <c r="DL90">
        <f t="shared" si="105"/>
        <v>0</v>
      </c>
      <c r="DM90">
        <f t="shared" si="105"/>
        <v>0</v>
      </c>
      <c r="DN90">
        <f t="shared" si="105"/>
        <v>0</v>
      </c>
      <c r="DO90">
        <f t="shared" si="105"/>
        <v>0</v>
      </c>
      <c r="DP90">
        <f t="shared" si="105"/>
        <v>0</v>
      </c>
      <c r="DQ90">
        <f t="shared" si="106"/>
        <v>0</v>
      </c>
      <c r="DR90">
        <f t="shared" si="106"/>
        <v>0</v>
      </c>
      <c r="DS90">
        <f t="shared" si="106"/>
        <v>0</v>
      </c>
      <c r="DT90">
        <f t="shared" si="106"/>
        <v>0</v>
      </c>
      <c r="DU90">
        <f t="shared" si="106"/>
        <v>0</v>
      </c>
      <c r="DV90">
        <f t="shared" si="106"/>
        <v>0</v>
      </c>
      <c r="DW90">
        <f t="shared" si="106"/>
        <v>0</v>
      </c>
      <c r="DX90">
        <f t="shared" si="106"/>
        <v>0</v>
      </c>
      <c r="DY90">
        <f t="shared" si="106"/>
        <v>0</v>
      </c>
      <c r="DZ90">
        <f t="shared" si="106"/>
        <v>0</v>
      </c>
      <c r="EA90">
        <f t="shared" si="107"/>
        <v>0</v>
      </c>
      <c r="EB90">
        <f t="shared" si="107"/>
        <v>0</v>
      </c>
      <c r="EC90">
        <f t="shared" si="107"/>
        <v>0</v>
      </c>
      <c r="ED90">
        <f t="shared" si="107"/>
        <v>0</v>
      </c>
      <c r="EE90">
        <f t="shared" si="107"/>
        <v>0</v>
      </c>
      <c r="EF90">
        <f t="shared" si="107"/>
        <v>0</v>
      </c>
    </row>
    <row r="91" spans="1:136" ht="15.5">
      <c r="A91" s="90"/>
      <c r="B91" s="37"/>
      <c r="C91" s="94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38"/>
      <c r="U91" s="18"/>
      <c r="V91" s="18"/>
      <c r="W91" s="18"/>
      <c r="X91" s="18"/>
      <c r="Y91" s="18"/>
      <c r="Z91" s="18"/>
      <c r="AA91" s="18"/>
      <c r="AB91" s="18"/>
      <c r="AC91" s="20"/>
      <c r="AD91" s="20"/>
      <c r="AE91" s="20"/>
      <c r="AF91" s="20"/>
      <c r="AG91" s="20"/>
      <c r="AH91" s="18"/>
      <c r="AI91" s="18"/>
      <c r="AJ91" s="18"/>
      <c r="AK91" s="18"/>
      <c r="AL91" s="201"/>
      <c r="AM91" s="201"/>
      <c r="AN91" s="201"/>
      <c r="AO91" s="201"/>
      <c r="AP91" s="201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25"/>
      <c r="BF91" s="18"/>
      <c r="BG91" s="18"/>
      <c r="BH91" s="18"/>
      <c r="BI91" s="113"/>
      <c r="BJ91" s="113"/>
      <c r="BK91" s="113"/>
      <c r="BL91" s="113"/>
      <c r="BM91" s="113"/>
      <c r="BN91" s="113"/>
      <c r="BO91" s="113"/>
      <c r="BP91" s="2"/>
      <c r="BQ91" s="2"/>
      <c r="BR91" s="101"/>
      <c r="CY91">
        <f t="shared" ref="CY91:CY98" si="108">IF($C91&lt;&gt;"",IF(AJ91&gt;0,1,0),0)</f>
        <v>0</v>
      </c>
    </row>
    <row r="92" spans="1:136" ht="15.5">
      <c r="A92" s="93">
        <v>4</v>
      </c>
      <c r="B92" s="32" t="s">
        <v>20</v>
      </c>
      <c r="C92" s="94">
        <v>3</v>
      </c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>
        <f t="shared" ref="AE92:BP92" si="109">SUM(AE93:AE97)</f>
        <v>227</v>
      </c>
      <c r="AF92" s="39">
        <f t="shared" si="109"/>
        <v>225</v>
      </c>
      <c r="AG92" s="39">
        <f t="shared" si="109"/>
        <v>969.47339292899994</v>
      </c>
      <c r="AH92" s="39">
        <f t="shared" si="109"/>
        <v>1321.3502240540001</v>
      </c>
      <c r="AI92" s="39">
        <f t="shared" si="109"/>
        <v>793.89039008899999</v>
      </c>
      <c r="AJ92" s="39">
        <f t="shared" si="109"/>
        <v>1164.0480111818181</v>
      </c>
      <c r="AK92" s="39">
        <f t="shared" si="109"/>
        <v>1135.1730805000002</v>
      </c>
      <c r="AL92" s="39">
        <f t="shared" si="109"/>
        <v>4697.6737069727278</v>
      </c>
      <c r="AM92" s="39">
        <f t="shared" si="109"/>
        <v>2642.3837131</v>
      </c>
      <c r="AN92" s="39">
        <f t="shared" si="109"/>
        <v>5884.1720014000002</v>
      </c>
      <c r="AO92" s="39">
        <f t="shared" si="109"/>
        <v>1267.8391011150002</v>
      </c>
      <c r="AP92" s="39">
        <f t="shared" si="109"/>
        <v>1624.562565922</v>
      </c>
      <c r="AQ92" s="39">
        <f t="shared" si="109"/>
        <v>1803.524352122</v>
      </c>
      <c r="AR92" s="39">
        <f t="shared" si="109"/>
        <v>1890.4739336750001</v>
      </c>
      <c r="AS92" s="39">
        <f t="shared" si="109"/>
        <v>2186.1142512800002</v>
      </c>
      <c r="AT92" s="39">
        <f t="shared" si="109"/>
        <v>1539.1850218000002</v>
      </c>
      <c r="AU92" s="39">
        <f t="shared" si="109"/>
        <v>1872.238906</v>
      </c>
      <c r="AV92" s="39">
        <f t="shared" si="109"/>
        <v>3191.5842081000001</v>
      </c>
      <c r="AW92" s="39">
        <f t="shared" si="109"/>
        <v>1862.1989799999999</v>
      </c>
      <c r="AX92" s="39">
        <f t="shared" si="109"/>
        <v>1218.783332</v>
      </c>
      <c r="AY92" s="39">
        <f t="shared" si="109"/>
        <v>501.12119329999996</v>
      </c>
      <c r="AZ92" s="39">
        <f t="shared" si="109"/>
        <v>352.21165300000001</v>
      </c>
      <c r="BA92" s="39">
        <f t="shared" si="109"/>
        <v>390.79310079999999</v>
      </c>
      <c r="BB92" s="39">
        <f t="shared" si="109"/>
        <v>2126.2511239</v>
      </c>
      <c r="BC92" s="39">
        <f t="shared" si="109"/>
        <v>322.40492370000004</v>
      </c>
      <c r="BD92" s="39">
        <f t="shared" si="109"/>
        <v>310.95443139999998</v>
      </c>
      <c r="BE92" s="39">
        <f t="shared" si="109"/>
        <v>323.15290069999998</v>
      </c>
      <c r="BF92" s="39">
        <f t="shared" si="109"/>
        <v>312.38721659999999</v>
      </c>
      <c r="BG92" s="39">
        <f t="shared" si="109"/>
        <v>221.38466150000002</v>
      </c>
      <c r="BH92" s="39">
        <f t="shared" si="109"/>
        <v>214.16006760000002</v>
      </c>
      <c r="BI92" s="39">
        <f t="shared" si="109"/>
        <v>95.051524400000005</v>
      </c>
      <c r="BJ92" s="39">
        <f t="shared" si="109"/>
        <v>75.212919999999997</v>
      </c>
      <c r="BK92" s="39">
        <f t="shared" si="109"/>
        <v>65.42663619999999</v>
      </c>
      <c r="BL92" s="39">
        <f t="shared" si="109"/>
        <v>14386.670013999999</v>
      </c>
      <c r="BM92" s="39">
        <f t="shared" si="109"/>
        <v>5006.6111109000003</v>
      </c>
      <c r="BN92" s="39">
        <f t="shared" si="109"/>
        <v>122.4090338</v>
      </c>
      <c r="BO92" s="39">
        <f t="shared" si="109"/>
        <v>215</v>
      </c>
      <c r="BP92" s="39">
        <f t="shared" si="109"/>
        <v>272</v>
      </c>
      <c r="BQ92" s="39">
        <f>SUM(BQ93:BQ97)</f>
        <v>272</v>
      </c>
      <c r="BR92" s="101"/>
      <c r="BS92">
        <f t="shared" ref="BS92:CB98" si="110">IF($C92&lt;&gt;"",IF(D92&gt;0,1,0),0)</f>
        <v>0</v>
      </c>
      <c r="BT92">
        <f t="shared" si="110"/>
        <v>0</v>
      </c>
      <c r="BU92">
        <f t="shared" si="110"/>
        <v>0</v>
      </c>
      <c r="BV92">
        <f t="shared" si="110"/>
        <v>0</v>
      </c>
      <c r="BW92">
        <f t="shared" si="110"/>
        <v>0</v>
      </c>
      <c r="BX92">
        <f t="shared" si="110"/>
        <v>0</v>
      </c>
      <c r="BY92">
        <f t="shared" si="110"/>
        <v>0</v>
      </c>
      <c r="BZ92">
        <f t="shared" si="110"/>
        <v>0</v>
      </c>
      <c r="CA92">
        <f t="shared" si="110"/>
        <v>0</v>
      </c>
      <c r="CB92">
        <f t="shared" si="110"/>
        <v>0</v>
      </c>
      <c r="CC92">
        <f t="shared" ref="CC92:CL98" si="111">IF($C92&lt;&gt;"",IF(N92&gt;0,1,0),0)</f>
        <v>0</v>
      </c>
      <c r="CD92">
        <f t="shared" si="111"/>
        <v>0</v>
      </c>
      <c r="CE92">
        <f t="shared" si="111"/>
        <v>0</v>
      </c>
      <c r="CF92">
        <f t="shared" si="111"/>
        <v>0</v>
      </c>
      <c r="CG92">
        <f t="shared" si="111"/>
        <v>0</v>
      </c>
      <c r="CH92">
        <f t="shared" si="111"/>
        <v>0</v>
      </c>
      <c r="CI92">
        <f t="shared" si="111"/>
        <v>0</v>
      </c>
      <c r="CJ92">
        <f t="shared" si="111"/>
        <v>0</v>
      </c>
      <c r="CK92">
        <f t="shared" si="111"/>
        <v>0</v>
      </c>
      <c r="CL92">
        <f t="shared" si="111"/>
        <v>0</v>
      </c>
      <c r="CM92">
        <f t="shared" ref="CM92:CV98" si="112">IF($C92&lt;&gt;"",IF(X92&gt;0,1,0),0)</f>
        <v>0</v>
      </c>
      <c r="CN92">
        <f t="shared" si="112"/>
        <v>0</v>
      </c>
      <c r="CO92">
        <f t="shared" si="112"/>
        <v>0</v>
      </c>
      <c r="CP92">
        <f t="shared" si="112"/>
        <v>0</v>
      </c>
      <c r="CQ92">
        <f t="shared" si="112"/>
        <v>0</v>
      </c>
      <c r="CR92">
        <f t="shared" si="112"/>
        <v>0</v>
      </c>
      <c r="CS92">
        <f t="shared" si="112"/>
        <v>0</v>
      </c>
      <c r="CT92">
        <f t="shared" si="112"/>
        <v>1</v>
      </c>
      <c r="CU92">
        <f t="shared" si="112"/>
        <v>1</v>
      </c>
      <c r="CV92">
        <f t="shared" si="112"/>
        <v>1</v>
      </c>
      <c r="CW92">
        <f t="shared" ref="CW92:CX98" si="113">IF($C92&lt;&gt;"",IF(AH92&gt;0,1,0),0)</f>
        <v>1</v>
      </c>
      <c r="CX92">
        <f t="shared" si="113"/>
        <v>1</v>
      </c>
      <c r="CY92">
        <f t="shared" si="108"/>
        <v>1</v>
      </c>
      <c r="CZ92">
        <f t="shared" ref="CZ92:EF92" si="114">IF($C92&lt;&gt;"",IF(AK92&gt;0,1,0),0)</f>
        <v>1</v>
      </c>
      <c r="DA92">
        <f t="shared" si="114"/>
        <v>1</v>
      </c>
      <c r="DB92">
        <f t="shared" si="114"/>
        <v>1</v>
      </c>
      <c r="DC92">
        <f t="shared" si="114"/>
        <v>1</v>
      </c>
      <c r="DD92">
        <f t="shared" si="114"/>
        <v>1</v>
      </c>
      <c r="DE92">
        <f t="shared" si="114"/>
        <v>1</v>
      </c>
      <c r="DF92">
        <f t="shared" si="114"/>
        <v>1</v>
      </c>
      <c r="DG92">
        <f t="shared" si="114"/>
        <v>1</v>
      </c>
      <c r="DH92">
        <f t="shared" si="114"/>
        <v>1</v>
      </c>
      <c r="DI92">
        <f t="shared" si="114"/>
        <v>1</v>
      </c>
      <c r="DJ92">
        <f t="shared" si="114"/>
        <v>1</v>
      </c>
      <c r="DK92">
        <f t="shared" si="114"/>
        <v>1</v>
      </c>
      <c r="DL92">
        <f t="shared" si="114"/>
        <v>1</v>
      </c>
      <c r="DM92">
        <f t="shared" si="114"/>
        <v>1</v>
      </c>
      <c r="DN92">
        <f t="shared" si="114"/>
        <v>1</v>
      </c>
      <c r="DO92">
        <f t="shared" si="114"/>
        <v>1</v>
      </c>
      <c r="DP92">
        <f t="shared" si="114"/>
        <v>1</v>
      </c>
      <c r="DQ92">
        <f t="shared" si="114"/>
        <v>1</v>
      </c>
      <c r="DR92">
        <f t="shared" si="114"/>
        <v>1</v>
      </c>
      <c r="DS92">
        <f t="shared" si="114"/>
        <v>1</v>
      </c>
      <c r="DT92">
        <f t="shared" si="114"/>
        <v>1</v>
      </c>
      <c r="DU92">
        <f t="shared" si="114"/>
        <v>1</v>
      </c>
      <c r="DV92">
        <f t="shared" si="114"/>
        <v>1</v>
      </c>
      <c r="DW92">
        <f t="shared" si="114"/>
        <v>1</v>
      </c>
      <c r="DX92">
        <f t="shared" si="114"/>
        <v>1</v>
      </c>
      <c r="DY92">
        <f t="shared" si="114"/>
        <v>1</v>
      </c>
      <c r="DZ92">
        <f t="shared" si="114"/>
        <v>1</v>
      </c>
      <c r="EA92">
        <f t="shared" si="114"/>
        <v>1</v>
      </c>
      <c r="EB92">
        <f t="shared" si="114"/>
        <v>1</v>
      </c>
      <c r="EC92">
        <f t="shared" si="114"/>
        <v>1</v>
      </c>
      <c r="ED92">
        <f t="shared" si="114"/>
        <v>1</v>
      </c>
      <c r="EE92">
        <f t="shared" si="114"/>
        <v>1</v>
      </c>
      <c r="EF92">
        <f t="shared" si="114"/>
        <v>1</v>
      </c>
    </row>
    <row r="93" spans="1:136" ht="15.5">
      <c r="A93" s="90"/>
      <c r="B93" s="19" t="s">
        <v>2</v>
      </c>
      <c r="C93" s="94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58">
        <v>200</v>
      </c>
      <c r="AF93" s="58">
        <v>7</v>
      </c>
      <c r="AG93" s="41">
        <v>446</v>
      </c>
      <c r="AH93" s="18">
        <v>0</v>
      </c>
      <c r="AI93" s="18">
        <v>0</v>
      </c>
      <c r="AJ93" s="18">
        <f>233+112+9</f>
        <v>354</v>
      </c>
      <c r="AK93" s="25">
        <v>6.6280000000000001</v>
      </c>
      <c r="AL93" s="18">
        <f>476+203+23</f>
        <v>702</v>
      </c>
      <c r="AM93" s="18">
        <f>533+258+28</f>
        <v>819</v>
      </c>
      <c r="AN93" s="18">
        <f>489+280+280</f>
        <v>1049</v>
      </c>
      <c r="AO93" s="18">
        <v>126.88500000000001</v>
      </c>
      <c r="AP93" s="18">
        <v>31.314</v>
      </c>
      <c r="AQ93" s="18">
        <v>0</v>
      </c>
      <c r="AR93" s="25">
        <v>24.914999999999999</v>
      </c>
      <c r="AS93" s="25">
        <v>17.547999999999998</v>
      </c>
      <c r="AT93" s="25">
        <v>14.141999999999999</v>
      </c>
      <c r="AU93" s="18">
        <v>46.06</v>
      </c>
      <c r="AV93" s="18">
        <v>0</v>
      </c>
      <c r="AW93" s="18">
        <v>0</v>
      </c>
      <c r="AX93" s="18">
        <v>0</v>
      </c>
      <c r="AY93" s="18">
        <v>0</v>
      </c>
      <c r="AZ93" s="18">
        <v>0</v>
      </c>
      <c r="BA93" s="18">
        <v>0</v>
      </c>
      <c r="BB93" s="18">
        <v>0</v>
      </c>
      <c r="BC93" s="18">
        <v>0</v>
      </c>
      <c r="BD93" s="18">
        <v>0</v>
      </c>
      <c r="BE93" s="18">
        <v>0</v>
      </c>
      <c r="BF93" s="18">
        <v>0</v>
      </c>
      <c r="BG93" s="18">
        <v>0</v>
      </c>
      <c r="BH93" s="18">
        <v>0</v>
      </c>
      <c r="BI93" s="18">
        <v>0</v>
      </c>
      <c r="BJ93" s="113">
        <v>0</v>
      </c>
      <c r="BK93" s="113">
        <v>0</v>
      </c>
      <c r="BL93" s="113">
        <v>108</v>
      </c>
      <c r="BM93" s="113">
        <v>187</v>
      </c>
      <c r="BN93" s="34">
        <v>0</v>
      </c>
      <c r="BO93" s="34">
        <v>0</v>
      </c>
      <c r="BP93" s="34">
        <v>0</v>
      </c>
      <c r="BQ93" s="34">
        <v>0</v>
      </c>
      <c r="BR93" s="101"/>
      <c r="BS93">
        <f t="shared" si="110"/>
        <v>0</v>
      </c>
      <c r="BT93">
        <f t="shared" si="110"/>
        <v>0</v>
      </c>
      <c r="BU93">
        <f t="shared" si="110"/>
        <v>0</v>
      </c>
      <c r="BV93">
        <f t="shared" si="110"/>
        <v>0</v>
      </c>
      <c r="BW93">
        <f t="shared" si="110"/>
        <v>0</v>
      </c>
      <c r="BX93">
        <f t="shared" si="110"/>
        <v>0</v>
      </c>
      <c r="BY93">
        <f t="shared" si="110"/>
        <v>0</v>
      </c>
      <c r="BZ93">
        <f t="shared" si="110"/>
        <v>0</v>
      </c>
      <c r="CA93">
        <f t="shared" si="110"/>
        <v>0</v>
      </c>
      <c r="CB93">
        <f t="shared" si="110"/>
        <v>0</v>
      </c>
      <c r="CC93">
        <f t="shared" si="111"/>
        <v>0</v>
      </c>
      <c r="CD93">
        <f t="shared" si="111"/>
        <v>0</v>
      </c>
      <c r="CE93">
        <f t="shared" si="111"/>
        <v>0</v>
      </c>
      <c r="CF93">
        <f t="shared" si="111"/>
        <v>0</v>
      </c>
      <c r="CG93">
        <f t="shared" si="111"/>
        <v>0</v>
      </c>
      <c r="CH93">
        <f t="shared" si="111"/>
        <v>0</v>
      </c>
      <c r="CI93">
        <f t="shared" si="111"/>
        <v>0</v>
      </c>
      <c r="CJ93">
        <f t="shared" si="111"/>
        <v>0</v>
      </c>
      <c r="CK93">
        <f t="shared" si="111"/>
        <v>0</v>
      </c>
      <c r="CL93">
        <f t="shared" si="111"/>
        <v>0</v>
      </c>
      <c r="CM93">
        <f t="shared" si="112"/>
        <v>0</v>
      </c>
      <c r="CN93">
        <f t="shared" si="112"/>
        <v>0</v>
      </c>
      <c r="CO93">
        <f t="shared" si="112"/>
        <v>0</v>
      </c>
      <c r="CP93">
        <f t="shared" si="112"/>
        <v>0</v>
      </c>
      <c r="CQ93">
        <f t="shared" si="112"/>
        <v>0</v>
      </c>
      <c r="CR93">
        <f t="shared" si="112"/>
        <v>0</v>
      </c>
      <c r="CS93">
        <f t="shared" si="112"/>
        <v>0</v>
      </c>
      <c r="CT93">
        <f t="shared" si="112"/>
        <v>0</v>
      </c>
      <c r="CU93">
        <f t="shared" si="112"/>
        <v>0</v>
      </c>
      <c r="CV93">
        <f t="shared" si="112"/>
        <v>0</v>
      </c>
      <c r="CW93">
        <f t="shared" si="113"/>
        <v>0</v>
      </c>
      <c r="CX93">
        <f t="shared" si="113"/>
        <v>0</v>
      </c>
      <c r="CY93">
        <f t="shared" si="108"/>
        <v>0</v>
      </c>
      <c r="CZ93">
        <f t="shared" ref="CZ93:DI98" si="115">IF($C93&lt;&gt;"",IF(AK93&gt;0,1,0),0)</f>
        <v>0</v>
      </c>
      <c r="DA93">
        <f t="shared" si="115"/>
        <v>0</v>
      </c>
      <c r="DB93">
        <f t="shared" si="115"/>
        <v>0</v>
      </c>
      <c r="DC93">
        <f t="shared" si="115"/>
        <v>0</v>
      </c>
      <c r="DD93">
        <f t="shared" si="115"/>
        <v>0</v>
      </c>
      <c r="DE93">
        <f t="shared" si="115"/>
        <v>0</v>
      </c>
      <c r="DF93">
        <f t="shared" si="115"/>
        <v>0</v>
      </c>
      <c r="DG93">
        <f t="shared" si="115"/>
        <v>0</v>
      </c>
      <c r="DH93">
        <f t="shared" si="115"/>
        <v>0</v>
      </c>
      <c r="DI93">
        <f t="shared" si="115"/>
        <v>0</v>
      </c>
      <c r="DJ93">
        <f t="shared" ref="DJ93:DS98" si="116">IF($C93&lt;&gt;"",IF(AU93&gt;0,1,0),0)</f>
        <v>0</v>
      </c>
      <c r="DK93">
        <f t="shared" si="116"/>
        <v>0</v>
      </c>
      <c r="DL93">
        <f t="shared" si="116"/>
        <v>0</v>
      </c>
      <c r="DM93">
        <f t="shared" si="116"/>
        <v>0</v>
      </c>
      <c r="DN93">
        <f t="shared" si="116"/>
        <v>0</v>
      </c>
      <c r="DO93">
        <f t="shared" si="116"/>
        <v>0</v>
      </c>
      <c r="DP93">
        <f t="shared" si="116"/>
        <v>0</v>
      </c>
      <c r="DQ93">
        <f t="shared" si="116"/>
        <v>0</v>
      </c>
      <c r="DR93">
        <f t="shared" si="116"/>
        <v>0</v>
      </c>
      <c r="DS93">
        <f t="shared" si="116"/>
        <v>0</v>
      </c>
      <c r="DT93">
        <f t="shared" ref="DT93:DZ98" si="117">IF($C93&lt;&gt;"",IF(BE93&gt;0,1,0),0)</f>
        <v>0</v>
      </c>
      <c r="DU93">
        <f t="shared" si="117"/>
        <v>0</v>
      </c>
      <c r="DV93">
        <f t="shared" si="117"/>
        <v>0</v>
      </c>
      <c r="DW93">
        <f t="shared" si="117"/>
        <v>0</v>
      </c>
      <c r="DX93">
        <f t="shared" si="117"/>
        <v>0</v>
      </c>
      <c r="DY93">
        <f t="shared" si="117"/>
        <v>0</v>
      </c>
      <c r="DZ93">
        <f t="shared" si="117"/>
        <v>0</v>
      </c>
      <c r="EA93">
        <f>IF($C93&lt;&gt;"",IF(#REF!&gt;0,1,0),0)</f>
        <v>0</v>
      </c>
      <c r="EB93">
        <f>IF($C93&lt;&gt;"",IF(#REF!&gt;0,1,0),0)</f>
        <v>0</v>
      </c>
      <c r="EC93">
        <f>IF($C93&lt;&gt;"",IF(#REF!&gt;0,1,0),0)</f>
        <v>0</v>
      </c>
      <c r="ED93">
        <f>IF($C93&lt;&gt;"",IF(#REF!&gt;0,1,0),0)</f>
        <v>0</v>
      </c>
      <c r="EE93">
        <f>IF($C93&lt;&gt;"",IF(#REF!&gt;0,1,0),0)</f>
        <v>0</v>
      </c>
      <c r="EF93">
        <f>IF($C93&lt;&gt;"",IF(#REF!&gt;0,1,0),0)</f>
        <v>0</v>
      </c>
    </row>
    <row r="94" spans="1:136" ht="15.5">
      <c r="A94" s="90"/>
      <c r="B94" s="19" t="s">
        <v>205</v>
      </c>
      <c r="C94" s="94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41">
        <v>0</v>
      </c>
      <c r="AF94" s="41">
        <v>0</v>
      </c>
      <c r="AG94" s="41">
        <v>0</v>
      </c>
      <c r="AH94" s="25">
        <v>0.74</v>
      </c>
      <c r="AI94" s="25">
        <v>5.9740000000000002</v>
      </c>
      <c r="AJ94" s="25">
        <v>12.923</v>
      </c>
      <c r="AK94" s="25">
        <v>19.713999999999999</v>
      </c>
      <c r="AL94" s="25">
        <v>25.942</v>
      </c>
      <c r="AM94" s="25">
        <v>30.443000000000001</v>
      </c>
      <c r="AN94" s="25">
        <v>30.672999999999998</v>
      </c>
      <c r="AO94" s="25">
        <v>30.672999999999998</v>
      </c>
      <c r="AP94" s="25">
        <v>30.672999999999998</v>
      </c>
      <c r="AQ94" s="25">
        <v>32.225000000000001</v>
      </c>
      <c r="AR94" s="25">
        <v>38.284999999999997</v>
      </c>
      <c r="AS94" s="25">
        <v>44.555</v>
      </c>
      <c r="AT94" s="25">
        <v>30.672999999999998</v>
      </c>
      <c r="AU94" s="25">
        <v>37.656999999999996</v>
      </c>
      <c r="AV94" s="25">
        <v>30.667999999999999</v>
      </c>
      <c r="AW94" s="25">
        <v>6.6280000000000001</v>
      </c>
      <c r="AX94" s="25">
        <v>6.6280000000000001</v>
      </c>
      <c r="AY94" s="25">
        <v>6.6280000000000001</v>
      </c>
      <c r="AZ94" s="25">
        <v>6.3869999999999996</v>
      </c>
      <c r="BA94" s="25">
        <v>0.58199999999999996</v>
      </c>
      <c r="BB94" s="18">
        <v>3.7440000000000002</v>
      </c>
      <c r="BC94" s="25">
        <v>0</v>
      </c>
      <c r="BD94" s="25">
        <v>0</v>
      </c>
      <c r="BE94" s="25">
        <v>0</v>
      </c>
      <c r="BF94" s="18">
        <v>0</v>
      </c>
      <c r="BG94" s="18">
        <v>0</v>
      </c>
      <c r="BH94" s="130">
        <v>0</v>
      </c>
      <c r="BI94" s="18">
        <v>0</v>
      </c>
      <c r="BJ94" s="113">
        <v>0</v>
      </c>
      <c r="BK94" s="113">
        <v>0</v>
      </c>
      <c r="BL94" s="34">
        <f>13600+95</f>
        <v>13695</v>
      </c>
      <c r="BM94" s="34">
        <f>3000+757+161</f>
        <v>3918</v>
      </c>
      <c r="BN94" s="113">
        <v>0</v>
      </c>
      <c r="BO94" s="113">
        <v>0</v>
      </c>
      <c r="BP94" s="113">
        <v>0</v>
      </c>
      <c r="BQ94" s="113">
        <v>0</v>
      </c>
      <c r="BR94" s="101"/>
      <c r="BS94">
        <f t="shared" si="110"/>
        <v>0</v>
      </c>
      <c r="BT94">
        <f t="shared" si="110"/>
        <v>0</v>
      </c>
      <c r="BU94">
        <f t="shared" si="110"/>
        <v>0</v>
      </c>
      <c r="BV94">
        <f t="shared" si="110"/>
        <v>0</v>
      </c>
      <c r="BW94">
        <f t="shared" si="110"/>
        <v>0</v>
      </c>
      <c r="BX94">
        <f t="shared" si="110"/>
        <v>0</v>
      </c>
      <c r="BY94">
        <f t="shared" si="110"/>
        <v>0</v>
      </c>
      <c r="BZ94">
        <f t="shared" si="110"/>
        <v>0</v>
      </c>
      <c r="CA94">
        <f t="shared" si="110"/>
        <v>0</v>
      </c>
      <c r="CB94">
        <f t="shared" si="110"/>
        <v>0</v>
      </c>
      <c r="CC94">
        <f t="shared" si="111"/>
        <v>0</v>
      </c>
      <c r="CD94">
        <f t="shared" si="111"/>
        <v>0</v>
      </c>
      <c r="CE94">
        <f t="shared" si="111"/>
        <v>0</v>
      </c>
      <c r="CF94">
        <f t="shared" si="111"/>
        <v>0</v>
      </c>
      <c r="CG94">
        <f t="shared" si="111"/>
        <v>0</v>
      </c>
      <c r="CH94">
        <f t="shared" si="111"/>
        <v>0</v>
      </c>
      <c r="CI94">
        <f t="shared" si="111"/>
        <v>0</v>
      </c>
      <c r="CJ94">
        <f t="shared" si="111"/>
        <v>0</v>
      </c>
      <c r="CK94">
        <f t="shared" si="111"/>
        <v>0</v>
      </c>
      <c r="CL94">
        <f t="shared" si="111"/>
        <v>0</v>
      </c>
      <c r="CM94">
        <f t="shared" si="112"/>
        <v>0</v>
      </c>
      <c r="CN94">
        <f t="shared" si="112"/>
        <v>0</v>
      </c>
      <c r="CO94">
        <f t="shared" si="112"/>
        <v>0</v>
      </c>
      <c r="CP94">
        <f t="shared" si="112"/>
        <v>0</v>
      </c>
      <c r="CQ94">
        <f t="shared" si="112"/>
        <v>0</v>
      </c>
      <c r="CR94">
        <f t="shared" si="112"/>
        <v>0</v>
      </c>
      <c r="CS94">
        <f t="shared" si="112"/>
        <v>0</v>
      </c>
      <c r="CT94">
        <f t="shared" si="112"/>
        <v>0</v>
      </c>
      <c r="CU94">
        <f t="shared" si="112"/>
        <v>0</v>
      </c>
      <c r="CV94">
        <f t="shared" si="112"/>
        <v>0</v>
      </c>
      <c r="CW94">
        <f t="shared" si="113"/>
        <v>0</v>
      </c>
      <c r="CX94">
        <f t="shared" si="113"/>
        <v>0</v>
      </c>
      <c r="CY94">
        <f t="shared" si="108"/>
        <v>0</v>
      </c>
      <c r="CZ94">
        <f t="shared" si="115"/>
        <v>0</v>
      </c>
      <c r="DA94">
        <f t="shared" si="115"/>
        <v>0</v>
      </c>
      <c r="DB94">
        <f t="shared" si="115"/>
        <v>0</v>
      </c>
      <c r="DC94">
        <f t="shared" si="115"/>
        <v>0</v>
      </c>
      <c r="DD94">
        <f t="shared" si="115"/>
        <v>0</v>
      </c>
      <c r="DE94">
        <f t="shared" si="115"/>
        <v>0</v>
      </c>
      <c r="DF94">
        <f t="shared" si="115"/>
        <v>0</v>
      </c>
      <c r="DG94">
        <f t="shared" si="115"/>
        <v>0</v>
      </c>
      <c r="DH94">
        <f t="shared" si="115"/>
        <v>0</v>
      </c>
      <c r="DI94">
        <f t="shared" si="115"/>
        <v>0</v>
      </c>
      <c r="DJ94">
        <f t="shared" si="116"/>
        <v>0</v>
      </c>
      <c r="DK94">
        <f t="shared" si="116"/>
        <v>0</v>
      </c>
      <c r="DL94">
        <f t="shared" si="116"/>
        <v>0</v>
      </c>
      <c r="DM94">
        <f t="shared" si="116"/>
        <v>0</v>
      </c>
      <c r="DN94">
        <f t="shared" si="116"/>
        <v>0</v>
      </c>
      <c r="DO94">
        <f t="shared" si="116"/>
        <v>0</v>
      </c>
      <c r="DP94">
        <f t="shared" si="116"/>
        <v>0</v>
      </c>
      <c r="DQ94">
        <f t="shared" si="116"/>
        <v>0</v>
      </c>
      <c r="DR94">
        <f t="shared" si="116"/>
        <v>0</v>
      </c>
      <c r="DS94">
        <f t="shared" si="116"/>
        <v>0</v>
      </c>
      <c r="DT94">
        <f t="shared" si="117"/>
        <v>0</v>
      </c>
      <c r="DU94">
        <f t="shared" si="117"/>
        <v>0</v>
      </c>
      <c r="DV94">
        <f t="shared" si="117"/>
        <v>0</v>
      </c>
      <c r="DW94">
        <f t="shared" si="117"/>
        <v>0</v>
      </c>
      <c r="DX94">
        <f t="shared" si="117"/>
        <v>0</v>
      </c>
      <c r="DY94">
        <f t="shared" si="117"/>
        <v>0</v>
      </c>
      <c r="DZ94">
        <f t="shared" si="117"/>
        <v>0</v>
      </c>
      <c r="EA94">
        <f>IF($C94&lt;&gt;"",IF(#REF!&gt;0,1,0),0)</f>
        <v>0</v>
      </c>
      <c r="EB94">
        <f>IF($C94&lt;&gt;"",IF(#REF!&gt;0,1,0),0)</f>
        <v>0</v>
      </c>
      <c r="EC94">
        <f t="shared" ref="EC94:EF97" si="118">IF($C94&lt;&gt;"",IF(BN93&gt;0,1,0),0)</f>
        <v>0</v>
      </c>
      <c r="ED94">
        <f t="shared" si="118"/>
        <v>0</v>
      </c>
      <c r="EE94">
        <f t="shared" si="118"/>
        <v>0</v>
      </c>
      <c r="EF94">
        <f t="shared" si="118"/>
        <v>0</v>
      </c>
    </row>
    <row r="95" spans="1:136" ht="15.5">
      <c r="A95" s="90"/>
      <c r="B95" s="19" t="s">
        <v>3</v>
      </c>
      <c r="C95" s="94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>
        <v>27</v>
      </c>
      <c r="AF95" s="18">
        <v>218</v>
      </c>
      <c r="AG95" s="168">
        <v>311.40333099999998</v>
      </c>
      <c r="AH95" s="25">
        <f>208.4929826-AH94</f>
        <v>207.7529826</v>
      </c>
      <c r="AI95" s="25">
        <f>427.2760871-AI94</f>
        <v>421.30208709999999</v>
      </c>
      <c r="AJ95" s="25">
        <f>693.556193-AJ94</f>
        <v>680.63319300000001</v>
      </c>
      <c r="AK95" s="25">
        <f>998.5550805-AK94</f>
        <v>978.84108050000009</v>
      </c>
      <c r="AL95" s="25">
        <f>1143.6609797-AL94</f>
        <v>1117.7189797000001</v>
      </c>
      <c r="AM95" s="25">
        <f>1350.8237131-AM94</f>
        <v>1320.3807131000001</v>
      </c>
      <c r="AN95" s="25">
        <f>4576.7820014-AN94</f>
        <v>4546.1090014000001</v>
      </c>
      <c r="AO95" s="147">
        <f>572.3897964-AO94</f>
        <v>541.71679640000002</v>
      </c>
      <c r="AP95" s="234">
        <f>795.1018429-AP94</f>
        <v>764.42884289999995</v>
      </c>
      <c r="AQ95" s="234">
        <f>929.917529-AQ94</f>
        <v>897.69252899999992</v>
      </c>
      <c r="AR95" s="235">
        <f>948.4917164-AR94</f>
        <v>910.2067164</v>
      </c>
      <c r="AS95" s="235">
        <f>1089.6245701-AS94</f>
        <v>1045.0695701</v>
      </c>
      <c r="AT95" s="152">
        <f>1184.1530218-AT94</f>
        <v>1153.4800218</v>
      </c>
      <c r="AU95" s="25">
        <f>1425.558906-AU94</f>
        <v>1387.9019060000001</v>
      </c>
      <c r="AV95" s="25">
        <f>2560.5842081-AV94</f>
        <v>2529.9162080999999</v>
      </c>
      <c r="AW95" s="18">
        <f>1401.19898-AW94</f>
        <v>1394.57098</v>
      </c>
      <c r="AX95" s="18">
        <f>725.783332-AX94</f>
        <v>719.15533199999993</v>
      </c>
      <c r="AY95" s="18">
        <f>118.6369699-AY94</f>
        <v>112.0089699</v>
      </c>
      <c r="AZ95" s="25">
        <f>60.7411215-AZ94</f>
        <v>54.354121499999998</v>
      </c>
      <c r="BA95" s="25">
        <f>29.487932-BA94</f>
        <v>28.905932</v>
      </c>
      <c r="BB95" s="25">
        <f>32.600628-BB94</f>
        <v>28.856628000000001</v>
      </c>
      <c r="BC95" s="25">
        <v>11.941510899999999</v>
      </c>
      <c r="BD95" s="25">
        <v>11.419983</v>
      </c>
      <c r="BE95" s="25">
        <v>11.349669199999999</v>
      </c>
      <c r="BF95" s="18">
        <v>11.683935199999999</v>
      </c>
      <c r="BG95" s="18">
        <v>12.074821100000001</v>
      </c>
      <c r="BH95" s="18">
        <v>11.7349438</v>
      </c>
      <c r="BI95" s="18">
        <v>10.8858491</v>
      </c>
      <c r="BJ95" s="113">
        <v>9.6050000000000004</v>
      </c>
      <c r="BK95" s="113">
        <v>8.6039999999999992</v>
      </c>
      <c r="BL95" s="130">
        <v>522.44085370000005</v>
      </c>
      <c r="BM95" s="130">
        <v>844.39753910000002</v>
      </c>
      <c r="BN95" s="113">
        <v>68</v>
      </c>
      <c r="BO95" s="113">
        <v>9</v>
      </c>
      <c r="BP95" s="113">
        <v>0</v>
      </c>
      <c r="BQ95" s="113">
        <v>0</v>
      </c>
      <c r="BR95" s="101"/>
      <c r="BS95">
        <f t="shared" si="110"/>
        <v>0</v>
      </c>
      <c r="BT95">
        <f t="shared" si="110"/>
        <v>0</v>
      </c>
      <c r="BU95">
        <f t="shared" si="110"/>
        <v>0</v>
      </c>
      <c r="BV95">
        <f t="shared" si="110"/>
        <v>0</v>
      </c>
      <c r="BW95">
        <f t="shared" si="110"/>
        <v>0</v>
      </c>
      <c r="BX95">
        <f t="shared" si="110"/>
        <v>0</v>
      </c>
      <c r="BY95">
        <f t="shared" si="110"/>
        <v>0</v>
      </c>
      <c r="BZ95">
        <f t="shared" si="110"/>
        <v>0</v>
      </c>
      <c r="CA95">
        <f t="shared" si="110"/>
        <v>0</v>
      </c>
      <c r="CB95">
        <f t="shared" si="110"/>
        <v>0</v>
      </c>
      <c r="CC95">
        <f t="shared" si="111"/>
        <v>0</v>
      </c>
      <c r="CD95">
        <f t="shared" si="111"/>
        <v>0</v>
      </c>
      <c r="CE95">
        <f t="shared" si="111"/>
        <v>0</v>
      </c>
      <c r="CF95">
        <f t="shared" si="111"/>
        <v>0</v>
      </c>
      <c r="CG95">
        <f t="shared" si="111"/>
        <v>0</v>
      </c>
      <c r="CH95">
        <f t="shared" si="111"/>
        <v>0</v>
      </c>
      <c r="CI95">
        <f t="shared" si="111"/>
        <v>0</v>
      </c>
      <c r="CJ95">
        <f t="shared" si="111"/>
        <v>0</v>
      </c>
      <c r="CK95">
        <f t="shared" si="111"/>
        <v>0</v>
      </c>
      <c r="CL95">
        <f t="shared" si="111"/>
        <v>0</v>
      </c>
      <c r="CM95">
        <f t="shared" si="112"/>
        <v>0</v>
      </c>
      <c r="CN95">
        <f t="shared" si="112"/>
        <v>0</v>
      </c>
      <c r="CO95">
        <f t="shared" si="112"/>
        <v>0</v>
      </c>
      <c r="CP95">
        <f t="shared" si="112"/>
        <v>0</v>
      </c>
      <c r="CQ95">
        <f t="shared" si="112"/>
        <v>0</v>
      </c>
      <c r="CR95">
        <f t="shared" si="112"/>
        <v>0</v>
      </c>
      <c r="CS95">
        <f t="shared" si="112"/>
        <v>0</v>
      </c>
      <c r="CT95">
        <f t="shared" si="112"/>
        <v>0</v>
      </c>
      <c r="CU95">
        <f t="shared" si="112"/>
        <v>0</v>
      </c>
      <c r="CV95">
        <f t="shared" si="112"/>
        <v>0</v>
      </c>
      <c r="CW95">
        <f t="shared" si="113"/>
        <v>0</v>
      </c>
      <c r="CX95">
        <f t="shared" si="113"/>
        <v>0</v>
      </c>
      <c r="CY95">
        <f t="shared" si="108"/>
        <v>0</v>
      </c>
      <c r="CZ95">
        <f t="shared" si="115"/>
        <v>0</v>
      </c>
      <c r="DA95">
        <f t="shared" si="115"/>
        <v>0</v>
      </c>
      <c r="DB95">
        <f t="shared" si="115"/>
        <v>0</v>
      </c>
      <c r="DC95">
        <f t="shared" si="115"/>
        <v>0</v>
      </c>
      <c r="DD95">
        <f t="shared" si="115"/>
        <v>0</v>
      </c>
      <c r="DE95">
        <f t="shared" si="115"/>
        <v>0</v>
      </c>
      <c r="DF95">
        <f t="shared" si="115"/>
        <v>0</v>
      </c>
      <c r="DG95">
        <f t="shared" si="115"/>
        <v>0</v>
      </c>
      <c r="DH95">
        <f t="shared" si="115"/>
        <v>0</v>
      </c>
      <c r="DI95">
        <f t="shared" si="115"/>
        <v>0</v>
      </c>
      <c r="DJ95">
        <f t="shared" si="116"/>
        <v>0</v>
      </c>
      <c r="DK95">
        <f t="shared" si="116"/>
        <v>0</v>
      </c>
      <c r="DL95">
        <f t="shared" si="116"/>
        <v>0</v>
      </c>
      <c r="DM95">
        <f t="shared" si="116"/>
        <v>0</v>
      </c>
      <c r="DN95">
        <f t="shared" si="116"/>
        <v>0</v>
      </c>
      <c r="DO95">
        <f t="shared" si="116"/>
        <v>0</v>
      </c>
      <c r="DP95">
        <f t="shared" si="116"/>
        <v>0</v>
      </c>
      <c r="DQ95">
        <f t="shared" si="116"/>
        <v>0</v>
      </c>
      <c r="DR95">
        <f t="shared" si="116"/>
        <v>0</v>
      </c>
      <c r="DS95">
        <f t="shared" si="116"/>
        <v>0</v>
      </c>
      <c r="DT95">
        <f t="shared" si="117"/>
        <v>0</v>
      </c>
      <c r="DU95">
        <f t="shared" si="117"/>
        <v>0</v>
      </c>
      <c r="DV95">
        <f t="shared" si="117"/>
        <v>0</v>
      </c>
      <c r="DW95">
        <f t="shared" si="117"/>
        <v>0</v>
      </c>
      <c r="DX95">
        <f t="shared" si="117"/>
        <v>0</v>
      </c>
      <c r="DY95">
        <f t="shared" si="117"/>
        <v>0</v>
      </c>
      <c r="DZ95">
        <f t="shared" si="117"/>
        <v>0</v>
      </c>
      <c r="EA95">
        <f>IF($C95&lt;&gt;"",IF(BL93&gt;0,1,0),0)</f>
        <v>0</v>
      </c>
      <c r="EB95">
        <f>IF($C95&lt;&gt;"",IF(BM93&gt;0,1,0),0)</f>
        <v>0</v>
      </c>
      <c r="EC95">
        <f t="shared" si="118"/>
        <v>0</v>
      </c>
      <c r="ED95">
        <f t="shared" si="118"/>
        <v>0</v>
      </c>
      <c r="EE95">
        <f t="shared" si="118"/>
        <v>0</v>
      </c>
      <c r="EF95">
        <f t="shared" si="118"/>
        <v>0</v>
      </c>
    </row>
    <row r="96" spans="1:136" ht="15.5">
      <c r="A96" s="90"/>
      <c r="B96" s="19" t="s">
        <v>208</v>
      </c>
      <c r="C96" s="94"/>
      <c r="D96" s="18" t="s">
        <v>169</v>
      </c>
      <c r="E96" s="18" t="s">
        <v>169</v>
      </c>
      <c r="F96" s="18" t="s">
        <v>169</v>
      </c>
      <c r="G96" s="18" t="s">
        <v>169</v>
      </c>
      <c r="H96" s="18" t="s">
        <v>169</v>
      </c>
      <c r="I96" s="18" t="s">
        <v>169</v>
      </c>
      <c r="J96" s="18" t="s">
        <v>169</v>
      </c>
      <c r="K96" s="18" t="s">
        <v>169</v>
      </c>
      <c r="L96" s="18" t="s">
        <v>169</v>
      </c>
      <c r="M96" s="18" t="s">
        <v>169</v>
      </c>
      <c r="N96" s="18" t="s">
        <v>169</v>
      </c>
      <c r="O96" s="18" t="s">
        <v>169</v>
      </c>
      <c r="P96" s="18" t="s">
        <v>169</v>
      </c>
      <c r="Q96" s="18" t="s">
        <v>169</v>
      </c>
      <c r="R96" s="18" t="s">
        <v>169</v>
      </c>
      <c r="S96" s="18" t="s">
        <v>169</v>
      </c>
      <c r="T96" s="18" t="s">
        <v>169</v>
      </c>
      <c r="U96" s="18" t="s">
        <v>169</v>
      </c>
      <c r="V96" s="18" t="s">
        <v>169</v>
      </c>
      <c r="W96" s="18" t="s">
        <v>169</v>
      </c>
      <c r="X96" s="18" t="s">
        <v>169</v>
      </c>
      <c r="Y96" s="18" t="s">
        <v>169</v>
      </c>
      <c r="Z96" s="18" t="s">
        <v>169</v>
      </c>
      <c r="AA96" s="18" t="s">
        <v>169</v>
      </c>
      <c r="AB96" s="18" t="s">
        <v>169</v>
      </c>
      <c r="AC96" s="18" t="s">
        <v>169</v>
      </c>
      <c r="AD96" s="18" t="s">
        <v>169</v>
      </c>
      <c r="AE96" s="40" t="s">
        <v>16</v>
      </c>
      <c r="AF96" s="40" t="s">
        <v>16</v>
      </c>
      <c r="AG96" s="18">
        <f>642.6365513*0.33</f>
        <v>212.07006192899999</v>
      </c>
      <c r="AH96" s="31">
        <f>745.0219438*0.33</f>
        <v>245.85724145400002</v>
      </c>
      <c r="AI96" s="18">
        <f>1110.9524333*0.33</f>
        <v>366.61430298900001</v>
      </c>
      <c r="AJ96" s="18">
        <f>207*0.33</f>
        <v>68.31</v>
      </c>
      <c r="AK96" s="18">
        <f>303*0.33</f>
        <v>99.990000000000009</v>
      </c>
      <c r="AL96" s="18">
        <f>378*0.33</f>
        <v>124.74000000000001</v>
      </c>
      <c r="AM96" s="18">
        <f>1432*0.33</f>
        <v>472.56</v>
      </c>
      <c r="AN96" s="18">
        <f>783*0.33</f>
        <v>258.39</v>
      </c>
      <c r="AO96" s="147">
        <f>1722.9221355*0.33</f>
        <v>568.56430471500005</v>
      </c>
      <c r="AP96" s="147">
        <f>2418.6264334*0.33</f>
        <v>798.14672302200006</v>
      </c>
      <c r="AQ96" s="147">
        <f>2647.2934034*0.33</f>
        <v>873.60682312200004</v>
      </c>
      <c r="AR96" s="147">
        <f>2778.9915675*0.33</f>
        <v>917.06721727500008</v>
      </c>
      <c r="AS96" s="147">
        <f>3269.520246*0.33</f>
        <v>1078.9416811800002</v>
      </c>
      <c r="AT96" s="147">
        <f>1033*0.33</f>
        <v>340.89000000000004</v>
      </c>
      <c r="AU96" s="147">
        <f>1214*0.33</f>
        <v>400.62</v>
      </c>
      <c r="AV96" s="147">
        <v>631</v>
      </c>
      <c r="AW96" s="147">
        <v>461</v>
      </c>
      <c r="AX96" s="147">
        <v>493</v>
      </c>
      <c r="AY96" s="18">
        <v>382.48422339999996</v>
      </c>
      <c r="AZ96" s="18">
        <v>291.47053149999999</v>
      </c>
      <c r="BA96" s="18">
        <v>361.30516879999999</v>
      </c>
      <c r="BB96" s="18">
        <f>322.5071239-BB95</f>
        <v>293.65049590000001</v>
      </c>
      <c r="BC96" s="18">
        <f>310.4634128</f>
        <v>310.46341280000001</v>
      </c>
      <c r="BD96" s="18">
        <f>299.5344484</f>
        <v>299.53444839999997</v>
      </c>
      <c r="BE96" s="18">
        <f>311.8032315</f>
        <v>311.80323149999998</v>
      </c>
      <c r="BF96" s="18">
        <v>300.70328139999998</v>
      </c>
      <c r="BG96" s="18">
        <v>209.30984040000001</v>
      </c>
      <c r="BH96" s="18">
        <v>202.42512380000002</v>
      </c>
      <c r="BI96" s="18">
        <v>84.165675300000004</v>
      </c>
      <c r="BJ96" s="113">
        <v>65.607919999999993</v>
      </c>
      <c r="BK96" s="113">
        <v>56.822636199999998</v>
      </c>
      <c r="BL96" s="113">
        <v>61.229160300000004</v>
      </c>
      <c r="BM96" s="113">
        <v>57.213571800000004</v>
      </c>
      <c r="BN96" s="113">
        <v>54.409033800000003</v>
      </c>
      <c r="BO96" s="113">
        <v>206</v>
      </c>
      <c r="BP96" s="113">
        <v>272</v>
      </c>
      <c r="BQ96" s="113">
        <v>272</v>
      </c>
      <c r="BR96" s="101"/>
      <c r="BS96">
        <f t="shared" si="110"/>
        <v>0</v>
      </c>
      <c r="BT96">
        <f t="shared" si="110"/>
        <v>0</v>
      </c>
      <c r="BU96">
        <f t="shared" si="110"/>
        <v>0</v>
      </c>
      <c r="BV96">
        <f t="shared" si="110"/>
        <v>0</v>
      </c>
      <c r="BW96">
        <f t="shared" si="110"/>
        <v>0</v>
      </c>
      <c r="BX96">
        <f t="shared" si="110"/>
        <v>0</v>
      </c>
      <c r="BY96">
        <f t="shared" si="110"/>
        <v>0</v>
      </c>
      <c r="BZ96">
        <f t="shared" si="110"/>
        <v>0</v>
      </c>
      <c r="CA96">
        <f t="shared" si="110"/>
        <v>0</v>
      </c>
      <c r="CB96">
        <f t="shared" si="110"/>
        <v>0</v>
      </c>
      <c r="CC96">
        <f t="shared" si="111"/>
        <v>0</v>
      </c>
      <c r="CD96">
        <f t="shared" si="111"/>
        <v>0</v>
      </c>
      <c r="CE96">
        <f t="shared" si="111"/>
        <v>0</v>
      </c>
      <c r="CF96">
        <f t="shared" si="111"/>
        <v>0</v>
      </c>
      <c r="CG96">
        <f t="shared" si="111"/>
        <v>0</v>
      </c>
      <c r="CH96">
        <f t="shared" si="111"/>
        <v>0</v>
      </c>
      <c r="CI96">
        <f t="shared" si="111"/>
        <v>0</v>
      </c>
      <c r="CJ96">
        <f t="shared" si="111"/>
        <v>0</v>
      </c>
      <c r="CK96">
        <f t="shared" si="111"/>
        <v>0</v>
      </c>
      <c r="CL96">
        <f t="shared" si="111"/>
        <v>0</v>
      </c>
      <c r="CM96">
        <f t="shared" si="112"/>
        <v>0</v>
      </c>
      <c r="CN96">
        <f t="shared" si="112"/>
        <v>0</v>
      </c>
      <c r="CO96">
        <f t="shared" si="112"/>
        <v>0</v>
      </c>
      <c r="CP96">
        <f t="shared" si="112"/>
        <v>0</v>
      </c>
      <c r="CQ96">
        <f t="shared" si="112"/>
        <v>0</v>
      </c>
      <c r="CR96">
        <f t="shared" si="112"/>
        <v>0</v>
      </c>
      <c r="CS96">
        <f t="shared" si="112"/>
        <v>0</v>
      </c>
      <c r="CT96">
        <f t="shared" si="112"/>
        <v>0</v>
      </c>
      <c r="CU96">
        <f t="shared" si="112"/>
        <v>0</v>
      </c>
      <c r="CV96">
        <f t="shared" si="112"/>
        <v>0</v>
      </c>
      <c r="CW96">
        <f t="shared" si="113"/>
        <v>0</v>
      </c>
      <c r="CX96">
        <f t="shared" si="113"/>
        <v>0</v>
      </c>
      <c r="CY96">
        <f t="shared" si="108"/>
        <v>0</v>
      </c>
      <c r="CZ96">
        <f t="shared" si="115"/>
        <v>0</v>
      </c>
      <c r="DA96">
        <f t="shared" si="115"/>
        <v>0</v>
      </c>
      <c r="DB96">
        <f t="shared" si="115"/>
        <v>0</v>
      </c>
      <c r="DC96">
        <f t="shared" si="115"/>
        <v>0</v>
      </c>
      <c r="DD96">
        <f t="shared" si="115"/>
        <v>0</v>
      </c>
      <c r="DE96">
        <f t="shared" si="115"/>
        <v>0</v>
      </c>
      <c r="DF96">
        <f t="shared" si="115"/>
        <v>0</v>
      </c>
      <c r="DG96">
        <f t="shared" si="115"/>
        <v>0</v>
      </c>
      <c r="DH96">
        <f t="shared" si="115"/>
        <v>0</v>
      </c>
      <c r="DI96">
        <f t="shared" si="115"/>
        <v>0</v>
      </c>
      <c r="DJ96">
        <f t="shared" si="116"/>
        <v>0</v>
      </c>
      <c r="DK96">
        <f t="shared" si="116"/>
        <v>0</v>
      </c>
      <c r="DL96">
        <f t="shared" si="116"/>
        <v>0</v>
      </c>
      <c r="DM96">
        <f t="shared" si="116"/>
        <v>0</v>
      </c>
      <c r="DN96">
        <f t="shared" si="116"/>
        <v>0</v>
      </c>
      <c r="DO96">
        <f t="shared" si="116"/>
        <v>0</v>
      </c>
      <c r="DP96">
        <f t="shared" si="116"/>
        <v>0</v>
      </c>
      <c r="DQ96">
        <f t="shared" si="116"/>
        <v>0</v>
      </c>
      <c r="DR96">
        <f t="shared" si="116"/>
        <v>0</v>
      </c>
      <c r="DS96">
        <f t="shared" si="116"/>
        <v>0</v>
      </c>
      <c r="DT96">
        <f t="shared" si="117"/>
        <v>0</v>
      </c>
      <c r="DU96">
        <f t="shared" si="117"/>
        <v>0</v>
      </c>
      <c r="DV96">
        <f t="shared" si="117"/>
        <v>0</v>
      </c>
      <c r="DW96">
        <f t="shared" si="117"/>
        <v>0</v>
      </c>
      <c r="DX96">
        <f t="shared" si="117"/>
        <v>0</v>
      </c>
      <c r="DY96">
        <f t="shared" si="117"/>
        <v>0</v>
      </c>
      <c r="DZ96">
        <f t="shared" si="117"/>
        <v>0</v>
      </c>
      <c r="EA96">
        <f>IF($C96&lt;&gt;"",IF(BL95&gt;0,1,0),0)</f>
        <v>0</v>
      </c>
      <c r="EB96">
        <f>IF($C96&lt;&gt;"",IF(BM95&gt;0,1,0),0)</f>
        <v>0</v>
      </c>
      <c r="EC96">
        <f t="shared" si="118"/>
        <v>0</v>
      </c>
      <c r="ED96">
        <f t="shared" si="118"/>
        <v>0</v>
      </c>
      <c r="EE96">
        <f t="shared" si="118"/>
        <v>0</v>
      </c>
      <c r="EF96">
        <f t="shared" si="118"/>
        <v>0</v>
      </c>
    </row>
    <row r="97" spans="1:136" ht="15.5">
      <c r="A97" s="90"/>
      <c r="B97" s="19" t="s">
        <v>21</v>
      </c>
      <c r="C97" s="94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>
        <v>0</v>
      </c>
      <c r="AF97" s="18">
        <v>0</v>
      </c>
      <c r="AG97" s="18">
        <v>0</v>
      </c>
      <c r="AH97" s="18">
        <v>867</v>
      </c>
      <c r="AI97" s="18">
        <v>0</v>
      </c>
      <c r="AJ97" s="18">
        <v>48.18181818181818</v>
      </c>
      <c r="AK97" s="18">
        <v>30</v>
      </c>
      <c r="AL97" s="18">
        <v>2727.2727272727275</v>
      </c>
      <c r="AM97" s="18">
        <v>0</v>
      </c>
      <c r="AN97" s="18">
        <v>0</v>
      </c>
      <c r="AO97" s="18">
        <v>0</v>
      </c>
      <c r="AP97" s="18">
        <v>0</v>
      </c>
      <c r="AQ97" s="18">
        <v>0</v>
      </c>
      <c r="AR97" s="18">
        <v>0</v>
      </c>
      <c r="AS97" s="18">
        <v>0</v>
      </c>
      <c r="AT97" s="18">
        <v>0</v>
      </c>
      <c r="AU97" s="18">
        <v>0</v>
      </c>
      <c r="AV97" s="18">
        <v>0</v>
      </c>
      <c r="AW97" s="18">
        <v>0</v>
      </c>
      <c r="AX97" s="18">
        <v>0</v>
      </c>
      <c r="AY97" s="18">
        <v>0</v>
      </c>
      <c r="AZ97" s="18">
        <v>0</v>
      </c>
      <c r="BA97" s="18">
        <v>0</v>
      </c>
      <c r="BB97" s="18">
        <v>1800</v>
      </c>
      <c r="BC97" s="18">
        <v>0</v>
      </c>
      <c r="BD97" s="18">
        <v>0</v>
      </c>
      <c r="BE97" s="25">
        <v>0</v>
      </c>
      <c r="BF97" s="18">
        <v>0</v>
      </c>
      <c r="BG97" s="18">
        <v>0</v>
      </c>
      <c r="BH97" s="18">
        <v>0</v>
      </c>
      <c r="BI97" s="18">
        <v>0</v>
      </c>
      <c r="BJ97" s="113">
        <v>0</v>
      </c>
      <c r="BK97" s="113">
        <v>0</v>
      </c>
      <c r="BL97" s="34">
        <v>0</v>
      </c>
      <c r="BM97" s="113">
        <v>0</v>
      </c>
      <c r="BN97" s="113">
        <v>0</v>
      </c>
      <c r="BO97" s="113">
        <v>0</v>
      </c>
      <c r="BP97" s="113">
        <v>0</v>
      </c>
      <c r="BQ97" s="113">
        <v>0</v>
      </c>
      <c r="BR97" s="101"/>
      <c r="BS97">
        <f t="shared" si="110"/>
        <v>0</v>
      </c>
      <c r="BT97">
        <f t="shared" si="110"/>
        <v>0</v>
      </c>
      <c r="BU97">
        <f t="shared" si="110"/>
        <v>0</v>
      </c>
      <c r="BV97">
        <f t="shared" si="110"/>
        <v>0</v>
      </c>
      <c r="BW97">
        <f t="shared" si="110"/>
        <v>0</v>
      </c>
      <c r="BX97">
        <f t="shared" si="110"/>
        <v>0</v>
      </c>
      <c r="BY97">
        <f t="shared" si="110"/>
        <v>0</v>
      </c>
      <c r="BZ97">
        <f t="shared" si="110"/>
        <v>0</v>
      </c>
      <c r="CA97">
        <f t="shared" si="110"/>
        <v>0</v>
      </c>
      <c r="CB97">
        <f t="shared" si="110"/>
        <v>0</v>
      </c>
      <c r="CC97">
        <f t="shared" si="111"/>
        <v>0</v>
      </c>
      <c r="CD97">
        <f t="shared" si="111"/>
        <v>0</v>
      </c>
      <c r="CE97">
        <f t="shared" si="111"/>
        <v>0</v>
      </c>
      <c r="CF97">
        <f t="shared" si="111"/>
        <v>0</v>
      </c>
      <c r="CG97">
        <f t="shared" si="111"/>
        <v>0</v>
      </c>
      <c r="CH97">
        <f t="shared" si="111"/>
        <v>0</v>
      </c>
      <c r="CI97">
        <f t="shared" si="111"/>
        <v>0</v>
      </c>
      <c r="CJ97">
        <f t="shared" si="111"/>
        <v>0</v>
      </c>
      <c r="CK97">
        <f t="shared" si="111"/>
        <v>0</v>
      </c>
      <c r="CL97">
        <f t="shared" si="111"/>
        <v>0</v>
      </c>
      <c r="CM97">
        <f t="shared" si="112"/>
        <v>0</v>
      </c>
      <c r="CN97">
        <f t="shared" si="112"/>
        <v>0</v>
      </c>
      <c r="CO97">
        <f t="shared" si="112"/>
        <v>0</v>
      </c>
      <c r="CP97">
        <f t="shared" si="112"/>
        <v>0</v>
      </c>
      <c r="CQ97">
        <f t="shared" si="112"/>
        <v>0</v>
      </c>
      <c r="CR97">
        <f t="shared" si="112"/>
        <v>0</v>
      </c>
      <c r="CS97">
        <f t="shared" si="112"/>
        <v>0</v>
      </c>
      <c r="CT97">
        <f t="shared" si="112"/>
        <v>0</v>
      </c>
      <c r="CU97">
        <f t="shared" si="112"/>
        <v>0</v>
      </c>
      <c r="CV97">
        <f t="shared" si="112"/>
        <v>0</v>
      </c>
      <c r="CW97">
        <f t="shared" si="113"/>
        <v>0</v>
      </c>
      <c r="CX97">
        <f t="shared" si="113"/>
        <v>0</v>
      </c>
      <c r="CY97">
        <f t="shared" si="108"/>
        <v>0</v>
      </c>
      <c r="CZ97">
        <f t="shared" si="115"/>
        <v>0</v>
      </c>
      <c r="DA97">
        <f t="shared" si="115"/>
        <v>0</v>
      </c>
      <c r="DB97">
        <f t="shared" si="115"/>
        <v>0</v>
      </c>
      <c r="DC97">
        <f t="shared" si="115"/>
        <v>0</v>
      </c>
      <c r="DD97">
        <f t="shared" si="115"/>
        <v>0</v>
      </c>
      <c r="DE97">
        <f t="shared" si="115"/>
        <v>0</v>
      </c>
      <c r="DF97">
        <f t="shared" si="115"/>
        <v>0</v>
      </c>
      <c r="DG97">
        <f t="shared" si="115"/>
        <v>0</v>
      </c>
      <c r="DH97">
        <f t="shared" si="115"/>
        <v>0</v>
      </c>
      <c r="DI97">
        <f t="shared" si="115"/>
        <v>0</v>
      </c>
      <c r="DJ97">
        <f t="shared" si="116"/>
        <v>0</v>
      </c>
      <c r="DK97">
        <f t="shared" si="116"/>
        <v>0</v>
      </c>
      <c r="DL97">
        <f t="shared" si="116"/>
        <v>0</v>
      </c>
      <c r="DM97">
        <f t="shared" si="116"/>
        <v>0</v>
      </c>
      <c r="DN97">
        <f t="shared" si="116"/>
        <v>0</v>
      </c>
      <c r="DO97">
        <f t="shared" si="116"/>
        <v>0</v>
      </c>
      <c r="DP97">
        <f t="shared" si="116"/>
        <v>0</v>
      </c>
      <c r="DQ97">
        <f t="shared" si="116"/>
        <v>0</v>
      </c>
      <c r="DR97">
        <f t="shared" si="116"/>
        <v>0</v>
      </c>
      <c r="DS97">
        <f t="shared" si="116"/>
        <v>0</v>
      </c>
      <c r="DT97">
        <f t="shared" si="117"/>
        <v>0</v>
      </c>
      <c r="DU97">
        <f t="shared" si="117"/>
        <v>0</v>
      </c>
      <c r="DV97">
        <f t="shared" si="117"/>
        <v>0</v>
      </c>
      <c r="DW97">
        <f t="shared" si="117"/>
        <v>0</v>
      </c>
      <c r="DX97">
        <f t="shared" si="117"/>
        <v>0</v>
      </c>
      <c r="DY97">
        <f t="shared" si="117"/>
        <v>0</v>
      </c>
      <c r="DZ97">
        <f t="shared" si="117"/>
        <v>0</v>
      </c>
      <c r="EA97">
        <f>IF($C97&lt;&gt;"",IF(BL96&gt;0,1,0),0)</f>
        <v>0</v>
      </c>
      <c r="EB97">
        <f>IF($C97&lt;&gt;"",IF(BM96&gt;0,1,0),0)</f>
        <v>0</v>
      </c>
      <c r="EC97">
        <f t="shared" si="118"/>
        <v>0</v>
      </c>
      <c r="ED97">
        <f t="shared" si="118"/>
        <v>0</v>
      </c>
      <c r="EE97">
        <f t="shared" si="118"/>
        <v>0</v>
      </c>
      <c r="EF97">
        <f t="shared" si="118"/>
        <v>0</v>
      </c>
    </row>
    <row r="98" spans="1:136" ht="15.5">
      <c r="A98" s="90"/>
      <c r="B98" s="19" t="s">
        <v>212</v>
      </c>
      <c r="C98" s="94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40" t="s">
        <v>16</v>
      </c>
      <c r="AF98" s="40" t="s">
        <v>16</v>
      </c>
      <c r="AG98" s="40" t="s">
        <v>16</v>
      </c>
      <c r="AH98" s="18">
        <v>2920</v>
      </c>
      <c r="AI98" s="18">
        <v>2907</v>
      </c>
      <c r="AJ98" s="18">
        <v>2966</v>
      </c>
      <c r="AK98" s="18">
        <v>3004</v>
      </c>
      <c r="AL98" s="18">
        <v>3043</v>
      </c>
      <c r="AM98" s="18">
        <v>3098</v>
      </c>
      <c r="AN98" s="18">
        <v>3627</v>
      </c>
      <c r="AO98" s="18">
        <v>4065</v>
      </c>
      <c r="AP98" s="18">
        <v>4414</v>
      </c>
      <c r="AQ98" s="18">
        <v>4514</v>
      </c>
      <c r="AR98" s="18">
        <v>6531</v>
      </c>
      <c r="AS98" s="18">
        <v>6272</v>
      </c>
      <c r="AT98" s="18">
        <v>7000</v>
      </c>
      <c r="AU98" s="18">
        <v>6193.3501896333755</v>
      </c>
      <c r="AV98" s="18">
        <v>5295.9112149532712</v>
      </c>
      <c r="AW98" s="18">
        <v>5147.8960396039602</v>
      </c>
      <c r="AX98" s="18">
        <v>1466.875</v>
      </c>
      <c r="AY98" s="18">
        <v>3061.5894039735099</v>
      </c>
      <c r="AZ98" s="18">
        <v>7500.0000000000009</v>
      </c>
      <c r="BA98" s="18">
        <v>4440.7158836689032</v>
      </c>
      <c r="BB98" s="18">
        <v>4276.4578833693304</v>
      </c>
      <c r="BC98" s="18">
        <v>6236.5591397849466</v>
      </c>
      <c r="BD98" s="18">
        <v>8748.4303055671826</v>
      </c>
      <c r="BE98" s="25">
        <v>2844.8187326692</v>
      </c>
      <c r="BF98" s="18">
        <v>7485.4368932038833</v>
      </c>
      <c r="BG98" s="18">
        <v>9303.7037037037044</v>
      </c>
      <c r="BH98" s="18">
        <v>7506.0240963855422</v>
      </c>
      <c r="BI98" s="18">
        <v>7457.8313253012047</v>
      </c>
      <c r="BJ98" s="113">
        <v>8839.3939393939399</v>
      </c>
      <c r="BK98" s="113">
        <v>6809.0614886731391</v>
      </c>
      <c r="BL98" s="34">
        <v>3019.8170731707319</v>
      </c>
      <c r="BM98" s="113">
        <v>3939.9928135105997</v>
      </c>
      <c r="BN98" s="129">
        <v>2343.75</v>
      </c>
      <c r="BO98" s="113">
        <v>3132.5301204819275</v>
      </c>
      <c r="BP98" s="113">
        <v>2850</v>
      </c>
      <c r="BQ98" s="113">
        <v>2850</v>
      </c>
      <c r="BR98" s="101"/>
      <c r="BS98">
        <f t="shared" si="110"/>
        <v>0</v>
      </c>
      <c r="BT98">
        <f t="shared" si="110"/>
        <v>0</v>
      </c>
      <c r="BU98">
        <f t="shared" si="110"/>
        <v>0</v>
      </c>
      <c r="BV98">
        <f t="shared" si="110"/>
        <v>0</v>
      </c>
      <c r="BW98">
        <f t="shared" si="110"/>
        <v>0</v>
      </c>
      <c r="BX98">
        <f t="shared" si="110"/>
        <v>0</v>
      </c>
      <c r="BY98">
        <f t="shared" si="110"/>
        <v>0</v>
      </c>
      <c r="BZ98">
        <f t="shared" si="110"/>
        <v>0</v>
      </c>
      <c r="CA98">
        <f t="shared" si="110"/>
        <v>0</v>
      </c>
      <c r="CB98">
        <f t="shared" si="110"/>
        <v>0</v>
      </c>
      <c r="CC98">
        <f t="shared" si="111"/>
        <v>0</v>
      </c>
      <c r="CD98">
        <f t="shared" si="111"/>
        <v>0</v>
      </c>
      <c r="CE98">
        <f t="shared" si="111"/>
        <v>0</v>
      </c>
      <c r="CF98">
        <f t="shared" si="111"/>
        <v>0</v>
      </c>
      <c r="CG98">
        <f t="shared" si="111"/>
        <v>0</v>
      </c>
      <c r="CH98">
        <f t="shared" si="111"/>
        <v>0</v>
      </c>
      <c r="CI98">
        <f t="shared" si="111"/>
        <v>0</v>
      </c>
      <c r="CJ98">
        <f t="shared" si="111"/>
        <v>0</v>
      </c>
      <c r="CK98">
        <f t="shared" si="111"/>
        <v>0</v>
      </c>
      <c r="CL98">
        <f t="shared" si="111"/>
        <v>0</v>
      </c>
      <c r="CM98">
        <f t="shared" si="112"/>
        <v>0</v>
      </c>
      <c r="CN98">
        <f t="shared" si="112"/>
        <v>0</v>
      </c>
      <c r="CO98">
        <f t="shared" si="112"/>
        <v>0</v>
      </c>
      <c r="CP98">
        <f t="shared" si="112"/>
        <v>0</v>
      </c>
      <c r="CQ98">
        <f t="shared" si="112"/>
        <v>0</v>
      </c>
      <c r="CR98">
        <f t="shared" si="112"/>
        <v>0</v>
      </c>
      <c r="CS98">
        <f t="shared" si="112"/>
        <v>0</v>
      </c>
      <c r="CT98">
        <f t="shared" si="112"/>
        <v>0</v>
      </c>
      <c r="CU98">
        <f t="shared" si="112"/>
        <v>0</v>
      </c>
      <c r="CV98">
        <f t="shared" si="112"/>
        <v>0</v>
      </c>
      <c r="CW98">
        <f t="shared" si="113"/>
        <v>0</v>
      </c>
      <c r="CX98">
        <f t="shared" si="113"/>
        <v>0</v>
      </c>
      <c r="CY98">
        <f t="shared" si="108"/>
        <v>0</v>
      </c>
      <c r="CZ98">
        <f t="shared" si="115"/>
        <v>0</v>
      </c>
      <c r="DA98">
        <f t="shared" si="115"/>
        <v>0</v>
      </c>
      <c r="DB98">
        <f t="shared" si="115"/>
        <v>0</v>
      </c>
      <c r="DC98">
        <f t="shared" si="115"/>
        <v>0</v>
      </c>
      <c r="DD98">
        <f t="shared" si="115"/>
        <v>0</v>
      </c>
      <c r="DE98">
        <f t="shared" si="115"/>
        <v>0</v>
      </c>
      <c r="DF98">
        <f t="shared" si="115"/>
        <v>0</v>
      </c>
      <c r="DG98">
        <f t="shared" si="115"/>
        <v>0</v>
      </c>
      <c r="DH98">
        <f t="shared" si="115"/>
        <v>0</v>
      </c>
      <c r="DI98">
        <f t="shared" si="115"/>
        <v>0</v>
      </c>
      <c r="DJ98">
        <f t="shared" si="116"/>
        <v>0</v>
      </c>
      <c r="DK98">
        <f t="shared" si="116"/>
        <v>0</v>
      </c>
      <c r="DL98">
        <f t="shared" si="116"/>
        <v>0</v>
      </c>
      <c r="DM98">
        <f t="shared" si="116"/>
        <v>0</v>
      </c>
      <c r="DN98">
        <f t="shared" si="116"/>
        <v>0</v>
      </c>
      <c r="DO98">
        <f t="shared" si="116"/>
        <v>0</v>
      </c>
      <c r="DP98">
        <f t="shared" si="116"/>
        <v>0</v>
      </c>
      <c r="DQ98">
        <f t="shared" si="116"/>
        <v>0</v>
      </c>
      <c r="DR98">
        <f t="shared" si="116"/>
        <v>0</v>
      </c>
      <c r="DS98">
        <f t="shared" si="116"/>
        <v>0</v>
      </c>
      <c r="DT98">
        <f t="shared" si="117"/>
        <v>0</v>
      </c>
      <c r="DU98">
        <f t="shared" si="117"/>
        <v>0</v>
      </c>
      <c r="DV98">
        <f t="shared" si="117"/>
        <v>0</v>
      </c>
      <c r="DW98">
        <f t="shared" si="117"/>
        <v>0</v>
      </c>
      <c r="DX98">
        <f t="shared" si="117"/>
        <v>0</v>
      </c>
      <c r="DY98">
        <f t="shared" si="117"/>
        <v>0</v>
      </c>
      <c r="DZ98">
        <f t="shared" si="117"/>
        <v>0</v>
      </c>
      <c r="EA98">
        <f t="shared" ref="EA98:EF98" si="119">IF($C98&lt;&gt;"",IF(BL98&gt;0,1,0),0)</f>
        <v>0</v>
      </c>
      <c r="EB98">
        <f t="shared" si="119"/>
        <v>0</v>
      </c>
      <c r="EC98">
        <f t="shared" si="119"/>
        <v>0</v>
      </c>
      <c r="ED98">
        <f t="shared" si="119"/>
        <v>0</v>
      </c>
      <c r="EE98">
        <f t="shared" si="119"/>
        <v>0</v>
      </c>
      <c r="EF98">
        <f t="shared" si="119"/>
        <v>0</v>
      </c>
    </row>
    <row r="99" spans="1:136" ht="15.5">
      <c r="A99" s="90"/>
      <c r="B99" s="19"/>
      <c r="C99" s="94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25"/>
      <c r="BF99" s="18"/>
      <c r="BG99" s="18"/>
      <c r="BH99" s="18"/>
      <c r="BI99" s="18"/>
      <c r="BJ99" s="113"/>
      <c r="BK99" s="113"/>
      <c r="BL99" s="34"/>
      <c r="BM99" s="113"/>
      <c r="BN99" s="113"/>
      <c r="BO99" s="113"/>
      <c r="BP99" s="2"/>
      <c r="BQ99" s="2"/>
      <c r="BR99" s="101"/>
    </row>
    <row r="100" spans="1:136" ht="15.5">
      <c r="A100" s="269">
        <v>5</v>
      </c>
      <c r="B100" s="32" t="s">
        <v>236</v>
      </c>
      <c r="C100" s="94">
        <v>3</v>
      </c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205"/>
      <c r="AT100" s="208"/>
      <c r="AU100" s="208"/>
      <c r="AV100" s="208"/>
      <c r="AW100" s="208"/>
      <c r="AX100" s="208"/>
      <c r="AY100" s="208"/>
      <c r="AZ100" s="208"/>
      <c r="BA100" s="208"/>
      <c r="BB100" s="208"/>
      <c r="BC100" s="18"/>
      <c r="BD100" s="18"/>
      <c r="BE100" s="25"/>
      <c r="BF100" s="18"/>
      <c r="BG100" s="18"/>
      <c r="BH100" s="18"/>
      <c r="BI100" s="18"/>
      <c r="BJ100" s="113"/>
      <c r="BK100" s="113"/>
      <c r="BL100" s="113"/>
      <c r="BM100" s="113"/>
      <c r="BN100" s="113"/>
      <c r="BO100" s="113"/>
      <c r="BP100" s="2"/>
      <c r="BQ100" s="2"/>
      <c r="BR100" s="101"/>
    </row>
    <row r="101" spans="1:136" ht="15.5">
      <c r="A101" s="90"/>
      <c r="B101" s="19" t="s">
        <v>212</v>
      </c>
      <c r="C101" s="94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>
        <v>0.57199999999999995</v>
      </c>
      <c r="AR101" s="207">
        <v>0</v>
      </c>
      <c r="AS101" s="18">
        <v>2</v>
      </c>
      <c r="AT101" s="25">
        <v>0</v>
      </c>
      <c r="AU101" s="18">
        <v>0</v>
      </c>
      <c r="AV101" s="18">
        <v>0</v>
      </c>
      <c r="AW101" s="60">
        <v>0</v>
      </c>
      <c r="AX101" s="18">
        <v>0</v>
      </c>
      <c r="AY101" s="18">
        <v>0</v>
      </c>
      <c r="AZ101" s="34">
        <v>8</v>
      </c>
      <c r="BA101" s="34">
        <v>8</v>
      </c>
      <c r="BB101" s="34">
        <v>3</v>
      </c>
      <c r="BC101" s="34">
        <v>3</v>
      </c>
      <c r="BD101" s="34">
        <v>2</v>
      </c>
      <c r="BE101" s="34">
        <v>2</v>
      </c>
      <c r="BF101" s="18">
        <v>1.9</v>
      </c>
      <c r="BG101" s="18">
        <v>2</v>
      </c>
      <c r="BH101" s="113">
        <v>2</v>
      </c>
      <c r="BI101" s="113">
        <v>2</v>
      </c>
      <c r="BJ101" s="113">
        <v>2</v>
      </c>
      <c r="BK101" s="113">
        <v>2</v>
      </c>
      <c r="BL101" s="113">
        <v>2</v>
      </c>
      <c r="BM101" s="113">
        <v>0</v>
      </c>
      <c r="BN101" s="113">
        <v>0</v>
      </c>
      <c r="BO101" s="113">
        <v>0</v>
      </c>
      <c r="BP101" s="113">
        <v>0</v>
      </c>
      <c r="BQ101" s="113">
        <v>0</v>
      </c>
      <c r="BR101" s="101"/>
      <c r="BS101">
        <f t="shared" ref="BS101:CX101" si="120">IF($C101&lt;&gt;"",IF(D101&gt;0,1,0),0)</f>
        <v>0</v>
      </c>
      <c r="BT101">
        <f t="shared" si="120"/>
        <v>0</v>
      </c>
      <c r="BU101">
        <f t="shared" si="120"/>
        <v>0</v>
      </c>
      <c r="BV101">
        <f t="shared" si="120"/>
        <v>0</v>
      </c>
      <c r="BW101">
        <f t="shared" si="120"/>
        <v>0</v>
      </c>
      <c r="BX101">
        <f t="shared" si="120"/>
        <v>0</v>
      </c>
      <c r="BY101">
        <f t="shared" si="120"/>
        <v>0</v>
      </c>
      <c r="BZ101">
        <f t="shared" si="120"/>
        <v>0</v>
      </c>
      <c r="CA101">
        <f t="shared" si="120"/>
        <v>0</v>
      </c>
      <c r="CB101">
        <f t="shared" si="120"/>
        <v>0</v>
      </c>
      <c r="CC101">
        <f t="shared" si="120"/>
        <v>0</v>
      </c>
      <c r="CD101">
        <f t="shared" si="120"/>
        <v>0</v>
      </c>
      <c r="CE101">
        <f t="shared" si="120"/>
        <v>0</v>
      </c>
      <c r="CF101">
        <f t="shared" si="120"/>
        <v>0</v>
      </c>
      <c r="CG101">
        <f t="shared" si="120"/>
        <v>0</v>
      </c>
      <c r="CH101">
        <f t="shared" si="120"/>
        <v>0</v>
      </c>
      <c r="CI101">
        <f t="shared" si="120"/>
        <v>0</v>
      </c>
      <c r="CJ101">
        <f t="shared" si="120"/>
        <v>0</v>
      </c>
      <c r="CK101">
        <f t="shared" si="120"/>
        <v>0</v>
      </c>
      <c r="CL101">
        <f t="shared" si="120"/>
        <v>0</v>
      </c>
      <c r="CM101">
        <f t="shared" si="120"/>
        <v>0</v>
      </c>
      <c r="CN101">
        <f t="shared" si="120"/>
        <v>0</v>
      </c>
      <c r="CO101">
        <f t="shared" si="120"/>
        <v>0</v>
      </c>
      <c r="CP101">
        <f t="shared" si="120"/>
        <v>0</v>
      </c>
      <c r="CQ101">
        <f t="shared" si="120"/>
        <v>0</v>
      </c>
      <c r="CR101">
        <f t="shared" si="120"/>
        <v>0</v>
      </c>
      <c r="CS101">
        <f t="shared" si="120"/>
        <v>0</v>
      </c>
      <c r="CT101">
        <f t="shared" si="120"/>
        <v>0</v>
      </c>
      <c r="CU101">
        <f t="shared" si="120"/>
        <v>0</v>
      </c>
      <c r="CV101">
        <f t="shared" si="120"/>
        <v>0</v>
      </c>
      <c r="CW101">
        <f t="shared" si="120"/>
        <v>0</v>
      </c>
      <c r="CX101">
        <f t="shared" si="120"/>
        <v>0</v>
      </c>
      <c r="CY101">
        <f t="shared" ref="CY101:ED101" si="121">IF($C101&lt;&gt;"",IF(AJ101&gt;0,1,0),0)</f>
        <v>0</v>
      </c>
      <c r="CZ101">
        <f t="shared" si="121"/>
        <v>0</v>
      </c>
      <c r="DA101">
        <f t="shared" si="121"/>
        <v>0</v>
      </c>
      <c r="DB101">
        <f t="shared" si="121"/>
        <v>0</v>
      </c>
      <c r="DC101">
        <f t="shared" si="121"/>
        <v>0</v>
      </c>
      <c r="DD101">
        <f t="shared" si="121"/>
        <v>0</v>
      </c>
      <c r="DE101">
        <f t="shared" si="121"/>
        <v>0</v>
      </c>
      <c r="DF101">
        <f t="shared" si="121"/>
        <v>0</v>
      </c>
      <c r="DG101">
        <f t="shared" si="121"/>
        <v>0</v>
      </c>
      <c r="DH101">
        <f t="shared" si="121"/>
        <v>0</v>
      </c>
      <c r="DI101">
        <f t="shared" si="121"/>
        <v>0</v>
      </c>
      <c r="DJ101">
        <f t="shared" si="121"/>
        <v>0</v>
      </c>
      <c r="DK101">
        <f t="shared" si="121"/>
        <v>0</v>
      </c>
      <c r="DL101">
        <f t="shared" si="121"/>
        <v>0</v>
      </c>
      <c r="DM101">
        <f t="shared" si="121"/>
        <v>0</v>
      </c>
      <c r="DN101">
        <f t="shared" si="121"/>
        <v>0</v>
      </c>
      <c r="DO101">
        <f t="shared" si="121"/>
        <v>0</v>
      </c>
      <c r="DP101">
        <f t="shared" si="121"/>
        <v>0</v>
      </c>
      <c r="DQ101">
        <f t="shared" si="121"/>
        <v>0</v>
      </c>
      <c r="DR101">
        <f t="shared" si="121"/>
        <v>0</v>
      </c>
      <c r="DS101">
        <f t="shared" si="121"/>
        <v>0</v>
      </c>
      <c r="DT101">
        <f t="shared" si="121"/>
        <v>0</v>
      </c>
      <c r="DU101">
        <f t="shared" si="121"/>
        <v>0</v>
      </c>
      <c r="DV101">
        <f t="shared" si="121"/>
        <v>0</v>
      </c>
      <c r="DW101">
        <f t="shared" si="121"/>
        <v>0</v>
      </c>
      <c r="DX101">
        <f t="shared" si="121"/>
        <v>0</v>
      </c>
      <c r="DY101">
        <f t="shared" si="121"/>
        <v>0</v>
      </c>
      <c r="DZ101">
        <f t="shared" si="121"/>
        <v>0</v>
      </c>
      <c r="EA101">
        <f t="shared" si="121"/>
        <v>0</v>
      </c>
      <c r="EB101">
        <f t="shared" si="121"/>
        <v>0</v>
      </c>
      <c r="EC101">
        <f t="shared" si="121"/>
        <v>0</v>
      </c>
      <c r="ED101">
        <f t="shared" si="121"/>
        <v>0</v>
      </c>
      <c r="EE101">
        <f t="shared" ref="EE101:EF101" si="122">IF($C101&lt;&gt;"",IF(BP101&gt;0,1,0),0)</f>
        <v>0</v>
      </c>
      <c r="EF101">
        <f t="shared" si="122"/>
        <v>0</v>
      </c>
    </row>
    <row r="102" spans="1:136" ht="15.5">
      <c r="A102" s="90"/>
      <c r="B102" s="44"/>
      <c r="C102" s="94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43"/>
      <c r="BD102" s="40"/>
      <c r="BE102" s="18"/>
      <c r="BF102" s="18"/>
      <c r="BG102" s="71"/>
      <c r="BH102" s="18"/>
      <c r="BI102" s="113"/>
      <c r="BJ102" s="18"/>
      <c r="BK102" s="34"/>
      <c r="BL102" s="34"/>
      <c r="BM102" s="113"/>
      <c r="BN102" s="113"/>
      <c r="BO102" s="113"/>
      <c r="BP102" s="2"/>
      <c r="BQ102" s="2"/>
      <c r="BR102" s="101"/>
    </row>
    <row r="103" spans="1:136" ht="15.5">
      <c r="A103" s="93">
        <v>6</v>
      </c>
      <c r="B103" s="32" t="s">
        <v>23</v>
      </c>
      <c r="C103" s="94">
        <v>3</v>
      </c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33"/>
      <c r="U103" s="33"/>
      <c r="V103" s="33"/>
      <c r="W103" s="33"/>
      <c r="X103" s="33">
        <f>SUM(X104:X108)</f>
        <v>1.7</v>
      </c>
      <c r="Y103" s="33">
        <f t="shared" ref="Y103:BQ103" si="123">SUM(Y104:Y108)</f>
        <v>4.9000000000000004</v>
      </c>
      <c r="Z103" s="33">
        <f t="shared" si="123"/>
        <v>14.1</v>
      </c>
      <c r="AA103" s="33">
        <f t="shared" si="123"/>
        <v>17.600000000000001</v>
      </c>
      <c r="AB103" s="33">
        <f t="shared" si="123"/>
        <v>24.7</v>
      </c>
      <c r="AC103" s="33">
        <f t="shared" si="123"/>
        <v>24</v>
      </c>
      <c r="AD103" s="33">
        <f t="shared" si="123"/>
        <v>40.200000000000003</v>
      </c>
      <c r="AE103" s="33">
        <f t="shared" si="123"/>
        <v>63.9</v>
      </c>
      <c r="AF103" s="33">
        <f t="shared" si="123"/>
        <v>76.900000000000006</v>
      </c>
      <c r="AG103" s="33">
        <f t="shared" si="123"/>
        <v>0</v>
      </c>
      <c r="AH103" s="33">
        <f t="shared" si="123"/>
        <v>0</v>
      </c>
      <c r="AI103" s="33">
        <f t="shared" si="123"/>
        <v>0</v>
      </c>
      <c r="AJ103" s="33">
        <f t="shared" si="123"/>
        <v>0</v>
      </c>
      <c r="AK103" s="33">
        <f t="shared" si="123"/>
        <v>0</v>
      </c>
      <c r="AL103" s="33">
        <f t="shared" si="123"/>
        <v>0</v>
      </c>
      <c r="AM103" s="33">
        <f t="shared" si="123"/>
        <v>0</v>
      </c>
      <c r="AN103" s="33">
        <f t="shared" si="123"/>
        <v>161</v>
      </c>
      <c r="AO103" s="33">
        <f t="shared" si="123"/>
        <v>175</v>
      </c>
      <c r="AP103" s="33">
        <f t="shared" si="123"/>
        <v>403.59259259259261</v>
      </c>
      <c r="AQ103" s="33">
        <f t="shared" si="123"/>
        <v>714.70659259259264</v>
      </c>
      <c r="AR103" s="33">
        <f t="shared" si="123"/>
        <v>754.79029888888886</v>
      </c>
      <c r="AS103" s="33">
        <f t="shared" si="123"/>
        <v>616.39116465863458</v>
      </c>
      <c r="AT103" s="33">
        <f t="shared" si="123"/>
        <v>664.77777777777783</v>
      </c>
      <c r="AU103" s="33">
        <f t="shared" si="123"/>
        <v>813</v>
      </c>
      <c r="AV103" s="33">
        <f t="shared" si="123"/>
        <v>838</v>
      </c>
      <c r="AW103" s="33">
        <f t="shared" si="123"/>
        <v>764</v>
      </c>
      <c r="AX103" s="33">
        <f t="shared" si="123"/>
        <v>762</v>
      </c>
      <c r="AY103" s="33">
        <f t="shared" si="123"/>
        <v>612</v>
      </c>
      <c r="AZ103" s="33">
        <f t="shared" si="123"/>
        <v>631</v>
      </c>
      <c r="BA103" s="33">
        <f t="shared" si="123"/>
        <v>707</v>
      </c>
      <c r="BB103" s="33">
        <f t="shared" si="123"/>
        <v>684</v>
      </c>
      <c r="BC103" s="33">
        <f t="shared" si="123"/>
        <v>515</v>
      </c>
      <c r="BD103" s="33">
        <f t="shared" si="123"/>
        <v>0.4</v>
      </c>
      <c r="BE103" s="33">
        <f t="shared" si="123"/>
        <v>2.9</v>
      </c>
      <c r="BF103" s="33">
        <f t="shared" si="123"/>
        <v>12</v>
      </c>
      <c r="BG103" s="33">
        <f t="shared" si="123"/>
        <v>20</v>
      </c>
      <c r="BH103" s="33">
        <f t="shared" si="123"/>
        <v>8</v>
      </c>
      <c r="BI103" s="33">
        <f t="shared" si="123"/>
        <v>14</v>
      </c>
      <c r="BJ103" s="33">
        <f t="shared" si="123"/>
        <v>153</v>
      </c>
      <c r="BK103" s="33">
        <f t="shared" si="123"/>
        <v>148</v>
      </c>
      <c r="BL103" s="33">
        <f t="shared" si="123"/>
        <v>171.9</v>
      </c>
      <c r="BM103" s="33">
        <f t="shared" si="123"/>
        <v>219</v>
      </c>
      <c r="BN103" s="33">
        <f t="shared" si="123"/>
        <v>216</v>
      </c>
      <c r="BO103" s="33">
        <f t="shared" si="123"/>
        <v>198</v>
      </c>
      <c r="BP103" s="33">
        <f t="shared" si="123"/>
        <v>197</v>
      </c>
      <c r="BQ103" s="33">
        <f t="shared" si="123"/>
        <v>196</v>
      </c>
      <c r="BR103" s="101"/>
      <c r="BS103">
        <f t="shared" ref="BS103:CB109" si="124">IF($C103&lt;&gt;"",IF(D103&gt;0,1,0),0)</f>
        <v>0</v>
      </c>
      <c r="BT103">
        <f t="shared" si="124"/>
        <v>0</v>
      </c>
      <c r="BU103">
        <f t="shared" si="124"/>
        <v>0</v>
      </c>
      <c r="BV103">
        <f t="shared" si="124"/>
        <v>0</v>
      </c>
      <c r="BW103">
        <f t="shared" si="124"/>
        <v>0</v>
      </c>
      <c r="BX103">
        <f t="shared" si="124"/>
        <v>0</v>
      </c>
      <c r="BY103">
        <f t="shared" si="124"/>
        <v>0</v>
      </c>
      <c r="BZ103">
        <f t="shared" si="124"/>
        <v>0</v>
      </c>
      <c r="CA103">
        <f t="shared" si="124"/>
        <v>0</v>
      </c>
      <c r="CB103">
        <f t="shared" si="124"/>
        <v>0</v>
      </c>
      <c r="CC103">
        <f t="shared" ref="CC103:CL109" si="125">IF($C103&lt;&gt;"",IF(N103&gt;0,1,0),0)</f>
        <v>0</v>
      </c>
      <c r="CD103">
        <f t="shared" si="125"/>
        <v>0</v>
      </c>
      <c r="CE103">
        <f t="shared" si="125"/>
        <v>0</v>
      </c>
      <c r="CF103">
        <f t="shared" si="125"/>
        <v>0</v>
      </c>
      <c r="CG103">
        <f t="shared" si="125"/>
        <v>0</v>
      </c>
      <c r="CH103">
        <f t="shared" si="125"/>
        <v>0</v>
      </c>
      <c r="CI103">
        <f t="shared" si="125"/>
        <v>0</v>
      </c>
      <c r="CJ103">
        <f t="shared" si="125"/>
        <v>0</v>
      </c>
      <c r="CK103">
        <f t="shared" si="125"/>
        <v>0</v>
      </c>
      <c r="CL103">
        <f t="shared" si="125"/>
        <v>0</v>
      </c>
      <c r="CM103">
        <f t="shared" ref="CM103:CV109" si="126">IF($C103&lt;&gt;"",IF(X103&gt;0,1,0),0)</f>
        <v>1</v>
      </c>
      <c r="CN103">
        <f t="shared" si="126"/>
        <v>1</v>
      </c>
      <c r="CO103">
        <f t="shared" si="126"/>
        <v>1</v>
      </c>
      <c r="CP103">
        <f t="shared" si="126"/>
        <v>1</v>
      </c>
      <c r="CQ103">
        <f t="shared" si="126"/>
        <v>1</v>
      </c>
      <c r="CR103">
        <f t="shared" si="126"/>
        <v>1</v>
      </c>
      <c r="CS103">
        <f t="shared" si="126"/>
        <v>1</v>
      </c>
      <c r="CT103">
        <f t="shared" si="126"/>
        <v>1</v>
      </c>
      <c r="CU103">
        <f t="shared" si="126"/>
        <v>1</v>
      </c>
      <c r="CV103">
        <f t="shared" si="126"/>
        <v>0</v>
      </c>
      <c r="CW103">
        <f t="shared" ref="CW103:DF109" si="127">IF($C103&lt;&gt;"",IF(AH103&gt;0,1,0),0)</f>
        <v>0</v>
      </c>
      <c r="CX103">
        <f t="shared" si="127"/>
        <v>0</v>
      </c>
      <c r="CY103">
        <f t="shared" si="127"/>
        <v>0</v>
      </c>
      <c r="CZ103">
        <f t="shared" si="127"/>
        <v>0</v>
      </c>
      <c r="DA103">
        <f t="shared" si="127"/>
        <v>0</v>
      </c>
      <c r="DB103">
        <f t="shared" si="127"/>
        <v>0</v>
      </c>
      <c r="DC103">
        <f t="shared" si="127"/>
        <v>1</v>
      </c>
      <c r="DD103">
        <f t="shared" si="127"/>
        <v>1</v>
      </c>
      <c r="DE103">
        <f t="shared" si="127"/>
        <v>1</v>
      </c>
      <c r="DF103">
        <f t="shared" si="127"/>
        <v>1</v>
      </c>
      <c r="DG103">
        <f t="shared" ref="DG103:DP109" si="128">IF($C103&lt;&gt;"",IF(AR103&gt;0,1,0),0)</f>
        <v>1</v>
      </c>
      <c r="DH103">
        <f t="shared" si="128"/>
        <v>1</v>
      </c>
      <c r="DI103">
        <f t="shared" si="128"/>
        <v>1</v>
      </c>
      <c r="DJ103">
        <f t="shared" si="128"/>
        <v>1</v>
      </c>
      <c r="DK103">
        <f t="shared" si="128"/>
        <v>1</v>
      </c>
      <c r="DL103">
        <f t="shared" si="128"/>
        <v>1</v>
      </c>
      <c r="DM103">
        <f t="shared" si="128"/>
        <v>1</v>
      </c>
      <c r="DN103">
        <f t="shared" si="128"/>
        <v>1</v>
      </c>
      <c r="DO103">
        <f t="shared" si="128"/>
        <v>1</v>
      </c>
      <c r="DP103">
        <f t="shared" si="128"/>
        <v>1</v>
      </c>
      <c r="DQ103">
        <f t="shared" ref="DQ103:DZ109" si="129">IF($C103&lt;&gt;"",IF(BB103&gt;0,1,0),0)</f>
        <v>1</v>
      </c>
      <c r="DR103">
        <f t="shared" si="129"/>
        <v>1</v>
      </c>
      <c r="DS103">
        <f t="shared" si="129"/>
        <v>1</v>
      </c>
      <c r="DT103">
        <f t="shared" si="129"/>
        <v>1</v>
      </c>
      <c r="DU103">
        <f t="shared" si="129"/>
        <v>1</v>
      </c>
      <c r="DV103">
        <f t="shared" si="129"/>
        <v>1</v>
      </c>
      <c r="DW103">
        <f t="shared" si="129"/>
        <v>1</v>
      </c>
      <c r="DX103">
        <f t="shared" si="129"/>
        <v>1</v>
      </c>
      <c r="DY103">
        <f t="shared" si="129"/>
        <v>1</v>
      </c>
      <c r="DZ103">
        <f t="shared" si="129"/>
        <v>1</v>
      </c>
      <c r="EA103">
        <f t="shared" ref="EA103:EF109" si="130">IF($C103&lt;&gt;"",IF(BL103&gt;0,1,0),0)</f>
        <v>1</v>
      </c>
      <c r="EB103">
        <f t="shared" si="130"/>
        <v>1</v>
      </c>
      <c r="EC103">
        <f t="shared" si="130"/>
        <v>1</v>
      </c>
      <c r="ED103">
        <f t="shared" si="130"/>
        <v>1</v>
      </c>
      <c r="EE103">
        <f t="shared" si="130"/>
        <v>1</v>
      </c>
      <c r="EF103">
        <f t="shared" si="130"/>
        <v>1</v>
      </c>
    </row>
    <row r="104" spans="1:136" ht="15.5">
      <c r="A104" s="90"/>
      <c r="B104" s="19" t="s">
        <v>2</v>
      </c>
      <c r="C104" s="94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6"/>
      <c r="U104" s="46"/>
      <c r="V104" s="46"/>
      <c r="W104" s="46"/>
      <c r="X104" s="46">
        <v>0</v>
      </c>
      <c r="Y104" s="46">
        <v>0</v>
      </c>
      <c r="Z104" s="46">
        <v>0</v>
      </c>
      <c r="AA104" s="46">
        <v>0</v>
      </c>
      <c r="AB104" s="46">
        <v>0</v>
      </c>
      <c r="AC104" s="46">
        <v>0</v>
      </c>
      <c r="AD104" s="46">
        <v>0</v>
      </c>
      <c r="AE104" s="46">
        <v>0</v>
      </c>
      <c r="AF104" s="46">
        <v>0</v>
      </c>
      <c r="AG104" s="46">
        <v>0</v>
      </c>
      <c r="AH104" s="46">
        <v>0</v>
      </c>
      <c r="AI104" s="46">
        <v>0</v>
      </c>
      <c r="AJ104" s="46">
        <v>0</v>
      </c>
      <c r="AK104" s="46">
        <v>0</v>
      </c>
      <c r="AL104" s="46">
        <v>0</v>
      </c>
      <c r="AM104" s="46">
        <v>0</v>
      </c>
      <c r="AN104" s="46">
        <v>0</v>
      </c>
      <c r="AO104" s="46">
        <v>0</v>
      </c>
      <c r="AP104" s="46">
        <v>0</v>
      </c>
      <c r="AQ104" s="46">
        <v>0</v>
      </c>
      <c r="AR104" s="46">
        <v>0</v>
      </c>
      <c r="AS104" s="46">
        <v>0</v>
      </c>
      <c r="AT104" s="46">
        <v>0</v>
      </c>
      <c r="AU104" s="46">
        <v>0</v>
      </c>
      <c r="AV104" s="46">
        <v>0</v>
      </c>
      <c r="AW104" s="46">
        <v>0</v>
      </c>
      <c r="AX104" s="46">
        <v>0</v>
      </c>
      <c r="AY104" s="46">
        <v>0</v>
      </c>
      <c r="AZ104" s="47">
        <v>0</v>
      </c>
      <c r="BA104" s="46">
        <v>0</v>
      </c>
      <c r="BB104" s="48">
        <v>110</v>
      </c>
      <c r="BC104" s="46">
        <v>0</v>
      </c>
      <c r="BD104" s="46">
        <v>0</v>
      </c>
      <c r="BE104" s="46">
        <v>2.5</v>
      </c>
      <c r="BF104" s="49">
        <v>7</v>
      </c>
      <c r="BG104" s="49">
        <v>0</v>
      </c>
      <c r="BH104" s="49">
        <v>0</v>
      </c>
      <c r="BI104" s="49">
        <v>0</v>
      </c>
      <c r="BJ104" s="18">
        <v>125</v>
      </c>
      <c r="BK104" s="18">
        <v>127</v>
      </c>
      <c r="BL104" s="18">
        <v>129</v>
      </c>
      <c r="BM104" s="18">
        <v>149</v>
      </c>
      <c r="BN104" s="113">
        <v>151</v>
      </c>
      <c r="BO104" s="113">
        <v>153</v>
      </c>
      <c r="BP104" s="113">
        <v>154</v>
      </c>
      <c r="BQ104" s="113">
        <v>155</v>
      </c>
      <c r="BR104" s="101"/>
      <c r="BS104">
        <f t="shared" si="124"/>
        <v>0</v>
      </c>
      <c r="BT104">
        <f t="shared" si="124"/>
        <v>0</v>
      </c>
      <c r="BU104">
        <f t="shared" si="124"/>
        <v>0</v>
      </c>
      <c r="BV104">
        <f t="shared" si="124"/>
        <v>0</v>
      </c>
      <c r="BW104">
        <f t="shared" si="124"/>
        <v>0</v>
      </c>
      <c r="BX104">
        <f t="shared" si="124"/>
        <v>0</v>
      </c>
      <c r="BY104">
        <f t="shared" si="124"/>
        <v>0</v>
      </c>
      <c r="BZ104">
        <f t="shared" si="124"/>
        <v>0</v>
      </c>
      <c r="CA104">
        <f t="shared" si="124"/>
        <v>0</v>
      </c>
      <c r="CB104">
        <f t="shared" si="124"/>
        <v>0</v>
      </c>
      <c r="CC104">
        <f t="shared" si="125"/>
        <v>0</v>
      </c>
      <c r="CD104">
        <f t="shared" si="125"/>
        <v>0</v>
      </c>
      <c r="CE104">
        <f t="shared" si="125"/>
        <v>0</v>
      </c>
      <c r="CF104">
        <f t="shared" si="125"/>
        <v>0</v>
      </c>
      <c r="CG104">
        <f t="shared" si="125"/>
        <v>0</v>
      </c>
      <c r="CH104">
        <f t="shared" si="125"/>
        <v>0</v>
      </c>
      <c r="CI104">
        <f t="shared" si="125"/>
        <v>0</v>
      </c>
      <c r="CJ104">
        <f t="shared" si="125"/>
        <v>0</v>
      </c>
      <c r="CK104">
        <f t="shared" si="125"/>
        <v>0</v>
      </c>
      <c r="CL104">
        <f t="shared" si="125"/>
        <v>0</v>
      </c>
      <c r="CM104">
        <f t="shared" si="126"/>
        <v>0</v>
      </c>
      <c r="CN104">
        <f t="shared" si="126"/>
        <v>0</v>
      </c>
      <c r="CO104">
        <f t="shared" si="126"/>
        <v>0</v>
      </c>
      <c r="CP104">
        <f t="shared" si="126"/>
        <v>0</v>
      </c>
      <c r="CQ104">
        <f t="shared" si="126"/>
        <v>0</v>
      </c>
      <c r="CR104">
        <f t="shared" si="126"/>
        <v>0</v>
      </c>
      <c r="CS104">
        <f t="shared" si="126"/>
        <v>0</v>
      </c>
      <c r="CT104">
        <f t="shared" si="126"/>
        <v>0</v>
      </c>
      <c r="CU104">
        <f t="shared" si="126"/>
        <v>0</v>
      </c>
      <c r="CV104">
        <f t="shared" si="126"/>
        <v>0</v>
      </c>
      <c r="CW104">
        <f t="shared" si="127"/>
        <v>0</v>
      </c>
      <c r="CX104">
        <f t="shared" si="127"/>
        <v>0</v>
      </c>
      <c r="CY104">
        <f t="shared" si="127"/>
        <v>0</v>
      </c>
      <c r="CZ104">
        <f t="shared" si="127"/>
        <v>0</v>
      </c>
      <c r="DA104">
        <f t="shared" si="127"/>
        <v>0</v>
      </c>
      <c r="DB104">
        <f t="shared" si="127"/>
        <v>0</v>
      </c>
      <c r="DC104">
        <f t="shared" si="127"/>
        <v>0</v>
      </c>
      <c r="DD104">
        <f t="shared" si="127"/>
        <v>0</v>
      </c>
      <c r="DE104">
        <f t="shared" si="127"/>
        <v>0</v>
      </c>
      <c r="DF104">
        <f t="shared" si="127"/>
        <v>0</v>
      </c>
      <c r="DG104">
        <f t="shared" si="128"/>
        <v>0</v>
      </c>
      <c r="DH104">
        <f t="shared" si="128"/>
        <v>0</v>
      </c>
      <c r="DI104">
        <f t="shared" si="128"/>
        <v>0</v>
      </c>
      <c r="DJ104">
        <f t="shared" si="128"/>
        <v>0</v>
      </c>
      <c r="DK104">
        <f t="shared" si="128"/>
        <v>0</v>
      </c>
      <c r="DL104">
        <f t="shared" si="128"/>
        <v>0</v>
      </c>
      <c r="DM104">
        <f t="shared" si="128"/>
        <v>0</v>
      </c>
      <c r="DN104">
        <f t="shared" si="128"/>
        <v>0</v>
      </c>
      <c r="DO104">
        <f t="shared" si="128"/>
        <v>0</v>
      </c>
      <c r="DP104">
        <f t="shared" si="128"/>
        <v>0</v>
      </c>
      <c r="DQ104">
        <f t="shared" si="129"/>
        <v>0</v>
      </c>
      <c r="DR104">
        <f t="shared" si="129"/>
        <v>0</v>
      </c>
      <c r="DS104">
        <f t="shared" si="129"/>
        <v>0</v>
      </c>
      <c r="DT104">
        <f t="shared" si="129"/>
        <v>0</v>
      </c>
      <c r="DU104">
        <f t="shared" si="129"/>
        <v>0</v>
      </c>
      <c r="DV104">
        <f t="shared" si="129"/>
        <v>0</v>
      </c>
      <c r="DW104">
        <f t="shared" si="129"/>
        <v>0</v>
      </c>
      <c r="DX104">
        <f t="shared" si="129"/>
        <v>0</v>
      </c>
      <c r="DY104">
        <f t="shared" si="129"/>
        <v>0</v>
      </c>
      <c r="DZ104">
        <f t="shared" si="129"/>
        <v>0</v>
      </c>
      <c r="EA104">
        <f t="shared" si="130"/>
        <v>0</v>
      </c>
      <c r="EB104">
        <f t="shared" si="130"/>
        <v>0</v>
      </c>
      <c r="EC104">
        <f t="shared" si="130"/>
        <v>0</v>
      </c>
      <c r="ED104">
        <f t="shared" si="130"/>
        <v>0</v>
      </c>
      <c r="EE104">
        <f t="shared" si="130"/>
        <v>0</v>
      </c>
      <c r="EF104">
        <f t="shared" si="130"/>
        <v>0</v>
      </c>
    </row>
    <row r="105" spans="1:136" ht="15.5">
      <c r="A105" s="90"/>
      <c r="B105" s="19" t="s">
        <v>205</v>
      </c>
      <c r="C105" s="94"/>
      <c r="D105" s="222"/>
      <c r="E105" s="222"/>
      <c r="F105" s="222"/>
      <c r="G105" s="222"/>
      <c r="H105" s="222"/>
      <c r="I105" s="222"/>
      <c r="J105" s="222"/>
      <c r="K105" s="222"/>
      <c r="L105" s="222"/>
      <c r="M105" s="222"/>
      <c r="N105" s="222"/>
      <c r="O105" s="222"/>
      <c r="P105" s="222"/>
      <c r="Q105" s="222"/>
      <c r="R105" s="222"/>
      <c r="S105" s="205"/>
      <c r="T105" s="205"/>
      <c r="U105" s="205"/>
      <c r="V105" s="205"/>
      <c r="W105" s="205"/>
      <c r="X105" s="205"/>
      <c r="Y105" s="205"/>
      <c r="Z105" s="205"/>
      <c r="AA105" s="205"/>
      <c r="AB105" s="205"/>
      <c r="AC105" s="205"/>
      <c r="AD105" s="205"/>
      <c r="AE105" s="208">
        <v>0</v>
      </c>
      <c r="AF105" s="208">
        <v>0</v>
      </c>
      <c r="AG105" s="208">
        <v>0</v>
      </c>
      <c r="AH105" s="208">
        <v>0</v>
      </c>
      <c r="AI105" s="208">
        <v>0</v>
      </c>
      <c r="AJ105" s="208">
        <v>0</v>
      </c>
      <c r="AK105" s="208">
        <v>0</v>
      </c>
      <c r="AL105" s="208">
        <v>0</v>
      </c>
      <c r="AM105" s="208">
        <v>0</v>
      </c>
      <c r="AN105" s="208">
        <v>0</v>
      </c>
      <c r="AO105" s="208">
        <v>0</v>
      </c>
      <c r="AP105" s="208">
        <v>0</v>
      </c>
      <c r="AQ105" s="208">
        <v>0</v>
      </c>
      <c r="AR105" s="208">
        <v>0</v>
      </c>
      <c r="AS105" s="223">
        <f>3.8/8.3+0.6</f>
        <v>1.0578313253012048</v>
      </c>
      <c r="AT105" s="208">
        <v>0</v>
      </c>
      <c r="AU105" s="208">
        <v>0</v>
      </c>
      <c r="AV105" s="208">
        <v>0</v>
      </c>
      <c r="AW105" s="208">
        <v>0</v>
      </c>
      <c r="AX105" s="208">
        <v>0</v>
      </c>
      <c r="AY105" s="208">
        <v>0</v>
      </c>
      <c r="AZ105" s="208">
        <v>0</v>
      </c>
      <c r="BA105" s="208">
        <v>0</v>
      </c>
      <c r="BB105" s="208">
        <v>0</v>
      </c>
      <c r="BC105" s="223">
        <v>5.5</v>
      </c>
      <c r="BD105" s="208">
        <v>0</v>
      </c>
      <c r="BE105" s="208">
        <v>0</v>
      </c>
      <c r="BF105" s="208">
        <v>0</v>
      </c>
      <c r="BG105" s="208">
        <v>0</v>
      </c>
      <c r="BH105" s="208">
        <v>0</v>
      </c>
      <c r="BI105" s="224">
        <v>0</v>
      </c>
      <c r="BJ105" s="18">
        <v>0</v>
      </c>
      <c r="BK105" s="18">
        <v>0</v>
      </c>
      <c r="BL105" s="18">
        <v>0</v>
      </c>
      <c r="BM105" s="18">
        <v>0</v>
      </c>
      <c r="BN105" s="113">
        <v>0</v>
      </c>
      <c r="BO105" s="113">
        <v>0</v>
      </c>
      <c r="BP105" s="113">
        <v>0</v>
      </c>
      <c r="BQ105" s="113">
        <v>0</v>
      </c>
      <c r="BR105" s="101"/>
      <c r="BS105">
        <f t="shared" si="124"/>
        <v>0</v>
      </c>
      <c r="BT105">
        <f t="shared" si="124"/>
        <v>0</v>
      </c>
      <c r="BU105">
        <f t="shared" si="124"/>
        <v>0</v>
      </c>
      <c r="BV105">
        <f t="shared" si="124"/>
        <v>0</v>
      </c>
      <c r="BW105">
        <f t="shared" si="124"/>
        <v>0</v>
      </c>
      <c r="BX105">
        <f t="shared" si="124"/>
        <v>0</v>
      </c>
      <c r="BY105">
        <f t="shared" si="124"/>
        <v>0</v>
      </c>
      <c r="BZ105">
        <f t="shared" si="124"/>
        <v>0</v>
      </c>
      <c r="CA105">
        <f t="shared" si="124"/>
        <v>0</v>
      </c>
      <c r="CB105">
        <f t="shared" si="124"/>
        <v>0</v>
      </c>
      <c r="CC105">
        <f t="shared" si="125"/>
        <v>0</v>
      </c>
      <c r="CD105">
        <f t="shared" si="125"/>
        <v>0</v>
      </c>
      <c r="CE105">
        <f t="shared" si="125"/>
        <v>0</v>
      </c>
      <c r="CF105">
        <f t="shared" si="125"/>
        <v>0</v>
      </c>
      <c r="CG105">
        <f t="shared" si="125"/>
        <v>0</v>
      </c>
      <c r="CH105">
        <f t="shared" si="125"/>
        <v>0</v>
      </c>
      <c r="CI105">
        <f t="shared" si="125"/>
        <v>0</v>
      </c>
      <c r="CJ105">
        <f t="shared" si="125"/>
        <v>0</v>
      </c>
      <c r="CK105">
        <f t="shared" si="125"/>
        <v>0</v>
      </c>
      <c r="CL105">
        <f t="shared" si="125"/>
        <v>0</v>
      </c>
      <c r="CM105">
        <f t="shared" si="126"/>
        <v>0</v>
      </c>
      <c r="CN105">
        <f t="shared" si="126"/>
        <v>0</v>
      </c>
      <c r="CO105">
        <f t="shared" si="126"/>
        <v>0</v>
      </c>
      <c r="CP105">
        <f t="shared" si="126"/>
        <v>0</v>
      </c>
      <c r="CQ105">
        <f t="shared" si="126"/>
        <v>0</v>
      </c>
      <c r="CR105">
        <f t="shared" si="126"/>
        <v>0</v>
      </c>
      <c r="CS105">
        <f t="shared" si="126"/>
        <v>0</v>
      </c>
      <c r="CT105">
        <f t="shared" si="126"/>
        <v>0</v>
      </c>
      <c r="CU105">
        <f t="shared" si="126"/>
        <v>0</v>
      </c>
      <c r="CV105">
        <f t="shared" si="126"/>
        <v>0</v>
      </c>
      <c r="CW105">
        <f t="shared" si="127"/>
        <v>0</v>
      </c>
      <c r="CX105">
        <f t="shared" si="127"/>
        <v>0</v>
      </c>
      <c r="CY105">
        <f t="shared" si="127"/>
        <v>0</v>
      </c>
      <c r="CZ105">
        <f t="shared" si="127"/>
        <v>0</v>
      </c>
      <c r="DA105">
        <f t="shared" si="127"/>
        <v>0</v>
      </c>
      <c r="DB105">
        <f t="shared" si="127"/>
        <v>0</v>
      </c>
      <c r="DC105">
        <f t="shared" si="127"/>
        <v>0</v>
      </c>
      <c r="DD105">
        <f t="shared" si="127"/>
        <v>0</v>
      </c>
      <c r="DE105">
        <f t="shared" si="127"/>
        <v>0</v>
      </c>
      <c r="DF105">
        <f t="shared" si="127"/>
        <v>0</v>
      </c>
      <c r="DG105">
        <f t="shared" si="128"/>
        <v>0</v>
      </c>
      <c r="DH105">
        <f t="shared" si="128"/>
        <v>0</v>
      </c>
      <c r="DI105">
        <f t="shared" si="128"/>
        <v>0</v>
      </c>
      <c r="DJ105">
        <f t="shared" si="128"/>
        <v>0</v>
      </c>
      <c r="DK105">
        <f t="shared" si="128"/>
        <v>0</v>
      </c>
      <c r="DL105">
        <f t="shared" si="128"/>
        <v>0</v>
      </c>
      <c r="DM105">
        <f t="shared" si="128"/>
        <v>0</v>
      </c>
      <c r="DN105">
        <f t="shared" si="128"/>
        <v>0</v>
      </c>
      <c r="DO105">
        <f t="shared" si="128"/>
        <v>0</v>
      </c>
      <c r="DP105">
        <f t="shared" si="128"/>
        <v>0</v>
      </c>
      <c r="DQ105">
        <f t="shared" si="129"/>
        <v>0</v>
      </c>
      <c r="DR105">
        <f t="shared" si="129"/>
        <v>0</v>
      </c>
      <c r="DS105">
        <f t="shared" si="129"/>
        <v>0</v>
      </c>
      <c r="DT105">
        <f t="shared" si="129"/>
        <v>0</v>
      </c>
      <c r="DU105">
        <f t="shared" si="129"/>
        <v>0</v>
      </c>
      <c r="DV105">
        <f t="shared" si="129"/>
        <v>0</v>
      </c>
      <c r="DW105">
        <f t="shared" si="129"/>
        <v>0</v>
      </c>
      <c r="DX105">
        <f t="shared" si="129"/>
        <v>0</v>
      </c>
      <c r="DY105">
        <f t="shared" si="129"/>
        <v>0</v>
      </c>
      <c r="DZ105">
        <f t="shared" si="129"/>
        <v>0</v>
      </c>
      <c r="EA105">
        <f t="shared" si="130"/>
        <v>0</v>
      </c>
      <c r="EB105">
        <f t="shared" si="130"/>
        <v>0</v>
      </c>
      <c r="EC105">
        <f t="shared" si="130"/>
        <v>0</v>
      </c>
      <c r="ED105">
        <f t="shared" si="130"/>
        <v>0</v>
      </c>
      <c r="EE105">
        <f t="shared" si="130"/>
        <v>0</v>
      </c>
      <c r="EF105">
        <f t="shared" si="130"/>
        <v>0</v>
      </c>
    </row>
    <row r="106" spans="1:136" ht="15.5">
      <c r="A106" s="90"/>
      <c r="B106" s="19" t="s">
        <v>3</v>
      </c>
      <c r="C106" s="95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>
        <v>1.7</v>
      </c>
      <c r="Y106" s="18">
        <v>4.9000000000000004</v>
      </c>
      <c r="Z106" s="18">
        <v>14.1</v>
      </c>
      <c r="AA106" s="18">
        <v>17.600000000000001</v>
      </c>
      <c r="AB106" s="18">
        <v>24.7</v>
      </c>
      <c r="AC106" s="18">
        <v>24</v>
      </c>
      <c r="AD106" s="18">
        <v>40.200000000000003</v>
      </c>
      <c r="AE106" s="18">
        <v>63.9</v>
      </c>
      <c r="AF106" s="18">
        <v>76.900000000000006</v>
      </c>
      <c r="AG106" s="18">
        <v>0</v>
      </c>
      <c r="AH106" s="18">
        <v>0</v>
      </c>
      <c r="AI106" s="18">
        <v>0</v>
      </c>
      <c r="AJ106" s="18">
        <v>0</v>
      </c>
      <c r="AK106" s="18">
        <v>0</v>
      </c>
      <c r="AL106" s="18">
        <v>0</v>
      </c>
      <c r="AM106" s="18">
        <v>0</v>
      </c>
      <c r="AN106" s="18">
        <v>0</v>
      </c>
      <c r="AO106" s="18">
        <v>0</v>
      </c>
      <c r="AP106" s="18">
        <v>0</v>
      </c>
      <c r="AQ106" s="18">
        <v>290</v>
      </c>
      <c r="AR106" s="18">
        <v>301</v>
      </c>
      <c r="AS106" s="18">
        <v>318</v>
      </c>
      <c r="AT106" s="18">
        <v>346</v>
      </c>
      <c r="AU106" s="18">
        <v>348</v>
      </c>
      <c r="AV106" s="18">
        <v>357</v>
      </c>
      <c r="AW106" s="18">
        <v>323</v>
      </c>
      <c r="AX106" s="18">
        <v>332</v>
      </c>
      <c r="AY106" s="18">
        <v>270</v>
      </c>
      <c r="AZ106" s="18">
        <v>297</v>
      </c>
      <c r="BA106" s="18">
        <v>316</v>
      </c>
      <c r="BB106" s="18">
        <v>287</v>
      </c>
      <c r="BC106" s="43">
        <f>278-BC105</f>
        <v>272.5</v>
      </c>
      <c r="BD106" s="40">
        <v>0.4</v>
      </c>
      <c r="BE106" s="25">
        <v>0.4</v>
      </c>
      <c r="BF106" s="18">
        <f>12-BF104</f>
        <v>5</v>
      </c>
      <c r="BG106" s="71">
        <v>20</v>
      </c>
      <c r="BH106" s="18">
        <v>8</v>
      </c>
      <c r="BI106" s="113">
        <v>14</v>
      </c>
      <c r="BJ106" s="18">
        <v>28</v>
      </c>
      <c r="BK106" s="34">
        <v>21</v>
      </c>
      <c r="BL106" s="34">
        <v>42.9</v>
      </c>
      <c r="BM106" s="113">
        <v>70</v>
      </c>
      <c r="BN106" s="113">
        <v>65</v>
      </c>
      <c r="BO106" s="18">
        <v>45</v>
      </c>
      <c r="BP106" s="18">
        <v>43</v>
      </c>
      <c r="BQ106" s="113">
        <v>41</v>
      </c>
      <c r="BR106" s="101"/>
      <c r="BS106">
        <f t="shared" si="124"/>
        <v>0</v>
      </c>
      <c r="BT106">
        <f t="shared" si="124"/>
        <v>0</v>
      </c>
      <c r="BU106">
        <f t="shared" si="124"/>
        <v>0</v>
      </c>
      <c r="BV106">
        <f t="shared" si="124"/>
        <v>0</v>
      </c>
      <c r="BW106">
        <f t="shared" si="124"/>
        <v>0</v>
      </c>
      <c r="BX106">
        <f t="shared" si="124"/>
        <v>0</v>
      </c>
      <c r="BY106">
        <f t="shared" si="124"/>
        <v>0</v>
      </c>
      <c r="BZ106">
        <f t="shared" si="124"/>
        <v>0</v>
      </c>
      <c r="CA106">
        <f t="shared" si="124"/>
        <v>0</v>
      </c>
      <c r="CB106">
        <f t="shared" si="124"/>
        <v>0</v>
      </c>
      <c r="CC106">
        <f t="shared" si="125"/>
        <v>0</v>
      </c>
      <c r="CD106">
        <f t="shared" si="125"/>
        <v>0</v>
      </c>
      <c r="CE106">
        <f t="shared" si="125"/>
        <v>0</v>
      </c>
      <c r="CF106">
        <f t="shared" si="125"/>
        <v>0</v>
      </c>
      <c r="CG106">
        <f t="shared" si="125"/>
        <v>0</v>
      </c>
      <c r="CH106">
        <f t="shared" si="125"/>
        <v>0</v>
      </c>
      <c r="CI106">
        <f t="shared" si="125"/>
        <v>0</v>
      </c>
      <c r="CJ106">
        <f t="shared" si="125"/>
        <v>0</v>
      </c>
      <c r="CK106">
        <f t="shared" si="125"/>
        <v>0</v>
      </c>
      <c r="CL106">
        <f t="shared" si="125"/>
        <v>0</v>
      </c>
      <c r="CM106">
        <f t="shared" si="126"/>
        <v>0</v>
      </c>
      <c r="CN106">
        <f t="shared" si="126"/>
        <v>0</v>
      </c>
      <c r="CO106">
        <f t="shared" si="126"/>
        <v>0</v>
      </c>
      <c r="CP106">
        <f t="shared" si="126"/>
        <v>0</v>
      </c>
      <c r="CQ106">
        <f t="shared" si="126"/>
        <v>0</v>
      </c>
      <c r="CR106">
        <f t="shared" si="126"/>
        <v>0</v>
      </c>
      <c r="CS106">
        <f t="shared" si="126"/>
        <v>0</v>
      </c>
      <c r="CT106">
        <f t="shared" si="126"/>
        <v>0</v>
      </c>
      <c r="CU106">
        <f t="shared" si="126"/>
        <v>0</v>
      </c>
      <c r="CV106">
        <f t="shared" si="126"/>
        <v>0</v>
      </c>
      <c r="CW106">
        <f t="shared" si="127"/>
        <v>0</v>
      </c>
      <c r="CX106">
        <f t="shared" si="127"/>
        <v>0</v>
      </c>
      <c r="CY106">
        <f t="shared" si="127"/>
        <v>0</v>
      </c>
      <c r="CZ106">
        <f t="shared" si="127"/>
        <v>0</v>
      </c>
      <c r="DA106">
        <f t="shared" si="127"/>
        <v>0</v>
      </c>
      <c r="DB106">
        <f t="shared" si="127"/>
        <v>0</v>
      </c>
      <c r="DC106">
        <f t="shared" si="127"/>
        <v>0</v>
      </c>
      <c r="DD106">
        <f t="shared" si="127"/>
        <v>0</v>
      </c>
      <c r="DE106">
        <f t="shared" si="127"/>
        <v>0</v>
      </c>
      <c r="DF106">
        <f t="shared" si="127"/>
        <v>0</v>
      </c>
      <c r="DG106">
        <f t="shared" si="128"/>
        <v>0</v>
      </c>
      <c r="DH106">
        <f t="shared" si="128"/>
        <v>0</v>
      </c>
      <c r="DI106">
        <f t="shared" si="128"/>
        <v>0</v>
      </c>
      <c r="DJ106">
        <f t="shared" si="128"/>
        <v>0</v>
      </c>
      <c r="DK106">
        <f t="shared" si="128"/>
        <v>0</v>
      </c>
      <c r="DL106">
        <f t="shared" si="128"/>
        <v>0</v>
      </c>
      <c r="DM106">
        <f t="shared" si="128"/>
        <v>0</v>
      </c>
      <c r="DN106">
        <f t="shared" si="128"/>
        <v>0</v>
      </c>
      <c r="DO106">
        <f t="shared" si="128"/>
        <v>0</v>
      </c>
      <c r="DP106">
        <f t="shared" si="128"/>
        <v>0</v>
      </c>
      <c r="DQ106">
        <f t="shared" si="129"/>
        <v>0</v>
      </c>
      <c r="DR106">
        <f t="shared" si="129"/>
        <v>0</v>
      </c>
      <c r="DS106">
        <f t="shared" si="129"/>
        <v>0</v>
      </c>
      <c r="DT106">
        <f t="shared" si="129"/>
        <v>0</v>
      </c>
      <c r="DU106">
        <f t="shared" si="129"/>
        <v>0</v>
      </c>
      <c r="DV106">
        <f t="shared" si="129"/>
        <v>0</v>
      </c>
      <c r="DW106">
        <f t="shared" si="129"/>
        <v>0</v>
      </c>
      <c r="DX106">
        <f t="shared" si="129"/>
        <v>0</v>
      </c>
      <c r="DY106">
        <f t="shared" si="129"/>
        <v>0</v>
      </c>
      <c r="DZ106">
        <f t="shared" si="129"/>
        <v>0</v>
      </c>
      <c r="EA106">
        <f t="shared" si="130"/>
        <v>0</v>
      </c>
      <c r="EB106">
        <f t="shared" si="130"/>
        <v>0</v>
      </c>
      <c r="EC106">
        <f t="shared" si="130"/>
        <v>0</v>
      </c>
      <c r="ED106">
        <f t="shared" si="130"/>
        <v>0</v>
      </c>
      <c r="EE106">
        <f t="shared" si="130"/>
        <v>0</v>
      </c>
      <c r="EF106">
        <f t="shared" si="130"/>
        <v>0</v>
      </c>
    </row>
    <row r="107" spans="1:136" ht="15.5">
      <c r="A107" s="90"/>
      <c r="B107" s="19" t="s">
        <v>18</v>
      </c>
      <c r="C107" s="95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>
        <v>0</v>
      </c>
      <c r="Y107" s="18">
        <v>0</v>
      </c>
      <c r="Z107" s="18">
        <v>0</v>
      </c>
      <c r="AA107" s="18">
        <v>0</v>
      </c>
      <c r="AB107" s="18">
        <v>0</v>
      </c>
      <c r="AC107" s="18">
        <v>0</v>
      </c>
      <c r="AD107" s="18">
        <v>0</v>
      </c>
      <c r="AE107" s="18">
        <v>0</v>
      </c>
      <c r="AF107" s="18">
        <v>0</v>
      </c>
      <c r="AG107" s="18">
        <v>0</v>
      </c>
      <c r="AH107" s="18">
        <v>0</v>
      </c>
      <c r="AI107" s="18">
        <v>0</v>
      </c>
      <c r="AJ107" s="18">
        <v>0</v>
      </c>
      <c r="AK107" s="18">
        <v>0</v>
      </c>
      <c r="AL107" s="18">
        <v>0</v>
      </c>
      <c r="AM107" s="18">
        <v>0</v>
      </c>
      <c r="AN107" s="18">
        <v>161</v>
      </c>
      <c r="AO107" s="18">
        <v>175</v>
      </c>
      <c r="AP107" s="18">
        <v>391</v>
      </c>
      <c r="AQ107" s="18">
        <v>412.11400000000003</v>
      </c>
      <c r="AR107" s="18">
        <v>438.90141</v>
      </c>
      <c r="AS107" s="18">
        <v>280</v>
      </c>
      <c r="AT107" s="18">
        <v>303</v>
      </c>
      <c r="AU107" s="18">
        <v>446</v>
      </c>
      <c r="AV107" s="18">
        <v>481</v>
      </c>
      <c r="AW107" s="18">
        <v>356</v>
      </c>
      <c r="AX107" s="18">
        <v>325</v>
      </c>
      <c r="AY107" s="18">
        <v>295</v>
      </c>
      <c r="AZ107" s="18">
        <v>291</v>
      </c>
      <c r="BA107" s="18">
        <v>358</v>
      </c>
      <c r="BB107" s="18">
        <v>244</v>
      </c>
      <c r="BC107" s="18">
        <v>193</v>
      </c>
      <c r="BD107" s="18">
        <v>0</v>
      </c>
      <c r="BE107" s="25">
        <v>0</v>
      </c>
      <c r="BF107" s="18">
        <v>0</v>
      </c>
      <c r="BG107" s="18">
        <v>0</v>
      </c>
      <c r="BH107" s="113">
        <v>0</v>
      </c>
      <c r="BI107" s="113">
        <v>0</v>
      </c>
      <c r="BJ107" s="113">
        <v>0</v>
      </c>
      <c r="BK107" s="113">
        <v>0</v>
      </c>
      <c r="BL107" s="113">
        <v>0</v>
      </c>
      <c r="BM107" s="113">
        <v>0</v>
      </c>
      <c r="BN107" s="113">
        <v>0</v>
      </c>
      <c r="BO107" s="113">
        <v>0</v>
      </c>
      <c r="BP107" s="113">
        <v>0</v>
      </c>
      <c r="BQ107" s="113">
        <v>0</v>
      </c>
      <c r="BR107" s="101"/>
      <c r="BS107">
        <f t="shared" si="124"/>
        <v>0</v>
      </c>
      <c r="BT107">
        <f t="shared" si="124"/>
        <v>0</v>
      </c>
      <c r="BU107">
        <f t="shared" si="124"/>
        <v>0</v>
      </c>
      <c r="BV107">
        <f t="shared" si="124"/>
        <v>0</v>
      </c>
      <c r="BW107">
        <f t="shared" si="124"/>
        <v>0</v>
      </c>
      <c r="BX107">
        <f t="shared" si="124"/>
        <v>0</v>
      </c>
      <c r="BY107">
        <f t="shared" si="124"/>
        <v>0</v>
      </c>
      <c r="BZ107">
        <f t="shared" si="124"/>
        <v>0</v>
      </c>
      <c r="CA107">
        <f t="shared" si="124"/>
        <v>0</v>
      </c>
      <c r="CB107">
        <f t="shared" si="124"/>
        <v>0</v>
      </c>
      <c r="CC107">
        <f t="shared" si="125"/>
        <v>0</v>
      </c>
      <c r="CD107">
        <f t="shared" si="125"/>
        <v>0</v>
      </c>
      <c r="CE107">
        <f t="shared" si="125"/>
        <v>0</v>
      </c>
      <c r="CF107">
        <f t="shared" si="125"/>
        <v>0</v>
      </c>
      <c r="CG107">
        <f t="shared" si="125"/>
        <v>0</v>
      </c>
      <c r="CH107">
        <f t="shared" si="125"/>
        <v>0</v>
      </c>
      <c r="CI107">
        <f t="shared" si="125"/>
        <v>0</v>
      </c>
      <c r="CJ107">
        <f t="shared" si="125"/>
        <v>0</v>
      </c>
      <c r="CK107">
        <f t="shared" si="125"/>
        <v>0</v>
      </c>
      <c r="CL107">
        <f t="shared" si="125"/>
        <v>0</v>
      </c>
      <c r="CM107">
        <f t="shared" si="126"/>
        <v>0</v>
      </c>
      <c r="CN107">
        <f t="shared" si="126"/>
        <v>0</v>
      </c>
      <c r="CO107">
        <f t="shared" si="126"/>
        <v>0</v>
      </c>
      <c r="CP107">
        <f t="shared" si="126"/>
        <v>0</v>
      </c>
      <c r="CQ107">
        <f t="shared" si="126"/>
        <v>0</v>
      </c>
      <c r="CR107">
        <f t="shared" si="126"/>
        <v>0</v>
      </c>
      <c r="CS107">
        <f t="shared" si="126"/>
        <v>0</v>
      </c>
      <c r="CT107">
        <f t="shared" si="126"/>
        <v>0</v>
      </c>
      <c r="CU107">
        <f t="shared" si="126"/>
        <v>0</v>
      </c>
      <c r="CV107">
        <f t="shared" si="126"/>
        <v>0</v>
      </c>
      <c r="CW107">
        <f t="shared" si="127"/>
        <v>0</v>
      </c>
      <c r="CX107">
        <f t="shared" si="127"/>
        <v>0</v>
      </c>
      <c r="CY107">
        <f t="shared" si="127"/>
        <v>0</v>
      </c>
      <c r="CZ107">
        <f t="shared" si="127"/>
        <v>0</v>
      </c>
      <c r="DA107">
        <f t="shared" si="127"/>
        <v>0</v>
      </c>
      <c r="DB107">
        <f t="shared" si="127"/>
        <v>0</v>
      </c>
      <c r="DC107">
        <f t="shared" si="127"/>
        <v>0</v>
      </c>
      <c r="DD107">
        <f t="shared" si="127"/>
        <v>0</v>
      </c>
      <c r="DE107">
        <f t="shared" si="127"/>
        <v>0</v>
      </c>
      <c r="DF107">
        <f t="shared" si="127"/>
        <v>0</v>
      </c>
      <c r="DG107">
        <f t="shared" si="128"/>
        <v>0</v>
      </c>
      <c r="DH107">
        <f t="shared" si="128"/>
        <v>0</v>
      </c>
      <c r="DI107">
        <f t="shared" si="128"/>
        <v>0</v>
      </c>
      <c r="DJ107">
        <f t="shared" si="128"/>
        <v>0</v>
      </c>
      <c r="DK107">
        <f t="shared" si="128"/>
        <v>0</v>
      </c>
      <c r="DL107">
        <f t="shared" si="128"/>
        <v>0</v>
      </c>
      <c r="DM107">
        <f t="shared" si="128"/>
        <v>0</v>
      </c>
      <c r="DN107">
        <f t="shared" si="128"/>
        <v>0</v>
      </c>
      <c r="DO107">
        <f t="shared" si="128"/>
        <v>0</v>
      </c>
      <c r="DP107">
        <f t="shared" si="128"/>
        <v>0</v>
      </c>
      <c r="DQ107">
        <f t="shared" si="129"/>
        <v>0</v>
      </c>
      <c r="DR107">
        <f t="shared" si="129"/>
        <v>0</v>
      </c>
      <c r="DS107">
        <f t="shared" si="129"/>
        <v>0</v>
      </c>
      <c r="DT107">
        <f t="shared" si="129"/>
        <v>0</v>
      </c>
      <c r="DU107">
        <f t="shared" si="129"/>
        <v>0</v>
      </c>
      <c r="DV107">
        <f t="shared" si="129"/>
        <v>0</v>
      </c>
      <c r="DW107">
        <f t="shared" si="129"/>
        <v>0</v>
      </c>
      <c r="DX107">
        <f t="shared" si="129"/>
        <v>0</v>
      </c>
      <c r="DY107">
        <f t="shared" si="129"/>
        <v>0</v>
      </c>
      <c r="DZ107">
        <f t="shared" si="129"/>
        <v>0</v>
      </c>
      <c r="EA107">
        <f t="shared" si="130"/>
        <v>0</v>
      </c>
      <c r="EB107">
        <f t="shared" si="130"/>
        <v>0</v>
      </c>
      <c r="EC107">
        <f t="shared" si="130"/>
        <v>0</v>
      </c>
      <c r="ED107">
        <f t="shared" si="130"/>
        <v>0</v>
      </c>
      <c r="EE107">
        <f t="shared" si="130"/>
        <v>0</v>
      </c>
      <c r="EF107">
        <f t="shared" si="130"/>
        <v>0</v>
      </c>
    </row>
    <row r="108" spans="1:136" ht="15.5">
      <c r="A108" s="90"/>
      <c r="B108" s="19" t="s">
        <v>25</v>
      </c>
      <c r="C108" s="95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>
        <v>0</v>
      </c>
      <c r="Y108" s="34">
        <v>0</v>
      </c>
      <c r="Z108" s="34">
        <v>0</v>
      </c>
      <c r="AA108" s="34">
        <v>0</v>
      </c>
      <c r="AB108" s="34">
        <v>0</v>
      </c>
      <c r="AC108" s="34">
        <v>0</v>
      </c>
      <c r="AD108" s="34">
        <v>0</v>
      </c>
      <c r="AE108" s="34">
        <v>0</v>
      </c>
      <c r="AF108" s="34">
        <v>0</v>
      </c>
      <c r="AG108" s="34">
        <v>0</v>
      </c>
      <c r="AH108" s="34">
        <v>0</v>
      </c>
      <c r="AI108" s="34">
        <v>0</v>
      </c>
      <c r="AJ108" s="34">
        <v>0</v>
      </c>
      <c r="AK108" s="34">
        <v>0</v>
      </c>
      <c r="AL108" s="34">
        <v>0</v>
      </c>
      <c r="AM108" s="34">
        <v>0</v>
      </c>
      <c r="AN108" s="34">
        <v>0</v>
      </c>
      <c r="AO108" s="34">
        <v>0</v>
      </c>
      <c r="AP108" s="34">
        <v>12.592592592592592</v>
      </c>
      <c r="AQ108" s="34">
        <f>34/2.7</f>
        <v>12.592592592592592</v>
      </c>
      <c r="AR108" s="34">
        <f>40.2/2.7</f>
        <v>14.888888888888889</v>
      </c>
      <c r="AS108" s="34">
        <f>46.8/2.7</f>
        <v>17.333333333333332</v>
      </c>
      <c r="AT108" s="34">
        <f>42.6/2.7</f>
        <v>15.777777777777777</v>
      </c>
      <c r="AU108" s="34">
        <f>51.3/2.7</f>
        <v>18.999999999999996</v>
      </c>
      <c r="AV108" s="34">
        <v>0</v>
      </c>
      <c r="AW108" s="34">
        <v>85</v>
      </c>
      <c r="AX108" s="34">
        <v>105</v>
      </c>
      <c r="AY108" s="34">
        <v>47</v>
      </c>
      <c r="AZ108" s="34">
        <v>43</v>
      </c>
      <c r="BA108" s="34">
        <v>33</v>
      </c>
      <c r="BB108" s="34">
        <v>43</v>
      </c>
      <c r="BC108" s="34">
        <v>44</v>
      </c>
      <c r="BD108" s="18">
        <v>0</v>
      </c>
      <c r="BE108" s="25">
        <v>0</v>
      </c>
      <c r="BF108" s="18">
        <v>0</v>
      </c>
      <c r="BG108" s="18">
        <v>0</v>
      </c>
      <c r="BH108" s="113">
        <v>0</v>
      </c>
      <c r="BI108" s="113">
        <v>0</v>
      </c>
      <c r="BJ108" s="113">
        <v>0</v>
      </c>
      <c r="BK108" s="113">
        <v>0</v>
      </c>
      <c r="BL108" s="113">
        <v>0</v>
      </c>
      <c r="BM108" s="113">
        <v>0</v>
      </c>
      <c r="BN108" s="113">
        <v>0</v>
      </c>
      <c r="BO108" s="113">
        <v>0</v>
      </c>
      <c r="BP108" s="113">
        <v>0</v>
      </c>
      <c r="BQ108" s="113">
        <v>0</v>
      </c>
      <c r="BR108" s="101"/>
      <c r="BS108">
        <f t="shared" si="124"/>
        <v>0</v>
      </c>
      <c r="BT108">
        <f t="shared" si="124"/>
        <v>0</v>
      </c>
      <c r="BU108">
        <f t="shared" si="124"/>
        <v>0</v>
      </c>
      <c r="BV108">
        <f t="shared" si="124"/>
        <v>0</v>
      </c>
      <c r="BW108">
        <f t="shared" si="124"/>
        <v>0</v>
      </c>
      <c r="BX108">
        <f t="shared" si="124"/>
        <v>0</v>
      </c>
      <c r="BY108">
        <f t="shared" si="124"/>
        <v>0</v>
      </c>
      <c r="BZ108">
        <f t="shared" si="124"/>
        <v>0</v>
      </c>
      <c r="CA108">
        <f t="shared" si="124"/>
        <v>0</v>
      </c>
      <c r="CB108">
        <f t="shared" si="124"/>
        <v>0</v>
      </c>
      <c r="CC108">
        <f t="shared" si="125"/>
        <v>0</v>
      </c>
      <c r="CD108">
        <f t="shared" si="125"/>
        <v>0</v>
      </c>
      <c r="CE108">
        <f t="shared" si="125"/>
        <v>0</v>
      </c>
      <c r="CF108">
        <f t="shared" si="125"/>
        <v>0</v>
      </c>
      <c r="CG108">
        <f t="shared" si="125"/>
        <v>0</v>
      </c>
      <c r="CH108">
        <f t="shared" si="125"/>
        <v>0</v>
      </c>
      <c r="CI108">
        <f t="shared" si="125"/>
        <v>0</v>
      </c>
      <c r="CJ108">
        <f t="shared" si="125"/>
        <v>0</v>
      </c>
      <c r="CK108">
        <f t="shared" si="125"/>
        <v>0</v>
      </c>
      <c r="CL108">
        <f t="shared" si="125"/>
        <v>0</v>
      </c>
      <c r="CM108">
        <f t="shared" si="126"/>
        <v>0</v>
      </c>
      <c r="CN108">
        <f t="shared" si="126"/>
        <v>0</v>
      </c>
      <c r="CO108">
        <f t="shared" si="126"/>
        <v>0</v>
      </c>
      <c r="CP108">
        <f t="shared" si="126"/>
        <v>0</v>
      </c>
      <c r="CQ108">
        <f t="shared" si="126"/>
        <v>0</v>
      </c>
      <c r="CR108">
        <f t="shared" si="126"/>
        <v>0</v>
      </c>
      <c r="CS108">
        <f t="shared" si="126"/>
        <v>0</v>
      </c>
      <c r="CT108">
        <f t="shared" si="126"/>
        <v>0</v>
      </c>
      <c r="CU108">
        <f t="shared" si="126"/>
        <v>0</v>
      </c>
      <c r="CV108">
        <f t="shared" si="126"/>
        <v>0</v>
      </c>
      <c r="CW108">
        <f t="shared" si="127"/>
        <v>0</v>
      </c>
      <c r="CX108">
        <f t="shared" si="127"/>
        <v>0</v>
      </c>
      <c r="CY108">
        <f t="shared" si="127"/>
        <v>0</v>
      </c>
      <c r="CZ108">
        <f t="shared" si="127"/>
        <v>0</v>
      </c>
      <c r="DA108">
        <f t="shared" si="127"/>
        <v>0</v>
      </c>
      <c r="DB108">
        <f t="shared" si="127"/>
        <v>0</v>
      </c>
      <c r="DC108">
        <f t="shared" si="127"/>
        <v>0</v>
      </c>
      <c r="DD108">
        <f t="shared" si="127"/>
        <v>0</v>
      </c>
      <c r="DE108">
        <f t="shared" si="127"/>
        <v>0</v>
      </c>
      <c r="DF108">
        <f t="shared" si="127"/>
        <v>0</v>
      </c>
      <c r="DG108">
        <f t="shared" si="128"/>
        <v>0</v>
      </c>
      <c r="DH108">
        <f t="shared" si="128"/>
        <v>0</v>
      </c>
      <c r="DI108">
        <f t="shared" si="128"/>
        <v>0</v>
      </c>
      <c r="DJ108">
        <f t="shared" si="128"/>
        <v>0</v>
      </c>
      <c r="DK108">
        <f t="shared" si="128"/>
        <v>0</v>
      </c>
      <c r="DL108">
        <f t="shared" si="128"/>
        <v>0</v>
      </c>
      <c r="DM108">
        <f t="shared" si="128"/>
        <v>0</v>
      </c>
      <c r="DN108">
        <f t="shared" si="128"/>
        <v>0</v>
      </c>
      <c r="DO108">
        <f t="shared" si="128"/>
        <v>0</v>
      </c>
      <c r="DP108">
        <f t="shared" si="128"/>
        <v>0</v>
      </c>
      <c r="DQ108">
        <f t="shared" si="129"/>
        <v>0</v>
      </c>
      <c r="DR108">
        <f t="shared" si="129"/>
        <v>0</v>
      </c>
      <c r="DS108">
        <f t="shared" si="129"/>
        <v>0</v>
      </c>
      <c r="DT108">
        <f t="shared" si="129"/>
        <v>0</v>
      </c>
      <c r="DU108">
        <f t="shared" si="129"/>
        <v>0</v>
      </c>
      <c r="DV108">
        <f t="shared" si="129"/>
        <v>0</v>
      </c>
      <c r="DW108">
        <f t="shared" si="129"/>
        <v>0</v>
      </c>
      <c r="DX108">
        <f t="shared" si="129"/>
        <v>0</v>
      </c>
      <c r="DY108">
        <f t="shared" si="129"/>
        <v>0</v>
      </c>
      <c r="DZ108">
        <f t="shared" si="129"/>
        <v>0</v>
      </c>
      <c r="EA108">
        <f t="shared" si="130"/>
        <v>0</v>
      </c>
      <c r="EB108">
        <f t="shared" si="130"/>
        <v>0</v>
      </c>
      <c r="EC108">
        <f t="shared" si="130"/>
        <v>0</v>
      </c>
      <c r="ED108">
        <f t="shared" si="130"/>
        <v>0</v>
      </c>
      <c r="EE108">
        <f t="shared" si="130"/>
        <v>0</v>
      </c>
      <c r="EF108">
        <f t="shared" si="130"/>
        <v>0</v>
      </c>
    </row>
    <row r="109" spans="1:136" ht="15.5">
      <c r="A109" s="90"/>
      <c r="B109" s="19" t="s">
        <v>212</v>
      </c>
      <c r="C109" s="95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0" t="s">
        <v>16</v>
      </c>
      <c r="Y109" s="40" t="s">
        <v>16</v>
      </c>
      <c r="Z109" s="40" t="s">
        <v>16</v>
      </c>
      <c r="AA109" s="40" t="s">
        <v>16</v>
      </c>
      <c r="AB109" s="40" t="s">
        <v>16</v>
      </c>
      <c r="AC109" s="42">
        <v>70</v>
      </c>
      <c r="AD109" s="42">
        <v>72</v>
      </c>
      <c r="AE109" s="42">
        <v>75</v>
      </c>
      <c r="AF109" s="42">
        <v>79</v>
      </c>
      <c r="AG109" s="42">
        <v>83</v>
      </c>
      <c r="AH109" s="42">
        <v>86</v>
      </c>
      <c r="AI109" s="42">
        <v>88</v>
      </c>
      <c r="AJ109" s="42">
        <v>92</v>
      </c>
      <c r="AK109" s="42">
        <v>96</v>
      </c>
      <c r="AL109" s="42">
        <v>101</v>
      </c>
      <c r="AM109" s="42">
        <v>104</v>
      </c>
      <c r="AN109" s="42">
        <v>106</v>
      </c>
      <c r="AO109" s="42">
        <v>109</v>
      </c>
      <c r="AP109" s="42">
        <v>112</v>
      </c>
      <c r="AQ109" s="42">
        <v>141</v>
      </c>
      <c r="AR109" s="48">
        <v>182</v>
      </c>
      <c r="AS109" s="72">
        <v>225</v>
      </c>
      <c r="AT109" s="72">
        <v>274</v>
      </c>
      <c r="AU109" s="72">
        <v>321</v>
      </c>
      <c r="AV109" s="72">
        <v>364</v>
      </c>
      <c r="AW109" s="72">
        <v>413</v>
      </c>
      <c r="AX109" s="72">
        <v>435</v>
      </c>
      <c r="AY109" s="72">
        <v>446</v>
      </c>
      <c r="AZ109" s="42">
        <v>446</v>
      </c>
      <c r="BA109" s="42">
        <v>540.37037037037032</v>
      </c>
      <c r="BB109" s="42">
        <v>118</v>
      </c>
      <c r="BC109" s="42">
        <v>114.07407407407406</v>
      </c>
      <c r="BD109" s="42">
        <v>47</v>
      </c>
      <c r="BE109" s="42">
        <v>31.407407407407405</v>
      </c>
      <c r="BF109" s="25">
        <v>31.074074074074073</v>
      </c>
      <c r="BG109" s="161">
        <f>91/2.7</f>
        <v>33.703703703703702</v>
      </c>
      <c r="BH109" s="154">
        <f>92/2.7</f>
        <v>34.074074074074069</v>
      </c>
      <c r="BI109" s="154">
        <f>103/2.7</f>
        <v>38.148148148148145</v>
      </c>
      <c r="BJ109" s="154">
        <v>34</v>
      </c>
      <c r="BK109" s="154">
        <v>19</v>
      </c>
      <c r="BL109" s="154">
        <v>24</v>
      </c>
      <c r="BM109" s="154">
        <v>13</v>
      </c>
      <c r="BN109" s="252">
        <v>16</v>
      </c>
      <c r="BO109" s="252">
        <f>43/2.7</f>
        <v>15.925925925925926</v>
      </c>
      <c r="BP109" s="253">
        <v>16</v>
      </c>
      <c r="BQ109" s="113">
        <v>16</v>
      </c>
      <c r="BR109" s="101"/>
      <c r="BS109">
        <f t="shared" si="124"/>
        <v>0</v>
      </c>
      <c r="BT109">
        <f t="shared" si="124"/>
        <v>0</v>
      </c>
      <c r="BU109">
        <f t="shared" si="124"/>
        <v>0</v>
      </c>
      <c r="BV109">
        <f t="shared" si="124"/>
        <v>0</v>
      </c>
      <c r="BW109">
        <f t="shared" si="124"/>
        <v>0</v>
      </c>
      <c r="BX109">
        <f t="shared" si="124"/>
        <v>0</v>
      </c>
      <c r="BY109">
        <f t="shared" si="124"/>
        <v>0</v>
      </c>
      <c r="BZ109">
        <f t="shared" si="124"/>
        <v>0</v>
      </c>
      <c r="CA109">
        <f t="shared" si="124"/>
        <v>0</v>
      </c>
      <c r="CB109">
        <f t="shared" si="124"/>
        <v>0</v>
      </c>
      <c r="CC109">
        <f t="shared" si="125"/>
        <v>0</v>
      </c>
      <c r="CD109">
        <f t="shared" si="125"/>
        <v>0</v>
      </c>
      <c r="CE109">
        <f t="shared" si="125"/>
        <v>0</v>
      </c>
      <c r="CF109">
        <f t="shared" si="125"/>
        <v>0</v>
      </c>
      <c r="CG109">
        <f t="shared" si="125"/>
        <v>0</v>
      </c>
      <c r="CH109">
        <f t="shared" si="125"/>
        <v>0</v>
      </c>
      <c r="CI109">
        <f t="shared" si="125"/>
        <v>0</v>
      </c>
      <c r="CJ109">
        <f t="shared" si="125"/>
        <v>0</v>
      </c>
      <c r="CK109">
        <f t="shared" si="125"/>
        <v>0</v>
      </c>
      <c r="CL109">
        <f t="shared" si="125"/>
        <v>0</v>
      </c>
      <c r="CM109">
        <f t="shared" si="126"/>
        <v>0</v>
      </c>
      <c r="CN109">
        <f t="shared" si="126"/>
        <v>0</v>
      </c>
      <c r="CO109">
        <f t="shared" si="126"/>
        <v>0</v>
      </c>
      <c r="CP109">
        <f t="shared" si="126"/>
        <v>0</v>
      </c>
      <c r="CQ109">
        <f t="shared" si="126"/>
        <v>0</v>
      </c>
      <c r="CR109">
        <f t="shared" si="126"/>
        <v>0</v>
      </c>
      <c r="CS109">
        <f t="shared" si="126"/>
        <v>0</v>
      </c>
      <c r="CT109">
        <f t="shared" si="126"/>
        <v>0</v>
      </c>
      <c r="CU109">
        <f t="shared" si="126"/>
        <v>0</v>
      </c>
      <c r="CV109">
        <f t="shared" si="126"/>
        <v>0</v>
      </c>
      <c r="CW109">
        <f t="shared" si="127"/>
        <v>0</v>
      </c>
      <c r="CX109">
        <f t="shared" si="127"/>
        <v>0</v>
      </c>
      <c r="CY109">
        <f t="shared" si="127"/>
        <v>0</v>
      </c>
      <c r="CZ109">
        <f t="shared" si="127"/>
        <v>0</v>
      </c>
      <c r="DA109">
        <f t="shared" si="127"/>
        <v>0</v>
      </c>
      <c r="DB109">
        <f t="shared" si="127"/>
        <v>0</v>
      </c>
      <c r="DC109">
        <f t="shared" si="127"/>
        <v>0</v>
      </c>
      <c r="DD109">
        <f t="shared" si="127"/>
        <v>0</v>
      </c>
      <c r="DE109">
        <f t="shared" si="127"/>
        <v>0</v>
      </c>
      <c r="DF109">
        <f t="shared" si="127"/>
        <v>0</v>
      </c>
      <c r="DG109">
        <f t="shared" si="128"/>
        <v>0</v>
      </c>
      <c r="DH109">
        <f t="shared" si="128"/>
        <v>0</v>
      </c>
      <c r="DI109">
        <f t="shared" si="128"/>
        <v>0</v>
      </c>
      <c r="DJ109">
        <f t="shared" si="128"/>
        <v>0</v>
      </c>
      <c r="DK109">
        <f t="shared" si="128"/>
        <v>0</v>
      </c>
      <c r="DL109">
        <f t="shared" si="128"/>
        <v>0</v>
      </c>
      <c r="DM109">
        <f t="shared" si="128"/>
        <v>0</v>
      </c>
      <c r="DN109">
        <f t="shared" si="128"/>
        <v>0</v>
      </c>
      <c r="DO109">
        <f t="shared" si="128"/>
        <v>0</v>
      </c>
      <c r="DP109">
        <f t="shared" si="128"/>
        <v>0</v>
      </c>
      <c r="DQ109">
        <f t="shared" si="129"/>
        <v>0</v>
      </c>
      <c r="DR109">
        <f t="shared" si="129"/>
        <v>0</v>
      </c>
      <c r="DS109">
        <f t="shared" si="129"/>
        <v>0</v>
      </c>
      <c r="DT109">
        <f t="shared" si="129"/>
        <v>0</v>
      </c>
      <c r="DU109">
        <f t="shared" si="129"/>
        <v>0</v>
      </c>
      <c r="DV109">
        <f t="shared" si="129"/>
        <v>0</v>
      </c>
      <c r="DW109">
        <f t="shared" si="129"/>
        <v>0</v>
      </c>
      <c r="DX109">
        <f t="shared" si="129"/>
        <v>0</v>
      </c>
      <c r="DY109">
        <f t="shared" si="129"/>
        <v>0</v>
      </c>
      <c r="DZ109">
        <f t="shared" si="129"/>
        <v>0</v>
      </c>
      <c r="EA109">
        <f t="shared" si="130"/>
        <v>0</v>
      </c>
      <c r="EB109">
        <f t="shared" si="130"/>
        <v>0</v>
      </c>
      <c r="EC109">
        <f t="shared" si="130"/>
        <v>0</v>
      </c>
      <c r="ED109">
        <f t="shared" si="130"/>
        <v>0</v>
      </c>
      <c r="EE109">
        <f t="shared" si="130"/>
        <v>0</v>
      </c>
      <c r="EF109">
        <f t="shared" si="130"/>
        <v>0</v>
      </c>
    </row>
    <row r="110" spans="1:136" ht="15.5">
      <c r="A110" s="90"/>
      <c r="B110" s="44"/>
      <c r="C110" s="88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1"/>
      <c r="U110" s="51"/>
      <c r="V110" s="51"/>
      <c r="W110" s="51"/>
      <c r="X110" s="51"/>
      <c r="Y110" s="51"/>
      <c r="Z110" s="51"/>
      <c r="AA110" s="51"/>
      <c r="AB110" s="51"/>
      <c r="AC110" s="51"/>
      <c r="AD110" s="51"/>
      <c r="AE110" s="51"/>
      <c r="AF110" s="51"/>
      <c r="AG110" s="51"/>
      <c r="AH110" s="204"/>
      <c r="AI110" s="204"/>
      <c r="AJ110" s="204"/>
      <c r="AK110" s="204"/>
      <c r="AL110" s="204"/>
      <c r="AM110" s="204"/>
      <c r="AN110" s="204"/>
      <c r="AO110" s="204"/>
      <c r="AP110" s="204"/>
      <c r="AQ110" s="204"/>
      <c r="AR110" s="204"/>
      <c r="AS110" s="107"/>
      <c r="AT110" s="48"/>
      <c r="AU110" s="48"/>
      <c r="AV110" s="48"/>
      <c r="AW110" s="48"/>
      <c r="AX110" s="204"/>
      <c r="AY110" s="204"/>
      <c r="AZ110" s="204"/>
      <c r="BA110" s="204"/>
      <c r="BB110" s="210"/>
      <c r="BC110" s="204"/>
      <c r="BD110" s="204"/>
      <c r="BE110" s="204"/>
      <c r="BF110" s="212"/>
      <c r="BG110" s="212"/>
      <c r="BH110" s="18"/>
      <c r="BI110" s="113"/>
      <c r="BJ110" s="113"/>
      <c r="BK110" s="113"/>
      <c r="BL110" s="113"/>
      <c r="BM110" s="113"/>
      <c r="BN110" s="113"/>
      <c r="BO110" s="113"/>
      <c r="BP110" s="2"/>
      <c r="BQ110" s="2"/>
      <c r="BR110" s="101"/>
    </row>
    <row r="111" spans="1:136" ht="15.5">
      <c r="A111" s="93">
        <v>7</v>
      </c>
      <c r="B111" s="32" t="s">
        <v>26</v>
      </c>
      <c r="C111" s="95">
        <v>3</v>
      </c>
      <c r="D111" s="22">
        <f t="shared" ref="D111:AI111" si="131">SUM(D112:D119)</f>
        <v>100</v>
      </c>
      <c r="E111" s="22">
        <f t="shared" si="131"/>
        <v>462</v>
      </c>
      <c r="F111" s="22">
        <f t="shared" si="131"/>
        <v>362</v>
      </c>
      <c r="G111" s="22">
        <f t="shared" si="131"/>
        <v>15</v>
      </c>
      <c r="H111" s="22">
        <f t="shared" si="131"/>
        <v>0</v>
      </c>
      <c r="I111" s="22">
        <f t="shared" si="131"/>
        <v>472</v>
      </c>
      <c r="J111" s="22">
        <f t="shared" si="131"/>
        <v>0</v>
      </c>
      <c r="K111" s="22">
        <f t="shared" si="131"/>
        <v>0</v>
      </c>
      <c r="L111" s="22">
        <f t="shared" si="131"/>
        <v>0</v>
      </c>
      <c r="M111" s="22">
        <f t="shared" si="131"/>
        <v>0</v>
      </c>
      <c r="N111" s="22">
        <f t="shared" si="131"/>
        <v>0</v>
      </c>
      <c r="O111" s="22">
        <f t="shared" si="131"/>
        <v>0</v>
      </c>
      <c r="P111" s="22">
        <f t="shared" si="131"/>
        <v>0</v>
      </c>
      <c r="Q111" s="22">
        <f t="shared" si="131"/>
        <v>0</v>
      </c>
      <c r="R111" s="22">
        <f t="shared" si="131"/>
        <v>0</v>
      </c>
      <c r="S111" s="22">
        <f t="shared" si="131"/>
        <v>0</v>
      </c>
      <c r="T111" s="22">
        <f t="shared" si="131"/>
        <v>970</v>
      </c>
      <c r="U111" s="22">
        <f t="shared" si="131"/>
        <v>0</v>
      </c>
      <c r="V111" s="22">
        <f t="shared" si="131"/>
        <v>0</v>
      </c>
      <c r="W111" s="22">
        <f t="shared" si="131"/>
        <v>0</v>
      </c>
      <c r="X111" s="22">
        <f t="shared" si="131"/>
        <v>0</v>
      </c>
      <c r="Y111" s="22">
        <f t="shared" si="131"/>
        <v>0</v>
      </c>
      <c r="Z111" s="22">
        <f t="shared" si="131"/>
        <v>3870</v>
      </c>
      <c r="AA111" s="22">
        <f t="shared" si="131"/>
        <v>3507.1109766999998</v>
      </c>
      <c r="AB111" s="22">
        <f t="shared" si="131"/>
        <v>5535.4861452999994</v>
      </c>
      <c r="AC111" s="22">
        <f t="shared" si="131"/>
        <v>11649.647999999999</v>
      </c>
      <c r="AD111" s="22">
        <f t="shared" si="131"/>
        <v>4521.0114614000004</v>
      </c>
      <c r="AE111" s="22">
        <f t="shared" si="131"/>
        <v>31736.4000089</v>
      </c>
      <c r="AF111" s="22">
        <f t="shared" si="131"/>
        <v>24529.238303499998</v>
      </c>
      <c r="AG111" s="22">
        <f t="shared" si="131"/>
        <v>35044</v>
      </c>
      <c r="AH111" s="22">
        <f t="shared" si="131"/>
        <v>32776.014798000004</v>
      </c>
      <c r="AI111" s="22">
        <f t="shared" si="131"/>
        <v>33826</v>
      </c>
      <c r="AJ111" s="22">
        <f t="shared" ref="AJ111:BP111" si="132">SUM(AJ112:AJ119)</f>
        <v>31176</v>
      </c>
      <c r="AK111" s="22">
        <f t="shared" si="132"/>
        <v>47553.793532800002</v>
      </c>
      <c r="AL111" s="22">
        <f t="shared" si="132"/>
        <v>839.55725240000015</v>
      </c>
      <c r="AM111" s="22">
        <f t="shared" si="132"/>
        <v>248.45303469999999</v>
      </c>
      <c r="AN111" s="22">
        <f t="shared" si="132"/>
        <v>0.19799999999999998</v>
      </c>
      <c r="AO111" s="22">
        <f t="shared" si="132"/>
        <v>7.6953000000000004E-3</v>
      </c>
      <c r="AP111" s="22">
        <f t="shared" si="132"/>
        <v>4.1841000000000005E-3</v>
      </c>
      <c r="AQ111" s="22">
        <f t="shared" si="132"/>
        <v>0</v>
      </c>
      <c r="AR111" s="22">
        <f t="shared" si="132"/>
        <v>826.41381919999992</v>
      </c>
      <c r="AS111" s="22">
        <f t="shared" si="132"/>
        <v>84830</v>
      </c>
      <c r="AT111" s="22">
        <f t="shared" si="132"/>
        <v>104158</v>
      </c>
      <c r="AU111" s="22">
        <f t="shared" si="132"/>
        <v>115104</v>
      </c>
      <c r="AV111" s="22">
        <f t="shared" si="132"/>
        <v>112963</v>
      </c>
      <c r="AW111" s="22">
        <f t="shared" si="132"/>
        <v>106041</v>
      </c>
      <c r="AX111" s="22">
        <f t="shared" si="132"/>
        <v>32587.714237600001</v>
      </c>
      <c r="AY111" s="22">
        <f t="shared" si="132"/>
        <v>35844.6467529</v>
      </c>
      <c r="AZ111" s="22">
        <f t="shared" si="132"/>
        <v>35585.638714300003</v>
      </c>
      <c r="BA111" s="22">
        <f t="shared" si="132"/>
        <v>36224.1102971</v>
      </c>
      <c r="BB111" s="22">
        <f t="shared" si="132"/>
        <v>15547</v>
      </c>
      <c r="BC111" s="22">
        <f t="shared" si="132"/>
        <v>17425.574032299999</v>
      </c>
      <c r="BD111" s="22">
        <f t="shared" si="132"/>
        <v>17490.789249400001</v>
      </c>
      <c r="BE111" s="22">
        <f t="shared" si="132"/>
        <v>17640.075811899998</v>
      </c>
      <c r="BF111" s="22">
        <f t="shared" si="132"/>
        <v>55914</v>
      </c>
      <c r="BG111" s="22">
        <f t="shared" si="132"/>
        <v>44787</v>
      </c>
      <c r="BH111" s="22">
        <f t="shared" si="132"/>
        <v>47535</v>
      </c>
      <c r="BI111" s="22">
        <f t="shared" si="132"/>
        <v>22105.190623499999</v>
      </c>
      <c r="BJ111" s="22">
        <f t="shared" si="132"/>
        <v>22695.371416499998</v>
      </c>
      <c r="BK111" s="22">
        <f t="shared" si="132"/>
        <v>28660.432989299999</v>
      </c>
      <c r="BL111" s="22">
        <f t="shared" si="132"/>
        <v>70956.5638798</v>
      </c>
      <c r="BM111" s="22">
        <f t="shared" si="132"/>
        <v>13300.078440200001</v>
      </c>
      <c r="BN111" s="22">
        <f t="shared" si="132"/>
        <v>14290.5729639</v>
      </c>
      <c r="BO111" s="22">
        <f t="shared" si="132"/>
        <v>22813</v>
      </c>
      <c r="BP111" s="22">
        <f t="shared" si="132"/>
        <v>2687</v>
      </c>
      <c r="BQ111" s="22">
        <f>SUM(BQ112:BQ119)</f>
        <v>2687</v>
      </c>
      <c r="BR111" s="101"/>
      <c r="BS111">
        <f t="shared" ref="BS111:CX111" si="133">IF($C111&lt;&gt;"",IF(D111&gt;0,1,0),0)</f>
        <v>1</v>
      </c>
      <c r="BT111">
        <f t="shared" si="133"/>
        <v>1</v>
      </c>
      <c r="BU111">
        <f t="shared" si="133"/>
        <v>1</v>
      </c>
      <c r="BV111">
        <f t="shared" si="133"/>
        <v>1</v>
      </c>
      <c r="BW111">
        <f t="shared" si="133"/>
        <v>0</v>
      </c>
      <c r="BX111">
        <f t="shared" si="133"/>
        <v>1</v>
      </c>
      <c r="BY111">
        <f t="shared" si="133"/>
        <v>0</v>
      </c>
      <c r="BZ111">
        <f t="shared" si="133"/>
        <v>0</v>
      </c>
      <c r="CA111">
        <f t="shared" si="133"/>
        <v>0</v>
      </c>
      <c r="CB111">
        <f t="shared" si="133"/>
        <v>0</v>
      </c>
      <c r="CC111">
        <f t="shared" si="133"/>
        <v>0</v>
      </c>
      <c r="CD111">
        <f t="shared" si="133"/>
        <v>0</v>
      </c>
      <c r="CE111">
        <f t="shared" si="133"/>
        <v>0</v>
      </c>
      <c r="CF111">
        <f t="shared" si="133"/>
        <v>0</v>
      </c>
      <c r="CG111">
        <f t="shared" si="133"/>
        <v>0</v>
      </c>
      <c r="CH111">
        <f t="shared" si="133"/>
        <v>0</v>
      </c>
      <c r="CI111">
        <f t="shared" si="133"/>
        <v>1</v>
      </c>
      <c r="CJ111">
        <f t="shared" si="133"/>
        <v>0</v>
      </c>
      <c r="CK111">
        <f t="shared" si="133"/>
        <v>0</v>
      </c>
      <c r="CL111">
        <f t="shared" si="133"/>
        <v>0</v>
      </c>
      <c r="CM111">
        <f t="shared" si="133"/>
        <v>0</v>
      </c>
      <c r="CN111">
        <f t="shared" si="133"/>
        <v>0</v>
      </c>
      <c r="CO111">
        <f t="shared" si="133"/>
        <v>1</v>
      </c>
      <c r="CP111">
        <f t="shared" si="133"/>
        <v>1</v>
      </c>
      <c r="CQ111">
        <f t="shared" si="133"/>
        <v>1</v>
      </c>
      <c r="CR111">
        <f t="shared" si="133"/>
        <v>1</v>
      </c>
      <c r="CS111">
        <f t="shared" si="133"/>
        <v>1</v>
      </c>
      <c r="CT111">
        <f t="shared" si="133"/>
        <v>1</v>
      </c>
      <c r="CU111">
        <f t="shared" si="133"/>
        <v>1</v>
      </c>
      <c r="CV111">
        <f t="shared" si="133"/>
        <v>1</v>
      </c>
      <c r="CW111">
        <f t="shared" si="133"/>
        <v>1</v>
      </c>
      <c r="CX111">
        <f t="shared" si="133"/>
        <v>1</v>
      </c>
      <c r="CY111">
        <f t="shared" ref="CY111:ED111" si="134">IF($C111&lt;&gt;"",IF(AJ111&gt;0,1,0),0)</f>
        <v>1</v>
      </c>
      <c r="CZ111">
        <f t="shared" si="134"/>
        <v>1</v>
      </c>
      <c r="DA111">
        <f t="shared" si="134"/>
        <v>1</v>
      </c>
      <c r="DB111">
        <f t="shared" si="134"/>
        <v>1</v>
      </c>
      <c r="DC111">
        <f t="shared" si="134"/>
        <v>1</v>
      </c>
      <c r="DD111">
        <f t="shared" si="134"/>
        <v>1</v>
      </c>
      <c r="DE111">
        <f t="shared" si="134"/>
        <v>1</v>
      </c>
      <c r="DF111">
        <f t="shared" si="134"/>
        <v>0</v>
      </c>
      <c r="DG111">
        <f t="shared" si="134"/>
        <v>1</v>
      </c>
      <c r="DH111">
        <f t="shared" si="134"/>
        <v>1</v>
      </c>
      <c r="DI111">
        <f t="shared" si="134"/>
        <v>1</v>
      </c>
      <c r="DJ111">
        <f t="shared" si="134"/>
        <v>1</v>
      </c>
      <c r="DK111">
        <f t="shared" si="134"/>
        <v>1</v>
      </c>
      <c r="DL111">
        <f t="shared" si="134"/>
        <v>1</v>
      </c>
      <c r="DM111">
        <f t="shared" si="134"/>
        <v>1</v>
      </c>
      <c r="DN111">
        <f t="shared" si="134"/>
        <v>1</v>
      </c>
      <c r="DO111">
        <f t="shared" si="134"/>
        <v>1</v>
      </c>
      <c r="DP111">
        <f t="shared" si="134"/>
        <v>1</v>
      </c>
      <c r="DQ111">
        <f t="shared" si="134"/>
        <v>1</v>
      </c>
      <c r="DR111">
        <f t="shared" si="134"/>
        <v>1</v>
      </c>
      <c r="DS111">
        <f t="shared" si="134"/>
        <v>1</v>
      </c>
      <c r="DT111">
        <f t="shared" si="134"/>
        <v>1</v>
      </c>
      <c r="DU111">
        <f t="shared" si="134"/>
        <v>1</v>
      </c>
      <c r="DV111">
        <f t="shared" si="134"/>
        <v>1</v>
      </c>
      <c r="DW111">
        <f t="shared" si="134"/>
        <v>1</v>
      </c>
      <c r="DX111">
        <f t="shared" si="134"/>
        <v>1</v>
      </c>
      <c r="DY111">
        <f t="shared" si="134"/>
        <v>1</v>
      </c>
      <c r="DZ111">
        <f t="shared" si="134"/>
        <v>1</v>
      </c>
      <c r="EA111">
        <f t="shared" si="134"/>
        <v>1</v>
      </c>
      <c r="EB111">
        <f t="shared" si="134"/>
        <v>1</v>
      </c>
      <c r="EC111">
        <f t="shared" si="134"/>
        <v>1</v>
      </c>
      <c r="ED111">
        <f t="shared" si="134"/>
        <v>1</v>
      </c>
      <c r="EE111">
        <f t="shared" ref="EE111:EF111" si="135">IF($C111&lt;&gt;"",IF(BP111&gt;0,1,0),0)</f>
        <v>1</v>
      </c>
      <c r="EF111">
        <f t="shared" si="135"/>
        <v>1</v>
      </c>
    </row>
    <row r="112" spans="1:136" ht="15.5">
      <c r="A112" s="90"/>
      <c r="B112" s="53" t="s">
        <v>15</v>
      </c>
      <c r="C112" s="95"/>
      <c r="D112" s="18">
        <v>100</v>
      </c>
      <c r="E112" s="18">
        <v>28</v>
      </c>
      <c r="F112" s="18">
        <v>0</v>
      </c>
      <c r="G112" s="18">
        <v>0</v>
      </c>
      <c r="H112" s="18">
        <v>0</v>
      </c>
      <c r="I112" s="18">
        <v>170</v>
      </c>
      <c r="J112" s="18">
        <v>0</v>
      </c>
      <c r="K112" s="18">
        <v>0</v>
      </c>
      <c r="L112" s="18">
        <v>0</v>
      </c>
      <c r="M112" s="18">
        <v>0</v>
      </c>
      <c r="N112" s="18">
        <v>0</v>
      </c>
      <c r="O112" s="18">
        <v>0</v>
      </c>
      <c r="P112" s="18">
        <v>0</v>
      </c>
      <c r="Q112" s="18">
        <v>0</v>
      </c>
      <c r="R112" s="18">
        <v>0</v>
      </c>
      <c r="S112" s="18">
        <v>0</v>
      </c>
      <c r="T112" s="18">
        <v>0</v>
      </c>
      <c r="U112" s="18">
        <v>0</v>
      </c>
      <c r="V112" s="18">
        <v>0</v>
      </c>
      <c r="W112" s="18">
        <v>0</v>
      </c>
      <c r="X112" s="18">
        <v>0</v>
      </c>
      <c r="Y112" s="18">
        <v>0</v>
      </c>
      <c r="Z112" s="18">
        <v>0</v>
      </c>
      <c r="AA112" s="18">
        <v>0</v>
      </c>
      <c r="AB112" s="18">
        <v>0</v>
      </c>
      <c r="AC112" s="18">
        <v>0</v>
      </c>
      <c r="AD112" s="18">
        <v>0</v>
      </c>
      <c r="AE112" s="18">
        <v>0</v>
      </c>
      <c r="AF112" s="18">
        <v>0</v>
      </c>
      <c r="AG112" s="18">
        <v>0</v>
      </c>
      <c r="AH112" s="18">
        <v>0</v>
      </c>
      <c r="AI112" s="18">
        <v>0</v>
      </c>
      <c r="AJ112" s="18">
        <v>0</v>
      </c>
      <c r="AK112" s="18">
        <v>0</v>
      </c>
      <c r="AL112" s="18">
        <v>0</v>
      </c>
      <c r="AM112" s="18">
        <v>0</v>
      </c>
      <c r="AN112" s="18">
        <v>0</v>
      </c>
      <c r="AO112" s="18">
        <v>0</v>
      </c>
      <c r="AP112" s="18">
        <v>0</v>
      </c>
      <c r="AQ112" s="18">
        <v>0</v>
      </c>
      <c r="AR112" s="18">
        <v>0</v>
      </c>
      <c r="AS112" s="18">
        <v>0</v>
      </c>
      <c r="AT112" s="18">
        <v>0</v>
      </c>
      <c r="AU112" s="61">
        <v>2980</v>
      </c>
      <c r="AV112" s="18">
        <v>0</v>
      </c>
      <c r="AW112" s="18">
        <v>0</v>
      </c>
      <c r="AX112" s="18">
        <v>0</v>
      </c>
      <c r="AY112" s="18">
        <v>0</v>
      </c>
      <c r="AZ112" s="18">
        <v>0</v>
      </c>
      <c r="BA112" s="18">
        <v>0</v>
      </c>
      <c r="BB112" s="18">
        <v>0</v>
      </c>
      <c r="BC112" s="18">
        <v>0</v>
      </c>
      <c r="BD112" s="18">
        <v>0</v>
      </c>
      <c r="BE112" s="18">
        <v>0</v>
      </c>
      <c r="BF112" s="18">
        <v>0</v>
      </c>
      <c r="BG112" s="18">
        <v>0</v>
      </c>
      <c r="BH112" s="18">
        <v>0</v>
      </c>
      <c r="BI112" s="113">
        <f>BH112</f>
        <v>0</v>
      </c>
      <c r="BJ112" s="113">
        <v>0</v>
      </c>
      <c r="BK112" s="113">
        <v>0</v>
      </c>
      <c r="BL112" s="113">
        <v>0</v>
      </c>
      <c r="BM112" s="113">
        <v>0</v>
      </c>
      <c r="BN112" s="113">
        <v>0</v>
      </c>
      <c r="BO112" s="113">
        <v>0</v>
      </c>
      <c r="BP112" s="113">
        <v>0</v>
      </c>
      <c r="BQ112" s="113">
        <v>0</v>
      </c>
      <c r="BR112" s="101"/>
      <c r="BS112">
        <f t="shared" ref="BS112:BS120" si="136">IF($C112&lt;&gt;"",IF(D112&gt;0,1,0),0)</f>
        <v>0</v>
      </c>
      <c r="BT112">
        <f t="shared" ref="BT112:BT120" si="137">IF($C112&lt;&gt;"",IF(E112&gt;0,1,0),0)</f>
        <v>0</v>
      </c>
      <c r="BU112">
        <f t="shared" ref="BU112:BU120" si="138">IF($C112&lt;&gt;"",IF(F112&gt;0,1,0),0)</f>
        <v>0</v>
      </c>
      <c r="BV112">
        <f t="shared" ref="BV112:BV120" si="139">IF($C112&lt;&gt;"",IF(G112&gt;0,1,0),0)</f>
        <v>0</v>
      </c>
      <c r="BW112">
        <f t="shared" ref="BW112:BW120" si="140">IF($C112&lt;&gt;"",IF(H112&gt;0,1,0),0)</f>
        <v>0</v>
      </c>
      <c r="BX112">
        <f t="shared" ref="BX112:BX120" si="141">IF($C112&lt;&gt;"",IF(I112&gt;0,1,0),0)</f>
        <v>0</v>
      </c>
      <c r="BY112">
        <f t="shared" ref="BY112:BY120" si="142">IF($C112&lt;&gt;"",IF(J112&gt;0,1,0),0)</f>
        <v>0</v>
      </c>
      <c r="BZ112">
        <f t="shared" ref="BZ112:BZ120" si="143">IF($C112&lt;&gt;"",IF(K112&gt;0,1,0),0)</f>
        <v>0</v>
      </c>
      <c r="CA112">
        <f t="shared" ref="CA112:CA120" si="144">IF($C112&lt;&gt;"",IF(L112&gt;0,1,0),0)</f>
        <v>0</v>
      </c>
      <c r="CB112">
        <f t="shared" ref="CB112:CB120" si="145">IF($C112&lt;&gt;"",IF(M112&gt;0,1,0),0)</f>
        <v>0</v>
      </c>
      <c r="CC112">
        <f t="shared" ref="CC112:CC120" si="146">IF($C112&lt;&gt;"",IF(N112&gt;0,1,0),0)</f>
        <v>0</v>
      </c>
      <c r="CD112">
        <f t="shared" ref="CD112:CD120" si="147">IF($C112&lt;&gt;"",IF(O112&gt;0,1,0),0)</f>
        <v>0</v>
      </c>
      <c r="CE112">
        <f t="shared" ref="CE112:CE120" si="148">IF($C112&lt;&gt;"",IF(P112&gt;0,1,0),0)</f>
        <v>0</v>
      </c>
      <c r="CF112">
        <f t="shared" ref="CF112:CF120" si="149">IF($C112&lt;&gt;"",IF(Q112&gt;0,1,0),0)</f>
        <v>0</v>
      </c>
      <c r="CG112">
        <f t="shared" ref="CG112:CG120" si="150">IF($C112&lt;&gt;"",IF(R112&gt;0,1,0),0)</f>
        <v>0</v>
      </c>
      <c r="CH112">
        <f t="shared" ref="CH112:CH120" si="151">IF($C112&lt;&gt;"",IF(S112&gt;0,1,0),0)</f>
        <v>0</v>
      </c>
      <c r="CI112">
        <f t="shared" ref="CI112:CI120" si="152">IF($C112&lt;&gt;"",IF(T112&gt;0,1,0),0)</f>
        <v>0</v>
      </c>
      <c r="CJ112">
        <f t="shared" ref="CJ112:CJ120" si="153">IF($C112&lt;&gt;"",IF(U112&gt;0,1,0),0)</f>
        <v>0</v>
      </c>
      <c r="CK112">
        <f t="shared" ref="CK112:CK120" si="154">IF($C112&lt;&gt;"",IF(V112&gt;0,1,0),0)</f>
        <v>0</v>
      </c>
      <c r="CL112">
        <f t="shared" ref="CL112:CL120" si="155">IF($C112&lt;&gt;"",IF(W112&gt;0,1,0),0)</f>
        <v>0</v>
      </c>
      <c r="CM112">
        <f t="shared" ref="CM112:CM120" si="156">IF($C112&lt;&gt;"",IF(X112&gt;0,1,0),0)</f>
        <v>0</v>
      </c>
      <c r="CN112">
        <f t="shared" ref="CN112:CN120" si="157">IF($C112&lt;&gt;"",IF(Y112&gt;0,1,0),0)</f>
        <v>0</v>
      </c>
      <c r="CO112">
        <f t="shared" ref="CO112:CO120" si="158">IF($C112&lt;&gt;"",IF(Z112&gt;0,1,0),0)</f>
        <v>0</v>
      </c>
      <c r="CP112">
        <f t="shared" ref="CP112:CP120" si="159">IF($C112&lt;&gt;"",IF(AA112&gt;0,1,0),0)</f>
        <v>0</v>
      </c>
      <c r="CQ112">
        <f t="shared" ref="CQ112:CQ120" si="160">IF($C112&lt;&gt;"",IF(AB112&gt;0,1,0),0)</f>
        <v>0</v>
      </c>
      <c r="CR112">
        <f t="shared" ref="CR112:CR120" si="161">IF($C112&lt;&gt;"",IF(AC112&gt;0,1,0),0)</f>
        <v>0</v>
      </c>
      <c r="CS112">
        <f t="shared" ref="CS112:CS120" si="162">IF($C112&lt;&gt;"",IF(AD112&gt;0,1,0),0)</f>
        <v>0</v>
      </c>
      <c r="CT112">
        <f t="shared" ref="CT112:CT120" si="163">IF($C112&lt;&gt;"",IF(AE112&gt;0,1,0),0)</f>
        <v>0</v>
      </c>
      <c r="CU112">
        <f t="shared" ref="CU112:CU120" si="164">IF($C112&lt;&gt;"",IF(AF112&gt;0,1,0),0)</f>
        <v>0</v>
      </c>
      <c r="CV112">
        <f t="shared" ref="CV112:CV120" si="165">IF($C112&lt;&gt;"",IF(AG112&gt;0,1,0),0)</f>
        <v>0</v>
      </c>
      <c r="CW112">
        <f t="shared" ref="CW112:CW120" si="166">IF($C112&lt;&gt;"",IF(AH112&gt;0,1,0),0)</f>
        <v>0</v>
      </c>
      <c r="CX112">
        <f t="shared" ref="CX112:CX120" si="167">IF($C112&lt;&gt;"",IF(AI112&gt;0,1,0),0)</f>
        <v>0</v>
      </c>
      <c r="CY112">
        <f t="shared" ref="CY112:CY120" si="168">IF($C112&lt;&gt;"",IF(AJ112&gt;0,1,0),0)</f>
        <v>0</v>
      </c>
      <c r="CZ112">
        <f t="shared" ref="CZ112:CZ120" si="169">IF($C112&lt;&gt;"",IF(AK112&gt;0,1,0),0)</f>
        <v>0</v>
      </c>
      <c r="DA112">
        <f t="shared" ref="DA112:DA120" si="170">IF($C112&lt;&gt;"",IF(AL112&gt;0,1,0),0)</f>
        <v>0</v>
      </c>
      <c r="DB112">
        <f t="shared" ref="DB112:DB120" si="171">IF($C112&lt;&gt;"",IF(AM112&gt;0,1,0),0)</f>
        <v>0</v>
      </c>
      <c r="DC112">
        <f t="shared" ref="DC112:DC120" si="172">IF($C112&lt;&gt;"",IF(AN112&gt;0,1,0),0)</f>
        <v>0</v>
      </c>
      <c r="DD112">
        <f t="shared" ref="DD112:DD120" si="173">IF($C112&lt;&gt;"",IF(AO112&gt;0,1,0),0)</f>
        <v>0</v>
      </c>
      <c r="DE112">
        <f t="shared" ref="DE112:DE120" si="174">IF($C112&lt;&gt;"",IF(AP112&gt;0,1,0),0)</f>
        <v>0</v>
      </c>
      <c r="DF112">
        <f t="shared" ref="DF112:DF120" si="175">IF($C112&lt;&gt;"",IF(AQ112&gt;0,1,0),0)</f>
        <v>0</v>
      </c>
      <c r="DG112">
        <f t="shared" ref="DG112:DG120" si="176">IF($C112&lt;&gt;"",IF(AR112&gt;0,1,0),0)</f>
        <v>0</v>
      </c>
      <c r="DH112">
        <f t="shared" ref="DH112:DH120" si="177">IF($C112&lt;&gt;"",IF(AS112&gt;0,1,0),0)</f>
        <v>0</v>
      </c>
      <c r="DI112">
        <f t="shared" ref="DI112:DI120" si="178">IF($C112&lt;&gt;"",IF(AT112&gt;0,1,0),0)</f>
        <v>0</v>
      </c>
      <c r="DJ112">
        <f t="shared" ref="DJ112:DJ120" si="179">IF($C112&lt;&gt;"",IF(AU112&gt;0,1,0),0)</f>
        <v>0</v>
      </c>
      <c r="DK112">
        <f t="shared" ref="DK112:DK120" si="180">IF($C112&lt;&gt;"",IF(AV112&gt;0,1,0),0)</f>
        <v>0</v>
      </c>
      <c r="DL112">
        <f t="shared" ref="DL112:DL120" si="181">IF($C112&lt;&gt;"",IF(AW112&gt;0,1,0),0)</f>
        <v>0</v>
      </c>
      <c r="DM112">
        <f t="shared" ref="DM112:DM120" si="182">IF($C112&lt;&gt;"",IF(AX112&gt;0,1,0),0)</f>
        <v>0</v>
      </c>
      <c r="DN112">
        <f t="shared" ref="DN112:DN120" si="183">IF($C112&lt;&gt;"",IF(AY112&gt;0,1,0),0)</f>
        <v>0</v>
      </c>
      <c r="DO112">
        <f t="shared" ref="DO112:DO120" si="184">IF($C112&lt;&gt;"",IF(AZ112&gt;0,1,0),0)</f>
        <v>0</v>
      </c>
      <c r="DP112">
        <f t="shared" ref="DP112:DP120" si="185">IF($C112&lt;&gt;"",IF(BA112&gt;0,1,0),0)</f>
        <v>0</v>
      </c>
      <c r="DQ112">
        <f t="shared" ref="DQ112:DQ120" si="186">IF($C112&lt;&gt;"",IF(BB112&gt;0,1,0),0)</f>
        <v>0</v>
      </c>
      <c r="DR112">
        <f t="shared" ref="DR112:DR120" si="187">IF($C112&lt;&gt;"",IF(BC112&gt;0,1,0),0)</f>
        <v>0</v>
      </c>
      <c r="DS112">
        <f t="shared" ref="DS112:DS120" si="188">IF($C112&lt;&gt;"",IF(BD112&gt;0,1,0),0)</f>
        <v>0</v>
      </c>
      <c r="DT112">
        <f t="shared" ref="DT112:DT120" si="189">IF($C112&lt;&gt;"",IF(BE112&gt;0,1,0),0)</f>
        <v>0</v>
      </c>
      <c r="DU112">
        <f t="shared" ref="DU112:DU120" si="190">IF($C112&lt;&gt;"",IF(BF112&gt;0,1,0),0)</f>
        <v>0</v>
      </c>
      <c r="DV112">
        <f t="shared" ref="DV112:DV120" si="191">IF($C112&lt;&gt;"",IF(BG112&gt;0,1,0),0)</f>
        <v>0</v>
      </c>
      <c r="DW112">
        <f t="shared" ref="DW112:DW120" si="192">IF($C112&lt;&gt;"",IF(BH112&gt;0,1,0),0)</f>
        <v>0</v>
      </c>
      <c r="DX112">
        <f t="shared" ref="DX112:DX120" si="193">IF($C112&lt;&gt;"",IF(BI112&gt;0,1,0),0)</f>
        <v>0</v>
      </c>
      <c r="DY112">
        <f t="shared" ref="DY112:DY120" si="194">IF($C112&lt;&gt;"",IF(BJ112&gt;0,1,0),0)</f>
        <v>0</v>
      </c>
      <c r="DZ112">
        <f t="shared" ref="DZ112:DZ120" si="195">IF($C112&lt;&gt;"",IF(BK112&gt;0,1,0),0)</f>
        <v>0</v>
      </c>
      <c r="EA112">
        <f>IF($C112&lt;&gt;"",IF(#REF!&gt;0,1,0),0)</f>
        <v>0</v>
      </c>
      <c r="EB112">
        <f>IF($C112&lt;&gt;"",IF(#REF!&gt;0,1,0),0)</f>
        <v>0</v>
      </c>
      <c r="EC112">
        <f>IF($C112&lt;&gt;"",IF(#REF!&gt;0,1,0),0)</f>
        <v>0</v>
      </c>
      <c r="ED112">
        <f>IF($C112&lt;&gt;"",IF(#REF!&gt;0,1,0),0)</f>
        <v>0</v>
      </c>
      <c r="EE112">
        <f>IF($C112&lt;&gt;"",IF(#REF!&gt;0,1,0),0)</f>
        <v>0</v>
      </c>
      <c r="EF112">
        <f>IF($C112&lt;&gt;"",IF(#REF!&gt;0,1,0),0)</f>
        <v>0</v>
      </c>
    </row>
    <row r="113" spans="1:136" ht="15.5">
      <c r="A113" s="90"/>
      <c r="B113" s="19" t="s">
        <v>184</v>
      </c>
      <c r="C113" s="95"/>
      <c r="D113" s="18">
        <v>0</v>
      </c>
      <c r="E113" s="18">
        <v>0</v>
      </c>
      <c r="F113" s="18">
        <v>0</v>
      </c>
      <c r="G113" s="18">
        <v>0</v>
      </c>
      <c r="H113" s="18">
        <v>0</v>
      </c>
      <c r="I113" s="18">
        <v>0</v>
      </c>
      <c r="J113" s="18">
        <v>0</v>
      </c>
      <c r="K113" s="18">
        <v>0</v>
      </c>
      <c r="L113" s="18">
        <v>0</v>
      </c>
      <c r="M113" s="18">
        <v>0</v>
      </c>
      <c r="N113" s="18">
        <v>0</v>
      </c>
      <c r="O113" s="18">
        <v>0</v>
      </c>
      <c r="P113" s="18">
        <v>0</v>
      </c>
      <c r="Q113" s="18">
        <v>0</v>
      </c>
      <c r="R113" s="18">
        <v>0</v>
      </c>
      <c r="S113" s="18">
        <v>0</v>
      </c>
      <c r="T113" s="18">
        <v>0</v>
      </c>
      <c r="U113" s="18">
        <v>0</v>
      </c>
      <c r="V113" s="18">
        <v>0</v>
      </c>
      <c r="W113" s="18">
        <v>0</v>
      </c>
      <c r="X113" s="18">
        <v>0</v>
      </c>
      <c r="Y113" s="18">
        <v>0</v>
      </c>
      <c r="Z113" s="18">
        <v>0</v>
      </c>
      <c r="AA113" s="18">
        <v>0</v>
      </c>
      <c r="AB113" s="18">
        <v>0</v>
      </c>
      <c r="AC113" s="18">
        <v>0</v>
      </c>
      <c r="AD113" s="18">
        <v>0</v>
      </c>
      <c r="AE113" s="18">
        <v>0</v>
      </c>
      <c r="AF113" s="18">
        <v>0</v>
      </c>
      <c r="AG113" s="18">
        <v>0</v>
      </c>
      <c r="AH113" s="18">
        <v>0</v>
      </c>
      <c r="AI113" s="18">
        <v>0</v>
      </c>
      <c r="AJ113" s="18">
        <v>0</v>
      </c>
      <c r="AK113" s="18">
        <v>0</v>
      </c>
      <c r="AL113" s="18">
        <v>0</v>
      </c>
      <c r="AM113" s="18">
        <v>0</v>
      </c>
      <c r="AN113" s="18">
        <v>0</v>
      </c>
      <c r="AO113" s="18">
        <v>0</v>
      </c>
      <c r="AP113" s="18">
        <v>0</v>
      </c>
      <c r="AQ113" s="18">
        <v>0</v>
      </c>
      <c r="AR113" s="18">
        <v>0</v>
      </c>
      <c r="AS113" s="18">
        <v>0</v>
      </c>
      <c r="AT113" s="18">
        <v>774</v>
      </c>
      <c r="AU113" s="18">
        <v>797</v>
      </c>
      <c r="AV113" s="18">
        <v>0</v>
      </c>
      <c r="AW113" s="18">
        <v>0</v>
      </c>
      <c r="AX113" s="18">
        <v>0</v>
      </c>
      <c r="AY113" s="18">
        <v>0</v>
      </c>
      <c r="AZ113" s="18">
        <v>0</v>
      </c>
      <c r="BA113" s="18">
        <v>0</v>
      </c>
      <c r="BB113" s="18">
        <v>0</v>
      </c>
      <c r="BC113" s="18">
        <v>0</v>
      </c>
      <c r="BD113" s="18">
        <v>0</v>
      </c>
      <c r="BE113" s="18">
        <v>0</v>
      </c>
      <c r="BF113" s="18">
        <v>0</v>
      </c>
      <c r="BG113" s="18">
        <v>0</v>
      </c>
      <c r="BH113" s="18">
        <v>0</v>
      </c>
      <c r="BI113" s="113">
        <f>BH113</f>
        <v>0</v>
      </c>
      <c r="BJ113" s="113">
        <v>0</v>
      </c>
      <c r="BK113" s="113">
        <v>0</v>
      </c>
      <c r="BL113" s="113">
        <v>0</v>
      </c>
      <c r="BM113" s="113">
        <v>0</v>
      </c>
      <c r="BN113" s="113">
        <v>0</v>
      </c>
      <c r="BO113" s="113">
        <v>0</v>
      </c>
      <c r="BP113" s="113">
        <v>0</v>
      </c>
      <c r="BQ113" s="113">
        <v>0</v>
      </c>
      <c r="BR113" s="101"/>
      <c r="BS113">
        <f t="shared" si="136"/>
        <v>0</v>
      </c>
      <c r="BT113">
        <f t="shared" si="137"/>
        <v>0</v>
      </c>
      <c r="BU113">
        <f t="shared" si="138"/>
        <v>0</v>
      </c>
      <c r="BV113">
        <f t="shared" si="139"/>
        <v>0</v>
      </c>
      <c r="BW113">
        <f t="shared" si="140"/>
        <v>0</v>
      </c>
      <c r="BX113">
        <f t="shared" si="141"/>
        <v>0</v>
      </c>
      <c r="BY113">
        <f t="shared" si="142"/>
        <v>0</v>
      </c>
      <c r="BZ113">
        <f t="shared" si="143"/>
        <v>0</v>
      </c>
      <c r="CA113">
        <f t="shared" si="144"/>
        <v>0</v>
      </c>
      <c r="CB113">
        <f t="shared" si="145"/>
        <v>0</v>
      </c>
      <c r="CC113">
        <f t="shared" si="146"/>
        <v>0</v>
      </c>
      <c r="CD113">
        <f t="shared" si="147"/>
        <v>0</v>
      </c>
      <c r="CE113">
        <f t="shared" si="148"/>
        <v>0</v>
      </c>
      <c r="CF113">
        <f t="shared" si="149"/>
        <v>0</v>
      </c>
      <c r="CG113">
        <f t="shared" si="150"/>
        <v>0</v>
      </c>
      <c r="CH113">
        <f t="shared" si="151"/>
        <v>0</v>
      </c>
      <c r="CI113">
        <f t="shared" si="152"/>
        <v>0</v>
      </c>
      <c r="CJ113">
        <f t="shared" si="153"/>
        <v>0</v>
      </c>
      <c r="CK113">
        <f t="shared" si="154"/>
        <v>0</v>
      </c>
      <c r="CL113">
        <f t="shared" si="155"/>
        <v>0</v>
      </c>
      <c r="CM113">
        <f t="shared" si="156"/>
        <v>0</v>
      </c>
      <c r="CN113">
        <f t="shared" si="157"/>
        <v>0</v>
      </c>
      <c r="CO113">
        <f t="shared" si="158"/>
        <v>0</v>
      </c>
      <c r="CP113">
        <f t="shared" si="159"/>
        <v>0</v>
      </c>
      <c r="CQ113">
        <f t="shared" si="160"/>
        <v>0</v>
      </c>
      <c r="CR113">
        <f t="shared" si="161"/>
        <v>0</v>
      </c>
      <c r="CS113">
        <f t="shared" si="162"/>
        <v>0</v>
      </c>
      <c r="CT113">
        <f t="shared" si="163"/>
        <v>0</v>
      </c>
      <c r="CU113">
        <f t="shared" si="164"/>
        <v>0</v>
      </c>
      <c r="CV113">
        <f t="shared" si="165"/>
        <v>0</v>
      </c>
      <c r="CW113">
        <f t="shared" si="166"/>
        <v>0</v>
      </c>
      <c r="CX113">
        <f t="shared" si="167"/>
        <v>0</v>
      </c>
      <c r="CY113">
        <f t="shared" si="168"/>
        <v>0</v>
      </c>
      <c r="CZ113">
        <f t="shared" si="169"/>
        <v>0</v>
      </c>
      <c r="DA113">
        <f t="shared" si="170"/>
        <v>0</v>
      </c>
      <c r="DB113">
        <f t="shared" si="171"/>
        <v>0</v>
      </c>
      <c r="DC113">
        <f t="shared" si="172"/>
        <v>0</v>
      </c>
      <c r="DD113">
        <f t="shared" si="173"/>
        <v>0</v>
      </c>
      <c r="DE113">
        <f t="shared" si="174"/>
        <v>0</v>
      </c>
      <c r="DF113">
        <f t="shared" si="175"/>
        <v>0</v>
      </c>
      <c r="DG113">
        <f t="shared" si="176"/>
        <v>0</v>
      </c>
      <c r="DH113">
        <f t="shared" si="177"/>
        <v>0</v>
      </c>
      <c r="DI113">
        <f t="shared" si="178"/>
        <v>0</v>
      </c>
      <c r="DJ113">
        <f t="shared" si="179"/>
        <v>0</v>
      </c>
      <c r="DK113">
        <f t="shared" si="180"/>
        <v>0</v>
      </c>
      <c r="DL113">
        <f t="shared" si="181"/>
        <v>0</v>
      </c>
      <c r="DM113">
        <f t="shared" si="182"/>
        <v>0</v>
      </c>
      <c r="DN113">
        <f t="shared" si="183"/>
        <v>0</v>
      </c>
      <c r="DO113">
        <f t="shared" si="184"/>
        <v>0</v>
      </c>
      <c r="DP113">
        <f t="shared" si="185"/>
        <v>0</v>
      </c>
      <c r="DQ113">
        <f t="shared" si="186"/>
        <v>0</v>
      </c>
      <c r="DR113">
        <f t="shared" si="187"/>
        <v>0</v>
      </c>
      <c r="DS113">
        <f t="shared" si="188"/>
        <v>0</v>
      </c>
      <c r="DT113">
        <f t="shared" si="189"/>
        <v>0</v>
      </c>
      <c r="DU113">
        <f t="shared" si="190"/>
        <v>0</v>
      </c>
      <c r="DV113">
        <f t="shared" si="191"/>
        <v>0</v>
      </c>
      <c r="DW113">
        <f t="shared" si="192"/>
        <v>0</v>
      </c>
      <c r="DX113">
        <f t="shared" si="193"/>
        <v>0</v>
      </c>
      <c r="DY113">
        <f t="shared" si="194"/>
        <v>0</v>
      </c>
      <c r="DZ113">
        <f t="shared" si="195"/>
        <v>0</v>
      </c>
      <c r="EA113">
        <f t="shared" ref="EA113:EF116" si="196">IF($C113&lt;&gt;"",IF(BL112&gt;0,1,0),0)</f>
        <v>0</v>
      </c>
      <c r="EB113">
        <f t="shared" si="196"/>
        <v>0</v>
      </c>
      <c r="EC113">
        <f t="shared" si="196"/>
        <v>0</v>
      </c>
      <c r="ED113">
        <f t="shared" si="196"/>
        <v>0</v>
      </c>
      <c r="EE113">
        <f t="shared" si="196"/>
        <v>0</v>
      </c>
      <c r="EF113">
        <f t="shared" si="196"/>
        <v>0</v>
      </c>
    </row>
    <row r="114" spans="1:136" ht="15.5">
      <c r="A114" s="90"/>
      <c r="B114" s="19" t="s">
        <v>2</v>
      </c>
      <c r="C114" s="95"/>
      <c r="D114" s="18">
        <v>0</v>
      </c>
      <c r="E114" s="18">
        <v>0</v>
      </c>
      <c r="F114" s="18">
        <v>270</v>
      </c>
      <c r="G114" s="18">
        <v>0</v>
      </c>
      <c r="H114" s="18">
        <v>0</v>
      </c>
      <c r="I114" s="18">
        <v>91</v>
      </c>
      <c r="J114" s="18">
        <v>0</v>
      </c>
      <c r="K114" s="18">
        <v>0</v>
      </c>
      <c r="L114" s="18">
        <v>0</v>
      </c>
      <c r="M114" s="18">
        <v>0</v>
      </c>
      <c r="N114" s="18">
        <v>0</v>
      </c>
      <c r="O114" s="18">
        <v>0</v>
      </c>
      <c r="P114" s="18">
        <v>0</v>
      </c>
      <c r="Q114" s="18">
        <v>0</v>
      </c>
      <c r="R114" s="18">
        <v>0</v>
      </c>
      <c r="S114" s="18">
        <v>0</v>
      </c>
      <c r="T114" s="18">
        <v>0</v>
      </c>
      <c r="U114" s="18">
        <v>0</v>
      </c>
      <c r="V114" s="18">
        <v>0</v>
      </c>
      <c r="W114" s="18">
        <v>0</v>
      </c>
      <c r="X114" s="18">
        <v>0</v>
      </c>
      <c r="Y114" s="43">
        <v>0</v>
      </c>
      <c r="Z114" s="18">
        <v>0</v>
      </c>
      <c r="AA114" s="18">
        <v>0</v>
      </c>
      <c r="AB114" s="18">
        <v>1066</v>
      </c>
      <c r="AC114" s="18">
        <v>1726</v>
      </c>
      <c r="AD114" s="18">
        <v>540</v>
      </c>
      <c r="AE114" s="18">
        <v>2156</v>
      </c>
      <c r="AF114" s="43">
        <v>1000</v>
      </c>
      <c r="AG114" s="18">
        <v>2402</v>
      </c>
      <c r="AH114" s="18">
        <v>179</v>
      </c>
      <c r="AI114" s="18">
        <v>1732</v>
      </c>
      <c r="AJ114" s="18">
        <v>2700</v>
      </c>
      <c r="AK114" s="18">
        <v>0</v>
      </c>
      <c r="AL114" s="18">
        <v>0</v>
      </c>
      <c r="AM114" s="18">
        <v>0</v>
      </c>
      <c r="AN114" s="18">
        <v>0</v>
      </c>
      <c r="AO114" s="18">
        <v>0</v>
      </c>
      <c r="AP114" s="18">
        <v>0</v>
      </c>
      <c r="AQ114" s="18">
        <v>0</v>
      </c>
      <c r="AR114" s="18">
        <v>0</v>
      </c>
      <c r="AS114" s="107">
        <v>0</v>
      </c>
      <c r="AT114" s="48">
        <v>1796</v>
      </c>
      <c r="AU114" s="48">
        <v>1811</v>
      </c>
      <c r="AV114" s="48">
        <v>1635</v>
      </c>
      <c r="AW114" s="48">
        <v>1175</v>
      </c>
      <c r="AX114" s="18">
        <v>2807</v>
      </c>
      <c r="AY114" s="18">
        <v>3073</v>
      </c>
      <c r="AZ114" s="18">
        <v>3133</v>
      </c>
      <c r="BA114" s="18">
        <v>3156</v>
      </c>
      <c r="BB114" s="71">
        <v>3165</v>
      </c>
      <c r="BC114" s="18">
        <v>3150</v>
      </c>
      <c r="BD114" s="18">
        <v>3113</v>
      </c>
      <c r="BE114" s="25">
        <v>3074</v>
      </c>
      <c r="BF114" s="18">
        <v>9690</v>
      </c>
      <c r="BG114" s="18">
        <v>15</v>
      </c>
      <c r="BH114" s="18">
        <v>15</v>
      </c>
      <c r="BI114" s="113">
        <f>BH114</f>
        <v>15</v>
      </c>
      <c r="BJ114" s="113">
        <v>15</v>
      </c>
      <c r="BK114" s="113">
        <v>15</v>
      </c>
      <c r="BL114" s="113">
        <v>0</v>
      </c>
      <c r="BM114" s="113">
        <v>0</v>
      </c>
      <c r="BN114" s="113">
        <v>1028</v>
      </c>
      <c r="BO114" s="113">
        <v>0</v>
      </c>
      <c r="BP114" s="113">
        <v>0</v>
      </c>
      <c r="BQ114" s="113">
        <v>0</v>
      </c>
      <c r="BR114" s="101"/>
      <c r="BS114">
        <f t="shared" si="136"/>
        <v>0</v>
      </c>
      <c r="BT114">
        <f t="shared" si="137"/>
        <v>0</v>
      </c>
      <c r="BU114">
        <f t="shared" si="138"/>
        <v>0</v>
      </c>
      <c r="BV114">
        <f t="shared" si="139"/>
        <v>0</v>
      </c>
      <c r="BW114">
        <f t="shared" si="140"/>
        <v>0</v>
      </c>
      <c r="BX114">
        <f t="shared" si="141"/>
        <v>0</v>
      </c>
      <c r="BY114">
        <f t="shared" si="142"/>
        <v>0</v>
      </c>
      <c r="BZ114">
        <f t="shared" si="143"/>
        <v>0</v>
      </c>
      <c r="CA114">
        <f t="shared" si="144"/>
        <v>0</v>
      </c>
      <c r="CB114">
        <f t="shared" si="145"/>
        <v>0</v>
      </c>
      <c r="CC114">
        <f t="shared" si="146"/>
        <v>0</v>
      </c>
      <c r="CD114">
        <f t="shared" si="147"/>
        <v>0</v>
      </c>
      <c r="CE114">
        <f t="shared" si="148"/>
        <v>0</v>
      </c>
      <c r="CF114">
        <f t="shared" si="149"/>
        <v>0</v>
      </c>
      <c r="CG114">
        <f t="shared" si="150"/>
        <v>0</v>
      </c>
      <c r="CH114">
        <f t="shared" si="151"/>
        <v>0</v>
      </c>
      <c r="CI114">
        <f t="shared" si="152"/>
        <v>0</v>
      </c>
      <c r="CJ114">
        <f t="shared" si="153"/>
        <v>0</v>
      </c>
      <c r="CK114">
        <f t="shared" si="154"/>
        <v>0</v>
      </c>
      <c r="CL114">
        <f t="shared" si="155"/>
        <v>0</v>
      </c>
      <c r="CM114">
        <f t="shared" si="156"/>
        <v>0</v>
      </c>
      <c r="CN114">
        <f t="shared" si="157"/>
        <v>0</v>
      </c>
      <c r="CO114">
        <f t="shared" si="158"/>
        <v>0</v>
      </c>
      <c r="CP114">
        <f t="shared" si="159"/>
        <v>0</v>
      </c>
      <c r="CQ114">
        <f t="shared" si="160"/>
        <v>0</v>
      </c>
      <c r="CR114">
        <f t="shared" si="161"/>
        <v>0</v>
      </c>
      <c r="CS114">
        <f t="shared" si="162"/>
        <v>0</v>
      </c>
      <c r="CT114">
        <f t="shared" si="163"/>
        <v>0</v>
      </c>
      <c r="CU114">
        <f t="shared" si="164"/>
        <v>0</v>
      </c>
      <c r="CV114">
        <f t="shared" si="165"/>
        <v>0</v>
      </c>
      <c r="CW114">
        <f t="shared" si="166"/>
        <v>0</v>
      </c>
      <c r="CX114">
        <f t="shared" si="167"/>
        <v>0</v>
      </c>
      <c r="CY114">
        <f t="shared" si="168"/>
        <v>0</v>
      </c>
      <c r="CZ114">
        <f t="shared" si="169"/>
        <v>0</v>
      </c>
      <c r="DA114">
        <f t="shared" si="170"/>
        <v>0</v>
      </c>
      <c r="DB114">
        <f t="shared" si="171"/>
        <v>0</v>
      </c>
      <c r="DC114">
        <f t="shared" si="172"/>
        <v>0</v>
      </c>
      <c r="DD114">
        <f t="shared" si="173"/>
        <v>0</v>
      </c>
      <c r="DE114">
        <f t="shared" si="174"/>
        <v>0</v>
      </c>
      <c r="DF114">
        <f t="shared" si="175"/>
        <v>0</v>
      </c>
      <c r="DG114">
        <f t="shared" si="176"/>
        <v>0</v>
      </c>
      <c r="DH114">
        <f t="shared" si="177"/>
        <v>0</v>
      </c>
      <c r="DI114">
        <f t="shared" si="178"/>
        <v>0</v>
      </c>
      <c r="DJ114">
        <f t="shared" si="179"/>
        <v>0</v>
      </c>
      <c r="DK114">
        <f t="shared" si="180"/>
        <v>0</v>
      </c>
      <c r="DL114">
        <f t="shared" si="181"/>
        <v>0</v>
      </c>
      <c r="DM114">
        <f t="shared" si="182"/>
        <v>0</v>
      </c>
      <c r="DN114">
        <f t="shared" si="183"/>
        <v>0</v>
      </c>
      <c r="DO114">
        <f t="shared" si="184"/>
        <v>0</v>
      </c>
      <c r="DP114">
        <f t="shared" si="185"/>
        <v>0</v>
      </c>
      <c r="DQ114">
        <f t="shared" si="186"/>
        <v>0</v>
      </c>
      <c r="DR114">
        <f t="shared" si="187"/>
        <v>0</v>
      </c>
      <c r="DS114">
        <f t="shared" si="188"/>
        <v>0</v>
      </c>
      <c r="DT114">
        <f t="shared" si="189"/>
        <v>0</v>
      </c>
      <c r="DU114">
        <f t="shared" si="190"/>
        <v>0</v>
      </c>
      <c r="DV114">
        <f t="shared" si="191"/>
        <v>0</v>
      </c>
      <c r="DW114">
        <f t="shared" si="192"/>
        <v>0</v>
      </c>
      <c r="DX114">
        <f t="shared" si="193"/>
        <v>0</v>
      </c>
      <c r="DY114">
        <f t="shared" si="194"/>
        <v>0</v>
      </c>
      <c r="DZ114">
        <f t="shared" si="195"/>
        <v>0</v>
      </c>
      <c r="EA114">
        <f t="shared" si="196"/>
        <v>0</v>
      </c>
      <c r="EB114">
        <f t="shared" si="196"/>
        <v>0</v>
      </c>
      <c r="EC114">
        <f t="shared" si="196"/>
        <v>0</v>
      </c>
      <c r="ED114">
        <f t="shared" si="196"/>
        <v>0</v>
      </c>
      <c r="EE114">
        <f t="shared" si="196"/>
        <v>0</v>
      </c>
      <c r="EF114">
        <f t="shared" si="196"/>
        <v>0</v>
      </c>
    </row>
    <row r="115" spans="1:136" ht="15.5">
      <c r="A115" s="90"/>
      <c r="B115" s="19" t="s">
        <v>3</v>
      </c>
      <c r="C115" s="96"/>
      <c r="D115" s="18">
        <v>0</v>
      </c>
      <c r="E115" s="18">
        <v>284</v>
      </c>
      <c r="F115" s="18">
        <v>92</v>
      </c>
      <c r="G115" s="18">
        <v>15</v>
      </c>
      <c r="H115" s="18">
        <v>0</v>
      </c>
      <c r="I115" s="18">
        <f>183+28</f>
        <v>211</v>
      </c>
      <c r="J115" s="18">
        <v>0</v>
      </c>
      <c r="K115" s="18">
        <v>0</v>
      </c>
      <c r="L115" s="18">
        <v>0</v>
      </c>
      <c r="M115" s="18">
        <v>0</v>
      </c>
      <c r="N115" s="18">
        <v>0</v>
      </c>
      <c r="O115" s="18">
        <v>0</v>
      </c>
      <c r="P115" s="18">
        <v>0</v>
      </c>
      <c r="Q115" s="18">
        <v>0</v>
      </c>
      <c r="R115" s="18">
        <v>0</v>
      </c>
      <c r="S115" s="18">
        <v>0</v>
      </c>
      <c r="T115" s="18">
        <v>0</v>
      </c>
      <c r="U115" s="18">
        <v>0</v>
      </c>
      <c r="V115" s="18">
        <v>0</v>
      </c>
      <c r="W115" s="18">
        <v>0</v>
      </c>
      <c r="X115" s="18">
        <v>0</v>
      </c>
      <c r="Y115" s="43">
        <v>0</v>
      </c>
      <c r="Z115" s="18">
        <v>0</v>
      </c>
      <c r="AA115" s="18">
        <v>157.11097669999998</v>
      </c>
      <c r="AB115" s="18">
        <v>326.86314529999993</v>
      </c>
      <c r="AC115" s="18">
        <v>23.648</v>
      </c>
      <c r="AD115" s="18">
        <v>239.48846139999998</v>
      </c>
      <c r="AE115" s="18">
        <v>65.400008900000003</v>
      </c>
      <c r="AF115" s="43">
        <v>453.23830349999997</v>
      </c>
      <c r="AG115" s="40" t="s">
        <v>16</v>
      </c>
      <c r="AH115" s="18">
        <v>1119.0147979999999</v>
      </c>
      <c r="AI115" s="40" t="s">
        <v>16</v>
      </c>
      <c r="AJ115" s="40" t="s">
        <v>16</v>
      </c>
      <c r="AK115" s="18">
        <v>19077.793532800002</v>
      </c>
      <c r="AL115" s="18">
        <v>829.00625240000011</v>
      </c>
      <c r="AM115" s="18">
        <v>179.22803469999999</v>
      </c>
      <c r="AN115" s="18">
        <v>2.5000000000000001E-2</v>
      </c>
      <c r="AO115" s="18">
        <v>7.6953000000000004E-3</v>
      </c>
      <c r="AP115" s="18">
        <v>4.1841000000000005E-3</v>
      </c>
      <c r="AQ115" s="18">
        <v>0</v>
      </c>
      <c r="AR115" s="18">
        <v>816.09781919999989</v>
      </c>
      <c r="AS115" s="107">
        <v>0</v>
      </c>
      <c r="AT115" s="40" t="s">
        <v>16</v>
      </c>
      <c r="AU115" s="40" t="s">
        <v>16</v>
      </c>
      <c r="AV115" s="40" t="s">
        <v>16</v>
      </c>
      <c r="AW115" s="40" t="s">
        <v>16</v>
      </c>
      <c r="AX115" s="18">
        <f>(4272714237.6/1000000)-AX114</f>
        <v>1465.7142376000002</v>
      </c>
      <c r="AY115" s="18">
        <f>(5221646752.9/1000000)-AY114</f>
        <v>2148.6467528999992</v>
      </c>
      <c r="AZ115" s="29">
        <f>(4961638714.3/1000000)-AZ114</f>
        <v>1828.6387143000002</v>
      </c>
      <c r="BA115" s="29">
        <f>(5058110297.1/1000000)-BA114</f>
        <v>1902.1102971</v>
      </c>
      <c r="BB115" s="40" t="s">
        <v>16</v>
      </c>
      <c r="BC115" s="18">
        <f>(5248574032.3/1000000)-BC114</f>
        <v>2098.5740323</v>
      </c>
      <c r="BD115" s="18">
        <f>(5119789249.4/1000000)-BD114</f>
        <v>2006.7892493999998</v>
      </c>
      <c r="BE115" s="18">
        <f>(4987075811.9/1000000)-BE114</f>
        <v>1913.0758118999993</v>
      </c>
      <c r="BF115" s="40" t="s">
        <v>16</v>
      </c>
      <c r="BG115" s="113">
        <v>188</v>
      </c>
      <c r="BH115" s="113">
        <v>188</v>
      </c>
      <c r="BI115" s="113">
        <v>188</v>
      </c>
      <c r="BJ115" s="113">
        <v>188</v>
      </c>
      <c r="BK115" s="113">
        <v>188</v>
      </c>
      <c r="BL115" s="113">
        <f>118.5638798+188</f>
        <v>306.5638798</v>
      </c>
      <c r="BM115" s="113">
        <v>75</v>
      </c>
      <c r="BN115" s="262" t="s">
        <v>249</v>
      </c>
      <c r="BO115" s="113">
        <f>1+24</f>
        <v>25</v>
      </c>
      <c r="BP115" s="113">
        <v>0</v>
      </c>
      <c r="BQ115" s="113">
        <v>0</v>
      </c>
      <c r="BR115" s="101"/>
      <c r="BS115">
        <f t="shared" si="136"/>
        <v>0</v>
      </c>
      <c r="BT115">
        <f t="shared" si="137"/>
        <v>0</v>
      </c>
      <c r="BU115">
        <f t="shared" si="138"/>
        <v>0</v>
      </c>
      <c r="BV115">
        <f t="shared" si="139"/>
        <v>0</v>
      </c>
      <c r="BW115">
        <f t="shared" si="140"/>
        <v>0</v>
      </c>
      <c r="BX115">
        <f t="shared" si="141"/>
        <v>0</v>
      </c>
      <c r="BY115">
        <f t="shared" si="142"/>
        <v>0</v>
      </c>
      <c r="BZ115">
        <f t="shared" si="143"/>
        <v>0</v>
      </c>
      <c r="CA115">
        <f t="shared" si="144"/>
        <v>0</v>
      </c>
      <c r="CB115">
        <f t="shared" si="145"/>
        <v>0</v>
      </c>
      <c r="CC115">
        <f t="shared" si="146"/>
        <v>0</v>
      </c>
      <c r="CD115">
        <f t="shared" si="147"/>
        <v>0</v>
      </c>
      <c r="CE115">
        <f t="shared" si="148"/>
        <v>0</v>
      </c>
      <c r="CF115">
        <f t="shared" si="149"/>
        <v>0</v>
      </c>
      <c r="CG115">
        <f t="shared" si="150"/>
        <v>0</v>
      </c>
      <c r="CH115">
        <f t="shared" si="151"/>
        <v>0</v>
      </c>
      <c r="CI115">
        <f t="shared" si="152"/>
        <v>0</v>
      </c>
      <c r="CJ115">
        <f t="shared" si="153"/>
        <v>0</v>
      </c>
      <c r="CK115">
        <f t="shared" si="154"/>
        <v>0</v>
      </c>
      <c r="CL115">
        <f t="shared" si="155"/>
        <v>0</v>
      </c>
      <c r="CM115">
        <f t="shared" si="156"/>
        <v>0</v>
      </c>
      <c r="CN115">
        <f t="shared" si="157"/>
        <v>0</v>
      </c>
      <c r="CO115">
        <f t="shared" si="158"/>
        <v>0</v>
      </c>
      <c r="CP115">
        <f t="shared" si="159"/>
        <v>0</v>
      </c>
      <c r="CQ115">
        <f t="shared" si="160"/>
        <v>0</v>
      </c>
      <c r="CR115">
        <f t="shared" si="161"/>
        <v>0</v>
      </c>
      <c r="CS115">
        <f t="shared" si="162"/>
        <v>0</v>
      </c>
      <c r="CT115">
        <f t="shared" si="163"/>
        <v>0</v>
      </c>
      <c r="CU115">
        <f t="shared" si="164"/>
        <v>0</v>
      </c>
      <c r="CV115">
        <f t="shared" si="165"/>
        <v>0</v>
      </c>
      <c r="CW115">
        <f t="shared" si="166"/>
        <v>0</v>
      </c>
      <c r="CX115">
        <f t="shared" si="167"/>
        <v>0</v>
      </c>
      <c r="CY115">
        <f t="shared" si="168"/>
        <v>0</v>
      </c>
      <c r="CZ115">
        <f t="shared" si="169"/>
        <v>0</v>
      </c>
      <c r="DA115">
        <f t="shared" si="170"/>
        <v>0</v>
      </c>
      <c r="DB115">
        <f t="shared" si="171"/>
        <v>0</v>
      </c>
      <c r="DC115">
        <f t="shared" si="172"/>
        <v>0</v>
      </c>
      <c r="DD115">
        <f t="shared" si="173"/>
        <v>0</v>
      </c>
      <c r="DE115">
        <f t="shared" si="174"/>
        <v>0</v>
      </c>
      <c r="DF115">
        <f t="shared" si="175"/>
        <v>0</v>
      </c>
      <c r="DG115">
        <f t="shared" si="176"/>
        <v>0</v>
      </c>
      <c r="DH115">
        <f t="shared" si="177"/>
        <v>0</v>
      </c>
      <c r="DI115">
        <f t="shared" si="178"/>
        <v>0</v>
      </c>
      <c r="DJ115">
        <f t="shared" si="179"/>
        <v>0</v>
      </c>
      <c r="DK115">
        <f t="shared" si="180"/>
        <v>0</v>
      </c>
      <c r="DL115">
        <f t="shared" si="181"/>
        <v>0</v>
      </c>
      <c r="DM115">
        <f t="shared" si="182"/>
        <v>0</v>
      </c>
      <c r="DN115">
        <f t="shared" si="183"/>
        <v>0</v>
      </c>
      <c r="DO115">
        <f t="shared" si="184"/>
        <v>0</v>
      </c>
      <c r="DP115">
        <f t="shared" si="185"/>
        <v>0</v>
      </c>
      <c r="DQ115">
        <f t="shared" si="186"/>
        <v>0</v>
      </c>
      <c r="DR115">
        <f t="shared" si="187"/>
        <v>0</v>
      </c>
      <c r="DS115">
        <f t="shared" si="188"/>
        <v>0</v>
      </c>
      <c r="DT115">
        <f t="shared" si="189"/>
        <v>0</v>
      </c>
      <c r="DU115">
        <f t="shared" si="190"/>
        <v>0</v>
      </c>
      <c r="DV115">
        <f t="shared" si="191"/>
        <v>0</v>
      </c>
      <c r="DW115">
        <f t="shared" si="192"/>
        <v>0</v>
      </c>
      <c r="DX115">
        <f t="shared" si="193"/>
        <v>0</v>
      </c>
      <c r="DY115">
        <f t="shared" si="194"/>
        <v>0</v>
      </c>
      <c r="DZ115">
        <f t="shared" si="195"/>
        <v>0</v>
      </c>
      <c r="EA115">
        <f t="shared" si="196"/>
        <v>0</v>
      </c>
      <c r="EB115">
        <f t="shared" si="196"/>
        <v>0</v>
      </c>
      <c r="EC115">
        <f t="shared" si="196"/>
        <v>0</v>
      </c>
      <c r="ED115">
        <f t="shared" si="196"/>
        <v>0</v>
      </c>
      <c r="EE115">
        <f t="shared" si="196"/>
        <v>0</v>
      </c>
      <c r="EF115">
        <f t="shared" si="196"/>
        <v>0</v>
      </c>
    </row>
    <row r="116" spans="1:136" ht="15.5">
      <c r="A116" s="90"/>
      <c r="B116" s="53" t="s">
        <v>18</v>
      </c>
      <c r="C116" s="94"/>
      <c r="D116" s="18">
        <v>0</v>
      </c>
      <c r="E116" s="18">
        <v>150</v>
      </c>
      <c r="F116" s="18">
        <v>0</v>
      </c>
      <c r="G116" s="18">
        <v>0</v>
      </c>
      <c r="H116" s="18">
        <v>0</v>
      </c>
      <c r="I116" s="18">
        <v>0</v>
      </c>
      <c r="J116" s="18">
        <v>0</v>
      </c>
      <c r="K116" s="18">
        <v>0</v>
      </c>
      <c r="L116" s="18">
        <v>0</v>
      </c>
      <c r="M116" s="18">
        <v>0</v>
      </c>
      <c r="N116" s="18">
        <v>0</v>
      </c>
      <c r="O116" s="18">
        <v>0</v>
      </c>
      <c r="P116" s="18">
        <v>0</v>
      </c>
      <c r="Q116" s="18">
        <v>0</v>
      </c>
      <c r="R116" s="18">
        <v>0</v>
      </c>
      <c r="S116" s="18">
        <v>0</v>
      </c>
      <c r="T116" s="18">
        <v>970</v>
      </c>
      <c r="U116" s="18">
        <v>0</v>
      </c>
      <c r="V116" s="18">
        <v>0</v>
      </c>
      <c r="W116" s="18">
        <v>0</v>
      </c>
      <c r="X116" s="18">
        <v>0</v>
      </c>
      <c r="Y116" s="18">
        <v>0</v>
      </c>
      <c r="Z116" s="18">
        <v>3610</v>
      </c>
      <c r="AA116" s="18">
        <v>3350</v>
      </c>
      <c r="AB116" s="18">
        <v>2766.6666666666665</v>
      </c>
      <c r="AC116" s="18">
        <v>9900</v>
      </c>
      <c r="AD116" s="18">
        <v>2600</v>
      </c>
      <c r="AE116" s="18">
        <v>29515</v>
      </c>
      <c r="AF116" s="18">
        <v>23076</v>
      </c>
      <c r="AG116" s="18">
        <v>28342</v>
      </c>
      <c r="AH116" s="18">
        <v>30218</v>
      </c>
      <c r="AI116" s="18">
        <v>32094</v>
      </c>
      <c r="AJ116" s="18">
        <v>28476</v>
      </c>
      <c r="AK116" s="18">
        <v>28476</v>
      </c>
      <c r="AL116" s="18">
        <v>0</v>
      </c>
      <c r="AM116" s="18">
        <v>0</v>
      </c>
      <c r="AN116" s="18">
        <v>0</v>
      </c>
      <c r="AO116" s="18">
        <v>0</v>
      </c>
      <c r="AP116" s="18">
        <v>0</v>
      </c>
      <c r="AQ116" s="18">
        <v>0</v>
      </c>
      <c r="AR116" s="18">
        <v>0</v>
      </c>
      <c r="AS116" s="107">
        <v>0</v>
      </c>
      <c r="AT116" s="48">
        <v>2750</v>
      </c>
      <c r="AU116" s="48">
        <v>1286</v>
      </c>
      <c r="AV116" s="48">
        <v>1055</v>
      </c>
      <c r="AW116" s="48">
        <v>825</v>
      </c>
      <c r="AX116" s="48">
        <v>1404</v>
      </c>
      <c r="AY116" s="48">
        <v>1046</v>
      </c>
      <c r="AZ116" s="48">
        <v>1005</v>
      </c>
      <c r="BA116" s="48">
        <v>894</v>
      </c>
      <c r="BB116" s="48">
        <v>851</v>
      </c>
      <c r="BC116" s="18">
        <v>701</v>
      </c>
      <c r="BD116" s="18">
        <f>648+60</f>
        <v>708</v>
      </c>
      <c r="BE116" s="25">
        <f>667+60</f>
        <v>727</v>
      </c>
      <c r="BF116" s="18">
        <f>38+60</f>
        <v>98</v>
      </c>
      <c r="BG116" s="18">
        <f>34+60</f>
        <v>94</v>
      </c>
      <c r="BH116" s="18">
        <f>32+60</f>
        <v>92</v>
      </c>
      <c r="BI116" s="18">
        <v>96</v>
      </c>
      <c r="BJ116" s="113">
        <v>94</v>
      </c>
      <c r="BK116" s="113">
        <v>93</v>
      </c>
      <c r="BL116" s="113">
        <v>96</v>
      </c>
      <c r="BM116" s="113">
        <v>94</v>
      </c>
      <c r="BN116" s="113">
        <v>92</v>
      </c>
      <c r="BO116" s="113">
        <v>92</v>
      </c>
      <c r="BP116" s="113">
        <v>92</v>
      </c>
      <c r="BQ116" s="113">
        <v>92</v>
      </c>
      <c r="BR116" s="101"/>
      <c r="BS116">
        <f t="shared" si="136"/>
        <v>0</v>
      </c>
      <c r="BT116">
        <f t="shared" si="137"/>
        <v>0</v>
      </c>
      <c r="BU116">
        <f t="shared" si="138"/>
        <v>0</v>
      </c>
      <c r="BV116">
        <f t="shared" si="139"/>
        <v>0</v>
      </c>
      <c r="BW116">
        <f t="shared" si="140"/>
        <v>0</v>
      </c>
      <c r="BX116">
        <f t="shared" si="141"/>
        <v>0</v>
      </c>
      <c r="BY116">
        <f t="shared" si="142"/>
        <v>0</v>
      </c>
      <c r="BZ116">
        <f t="shared" si="143"/>
        <v>0</v>
      </c>
      <c r="CA116">
        <f t="shared" si="144"/>
        <v>0</v>
      </c>
      <c r="CB116">
        <f t="shared" si="145"/>
        <v>0</v>
      </c>
      <c r="CC116">
        <f t="shared" si="146"/>
        <v>0</v>
      </c>
      <c r="CD116">
        <f t="shared" si="147"/>
        <v>0</v>
      </c>
      <c r="CE116">
        <f t="shared" si="148"/>
        <v>0</v>
      </c>
      <c r="CF116">
        <f t="shared" si="149"/>
        <v>0</v>
      </c>
      <c r="CG116">
        <f t="shared" si="150"/>
        <v>0</v>
      </c>
      <c r="CH116">
        <f t="shared" si="151"/>
        <v>0</v>
      </c>
      <c r="CI116">
        <f t="shared" si="152"/>
        <v>0</v>
      </c>
      <c r="CJ116">
        <f t="shared" si="153"/>
        <v>0</v>
      </c>
      <c r="CK116">
        <f t="shared" si="154"/>
        <v>0</v>
      </c>
      <c r="CL116">
        <f t="shared" si="155"/>
        <v>0</v>
      </c>
      <c r="CM116">
        <f t="shared" si="156"/>
        <v>0</v>
      </c>
      <c r="CN116">
        <f t="shared" si="157"/>
        <v>0</v>
      </c>
      <c r="CO116">
        <f t="shared" si="158"/>
        <v>0</v>
      </c>
      <c r="CP116">
        <f t="shared" si="159"/>
        <v>0</v>
      </c>
      <c r="CQ116">
        <f t="shared" si="160"/>
        <v>0</v>
      </c>
      <c r="CR116">
        <f t="shared" si="161"/>
        <v>0</v>
      </c>
      <c r="CS116">
        <f t="shared" si="162"/>
        <v>0</v>
      </c>
      <c r="CT116">
        <f t="shared" si="163"/>
        <v>0</v>
      </c>
      <c r="CU116">
        <f t="shared" si="164"/>
        <v>0</v>
      </c>
      <c r="CV116">
        <f t="shared" si="165"/>
        <v>0</v>
      </c>
      <c r="CW116">
        <f t="shared" si="166"/>
        <v>0</v>
      </c>
      <c r="CX116">
        <f t="shared" si="167"/>
        <v>0</v>
      </c>
      <c r="CY116">
        <f t="shared" si="168"/>
        <v>0</v>
      </c>
      <c r="CZ116">
        <f t="shared" si="169"/>
        <v>0</v>
      </c>
      <c r="DA116">
        <f t="shared" si="170"/>
        <v>0</v>
      </c>
      <c r="DB116">
        <f t="shared" si="171"/>
        <v>0</v>
      </c>
      <c r="DC116">
        <f t="shared" si="172"/>
        <v>0</v>
      </c>
      <c r="DD116">
        <f t="shared" si="173"/>
        <v>0</v>
      </c>
      <c r="DE116">
        <f t="shared" si="174"/>
        <v>0</v>
      </c>
      <c r="DF116">
        <f t="shared" si="175"/>
        <v>0</v>
      </c>
      <c r="DG116">
        <f t="shared" si="176"/>
        <v>0</v>
      </c>
      <c r="DH116">
        <f t="shared" si="177"/>
        <v>0</v>
      </c>
      <c r="DI116">
        <f t="shared" si="178"/>
        <v>0</v>
      </c>
      <c r="DJ116">
        <f t="shared" si="179"/>
        <v>0</v>
      </c>
      <c r="DK116">
        <f t="shared" si="180"/>
        <v>0</v>
      </c>
      <c r="DL116">
        <f t="shared" si="181"/>
        <v>0</v>
      </c>
      <c r="DM116">
        <f t="shared" si="182"/>
        <v>0</v>
      </c>
      <c r="DN116">
        <f t="shared" si="183"/>
        <v>0</v>
      </c>
      <c r="DO116">
        <f t="shared" si="184"/>
        <v>0</v>
      </c>
      <c r="DP116">
        <f t="shared" si="185"/>
        <v>0</v>
      </c>
      <c r="DQ116">
        <f t="shared" si="186"/>
        <v>0</v>
      </c>
      <c r="DR116">
        <f t="shared" si="187"/>
        <v>0</v>
      </c>
      <c r="DS116">
        <f t="shared" si="188"/>
        <v>0</v>
      </c>
      <c r="DT116">
        <f t="shared" si="189"/>
        <v>0</v>
      </c>
      <c r="DU116">
        <f t="shared" si="190"/>
        <v>0</v>
      </c>
      <c r="DV116">
        <f t="shared" si="191"/>
        <v>0</v>
      </c>
      <c r="DW116">
        <f t="shared" si="192"/>
        <v>0</v>
      </c>
      <c r="DX116">
        <f t="shared" si="193"/>
        <v>0</v>
      </c>
      <c r="DY116">
        <f t="shared" si="194"/>
        <v>0</v>
      </c>
      <c r="DZ116">
        <f t="shared" si="195"/>
        <v>0</v>
      </c>
      <c r="EA116">
        <f t="shared" si="196"/>
        <v>0</v>
      </c>
      <c r="EB116">
        <f t="shared" si="196"/>
        <v>0</v>
      </c>
      <c r="EC116">
        <f t="shared" si="196"/>
        <v>0</v>
      </c>
      <c r="ED116">
        <f t="shared" si="196"/>
        <v>0</v>
      </c>
      <c r="EE116">
        <f t="shared" si="196"/>
        <v>0</v>
      </c>
      <c r="EF116">
        <f t="shared" si="196"/>
        <v>0</v>
      </c>
    </row>
    <row r="117" spans="1:136" ht="15.5">
      <c r="A117" s="90"/>
      <c r="B117" s="53" t="s">
        <v>25</v>
      </c>
      <c r="C117" s="96"/>
      <c r="D117" s="18">
        <v>0</v>
      </c>
      <c r="E117" s="18">
        <v>0</v>
      </c>
      <c r="F117" s="18">
        <v>0</v>
      </c>
      <c r="G117" s="18">
        <v>0</v>
      </c>
      <c r="H117" s="18">
        <v>0</v>
      </c>
      <c r="I117" s="18">
        <v>0</v>
      </c>
      <c r="J117" s="18">
        <v>0</v>
      </c>
      <c r="K117" s="18">
        <v>0</v>
      </c>
      <c r="L117" s="18">
        <v>0</v>
      </c>
      <c r="M117" s="18">
        <v>0</v>
      </c>
      <c r="N117" s="18">
        <v>0</v>
      </c>
      <c r="O117" s="18">
        <v>0</v>
      </c>
      <c r="P117" s="18">
        <v>0</v>
      </c>
      <c r="Q117" s="18">
        <v>0</v>
      </c>
      <c r="R117" s="18">
        <v>0</v>
      </c>
      <c r="S117" s="18">
        <v>0</v>
      </c>
      <c r="T117" s="18">
        <v>0</v>
      </c>
      <c r="U117" s="18">
        <v>0</v>
      </c>
      <c r="V117" s="18">
        <v>0</v>
      </c>
      <c r="W117" s="18">
        <v>0</v>
      </c>
      <c r="X117" s="18">
        <v>0</v>
      </c>
      <c r="Y117" s="18">
        <v>0</v>
      </c>
      <c r="Z117" s="18">
        <v>0</v>
      </c>
      <c r="AA117" s="18">
        <v>0</v>
      </c>
      <c r="AB117" s="18">
        <v>0</v>
      </c>
      <c r="AC117" s="18">
        <v>0</v>
      </c>
      <c r="AD117" s="18">
        <v>0</v>
      </c>
      <c r="AE117" s="18">
        <v>0</v>
      </c>
      <c r="AF117" s="18">
        <v>0</v>
      </c>
      <c r="AG117" s="18">
        <v>1200</v>
      </c>
      <c r="AH117" s="18">
        <v>0</v>
      </c>
      <c r="AI117" s="18">
        <v>0</v>
      </c>
      <c r="AJ117" s="18">
        <v>0</v>
      </c>
      <c r="AK117" s="18">
        <v>0</v>
      </c>
      <c r="AL117" s="18">
        <v>0</v>
      </c>
      <c r="AM117" s="18">
        <v>0</v>
      </c>
      <c r="AN117" s="18">
        <v>0</v>
      </c>
      <c r="AO117" s="18">
        <v>0</v>
      </c>
      <c r="AP117" s="18">
        <v>0</v>
      </c>
      <c r="AQ117" s="18">
        <v>0</v>
      </c>
      <c r="AR117" s="18">
        <v>0</v>
      </c>
      <c r="AS117" s="141">
        <v>84830</v>
      </c>
      <c r="AT117" s="48">
        <v>95000</v>
      </c>
      <c r="AU117" s="48">
        <v>97281</v>
      </c>
      <c r="AV117" s="48">
        <v>99405</v>
      </c>
      <c r="AW117" s="48">
        <v>102600</v>
      </c>
      <c r="AX117" s="48">
        <v>26076</v>
      </c>
      <c r="AY117" s="48">
        <v>28857</v>
      </c>
      <c r="AZ117" s="48">
        <v>28984</v>
      </c>
      <c r="BA117" s="48">
        <v>29808</v>
      </c>
      <c r="BB117" s="48">
        <v>11218</v>
      </c>
      <c r="BC117" s="18">
        <f>11177</f>
        <v>11177</v>
      </c>
      <c r="BD117" s="18">
        <f>11482</f>
        <v>11482</v>
      </c>
      <c r="BE117" s="25">
        <f>11838</f>
        <v>11838</v>
      </c>
      <c r="BF117" s="18">
        <f>11633+14970+4733+12790+1915</f>
        <v>46041</v>
      </c>
      <c r="BG117" s="110">
        <f>11521+14585+4404+12167+1737</f>
        <v>44414</v>
      </c>
      <c r="BH117" s="71">
        <v>47180</v>
      </c>
      <c r="BI117" s="113">
        <v>3290</v>
      </c>
      <c r="BJ117" s="18">
        <v>1120</v>
      </c>
      <c r="BK117" s="113">
        <v>9100</v>
      </c>
      <c r="BL117" s="113">
        <f>4500+65500+503</f>
        <v>70503</v>
      </c>
      <c r="BM117" s="113">
        <v>2500</v>
      </c>
      <c r="BN117" s="113">
        <v>987</v>
      </c>
      <c r="BO117" s="113">
        <f>987+21660</f>
        <v>22647</v>
      </c>
      <c r="BP117" s="113">
        <v>2350</v>
      </c>
      <c r="BQ117" s="113">
        <v>2350</v>
      </c>
      <c r="BR117" s="101"/>
      <c r="BS117">
        <f t="shared" si="136"/>
        <v>0</v>
      </c>
      <c r="BT117">
        <f t="shared" si="137"/>
        <v>0</v>
      </c>
      <c r="BU117">
        <f t="shared" si="138"/>
        <v>0</v>
      </c>
      <c r="BV117">
        <f t="shared" si="139"/>
        <v>0</v>
      </c>
      <c r="BW117">
        <f t="shared" si="140"/>
        <v>0</v>
      </c>
      <c r="BX117">
        <f t="shared" si="141"/>
        <v>0</v>
      </c>
      <c r="BY117">
        <f t="shared" si="142"/>
        <v>0</v>
      </c>
      <c r="BZ117">
        <f t="shared" si="143"/>
        <v>0</v>
      </c>
      <c r="CA117">
        <f t="shared" si="144"/>
        <v>0</v>
      </c>
      <c r="CB117">
        <f t="shared" si="145"/>
        <v>0</v>
      </c>
      <c r="CC117">
        <f t="shared" si="146"/>
        <v>0</v>
      </c>
      <c r="CD117">
        <f t="shared" si="147"/>
        <v>0</v>
      </c>
      <c r="CE117">
        <f t="shared" si="148"/>
        <v>0</v>
      </c>
      <c r="CF117">
        <f t="shared" si="149"/>
        <v>0</v>
      </c>
      <c r="CG117">
        <f t="shared" si="150"/>
        <v>0</v>
      </c>
      <c r="CH117">
        <f t="shared" si="151"/>
        <v>0</v>
      </c>
      <c r="CI117">
        <f t="shared" si="152"/>
        <v>0</v>
      </c>
      <c r="CJ117">
        <f t="shared" si="153"/>
        <v>0</v>
      </c>
      <c r="CK117">
        <f t="shared" si="154"/>
        <v>0</v>
      </c>
      <c r="CL117">
        <f t="shared" si="155"/>
        <v>0</v>
      </c>
      <c r="CM117">
        <f t="shared" si="156"/>
        <v>0</v>
      </c>
      <c r="CN117">
        <f t="shared" si="157"/>
        <v>0</v>
      </c>
      <c r="CO117">
        <f t="shared" si="158"/>
        <v>0</v>
      </c>
      <c r="CP117">
        <f t="shared" si="159"/>
        <v>0</v>
      </c>
      <c r="CQ117">
        <f t="shared" si="160"/>
        <v>0</v>
      </c>
      <c r="CR117">
        <f t="shared" si="161"/>
        <v>0</v>
      </c>
      <c r="CS117">
        <f t="shared" si="162"/>
        <v>0</v>
      </c>
      <c r="CT117">
        <f t="shared" si="163"/>
        <v>0</v>
      </c>
      <c r="CU117">
        <f t="shared" si="164"/>
        <v>0</v>
      </c>
      <c r="CV117">
        <f t="shared" si="165"/>
        <v>0</v>
      </c>
      <c r="CW117">
        <f t="shared" si="166"/>
        <v>0</v>
      </c>
      <c r="CX117">
        <f t="shared" si="167"/>
        <v>0</v>
      </c>
      <c r="CY117">
        <f t="shared" si="168"/>
        <v>0</v>
      </c>
      <c r="CZ117">
        <f t="shared" si="169"/>
        <v>0</v>
      </c>
      <c r="DA117">
        <f t="shared" si="170"/>
        <v>0</v>
      </c>
      <c r="DB117">
        <f t="shared" si="171"/>
        <v>0</v>
      </c>
      <c r="DC117">
        <f t="shared" si="172"/>
        <v>0</v>
      </c>
      <c r="DD117">
        <f t="shared" si="173"/>
        <v>0</v>
      </c>
      <c r="DE117">
        <f t="shared" si="174"/>
        <v>0</v>
      </c>
      <c r="DF117">
        <f t="shared" si="175"/>
        <v>0</v>
      </c>
      <c r="DG117">
        <f t="shared" si="176"/>
        <v>0</v>
      </c>
      <c r="DH117">
        <f t="shared" si="177"/>
        <v>0</v>
      </c>
      <c r="DI117">
        <f t="shared" si="178"/>
        <v>0</v>
      </c>
      <c r="DJ117">
        <f t="shared" si="179"/>
        <v>0</v>
      </c>
      <c r="DK117">
        <f t="shared" si="180"/>
        <v>0</v>
      </c>
      <c r="DL117">
        <f t="shared" si="181"/>
        <v>0</v>
      </c>
      <c r="DM117">
        <f t="shared" si="182"/>
        <v>0</v>
      </c>
      <c r="DN117">
        <f t="shared" si="183"/>
        <v>0</v>
      </c>
      <c r="DO117">
        <f t="shared" si="184"/>
        <v>0</v>
      </c>
      <c r="DP117">
        <f t="shared" si="185"/>
        <v>0</v>
      </c>
      <c r="DQ117">
        <f t="shared" si="186"/>
        <v>0</v>
      </c>
      <c r="DR117">
        <f t="shared" si="187"/>
        <v>0</v>
      </c>
      <c r="DS117">
        <f t="shared" si="188"/>
        <v>0</v>
      </c>
      <c r="DT117">
        <f t="shared" si="189"/>
        <v>0</v>
      </c>
      <c r="DU117">
        <f t="shared" si="190"/>
        <v>0</v>
      </c>
      <c r="DV117">
        <f t="shared" si="191"/>
        <v>0</v>
      </c>
      <c r="DW117">
        <f t="shared" si="192"/>
        <v>0</v>
      </c>
      <c r="DX117">
        <f t="shared" si="193"/>
        <v>0</v>
      </c>
      <c r="DY117">
        <f t="shared" si="194"/>
        <v>0</v>
      </c>
      <c r="DZ117">
        <f t="shared" si="195"/>
        <v>0</v>
      </c>
      <c r="EA117">
        <f t="shared" ref="EA117:EF118" si="197">IF($C117&lt;&gt;"",IF(BL117&gt;0,1,0),0)</f>
        <v>0</v>
      </c>
      <c r="EB117">
        <f t="shared" si="197"/>
        <v>0</v>
      </c>
      <c r="EC117">
        <f t="shared" si="197"/>
        <v>0</v>
      </c>
      <c r="ED117">
        <f t="shared" si="197"/>
        <v>0</v>
      </c>
      <c r="EE117">
        <f t="shared" si="197"/>
        <v>0</v>
      </c>
      <c r="EF117">
        <f t="shared" si="197"/>
        <v>0</v>
      </c>
    </row>
    <row r="118" spans="1:136" ht="15.5">
      <c r="A118" s="90"/>
      <c r="B118" s="19" t="s">
        <v>208</v>
      </c>
      <c r="C118" s="96"/>
      <c r="D118" s="18">
        <v>0</v>
      </c>
      <c r="E118" s="18">
        <v>0</v>
      </c>
      <c r="F118" s="18">
        <v>0</v>
      </c>
      <c r="G118" s="18">
        <v>0</v>
      </c>
      <c r="H118" s="18">
        <v>0</v>
      </c>
      <c r="I118" s="18">
        <v>0</v>
      </c>
      <c r="J118" s="18">
        <v>0</v>
      </c>
      <c r="K118" s="18">
        <v>0</v>
      </c>
      <c r="L118" s="18">
        <v>0</v>
      </c>
      <c r="M118" s="18">
        <v>0</v>
      </c>
      <c r="N118" s="18">
        <v>0</v>
      </c>
      <c r="O118" s="18">
        <v>0</v>
      </c>
      <c r="P118" s="18">
        <v>0</v>
      </c>
      <c r="Q118" s="18">
        <v>0</v>
      </c>
      <c r="R118" s="18">
        <v>0</v>
      </c>
      <c r="S118" s="18">
        <v>0</v>
      </c>
      <c r="T118" s="18">
        <v>0</v>
      </c>
      <c r="U118" s="18">
        <v>0</v>
      </c>
      <c r="V118" s="18">
        <v>0</v>
      </c>
      <c r="W118" s="18">
        <v>0</v>
      </c>
      <c r="X118" s="18">
        <v>0</v>
      </c>
      <c r="Y118" s="43">
        <v>0</v>
      </c>
      <c r="Z118" s="40" t="s">
        <v>16</v>
      </c>
      <c r="AA118" s="40" t="s">
        <v>16</v>
      </c>
      <c r="AB118" s="18">
        <f>4142.623-AB116</f>
        <v>1375.9563333333331</v>
      </c>
      <c r="AC118" s="40" t="s">
        <v>16</v>
      </c>
      <c r="AD118" s="18">
        <f>3741.523-AD116</f>
        <v>1141.5230000000001</v>
      </c>
      <c r="AE118" s="40" t="s">
        <v>16</v>
      </c>
      <c r="AF118" s="40" t="s">
        <v>16</v>
      </c>
      <c r="AG118" s="40" t="s">
        <v>16</v>
      </c>
      <c r="AH118" s="40" t="s">
        <v>16</v>
      </c>
      <c r="AI118" s="40" t="s">
        <v>16</v>
      </c>
      <c r="AJ118" s="40" t="s">
        <v>16</v>
      </c>
      <c r="AK118" s="40" t="s">
        <v>16</v>
      </c>
      <c r="AL118" s="18">
        <v>10.551</v>
      </c>
      <c r="AM118" s="18">
        <v>69.224999999999994</v>
      </c>
      <c r="AN118" s="18">
        <v>0.17299999999999999</v>
      </c>
      <c r="AO118" s="18">
        <v>0</v>
      </c>
      <c r="AP118" s="18">
        <v>0</v>
      </c>
      <c r="AQ118" s="18">
        <v>0</v>
      </c>
      <c r="AR118" s="18">
        <v>10.316000000000001</v>
      </c>
      <c r="AS118" s="107">
        <v>0</v>
      </c>
      <c r="AT118" s="48">
        <v>258</v>
      </c>
      <c r="AU118" s="48">
        <v>494</v>
      </c>
      <c r="AV118" s="48">
        <v>409</v>
      </c>
      <c r="AW118" s="48">
        <v>260</v>
      </c>
      <c r="AX118" s="48">
        <v>373</v>
      </c>
      <c r="AY118" s="48">
        <v>345</v>
      </c>
      <c r="AZ118" s="48">
        <v>301</v>
      </c>
      <c r="BA118" s="48">
        <v>260</v>
      </c>
      <c r="BB118" s="48">
        <v>169</v>
      </c>
      <c r="BC118" s="18">
        <v>187</v>
      </c>
      <c r="BD118" s="18">
        <v>82</v>
      </c>
      <c r="BE118" s="25">
        <v>13</v>
      </c>
      <c r="BF118" s="18">
        <v>11</v>
      </c>
      <c r="BG118" s="18">
        <v>10</v>
      </c>
      <c r="BH118" s="131" t="s">
        <v>249</v>
      </c>
      <c r="BI118" s="18">
        <f>21379.1906235-BI117-BI116</f>
        <v>17993.190623499999</v>
      </c>
      <c r="BJ118" s="113">
        <f>22423.3714165-BJ117-BJ116</f>
        <v>21209.371416499998</v>
      </c>
      <c r="BK118" s="113">
        <f>24275.4329893-BK117-BK116</f>
        <v>15082.432989299999</v>
      </c>
      <c r="BL118" s="131" t="s">
        <v>249</v>
      </c>
      <c r="BM118" s="113">
        <f>13167.0784402-BM117-BM116</f>
        <v>10573.078440200001</v>
      </c>
      <c r="BN118" s="113">
        <f>13200.5729639-BN117-BN116</f>
        <v>12121.5729639</v>
      </c>
      <c r="BO118" s="131" t="s">
        <v>249</v>
      </c>
      <c r="BP118" s="113">
        <v>196</v>
      </c>
      <c r="BQ118" s="113">
        <v>196</v>
      </c>
      <c r="BR118" s="101"/>
      <c r="BS118">
        <f t="shared" si="136"/>
        <v>0</v>
      </c>
      <c r="BT118">
        <f t="shared" si="137"/>
        <v>0</v>
      </c>
      <c r="BU118">
        <f t="shared" si="138"/>
        <v>0</v>
      </c>
      <c r="BV118">
        <f t="shared" si="139"/>
        <v>0</v>
      </c>
      <c r="BW118">
        <f t="shared" si="140"/>
        <v>0</v>
      </c>
      <c r="BX118">
        <f t="shared" si="141"/>
        <v>0</v>
      </c>
      <c r="BY118">
        <f t="shared" si="142"/>
        <v>0</v>
      </c>
      <c r="BZ118">
        <f t="shared" si="143"/>
        <v>0</v>
      </c>
      <c r="CA118">
        <f t="shared" si="144"/>
        <v>0</v>
      </c>
      <c r="CB118">
        <f t="shared" si="145"/>
        <v>0</v>
      </c>
      <c r="CC118">
        <f t="shared" si="146"/>
        <v>0</v>
      </c>
      <c r="CD118">
        <f t="shared" si="147"/>
        <v>0</v>
      </c>
      <c r="CE118">
        <f t="shared" si="148"/>
        <v>0</v>
      </c>
      <c r="CF118">
        <f t="shared" si="149"/>
        <v>0</v>
      </c>
      <c r="CG118">
        <f t="shared" si="150"/>
        <v>0</v>
      </c>
      <c r="CH118">
        <f t="shared" si="151"/>
        <v>0</v>
      </c>
      <c r="CI118">
        <f t="shared" si="152"/>
        <v>0</v>
      </c>
      <c r="CJ118">
        <f t="shared" si="153"/>
        <v>0</v>
      </c>
      <c r="CK118">
        <f t="shared" si="154"/>
        <v>0</v>
      </c>
      <c r="CL118">
        <f t="shared" si="155"/>
        <v>0</v>
      </c>
      <c r="CM118">
        <f t="shared" si="156"/>
        <v>0</v>
      </c>
      <c r="CN118">
        <f t="shared" si="157"/>
        <v>0</v>
      </c>
      <c r="CO118">
        <f t="shared" si="158"/>
        <v>0</v>
      </c>
      <c r="CP118">
        <f t="shared" si="159"/>
        <v>0</v>
      </c>
      <c r="CQ118">
        <f t="shared" si="160"/>
        <v>0</v>
      </c>
      <c r="CR118">
        <f t="shared" si="161"/>
        <v>0</v>
      </c>
      <c r="CS118">
        <f t="shared" si="162"/>
        <v>0</v>
      </c>
      <c r="CT118">
        <f t="shared" si="163"/>
        <v>0</v>
      </c>
      <c r="CU118">
        <f t="shared" si="164"/>
        <v>0</v>
      </c>
      <c r="CV118">
        <f t="shared" si="165"/>
        <v>0</v>
      </c>
      <c r="CW118">
        <f t="shared" si="166"/>
        <v>0</v>
      </c>
      <c r="CX118">
        <f t="shared" si="167"/>
        <v>0</v>
      </c>
      <c r="CY118">
        <f t="shared" si="168"/>
        <v>0</v>
      </c>
      <c r="CZ118">
        <f t="shared" si="169"/>
        <v>0</v>
      </c>
      <c r="DA118">
        <f t="shared" si="170"/>
        <v>0</v>
      </c>
      <c r="DB118">
        <f t="shared" si="171"/>
        <v>0</v>
      </c>
      <c r="DC118">
        <f t="shared" si="172"/>
        <v>0</v>
      </c>
      <c r="DD118">
        <f t="shared" si="173"/>
        <v>0</v>
      </c>
      <c r="DE118">
        <f t="shared" si="174"/>
        <v>0</v>
      </c>
      <c r="DF118">
        <f t="shared" si="175"/>
        <v>0</v>
      </c>
      <c r="DG118">
        <f t="shared" si="176"/>
        <v>0</v>
      </c>
      <c r="DH118">
        <f t="shared" si="177"/>
        <v>0</v>
      </c>
      <c r="DI118">
        <f t="shared" si="178"/>
        <v>0</v>
      </c>
      <c r="DJ118">
        <f t="shared" si="179"/>
        <v>0</v>
      </c>
      <c r="DK118">
        <f t="shared" si="180"/>
        <v>0</v>
      </c>
      <c r="DL118">
        <f t="shared" si="181"/>
        <v>0</v>
      </c>
      <c r="DM118">
        <f t="shared" si="182"/>
        <v>0</v>
      </c>
      <c r="DN118">
        <f t="shared" si="183"/>
        <v>0</v>
      </c>
      <c r="DO118">
        <f t="shared" si="184"/>
        <v>0</v>
      </c>
      <c r="DP118">
        <f t="shared" si="185"/>
        <v>0</v>
      </c>
      <c r="DQ118">
        <f t="shared" si="186"/>
        <v>0</v>
      </c>
      <c r="DR118">
        <f t="shared" si="187"/>
        <v>0</v>
      </c>
      <c r="DS118">
        <f t="shared" si="188"/>
        <v>0</v>
      </c>
      <c r="DT118">
        <f t="shared" si="189"/>
        <v>0</v>
      </c>
      <c r="DU118">
        <f t="shared" si="190"/>
        <v>0</v>
      </c>
      <c r="DV118">
        <f t="shared" si="191"/>
        <v>0</v>
      </c>
      <c r="DW118">
        <f t="shared" si="192"/>
        <v>0</v>
      </c>
      <c r="DX118">
        <f t="shared" si="193"/>
        <v>0</v>
      </c>
      <c r="DY118">
        <f t="shared" si="194"/>
        <v>0</v>
      </c>
      <c r="DZ118">
        <f t="shared" si="195"/>
        <v>0</v>
      </c>
      <c r="EA118">
        <f t="shared" si="197"/>
        <v>0</v>
      </c>
      <c r="EB118">
        <f t="shared" si="197"/>
        <v>0</v>
      </c>
      <c r="EC118">
        <f t="shared" si="197"/>
        <v>0</v>
      </c>
      <c r="ED118">
        <f t="shared" si="197"/>
        <v>0</v>
      </c>
      <c r="EE118">
        <f t="shared" si="197"/>
        <v>0</v>
      </c>
      <c r="EF118">
        <f t="shared" si="197"/>
        <v>0</v>
      </c>
    </row>
    <row r="119" spans="1:136" ht="15.5">
      <c r="A119" s="90"/>
      <c r="B119" s="53" t="s">
        <v>21</v>
      </c>
      <c r="C119" s="96"/>
      <c r="D119" s="18">
        <v>0</v>
      </c>
      <c r="E119" s="18">
        <v>0</v>
      </c>
      <c r="F119" s="18">
        <v>0</v>
      </c>
      <c r="G119" s="18">
        <v>0</v>
      </c>
      <c r="H119" s="18">
        <v>0</v>
      </c>
      <c r="I119" s="18">
        <v>0</v>
      </c>
      <c r="J119" s="18">
        <v>0</v>
      </c>
      <c r="K119" s="18">
        <v>0</v>
      </c>
      <c r="L119" s="18">
        <v>0</v>
      </c>
      <c r="M119" s="18">
        <v>0</v>
      </c>
      <c r="N119" s="18">
        <v>0</v>
      </c>
      <c r="O119" s="18">
        <v>0</v>
      </c>
      <c r="P119" s="18">
        <v>0</v>
      </c>
      <c r="Q119" s="18">
        <v>0</v>
      </c>
      <c r="R119" s="18">
        <v>0</v>
      </c>
      <c r="S119" s="18">
        <v>0</v>
      </c>
      <c r="T119" s="18">
        <v>0</v>
      </c>
      <c r="U119" s="18">
        <v>0</v>
      </c>
      <c r="V119" s="18">
        <v>0</v>
      </c>
      <c r="W119" s="18">
        <v>0</v>
      </c>
      <c r="X119" s="18">
        <v>0</v>
      </c>
      <c r="Y119" s="18">
        <v>0</v>
      </c>
      <c r="Z119" s="18">
        <v>260</v>
      </c>
      <c r="AA119" s="18">
        <v>0</v>
      </c>
      <c r="AB119" s="18">
        <v>0</v>
      </c>
      <c r="AC119" s="18">
        <v>0</v>
      </c>
      <c r="AD119" s="18">
        <v>0</v>
      </c>
      <c r="AE119" s="18">
        <v>0</v>
      </c>
      <c r="AF119" s="18">
        <v>0</v>
      </c>
      <c r="AG119" s="18">
        <v>3100</v>
      </c>
      <c r="AH119" s="241">
        <v>1260</v>
      </c>
      <c r="AI119" s="18">
        <v>0</v>
      </c>
      <c r="AJ119" s="18">
        <v>0</v>
      </c>
      <c r="AK119" s="18">
        <v>0</v>
      </c>
      <c r="AL119" s="18">
        <v>0</v>
      </c>
      <c r="AM119" s="18">
        <v>0</v>
      </c>
      <c r="AN119" s="18">
        <v>0</v>
      </c>
      <c r="AO119" s="18">
        <v>0</v>
      </c>
      <c r="AP119" s="18">
        <v>0</v>
      </c>
      <c r="AQ119" s="18">
        <v>0</v>
      </c>
      <c r="AR119" s="18">
        <v>0</v>
      </c>
      <c r="AS119" s="107">
        <v>0</v>
      </c>
      <c r="AT119" s="48">
        <v>3580</v>
      </c>
      <c r="AU119" s="48">
        <v>10455</v>
      </c>
      <c r="AV119" s="48">
        <v>10459</v>
      </c>
      <c r="AW119" s="48">
        <v>1181</v>
      </c>
      <c r="AX119" s="18">
        <v>462</v>
      </c>
      <c r="AY119" s="18">
        <v>375</v>
      </c>
      <c r="AZ119" s="18">
        <v>334</v>
      </c>
      <c r="BA119" s="18">
        <v>204</v>
      </c>
      <c r="BB119" s="18">
        <v>144</v>
      </c>
      <c r="BC119" s="18">
        <v>112</v>
      </c>
      <c r="BD119" s="18">
        <v>99</v>
      </c>
      <c r="BE119" s="25">
        <v>75</v>
      </c>
      <c r="BF119" s="18">
        <v>74</v>
      </c>
      <c r="BG119" s="18">
        <v>66</v>
      </c>
      <c r="BH119" s="18">
        <v>60</v>
      </c>
      <c r="BI119" s="18">
        <v>523</v>
      </c>
      <c r="BJ119" s="113">
        <v>69</v>
      </c>
      <c r="BK119" s="113">
        <f>4179+3</f>
        <v>4182</v>
      </c>
      <c r="BL119" s="113">
        <v>51</v>
      </c>
      <c r="BM119" s="113">
        <v>58</v>
      </c>
      <c r="BN119" s="113">
        <v>62</v>
      </c>
      <c r="BO119" s="113">
        <v>49</v>
      </c>
      <c r="BP119" s="113">
        <v>49</v>
      </c>
      <c r="BQ119" s="113">
        <v>49</v>
      </c>
      <c r="BR119" s="101"/>
      <c r="BS119">
        <f t="shared" si="136"/>
        <v>0</v>
      </c>
      <c r="BT119">
        <f t="shared" si="137"/>
        <v>0</v>
      </c>
      <c r="BU119">
        <f t="shared" si="138"/>
        <v>0</v>
      </c>
      <c r="BV119">
        <f t="shared" si="139"/>
        <v>0</v>
      </c>
      <c r="BW119">
        <f t="shared" si="140"/>
        <v>0</v>
      </c>
      <c r="BX119">
        <f t="shared" si="141"/>
        <v>0</v>
      </c>
      <c r="BY119">
        <f t="shared" si="142"/>
        <v>0</v>
      </c>
      <c r="BZ119">
        <f t="shared" si="143"/>
        <v>0</v>
      </c>
      <c r="CA119">
        <f t="shared" si="144"/>
        <v>0</v>
      </c>
      <c r="CB119">
        <f t="shared" si="145"/>
        <v>0</v>
      </c>
      <c r="CC119">
        <f t="shared" si="146"/>
        <v>0</v>
      </c>
      <c r="CD119">
        <f t="shared" si="147"/>
        <v>0</v>
      </c>
      <c r="CE119">
        <f t="shared" si="148"/>
        <v>0</v>
      </c>
      <c r="CF119">
        <f t="shared" si="149"/>
        <v>0</v>
      </c>
      <c r="CG119">
        <f t="shared" si="150"/>
        <v>0</v>
      </c>
      <c r="CH119">
        <f t="shared" si="151"/>
        <v>0</v>
      </c>
      <c r="CI119">
        <f t="shared" si="152"/>
        <v>0</v>
      </c>
      <c r="CJ119">
        <f t="shared" si="153"/>
        <v>0</v>
      </c>
      <c r="CK119">
        <f t="shared" si="154"/>
        <v>0</v>
      </c>
      <c r="CL119">
        <f t="shared" si="155"/>
        <v>0</v>
      </c>
      <c r="CM119">
        <f t="shared" si="156"/>
        <v>0</v>
      </c>
      <c r="CN119">
        <f t="shared" si="157"/>
        <v>0</v>
      </c>
      <c r="CO119">
        <f t="shared" si="158"/>
        <v>0</v>
      </c>
      <c r="CP119">
        <f t="shared" si="159"/>
        <v>0</v>
      </c>
      <c r="CQ119">
        <f t="shared" si="160"/>
        <v>0</v>
      </c>
      <c r="CR119">
        <f t="shared" si="161"/>
        <v>0</v>
      </c>
      <c r="CS119">
        <f t="shared" si="162"/>
        <v>0</v>
      </c>
      <c r="CT119">
        <f t="shared" si="163"/>
        <v>0</v>
      </c>
      <c r="CU119">
        <f t="shared" si="164"/>
        <v>0</v>
      </c>
      <c r="CV119">
        <f t="shared" si="165"/>
        <v>0</v>
      </c>
      <c r="CW119">
        <f t="shared" si="166"/>
        <v>0</v>
      </c>
      <c r="CX119">
        <f t="shared" si="167"/>
        <v>0</v>
      </c>
      <c r="CY119">
        <f t="shared" si="168"/>
        <v>0</v>
      </c>
      <c r="CZ119">
        <f t="shared" si="169"/>
        <v>0</v>
      </c>
      <c r="DA119">
        <f t="shared" si="170"/>
        <v>0</v>
      </c>
      <c r="DB119">
        <f t="shared" si="171"/>
        <v>0</v>
      </c>
      <c r="DC119">
        <f t="shared" si="172"/>
        <v>0</v>
      </c>
      <c r="DD119">
        <f t="shared" si="173"/>
        <v>0</v>
      </c>
      <c r="DE119">
        <f t="shared" si="174"/>
        <v>0</v>
      </c>
      <c r="DF119">
        <f t="shared" si="175"/>
        <v>0</v>
      </c>
      <c r="DG119">
        <f t="shared" si="176"/>
        <v>0</v>
      </c>
      <c r="DH119">
        <f t="shared" si="177"/>
        <v>0</v>
      </c>
      <c r="DI119">
        <f t="shared" si="178"/>
        <v>0</v>
      </c>
      <c r="DJ119">
        <f t="shared" si="179"/>
        <v>0</v>
      </c>
      <c r="DK119">
        <f t="shared" si="180"/>
        <v>0</v>
      </c>
      <c r="DL119">
        <f t="shared" si="181"/>
        <v>0</v>
      </c>
      <c r="DM119">
        <f t="shared" si="182"/>
        <v>0</v>
      </c>
      <c r="DN119">
        <f t="shared" si="183"/>
        <v>0</v>
      </c>
      <c r="DO119">
        <f t="shared" si="184"/>
        <v>0</v>
      </c>
      <c r="DP119">
        <f t="shared" si="185"/>
        <v>0</v>
      </c>
      <c r="DQ119">
        <f t="shared" si="186"/>
        <v>0</v>
      </c>
      <c r="DR119">
        <f t="shared" si="187"/>
        <v>0</v>
      </c>
      <c r="DS119">
        <f t="shared" si="188"/>
        <v>0</v>
      </c>
      <c r="DT119">
        <f t="shared" si="189"/>
        <v>0</v>
      </c>
      <c r="DU119">
        <f t="shared" si="190"/>
        <v>0</v>
      </c>
      <c r="DV119">
        <f t="shared" si="191"/>
        <v>0</v>
      </c>
      <c r="DW119">
        <f t="shared" si="192"/>
        <v>0</v>
      </c>
      <c r="DX119">
        <f t="shared" si="193"/>
        <v>0</v>
      </c>
      <c r="DY119">
        <f t="shared" si="194"/>
        <v>0</v>
      </c>
      <c r="DZ119">
        <f t="shared" si="195"/>
        <v>0</v>
      </c>
      <c r="EA119">
        <f>IF($C119&lt;&gt;"",IF(BL119&gt;0,1,0),0)</f>
        <v>0</v>
      </c>
      <c r="EB119">
        <f>IF($C119&lt;&gt;"",IF(BM118&gt;0,1,0),0)</f>
        <v>0</v>
      </c>
      <c r="EC119">
        <f>IF($C119&lt;&gt;"",IF(BN118&gt;0,1,0),0)</f>
        <v>0</v>
      </c>
      <c r="ED119">
        <f>IF($C119&lt;&gt;"",IF(BO118&gt;0,1,0),0)</f>
        <v>0</v>
      </c>
      <c r="EE119">
        <f>IF($C119&lt;&gt;"",IF(BP118&gt;0,1,0),0)</f>
        <v>0</v>
      </c>
      <c r="EF119">
        <f>IF($C119&lt;&gt;"",IF(BQ118&gt;0,1,0),0)</f>
        <v>0</v>
      </c>
    </row>
    <row r="120" spans="1:136" ht="15.5">
      <c r="A120" s="90"/>
      <c r="B120" s="53" t="s">
        <v>212</v>
      </c>
      <c r="C120" s="96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  <c r="AD120" s="51"/>
      <c r="AE120" s="51"/>
      <c r="AF120" s="51"/>
      <c r="AG120" s="51"/>
      <c r="AH120" s="243">
        <v>1260</v>
      </c>
      <c r="AI120" s="227">
        <v>2.1395442629562411</v>
      </c>
      <c r="AJ120" s="228">
        <v>17057.874571486187</v>
      </c>
      <c r="AK120" s="168">
        <v>4647.9581573124124</v>
      </c>
      <c r="AL120" s="228">
        <v>0</v>
      </c>
      <c r="AM120" s="240">
        <v>1162</v>
      </c>
      <c r="AN120" s="199">
        <v>0</v>
      </c>
      <c r="AO120" s="199">
        <v>0</v>
      </c>
      <c r="AP120" s="213">
        <v>0</v>
      </c>
      <c r="AQ120" s="213">
        <v>0</v>
      </c>
      <c r="AR120" s="214">
        <v>0</v>
      </c>
      <c r="AS120" s="214">
        <v>0</v>
      </c>
      <c r="AT120" s="214">
        <v>0</v>
      </c>
      <c r="AU120" s="189">
        <f>5000/2.93</f>
        <v>1706.4846416382252</v>
      </c>
      <c r="AV120" s="189">
        <f>4660/2.96</f>
        <v>1574.3243243243244</v>
      </c>
      <c r="AW120" s="213">
        <v>0</v>
      </c>
      <c r="AX120" s="213">
        <v>0</v>
      </c>
      <c r="AY120" s="213">
        <v>0</v>
      </c>
      <c r="AZ120" s="213">
        <v>0</v>
      </c>
      <c r="BA120" s="213">
        <v>0</v>
      </c>
      <c r="BB120" s="213">
        <v>0</v>
      </c>
      <c r="BC120" s="213">
        <v>0</v>
      </c>
      <c r="BD120" s="213">
        <v>0</v>
      </c>
      <c r="BE120" s="213">
        <v>0</v>
      </c>
      <c r="BF120" s="213">
        <v>0</v>
      </c>
      <c r="BG120" s="189">
        <f>57799/13.12</f>
        <v>4405.4115853658541</v>
      </c>
      <c r="BH120" s="147">
        <v>1602</v>
      </c>
      <c r="BI120" s="147">
        <v>2387</v>
      </c>
      <c r="BJ120" s="154">
        <v>1525</v>
      </c>
      <c r="BK120" s="154">
        <v>961</v>
      </c>
      <c r="BL120" s="147">
        <v>4400</v>
      </c>
      <c r="BM120" s="154">
        <f>535900/102.69</f>
        <v>5218.6191449995131</v>
      </c>
      <c r="BN120" s="154">
        <v>3558</v>
      </c>
      <c r="BO120" s="154">
        <v>2032</v>
      </c>
      <c r="BP120" s="113">
        <v>6218</v>
      </c>
      <c r="BQ120" s="251">
        <v>5308</v>
      </c>
      <c r="BR120" s="101"/>
      <c r="BS120">
        <f t="shared" si="136"/>
        <v>0</v>
      </c>
      <c r="BT120">
        <f t="shared" si="137"/>
        <v>0</v>
      </c>
      <c r="BU120">
        <f t="shared" si="138"/>
        <v>0</v>
      </c>
      <c r="BV120">
        <f t="shared" si="139"/>
        <v>0</v>
      </c>
      <c r="BW120">
        <f t="shared" si="140"/>
        <v>0</v>
      </c>
      <c r="BX120">
        <f t="shared" si="141"/>
        <v>0</v>
      </c>
      <c r="BY120">
        <f t="shared" si="142"/>
        <v>0</v>
      </c>
      <c r="BZ120">
        <f t="shared" si="143"/>
        <v>0</v>
      </c>
      <c r="CA120">
        <f t="shared" si="144"/>
        <v>0</v>
      </c>
      <c r="CB120">
        <f t="shared" si="145"/>
        <v>0</v>
      </c>
      <c r="CC120">
        <f t="shared" si="146"/>
        <v>0</v>
      </c>
      <c r="CD120">
        <f t="shared" si="147"/>
        <v>0</v>
      </c>
      <c r="CE120">
        <f t="shared" si="148"/>
        <v>0</v>
      </c>
      <c r="CF120">
        <f t="shared" si="149"/>
        <v>0</v>
      </c>
      <c r="CG120">
        <f t="shared" si="150"/>
        <v>0</v>
      </c>
      <c r="CH120">
        <f t="shared" si="151"/>
        <v>0</v>
      </c>
      <c r="CI120">
        <f t="shared" si="152"/>
        <v>0</v>
      </c>
      <c r="CJ120">
        <f t="shared" si="153"/>
        <v>0</v>
      </c>
      <c r="CK120">
        <f t="shared" si="154"/>
        <v>0</v>
      </c>
      <c r="CL120">
        <f t="shared" si="155"/>
        <v>0</v>
      </c>
      <c r="CM120">
        <f t="shared" si="156"/>
        <v>0</v>
      </c>
      <c r="CN120">
        <f t="shared" si="157"/>
        <v>0</v>
      </c>
      <c r="CO120">
        <f t="shared" si="158"/>
        <v>0</v>
      </c>
      <c r="CP120">
        <f t="shared" si="159"/>
        <v>0</v>
      </c>
      <c r="CQ120">
        <f t="shared" si="160"/>
        <v>0</v>
      </c>
      <c r="CR120">
        <f t="shared" si="161"/>
        <v>0</v>
      </c>
      <c r="CS120">
        <f t="shared" si="162"/>
        <v>0</v>
      </c>
      <c r="CT120">
        <f t="shared" si="163"/>
        <v>0</v>
      </c>
      <c r="CU120">
        <f t="shared" si="164"/>
        <v>0</v>
      </c>
      <c r="CV120">
        <f t="shared" si="165"/>
        <v>0</v>
      </c>
      <c r="CW120">
        <f t="shared" si="166"/>
        <v>0</v>
      </c>
      <c r="CX120">
        <f t="shared" si="167"/>
        <v>0</v>
      </c>
      <c r="CY120">
        <f t="shared" si="168"/>
        <v>0</v>
      </c>
      <c r="CZ120">
        <f t="shared" si="169"/>
        <v>0</v>
      </c>
      <c r="DA120">
        <f t="shared" si="170"/>
        <v>0</v>
      </c>
      <c r="DB120">
        <f t="shared" si="171"/>
        <v>0</v>
      </c>
      <c r="DC120">
        <f t="shared" si="172"/>
        <v>0</v>
      </c>
      <c r="DD120">
        <f t="shared" si="173"/>
        <v>0</v>
      </c>
      <c r="DE120">
        <f t="shared" si="174"/>
        <v>0</v>
      </c>
      <c r="DF120">
        <f t="shared" si="175"/>
        <v>0</v>
      </c>
      <c r="DG120">
        <f t="shared" si="176"/>
        <v>0</v>
      </c>
      <c r="DH120">
        <f t="shared" si="177"/>
        <v>0</v>
      </c>
      <c r="DI120">
        <f t="shared" si="178"/>
        <v>0</v>
      </c>
      <c r="DJ120">
        <f t="shared" si="179"/>
        <v>0</v>
      </c>
      <c r="DK120">
        <f t="shared" si="180"/>
        <v>0</v>
      </c>
      <c r="DL120">
        <f t="shared" si="181"/>
        <v>0</v>
      </c>
      <c r="DM120">
        <f t="shared" si="182"/>
        <v>0</v>
      </c>
      <c r="DN120">
        <f t="shared" si="183"/>
        <v>0</v>
      </c>
      <c r="DO120">
        <f t="shared" si="184"/>
        <v>0</v>
      </c>
      <c r="DP120">
        <f t="shared" si="185"/>
        <v>0</v>
      </c>
      <c r="DQ120">
        <f t="shared" si="186"/>
        <v>0</v>
      </c>
      <c r="DR120">
        <f t="shared" si="187"/>
        <v>0</v>
      </c>
      <c r="DS120">
        <f t="shared" si="188"/>
        <v>0</v>
      </c>
      <c r="DT120">
        <f t="shared" si="189"/>
        <v>0</v>
      </c>
      <c r="DU120">
        <f t="shared" si="190"/>
        <v>0</v>
      </c>
      <c r="DV120">
        <f t="shared" si="191"/>
        <v>0</v>
      </c>
      <c r="DW120">
        <f t="shared" si="192"/>
        <v>0</v>
      </c>
      <c r="DX120">
        <f t="shared" si="193"/>
        <v>0</v>
      </c>
      <c r="DY120">
        <f t="shared" si="194"/>
        <v>0</v>
      </c>
      <c r="DZ120">
        <f t="shared" si="195"/>
        <v>0</v>
      </c>
      <c r="EA120">
        <f>IF($C120&lt;&gt;"",IF(BL120&gt;0,1,0),0)</f>
        <v>0</v>
      </c>
      <c r="EB120">
        <f>IF($C120&lt;&gt;"",IF(BM120&gt;0,1,0),0)</f>
        <v>0</v>
      </c>
      <c r="EC120">
        <f>IF($C120&lt;&gt;"",IF(BN120&gt;0,1,0),0)</f>
        <v>0</v>
      </c>
      <c r="ED120">
        <f>IF($C120&lt;&gt;"",IF(BO120&gt;0,1,0),0)</f>
        <v>0</v>
      </c>
      <c r="EE120">
        <f>IF($C120&lt;&gt;"",IF(BP120&gt;0,1,0),0)</f>
        <v>0</v>
      </c>
      <c r="EF120">
        <f>IF($C120&lt;&gt;"",IF(BQ120&gt;0,1,0),0)</f>
        <v>0</v>
      </c>
    </row>
    <row r="121" spans="1:136" ht="15.5">
      <c r="A121" s="90"/>
      <c r="B121" s="53" t="s">
        <v>24</v>
      </c>
      <c r="C121" s="94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  <c r="AD121" s="51"/>
      <c r="AE121" s="51"/>
      <c r="AF121" s="51"/>
      <c r="AG121" s="51"/>
      <c r="AH121" s="242"/>
      <c r="AI121" s="204"/>
      <c r="AJ121" s="204"/>
      <c r="AK121" s="204"/>
      <c r="AL121" s="204"/>
      <c r="AM121" s="204"/>
      <c r="AN121" s="204"/>
      <c r="AO121" s="204"/>
      <c r="AP121" s="204"/>
      <c r="AQ121" s="204"/>
      <c r="AR121" s="204"/>
      <c r="AS121" s="204"/>
      <c r="AT121" s="204"/>
      <c r="AU121" s="204"/>
      <c r="AV121" s="204"/>
      <c r="AW121" s="204"/>
      <c r="AX121" s="204"/>
      <c r="AY121" s="204"/>
      <c r="AZ121" s="204"/>
      <c r="BA121" s="18"/>
      <c r="BB121" s="204"/>
      <c r="BC121" s="204"/>
      <c r="BD121" s="204"/>
      <c r="BE121" s="204"/>
      <c r="BF121" s="212"/>
      <c r="BG121" s="212"/>
      <c r="BH121" s="18"/>
      <c r="BI121" s="18"/>
      <c r="BJ121" s="71"/>
      <c r="BK121" s="113"/>
      <c r="BL121" s="113"/>
      <c r="BM121" s="113"/>
      <c r="BN121" s="113"/>
      <c r="BO121" s="2"/>
      <c r="BP121" s="2"/>
      <c r="BQ121" s="2"/>
      <c r="BR121" s="101"/>
    </row>
    <row r="122" spans="1:136" ht="15.5">
      <c r="A122" s="93">
        <v>8</v>
      </c>
      <c r="B122" s="32" t="s">
        <v>27</v>
      </c>
      <c r="C122" s="94">
        <v>4</v>
      </c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18"/>
      <c r="AI122" s="22">
        <f>SUM(AI123:AI126)</f>
        <v>0</v>
      </c>
      <c r="AJ122" s="22">
        <f t="shared" ref="AJ122:BO122" si="198">SUM(AJ123:AJ126)</f>
        <v>15.558490566037737</v>
      </c>
      <c r="AK122" s="22">
        <f t="shared" si="198"/>
        <v>202.59629629629632</v>
      </c>
      <c r="AL122" s="22">
        <f t="shared" si="198"/>
        <v>61.539344827586206</v>
      </c>
      <c r="AM122" s="22">
        <f t="shared" si="198"/>
        <v>87.924517730496447</v>
      </c>
      <c r="AN122" s="22">
        <f t="shared" si="198"/>
        <v>64.034000000000006</v>
      </c>
      <c r="AO122" s="22">
        <f t="shared" si="198"/>
        <v>138.929</v>
      </c>
      <c r="AP122" s="22">
        <f t="shared" si="198"/>
        <v>52.563042145593869</v>
      </c>
      <c r="AQ122" s="22">
        <f t="shared" si="198"/>
        <v>58.229007633587784</v>
      </c>
      <c r="AR122" s="22">
        <f t="shared" si="198"/>
        <v>80.992898550724647</v>
      </c>
      <c r="AS122" s="22">
        <f t="shared" si="198"/>
        <v>93.867999999999995</v>
      </c>
      <c r="AT122" s="22">
        <f t="shared" si="198"/>
        <v>44.991</v>
      </c>
      <c r="AU122" s="22">
        <f t="shared" si="198"/>
        <v>46.06</v>
      </c>
      <c r="AV122" s="22">
        <f t="shared" si="198"/>
        <v>0</v>
      </c>
      <c r="AW122" s="22">
        <f t="shared" si="198"/>
        <v>0</v>
      </c>
      <c r="AX122" s="22">
        <f t="shared" si="198"/>
        <v>0</v>
      </c>
      <c r="AY122" s="22">
        <f t="shared" si="198"/>
        <v>0</v>
      </c>
      <c r="AZ122" s="22">
        <f t="shared" si="198"/>
        <v>0</v>
      </c>
      <c r="BA122" s="22">
        <f t="shared" si="198"/>
        <v>0</v>
      </c>
      <c r="BB122" s="22">
        <f t="shared" si="198"/>
        <v>0</v>
      </c>
      <c r="BC122" s="22">
        <f t="shared" si="198"/>
        <v>0</v>
      </c>
      <c r="BD122" s="22">
        <f t="shared" si="198"/>
        <v>0</v>
      </c>
      <c r="BE122" s="22">
        <f t="shared" si="198"/>
        <v>0</v>
      </c>
      <c r="BF122" s="22">
        <f t="shared" si="198"/>
        <v>0</v>
      </c>
      <c r="BG122" s="22">
        <f t="shared" si="198"/>
        <v>0</v>
      </c>
      <c r="BH122" s="22">
        <f t="shared" si="198"/>
        <v>0</v>
      </c>
      <c r="BI122" s="22">
        <f t="shared" si="198"/>
        <v>0</v>
      </c>
      <c r="BJ122" s="22">
        <f t="shared" si="198"/>
        <v>0</v>
      </c>
      <c r="BK122" s="22">
        <f t="shared" si="198"/>
        <v>0</v>
      </c>
      <c r="BL122" s="22">
        <f t="shared" si="198"/>
        <v>0</v>
      </c>
      <c r="BM122" s="22">
        <f t="shared" si="198"/>
        <v>0</v>
      </c>
      <c r="BN122" s="22">
        <f t="shared" si="198"/>
        <v>0</v>
      </c>
      <c r="BO122" s="22">
        <f t="shared" si="198"/>
        <v>0</v>
      </c>
      <c r="BP122" s="256">
        <f>SUM(BP123:BP126)</f>
        <v>0</v>
      </c>
      <c r="BQ122" s="256">
        <f>SUM(BQ123:BQ126)</f>
        <v>0</v>
      </c>
      <c r="BR122" s="101"/>
      <c r="BS122">
        <f t="shared" ref="BS122:CX122" si="199">IF($C122&lt;&gt;"",IF(D122&gt;0,1,0),0)</f>
        <v>0</v>
      </c>
      <c r="BT122">
        <f t="shared" si="199"/>
        <v>0</v>
      </c>
      <c r="BU122">
        <f t="shared" si="199"/>
        <v>0</v>
      </c>
      <c r="BV122">
        <f t="shared" si="199"/>
        <v>0</v>
      </c>
      <c r="BW122">
        <f t="shared" si="199"/>
        <v>0</v>
      </c>
      <c r="BX122">
        <f t="shared" si="199"/>
        <v>0</v>
      </c>
      <c r="BY122">
        <f t="shared" si="199"/>
        <v>0</v>
      </c>
      <c r="BZ122">
        <f t="shared" si="199"/>
        <v>0</v>
      </c>
      <c r="CA122">
        <f t="shared" si="199"/>
        <v>0</v>
      </c>
      <c r="CB122">
        <f t="shared" si="199"/>
        <v>0</v>
      </c>
      <c r="CC122">
        <f t="shared" si="199"/>
        <v>0</v>
      </c>
      <c r="CD122">
        <f t="shared" si="199"/>
        <v>0</v>
      </c>
      <c r="CE122">
        <f t="shared" si="199"/>
        <v>0</v>
      </c>
      <c r="CF122">
        <f t="shared" si="199"/>
        <v>0</v>
      </c>
      <c r="CG122">
        <f t="shared" si="199"/>
        <v>0</v>
      </c>
      <c r="CH122">
        <f t="shared" si="199"/>
        <v>0</v>
      </c>
      <c r="CI122">
        <f t="shared" si="199"/>
        <v>0</v>
      </c>
      <c r="CJ122">
        <f t="shared" si="199"/>
        <v>0</v>
      </c>
      <c r="CK122">
        <f t="shared" si="199"/>
        <v>0</v>
      </c>
      <c r="CL122">
        <f t="shared" si="199"/>
        <v>0</v>
      </c>
      <c r="CM122">
        <f t="shared" si="199"/>
        <v>0</v>
      </c>
      <c r="CN122">
        <f t="shared" si="199"/>
        <v>0</v>
      </c>
      <c r="CO122">
        <f t="shared" si="199"/>
        <v>0</v>
      </c>
      <c r="CP122">
        <f t="shared" si="199"/>
        <v>0</v>
      </c>
      <c r="CQ122">
        <f t="shared" si="199"/>
        <v>0</v>
      </c>
      <c r="CR122">
        <f t="shared" si="199"/>
        <v>0</v>
      </c>
      <c r="CS122">
        <f t="shared" si="199"/>
        <v>0</v>
      </c>
      <c r="CT122">
        <f t="shared" si="199"/>
        <v>0</v>
      </c>
      <c r="CU122">
        <f t="shared" si="199"/>
        <v>0</v>
      </c>
      <c r="CV122">
        <f t="shared" si="199"/>
        <v>0</v>
      </c>
      <c r="CW122">
        <f t="shared" si="199"/>
        <v>0</v>
      </c>
      <c r="CX122">
        <f t="shared" si="199"/>
        <v>0</v>
      </c>
      <c r="CY122">
        <f t="shared" ref="CY122:ED122" si="200">IF($C122&lt;&gt;"",IF(AJ122&gt;0,1,0),0)</f>
        <v>1</v>
      </c>
      <c r="CZ122">
        <f t="shared" si="200"/>
        <v>1</v>
      </c>
      <c r="DA122">
        <f t="shared" si="200"/>
        <v>1</v>
      </c>
      <c r="DB122">
        <f t="shared" si="200"/>
        <v>1</v>
      </c>
      <c r="DC122">
        <f t="shared" si="200"/>
        <v>1</v>
      </c>
      <c r="DD122">
        <f t="shared" si="200"/>
        <v>1</v>
      </c>
      <c r="DE122">
        <f t="shared" si="200"/>
        <v>1</v>
      </c>
      <c r="DF122">
        <f t="shared" si="200"/>
        <v>1</v>
      </c>
      <c r="DG122">
        <f t="shared" si="200"/>
        <v>1</v>
      </c>
      <c r="DH122">
        <f t="shared" si="200"/>
        <v>1</v>
      </c>
      <c r="DI122">
        <f t="shared" si="200"/>
        <v>1</v>
      </c>
      <c r="DJ122">
        <f t="shared" si="200"/>
        <v>1</v>
      </c>
      <c r="DK122">
        <f t="shared" si="200"/>
        <v>0</v>
      </c>
      <c r="DL122">
        <f t="shared" si="200"/>
        <v>0</v>
      </c>
      <c r="DM122">
        <f t="shared" si="200"/>
        <v>0</v>
      </c>
      <c r="DN122">
        <f t="shared" si="200"/>
        <v>0</v>
      </c>
      <c r="DO122">
        <f t="shared" si="200"/>
        <v>0</v>
      </c>
      <c r="DP122">
        <f t="shared" si="200"/>
        <v>0</v>
      </c>
      <c r="DQ122">
        <f t="shared" si="200"/>
        <v>0</v>
      </c>
      <c r="DR122">
        <f t="shared" si="200"/>
        <v>0</v>
      </c>
      <c r="DS122">
        <f t="shared" si="200"/>
        <v>0</v>
      </c>
      <c r="DT122">
        <f t="shared" si="200"/>
        <v>0</v>
      </c>
      <c r="DU122">
        <f t="shared" si="200"/>
        <v>0</v>
      </c>
      <c r="DV122">
        <f t="shared" si="200"/>
        <v>0</v>
      </c>
      <c r="DW122">
        <f t="shared" si="200"/>
        <v>0</v>
      </c>
      <c r="DX122">
        <f t="shared" si="200"/>
        <v>0</v>
      </c>
      <c r="DY122">
        <f t="shared" si="200"/>
        <v>0</v>
      </c>
      <c r="DZ122">
        <f t="shared" si="200"/>
        <v>0</v>
      </c>
      <c r="EA122">
        <f t="shared" si="200"/>
        <v>0</v>
      </c>
      <c r="EB122">
        <f t="shared" si="200"/>
        <v>0</v>
      </c>
      <c r="EC122">
        <f t="shared" si="200"/>
        <v>0</v>
      </c>
      <c r="ED122">
        <f t="shared" si="200"/>
        <v>0</v>
      </c>
      <c r="EE122">
        <f t="shared" ref="EE122:EF122" si="201">IF($C122&lt;&gt;"",IF(BP122&gt;0,1,0),0)</f>
        <v>0</v>
      </c>
      <c r="EF122">
        <f t="shared" si="201"/>
        <v>0</v>
      </c>
    </row>
    <row r="123" spans="1:136" ht="15.5">
      <c r="A123" s="90"/>
      <c r="B123" s="19" t="s">
        <v>205</v>
      </c>
      <c r="C123" s="94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18"/>
      <c r="AI123" s="18">
        <v>0</v>
      </c>
      <c r="AJ123" s="18">
        <v>0</v>
      </c>
      <c r="AK123" s="18">
        <v>0</v>
      </c>
      <c r="AL123" s="18">
        <v>0</v>
      </c>
      <c r="AM123" s="18">
        <v>0</v>
      </c>
      <c r="AN123" s="18">
        <v>2.1360000000000001</v>
      </c>
      <c r="AO123" s="18">
        <v>0</v>
      </c>
      <c r="AP123" s="18">
        <v>0</v>
      </c>
      <c r="AQ123" s="18">
        <v>0</v>
      </c>
      <c r="AR123" s="18">
        <v>0</v>
      </c>
      <c r="AS123" s="18">
        <v>0</v>
      </c>
      <c r="AT123" s="18">
        <v>0</v>
      </c>
      <c r="AU123" s="72">
        <v>0</v>
      </c>
      <c r="AV123" s="18">
        <v>0</v>
      </c>
      <c r="AW123" s="18">
        <v>0</v>
      </c>
      <c r="AX123" s="18">
        <v>0</v>
      </c>
      <c r="AY123" s="18">
        <v>0</v>
      </c>
      <c r="AZ123" s="18">
        <v>0</v>
      </c>
      <c r="BA123" s="18">
        <v>0</v>
      </c>
      <c r="BB123" s="18">
        <v>0</v>
      </c>
      <c r="BC123" s="18">
        <v>0</v>
      </c>
      <c r="BD123" s="18">
        <v>0</v>
      </c>
      <c r="BE123" s="25">
        <v>0</v>
      </c>
      <c r="BF123" s="18">
        <v>0</v>
      </c>
      <c r="BG123" s="18">
        <v>0</v>
      </c>
      <c r="BH123" s="18">
        <v>0</v>
      </c>
      <c r="BI123" s="18">
        <v>0</v>
      </c>
      <c r="BJ123" s="113">
        <v>0</v>
      </c>
      <c r="BK123" s="113">
        <v>0</v>
      </c>
      <c r="BL123" s="34">
        <v>0</v>
      </c>
      <c r="BM123" s="34">
        <v>0</v>
      </c>
      <c r="BN123" s="34">
        <v>0</v>
      </c>
      <c r="BO123" s="34">
        <v>0</v>
      </c>
      <c r="BP123" s="263">
        <v>0</v>
      </c>
      <c r="BQ123" s="263">
        <v>0</v>
      </c>
      <c r="BR123" s="101"/>
    </row>
    <row r="124" spans="1:136" ht="15.5">
      <c r="A124" s="90"/>
      <c r="B124" s="53" t="s">
        <v>3</v>
      </c>
      <c r="C124" s="94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>
        <v>0</v>
      </c>
      <c r="AJ124" s="18">
        <v>0</v>
      </c>
      <c r="AK124" s="18">
        <v>0</v>
      </c>
      <c r="AL124" s="18">
        <v>32.228999999999999</v>
      </c>
      <c r="AM124" s="18">
        <v>76.576999999999998</v>
      </c>
      <c r="AN124" s="18">
        <f>64.034-AN123</f>
        <v>61.898000000000003</v>
      </c>
      <c r="AO124" s="18">
        <v>126.88500000000001</v>
      </c>
      <c r="AP124" s="18">
        <v>31.314</v>
      </c>
      <c r="AQ124" s="18">
        <v>0</v>
      </c>
      <c r="AR124" s="18">
        <v>24.914999999999999</v>
      </c>
      <c r="AS124" s="18">
        <v>17.547999999999998</v>
      </c>
      <c r="AT124" s="18">
        <v>14.141999999999999</v>
      </c>
      <c r="AU124" s="168">
        <f>46060000/1000000</f>
        <v>46.06</v>
      </c>
      <c r="AV124" s="18">
        <v>0</v>
      </c>
      <c r="AW124" s="18">
        <v>0</v>
      </c>
      <c r="AX124" s="18">
        <v>0</v>
      </c>
      <c r="AY124" s="18">
        <v>0</v>
      </c>
      <c r="AZ124" s="18">
        <v>0</v>
      </c>
      <c r="BA124" s="18">
        <v>0</v>
      </c>
      <c r="BB124" s="18">
        <v>0</v>
      </c>
      <c r="BC124" s="18">
        <v>0</v>
      </c>
      <c r="BD124" s="18">
        <v>0</v>
      </c>
      <c r="BE124" s="25">
        <v>0</v>
      </c>
      <c r="BF124" s="18">
        <v>0</v>
      </c>
      <c r="BG124" s="18">
        <v>0</v>
      </c>
      <c r="BH124" s="18">
        <v>0</v>
      </c>
      <c r="BI124" s="18">
        <v>0</v>
      </c>
      <c r="BJ124" s="113">
        <v>0</v>
      </c>
      <c r="BK124" s="113">
        <v>0</v>
      </c>
      <c r="BL124" s="34">
        <v>0</v>
      </c>
      <c r="BM124" s="34">
        <v>0</v>
      </c>
      <c r="BN124" s="34">
        <v>0</v>
      </c>
      <c r="BO124" s="34">
        <v>0</v>
      </c>
      <c r="BP124" s="263">
        <v>0</v>
      </c>
      <c r="BQ124" s="263">
        <v>0</v>
      </c>
      <c r="BR124" s="101"/>
      <c r="BS124">
        <f t="shared" ref="BS124:CB126" si="202">IF($C124&lt;&gt;"",IF(D124&gt;0,1,0),0)</f>
        <v>0</v>
      </c>
      <c r="BT124">
        <f t="shared" si="202"/>
        <v>0</v>
      </c>
      <c r="BU124">
        <f t="shared" si="202"/>
        <v>0</v>
      </c>
      <c r="BV124">
        <f t="shared" si="202"/>
        <v>0</v>
      </c>
      <c r="BW124">
        <f t="shared" si="202"/>
        <v>0</v>
      </c>
      <c r="BX124">
        <f t="shared" si="202"/>
        <v>0</v>
      </c>
      <c r="BY124">
        <f t="shared" si="202"/>
        <v>0</v>
      </c>
      <c r="BZ124">
        <f t="shared" si="202"/>
        <v>0</v>
      </c>
      <c r="CA124">
        <f t="shared" si="202"/>
        <v>0</v>
      </c>
      <c r="CB124">
        <f t="shared" si="202"/>
        <v>0</v>
      </c>
      <c r="CC124">
        <f t="shared" ref="CC124:CL126" si="203">IF($C124&lt;&gt;"",IF(N124&gt;0,1,0),0)</f>
        <v>0</v>
      </c>
      <c r="CD124">
        <f t="shared" si="203"/>
        <v>0</v>
      </c>
      <c r="CE124">
        <f t="shared" si="203"/>
        <v>0</v>
      </c>
      <c r="CF124">
        <f t="shared" si="203"/>
        <v>0</v>
      </c>
      <c r="CG124">
        <f t="shared" si="203"/>
        <v>0</v>
      </c>
      <c r="CH124">
        <f t="shared" si="203"/>
        <v>0</v>
      </c>
      <c r="CI124">
        <f t="shared" si="203"/>
        <v>0</v>
      </c>
      <c r="CJ124">
        <f t="shared" si="203"/>
        <v>0</v>
      </c>
      <c r="CK124">
        <f t="shared" si="203"/>
        <v>0</v>
      </c>
      <c r="CL124">
        <f t="shared" si="203"/>
        <v>0</v>
      </c>
      <c r="CM124">
        <f t="shared" ref="CM124:CV126" si="204">IF($C124&lt;&gt;"",IF(X124&gt;0,1,0),0)</f>
        <v>0</v>
      </c>
      <c r="CN124">
        <f t="shared" si="204"/>
        <v>0</v>
      </c>
      <c r="CO124">
        <f t="shared" si="204"/>
        <v>0</v>
      </c>
      <c r="CP124">
        <f t="shared" si="204"/>
        <v>0</v>
      </c>
      <c r="CQ124">
        <f t="shared" si="204"/>
        <v>0</v>
      </c>
      <c r="CR124">
        <f t="shared" si="204"/>
        <v>0</v>
      </c>
      <c r="CS124">
        <f t="shared" si="204"/>
        <v>0</v>
      </c>
      <c r="CT124">
        <f t="shared" si="204"/>
        <v>0</v>
      </c>
      <c r="CU124">
        <f t="shared" si="204"/>
        <v>0</v>
      </c>
      <c r="CV124">
        <f t="shared" si="204"/>
        <v>0</v>
      </c>
      <c r="CW124">
        <f t="shared" ref="CW124:DF126" si="205">IF($C124&lt;&gt;"",IF(AH124&gt;0,1,0),0)</f>
        <v>0</v>
      </c>
      <c r="CX124">
        <f t="shared" si="205"/>
        <v>0</v>
      </c>
      <c r="CY124">
        <f t="shared" si="205"/>
        <v>0</v>
      </c>
      <c r="CZ124">
        <f t="shared" si="205"/>
        <v>0</v>
      </c>
      <c r="DA124">
        <f t="shared" si="205"/>
        <v>0</v>
      </c>
      <c r="DB124">
        <f t="shared" si="205"/>
        <v>0</v>
      </c>
      <c r="DC124">
        <f t="shared" si="205"/>
        <v>0</v>
      </c>
      <c r="DD124">
        <f t="shared" si="205"/>
        <v>0</v>
      </c>
      <c r="DE124">
        <f t="shared" si="205"/>
        <v>0</v>
      </c>
      <c r="DF124">
        <f t="shared" si="205"/>
        <v>0</v>
      </c>
      <c r="DG124">
        <f t="shared" ref="DG124:DP126" si="206">IF($C124&lt;&gt;"",IF(AR124&gt;0,1,0),0)</f>
        <v>0</v>
      </c>
      <c r="DH124">
        <f t="shared" si="206"/>
        <v>0</v>
      </c>
      <c r="DI124">
        <f t="shared" si="206"/>
        <v>0</v>
      </c>
      <c r="DJ124">
        <f t="shared" si="206"/>
        <v>0</v>
      </c>
      <c r="DK124">
        <f t="shared" si="206"/>
        <v>0</v>
      </c>
      <c r="DL124">
        <f t="shared" si="206"/>
        <v>0</v>
      </c>
      <c r="DM124">
        <f t="shared" si="206"/>
        <v>0</v>
      </c>
      <c r="DN124">
        <f t="shared" si="206"/>
        <v>0</v>
      </c>
      <c r="DO124">
        <f t="shared" si="206"/>
        <v>0</v>
      </c>
      <c r="DP124">
        <f t="shared" si="206"/>
        <v>0</v>
      </c>
      <c r="DQ124">
        <f t="shared" ref="DQ124:DZ126" si="207">IF($C124&lt;&gt;"",IF(BB124&gt;0,1,0),0)</f>
        <v>0</v>
      </c>
      <c r="DR124">
        <f t="shared" si="207"/>
        <v>0</v>
      </c>
      <c r="DS124">
        <f t="shared" si="207"/>
        <v>0</v>
      </c>
      <c r="DT124">
        <f t="shared" si="207"/>
        <v>0</v>
      </c>
      <c r="DU124">
        <f t="shared" si="207"/>
        <v>0</v>
      </c>
      <c r="DV124">
        <f t="shared" si="207"/>
        <v>0</v>
      </c>
      <c r="DW124">
        <f t="shared" si="207"/>
        <v>0</v>
      </c>
      <c r="DX124">
        <f t="shared" si="207"/>
        <v>0</v>
      </c>
      <c r="DY124">
        <f t="shared" si="207"/>
        <v>0</v>
      </c>
      <c r="DZ124">
        <f t="shared" si="207"/>
        <v>0</v>
      </c>
      <c r="EA124">
        <f t="shared" ref="EA124:EF126" si="208">IF($C124&lt;&gt;"",IF(BL124&gt;0,1,0),0)</f>
        <v>0</v>
      </c>
      <c r="EB124">
        <f t="shared" si="208"/>
        <v>0</v>
      </c>
      <c r="EC124">
        <f t="shared" si="208"/>
        <v>0</v>
      </c>
      <c r="ED124">
        <f t="shared" si="208"/>
        <v>0</v>
      </c>
      <c r="EE124">
        <f t="shared" si="208"/>
        <v>0</v>
      </c>
      <c r="EF124">
        <f t="shared" si="208"/>
        <v>0</v>
      </c>
    </row>
    <row r="125" spans="1:136" ht="15.5">
      <c r="A125" s="90"/>
      <c r="B125" s="19" t="s">
        <v>208</v>
      </c>
      <c r="C125" s="96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18"/>
      <c r="AI125" s="18">
        <v>0</v>
      </c>
      <c r="AJ125" s="18">
        <v>0</v>
      </c>
      <c r="AK125" s="18">
        <v>30.8</v>
      </c>
      <c r="AL125" s="18">
        <v>0</v>
      </c>
      <c r="AM125" s="18">
        <v>0</v>
      </c>
      <c r="AN125" s="18">
        <v>0</v>
      </c>
      <c r="AO125" s="18">
        <v>0</v>
      </c>
      <c r="AP125" s="18">
        <v>0</v>
      </c>
      <c r="AQ125" s="18">
        <v>0</v>
      </c>
      <c r="AR125" s="18">
        <v>0</v>
      </c>
      <c r="AS125" s="18">
        <v>0</v>
      </c>
      <c r="AT125" s="18">
        <v>0</v>
      </c>
      <c r="AU125" s="18">
        <v>0</v>
      </c>
      <c r="AV125" s="18">
        <v>0</v>
      </c>
      <c r="AW125" s="18">
        <v>0</v>
      </c>
      <c r="AX125" s="18">
        <v>0</v>
      </c>
      <c r="AY125" s="18">
        <v>0</v>
      </c>
      <c r="AZ125" s="18">
        <v>0</v>
      </c>
      <c r="BA125" s="18">
        <v>0</v>
      </c>
      <c r="BB125" s="18">
        <v>0</v>
      </c>
      <c r="BC125" s="18">
        <v>0</v>
      </c>
      <c r="BD125" s="18">
        <v>0</v>
      </c>
      <c r="BE125" s="18">
        <v>0</v>
      </c>
      <c r="BF125" s="18">
        <v>0</v>
      </c>
      <c r="BG125" s="18">
        <v>0</v>
      </c>
      <c r="BH125" s="18">
        <v>0</v>
      </c>
      <c r="BI125" s="18">
        <v>0</v>
      </c>
      <c r="BJ125" s="113">
        <v>0</v>
      </c>
      <c r="BK125" s="113">
        <v>0</v>
      </c>
      <c r="BL125" s="113">
        <v>0</v>
      </c>
      <c r="BM125" s="113">
        <v>0</v>
      </c>
      <c r="BN125" s="113">
        <v>0</v>
      </c>
      <c r="BO125" s="113">
        <v>0</v>
      </c>
      <c r="BP125" s="257">
        <v>0</v>
      </c>
      <c r="BQ125" s="257">
        <v>0</v>
      </c>
      <c r="BR125" s="101"/>
      <c r="BS125">
        <f t="shared" si="202"/>
        <v>0</v>
      </c>
      <c r="BT125">
        <f t="shared" si="202"/>
        <v>0</v>
      </c>
      <c r="BU125">
        <f t="shared" si="202"/>
        <v>0</v>
      </c>
      <c r="BV125">
        <f t="shared" si="202"/>
        <v>0</v>
      </c>
      <c r="BW125">
        <f t="shared" si="202"/>
        <v>0</v>
      </c>
      <c r="BX125">
        <f t="shared" si="202"/>
        <v>0</v>
      </c>
      <c r="BY125">
        <f t="shared" si="202"/>
        <v>0</v>
      </c>
      <c r="BZ125">
        <f t="shared" si="202"/>
        <v>0</v>
      </c>
      <c r="CA125">
        <f t="shared" si="202"/>
        <v>0</v>
      </c>
      <c r="CB125">
        <f t="shared" si="202"/>
        <v>0</v>
      </c>
      <c r="CC125">
        <f t="shared" si="203"/>
        <v>0</v>
      </c>
      <c r="CD125">
        <f t="shared" si="203"/>
        <v>0</v>
      </c>
      <c r="CE125">
        <f t="shared" si="203"/>
        <v>0</v>
      </c>
      <c r="CF125">
        <f t="shared" si="203"/>
        <v>0</v>
      </c>
      <c r="CG125">
        <f t="shared" si="203"/>
        <v>0</v>
      </c>
      <c r="CH125">
        <f t="shared" si="203"/>
        <v>0</v>
      </c>
      <c r="CI125">
        <f t="shared" si="203"/>
        <v>0</v>
      </c>
      <c r="CJ125">
        <f t="shared" si="203"/>
        <v>0</v>
      </c>
      <c r="CK125">
        <f t="shared" si="203"/>
        <v>0</v>
      </c>
      <c r="CL125">
        <f t="shared" si="203"/>
        <v>0</v>
      </c>
      <c r="CM125">
        <f t="shared" si="204"/>
        <v>0</v>
      </c>
      <c r="CN125">
        <f t="shared" si="204"/>
        <v>0</v>
      </c>
      <c r="CO125">
        <f t="shared" si="204"/>
        <v>0</v>
      </c>
      <c r="CP125">
        <f t="shared" si="204"/>
        <v>0</v>
      </c>
      <c r="CQ125">
        <f t="shared" si="204"/>
        <v>0</v>
      </c>
      <c r="CR125">
        <f t="shared" si="204"/>
        <v>0</v>
      </c>
      <c r="CS125">
        <f t="shared" si="204"/>
        <v>0</v>
      </c>
      <c r="CT125">
        <f t="shared" si="204"/>
        <v>0</v>
      </c>
      <c r="CU125">
        <f t="shared" si="204"/>
        <v>0</v>
      </c>
      <c r="CV125">
        <f t="shared" si="204"/>
        <v>0</v>
      </c>
      <c r="CW125">
        <f t="shared" si="205"/>
        <v>0</v>
      </c>
      <c r="CX125">
        <f t="shared" si="205"/>
        <v>0</v>
      </c>
      <c r="CY125">
        <f t="shared" si="205"/>
        <v>0</v>
      </c>
      <c r="CZ125">
        <f t="shared" si="205"/>
        <v>0</v>
      </c>
      <c r="DA125">
        <f t="shared" si="205"/>
        <v>0</v>
      </c>
      <c r="DB125">
        <f t="shared" si="205"/>
        <v>0</v>
      </c>
      <c r="DC125">
        <f t="shared" si="205"/>
        <v>0</v>
      </c>
      <c r="DD125">
        <f t="shared" si="205"/>
        <v>0</v>
      </c>
      <c r="DE125">
        <f t="shared" si="205"/>
        <v>0</v>
      </c>
      <c r="DF125">
        <f t="shared" si="205"/>
        <v>0</v>
      </c>
      <c r="DG125">
        <f t="shared" si="206"/>
        <v>0</v>
      </c>
      <c r="DH125">
        <f t="shared" si="206"/>
        <v>0</v>
      </c>
      <c r="DI125">
        <f t="shared" si="206"/>
        <v>0</v>
      </c>
      <c r="DJ125">
        <f t="shared" si="206"/>
        <v>0</v>
      </c>
      <c r="DK125">
        <f t="shared" si="206"/>
        <v>0</v>
      </c>
      <c r="DL125">
        <f t="shared" si="206"/>
        <v>0</v>
      </c>
      <c r="DM125">
        <f t="shared" si="206"/>
        <v>0</v>
      </c>
      <c r="DN125">
        <f t="shared" si="206"/>
        <v>0</v>
      </c>
      <c r="DO125">
        <f t="shared" si="206"/>
        <v>0</v>
      </c>
      <c r="DP125">
        <f t="shared" si="206"/>
        <v>0</v>
      </c>
      <c r="DQ125">
        <f t="shared" si="207"/>
        <v>0</v>
      </c>
      <c r="DR125">
        <f t="shared" si="207"/>
        <v>0</v>
      </c>
      <c r="DS125">
        <f t="shared" si="207"/>
        <v>0</v>
      </c>
      <c r="DT125">
        <f t="shared" si="207"/>
        <v>0</v>
      </c>
      <c r="DU125">
        <f t="shared" si="207"/>
        <v>0</v>
      </c>
      <c r="DV125">
        <f t="shared" si="207"/>
        <v>0</v>
      </c>
      <c r="DW125">
        <f t="shared" si="207"/>
        <v>0</v>
      </c>
      <c r="DX125">
        <f t="shared" si="207"/>
        <v>0</v>
      </c>
      <c r="DY125">
        <f t="shared" si="207"/>
        <v>0</v>
      </c>
      <c r="DZ125">
        <f t="shared" si="207"/>
        <v>0</v>
      </c>
      <c r="EA125">
        <f t="shared" si="208"/>
        <v>0</v>
      </c>
      <c r="EB125">
        <f t="shared" si="208"/>
        <v>0</v>
      </c>
      <c r="EC125">
        <f t="shared" si="208"/>
        <v>0</v>
      </c>
      <c r="ED125">
        <f t="shared" si="208"/>
        <v>0</v>
      </c>
      <c r="EE125">
        <f t="shared" si="208"/>
        <v>0</v>
      </c>
      <c r="EF125">
        <f t="shared" si="208"/>
        <v>0</v>
      </c>
    </row>
    <row r="126" spans="1:136" ht="15.5">
      <c r="A126" s="90"/>
      <c r="B126" s="53" t="s">
        <v>212</v>
      </c>
      <c r="C126" s="96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203"/>
      <c r="AI126" s="18">
        <v>0</v>
      </c>
      <c r="AJ126" s="18">
        <f>4123/265</f>
        <v>15.558490566037737</v>
      </c>
      <c r="AK126" s="18">
        <f>18554/108</f>
        <v>171.7962962962963</v>
      </c>
      <c r="AL126" s="18">
        <f>11900/406</f>
        <v>29.310344827586206</v>
      </c>
      <c r="AM126" s="18">
        <f>4800/423</f>
        <v>11.347517730496454</v>
      </c>
      <c r="AN126" s="18">
        <v>0</v>
      </c>
      <c r="AO126" s="147">
        <f>6022/500</f>
        <v>12.044</v>
      </c>
      <c r="AP126" s="167">
        <f>11092/522</f>
        <v>21.249042145593869</v>
      </c>
      <c r="AQ126" s="167">
        <f>30512/524</f>
        <v>58.229007633587784</v>
      </c>
      <c r="AR126" s="167">
        <f>30955/552</f>
        <v>56.07789855072464</v>
      </c>
      <c r="AS126" s="167">
        <f>2120*0.036</f>
        <v>76.319999999999993</v>
      </c>
      <c r="AT126" s="147">
        <f>2373*0.013</f>
        <v>30.849</v>
      </c>
      <c r="AU126" s="18">
        <v>0</v>
      </c>
      <c r="AV126" s="18">
        <v>0</v>
      </c>
      <c r="AW126" s="18">
        <v>0</v>
      </c>
      <c r="AX126" s="18">
        <v>0</v>
      </c>
      <c r="AY126" s="18">
        <v>0</v>
      </c>
      <c r="AZ126" s="18">
        <v>0</v>
      </c>
      <c r="BA126" s="18">
        <v>0</v>
      </c>
      <c r="BB126" s="18">
        <v>0</v>
      </c>
      <c r="BC126" s="18">
        <v>0</v>
      </c>
      <c r="BD126" s="18">
        <v>0</v>
      </c>
      <c r="BE126" s="18">
        <v>0</v>
      </c>
      <c r="BF126" s="18">
        <v>0</v>
      </c>
      <c r="BG126" s="18">
        <v>0</v>
      </c>
      <c r="BH126" s="18">
        <v>0</v>
      </c>
      <c r="BI126" s="18">
        <v>0</v>
      </c>
      <c r="BJ126" s="113">
        <v>0</v>
      </c>
      <c r="BK126" s="113">
        <v>0</v>
      </c>
      <c r="BL126" s="113">
        <v>0</v>
      </c>
      <c r="BM126" s="113">
        <v>0</v>
      </c>
      <c r="BN126" s="113">
        <v>0</v>
      </c>
      <c r="BO126" s="113">
        <v>0</v>
      </c>
      <c r="BP126" s="257">
        <v>0</v>
      </c>
      <c r="BQ126" s="257">
        <v>0</v>
      </c>
      <c r="BR126" s="101"/>
      <c r="BS126">
        <f t="shared" si="202"/>
        <v>0</v>
      </c>
      <c r="BT126">
        <f t="shared" si="202"/>
        <v>0</v>
      </c>
      <c r="BU126">
        <f t="shared" si="202"/>
        <v>0</v>
      </c>
      <c r="BV126">
        <f t="shared" si="202"/>
        <v>0</v>
      </c>
      <c r="BW126">
        <f t="shared" si="202"/>
        <v>0</v>
      </c>
      <c r="BX126">
        <f t="shared" si="202"/>
        <v>0</v>
      </c>
      <c r="BY126">
        <f t="shared" si="202"/>
        <v>0</v>
      </c>
      <c r="BZ126">
        <f t="shared" si="202"/>
        <v>0</v>
      </c>
      <c r="CA126">
        <f t="shared" si="202"/>
        <v>0</v>
      </c>
      <c r="CB126">
        <f t="shared" si="202"/>
        <v>0</v>
      </c>
      <c r="CC126">
        <f t="shared" si="203"/>
        <v>0</v>
      </c>
      <c r="CD126">
        <f t="shared" si="203"/>
        <v>0</v>
      </c>
      <c r="CE126">
        <f t="shared" si="203"/>
        <v>0</v>
      </c>
      <c r="CF126">
        <f t="shared" si="203"/>
        <v>0</v>
      </c>
      <c r="CG126">
        <f t="shared" si="203"/>
        <v>0</v>
      </c>
      <c r="CH126">
        <f t="shared" si="203"/>
        <v>0</v>
      </c>
      <c r="CI126">
        <f t="shared" si="203"/>
        <v>0</v>
      </c>
      <c r="CJ126">
        <f t="shared" si="203"/>
        <v>0</v>
      </c>
      <c r="CK126">
        <f t="shared" si="203"/>
        <v>0</v>
      </c>
      <c r="CL126">
        <f t="shared" si="203"/>
        <v>0</v>
      </c>
      <c r="CM126">
        <f t="shared" si="204"/>
        <v>0</v>
      </c>
      <c r="CN126">
        <f t="shared" si="204"/>
        <v>0</v>
      </c>
      <c r="CO126">
        <f t="shared" si="204"/>
        <v>0</v>
      </c>
      <c r="CP126">
        <f t="shared" si="204"/>
        <v>0</v>
      </c>
      <c r="CQ126">
        <f t="shared" si="204"/>
        <v>0</v>
      </c>
      <c r="CR126">
        <f t="shared" si="204"/>
        <v>0</v>
      </c>
      <c r="CS126">
        <f t="shared" si="204"/>
        <v>0</v>
      </c>
      <c r="CT126">
        <f t="shared" si="204"/>
        <v>0</v>
      </c>
      <c r="CU126">
        <f t="shared" si="204"/>
        <v>0</v>
      </c>
      <c r="CV126">
        <f t="shared" si="204"/>
        <v>0</v>
      </c>
      <c r="CW126">
        <f t="shared" si="205"/>
        <v>0</v>
      </c>
      <c r="CX126">
        <f t="shared" si="205"/>
        <v>0</v>
      </c>
      <c r="CY126">
        <f t="shared" si="205"/>
        <v>0</v>
      </c>
      <c r="CZ126">
        <f t="shared" si="205"/>
        <v>0</v>
      </c>
      <c r="DA126">
        <f t="shared" si="205"/>
        <v>0</v>
      </c>
      <c r="DB126">
        <f t="shared" si="205"/>
        <v>0</v>
      </c>
      <c r="DC126">
        <f t="shared" si="205"/>
        <v>0</v>
      </c>
      <c r="DD126">
        <f t="shared" si="205"/>
        <v>0</v>
      </c>
      <c r="DE126">
        <f t="shared" si="205"/>
        <v>0</v>
      </c>
      <c r="DF126">
        <f t="shared" si="205"/>
        <v>0</v>
      </c>
      <c r="DG126">
        <f t="shared" si="206"/>
        <v>0</v>
      </c>
      <c r="DH126">
        <f t="shared" si="206"/>
        <v>0</v>
      </c>
      <c r="DI126">
        <f t="shared" si="206"/>
        <v>0</v>
      </c>
      <c r="DJ126">
        <f t="shared" si="206"/>
        <v>0</v>
      </c>
      <c r="DK126">
        <f t="shared" si="206"/>
        <v>0</v>
      </c>
      <c r="DL126">
        <f t="shared" si="206"/>
        <v>0</v>
      </c>
      <c r="DM126">
        <f t="shared" si="206"/>
        <v>0</v>
      </c>
      <c r="DN126">
        <f t="shared" si="206"/>
        <v>0</v>
      </c>
      <c r="DO126">
        <f t="shared" si="206"/>
        <v>0</v>
      </c>
      <c r="DP126">
        <f t="shared" si="206"/>
        <v>0</v>
      </c>
      <c r="DQ126">
        <f t="shared" si="207"/>
        <v>0</v>
      </c>
      <c r="DR126">
        <f t="shared" si="207"/>
        <v>0</v>
      </c>
      <c r="DS126">
        <f t="shared" si="207"/>
        <v>0</v>
      </c>
      <c r="DT126">
        <f t="shared" si="207"/>
        <v>0</v>
      </c>
      <c r="DU126">
        <f t="shared" si="207"/>
        <v>0</v>
      </c>
      <c r="DV126">
        <f t="shared" si="207"/>
        <v>0</v>
      </c>
      <c r="DW126">
        <f t="shared" si="207"/>
        <v>0</v>
      </c>
      <c r="DX126">
        <f t="shared" si="207"/>
        <v>0</v>
      </c>
      <c r="DY126">
        <f t="shared" si="207"/>
        <v>0</v>
      </c>
      <c r="DZ126">
        <f t="shared" si="207"/>
        <v>0</v>
      </c>
      <c r="EA126">
        <f t="shared" si="208"/>
        <v>0</v>
      </c>
      <c r="EB126">
        <f t="shared" si="208"/>
        <v>0</v>
      </c>
      <c r="EC126">
        <f t="shared" si="208"/>
        <v>0</v>
      </c>
      <c r="ED126">
        <f t="shared" si="208"/>
        <v>0</v>
      </c>
      <c r="EE126">
        <f t="shared" si="208"/>
        <v>0</v>
      </c>
      <c r="EF126">
        <f t="shared" si="208"/>
        <v>0</v>
      </c>
    </row>
    <row r="127" spans="1:136" ht="15.5">
      <c r="A127" s="90"/>
      <c r="B127" s="53"/>
      <c r="C127" s="96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205"/>
      <c r="AT127" s="208"/>
      <c r="AU127" s="208"/>
      <c r="AV127" s="208"/>
      <c r="AW127" s="206"/>
      <c r="AX127" s="18"/>
      <c r="AY127" s="18"/>
      <c r="AZ127" s="206"/>
      <c r="BA127" s="206"/>
      <c r="BB127" s="206"/>
      <c r="BC127" s="18"/>
      <c r="BD127" s="18"/>
      <c r="BE127" s="18"/>
      <c r="BF127" s="18"/>
      <c r="BG127" s="18"/>
      <c r="BH127" s="18"/>
      <c r="BI127" s="113"/>
      <c r="BJ127" s="113"/>
      <c r="BK127" s="113"/>
      <c r="BL127" s="113"/>
      <c r="BM127" s="113"/>
      <c r="BN127" s="113"/>
      <c r="BO127" s="2"/>
      <c r="BP127" s="2"/>
      <c r="BQ127" s="2"/>
      <c r="BR127" s="101"/>
    </row>
    <row r="128" spans="1:136" ht="15.5">
      <c r="A128" s="93">
        <v>9</v>
      </c>
      <c r="B128" s="52" t="s">
        <v>237</v>
      </c>
      <c r="C128" s="94">
        <v>2</v>
      </c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40"/>
      <c r="AI128" s="40"/>
      <c r="AJ128" s="40"/>
      <c r="AK128" s="40"/>
      <c r="AL128" s="18"/>
      <c r="AM128" s="18"/>
      <c r="AN128" s="18"/>
      <c r="AO128" s="18"/>
      <c r="AP128" s="18"/>
      <c r="AQ128" s="18"/>
      <c r="AR128" s="18"/>
      <c r="AS128" s="205"/>
      <c r="AT128" s="208"/>
      <c r="AU128" s="208"/>
      <c r="AV128" s="208"/>
      <c r="AW128" s="208"/>
      <c r="AX128" s="208"/>
      <c r="AY128" s="208"/>
      <c r="AZ128" s="208"/>
      <c r="BA128" s="208"/>
      <c r="BB128" s="208"/>
      <c r="BC128" s="18"/>
      <c r="BD128" s="18"/>
      <c r="BE128" s="18"/>
      <c r="BF128" s="18"/>
      <c r="BG128" s="18"/>
      <c r="BH128" s="18"/>
      <c r="BI128" s="18"/>
      <c r="BJ128" s="113"/>
      <c r="BK128" s="113"/>
      <c r="BL128" s="113"/>
      <c r="BM128" s="113"/>
      <c r="BN128" s="113"/>
      <c r="BO128" s="2"/>
      <c r="BP128" s="2"/>
      <c r="BQ128" s="2"/>
      <c r="BR128" s="101"/>
    </row>
    <row r="129" spans="1:136" ht="15.5">
      <c r="A129" s="90"/>
      <c r="B129" s="53" t="s">
        <v>212</v>
      </c>
      <c r="C129" s="96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18">
        <v>0</v>
      </c>
      <c r="AI129" s="18">
        <v>0</v>
      </c>
      <c r="AJ129" s="18">
        <f>0.01*1978</f>
        <v>19.78</v>
      </c>
      <c r="AK129" s="18">
        <v>0</v>
      </c>
      <c r="AL129" s="18">
        <f>15/1.79</f>
        <v>8.3798882681564244</v>
      </c>
      <c r="AM129" s="18">
        <f>10/1.79</f>
        <v>5.5865921787709496</v>
      </c>
      <c r="AN129" s="18">
        <f>51/1.79</f>
        <v>28.491620111731844</v>
      </c>
      <c r="AO129" s="147">
        <f>88/1.79</f>
        <v>49.162011173184354</v>
      </c>
      <c r="AP129" s="147">
        <f>190/1.79</f>
        <v>106.14525139664805</v>
      </c>
      <c r="AQ129" s="147">
        <v>1</v>
      </c>
      <c r="AR129" s="147">
        <v>82</v>
      </c>
      <c r="AS129" s="147">
        <v>144</v>
      </c>
      <c r="AT129" s="147">
        <v>149</v>
      </c>
      <c r="AU129" s="18">
        <f>0.079*2044</f>
        <v>161.476</v>
      </c>
      <c r="AV129" s="18">
        <f>0.039*2255</f>
        <v>87.944999999999993</v>
      </c>
      <c r="AW129" s="18">
        <f>0.044*2360</f>
        <v>103.83999999999999</v>
      </c>
      <c r="AX129" s="18">
        <f>0.03*2470</f>
        <v>74.099999999999994</v>
      </c>
      <c r="AY129" s="18">
        <f>0.042*2678</f>
        <v>112.47600000000001</v>
      </c>
      <c r="AZ129" s="18">
        <f>0.013*2843</f>
        <v>36.958999999999996</v>
      </c>
      <c r="BA129" s="18">
        <f>0.014*2554</f>
        <v>35.756</v>
      </c>
      <c r="BB129" s="18">
        <f>0.014*2454</f>
        <v>34.356000000000002</v>
      </c>
      <c r="BC129" s="18">
        <v>22</v>
      </c>
      <c r="BD129" s="18">
        <f>0.015*2615</f>
        <v>39.225000000000001</v>
      </c>
      <c r="BE129" s="18">
        <f>0.015*2728</f>
        <v>40.92</v>
      </c>
      <c r="BF129" s="18">
        <v>0</v>
      </c>
      <c r="BG129" s="18">
        <v>0</v>
      </c>
      <c r="BH129" s="18">
        <v>0</v>
      </c>
      <c r="BI129" s="18">
        <v>0</v>
      </c>
      <c r="BJ129" s="113">
        <v>0</v>
      </c>
      <c r="BK129" s="113">
        <v>0</v>
      </c>
      <c r="BL129" s="113">
        <v>0</v>
      </c>
      <c r="BM129" s="113">
        <v>0</v>
      </c>
      <c r="BN129" s="113">
        <v>0</v>
      </c>
      <c r="BO129" s="113">
        <v>0</v>
      </c>
      <c r="BP129" s="113">
        <v>0</v>
      </c>
      <c r="BQ129" s="113">
        <v>0</v>
      </c>
      <c r="BR129" s="101"/>
      <c r="BS129">
        <f t="shared" ref="BS129:CX129" si="209">IF($C129&lt;&gt;"",IF(D129&gt;0,1,0),0)</f>
        <v>0</v>
      </c>
      <c r="BT129">
        <f t="shared" si="209"/>
        <v>0</v>
      </c>
      <c r="BU129">
        <f t="shared" si="209"/>
        <v>0</v>
      </c>
      <c r="BV129">
        <f t="shared" si="209"/>
        <v>0</v>
      </c>
      <c r="BW129">
        <f t="shared" si="209"/>
        <v>0</v>
      </c>
      <c r="BX129">
        <f t="shared" si="209"/>
        <v>0</v>
      </c>
      <c r="BY129">
        <f t="shared" si="209"/>
        <v>0</v>
      </c>
      <c r="BZ129">
        <f t="shared" si="209"/>
        <v>0</v>
      </c>
      <c r="CA129">
        <f t="shared" si="209"/>
        <v>0</v>
      </c>
      <c r="CB129">
        <f t="shared" si="209"/>
        <v>0</v>
      </c>
      <c r="CC129">
        <f t="shared" si="209"/>
        <v>0</v>
      </c>
      <c r="CD129">
        <f t="shared" si="209"/>
        <v>0</v>
      </c>
      <c r="CE129">
        <f t="shared" si="209"/>
        <v>0</v>
      </c>
      <c r="CF129">
        <f t="shared" si="209"/>
        <v>0</v>
      </c>
      <c r="CG129">
        <f t="shared" si="209"/>
        <v>0</v>
      </c>
      <c r="CH129">
        <f t="shared" si="209"/>
        <v>0</v>
      </c>
      <c r="CI129">
        <f t="shared" si="209"/>
        <v>0</v>
      </c>
      <c r="CJ129">
        <f t="shared" si="209"/>
        <v>0</v>
      </c>
      <c r="CK129">
        <f t="shared" si="209"/>
        <v>0</v>
      </c>
      <c r="CL129">
        <f t="shared" si="209"/>
        <v>0</v>
      </c>
      <c r="CM129">
        <f t="shared" si="209"/>
        <v>0</v>
      </c>
      <c r="CN129">
        <f t="shared" si="209"/>
        <v>0</v>
      </c>
      <c r="CO129">
        <f t="shared" si="209"/>
        <v>0</v>
      </c>
      <c r="CP129">
        <f t="shared" si="209"/>
        <v>0</v>
      </c>
      <c r="CQ129">
        <f t="shared" si="209"/>
        <v>0</v>
      </c>
      <c r="CR129">
        <f t="shared" si="209"/>
        <v>0</v>
      </c>
      <c r="CS129">
        <f t="shared" si="209"/>
        <v>0</v>
      </c>
      <c r="CT129">
        <f t="shared" si="209"/>
        <v>0</v>
      </c>
      <c r="CU129">
        <f t="shared" si="209"/>
        <v>0</v>
      </c>
      <c r="CV129">
        <f t="shared" si="209"/>
        <v>0</v>
      </c>
      <c r="CW129">
        <f t="shared" si="209"/>
        <v>0</v>
      </c>
      <c r="CX129">
        <f t="shared" si="209"/>
        <v>0</v>
      </c>
      <c r="CY129">
        <f t="shared" ref="CY129:ED129" si="210">IF($C129&lt;&gt;"",IF(AJ129&gt;0,1,0),0)</f>
        <v>0</v>
      </c>
      <c r="CZ129">
        <f t="shared" si="210"/>
        <v>0</v>
      </c>
      <c r="DA129">
        <f t="shared" si="210"/>
        <v>0</v>
      </c>
      <c r="DB129">
        <f t="shared" si="210"/>
        <v>0</v>
      </c>
      <c r="DC129">
        <f t="shared" si="210"/>
        <v>0</v>
      </c>
      <c r="DD129">
        <f t="shared" si="210"/>
        <v>0</v>
      </c>
      <c r="DE129">
        <f t="shared" si="210"/>
        <v>0</v>
      </c>
      <c r="DF129">
        <f t="shared" si="210"/>
        <v>0</v>
      </c>
      <c r="DG129">
        <f t="shared" si="210"/>
        <v>0</v>
      </c>
      <c r="DH129">
        <f t="shared" si="210"/>
        <v>0</v>
      </c>
      <c r="DI129">
        <f t="shared" si="210"/>
        <v>0</v>
      </c>
      <c r="DJ129">
        <f t="shared" si="210"/>
        <v>0</v>
      </c>
      <c r="DK129">
        <f t="shared" si="210"/>
        <v>0</v>
      </c>
      <c r="DL129">
        <f t="shared" si="210"/>
        <v>0</v>
      </c>
      <c r="DM129">
        <f t="shared" si="210"/>
        <v>0</v>
      </c>
      <c r="DN129">
        <f t="shared" si="210"/>
        <v>0</v>
      </c>
      <c r="DO129">
        <f t="shared" si="210"/>
        <v>0</v>
      </c>
      <c r="DP129">
        <f t="shared" si="210"/>
        <v>0</v>
      </c>
      <c r="DQ129">
        <f t="shared" si="210"/>
        <v>0</v>
      </c>
      <c r="DR129">
        <f t="shared" si="210"/>
        <v>0</v>
      </c>
      <c r="DS129">
        <f t="shared" si="210"/>
        <v>0</v>
      </c>
      <c r="DT129">
        <f t="shared" si="210"/>
        <v>0</v>
      </c>
      <c r="DU129">
        <f t="shared" si="210"/>
        <v>0</v>
      </c>
      <c r="DV129">
        <f t="shared" si="210"/>
        <v>0</v>
      </c>
      <c r="DW129">
        <f t="shared" si="210"/>
        <v>0</v>
      </c>
      <c r="DX129">
        <f t="shared" si="210"/>
        <v>0</v>
      </c>
      <c r="DY129">
        <f t="shared" si="210"/>
        <v>0</v>
      </c>
      <c r="DZ129">
        <f t="shared" si="210"/>
        <v>0</v>
      </c>
      <c r="EA129">
        <f t="shared" si="210"/>
        <v>0</v>
      </c>
      <c r="EB129">
        <f t="shared" si="210"/>
        <v>0</v>
      </c>
      <c r="EC129">
        <f t="shared" si="210"/>
        <v>0</v>
      </c>
      <c r="ED129">
        <f t="shared" si="210"/>
        <v>0</v>
      </c>
      <c r="EE129">
        <f t="shared" ref="EE129:EF129" si="211">IF($C129&lt;&gt;"",IF(BP129&gt;0,1,0),0)</f>
        <v>0</v>
      </c>
      <c r="EF129">
        <f t="shared" si="211"/>
        <v>0</v>
      </c>
    </row>
    <row r="130" spans="1:136" ht="15.5">
      <c r="A130" s="90"/>
      <c r="B130" s="53"/>
      <c r="C130" s="96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203"/>
      <c r="AI130" s="203"/>
      <c r="AJ130" s="203"/>
      <c r="AK130" s="203"/>
      <c r="AL130" s="203"/>
      <c r="AM130" s="203"/>
      <c r="AN130" s="203"/>
      <c r="AO130" s="203"/>
      <c r="AP130" s="203"/>
      <c r="AQ130" s="203"/>
      <c r="AR130" s="203"/>
      <c r="AS130" s="203"/>
      <c r="AT130" s="203"/>
      <c r="AU130" s="203"/>
      <c r="AV130" s="203"/>
      <c r="AW130" s="203"/>
      <c r="AX130" s="203"/>
      <c r="AY130" s="203"/>
      <c r="AZ130" s="203"/>
      <c r="BA130" s="71"/>
      <c r="BB130" s="209"/>
      <c r="BC130" s="203"/>
      <c r="BD130" s="203"/>
      <c r="BE130" s="203"/>
      <c r="BF130" s="203"/>
      <c r="BG130" s="205"/>
      <c r="BH130" s="113"/>
      <c r="BI130" s="2"/>
      <c r="BJ130" s="2"/>
      <c r="BK130" s="2"/>
      <c r="BL130" s="2"/>
      <c r="BM130" s="2"/>
      <c r="BN130" s="2"/>
      <c r="BO130" s="4"/>
      <c r="BP130" s="2"/>
      <c r="BQ130" s="2"/>
      <c r="BR130" s="101"/>
    </row>
    <row r="131" spans="1:136" ht="15.5">
      <c r="A131" s="93">
        <v>10</v>
      </c>
      <c r="B131" s="52" t="s">
        <v>28</v>
      </c>
      <c r="C131" s="94">
        <v>4</v>
      </c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>
        <f t="shared" ref="AH131:BF131" si="212">AH132</f>
        <v>0</v>
      </c>
      <c r="AI131" s="22">
        <f t="shared" si="212"/>
        <v>0</v>
      </c>
      <c r="AJ131" s="22">
        <f t="shared" si="212"/>
        <v>0</v>
      </c>
      <c r="AK131" s="22">
        <f t="shared" si="212"/>
        <v>0</v>
      </c>
      <c r="AL131" s="22">
        <f t="shared" si="212"/>
        <v>23.899000000000001</v>
      </c>
      <c r="AM131" s="22">
        <f t="shared" si="212"/>
        <v>41.531999999999996</v>
      </c>
      <c r="AN131" s="22">
        <f t="shared" si="212"/>
        <v>37.981000000000002</v>
      </c>
      <c r="AO131" s="22">
        <f t="shared" si="212"/>
        <v>37.981000000000002</v>
      </c>
      <c r="AP131" s="22">
        <f t="shared" si="212"/>
        <v>0</v>
      </c>
      <c r="AQ131" s="22">
        <f t="shared" si="212"/>
        <v>0</v>
      </c>
      <c r="AR131" s="22">
        <f t="shared" si="212"/>
        <v>0</v>
      </c>
      <c r="AS131" s="22">
        <f t="shared" si="212"/>
        <v>0</v>
      </c>
      <c r="AT131" s="22">
        <f t="shared" si="212"/>
        <v>0</v>
      </c>
      <c r="AU131" s="22">
        <f t="shared" si="212"/>
        <v>0</v>
      </c>
      <c r="AV131" s="22">
        <f t="shared" si="212"/>
        <v>74.816999999999993</v>
      </c>
      <c r="AW131" s="22">
        <f t="shared" si="212"/>
        <v>0</v>
      </c>
      <c r="AX131" s="22">
        <f t="shared" si="212"/>
        <v>0</v>
      </c>
      <c r="AY131" s="22">
        <f t="shared" si="212"/>
        <v>0</v>
      </c>
      <c r="AZ131" s="22">
        <f t="shared" si="212"/>
        <v>0</v>
      </c>
      <c r="BA131" s="22">
        <f t="shared" si="212"/>
        <v>0</v>
      </c>
      <c r="BB131" s="22">
        <f t="shared" si="212"/>
        <v>0</v>
      </c>
      <c r="BC131" s="22">
        <f t="shared" si="212"/>
        <v>0</v>
      </c>
      <c r="BD131" s="22">
        <f t="shared" si="212"/>
        <v>0</v>
      </c>
      <c r="BE131" s="22">
        <f t="shared" si="212"/>
        <v>0</v>
      </c>
      <c r="BF131" s="22">
        <f t="shared" si="212"/>
        <v>0</v>
      </c>
      <c r="BG131" s="22">
        <v>0</v>
      </c>
      <c r="BH131" s="22">
        <v>0</v>
      </c>
      <c r="BI131" s="22">
        <v>0</v>
      </c>
      <c r="BJ131" s="4">
        <v>0</v>
      </c>
      <c r="BK131" s="4">
        <v>0</v>
      </c>
      <c r="BL131" s="109">
        <f>BL132</f>
        <v>0.36498359999999996</v>
      </c>
      <c r="BM131" s="4">
        <v>0</v>
      </c>
      <c r="BN131" s="4">
        <v>0</v>
      </c>
      <c r="BO131" s="4">
        <v>0</v>
      </c>
      <c r="BP131" s="4">
        <v>0</v>
      </c>
      <c r="BQ131" s="4">
        <v>0</v>
      </c>
      <c r="BR131" s="101"/>
      <c r="BS131">
        <f t="shared" ref="BS131:CB132" si="213">IF($C131&lt;&gt;"",IF(D131&gt;0,1,0),0)</f>
        <v>0</v>
      </c>
      <c r="BT131">
        <f t="shared" si="213"/>
        <v>0</v>
      </c>
      <c r="BU131">
        <f t="shared" si="213"/>
        <v>0</v>
      </c>
      <c r="BV131">
        <f t="shared" si="213"/>
        <v>0</v>
      </c>
      <c r="BW131">
        <f t="shared" si="213"/>
        <v>0</v>
      </c>
      <c r="BX131">
        <f t="shared" si="213"/>
        <v>0</v>
      </c>
      <c r="BY131">
        <f t="shared" si="213"/>
        <v>0</v>
      </c>
      <c r="BZ131">
        <f t="shared" si="213"/>
        <v>0</v>
      </c>
      <c r="CA131">
        <f t="shared" si="213"/>
        <v>0</v>
      </c>
      <c r="CB131">
        <f t="shared" si="213"/>
        <v>0</v>
      </c>
      <c r="CC131">
        <f t="shared" ref="CC131:CL132" si="214">IF($C131&lt;&gt;"",IF(N131&gt;0,1,0),0)</f>
        <v>0</v>
      </c>
      <c r="CD131">
        <f t="shared" si="214"/>
        <v>0</v>
      </c>
      <c r="CE131">
        <f t="shared" si="214"/>
        <v>0</v>
      </c>
      <c r="CF131">
        <f t="shared" si="214"/>
        <v>0</v>
      </c>
      <c r="CG131">
        <f t="shared" si="214"/>
        <v>0</v>
      </c>
      <c r="CH131">
        <f t="shared" si="214"/>
        <v>0</v>
      </c>
      <c r="CI131">
        <f t="shared" si="214"/>
        <v>0</v>
      </c>
      <c r="CJ131">
        <f t="shared" si="214"/>
        <v>0</v>
      </c>
      <c r="CK131">
        <f t="shared" si="214"/>
        <v>0</v>
      </c>
      <c r="CL131">
        <f t="shared" si="214"/>
        <v>0</v>
      </c>
      <c r="CM131">
        <f t="shared" ref="CM131:CV132" si="215">IF($C131&lt;&gt;"",IF(X131&gt;0,1,0),0)</f>
        <v>0</v>
      </c>
      <c r="CN131">
        <f t="shared" si="215"/>
        <v>0</v>
      </c>
      <c r="CO131">
        <f t="shared" si="215"/>
        <v>0</v>
      </c>
      <c r="CP131">
        <f t="shared" si="215"/>
        <v>0</v>
      </c>
      <c r="CQ131">
        <f t="shared" si="215"/>
        <v>0</v>
      </c>
      <c r="CR131">
        <f t="shared" si="215"/>
        <v>0</v>
      </c>
      <c r="CS131">
        <f t="shared" si="215"/>
        <v>0</v>
      </c>
      <c r="CT131">
        <f t="shared" si="215"/>
        <v>0</v>
      </c>
      <c r="CU131">
        <f t="shared" si="215"/>
        <v>0</v>
      </c>
      <c r="CV131">
        <f t="shared" si="215"/>
        <v>0</v>
      </c>
      <c r="CW131">
        <f t="shared" ref="CW131:DF132" si="216">IF($C131&lt;&gt;"",IF(AH131&gt;0,1,0),0)</f>
        <v>0</v>
      </c>
      <c r="CX131">
        <f t="shared" si="216"/>
        <v>0</v>
      </c>
      <c r="CY131">
        <f t="shared" si="216"/>
        <v>0</v>
      </c>
      <c r="CZ131">
        <f t="shared" si="216"/>
        <v>0</v>
      </c>
      <c r="DA131">
        <f t="shared" si="216"/>
        <v>1</v>
      </c>
      <c r="DB131">
        <f t="shared" si="216"/>
        <v>1</v>
      </c>
      <c r="DC131">
        <f t="shared" si="216"/>
        <v>1</v>
      </c>
      <c r="DD131">
        <f t="shared" si="216"/>
        <v>1</v>
      </c>
      <c r="DE131">
        <f t="shared" si="216"/>
        <v>0</v>
      </c>
      <c r="DF131">
        <f t="shared" si="216"/>
        <v>0</v>
      </c>
      <c r="DG131">
        <f t="shared" ref="DG131:DP132" si="217">IF($C131&lt;&gt;"",IF(AR131&gt;0,1,0),0)</f>
        <v>0</v>
      </c>
      <c r="DH131">
        <f t="shared" si="217"/>
        <v>0</v>
      </c>
      <c r="DI131">
        <f t="shared" si="217"/>
        <v>0</v>
      </c>
      <c r="DJ131">
        <f t="shared" si="217"/>
        <v>0</v>
      </c>
      <c r="DK131">
        <f t="shared" si="217"/>
        <v>1</v>
      </c>
      <c r="DL131">
        <f t="shared" si="217"/>
        <v>0</v>
      </c>
      <c r="DM131">
        <f t="shared" si="217"/>
        <v>0</v>
      </c>
      <c r="DN131">
        <f t="shared" si="217"/>
        <v>0</v>
      </c>
      <c r="DO131">
        <f t="shared" si="217"/>
        <v>0</v>
      </c>
      <c r="DP131">
        <f t="shared" si="217"/>
        <v>0</v>
      </c>
      <c r="DQ131">
        <f t="shared" ref="DQ131:DZ132" si="218">IF($C131&lt;&gt;"",IF(BB131&gt;0,1,0),0)</f>
        <v>0</v>
      </c>
      <c r="DR131">
        <f t="shared" si="218"/>
        <v>0</v>
      </c>
      <c r="DS131">
        <f t="shared" si="218"/>
        <v>0</v>
      </c>
      <c r="DT131">
        <f t="shared" si="218"/>
        <v>0</v>
      </c>
      <c r="DU131">
        <f t="shared" si="218"/>
        <v>0</v>
      </c>
      <c r="DV131">
        <f t="shared" si="218"/>
        <v>0</v>
      </c>
      <c r="DW131">
        <f t="shared" si="218"/>
        <v>0</v>
      </c>
      <c r="DX131">
        <f t="shared" si="218"/>
        <v>0</v>
      </c>
      <c r="DY131">
        <f t="shared" si="218"/>
        <v>0</v>
      </c>
      <c r="DZ131">
        <f t="shared" si="218"/>
        <v>0</v>
      </c>
      <c r="EA131">
        <f t="shared" ref="EA131:EF132" si="219">IF($C131&lt;&gt;"",IF(BL131&gt;0,1,0),0)</f>
        <v>1</v>
      </c>
      <c r="EB131">
        <f t="shared" si="219"/>
        <v>0</v>
      </c>
      <c r="EC131">
        <f t="shared" si="219"/>
        <v>0</v>
      </c>
      <c r="ED131">
        <f t="shared" si="219"/>
        <v>0</v>
      </c>
      <c r="EE131">
        <f t="shared" si="219"/>
        <v>0</v>
      </c>
      <c r="EF131">
        <f t="shared" si="219"/>
        <v>0</v>
      </c>
    </row>
    <row r="132" spans="1:136" ht="15.5">
      <c r="A132" s="93"/>
      <c r="B132" s="53" t="s">
        <v>3</v>
      </c>
      <c r="C132" s="94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>
        <v>0</v>
      </c>
      <c r="AI132" s="18">
        <v>0</v>
      </c>
      <c r="AJ132" s="18">
        <v>0</v>
      </c>
      <c r="AK132" s="18">
        <v>0</v>
      </c>
      <c r="AL132" s="18">
        <v>23.899000000000001</v>
      </c>
      <c r="AM132" s="18">
        <v>41.531999999999996</v>
      </c>
      <c r="AN132" s="18">
        <v>37.981000000000002</v>
      </c>
      <c r="AO132" s="18">
        <v>37.981000000000002</v>
      </c>
      <c r="AP132" s="18">
        <v>0</v>
      </c>
      <c r="AQ132" s="18">
        <v>0</v>
      </c>
      <c r="AR132" s="18">
        <v>0</v>
      </c>
      <c r="AS132" s="18">
        <v>0</v>
      </c>
      <c r="AT132" s="18">
        <v>0</v>
      </c>
      <c r="AU132" s="18">
        <v>0</v>
      </c>
      <c r="AV132" s="18">
        <v>74.816999999999993</v>
      </c>
      <c r="AW132" s="18">
        <v>0</v>
      </c>
      <c r="AX132" s="18">
        <v>0</v>
      </c>
      <c r="AY132" s="18">
        <v>0</v>
      </c>
      <c r="AZ132" s="18">
        <v>0</v>
      </c>
      <c r="BA132" s="18">
        <v>0</v>
      </c>
      <c r="BB132" s="18">
        <v>0</v>
      </c>
      <c r="BC132" s="18">
        <v>0</v>
      </c>
      <c r="BD132" s="18">
        <v>0</v>
      </c>
      <c r="BE132" s="25">
        <v>0</v>
      </c>
      <c r="BF132" s="18">
        <v>0</v>
      </c>
      <c r="BG132" s="18">
        <v>0</v>
      </c>
      <c r="BH132" s="18">
        <v>0</v>
      </c>
      <c r="BI132" s="18">
        <v>0</v>
      </c>
      <c r="BJ132" s="113">
        <v>0</v>
      </c>
      <c r="BK132" s="113">
        <v>0</v>
      </c>
      <c r="BL132" s="103">
        <v>0.36498359999999996</v>
      </c>
      <c r="BM132" s="113">
        <v>0</v>
      </c>
      <c r="BN132" s="113">
        <v>0</v>
      </c>
      <c r="BO132" s="113">
        <v>0</v>
      </c>
      <c r="BP132" s="113">
        <v>0</v>
      </c>
      <c r="BQ132" s="113">
        <v>0</v>
      </c>
      <c r="BR132" s="101"/>
      <c r="BS132">
        <f t="shared" si="213"/>
        <v>0</v>
      </c>
      <c r="BT132">
        <f t="shared" si="213"/>
        <v>0</v>
      </c>
      <c r="BU132">
        <f t="shared" si="213"/>
        <v>0</v>
      </c>
      <c r="BV132">
        <f t="shared" si="213"/>
        <v>0</v>
      </c>
      <c r="BW132">
        <f t="shared" si="213"/>
        <v>0</v>
      </c>
      <c r="BX132">
        <f t="shared" si="213"/>
        <v>0</v>
      </c>
      <c r="BY132">
        <f t="shared" si="213"/>
        <v>0</v>
      </c>
      <c r="BZ132">
        <f t="shared" si="213"/>
        <v>0</v>
      </c>
      <c r="CA132">
        <f t="shared" si="213"/>
        <v>0</v>
      </c>
      <c r="CB132">
        <f t="shared" si="213"/>
        <v>0</v>
      </c>
      <c r="CC132">
        <f t="shared" si="214"/>
        <v>0</v>
      </c>
      <c r="CD132">
        <f t="shared" si="214"/>
        <v>0</v>
      </c>
      <c r="CE132">
        <f t="shared" si="214"/>
        <v>0</v>
      </c>
      <c r="CF132">
        <f t="shared" si="214"/>
        <v>0</v>
      </c>
      <c r="CG132">
        <f t="shared" si="214"/>
        <v>0</v>
      </c>
      <c r="CH132">
        <f t="shared" si="214"/>
        <v>0</v>
      </c>
      <c r="CI132">
        <f t="shared" si="214"/>
        <v>0</v>
      </c>
      <c r="CJ132">
        <f t="shared" si="214"/>
        <v>0</v>
      </c>
      <c r="CK132">
        <f t="shared" si="214"/>
        <v>0</v>
      </c>
      <c r="CL132">
        <f t="shared" si="214"/>
        <v>0</v>
      </c>
      <c r="CM132">
        <f t="shared" si="215"/>
        <v>0</v>
      </c>
      <c r="CN132">
        <f t="shared" si="215"/>
        <v>0</v>
      </c>
      <c r="CO132">
        <f t="shared" si="215"/>
        <v>0</v>
      </c>
      <c r="CP132">
        <f t="shared" si="215"/>
        <v>0</v>
      </c>
      <c r="CQ132">
        <f t="shared" si="215"/>
        <v>0</v>
      </c>
      <c r="CR132">
        <f t="shared" si="215"/>
        <v>0</v>
      </c>
      <c r="CS132">
        <f t="shared" si="215"/>
        <v>0</v>
      </c>
      <c r="CT132">
        <f t="shared" si="215"/>
        <v>0</v>
      </c>
      <c r="CU132">
        <f t="shared" si="215"/>
        <v>0</v>
      </c>
      <c r="CV132">
        <f t="shared" si="215"/>
        <v>0</v>
      </c>
      <c r="CW132">
        <f t="shared" si="216"/>
        <v>0</v>
      </c>
      <c r="CX132">
        <f t="shared" si="216"/>
        <v>0</v>
      </c>
      <c r="CY132">
        <f t="shared" si="216"/>
        <v>0</v>
      </c>
      <c r="CZ132">
        <f t="shared" si="216"/>
        <v>0</v>
      </c>
      <c r="DA132">
        <f t="shared" si="216"/>
        <v>0</v>
      </c>
      <c r="DB132">
        <f t="shared" si="216"/>
        <v>0</v>
      </c>
      <c r="DC132">
        <f t="shared" si="216"/>
        <v>0</v>
      </c>
      <c r="DD132">
        <f t="shared" si="216"/>
        <v>0</v>
      </c>
      <c r="DE132">
        <f t="shared" si="216"/>
        <v>0</v>
      </c>
      <c r="DF132">
        <f t="shared" si="216"/>
        <v>0</v>
      </c>
      <c r="DG132">
        <f t="shared" si="217"/>
        <v>0</v>
      </c>
      <c r="DH132">
        <f t="shared" si="217"/>
        <v>0</v>
      </c>
      <c r="DI132">
        <f t="shared" si="217"/>
        <v>0</v>
      </c>
      <c r="DJ132">
        <f t="shared" si="217"/>
        <v>0</v>
      </c>
      <c r="DK132">
        <f t="shared" si="217"/>
        <v>0</v>
      </c>
      <c r="DL132">
        <f t="shared" si="217"/>
        <v>0</v>
      </c>
      <c r="DM132">
        <f t="shared" si="217"/>
        <v>0</v>
      </c>
      <c r="DN132">
        <f t="shared" si="217"/>
        <v>0</v>
      </c>
      <c r="DO132">
        <f t="shared" si="217"/>
        <v>0</v>
      </c>
      <c r="DP132">
        <f t="shared" si="217"/>
        <v>0</v>
      </c>
      <c r="DQ132">
        <f t="shared" si="218"/>
        <v>0</v>
      </c>
      <c r="DR132">
        <f t="shared" si="218"/>
        <v>0</v>
      </c>
      <c r="DS132">
        <f t="shared" si="218"/>
        <v>0</v>
      </c>
      <c r="DT132">
        <f t="shared" si="218"/>
        <v>0</v>
      </c>
      <c r="DU132">
        <f t="shared" si="218"/>
        <v>0</v>
      </c>
      <c r="DV132">
        <f t="shared" si="218"/>
        <v>0</v>
      </c>
      <c r="DW132">
        <f t="shared" si="218"/>
        <v>0</v>
      </c>
      <c r="DX132">
        <f t="shared" si="218"/>
        <v>0</v>
      </c>
      <c r="DY132">
        <f t="shared" si="218"/>
        <v>0</v>
      </c>
      <c r="DZ132">
        <f t="shared" si="218"/>
        <v>0</v>
      </c>
      <c r="EA132">
        <f t="shared" si="219"/>
        <v>0</v>
      </c>
      <c r="EB132">
        <f t="shared" si="219"/>
        <v>0</v>
      </c>
      <c r="EC132">
        <f t="shared" si="219"/>
        <v>0</v>
      </c>
      <c r="ED132">
        <f t="shared" si="219"/>
        <v>0</v>
      </c>
      <c r="EE132">
        <f t="shared" si="219"/>
        <v>0</v>
      </c>
      <c r="EF132">
        <f t="shared" si="219"/>
        <v>0</v>
      </c>
    </row>
    <row r="133" spans="1:136" ht="15.5">
      <c r="A133" s="93"/>
      <c r="B133" s="53" t="s">
        <v>212</v>
      </c>
      <c r="C133" s="94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>
        <v>11.428571428571429</v>
      </c>
      <c r="AI133" s="18">
        <v>13.061224489795919</v>
      </c>
      <c r="AJ133" s="18">
        <v>0</v>
      </c>
      <c r="AK133" s="18">
        <v>114.28571428571429</v>
      </c>
      <c r="AL133" s="18">
        <v>545.64172958133145</v>
      </c>
      <c r="AM133" s="18">
        <v>184.66898954703834</v>
      </c>
      <c r="AN133" s="18">
        <v>160.59802266698819</v>
      </c>
      <c r="AO133" s="18">
        <v>153.29218106995884</v>
      </c>
      <c r="AP133" s="18">
        <v>135.2185089974293</v>
      </c>
      <c r="AQ133" s="18">
        <v>0</v>
      </c>
      <c r="AR133" s="18">
        <v>68</v>
      </c>
      <c r="AS133" s="18">
        <v>0</v>
      </c>
      <c r="AT133" s="18">
        <v>0</v>
      </c>
      <c r="AU133" s="18">
        <v>0</v>
      </c>
      <c r="AV133" s="18">
        <v>8.5980000000000008</v>
      </c>
      <c r="AW133" s="18">
        <v>0</v>
      </c>
      <c r="AX133" s="18">
        <v>0</v>
      </c>
      <c r="AY133" s="18">
        <v>0</v>
      </c>
      <c r="AZ133" s="18">
        <v>0</v>
      </c>
      <c r="BA133" s="18">
        <v>0</v>
      </c>
      <c r="BB133" s="18">
        <v>0</v>
      </c>
      <c r="BC133" s="18">
        <v>0</v>
      </c>
      <c r="BD133" s="18">
        <v>0</v>
      </c>
      <c r="BE133" s="25">
        <v>0</v>
      </c>
      <c r="BF133" s="18">
        <v>0</v>
      </c>
      <c r="BG133" s="18">
        <v>0</v>
      </c>
      <c r="BH133" s="18">
        <v>0</v>
      </c>
      <c r="BI133" s="18">
        <v>0</v>
      </c>
      <c r="BJ133" s="113">
        <v>0</v>
      </c>
      <c r="BK133" s="113">
        <v>0</v>
      </c>
      <c r="BL133" s="34">
        <v>0</v>
      </c>
      <c r="BM133" s="113">
        <v>0</v>
      </c>
      <c r="BN133" s="113">
        <v>0</v>
      </c>
      <c r="BO133" s="113">
        <v>0</v>
      </c>
      <c r="BP133" s="113">
        <v>0</v>
      </c>
      <c r="BQ133" s="113">
        <v>0</v>
      </c>
      <c r="BR133" s="101"/>
      <c r="BS133">
        <f>IF($C133&lt;&gt;"",IF(D133&gt;0,1,0),0)</f>
        <v>0</v>
      </c>
      <c r="DB133">
        <f t="shared" ref="DB133:EF133" si="220">IF($C133&lt;&gt;"",IF(AM133&gt;0,1,0),0)</f>
        <v>0</v>
      </c>
      <c r="DC133">
        <f t="shared" si="220"/>
        <v>0</v>
      </c>
      <c r="DD133">
        <f t="shared" si="220"/>
        <v>0</v>
      </c>
      <c r="DE133">
        <f t="shared" si="220"/>
        <v>0</v>
      </c>
      <c r="DF133">
        <f t="shared" si="220"/>
        <v>0</v>
      </c>
      <c r="DG133">
        <f t="shared" si="220"/>
        <v>0</v>
      </c>
      <c r="DH133">
        <f t="shared" si="220"/>
        <v>0</v>
      </c>
      <c r="DI133">
        <f t="shared" si="220"/>
        <v>0</v>
      </c>
      <c r="DJ133">
        <f t="shared" si="220"/>
        <v>0</v>
      </c>
      <c r="DK133">
        <f t="shared" si="220"/>
        <v>0</v>
      </c>
      <c r="DL133">
        <f t="shared" si="220"/>
        <v>0</v>
      </c>
      <c r="DM133">
        <f t="shared" si="220"/>
        <v>0</v>
      </c>
      <c r="DN133">
        <f t="shared" si="220"/>
        <v>0</v>
      </c>
      <c r="DO133">
        <f t="shared" si="220"/>
        <v>0</v>
      </c>
      <c r="DP133">
        <f t="shared" si="220"/>
        <v>0</v>
      </c>
      <c r="DQ133">
        <f t="shared" si="220"/>
        <v>0</v>
      </c>
      <c r="DR133">
        <f t="shared" si="220"/>
        <v>0</v>
      </c>
      <c r="DS133">
        <f t="shared" si="220"/>
        <v>0</v>
      </c>
      <c r="DT133">
        <f t="shared" si="220"/>
        <v>0</v>
      </c>
      <c r="DU133">
        <f t="shared" si="220"/>
        <v>0</v>
      </c>
      <c r="DV133">
        <f t="shared" si="220"/>
        <v>0</v>
      </c>
      <c r="DW133">
        <f t="shared" si="220"/>
        <v>0</v>
      </c>
      <c r="DX133">
        <f t="shared" si="220"/>
        <v>0</v>
      </c>
      <c r="DY133">
        <f t="shared" si="220"/>
        <v>0</v>
      </c>
      <c r="DZ133">
        <f t="shared" si="220"/>
        <v>0</v>
      </c>
      <c r="EA133">
        <f t="shared" si="220"/>
        <v>0</v>
      </c>
      <c r="EB133">
        <f t="shared" si="220"/>
        <v>0</v>
      </c>
      <c r="EC133">
        <f t="shared" si="220"/>
        <v>0</v>
      </c>
      <c r="ED133">
        <f t="shared" si="220"/>
        <v>0</v>
      </c>
      <c r="EE133">
        <f t="shared" si="220"/>
        <v>0</v>
      </c>
      <c r="EF133">
        <f t="shared" si="220"/>
        <v>0</v>
      </c>
    </row>
    <row r="134" spans="1:136" ht="15.5">
      <c r="A134" s="93"/>
      <c r="B134" s="54"/>
      <c r="C134" s="94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31"/>
      <c r="BH134" s="2"/>
      <c r="BI134" s="2"/>
      <c r="BJ134" s="2"/>
      <c r="BK134" s="2"/>
      <c r="BL134" s="4"/>
      <c r="BM134" s="2"/>
      <c r="BN134" s="2"/>
      <c r="BO134" s="2"/>
      <c r="BP134" s="2"/>
      <c r="BQ134" s="2"/>
      <c r="BR134" s="101"/>
    </row>
    <row r="135" spans="1:136" ht="15.5">
      <c r="A135" s="93">
        <v>11</v>
      </c>
      <c r="B135" s="54" t="s">
        <v>217</v>
      </c>
      <c r="C135" s="94">
        <v>3</v>
      </c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4"/>
      <c r="BK135" s="4"/>
      <c r="BL135" s="2"/>
      <c r="BM135" s="2"/>
      <c r="BN135" s="2"/>
      <c r="BO135" s="2"/>
      <c r="BP135" s="2"/>
      <c r="BQ135" s="2"/>
      <c r="BR135" s="101"/>
      <c r="BS135" s="267" t="s">
        <v>254</v>
      </c>
    </row>
    <row r="136" spans="1:136" ht="15.5">
      <c r="A136" s="93"/>
      <c r="B136" s="183" t="s">
        <v>212</v>
      </c>
      <c r="C136" s="94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>
        <v>0</v>
      </c>
      <c r="AI136" s="18">
        <v>0</v>
      </c>
      <c r="AJ136" s="18">
        <v>0</v>
      </c>
      <c r="AK136" s="18">
        <v>0</v>
      </c>
      <c r="AL136" s="18">
        <v>0</v>
      </c>
      <c r="AM136" s="18">
        <v>0</v>
      </c>
      <c r="AN136" s="18">
        <v>0</v>
      </c>
      <c r="AO136" s="18">
        <v>0</v>
      </c>
      <c r="AP136" s="18">
        <v>0</v>
      </c>
      <c r="AQ136" s="18">
        <v>0</v>
      </c>
      <c r="AR136" s="18">
        <v>0</v>
      </c>
      <c r="AS136" s="18">
        <v>0</v>
      </c>
      <c r="AT136" s="18">
        <v>0</v>
      </c>
      <c r="AU136" s="18">
        <v>0</v>
      </c>
      <c r="AV136" s="18">
        <v>0</v>
      </c>
      <c r="AW136" s="18">
        <v>0</v>
      </c>
      <c r="AX136" s="18">
        <v>0</v>
      </c>
      <c r="AY136" s="18">
        <v>0</v>
      </c>
      <c r="AZ136" s="18">
        <v>0</v>
      </c>
      <c r="BA136" s="18">
        <v>0</v>
      </c>
      <c r="BB136" s="18">
        <v>0</v>
      </c>
      <c r="BC136" s="18">
        <v>0</v>
      </c>
      <c r="BD136" s="18">
        <v>0</v>
      </c>
      <c r="BE136" s="18">
        <v>0</v>
      </c>
      <c r="BF136" s="18">
        <v>0</v>
      </c>
      <c r="BG136" s="18">
        <v>0</v>
      </c>
      <c r="BH136" s="18">
        <v>0</v>
      </c>
      <c r="BI136" s="154">
        <v>362</v>
      </c>
      <c r="BJ136" s="154">
        <v>190</v>
      </c>
      <c r="BK136" s="154">
        <v>360</v>
      </c>
      <c r="BL136" s="154">
        <v>120</v>
      </c>
      <c r="BM136" s="154">
        <v>938</v>
      </c>
      <c r="BN136" s="18">
        <f>938-70</f>
        <v>868</v>
      </c>
      <c r="BO136" s="113">
        <v>746</v>
      </c>
      <c r="BP136" s="154">
        <v>89</v>
      </c>
      <c r="BQ136" s="154">
        <v>0</v>
      </c>
      <c r="BR136" s="101"/>
      <c r="BS136">
        <f t="shared" ref="BS136:CX136" si="221">IF($C136&lt;&gt;"",IF(D136&gt;0,1,0),0)</f>
        <v>0</v>
      </c>
      <c r="BT136">
        <f t="shared" si="221"/>
        <v>0</v>
      </c>
      <c r="BU136">
        <f t="shared" si="221"/>
        <v>0</v>
      </c>
      <c r="BV136">
        <f t="shared" si="221"/>
        <v>0</v>
      </c>
      <c r="BW136">
        <f t="shared" si="221"/>
        <v>0</v>
      </c>
      <c r="BX136">
        <f t="shared" si="221"/>
        <v>0</v>
      </c>
      <c r="BY136">
        <f t="shared" si="221"/>
        <v>0</v>
      </c>
      <c r="BZ136">
        <f t="shared" si="221"/>
        <v>0</v>
      </c>
      <c r="CA136">
        <f t="shared" si="221"/>
        <v>0</v>
      </c>
      <c r="CB136">
        <f t="shared" si="221"/>
        <v>0</v>
      </c>
      <c r="CC136">
        <f t="shared" si="221"/>
        <v>0</v>
      </c>
      <c r="CD136">
        <f t="shared" si="221"/>
        <v>0</v>
      </c>
      <c r="CE136">
        <f t="shared" si="221"/>
        <v>0</v>
      </c>
      <c r="CF136">
        <f t="shared" si="221"/>
        <v>0</v>
      </c>
      <c r="CG136">
        <f t="shared" si="221"/>
        <v>0</v>
      </c>
      <c r="CH136">
        <f t="shared" si="221"/>
        <v>0</v>
      </c>
      <c r="CI136">
        <f t="shared" si="221"/>
        <v>0</v>
      </c>
      <c r="CJ136">
        <f t="shared" si="221"/>
        <v>0</v>
      </c>
      <c r="CK136">
        <f t="shared" si="221"/>
        <v>0</v>
      </c>
      <c r="CL136">
        <f t="shared" si="221"/>
        <v>0</v>
      </c>
      <c r="CM136">
        <f t="shared" si="221"/>
        <v>0</v>
      </c>
      <c r="CN136">
        <f t="shared" si="221"/>
        <v>0</v>
      </c>
      <c r="CO136">
        <f t="shared" si="221"/>
        <v>0</v>
      </c>
      <c r="CP136">
        <f t="shared" si="221"/>
        <v>0</v>
      </c>
      <c r="CQ136">
        <f t="shared" si="221"/>
        <v>0</v>
      </c>
      <c r="CR136">
        <f t="shared" si="221"/>
        <v>0</v>
      </c>
      <c r="CS136">
        <f t="shared" si="221"/>
        <v>0</v>
      </c>
      <c r="CT136">
        <f t="shared" si="221"/>
        <v>0</v>
      </c>
      <c r="CU136">
        <f t="shared" si="221"/>
        <v>0</v>
      </c>
      <c r="CV136">
        <f t="shared" si="221"/>
        <v>0</v>
      </c>
      <c r="CW136">
        <f t="shared" si="221"/>
        <v>0</v>
      </c>
      <c r="CX136">
        <f t="shared" si="221"/>
        <v>0</v>
      </c>
      <c r="CY136">
        <f t="shared" ref="CY136:ED136" si="222">IF($C136&lt;&gt;"",IF(AJ136&gt;0,1,0),0)</f>
        <v>0</v>
      </c>
      <c r="CZ136">
        <f t="shared" si="222"/>
        <v>0</v>
      </c>
      <c r="DA136">
        <f t="shared" si="222"/>
        <v>0</v>
      </c>
      <c r="DB136">
        <f t="shared" si="222"/>
        <v>0</v>
      </c>
      <c r="DC136">
        <f t="shared" si="222"/>
        <v>0</v>
      </c>
      <c r="DD136">
        <f t="shared" si="222"/>
        <v>0</v>
      </c>
      <c r="DE136">
        <f t="shared" si="222"/>
        <v>0</v>
      </c>
      <c r="DF136">
        <f t="shared" si="222"/>
        <v>0</v>
      </c>
      <c r="DG136">
        <f t="shared" si="222"/>
        <v>0</v>
      </c>
      <c r="DH136">
        <f t="shared" si="222"/>
        <v>0</v>
      </c>
      <c r="DI136">
        <f t="shared" si="222"/>
        <v>0</v>
      </c>
      <c r="DJ136">
        <f t="shared" si="222"/>
        <v>0</v>
      </c>
      <c r="DK136">
        <f t="shared" si="222"/>
        <v>0</v>
      </c>
      <c r="DL136">
        <f t="shared" si="222"/>
        <v>0</v>
      </c>
      <c r="DM136">
        <f t="shared" si="222"/>
        <v>0</v>
      </c>
      <c r="DN136">
        <f t="shared" si="222"/>
        <v>0</v>
      </c>
      <c r="DO136">
        <f t="shared" si="222"/>
        <v>0</v>
      </c>
      <c r="DP136">
        <f t="shared" si="222"/>
        <v>0</v>
      </c>
      <c r="DQ136">
        <f t="shared" si="222"/>
        <v>0</v>
      </c>
      <c r="DR136">
        <f t="shared" si="222"/>
        <v>0</v>
      </c>
      <c r="DS136">
        <f t="shared" si="222"/>
        <v>0</v>
      </c>
      <c r="DT136">
        <f t="shared" si="222"/>
        <v>0</v>
      </c>
      <c r="DU136">
        <f t="shared" si="222"/>
        <v>0</v>
      </c>
      <c r="DV136">
        <f t="shared" si="222"/>
        <v>0</v>
      </c>
      <c r="DW136">
        <f t="shared" si="222"/>
        <v>0</v>
      </c>
      <c r="DX136">
        <f t="shared" si="222"/>
        <v>0</v>
      </c>
      <c r="DY136">
        <f t="shared" si="222"/>
        <v>0</v>
      </c>
      <c r="DZ136">
        <f t="shared" si="222"/>
        <v>0</v>
      </c>
      <c r="EA136">
        <f t="shared" si="222"/>
        <v>0</v>
      </c>
      <c r="EB136">
        <f t="shared" si="222"/>
        <v>0</v>
      </c>
      <c r="EC136">
        <f t="shared" si="222"/>
        <v>0</v>
      </c>
      <c r="ED136">
        <f t="shared" si="222"/>
        <v>0</v>
      </c>
      <c r="EE136">
        <f t="shared" ref="EE136:EF136" si="223">IF($C136&lt;&gt;"",IF(BP136&gt;0,1,0),0)</f>
        <v>0</v>
      </c>
      <c r="EF136">
        <f t="shared" si="223"/>
        <v>0</v>
      </c>
    </row>
    <row r="137" spans="1:136" ht="15.5">
      <c r="A137" s="93"/>
      <c r="B137" s="54"/>
      <c r="C137" s="94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31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101"/>
    </row>
    <row r="138" spans="1:136" ht="15.5">
      <c r="A138" s="93">
        <v>12</v>
      </c>
      <c r="B138" s="54" t="s">
        <v>29</v>
      </c>
      <c r="C138" s="94">
        <v>4</v>
      </c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>
        <f t="shared" ref="O138:AT138" si="224">SUM(O139:O141)</f>
        <v>0</v>
      </c>
      <c r="P138" s="22">
        <f t="shared" si="224"/>
        <v>0</v>
      </c>
      <c r="Q138" s="22">
        <f t="shared" si="224"/>
        <v>0.53</v>
      </c>
      <c r="R138" s="22">
        <f t="shared" si="224"/>
        <v>1.0329999999999999</v>
      </c>
      <c r="S138" s="22">
        <f t="shared" si="224"/>
        <v>2.0270000000000001</v>
      </c>
      <c r="T138" s="22">
        <f t="shared" si="224"/>
        <v>3.2249999999999996</v>
      </c>
      <c r="U138" s="22">
        <f t="shared" si="224"/>
        <v>4.0460000000000003</v>
      </c>
      <c r="V138" s="22">
        <f t="shared" si="224"/>
        <v>5.4590000000000005</v>
      </c>
      <c r="W138" s="22">
        <f t="shared" si="224"/>
        <v>1.2749999999999999</v>
      </c>
      <c r="X138" s="22">
        <f t="shared" si="224"/>
        <v>0.24299999999999999</v>
      </c>
      <c r="Y138" s="22">
        <f t="shared" si="224"/>
        <v>0.25800000000000001</v>
      </c>
      <c r="Z138" s="22">
        <f t="shared" si="224"/>
        <v>0.27</v>
      </c>
      <c r="AA138" s="22">
        <f t="shared" si="224"/>
        <v>0.28899999999999998</v>
      </c>
      <c r="AB138" s="22">
        <f t="shared" si="224"/>
        <v>0.26700000000000002</v>
      </c>
      <c r="AC138" s="22">
        <f t="shared" si="224"/>
        <v>1.9989999999999999</v>
      </c>
      <c r="AD138" s="22">
        <f t="shared" si="224"/>
        <v>4.6669999999999998</v>
      </c>
      <c r="AE138" s="22">
        <f t="shared" si="224"/>
        <v>10.989000000000001</v>
      </c>
      <c r="AF138" s="22">
        <f t="shared" si="224"/>
        <v>12.297000000000002</v>
      </c>
      <c r="AG138" s="22">
        <f t="shared" si="224"/>
        <v>13.910000000000002</v>
      </c>
      <c r="AH138" s="22">
        <f t="shared" si="224"/>
        <v>16.22</v>
      </c>
      <c r="AI138" s="22">
        <f t="shared" si="224"/>
        <v>314.32</v>
      </c>
      <c r="AJ138" s="22">
        <f t="shared" si="224"/>
        <v>18.375999999999998</v>
      </c>
      <c r="AK138" s="22">
        <f t="shared" si="224"/>
        <v>22.1</v>
      </c>
      <c r="AL138" s="22">
        <f t="shared" si="224"/>
        <v>31.356999999999999</v>
      </c>
      <c r="AM138" s="22">
        <f t="shared" si="224"/>
        <v>28.227</v>
      </c>
      <c r="AN138" s="22">
        <f t="shared" si="224"/>
        <v>3.3940000000000001</v>
      </c>
      <c r="AO138" s="22">
        <f t="shared" si="224"/>
        <v>3.214</v>
      </c>
      <c r="AP138" s="22">
        <f t="shared" si="224"/>
        <v>3.532</v>
      </c>
      <c r="AQ138" s="22">
        <f t="shared" si="224"/>
        <v>4.4009999999999998</v>
      </c>
      <c r="AR138" s="22">
        <f t="shared" si="224"/>
        <v>4.4009999999999998</v>
      </c>
      <c r="AS138" s="22">
        <f t="shared" si="224"/>
        <v>78.253</v>
      </c>
      <c r="AT138" s="22">
        <f t="shared" si="224"/>
        <v>103.40850241545895</v>
      </c>
      <c r="AU138" s="22">
        <f t="shared" ref="AU138:BO138" si="225">SUM(AU139:AU141)</f>
        <v>117.80499999999999</v>
      </c>
      <c r="AV138" s="22">
        <f t="shared" si="225"/>
        <v>161.54300000000001</v>
      </c>
      <c r="AW138" s="22">
        <f t="shared" si="225"/>
        <v>17.245000000000001</v>
      </c>
      <c r="AX138" s="22">
        <f t="shared" si="225"/>
        <v>86.394726199999994</v>
      </c>
      <c r="AY138" s="22">
        <f t="shared" si="225"/>
        <v>259.55463149999997</v>
      </c>
      <c r="AZ138" s="22">
        <f t="shared" si="225"/>
        <v>535.8351801</v>
      </c>
      <c r="BA138" s="22">
        <f t="shared" si="225"/>
        <v>7.3206442166910684</v>
      </c>
      <c r="BB138" s="22">
        <f>SUM(BB139:BB141)</f>
        <v>256.30630539999999</v>
      </c>
      <c r="BC138" s="22">
        <f t="shared" si="225"/>
        <v>16.459106900000002</v>
      </c>
      <c r="BD138" s="22">
        <f t="shared" si="225"/>
        <v>63.372859500000004</v>
      </c>
      <c r="BE138" s="22">
        <f t="shared" si="225"/>
        <v>26.683996100000002</v>
      </c>
      <c r="BF138" s="22">
        <f t="shared" si="225"/>
        <v>8.8727516000000008</v>
      </c>
      <c r="BG138" s="22">
        <f t="shared" si="225"/>
        <v>0</v>
      </c>
      <c r="BH138" s="22">
        <f t="shared" si="225"/>
        <v>0</v>
      </c>
      <c r="BI138" s="22">
        <f t="shared" si="225"/>
        <v>0</v>
      </c>
      <c r="BJ138" s="22">
        <f t="shared" si="225"/>
        <v>0</v>
      </c>
      <c r="BK138" s="22">
        <f t="shared" si="225"/>
        <v>0</v>
      </c>
      <c r="BL138" s="22">
        <f t="shared" si="225"/>
        <v>0</v>
      </c>
      <c r="BM138" s="22">
        <f t="shared" si="225"/>
        <v>0</v>
      </c>
      <c r="BN138" s="22">
        <f t="shared" si="225"/>
        <v>0</v>
      </c>
      <c r="BO138" s="22">
        <f t="shared" si="225"/>
        <v>969</v>
      </c>
      <c r="BP138" s="22">
        <f>SUM(BP139:BP141)</f>
        <v>1274</v>
      </c>
      <c r="BQ138" s="22">
        <f>SUM(BQ139:BQ141)</f>
        <v>315</v>
      </c>
      <c r="BR138" s="101"/>
      <c r="BS138">
        <f t="shared" ref="BS138:CB142" si="226">IF($C138&lt;&gt;"",IF(D138&gt;0,1,0),0)</f>
        <v>0</v>
      </c>
      <c r="BT138">
        <f t="shared" si="226"/>
        <v>0</v>
      </c>
      <c r="BU138">
        <f t="shared" si="226"/>
        <v>0</v>
      </c>
      <c r="BV138">
        <f t="shared" si="226"/>
        <v>0</v>
      </c>
      <c r="BW138">
        <f t="shared" si="226"/>
        <v>0</v>
      </c>
      <c r="BX138">
        <f t="shared" si="226"/>
        <v>0</v>
      </c>
      <c r="BY138">
        <f t="shared" si="226"/>
        <v>0</v>
      </c>
      <c r="BZ138">
        <f t="shared" si="226"/>
        <v>0</v>
      </c>
      <c r="CA138">
        <f t="shared" si="226"/>
        <v>0</v>
      </c>
      <c r="CB138">
        <f t="shared" si="226"/>
        <v>0</v>
      </c>
      <c r="CC138">
        <f t="shared" ref="CC138:CL142" si="227">IF($C138&lt;&gt;"",IF(N138&gt;0,1,0),0)</f>
        <v>0</v>
      </c>
      <c r="CD138">
        <f t="shared" si="227"/>
        <v>0</v>
      </c>
      <c r="CE138">
        <f t="shared" si="227"/>
        <v>0</v>
      </c>
      <c r="CF138">
        <f t="shared" si="227"/>
        <v>1</v>
      </c>
      <c r="CG138">
        <f t="shared" si="227"/>
        <v>1</v>
      </c>
      <c r="CH138">
        <f t="shared" si="227"/>
        <v>1</v>
      </c>
      <c r="CI138">
        <f t="shared" si="227"/>
        <v>1</v>
      </c>
      <c r="CJ138">
        <f t="shared" si="227"/>
        <v>1</v>
      </c>
      <c r="CK138">
        <f t="shared" si="227"/>
        <v>1</v>
      </c>
      <c r="CL138">
        <f t="shared" si="227"/>
        <v>1</v>
      </c>
      <c r="CM138">
        <f t="shared" ref="CM138:CV142" si="228">IF($C138&lt;&gt;"",IF(X138&gt;0,1,0),0)</f>
        <v>1</v>
      </c>
      <c r="CN138">
        <f t="shared" si="228"/>
        <v>1</v>
      </c>
      <c r="CO138">
        <f t="shared" si="228"/>
        <v>1</v>
      </c>
      <c r="CP138">
        <f t="shared" si="228"/>
        <v>1</v>
      </c>
      <c r="CQ138">
        <f t="shared" si="228"/>
        <v>1</v>
      </c>
      <c r="CR138">
        <f t="shared" si="228"/>
        <v>1</v>
      </c>
      <c r="CS138">
        <f t="shared" si="228"/>
        <v>1</v>
      </c>
      <c r="CT138">
        <f t="shared" si="228"/>
        <v>1</v>
      </c>
      <c r="CU138">
        <f t="shared" si="228"/>
        <v>1</v>
      </c>
      <c r="CV138">
        <f t="shared" si="228"/>
        <v>1</v>
      </c>
      <c r="CW138">
        <f t="shared" ref="CW138:DF142" si="229">IF($C138&lt;&gt;"",IF(AH138&gt;0,1,0),0)</f>
        <v>1</v>
      </c>
      <c r="CX138">
        <f t="shared" si="229"/>
        <v>1</v>
      </c>
      <c r="CY138">
        <f t="shared" si="229"/>
        <v>1</v>
      </c>
      <c r="CZ138">
        <f t="shared" si="229"/>
        <v>1</v>
      </c>
      <c r="DA138">
        <f t="shared" si="229"/>
        <v>1</v>
      </c>
      <c r="DB138">
        <f t="shared" si="229"/>
        <v>1</v>
      </c>
      <c r="DC138">
        <f t="shared" si="229"/>
        <v>1</v>
      </c>
      <c r="DD138">
        <f t="shared" si="229"/>
        <v>1</v>
      </c>
      <c r="DE138">
        <f t="shared" si="229"/>
        <v>1</v>
      </c>
      <c r="DF138">
        <f t="shared" si="229"/>
        <v>1</v>
      </c>
      <c r="DG138">
        <f t="shared" ref="DG138:DP142" si="230">IF($C138&lt;&gt;"",IF(AR138&gt;0,1,0),0)</f>
        <v>1</v>
      </c>
      <c r="DH138">
        <f t="shared" si="230"/>
        <v>1</v>
      </c>
      <c r="DI138">
        <f t="shared" si="230"/>
        <v>1</v>
      </c>
      <c r="DJ138">
        <f t="shared" si="230"/>
        <v>1</v>
      </c>
      <c r="DK138">
        <f t="shared" si="230"/>
        <v>1</v>
      </c>
      <c r="DL138">
        <f t="shared" si="230"/>
        <v>1</v>
      </c>
      <c r="DM138">
        <f t="shared" si="230"/>
        <v>1</v>
      </c>
      <c r="DN138">
        <f t="shared" si="230"/>
        <v>1</v>
      </c>
      <c r="DO138">
        <f t="shared" si="230"/>
        <v>1</v>
      </c>
      <c r="DP138">
        <f t="shared" si="230"/>
        <v>1</v>
      </c>
      <c r="DQ138">
        <f t="shared" ref="DQ138:DZ142" si="231">IF($C138&lt;&gt;"",IF(BB138&gt;0,1,0),0)</f>
        <v>1</v>
      </c>
      <c r="DR138">
        <f t="shared" si="231"/>
        <v>1</v>
      </c>
      <c r="DS138">
        <f t="shared" si="231"/>
        <v>1</v>
      </c>
      <c r="DT138">
        <f t="shared" si="231"/>
        <v>1</v>
      </c>
      <c r="DU138">
        <f t="shared" si="231"/>
        <v>1</v>
      </c>
      <c r="DV138">
        <f t="shared" si="231"/>
        <v>0</v>
      </c>
      <c r="DW138">
        <f t="shared" si="231"/>
        <v>0</v>
      </c>
      <c r="DX138">
        <f t="shared" si="231"/>
        <v>0</v>
      </c>
      <c r="DY138">
        <f t="shared" si="231"/>
        <v>0</v>
      </c>
      <c r="DZ138">
        <f t="shared" si="231"/>
        <v>0</v>
      </c>
      <c r="EA138">
        <f t="shared" ref="EA138:EF142" si="232">IF($C138&lt;&gt;"",IF(BL138&gt;0,1,0),0)</f>
        <v>0</v>
      </c>
      <c r="EB138">
        <f t="shared" si="232"/>
        <v>0</v>
      </c>
      <c r="EC138">
        <f t="shared" si="232"/>
        <v>0</v>
      </c>
      <c r="ED138">
        <f t="shared" si="232"/>
        <v>1</v>
      </c>
      <c r="EE138">
        <f t="shared" si="232"/>
        <v>1</v>
      </c>
      <c r="EF138">
        <f t="shared" si="232"/>
        <v>1</v>
      </c>
    </row>
    <row r="139" spans="1:136" ht="15.5">
      <c r="A139" s="93"/>
      <c r="B139" s="57" t="s">
        <v>205</v>
      </c>
      <c r="C139" s="94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18">
        <v>0</v>
      </c>
      <c r="P139" s="18">
        <v>0</v>
      </c>
      <c r="Q139" s="18">
        <v>0</v>
      </c>
      <c r="R139" s="18">
        <v>0</v>
      </c>
      <c r="S139" s="18">
        <v>0</v>
      </c>
      <c r="T139" s="18">
        <v>0</v>
      </c>
      <c r="U139" s="18">
        <v>0</v>
      </c>
      <c r="V139" s="18">
        <v>0</v>
      </c>
      <c r="W139" s="18">
        <v>0</v>
      </c>
      <c r="X139" s="18">
        <v>0</v>
      </c>
      <c r="Y139" s="18">
        <v>0</v>
      </c>
      <c r="Z139" s="18">
        <v>0</v>
      </c>
      <c r="AA139" s="18">
        <v>0</v>
      </c>
      <c r="AB139" s="18">
        <v>0</v>
      </c>
      <c r="AC139" s="18">
        <v>0.8</v>
      </c>
      <c r="AD139" s="18">
        <v>2.1</v>
      </c>
      <c r="AE139" s="18">
        <v>2.8</v>
      </c>
      <c r="AF139" s="18">
        <v>3.4</v>
      </c>
      <c r="AG139" s="18">
        <v>3.5</v>
      </c>
      <c r="AH139" s="18">
        <v>3.7</v>
      </c>
      <c r="AI139" s="18">
        <v>5.0999999999999996</v>
      </c>
      <c r="AJ139" s="18">
        <v>4.3</v>
      </c>
      <c r="AK139" s="18">
        <v>4.5999999999999996</v>
      </c>
      <c r="AL139" s="18">
        <v>3.7</v>
      </c>
      <c r="AM139" s="22"/>
      <c r="AN139" s="22"/>
      <c r="AO139" s="22"/>
      <c r="AP139" s="22"/>
      <c r="AQ139" s="22"/>
      <c r="AR139" s="22"/>
      <c r="AS139" s="22"/>
      <c r="AT139" s="18">
        <f>11/8.28</f>
        <v>1.3285024154589373</v>
      </c>
      <c r="AU139" s="22">
        <v>0</v>
      </c>
      <c r="AV139" s="22"/>
      <c r="AW139" s="22"/>
      <c r="AX139" s="22"/>
      <c r="AY139" s="22"/>
      <c r="AZ139" s="18">
        <v>9</v>
      </c>
      <c r="BA139" s="18">
        <f>50/6.83</f>
        <v>7.3206442166910684</v>
      </c>
      <c r="BB139" s="18">
        <v>103</v>
      </c>
      <c r="BC139" s="40" t="s">
        <v>16</v>
      </c>
      <c r="BD139" s="18">
        <v>4.5999999999999996</v>
      </c>
      <c r="BE139" s="25">
        <v>0</v>
      </c>
      <c r="BF139" s="18">
        <v>0</v>
      </c>
      <c r="BG139" s="18">
        <v>0</v>
      </c>
      <c r="BH139" s="18">
        <v>0</v>
      </c>
      <c r="BI139" s="18">
        <v>0</v>
      </c>
      <c r="BJ139" s="18">
        <v>0</v>
      </c>
      <c r="BK139" s="18">
        <v>0</v>
      </c>
      <c r="BL139" s="18">
        <v>0</v>
      </c>
      <c r="BM139" s="18">
        <v>0</v>
      </c>
      <c r="BN139" s="18">
        <v>0</v>
      </c>
      <c r="BO139" s="18">
        <v>0</v>
      </c>
      <c r="BP139" s="18">
        <v>0</v>
      </c>
      <c r="BQ139" s="18">
        <v>0</v>
      </c>
      <c r="BR139" s="101"/>
      <c r="BS139">
        <f t="shared" si="226"/>
        <v>0</v>
      </c>
      <c r="BT139">
        <f t="shared" si="226"/>
        <v>0</v>
      </c>
      <c r="BU139">
        <f t="shared" si="226"/>
        <v>0</v>
      </c>
      <c r="BV139">
        <f t="shared" si="226"/>
        <v>0</v>
      </c>
      <c r="BW139">
        <f t="shared" si="226"/>
        <v>0</v>
      </c>
      <c r="BX139">
        <f t="shared" si="226"/>
        <v>0</v>
      </c>
      <c r="BY139">
        <f t="shared" si="226"/>
        <v>0</v>
      </c>
      <c r="BZ139">
        <f t="shared" si="226"/>
        <v>0</v>
      </c>
      <c r="CA139">
        <f t="shared" si="226"/>
        <v>0</v>
      </c>
      <c r="CB139">
        <f t="shared" si="226"/>
        <v>0</v>
      </c>
      <c r="CC139">
        <f t="shared" si="227"/>
        <v>0</v>
      </c>
      <c r="CD139">
        <f t="shared" si="227"/>
        <v>0</v>
      </c>
      <c r="CE139">
        <f t="shared" si="227"/>
        <v>0</v>
      </c>
      <c r="CF139">
        <f t="shared" si="227"/>
        <v>0</v>
      </c>
      <c r="CG139">
        <f t="shared" si="227"/>
        <v>0</v>
      </c>
      <c r="CH139">
        <f t="shared" si="227"/>
        <v>0</v>
      </c>
      <c r="CI139">
        <f t="shared" si="227"/>
        <v>0</v>
      </c>
      <c r="CJ139">
        <f t="shared" si="227"/>
        <v>0</v>
      </c>
      <c r="CK139">
        <f t="shared" si="227"/>
        <v>0</v>
      </c>
      <c r="CL139">
        <f t="shared" si="227"/>
        <v>0</v>
      </c>
      <c r="CM139">
        <f t="shared" si="228"/>
        <v>0</v>
      </c>
      <c r="CN139">
        <f t="shared" si="228"/>
        <v>0</v>
      </c>
      <c r="CO139">
        <f t="shared" si="228"/>
        <v>0</v>
      </c>
      <c r="CP139">
        <f t="shared" si="228"/>
        <v>0</v>
      </c>
      <c r="CQ139">
        <f t="shared" si="228"/>
        <v>0</v>
      </c>
      <c r="CR139">
        <f t="shared" si="228"/>
        <v>0</v>
      </c>
      <c r="CS139">
        <f t="shared" si="228"/>
        <v>0</v>
      </c>
      <c r="CT139">
        <f t="shared" si="228"/>
        <v>0</v>
      </c>
      <c r="CU139">
        <f t="shared" si="228"/>
        <v>0</v>
      </c>
      <c r="CV139">
        <f t="shared" si="228"/>
        <v>0</v>
      </c>
      <c r="CW139">
        <f t="shared" si="229"/>
        <v>0</v>
      </c>
      <c r="CX139">
        <f t="shared" si="229"/>
        <v>0</v>
      </c>
      <c r="CY139">
        <f t="shared" si="229"/>
        <v>0</v>
      </c>
      <c r="CZ139">
        <f t="shared" si="229"/>
        <v>0</v>
      </c>
      <c r="DA139">
        <f t="shared" si="229"/>
        <v>0</v>
      </c>
      <c r="DB139">
        <f t="shared" si="229"/>
        <v>0</v>
      </c>
      <c r="DC139">
        <f t="shared" si="229"/>
        <v>0</v>
      </c>
      <c r="DD139">
        <f t="shared" si="229"/>
        <v>0</v>
      </c>
      <c r="DE139">
        <f t="shared" si="229"/>
        <v>0</v>
      </c>
      <c r="DF139">
        <f t="shared" si="229"/>
        <v>0</v>
      </c>
      <c r="DG139">
        <f t="shared" si="230"/>
        <v>0</v>
      </c>
      <c r="DH139">
        <f t="shared" si="230"/>
        <v>0</v>
      </c>
      <c r="DI139">
        <f t="shared" si="230"/>
        <v>0</v>
      </c>
      <c r="DJ139">
        <f t="shared" si="230"/>
        <v>0</v>
      </c>
      <c r="DK139">
        <f t="shared" si="230"/>
        <v>0</v>
      </c>
      <c r="DL139">
        <f t="shared" si="230"/>
        <v>0</v>
      </c>
      <c r="DM139">
        <f t="shared" si="230"/>
        <v>0</v>
      </c>
      <c r="DN139">
        <f t="shared" si="230"/>
        <v>0</v>
      </c>
      <c r="DO139">
        <f t="shared" si="230"/>
        <v>0</v>
      </c>
      <c r="DP139">
        <f t="shared" si="230"/>
        <v>0</v>
      </c>
      <c r="DQ139">
        <f t="shared" si="231"/>
        <v>0</v>
      </c>
      <c r="DR139">
        <f t="shared" si="231"/>
        <v>0</v>
      </c>
      <c r="DS139">
        <f t="shared" si="231"/>
        <v>0</v>
      </c>
      <c r="DT139">
        <f t="shared" si="231"/>
        <v>0</v>
      </c>
      <c r="DU139">
        <f t="shared" si="231"/>
        <v>0</v>
      </c>
      <c r="DV139">
        <f t="shared" si="231"/>
        <v>0</v>
      </c>
      <c r="DW139">
        <f t="shared" si="231"/>
        <v>0</v>
      </c>
      <c r="DX139">
        <f t="shared" si="231"/>
        <v>0</v>
      </c>
      <c r="DY139">
        <f t="shared" si="231"/>
        <v>0</v>
      </c>
      <c r="DZ139">
        <f t="shared" si="231"/>
        <v>0</v>
      </c>
      <c r="EA139">
        <f t="shared" si="232"/>
        <v>0</v>
      </c>
      <c r="EB139">
        <f t="shared" si="232"/>
        <v>0</v>
      </c>
      <c r="EC139">
        <f t="shared" si="232"/>
        <v>0</v>
      </c>
      <c r="ED139">
        <f t="shared" si="232"/>
        <v>0</v>
      </c>
      <c r="EE139">
        <f t="shared" si="232"/>
        <v>0</v>
      </c>
      <c r="EF139">
        <f t="shared" si="232"/>
        <v>0</v>
      </c>
    </row>
    <row r="140" spans="1:136" ht="15.5">
      <c r="A140" s="93"/>
      <c r="B140" s="53" t="s">
        <v>3</v>
      </c>
      <c r="C140" s="94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>
        <v>0</v>
      </c>
      <c r="P140" s="18">
        <v>0</v>
      </c>
      <c r="Q140" s="18">
        <v>0.53</v>
      </c>
      <c r="R140" s="18">
        <v>1.0329999999999999</v>
      </c>
      <c r="S140" s="18">
        <v>2.0230000000000001</v>
      </c>
      <c r="T140" s="18">
        <v>3.2109999999999999</v>
      </c>
      <c r="U140" s="18">
        <v>4.0460000000000003</v>
      </c>
      <c r="V140" s="18">
        <v>5.2950000000000008</v>
      </c>
      <c r="W140" s="18">
        <v>1.2749999999999999</v>
      </c>
      <c r="X140" s="18">
        <v>0.24299999999999999</v>
      </c>
      <c r="Y140" s="18">
        <v>0.25800000000000001</v>
      </c>
      <c r="Z140" s="18">
        <v>0.27</v>
      </c>
      <c r="AA140" s="18">
        <v>0.28899999999999998</v>
      </c>
      <c r="AB140" s="18">
        <v>0.26700000000000002</v>
      </c>
      <c r="AC140" s="18">
        <v>1.1989999999999998</v>
      </c>
      <c r="AD140" s="18">
        <v>2.5669999999999997</v>
      </c>
      <c r="AE140" s="18">
        <v>8.1359999999999992</v>
      </c>
      <c r="AF140" s="18">
        <v>8.8210000000000015</v>
      </c>
      <c r="AG140" s="18">
        <v>10.405000000000001</v>
      </c>
      <c r="AH140" s="18">
        <v>12.036</v>
      </c>
      <c r="AI140" s="18">
        <v>307.46899999999999</v>
      </c>
      <c r="AJ140" s="18">
        <v>13.775</v>
      </c>
      <c r="AK140" s="18">
        <v>17.488</v>
      </c>
      <c r="AL140" s="18">
        <v>23.722000000000001</v>
      </c>
      <c r="AM140" s="18">
        <v>28.222999999999999</v>
      </c>
      <c r="AN140" s="18">
        <v>3.3940000000000001</v>
      </c>
      <c r="AO140" s="18">
        <v>3.214</v>
      </c>
      <c r="AP140" s="18">
        <v>3.532</v>
      </c>
      <c r="AQ140" s="18">
        <v>4.4009999999999998</v>
      </c>
      <c r="AR140" s="18">
        <v>4.4009999999999998</v>
      </c>
      <c r="AS140" s="18">
        <v>78.253</v>
      </c>
      <c r="AT140" s="18">
        <v>102.08000000000001</v>
      </c>
      <c r="AU140" s="18">
        <v>117.80499999999999</v>
      </c>
      <c r="AV140" s="18">
        <v>161.54300000000001</v>
      </c>
      <c r="AW140" s="18">
        <v>17.245000000000001</v>
      </c>
      <c r="AX140" s="18">
        <v>86.394726199999994</v>
      </c>
      <c r="AY140" s="18">
        <v>211.34363149999999</v>
      </c>
      <c r="AZ140" s="18">
        <f>535.8351801-AZ139</f>
        <v>526.8351801</v>
      </c>
      <c r="BA140" s="18">
        <v>0</v>
      </c>
      <c r="BB140" s="18">
        <f>256.3063054-BB139</f>
        <v>153.30630539999999</v>
      </c>
      <c r="BC140" s="18">
        <v>16.459106900000002</v>
      </c>
      <c r="BD140" s="18">
        <v>58.772859500000003</v>
      </c>
      <c r="BE140" s="25">
        <v>26.683996100000002</v>
      </c>
      <c r="BF140" s="18">
        <v>8.8727516000000008</v>
      </c>
      <c r="BG140" s="18">
        <v>0</v>
      </c>
      <c r="BH140" s="18">
        <v>0</v>
      </c>
      <c r="BI140" s="18">
        <v>0</v>
      </c>
      <c r="BJ140" s="18">
        <v>0</v>
      </c>
      <c r="BK140" s="18">
        <v>0</v>
      </c>
      <c r="BL140" s="18">
        <v>0</v>
      </c>
      <c r="BM140" s="18">
        <v>0</v>
      </c>
      <c r="BN140" s="18">
        <v>0</v>
      </c>
      <c r="BO140" s="18">
        <v>0</v>
      </c>
      <c r="BP140" s="18">
        <v>0</v>
      </c>
      <c r="BQ140" s="18">
        <v>0</v>
      </c>
      <c r="BR140" s="101"/>
      <c r="BS140">
        <f t="shared" si="226"/>
        <v>0</v>
      </c>
      <c r="BT140">
        <f t="shared" si="226"/>
        <v>0</v>
      </c>
      <c r="BU140">
        <f t="shared" si="226"/>
        <v>0</v>
      </c>
      <c r="BV140">
        <f t="shared" si="226"/>
        <v>0</v>
      </c>
      <c r="BW140">
        <f t="shared" si="226"/>
        <v>0</v>
      </c>
      <c r="BX140">
        <f t="shared" si="226"/>
        <v>0</v>
      </c>
      <c r="BY140">
        <f t="shared" si="226"/>
        <v>0</v>
      </c>
      <c r="BZ140">
        <f t="shared" si="226"/>
        <v>0</v>
      </c>
      <c r="CA140">
        <f t="shared" si="226"/>
        <v>0</v>
      </c>
      <c r="CB140">
        <f t="shared" si="226"/>
        <v>0</v>
      </c>
      <c r="CC140">
        <f t="shared" si="227"/>
        <v>0</v>
      </c>
      <c r="CD140">
        <f t="shared" si="227"/>
        <v>0</v>
      </c>
      <c r="CE140">
        <f t="shared" si="227"/>
        <v>0</v>
      </c>
      <c r="CF140">
        <f t="shared" si="227"/>
        <v>0</v>
      </c>
      <c r="CG140">
        <f t="shared" si="227"/>
        <v>0</v>
      </c>
      <c r="CH140">
        <f t="shared" si="227"/>
        <v>0</v>
      </c>
      <c r="CI140">
        <f t="shared" si="227"/>
        <v>0</v>
      </c>
      <c r="CJ140">
        <f t="shared" si="227"/>
        <v>0</v>
      </c>
      <c r="CK140">
        <f t="shared" si="227"/>
        <v>0</v>
      </c>
      <c r="CL140">
        <f t="shared" si="227"/>
        <v>0</v>
      </c>
      <c r="CM140">
        <f t="shared" si="228"/>
        <v>0</v>
      </c>
      <c r="CN140">
        <f t="shared" si="228"/>
        <v>0</v>
      </c>
      <c r="CO140">
        <f t="shared" si="228"/>
        <v>0</v>
      </c>
      <c r="CP140">
        <f t="shared" si="228"/>
        <v>0</v>
      </c>
      <c r="CQ140">
        <f t="shared" si="228"/>
        <v>0</v>
      </c>
      <c r="CR140">
        <f t="shared" si="228"/>
        <v>0</v>
      </c>
      <c r="CS140">
        <f t="shared" si="228"/>
        <v>0</v>
      </c>
      <c r="CT140">
        <f t="shared" si="228"/>
        <v>0</v>
      </c>
      <c r="CU140">
        <f t="shared" si="228"/>
        <v>0</v>
      </c>
      <c r="CV140">
        <f t="shared" si="228"/>
        <v>0</v>
      </c>
      <c r="CW140">
        <f t="shared" si="229"/>
        <v>0</v>
      </c>
      <c r="CX140">
        <f t="shared" si="229"/>
        <v>0</v>
      </c>
      <c r="CY140">
        <f t="shared" si="229"/>
        <v>0</v>
      </c>
      <c r="CZ140">
        <f t="shared" si="229"/>
        <v>0</v>
      </c>
      <c r="DA140">
        <f t="shared" si="229"/>
        <v>0</v>
      </c>
      <c r="DB140">
        <f t="shared" si="229"/>
        <v>0</v>
      </c>
      <c r="DC140">
        <f t="shared" si="229"/>
        <v>0</v>
      </c>
      <c r="DD140">
        <f t="shared" si="229"/>
        <v>0</v>
      </c>
      <c r="DE140">
        <f t="shared" si="229"/>
        <v>0</v>
      </c>
      <c r="DF140">
        <f t="shared" si="229"/>
        <v>0</v>
      </c>
      <c r="DG140">
        <f t="shared" si="230"/>
        <v>0</v>
      </c>
      <c r="DH140">
        <f t="shared" si="230"/>
        <v>0</v>
      </c>
      <c r="DI140">
        <f t="shared" si="230"/>
        <v>0</v>
      </c>
      <c r="DJ140">
        <f t="shared" si="230"/>
        <v>0</v>
      </c>
      <c r="DK140">
        <f t="shared" si="230"/>
        <v>0</v>
      </c>
      <c r="DL140">
        <f t="shared" si="230"/>
        <v>0</v>
      </c>
      <c r="DM140">
        <f t="shared" si="230"/>
        <v>0</v>
      </c>
      <c r="DN140">
        <f t="shared" si="230"/>
        <v>0</v>
      </c>
      <c r="DO140">
        <f t="shared" si="230"/>
        <v>0</v>
      </c>
      <c r="DP140">
        <f t="shared" si="230"/>
        <v>0</v>
      </c>
      <c r="DQ140">
        <f t="shared" si="231"/>
        <v>0</v>
      </c>
      <c r="DR140">
        <f t="shared" si="231"/>
        <v>0</v>
      </c>
      <c r="DS140">
        <f t="shared" si="231"/>
        <v>0</v>
      </c>
      <c r="DT140">
        <f t="shared" si="231"/>
        <v>0</v>
      </c>
      <c r="DU140">
        <f t="shared" si="231"/>
        <v>0</v>
      </c>
      <c r="DV140">
        <f t="shared" si="231"/>
        <v>0</v>
      </c>
      <c r="DW140">
        <f t="shared" si="231"/>
        <v>0</v>
      </c>
      <c r="DX140">
        <f t="shared" si="231"/>
        <v>0</v>
      </c>
      <c r="DY140">
        <f t="shared" si="231"/>
        <v>0</v>
      </c>
      <c r="DZ140">
        <f t="shared" si="231"/>
        <v>0</v>
      </c>
      <c r="EA140">
        <f t="shared" si="232"/>
        <v>0</v>
      </c>
      <c r="EB140">
        <f t="shared" si="232"/>
        <v>0</v>
      </c>
      <c r="EC140">
        <f t="shared" si="232"/>
        <v>0</v>
      </c>
      <c r="ED140">
        <f t="shared" si="232"/>
        <v>0</v>
      </c>
      <c r="EE140">
        <f t="shared" si="232"/>
        <v>0</v>
      </c>
      <c r="EF140">
        <f t="shared" si="232"/>
        <v>0</v>
      </c>
    </row>
    <row r="141" spans="1:136" ht="15.5">
      <c r="A141" s="93"/>
      <c r="B141" s="19" t="s">
        <v>208</v>
      </c>
      <c r="C141" s="94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>
        <v>0</v>
      </c>
      <c r="P141" s="18">
        <v>0</v>
      </c>
      <c r="Q141" s="18">
        <v>0</v>
      </c>
      <c r="R141" s="18">
        <v>0</v>
      </c>
      <c r="S141" s="18">
        <v>4.0000000000000001E-3</v>
      </c>
      <c r="T141" s="18">
        <v>1.3999999999999999E-2</v>
      </c>
      <c r="U141" s="18">
        <v>0</v>
      </c>
      <c r="V141" s="18">
        <v>0.16400000000000001</v>
      </c>
      <c r="W141" s="18">
        <v>0</v>
      </c>
      <c r="X141" s="18">
        <v>0</v>
      </c>
      <c r="Y141" s="18">
        <v>0</v>
      </c>
      <c r="Z141" s="18">
        <v>0</v>
      </c>
      <c r="AA141" s="18">
        <v>0</v>
      </c>
      <c r="AB141" s="18">
        <v>0</v>
      </c>
      <c r="AC141" s="18">
        <v>0</v>
      </c>
      <c r="AD141" s="18">
        <v>0</v>
      </c>
      <c r="AE141" s="18">
        <v>5.2999999999999999E-2</v>
      </c>
      <c r="AF141" s="18">
        <v>7.5999999999999998E-2</v>
      </c>
      <c r="AG141" s="18">
        <v>5.0000000000000001E-3</v>
      </c>
      <c r="AH141" s="18">
        <v>0.48399999999999999</v>
      </c>
      <c r="AI141" s="18">
        <v>1.7509999999999999</v>
      </c>
      <c r="AJ141" s="18">
        <v>0.30100000000000005</v>
      </c>
      <c r="AK141" s="18">
        <v>1.2E-2</v>
      </c>
      <c r="AL141" s="18">
        <v>3.9350000000000001</v>
      </c>
      <c r="AM141" s="18">
        <v>4.0000000000000001E-3</v>
      </c>
      <c r="AN141" s="18">
        <v>0</v>
      </c>
      <c r="AO141" s="18">
        <v>0</v>
      </c>
      <c r="AP141" s="18">
        <v>0</v>
      </c>
      <c r="AQ141" s="18">
        <v>0</v>
      </c>
      <c r="AR141" s="18">
        <v>0</v>
      </c>
      <c r="AS141" s="18">
        <v>0</v>
      </c>
      <c r="AT141" s="18">
        <v>0</v>
      </c>
      <c r="AU141" s="18">
        <v>0</v>
      </c>
      <c r="AV141" s="18">
        <v>0</v>
      </c>
      <c r="AW141" s="18">
        <v>0</v>
      </c>
      <c r="AX141" s="18">
        <v>0</v>
      </c>
      <c r="AY141" s="18">
        <v>48.210999999999999</v>
      </c>
      <c r="AZ141" s="18">
        <v>0</v>
      </c>
      <c r="BA141" s="18">
        <v>0</v>
      </c>
      <c r="BB141" s="18">
        <v>0</v>
      </c>
      <c r="BC141" s="18">
        <v>0</v>
      </c>
      <c r="BD141" s="18">
        <v>0</v>
      </c>
      <c r="BE141" s="25">
        <v>0</v>
      </c>
      <c r="BF141" s="18">
        <v>0</v>
      </c>
      <c r="BG141" s="18">
        <v>0</v>
      </c>
      <c r="BH141" s="18">
        <v>0</v>
      </c>
      <c r="BI141" s="18">
        <v>0</v>
      </c>
      <c r="BJ141" s="18">
        <v>0</v>
      </c>
      <c r="BK141" s="18">
        <v>0</v>
      </c>
      <c r="BL141" s="18">
        <v>0</v>
      </c>
      <c r="BM141" s="18">
        <v>0</v>
      </c>
      <c r="BN141" s="18">
        <v>0</v>
      </c>
      <c r="BO141" s="18">
        <v>969</v>
      </c>
      <c r="BP141" s="18">
        <v>1274</v>
      </c>
      <c r="BQ141" s="18">
        <v>315</v>
      </c>
      <c r="BR141" s="101"/>
      <c r="BS141">
        <f t="shared" si="226"/>
        <v>0</v>
      </c>
      <c r="BT141">
        <f t="shared" si="226"/>
        <v>0</v>
      </c>
      <c r="BU141">
        <f t="shared" si="226"/>
        <v>0</v>
      </c>
      <c r="BV141">
        <f t="shared" si="226"/>
        <v>0</v>
      </c>
      <c r="BW141">
        <f t="shared" si="226"/>
        <v>0</v>
      </c>
      <c r="BX141">
        <f t="shared" si="226"/>
        <v>0</v>
      </c>
      <c r="BY141">
        <f t="shared" si="226"/>
        <v>0</v>
      </c>
      <c r="BZ141">
        <f t="shared" si="226"/>
        <v>0</v>
      </c>
      <c r="CA141">
        <f t="shared" si="226"/>
        <v>0</v>
      </c>
      <c r="CB141">
        <f t="shared" si="226"/>
        <v>0</v>
      </c>
      <c r="CC141">
        <f t="shared" si="227"/>
        <v>0</v>
      </c>
      <c r="CD141">
        <f t="shared" si="227"/>
        <v>0</v>
      </c>
      <c r="CE141">
        <f t="shared" si="227"/>
        <v>0</v>
      </c>
      <c r="CF141">
        <f t="shared" si="227"/>
        <v>0</v>
      </c>
      <c r="CG141">
        <f t="shared" si="227"/>
        <v>0</v>
      </c>
      <c r="CH141">
        <f t="shared" si="227"/>
        <v>0</v>
      </c>
      <c r="CI141">
        <f t="shared" si="227"/>
        <v>0</v>
      </c>
      <c r="CJ141">
        <f t="shared" si="227"/>
        <v>0</v>
      </c>
      <c r="CK141">
        <f t="shared" si="227"/>
        <v>0</v>
      </c>
      <c r="CL141">
        <f t="shared" si="227"/>
        <v>0</v>
      </c>
      <c r="CM141">
        <f t="shared" si="228"/>
        <v>0</v>
      </c>
      <c r="CN141">
        <f t="shared" si="228"/>
        <v>0</v>
      </c>
      <c r="CO141">
        <f t="shared" si="228"/>
        <v>0</v>
      </c>
      <c r="CP141">
        <f t="shared" si="228"/>
        <v>0</v>
      </c>
      <c r="CQ141">
        <f t="shared" si="228"/>
        <v>0</v>
      </c>
      <c r="CR141">
        <f t="shared" si="228"/>
        <v>0</v>
      </c>
      <c r="CS141">
        <f t="shared" si="228"/>
        <v>0</v>
      </c>
      <c r="CT141">
        <f t="shared" si="228"/>
        <v>0</v>
      </c>
      <c r="CU141">
        <f t="shared" si="228"/>
        <v>0</v>
      </c>
      <c r="CV141">
        <f t="shared" si="228"/>
        <v>0</v>
      </c>
      <c r="CW141">
        <f t="shared" si="229"/>
        <v>0</v>
      </c>
      <c r="CX141">
        <f t="shared" si="229"/>
        <v>0</v>
      </c>
      <c r="CY141">
        <f t="shared" si="229"/>
        <v>0</v>
      </c>
      <c r="CZ141">
        <f t="shared" si="229"/>
        <v>0</v>
      </c>
      <c r="DA141">
        <f t="shared" si="229"/>
        <v>0</v>
      </c>
      <c r="DB141">
        <f t="shared" si="229"/>
        <v>0</v>
      </c>
      <c r="DC141">
        <f t="shared" si="229"/>
        <v>0</v>
      </c>
      <c r="DD141">
        <f t="shared" si="229"/>
        <v>0</v>
      </c>
      <c r="DE141">
        <f t="shared" si="229"/>
        <v>0</v>
      </c>
      <c r="DF141">
        <f t="shared" si="229"/>
        <v>0</v>
      </c>
      <c r="DG141">
        <f t="shared" si="230"/>
        <v>0</v>
      </c>
      <c r="DH141">
        <f t="shared" si="230"/>
        <v>0</v>
      </c>
      <c r="DI141">
        <f t="shared" si="230"/>
        <v>0</v>
      </c>
      <c r="DJ141">
        <f t="shared" si="230"/>
        <v>0</v>
      </c>
      <c r="DK141">
        <f t="shared" si="230"/>
        <v>0</v>
      </c>
      <c r="DL141">
        <f t="shared" si="230"/>
        <v>0</v>
      </c>
      <c r="DM141">
        <f t="shared" si="230"/>
        <v>0</v>
      </c>
      <c r="DN141">
        <f t="shared" si="230"/>
        <v>0</v>
      </c>
      <c r="DO141">
        <f t="shared" si="230"/>
        <v>0</v>
      </c>
      <c r="DP141">
        <f t="shared" si="230"/>
        <v>0</v>
      </c>
      <c r="DQ141">
        <f t="shared" si="231"/>
        <v>0</v>
      </c>
      <c r="DR141">
        <f t="shared" si="231"/>
        <v>0</v>
      </c>
      <c r="DS141">
        <f t="shared" si="231"/>
        <v>0</v>
      </c>
      <c r="DT141">
        <f t="shared" si="231"/>
        <v>0</v>
      </c>
      <c r="DU141">
        <f t="shared" si="231"/>
        <v>0</v>
      </c>
      <c r="DV141">
        <f t="shared" si="231"/>
        <v>0</v>
      </c>
      <c r="DW141">
        <f t="shared" si="231"/>
        <v>0</v>
      </c>
      <c r="DX141">
        <f t="shared" si="231"/>
        <v>0</v>
      </c>
      <c r="DY141">
        <f t="shared" si="231"/>
        <v>0</v>
      </c>
      <c r="DZ141">
        <f t="shared" si="231"/>
        <v>0</v>
      </c>
      <c r="EA141">
        <f t="shared" si="232"/>
        <v>0</v>
      </c>
      <c r="EB141">
        <f t="shared" si="232"/>
        <v>0</v>
      </c>
      <c r="EC141">
        <f t="shared" si="232"/>
        <v>0</v>
      </c>
      <c r="ED141">
        <f t="shared" si="232"/>
        <v>0</v>
      </c>
      <c r="EE141">
        <f t="shared" si="232"/>
        <v>0</v>
      </c>
      <c r="EF141">
        <f t="shared" si="232"/>
        <v>0</v>
      </c>
    </row>
    <row r="142" spans="1:136" ht="15.5">
      <c r="A142" s="93"/>
      <c r="B142" s="53" t="s">
        <v>212</v>
      </c>
      <c r="C142" s="94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>
        <v>0</v>
      </c>
      <c r="Y142" s="18">
        <v>0</v>
      </c>
      <c r="Z142" s="18">
        <v>0</v>
      </c>
      <c r="AA142" s="18">
        <v>0</v>
      </c>
      <c r="AB142" s="18">
        <v>0</v>
      </c>
      <c r="AC142" s="18">
        <v>0</v>
      </c>
      <c r="AD142" s="18">
        <v>0</v>
      </c>
      <c r="AE142" s="18">
        <v>0</v>
      </c>
      <c r="AF142" s="18">
        <v>0</v>
      </c>
      <c r="AG142" s="18">
        <v>0</v>
      </c>
      <c r="AH142" s="18">
        <f>700/32.27</f>
        <v>21.691973969631235</v>
      </c>
      <c r="AI142" s="18">
        <f>400/32.27</f>
        <v>12.395413696932135</v>
      </c>
      <c r="AJ142" s="18">
        <v>0</v>
      </c>
      <c r="AK142" s="18">
        <v>0</v>
      </c>
      <c r="AL142" s="18">
        <v>0</v>
      </c>
      <c r="AM142" s="18">
        <f>18500/40.3</f>
        <v>459.05707196029778</v>
      </c>
      <c r="AN142" s="18">
        <v>0</v>
      </c>
      <c r="AO142" s="18">
        <v>0</v>
      </c>
      <c r="AP142" s="18">
        <v>0</v>
      </c>
      <c r="AQ142" s="18">
        <v>0</v>
      </c>
      <c r="AR142" s="18">
        <v>0</v>
      </c>
      <c r="AS142" s="18">
        <v>0</v>
      </c>
      <c r="AT142" s="18">
        <v>0</v>
      </c>
      <c r="AU142" s="18">
        <v>0</v>
      </c>
      <c r="AV142" s="18">
        <v>0</v>
      </c>
      <c r="AW142" s="18">
        <v>0</v>
      </c>
      <c r="AX142" s="18">
        <v>0</v>
      </c>
      <c r="AY142" s="18">
        <v>0</v>
      </c>
      <c r="AZ142" s="18">
        <v>0</v>
      </c>
      <c r="BA142" s="18">
        <v>0</v>
      </c>
      <c r="BB142" s="18">
        <v>0</v>
      </c>
      <c r="BC142" s="18">
        <v>0</v>
      </c>
      <c r="BD142" s="18">
        <v>0</v>
      </c>
      <c r="BE142" s="25">
        <v>0</v>
      </c>
      <c r="BF142" s="18">
        <v>0</v>
      </c>
      <c r="BG142" s="18">
        <v>0</v>
      </c>
      <c r="BH142" s="18">
        <v>0</v>
      </c>
      <c r="BI142" s="18">
        <v>0</v>
      </c>
      <c r="BJ142" s="18">
        <v>0</v>
      </c>
      <c r="BK142" s="18">
        <v>0</v>
      </c>
      <c r="BL142" s="18">
        <v>0</v>
      </c>
      <c r="BM142" s="18">
        <v>0</v>
      </c>
      <c r="BN142" s="18">
        <v>0</v>
      </c>
      <c r="BO142" s="18">
        <v>4453</v>
      </c>
      <c r="BP142" s="113">
        <v>3560</v>
      </c>
      <c r="BQ142" s="113">
        <v>81</v>
      </c>
      <c r="BR142" s="101"/>
      <c r="BS142">
        <f t="shared" si="226"/>
        <v>0</v>
      </c>
      <c r="BT142">
        <f t="shared" si="226"/>
        <v>0</v>
      </c>
      <c r="BU142">
        <f t="shared" si="226"/>
        <v>0</v>
      </c>
      <c r="BV142">
        <f t="shared" si="226"/>
        <v>0</v>
      </c>
      <c r="BW142">
        <f t="shared" si="226"/>
        <v>0</v>
      </c>
      <c r="BX142">
        <f t="shared" si="226"/>
        <v>0</v>
      </c>
      <c r="BY142">
        <f t="shared" si="226"/>
        <v>0</v>
      </c>
      <c r="BZ142">
        <f t="shared" si="226"/>
        <v>0</v>
      </c>
      <c r="CA142">
        <f t="shared" si="226"/>
        <v>0</v>
      </c>
      <c r="CB142">
        <f t="shared" si="226"/>
        <v>0</v>
      </c>
      <c r="CC142">
        <f t="shared" si="227"/>
        <v>0</v>
      </c>
      <c r="CD142">
        <f t="shared" si="227"/>
        <v>0</v>
      </c>
      <c r="CE142">
        <f t="shared" si="227"/>
        <v>0</v>
      </c>
      <c r="CF142">
        <f t="shared" si="227"/>
        <v>0</v>
      </c>
      <c r="CG142">
        <f t="shared" si="227"/>
        <v>0</v>
      </c>
      <c r="CH142">
        <f t="shared" si="227"/>
        <v>0</v>
      </c>
      <c r="CI142">
        <f t="shared" si="227"/>
        <v>0</v>
      </c>
      <c r="CJ142">
        <f t="shared" si="227"/>
        <v>0</v>
      </c>
      <c r="CK142">
        <f t="shared" si="227"/>
        <v>0</v>
      </c>
      <c r="CL142">
        <f t="shared" si="227"/>
        <v>0</v>
      </c>
      <c r="CM142">
        <f t="shared" si="228"/>
        <v>0</v>
      </c>
      <c r="CN142">
        <f t="shared" si="228"/>
        <v>0</v>
      </c>
      <c r="CO142">
        <f t="shared" si="228"/>
        <v>0</v>
      </c>
      <c r="CP142">
        <f t="shared" si="228"/>
        <v>0</v>
      </c>
      <c r="CQ142">
        <f t="shared" si="228"/>
        <v>0</v>
      </c>
      <c r="CR142">
        <f t="shared" si="228"/>
        <v>0</v>
      </c>
      <c r="CS142">
        <f t="shared" si="228"/>
        <v>0</v>
      </c>
      <c r="CT142">
        <f t="shared" si="228"/>
        <v>0</v>
      </c>
      <c r="CU142">
        <f t="shared" si="228"/>
        <v>0</v>
      </c>
      <c r="CV142">
        <f t="shared" si="228"/>
        <v>0</v>
      </c>
      <c r="CW142">
        <f t="shared" si="229"/>
        <v>0</v>
      </c>
      <c r="CX142">
        <f t="shared" si="229"/>
        <v>0</v>
      </c>
      <c r="CY142">
        <f t="shared" si="229"/>
        <v>0</v>
      </c>
      <c r="CZ142">
        <f t="shared" si="229"/>
        <v>0</v>
      </c>
      <c r="DA142">
        <f t="shared" si="229"/>
        <v>0</v>
      </c>
      <c r="DB142">
        <f t="shared" si="229"/>
        <v>0</v>
      </c>
      <c r="DC142">
        <f t="shared" si="229"/>
        <v>0</v>
      </c>
      <c r="DD142">
        <f t="shared" si="229"/>
        <v>0</v>
      </c>
      <c r="DE142">
        <f t="shared" si="229"/>
        <v>0</v>
      </c>
      <c r="DF142">
        <f t="shared" si="229"/>
        <v>0</v>
      </c>
      <c r="DG142">
        <f t="shared" si="230"/>
        <v>0</v>
      </c>
      <c r="DH142">
        <f t="shared" si="230"/>
        <v>0</v>
      </c>
      <c r="DI142">
        <f t="shared" si="230"/>
        <v>0</v>
      </c>
      <c r="DJ142">
        <f t="shared" si="230"/>
        <v>0</v>
      </c>
      <c r="DK142">
        <f t="shared" si="230"/>
        <v>0</v>
      </c>
      <c r="DL142">
        <f t="shared" si="230"/>
        <v>0</v>
      </c>
      <c r="DM142">
        <f t="shared" si="230"/>
        <v>0</v>
      </c>
      <c r="DN142">
        <f t="shared" si="230"/>
        <v>0</v>
      </c>
      <c r="DO142">
        <f t="shared" si="230"/>
        <v>0</v>
      </c>
      <c r="DP142">
        <f t="shared" si="230"/>
        <v>0</v>
      </c>
      <c r="DQ142">
        <f t="shared" si="231"/>
        <v>0</v>
      </c>
      <c r="DR142">
        <f t="shared" si="231"/>
        <v>0</v>
      </c>
      <c r="DS142">
        <f t="shared" si="231"/>
        <v>0</v>
      </c>
      <c r="DT142">
        <f t="shared" si="231"/>
        <v>0</v>
      </c>
      <c r="DU142">
        <f t="shared" si="231"/>
        <v>0</v>
      </c>
      <c r="DV142">
        <f t="shared" si="231"/>
        <v>0</v>
      </c>
      <c r="DW142">
        <f t="shared" si="231"/>
        <v>0</v>
      </c>
      <c r="DX142">
        <f t="shared" si="231"/>
        <v>0</v>
      </c>
      <c r="DY142">
        <f t="shared" si="231"/>
        <v>0</v>
      </c>
      <c r="DZ142">
        <f t="shared" si="231"/>
        <v>0</v>
      </c>
      <c r="EA142">
        <f t="shared" si="232"/>
        <v>0</v>
      </c>
      <c r="EB142">
        <f t="shared" si="232"/>
        <v>0</v>
      </c>
      <c r="EC142">
        <f t="shared" si="232"/>
        <v>0</v>
      </c>
      <c r="ED142">
        <f t="shared" si="232"/>
        <v>0</v>
      </c>
      <c r="EE142">
        <f t="shared" si="232"/>
        <v>0</v>
      </c>
      <c r="EF142">
        <f t="shared" si="232"/>
        <v>0</v>
      </c>
    </row>
    <row r="143" spans="1:136" ht="15.5">
      <c r="A143" s="93"/>
      <c r="B143" s="19"/>
      <c r="C143" s="94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31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101"/>
    </row>
    <row r="144" spans="1:136" ht="15.5">
      <c r="A144" s="93">
        <v>13</v>
      </c>
      <c r="B144" s="32" t="s">
        <v>201</v>
      </c>
      <c r="C144" s="94">
        <v>2</v>
      </c>
      <c r="D144" s="18"/>
      <c r="E144" s="18"/>
      <c r="F144" s="18"/>
      <c r="G144" s="18"/>
      <c r="H144" s="18"/>
      <c r="I144" s="18"/>
      <c r="J144" s="22">
        <f t="shared" ref="J144:AO144" si="233">J145+J146+J147+J148</f>
        <v>0</v>
      </c>
      <c r="K144" s="22">
        <f t="shared" si="233"/>
        <v>0</v>
      </c>
      <c r="L144" s="22">
        <f t="shared" si="233"/>
        <v>0</v>
      </c>
      <c r="M144" s="22">
        <f t="shared" si="233"/>
        <v>0</v>
      </c>
      <c r="N144" s="22">
        <f t="shared" si="233"/>
        <v>0</v>
      </c>
      <c r="O144" s="22">
        <f t="shared" si="233"/>
        <v>0</v>
      </c>
      <c r="P144" s="22">
        <f t="shared" si="233"/>
        <v>0</v>
      </c>
      <c r="Q144" s="22">
        <f t="shared" si="233"/>
        <v>0</v>
      </c>
      <c r="R144" s="22">
        <f t="shared" si="233"/>
        <v>0</v>
      </c>
      <c r="S144" s="22">
        <f t="shared" si="233"/>
        <v>0</v>
      </c>
      <c r="T144" s="22">
        <f t="shared" si="233"/>
        <v>0</v>
      </c>
      <c r="U144" s="22">
        <f t="shared" si="233"/>
        <v>0</v>
      </c>
      <c r="V144" s="22">
        <f t="shared" si="233"/>
        <v>0</v>
      </c>
      <c r="W144" s="22">
        <f t="shared" si="233"/>
        <v>0</v>
      </c>
      <c r="X144" s="22">
        <f t="shared" si="233"/>
        <v>0</v>
      </c>
      <c r="Y144" s="22">
        <f t="shared" si="233"/>
        <v>0</v>
      </c>
      <c r="Z144" s="22">
        <f t="shared" si="233"/>
        <v>0</v>
      </c>
      <c r="AA144" s="22">
        <f t="shared" si="233"/>
        <v>0</v>
      </c>
      <c r="AB144" s="22">
        <f t="shared" si="233"/>
        <v>0</v>
      </c>
      <c r="AC144" s="22">
        <f t="shared" si="233"/>
        <v>0</v>
      </c>
      <c r="AD144" s="22">
        <f t="shared" si="233"/>
        <v>0</v>
      </c>
      <c r="AE144" s="22">
        <f t="shared" si="233"/>
        <v>0</v>
      </c>
      <c r="AF144" s="22">
        <f t="shared" si="233"/>
        <v>0</v>
      </c>
      <c r="AG144" s="22">
        <f t="shared" si="233"/>
        <v>0</v>
      </c>
      <c r="AH144" s="22">
        <f t="shared" si="233"/>
        <v>0</v>
      </c>
      <c r="AI144" s="22">
        <f t="shared" si="233"/>
        <v>0</v>
      </c>
      <c r="AJ144" s="22">
        <f t="shared" si="233"/>
        <v>0</v>
      </c>
      <c r="AK144" s="22">
        <f t="shared" si="233"/>
        <v>0</v>
      </c>
      <c r="AL144" s="22">
        <f t="shared" si="233"/>
        <v>0</v>
      </c>
      <c r="AM144" s="22">
        <f t="shared" si="233"/>
        <v>0</v>
      </c>
      <c r="AN144" s="22">
        <f t="shared" si="233"/>
        <v>0</v>
      </c>
      <c r="AO144" s="22">
        <f t="shared" si="233"/>
        <v>0</v>
      </c>
      <c r="AP144" s="22">
        <f t="shared" ref="AP144:BN144" si="234">AP145+AP146+AP147+AP148</f>
        <v>0</v>
      </c>
      <c r="AQ144" s="22">
        <f t="shared" si="234"/>
        <v>0</v>
      </c>
      <c r="AR144" s="22">
        <f t="shared" si="234"/>
        <v>0</v>
      </c>
      <c r="AS144" s="22">
        <f t="shared" si="234"/>
        <v>0</v>
      </c>
      <c r="AT144" s="22">
        <f t="shared" si="234"/>
        <v>0</v>
      </c>
      <c r="AU144" s="22">
        <f t="shared" si="234"/>
        <v>0</v>
      </c>
      <c r="AV144" s="22">
        <f t="shared" si="234"/>
        <v>0</v>
      </c>
      <c r="AW144" s="22">
        <f t="shared" si="234"/>
        <v>0</v>
      </c>
      <c r="AX144" s="22">
        <f t="shared" si="234"/>
        <v>0</v>
      </c>
      <c r="AY144" s="22">
        <f t="shared" si="234"/>
        <v>0</v>
      </c>
      <c r="AZ144" s="22">
        <f t="shared" si="234"/>
        <v>0</v>
      </c>
      <c r="BA144" s="22">
        <f t="shared" si="234"/>
        <v>0</v>
      </c>
      <c r="BB144" s="22">
        <f t="shared" si="234"/>
        <v>0</v>
      </c>
      <c r="BC144" s="22">
        <f t="shared" si="234"/>
        <v>0</v>
      </c>
      <c r="BD144" s="22">
        <f t="shared" si="234"/>
        <v>0</v>
      </c>
      <c r="BE144" s="22">
        <f t="shared" si="234"/>
        <v>0</v>
      </c>
      <c r="BF144" s="22">
        <f t="shared" si="234"/>
        <v>0</v>
      </c>
      <c r="BG144" s="22">
        <f t="shared" si="234"/>
        <v>0</v>
      </c>
      <c r="BH144" s="22">
        <f t="shared" si="234"/>
        <v>0</v>
      </c>
      <c r="BI144" s="22">
        <f t="shared" si="234"/>
        <v>0</v>
      </c>
      <c r="BJ144" s="22">
        <f t="shared" si="234"/>
        <v>6960.4</v>
      </c>
      <c r="BK144" s="22">
        <f t="shared" si="234"/>
        <v>1101.4000000000001</v>
      </c>
      <c r="BL144" s="22">
        <f t="shared" si="234"/>
        <v>25</v>
      </c>
      <c r="BM144" s="22">
        <f t="shared" si="234"/>
        <v>0</v>
      </c>
      <c r="BN144" s="22">
        <f t="shared" si="234"/>
        <v>150.5</v>
      </c>
      <c r="BO144" s="4">
        <f>SUM(BO145:BO148)</f>
        <v>0</v>
      </c>
      <c r="BP144" s="4">
        <f>SUM(BP145:BP148)</f>
        <v>0</v>
      </c>
      <c r="BQ144" s="4">
        <f>SUM(BQ145:BQ148)</f>
        <v>0</v>
      </c>
      <c r="BR144" s="101"/>
      <c r="BS144">
        <f t="shared" ref="BS144:CB149" si="235">IF($C144&lt;&gt;"",IF(D144&gt;0,1,0),0)</f>
        <v>0</v>
      </c>
      <c r="BT144">
        <f t="shared" si="235"/>
        <v>0</v>
      </c>
      <c r="BU144">
        <f t="shared" si="235"/>
        <v>0</v>
      </c>
      <c r="BV144">
        <f t="shared" si="235"/>
        <v>0</v>
      </c>
      <c r="BW144">
        <f t="shared" si="235"/>
        <v>0</v>
      </c>
      <c r="BX144">
        <f t="shared" si="235"/>
        <v>0</v>
      </c>
      <c r="BY144">
        <f t="shared" si="235"/>
        <v>0</v>
      </c>
      <c r="BZ144">
        <f t="shared" si="235"/>
        <v>0</v>
      </c>
      <c r="CA144">
        <f t="shared" si="235"/>
        <v>0</v>
      </c>
      <c r="CB144">
        <f t="shared" si="235"/>
        <v>0</v>
      </c>
      <c r="CC144">
        <f t="shared" ref="CC144:CL149" si="236">IF($C144&lt;&gt;"",IF(N144&gt;0,1,0),0)</f>
        <v>0</v>
      </c>
      <c r="CD144">
        <f t="shared" si="236"/>
        <v>0</v>
      </c>
      <c r="CE144">
        <f t="shared" si="236"/>
        <v>0</v>
      </c>
      <c r="CF144">
        <f t="shared" si="236"/>
        <v>0</v>
      </c>
      <c r="CG144">
        <f t="shared" si="236"/>
        <v>0</v>
      </c>
      <c r="CH144">
        <f t="shared" si="236"/>
        <v>0</v>
      </c>
      <c r="CI144">
        <f t="shared" si="236"/>
        <v>0</v>
      </c>
      <c r="CJ144">
        <f t="shared" si="236"/>
        <v>0</v>
      </c>
      <c r="CK144">
        <f t="shared" si="236"/>
        <v>0</v>
      </c>
      <c r="CL144">
        <f t="shared" si="236"/>
        <v>0</v>
      </c>
      <c r="CM144">
        <f t="shared" ref="CM144:CV149" si="237">IF($C144&lt;&gt;"",IF(X144&gt;0,1,0),0)</f>
        <v>0</v>
      </c>
      <c r="CN144">
        <f t="shared" si="237"/>
        <v>0</v>
      </c>
      <c r="CO144">
        <f t="shared" si="237"/>
        <v>0</v>
      </c>
      <c r="CP144">
        <f t="shared" si="237"/>
        <v>0</v>
      </c>
      <c r="CQ144">
        <f t="shared" si="237"/>
        <v>0</v>
      </c>
      <c r="CR144">
        <f t="shared" si="237"/>
        <v>0</v>
      </c>
      <c r="CS144">
        <f t="shared" si="237"/>
        <v>0</v>
      </c>
      <c r="CT144">
        <f t="shared" si="237"/>
        <v>0</v>
      </c>
      <c r="CU144">
        <f t="shared" si="237"/>
        <v>0</v>
      </c>
      <c r="CV144">
        <f t="shared" si="237"/>
        <v>0</v>
      </c>
      <c r="CW144">
        <f t="shared" ref="CW144:DF149" si="238">IF($C144&lt;&gt;"",IF(AH144&gt;0,1,0),0)</f>
        <v>0</v>
      </c>
      <c r="CX144">
        <f t="shared" si="238"/>
        <v>0</v>
      </c>
      <c r="CY144">
        <f t="shared" si="238"/>
        <v>0</v>
      </c>
      <c r="CZ144">
        <f t="shared" si="238"/>
        <v>0</v>
      </c>
      <c r="DA144">
        <f t="shared" si="238"/>
        <v>0</v>
      </c>
      <c r="DB144">
        <f t="shared" si="238"/>
        <v>0</v>
      </c>
      <c r="DC144">
        <f t="shared" si="238"/>
        <v>0</v>
      </c>
      <c r="DD144">
        <f t="shared" si="238"/>
        <v>0</v>
      </c>
      <c r="DE144">
        <f t="shared" si="238"/>
        <v>0</v>
      </c>
      <c r="DF144">
        <f t="shared" si="238"/>
        <v>0</v>
      </c>
      <c r="DG144">
        <f t="shared" ref="DG144:DP149" si="239">IF($C144&lt;&gt;"",IF(AR144&gt;0,1,0),0)</f>
        <v>0</v>
      </c>
      <c r="DH144">
        <f t="shared" si="239"/>
        <v>0</v>
      </c>
      <c r="DI144">
        <f t="shared" si="239"/>
        <v>0</v>
      </c>
      <c r="DJ144">
        <f t="shared" si="239"/>
        <v>0</v>
      </c>
      <c r="DK144">
        <f t="shared" si="239"/>
        <v>0</v>
      </c>
      <c r="DL144">
        <f t="shared" si="239"/>
        <v>0</v>
      </c>
      <c r="DM144">
        <f t="shared" si="239"/>
        <v>0</v>
      </c>
      <c r="DN144">
        <f t="shared" si="239"/>
        <v>0</v>
      </c>
      <c r="DO144">
        <f t="shared" si="239"/>
        <v>0</v>
      </c>
      <c r="DP144">
        <f t="shared" si="239"/>
        <v>0</v>
      </c>
      <c r="DQ144">
        <f t="shared" ref="DQ144:DZ149" si="240">IF($C144&lt;&gt;"",IF(BB144&gt;0,1,0),0)</f>
        <v>0</v>
      </c>
      <c r="DR144">
        <f t="shared" si="240"/>
        <v>0</v>
      </c>
      <c r="DS144">
        <f t="shared" si="240"/>
        <v>0</v>
      </c>
      <c r="DT144">
        <f t="shared" si="240"/>
        <v>0</v>
      </c>
      <c r="DU144">
        <f t="shared" si="240"/>
        <v>0</v>
      </c>
      <c r="DV144">
        <f t="shared" si="240"/>
        <v>0</v>
      </c>
      <c r="DW144">
        <f t="shared" si="240"/>
        <v>0</v>
      </c>
      <c r="DX144">
        <f t="shared" si="240"/>
        <v>0</v>
      </c>
      <c r="DY144">
        <f t="shared" si="240"/>
        <v>1</v>
      </c>
      <c r="DZ144">
        <f t="shared" si="240"/>
        <v>1</v>
      </c>
      <c r="EA144">
        <f t="shared" ref="EA144:EF149" si="241">IF($C144&lt;&gt;"",IF(BL144&gt;0,1,0),0)</f>
        <v>1</v>
      </c>
      <c r="EB144">
        <f t="shared" si="241"/>
        <v>0</v>
      </c>
      <c r="EC144">
        <f t="shared" si="241"/>
        <v>1</v>
      </c>
      <c r="ED144">
        <f t="shared" si="241"/>
        <v>0</v>
      </c>
      <c r="EE144">
        <f t="shared" si="241"/>
        <v>0</v>
      </c>
      <c r="EF144">
        <f t="shared" si="241"/>
        <v>0</v>
      </c>
    </row>
    <row r="145" spans="1:136" ht="15.5">
      <c r="A145" s="93"/>
      <c r="B145" s="53" t="s">
        <v>3</v>
      </c>
      <c r="C145" s="94"/>
      <c r="D145" s="18"/>
      <c r="E145" s="18"/>
      <c r="F145" s="18"/>
      <c r="G145" s="18"/>
      <c r="H145" s="18"/>
      <c r="I145" s="18"/>
      <c r="J145" s="18">
        <v>0</v>
      </c>
      <c r="K145" s="18">
        <v>0</v>
      </c>
      <c r="L145" s="18">
        <v>0</v>
      </c>
      <c r="M145" s="18">
        <v>0</v>
      </c>
      <c r="N145" s="18">
        <v>0</v>
      </c>
      <c r="O145" s="18">
        <v>0</v>
      </c>
      <c r="P145" s="18">
        <v>0</v>
      </c>
      <c r="Q145" s="18">
        <v>0</v>
      </c>
      <c r="R145" s="18">
        <v>0</v>
      </c>
      <c r="S145" s="18">
        <v>0</v>
      </c>
      <c r="T145" s="18">
        <v>0</v>
      </c>
      <c r="U145" s="18">
        <v>0</v>
      </c>
      <c r="V145" s="18">
        <v>0</v>
      </c>
      <c r="W145" s="18">
        <v>0</v>
      </c>
      <c r="X145" s="18">
        <v>0</v>
      </c>
      <c r="Y145" s="18">
        <v>0</v>
      </c>
      <c r="Z145" s="18">
        <v>0</v>
      </c>
      <c r="AA145" s="18">
        <v>0</v>
      </c>
      <c r="AB145" s="18">
        <v>0</v>
      </c>
      <c r="AC145" s="18">
        <v>0</v>
      </c>
      <c r="AD145" s="18">
        <v>0</v>
      </c>
      <c r="AE145" s="18">
        <v>0</v>
      </c>
      <c r="AF145" s="18">
        <v>0</v>
      </c>
      <c r="AG145" s="18">
        <v>0</v>
      </c>
      <c r="AH145" s="18">
        <v>0</v>
      </c>
      <c r="AI145" s="18">
        <v>0</v>
      </c>
      <c r="AJ145" s="18">
        <v>0</v>
      </c>
      <c r="AK145" s="18">
        <v>0</v>
      </c>
      <c r="AL145" s="18">
        <v>0</v>
      </c>
      <c r="AM145" s="18">
        <v>0</v>
      </c>
      <c r="AN145" s="18">
        <v>0</v>
      </c>
      <c r="AO145" s="18">
        <v>0</v>
      </c>
      <c r="AP145" s="18">
        <v>0</v>
      </c>
      <c r="AQ145" s="18">
        <v>0</v>
      </c>
      <c r="AR145" s="18">
        <v>0</v>
      </c>
      <c r="AS145" s="18">
        <v>0</v>
      </c>
      <c r="AT145" s="18">
        <v>0</v>
      </c>
      <c r="AU145" s="18">
        <v>0</v>
      </c>
      <c r="AV145" s="18">
        <v>0</v>
      </c>
      <c r="AW145" s="18">
        <v>0</v>
      </c>
      <c r="AX145" s="18">
        <v>0</v>
      </c>
      <c r="AY145" s="18">
        <v>0</v>
      </c>
      <c r="AZ145" s="18">
        <v>0</v>
      </c>
      <c r="BA145" s="18">
        <v>0</v>
      </c>
      <c r="BB145" s="18">
        <v>0</v>
      </c>
      <c r="BC145" s="18">
        <v>0</v>
      </c>
      <c r="BD145" s="18">
        <v>0</v>
      </c>
      <c r="BE145" s="18">
        <v>0</v>
      </c>
      <c r="BF145" s="18">
        <v>0</v>
      </c>
      <c r="BG145" s="18">
        <v>0</v>
      </c>
      <c r="BH145" s="18">
        <v>0</v>
      </c>
      <c r="BI145" s="18">
        <v>0</v>
      </c>
      <c r="BJ145" s="18">
        <v>69</v>
      </c>
      <c r="BK145" s="18">
        <v>82</v>
      </c>
      <c r="BL145" s="18">
        <v>25</v>
      </c>
      <c r="BM145" s="113">
        <v>0</v>
      </c>
      <c r="BN145" s="113">
        <v>0</v>
      </c>
      <c r="BO145" s="113">
        <v>0</v>
      </c>
      <c r="BP145" s="113">
        <v>0</v>
      </c>
      <c r="BQ145" s="113">
        <v>0</v>
      </c>
      <c r="BR145" s="101"/>
      <c r="BS145">
        <f t="shared" si="235"/>
        <v>0</v>
      </c>
      <c r="BT145">
        <f t="shared" si="235"/>
        <v>0</v>
      </c>
      <c r="BU145">
        <f t="shared" si="235"/>
        <v>0</v>
      </c>
      <c r="BV145">
        <f t="shared" si="235"/>
        <v>0</v>
      </c>
      <c r="BW145">
        <f t="shared" si="235"/>
        <v>0</v>
      </c>
      <c r="BX145">
        <f t="shared" si="235"/>
        <v>0</v>
      </c>
      <c r="BY145">
        <f t="shared" si="235"/>
        <v>0</v>
      </c>
      <c r="BZ145">
        <f t="shared" si="235"/>
        <v>0</v>
      </c>
      <c r="CA145">
        <f t="shared" si="235"/>
        <v>0</v>
      </c>
      <c r="CB145">
        <f t="shared" si="235"/>
        <v>0</v>
      </c>
      <c r="CC145">
        <f t="shared" si="236"/>
        <v>0</v>
      </c>
      <c r="CD145">
        <f t="shared" si="236"/>
        <v>0</v>
      </c>
      <c r="CE145">
        <f t="shared" si="236"/>
        <v>0</v>
      </c>
      <c r="CF145">
        <f t="shared" si="236"/>
        <v>0</v>
      </c>
      <c r="CG145">
        <f t="shared" si="236"/>
        <v>0</v>
      </c>
      <c r="CH145">
        <f t="shared" si="236"/>
        <v>0</v>
      </c>
      <c r="CI145">
        <f t="shared" si="236"/>
        <v>0</v>
      </c>
      <c r="CJ145">
        <f t="shared" si="236"/>
        <v>0</v>
      </c>
      <c r="CK145">
        <f t="shared" si="236"/>
        <v>0</v>
      </c>
      <c r="CL145">
        <f t="shared" si="236"/>
        <v>0</v>
      </c>
      <c r="CM145">
        <f t="shared" si="237"/>
        <v>0</v>
      </c>
      <c r="CN145">
        <f t="shared" si="237"/>
        <v>0</v>
      </c>
      <c r="CO145">
        <f t="shared" si="237"/>
        <v>0</v>
      </c>
      <c r="CP145">
        <f t="shared" si="237"/>
        <v>0</v>
      </c>
      <c r="CQ145">
        <f t="shared" si="237"/>
        <v>0</v>
      </c>
      <c r="CR145">
        <f t="shared" si="237"/>
        <v>0</v>
      </c>
      <c r="CS145">
        <f t="shared" si="237"/>
        <v>0</v>
      </c>
      <c r="CT145">
        <f t="shared" si="237"/>
        <v>0</v>
      </c>
      <c r="CU145">
        <f t="shared" si="237"/>
        <v>0</v>
      </c>
      <c r="CV145">
        <f t="shared" si="237"/>
        <v>0</v>
      </c>
      <c r="CW145">
        <f t="shared" si="238"/>
        <v>0</v>
      </c>
      <c r="CX145">
        <f t="shared" si="238"/>
        <v>0</v>
      </c>
      <c r="CY145">
        <f t="shared" si="238"/>
        <v>0</v>
      </c>
      <c r="CZ145">
        <f t="shared" si="238"/>
        <v>0</v>
      </c>
      <c r="DA145">
        <f t="shared" si="238"/>
        <v>0</v>
      </c>
      <c r="DB145">
        <f t="shared" si="238"/>
        <v>0</v>
      </c>
      <c r="DC145">
        <f t="shared" si="238"/>
        <v>0</v>
      </c>
      <c r="DD145">
        <f t="shared" si="238"/>
        <v>0</v>
      </c>
      <c r="DE145">
        <f t="shared" si="238"/>
        <v>0</v>
      </c>
      <c r="DF145">
        <f t="shared" si="238"/>
        <v>0</v>
      </c>
      <c r="DG145">
        <f t="shared" si="239"/>
        <v>0</v>
      </c>
      <c r="DH145">
        <f t="shared" si="239"/>
        <v>0</v>
      </c>
      <c r="DI145">
        <f t="shared" si="239"/>
        <v>0</v>
      </c>
      <c r="DJ145">
        <f t="shared" si="239"/>
        <v>0</v>
      </c>
      <c r="DK145">
        <f t="shared" si="239"/>
        <v>0</v>
      </c>
      <c r="DL145">
        <f t="shared" si="239"/>
        <v>0</v>
      </c>
      <c r="DM145">
        <f t="shared" si="239"/>
        <v>0</v>
      </c>
      <c r="DN145">
        <f t="shared" si="239"/>
        <v>0</v>
      </c>
      <c r="DO145">
        <f t="shared" si="239"/>
        <v>0</v>
      </c>
      <c r="DP145">
        <f t="shared" si="239"/>
        <v>0</v>
      </c>
      <c r="DQ145">
        <f t="shared" si="240"/>
        <v>0</v>
      </c>
      <c r="DR145">
        <f t="shared" si="240"/>
        <v>0</v>
      </c>
      <c r="DS145">
        <f t="shared" si="240"/>
        <v>0</v>
      </c>
      <c r="DT145">
        <f t="shared" si="240"/>
        <v>0</v>
      </c>
      <c r="DU145">
        <f t="shared" si="240"/>
        <v>0</v>
      </c>
      <c r="DV145">
        <f t="shared" si="240"/>
        <v>0</v>
      </c>
      <c r="DW145">
        <f t="shared" si="240"/>
        <v>0</v>
      </c>
      <c r="DX145">
        <f t="shared" si="240"/>
        <v>0</v>
      </c>
      <c r="DY145">
        <f t="shared" si="240"/>
        <v>0</v>
      </c>
      <c r="DZ145">
        <f t="shared" si="240"/>
        <v>0</v>
      </c>
      <c r="EA145">
        <f t="shared" si="241"/>
        <v>0</v>
      </c>
      <c r="EB145">
        <f t="shared" si="241"/>
        <v>0</v>
      </c>
      <c r="EC145">
        <f t="shared" si="241"/>
        <v>0</v>
      </c>
      <c r="ED145">
        <f t="shared" si="241"/>
        <v>0</v>
      </c>
      <c r="EE145">
        <f t="shared" si="241"/>
        <v>0</v>
      </c>
      <c r="EF145">
        <f t="shared" si="241"/>
        <v>0</v>
      </c>
    </row>
    <row r="146" spans="1:136" ht="15.5">
      <c r="A146" s="93"/>
      <c r="B146" s="53" t="s">
        <v>25</v>
      </c>
      <c r="C146" s="94"/>
      <c r="D146" s="18"/>
      <c r="E146" s="18"/>
      <c r="F146" s="18"/>
      <c r="G146" s="18"/>
      <c r="H146" s="18"/>
      <c r="I146" s="18"/>
      <c r="J146" s="18">
        <v>0</v>
      </c>
      <c r="K146" s="18">
        <v>0</v>
      </c>
      <c r="L146" s="18">
        <v>0</v>
      </c>
      <c r="M146" s="18">
        <v>0</v>
      </c>
      <c r="N146" s="18">
        <v>0</v>
      </c>
      <c r="O146" s="18">
        <v>0</v>
      </c>
      <c r="P146" s="18">
        <v>0</v>
      </c>
      <c r="Q146" s="18">
        <v>0</v>
      </c>
      <c r="R146" s="18">
        <v>0</v>
      </c>
      <c r="S146" s="18">
        <v>0</v>
      </c>
      <c r="T146" s="18">
        <v>0</v>
      </c>
      <c r="U146" s="18">
        <v>0</v>
      </c>
      <c r="V146" s="18">
        <v>0</v>
      </c>
      <c r="W146" s="18">
        <v>0</v>
      </c>
      <c r="X146" s="18">
        <v>0</v>
      </c>
      <c r="Y146" s="18">
        <v>0</v>
      </c>
      <c r="Z146" s="18">
        <v>0</v>
      </c>
      <c r="AA146" s="18">
        <v>0</v>
      </c>
      <c r="AB146" s="18">
        <v>0</v>
      </c>
      <c r="AC146" s="18">
        <v>0</v>
      </c>
      <c r="AD146" s="18">
        <v>0</v>
      </c>
      <c r="AE146" s="18">
        <v>0</v>
      </c>
      <c r="AF146" s="18">
        <v>0</v>
      </c>
      <c r="AG146" s="18">
        <v>0</v>
      </c>
      <c r="AH146" s="18">
        <v>0</v>
      </c>
      <c r="AI146" s="18">
        <v>0</v>
      </c>
      <c r="AJ146" s="18">
        <v>0</v>
      </c>
      <c r="AK146" s="18">
        <v>0</v>
      </c>
      <c r="AL146" s="18">
        <v>0</v>
      </c>
      <c r="AM146" s="18">
        <v>0</v>
      </c>
      <c r="AN146" s="18">
        <v>0</v>
      </c>
      <c r="AO146" s="18">
        <v>0</v>
      </c>
      <c r="AP146" s="18">
        <v>0</v>
      </c>
      <c r="AQ146" s="18">
        <v>0</v>
      </c>
      <c r="AR146" s="18">
        <v>0</v>
      </c>
      <c r="AS146" s="18">
        <v>0</v>
      </c>
      <c r="AT146" s="18">
        <v>0</v>
      </c>
      <c r="AU146" s="18">
        <v>0</v>
      </c>
      <c r="AV146" s="18">
        <v>0</v>
      </c>
      <c r="AW146" s="18">
        <v>0</v>
      </c>
      <c r="AX146" s="18">
        <v>0</v>
      </c>
      <c r="AY146" s="18">
        <v>0</v>
      </c>
      <c r="AZ146" s="18">
        <v>0</v>
      </c>
      <c r="BA146" s="18">
        <v>0</v>
      </c>
      <c r="BB146" s="18">
        <v>0</v>
      </c>
      <c r="BC146" s="18">
        <v>0</v>
      </c>
      <c r="BD146" s="18">
        <v>0</v>
      </c>
      <c r="BE146" s="18">
        <v>0</v>
      </c>
      <c r="BF146" s="18">
        <v>0</v>
      </c>
      <c r="BG146" s="18">
        <v>0</v>
      </c>
      <c r="BH146" s="18">
        <v>0</v>
      </c>
      <c r="BI146" s="18">
        <v>0</v>
      </c>
      <c r="BJ146" s="113">
        <f>611+31+66+3.3</f>
        <v>711.3</v>
      </c>
      <c r="BK146" s="113">
        <v>774</v>
      </c>
      <c r="BL146" s="18">
        <v>0</v>
      </c>
      <c r="BM146" s="113">
        <v>0</v>
      </c>
      <c r="BN146" s="113">
        <v>77.599999999999994</v>
      </c>
      <c r="BO146" s="113">
        <v>0</v>
      </c>
      <c r="BP146" s="113">
        <v>0</v>
      </c>
      <c r="BQ146" s="113">
        <v>0</v>
      </c>
      <c r="BR146" s="101"/>
      <c r="BS146">
        <f t="shared" si="235"/>
        <v>0</v>
      </c>
      <c r="BT146">
        <f t="shared" si="235"/>
        <v>0</v>
      </c>
      <c r="BU146">
        <f t="shared" si="235"/>
        <v>0</v>
      </c>
      <c r="BV146">
        <f t="shared" si="235"/>
        <v>0</v>
      </c>
      <c r="BW146">
        <f t="shared" si="235"/>
        <v>0</v>
      </c>
      <c r="BX146">
        <f t="shared" si="235"/>
        <v>0</v>
      </c>
      <c r="BY146">
        <f t="shared" si="235"/>
        <v>0</v>
      </c>
      <c r="BZ146">
        <f t="shared" si="235"/>
        <v>0</v>
      </c>
      <c r="CA146">
        <f t="shared" si="235"/>
        <v>0</v>
      </c>
      <c r="CB146">
        <f t="shared" si="235"/>
        <v>0</v>
      </c>
      <c r="CC146">
        <f t="shared" si="236"/>
        <v>0</v>
      </c>
      <c r="CD146">
        <f t="shared" si="236"/>
        <v>0</v>
      </c>
      <c r="CE146">
        <f t="shared" si="236"/>
        <v>0</v>
      </c>
      <c r="CF146">
        <f t="shared" si="236"/>
        <v>0</v>
      </c>
      <c r="CG146">
        <f t="shared" si="236"/>
        <v>0</v>
      </c>
      <c r="CH146">
        <f t="shared" si="236"/>
        <v>0</v>
      </c>
      <c r="CI146">
        <f t="shared" si="236"/>
        <v>0</v>
      </c>
      <c r="CJ146">
        <f t="shared" si="236"/>
        <v>0</v>
      </c>
      <c r="CK146">
        <f t="shared" si="236"/>
        <v>0</v>
      </c>
      <c r="CL146">
        <f t="shared" si="236"/>
        <v>0</v>
      </c>
      <c r="CM146">
        <f t="shared" si="237"/>
        <v>0</v>
      </c>
      <c r="CN146">
        <f t="shared" si="237"/>
        <v>0</v>
      </c>
      <c r="CO146">
        <f t="shared" si="237"/>
        <v>0</v>
      </c>
      <c r="CP146">
        <f t="shared" si="237"/>
        <v>0</v>
      </c>
      <c r="CQ146">
        <f t="shared" si="237"/>
        <v>0</v>
      </c>
      <c r="CR146">
        <f t="shared" si="237"/>
        <v>0</v>
      </c>
      <c r="CS146">
        <f t="shared" si="237"/>
        <v>0</v>
      </c>
      <c r="CT146">
        <f t="shared" si="237"/>
        <v>0</v>
      </c>
      <c r="CU146">
        <f t="shared" si="237"/>
        <v>0</v>
      </c>
      <c r="CV146">
        <f t="shared" si="237"/>
        <v>0</v>
      </c>
      <c r="CW146">
        <f t="shared" si="238"/>
        <v>0</v>
      </c>
      <c r="CX146">
        <f t="shared" si="238"/>
        <v>0</v>
      </c>
      <c r="CY146">
        <f t="shared" si="238"/>
        <v>0</v>
      </c>
      <c r="CZ146">
        <f t="shared" si="238"/>
        <v>0</v>
      </c>
      <c r="DA146">
        <f t="shared" si="238"/>
        <v>0</v>
      </c>
      <c r="DB146">
        <f t="shared" si="238"/>
        <v>0</v>
      </c>
      <c r="DC146">
        <f t="shared" si="238"/>
        <v>0</v>
      </c>
      <c r="DD146">
        <f t="shared" si="238"/>
        <v>0</v>
      </c>
      <c r="DE146">
        <f t="shared" si="238"/>
        <v>0</v>
      </c>
      <c r="DF146">
        <f t="shared" si="238"/>
        <v>0</v>
      </c>
      <c r="DG146">
        <f t="shared" si="239"/>
        <v>0</v>
      </c>
      <c r="DH146">
        <f t="shared" si="239"/>
        <v>0</v>
      </c>
      <c r="DI146">
        <f t="shared" si="239"/>
        <v>0</v>
      </c>
      <c r="DJ146">
        <f t="shared" si="239"/>
        <v>0</v>
      </c>
      <c r="DK146">
        <f t="shared" si="239"/>
        <v>0</v>
      </c>
      <c r="DL146">
        <f t="shared" si="239"/>
        <v>0</v>
      </c>
      <c r="DM146">
        <f t="shared" si="239"/>
        <v>0</v>
      </c>
      <c r="DN146">
        <f t="shared" si="239"/>
        <v>0</v>
      </c>
      <c r="DO146">
        <f t="shared" si="239"/>
        <v>0</v>
      </c>
      <c r="DP146">
        <f t="shared" si="239"/>
        <v>0</v>
      </c>
      <c r="DQ146">
        <f t="shared" si="240"/>
        <v>0</v>
      </c>
      <c r="DR146">
        <f t="shared" si="240"/>
        <v>0</v>
      </c>
      <c r="DS146">
        <f t="shared" si="240"/>
        <v>0</v>
      </c>
      <c r="DT146">
        <f t="shared" si="240"/>
        <v>0</v>
      </c>
      <c r="DU146">
        <f t="shared" si="240"/>
        <v>0</v>
      </c>
      <c r="DV146">
        <f t="shared" si="240"/>
        <v>0</v>
      </c>
      <c r="DW146">
        <f t="shared" si="240"/>
        <v>0</v>
      </c>
      <c r="DX146">
        <f t="shared" si="240"/>
        <v>0</v>
      </c>
      <c r="DY146">
        <f t="shared" si="240"/>
        <v>0</v>
      </c>
      <c r="DZ146">
        <f t="shared" si="240"/>
        <v>0</v>
      </c>
      <c r="EA146">
        <f t="shared" si="241"/>
        <v>0</v>
      </c>
      <c r="EB146">
        <f t="shared" si="241"/>
        <v>0</v>
      </c>
      <c r="EC146">
        <f t="shared" si="241"/>
        <v>0</v>
      </c>
      <c r="ED146">
        <f t="shared" si="241"/>
        <v>0</v>
      </c>
      <c r="EE146">
        <f t="shared" si="241"/>
        <v>0</v>
      </c>
      <c r="EF146">
        <f t="shared" si="241"/>
        <v>0</v>
      </c>
    </row>
    <row r="147" spans="1:136" ht="15.5">
      <c r="A147" s="93"/>
      <c r="B147" s="53" t="s">
        <v>18</v>
      </c>
      <c r="C147" s="94"/>
      <c r="D147" s="18"/>
      <c r="E147" s="18"/>
      <c r="F147" s="18"/>
      <c r="G147" s="18"/>
      <c r="H147" s="18"/>
      <c r="I147" s="18"/>
      <c r="J147" s="18">
        <v>0</v>
      </c>
      <c r="K147" s="18">
        <v>0</v>
      </c>
      <c r="L147" s="18">
        <v>0</v>
      </c>
      <c r="M147" s="18">
        <v>0</v>
      </c>
      <c r="N147" s="18">
        <v>0</v>
      </c>
      <c r="O147" s="18">
        <v>0</v>
      </c>
      <c r="P147" s="18">
        <v>0</v>
      </c>
      <c r="Q147" s="18">
        <v>0</v>
      </c>
      <c r="R147" s="18">
        <v>0</v>
      </c>
      <c r="S147" s="18">
        <v>0</v>
      </c>
      <c r="T147" s="18">
        <v>0</v>
      </c>
      <c r="U147" s="18">
        <v>0</v>
      </c>
      <c r="V147" s="18">
        <v>0</v>
      </c>
      <c r="W147" s="18">
        <v>0</v>
      </c>
      <c r="X147" s="18">
        <v>0</v>
      </c>
      <c r="Y147" s="18">
        <v>0</v>
      </c>
      <c r="Z147" s="18">
        <v>0</v>
      </c>
      <c r="AA147" s="18">
        <v>0</v>
      </c>
      <c r="AB147" s="18">
        <v>0</v>
      </c>
      <c r="AC147" s="18">
        <v>0</v>
      </c>
      <c r="AD147" s="18">
        <v>0</v>
      </c>
      <c r="AE147" s="18">
        <v>0</v>
      </c>
      <c r="AF147" s="18">
        <v>0</v>
      </c>
      <c r="AG147" s="18">
        <v>0</v>
      </c>
      <c r="AH147" s="18">
        <v>0</v>
      </c>
      <c r="AI147" s="18">
        <v>0</v>
      </c>
      <c r="AJ147" s="18">
        <v>0</v>
      </c>
      <c r="AK147" s="18">
        <v>0</v>
      </c>
      <c r="AL147" s="18">
        <v>0</v>
      </c>
      <c r="AM147" s="18">
        <v>0</v>
      </c>
      <c r="AN147" s="18">
        <v>0</v>
      </c>
      <c r="AO147" s="18">
        <v>0</v>
      </c>
      <c r="AP147" s="18">
        <v>0</v>
      </c>
      <c r="AQ147" s="18">
        <v>0</v>
      </c>
      <c r="AR147" s="18">
        <v>0</v>
      </c>
      <c r="AS147" s="18">
        <v>0</v>
      </c>
      <c r="AT147" s="18">
        <v>0</v>
      </c>
      <c r="AU147" s="18">
        <v>0</v>
      </c>
      <c r="AV147" s="18">
        <v>0</v>
      </c>
      <c r="AW147" s="18">
        <v>0</v>
      </c>
      <c r="AX147" s="18">
        <v>0</v>
      </c>
      <c r="AY147" s="18">
        <v>0</v>
      </c>
      <c r="AZ147" s="18">
        <v>0</v>
      </c>
      <c r="BA147" s="18">
        <v>0</v>
      </c>
      <c r="BB147" s="18">
        <v>0</v>
      </c>
      <c r="BC147" s="18">
        <v>0</v>
      </c>
      <c r="BD147" s="18">
        <v>0</v>
      </c>
      <c r="BE147" s="18">
        <v>0</v>
      </c>
      <c r="BF147" s="18">
        <v>0</v>
      </c>
      <c r="BG147" s="18">
        <v>0</v>
      </c>
      <c r="BH147" s="18">
        <v>0</v>
      </c>
      <c r="BI147" s="18">
        <v>0</v>
      </c>
      <c r="BJ147" s="113">
        <f>225+5.1</f>
        <v>230.1</v>
      </c>
      <c r="BK147" s="113">
        <f>230+10.3+5.1</f>
        <v>245.4</v>
      </c>
      <c r="BL147" s="18">
        <v>0</v>
      </c>
      <c r="BM147" s="113">
        <v>0</v>
      </c>
      <c r="BN147" s="113">
        <v>0</v>
      </c>
      <c r="BO147" s="113">
        <v>0</v>
      </c>
      <c r="BP147" s="113">
        <v>0</v>
      </c>
      <c r="BQ147" s="113">
        <v>0</v>
      </c>
      <c r="BR147" s="101"/>
      <c r="BS147">
        <f t="shared" si="235"/>
        <v>0</v>
      </c>
      <c r="BT147">
        <f t="shared" si="235"/>
        <v>0</v>
      </c>
      <c r="BU147">
        <f t="shared" si="235"/>
        <v>0</v>
      </c>
      <c r="BV147">
        <f t="shared" si="235"/>
        <v>0</v>
      </c>
      <c r="BW147">
        <f t="shared" si="235"/>
        <v>0</v>
      </c>
      <c r="BX147">
        <f t="shared" si="235"/>
        <v>0</v>
      </c>
      <c r="BY147">
        <f t="shared" si="235"/>
        <v>0</v>
      </c>
      <c r="BZ147">
        <f t="shared" si="235"/>
        <v>0</v>
      </c>
      <c r="CA147">
        <f t="shared" si="235"/>
        <v>0</v>
      </c>
      <c r="CB147">
        <f t="shared" si="235"/>
        <v>0</v>
      </c>
      <c r="CC147">
        <f t="shared" si="236"/>
        <v>0</v>
      </c>
      <c r="CD147">
        <f t="shared" si="236"/>
        <v>0</v>
      </c>
      <c r="CE147">
        <f t="shared" si="236"/>
        <v>0</v>
      </c>
      <c r="CF147">
        <f t="shared" si="236"/>
        <v>0</v>
      </c>
      <c r="CG147">
        <f t="shared" si="236"/>
        <v>0</v>
      </c>
      <c r="CH147">
        <f t="shared" si="236"/>
        <v>0</v>
      </c>
      <c r="CI147">
        <f t="shared" si="236"/>
        <v>0</v>
      </c>
      <c r="CJ147">
        <f t="shared" si="236"/>
        <v>0</v>
      </c>
      <c r="CK147">
        <f t="shared" si="236"/>
        <v>0</v>
      </c>
      <c r="CL147">
        <f t="shared" si="236"/>
        <v>0</v>
      </c>
      <c r="CM147">
        <f t="shared" si="237"/>
        <v>0</v>
      </c>
      <c r="CN147">
        <f t="shared" si="237"/>
        <v>0</v>
      </c>
      <c r="CO147">
        <f t="shared" si="237"/>
        <v>0</v>
      </c>
      <c r="CP147">
        <f t="shared" si="237"/>
        <v>0</v>
      </c>
      <c r="CQ147">
        <f t="shared" si="237"/>
        <v>0</v>
      </c>
      <c r="CR147">
        <f t="shared" si="237"/>
        <v>0</v>
      </c>
      <c r="CS147">
        <f t="shared" si="237"/>
        <v>0</v>
      </c>
      <c r="CT147">
        <f t="shared" si="237"/>
        <v>0</v>
      </c>
      <c r="CU147">
        <f t="shared" si="237"/>
        <v>0</v>
      </c>
      <c r="CV147">
        <f t="shared" si="237"/>
        <v>0</v>
      </c>
      <c r="CW147">
        <f t="shared" si="238"/>
        <v>0</v>
      </c>
      <c r="CX147">
        <f t="shared" si="238"/>
        <v>0</v>
      </c>
      <c r="CY147">
        <f t="shared" si="238"/>
        <v>0</v>
      </c>
      <c r="CZ147">
        <f t="shared" si="238"/>
        <v>0</v>
      </c>
      <c r="DA147">
        <f t="shared" si="238"/>
        <v>0</v>
      </c>
      <c r="DB147">
        <f t="shared" si="238"/>
        <v>0</v>
      </c>
      <c r="DC147">
        <f t="shared" si="238"/>
        <v>0</v>
      </c>
      <c r="DD147">
        <f t="shared" si="238"/>
        <v>0</v>
      </c>
      <c r="DE147">
        <f t="shared" si="238"/>
        <v>0</v>
      </c>
      <c r="DF147">
        <f t="shared" si="238"/>
        <v>0</v>
      </c>
      <c r="DG147">
        <f t="shared" si="239"/>
        <v>0</v>
      </c>
      <c r="DH147">
        <f t="shared" si="239"/>
        <v>0</v>
      </c>
      <c r="DI147">
        <f t="shared" si="239"/>
        <v>0</v>
      </c>
      <c r="DJ147">
        <f t="shared" si="239"/>
        <v>0</v>
      </c>
      <c r="DK147">
        <f t="shared" si="239"/>
        <v>0</v>
      </c>
      <c r="DL147">
        <f t="shared" si="239"/>
        <v>0</v>
      </c>
      <c r="DM147">
        <f t="shared" si="239"/>
        <v>0</v>
      </c>
      <c r="DN147">
        <f t="shared" si="239"/>
        <v>0</v>
      </c>
      <c r="DO147">
        <f t="shared" si="239"/>
        <v>0</v>
      </c>
      <c r="DP147">
        <f t="shared" si="239"/>
        <v>0</v>
      </c>
      <c r="DQ147">
        <f t="shared" si="240"/>
        <v>0</v>
      </c>
      <c r="DR147">
        <f t="shared" si="240"/>
        <v>0</v>
      </c>
      <c r="DS147">
        <f t="shared" si="240"/>
        <v>0</v>
      </c>
      <c r="DT147">
        <f t="shared" si="240"/>
        <v>0</v>
      </c>
      <c r="DU147">
        <f t="shared" si="240"/>
        <v>0</v>
      </c>
      <c r="DV147">
        <f t="shared" si="240"/>
        <v>0</v>
      </c>
      <c r="DW147">
        <f t="shared" si="240"/>
        <v>0</v>
      </c>
      <c r="DX147">
        <f t="shared" si="240"/>
        <v>0</v>
      </c>
      <c r="DY147">
        <f t="shared" si="240"/>
        <v>0</v>
      </c>
      <c r="DZ147">
        <f t="shared" si="240"/>
        <v>0</v>
      </c>
      <c r="EA147">
        <f t="shared" si="241"/>
        <v>0</v>
      </c>
      <c r="EB147">
        <f t="shared" si="241"/>
        <v>0</v>
      </c>
      <c r="EC147">
        <f t="shared" si="241"/>
        <v>0</v>
      </c>
      <c r="ED147">
        <f t="shared" si="241"/>
        <v>0</v>
      </c>
      <c r="EE147">
        <f t="shared" si="241"/>
        <v>0</v>
      </c>
      <c r="EF147">
        <f t="shared" si="241"/>
        <v>0</v>
      </c>
    </row>
    <row r="148" spans="1:136" ht="15.5">
      <c r="A148" s="93"/>
      <c r="B148" s="57" t="s">
        <v>21</v>
      </c>
      <c r="C148" s="94"/>
      <c r="D148" s="18"/>
      <c r="E148" s="18"/>
      <c r="F148" s="18"/>
      <c r="G148" s="18"/>
      <c r="H148" s="18"/>
      <c r="I148" s="18"/>
      <c r="J148" s="18">
        <v>0</v>
      </c>
      <c r="K148" s="18">
        <v>0</v>
      </c>
      <c r="L148" s="18">
        <v>0</v>
      </c>
      <c r="M148" s="18">
        <v>0</v>
      </c>
      <c r="N148" s="18">
        <v>0</v>
      </c>
      <c r="O148" s="18">
        <v>0</v>
      </c>
      <c r="P148" s="18">
        <v>0</v>
      </c>
      <c r="Q148" s="18">
        <v>0</v>
      </c>
      <c r="R148" s="18">
        <v>0</v>
      </c>
      <c r="S148" s="18">
        <v>0</v>
      </c>
      <c r="T148" s="18">
        <v>0</v>
      </c>
      <c r="U148" s="18">
        <v>0</v>
      </c>
      <c r="V148" s="18">
        <v>0</v>
      </c>
      <c r="W148" s="18">
        <v>0</v>
      </c>
      <c r="X148" s="18">
        <v>0</v>
      </c>
      <c r="Y148" s="18">
        <v>0</v>
      </c>
      <c r="Z148" s="18">
        <v>0</v>
      </c>
      <c r="AA148" s="18">
        <v>0</v>
      </c>
      <c r="AB148" s="18">
        <v>0</v>
      </c>
      <c r="AC148" s="18">
        <v>0</v>
      </c>
      <c r="AD148" s="18">
        <v>0</v>
      </c>
      <c r="AE148" s="18">
        <v>0</v>
      </c>
      <c r="AF148" s="18">
        <v>0</v>
      </c>
      <c r="AG148" s="18">
        <v>0</v>
      </c>
      <c r="AH148" s="18">
        <v>0</v>
      </c>
      <c r="AI148" s="18">
        <v>0</v>
      </c>
      <c r="AJ148" s="18">
        <v>0</v>
      </c>
      <c r="AK148" s="18">
        <v>0</v>
      </c>
      <c r="AL148" s="18">
        <v>0</v>
      </c>
      <c r="AM148" s="18">
        <v>0</v>
      </c>
      <c r="AN148" s="18">
        <v>0</v>
      </c>
      <c r="AO148" s="18">
        <v>0</v>
      </c>
      <c r="AP148" s="18">
        <v>0</v>
      </c>
      <c r="AQ148" s="18">
        <v>0</v>
      </c>
      <c r="AR148" s="18">
        <v>0</v>
      </c>
      <c r="AS148" s="18">
        <v>0</v>
      </c>
      <c r="AT148" s="18">
        <v>0</v>
      </c>
      <c r="AU148" s="18">
        <v>0</v>
      </c>
      <c r="AV148" s="18">
        <v>0</v>
      </c>
      <c r="AW148" s="18">
        <v>0</v>
      </c>
      <c r="AX148" s="18">
        <v>0</v>
      </c>
      <c r="AY148" s="18">
        <v>0</v>
      </c>
      <c r="AZ148" s="18">
        <v>0</v>
      </c>
      <c r="BA148" s="18">
        <v>0</v>
      </c>
      <c r="BB148" s="18">
        <v>0</v>
      </c>
      <c r="BC148" s="18">
        <v>0</v>
      </c>
      <c r="BD148" s="18">
        <v>0</v>
      </c>
      <c r="BE148" s="18">
        <v>0</v>
      </c>
      <c r="BF148" s="18">
        <v>0</v>
      </c>
      <c r="BG148" s="18">
        <v>0</v>
      </c>
      <c r="BH148" s="18">
        <v>0</v>
      </c>
      <c r="BI148" s="18">
        <v>0</v>
      </c>
      <c r="BJ148" s="113">
        <v>5950</v>
      </c>
      <c r="BK148" s="18">
        <v>0</v>
      </c>
      <c r="BL148" s="18">
        <v>0</v>
      </c>
      <c r="BM148" s="18">
        <v>0</v>
      </c>
      <c r="BN148" s="18">
        <v>72.900000000000006</v>
      </c>
      <c r="BO148" s="113">
        <v>0</v>
      </c>
      <c r="BP148" s="113">
        <v>0</v>
      </c>
      <c r="BQ148" s="113">
        <v>0</v>
      </c>
      <c r="BR148" s="101"/>
      <c r="BS148">
        <f t="shared" si="235"/>
        <v>0</v>
      </c>
      <c r="BT148">
        <f t="shared" si="235"/>
        <v>0</v>
      </c>
      <c r="BU148">
        <f t="shared" si="235"/>
        <v>0</v>
      </c>
      <c r="BV148">
        <f t="shared" si="235"/>
        <v>0</v>
      </c>
      <c r="BW148">
        <f t="shared" si="235"/>
        <v>0</v>
      </c>
      <c r="BX148">
        <f t="shared" si="235"/>
        <v>0</v>
      </c>
      <c r="BY148">
        <f t="shared" si="235"/>
        <v>0</v>
      </c>
      <c r="BZ148">
        <f t="shared" si="235"/>
        <v>0</v>
      </c>
      <c r="CA148">
        <f t="shared" si="235"/>
        <v>0</v>
      </c>
      <c r="CB148">
        <f t="shared" si="235"/>
        <v>0</v>
      </c>
      <c r="CC148">
        <f t="shared" si="236"/>
        <v>0</v>
      </c>
      <c r="CD148">
        <f t="shared" si="236"/>
        <v>0</v>
      </c>
      <c r="CE148">
        <f t="shared" si="236"/>
        <v>0</v>
      </c>
      <c r="CF148">
        <f t="shared" si="236"/>
        <v>0</v>
      </c>
      <c r="CG148">
        <f t="shared" si="236"/>
        <v>0</v>
      </c>
      <c r="CH148">
        <f t="shared" si="236"/>
        <v>0</v>
      </c>
      <c r="CI148">
        <f t="shared" si="236"/>
        <v>0</v>
      </c>
      <c r="CJ148">
        <f t="shared" si="236"/>
        <v>0</v>
      </c>
      <c r="CK148">
        <f t="shared" si="236"/>
        <v>0</v>
      </c>
      <c r="CL148">
        <f t="shared" si="236"/>
        <v>0</v>
      </c>
      <c r="CM148">
        <f t="shared" si="237"/>
        <v>0</v>
      </c>
      <c r="CN148">
        <f t="shared" si="237"/>
        <v>0</v>
      </c>
      <c r="CO148">
        <f t="shared" si="237"/>
        <v>0</v>
      </c>
      <c r="CP148">
        <f t="shared" si="237"/>
        <v>0</v>
      </c>
      <c r="CQ148">
        <f t="shared" si="237"/>
        <v>0</v>
      </c>
      <c r="CR148">
        <f t="shared" si="237"/>
        <v>0</v>
      </c>
      <c r="CS148">
        <f t="shared" si="237"/>
        <v>0</v>
      </c>
      <c r="CT148">
        <f t="shared" si="237"/>
        <v>0</v>
      </c>
      <c r="CU148">
        <f t="shared" si="237"/>
        <v>0</v>
      </c>
      <c r="CV148">
        <f t="shared" si="237"/>
        <v>0</v>
      </c>
      <c r="CW148">
        <f t="shared" si="238"/>
        <v>0</v>
      </c>
      <c r="CX148">
        <f t="shared" si="238"/>
        <v>0</v>
      </c>
      <c r="CY148">
        <f t="shared" si="238"/>
        <v>0</v>
      </c>
      <c r="CZ148">
        <f t="shared" si="238"/>
        <v>0</v>
      </c>
      <c r="DA148">
        <f t="shared" si="238"/>
        <v>0</v>
      </c>
      <c r="DB148">
        <f t="shared" si="238"/>
        <v>0</v>
      </c>
      <c r="DC148">
        <f t="shared" si="238"/>
        <v>0</v>
      </c>
      <c r="DD148">
        <f t="shared" si="238"/>
        <v>0</v>
      </c>
      <c r="DE148">
        <f t="shared" si="238"/>
        <v>0</v>
      </c>
      <c r="DF148">
        <f t="shared" si="238"/>
        <v>0</v>
      </c>
      <c r="DG148">
        <f t="shared" si="239"/>
        <v>0</v>
      </c>
      <c r="DH148">
        <f t="shared" si="239"/>
        <v>0</v>
      </c>
      <c r="DI148">
        <f t="shared" si="239"/>
        <v>0</v>
      </c>
      <c r="DJ148">
        <f t="shared" si="239"/>
        <v>0</v>
      </c>
      <c r="DK148">
        <f t="shared" si="239"/>
        <v>0</v>
      </c>
      <c r="DL148">
        <f t="shared" si="239"/>
        <v>0</v>
      </c>
      <c r="DM148">
        <f t="shared" si="239"/>
        <v>0</v>
      </c>
      <c r="DN148">
        <f t="shared" si="239"/>
        <v>0</v>
      </c>
      <c r="DO148">
        <f t="shared" si="239"/>
        <v>0</v>
      </c>
      <c r="DP148">
        <f t="shared" si="239"/>
        <v>0</v>
      </c>
      <c r="DQ148">
        <f t="shared" si="240"/>
        <v>0</v>
      </c>
      <c r="DR148">
        <f t="shared" si="240"/>
        <v>0</v>
      </c>
      <c r="DS148">
        <f t="shared" si="240"/>
        <v>0</v>
      </c>
      <c r="DT148">
        <f t="shared" si="240"/>
        <v>0</v>
      </c>
      <c r="DU148">
        <f t="shared" si="240"/>
        <v>0</v>
      </c>
      <c r="DV148">
        <f t="shared" si="240"/>
        <v>0</v>
      </c>
      <c r="DW148">
        <f t="shared" si="240"/>
        <v>0</v>
      </c>
      <c r="DX148">
        <f t="shared" si="240"/>
        <v>0</v>
      </c>
      <c r="DY148">
        <f t="shared" si="240"/>
        <v>0</v>
      </c>
      <c r="DZ148">
        <f t="shared" si="240"/>
        <v>0</v>
      </c>
      <c r="EA148">
        <f t="shared" si="241"/>
        <v>0</v>
      </c>
      <c r="EB148">
        <f t="shared" si="241"/>
        <v>0</v>
      </c>
      <c r="EC148">
        <f t="shared" si="241"/>
        <v>0</v>
      </c>
      <c r="ED148">
        <f t="shared" si="241"/>
        <v>0</v>
      </c>
      <c r="EE148">
        <f t="shared" si="241"/>
        <v>0</v>
      </c>
      <c r="EF148">
        <f t="shared" si="241"/>
        <v>0</v>
      </c>
    </row>
    <row r="149" spans="1:136" ht="15.5">
      <c r="A149" s="93"/>
      <c r="B149" s="57" t="s">
        <v>212</v>
      </c>
      <c r="C149" s="94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>
        <v>0</v>
      </c>
      <c r="Y149" s="18">
        <v>0</v>
      </c>
      <c r="Z149" s="18">
        <v>0</v>
      </c>
      <c r="AA149" s="18">
        <v>0</v>
      </c>
      <c r="AB149" s="18">
        <v>0</v>
      </c>
      <c r="AC149" s="18">
        <v>0</v>
      </c>
      <c r="AD149" s="18">
        <v>0</v>
      </c>
      <c r="AE149" s="18">
        <v>0</v>
      </c>
      <c r="AF149" s="18">
        <v>0</v>
      </c>
      <c r="AG149" s="18">
        <v>330.5</v>
      </c>
      <c r="AH149" s="18">
        <v>201</v>
      </c>
      <c r="AI149" s="18">
        <v>184.5</v>
      </c>
      <c r="AJ149" s="18">
        <v>184.5</v>
      </c>
      <c r="AK149" s="18">
        <v>30</v>
      </c>
      <c r="AL149" s="18">
        <v>27.5</v>
      </c>
      <c r="AM149" s="18">
        <v>14.5</v>
      </c>
      <c r="AN149" s="18">
        <v>14.5</v>
      </c>
      <c r="AO149" s="18">
        <v>14.5</v>
      </c>
      <c r="AP149" s="18">
        <v>9.5</v>
      </c>
      <c r="AQ149" s="18">
        <v>0</v>
      </c>
      <c r="AR149" s="18">
        <v>10</v>
      </c>
      <c r="AS149" s="18">
        <v>0</v>
      </c>
      <c r="AT149" s="18">
        <v>102.5</v>
      </c>
      <c r="AU149" s="18">
        <v>168</v>
      </c>
      <c r="AV149" s="18">
        <v>194</v>
      </c>
      <c r="AW149" s="18">
        <v>130.5</v>
      </c>
      <c r="AX149" s="18">
        <v>70.5</v>
      </c>
      <c r="AY149" s="18">
        <v>0</v>
      </c>
      <c r="AZ149" s="18">
        <v>0</v>
      </c>
      <c r="BA149" s="18">
        <v>0</v>
      </c>
      <c r="BB149" s="18">
        <v>0</v>
      </c>
      <c r="BC149" s="18">
        <v>0</v>
      </c>
      <c r="BD149" s="18">
        <v>0</v>
      </c>
      <c r="BE149" s="18">
        <v>85.68</v>
      </c>
      <c r="BF149" s="18">
        <v>200.87449999999998</v>
      </c>
      <c r="BG149" s="18">
        <v>126.57050000000001</v>
      </c>
      <c r="BH149" s="18">
        <v>257.98500000000001</v>
      </c>
      <c r="BI149" s="18">
        <v>592</v>
      </c>
      <c r="BJ149" s="113">
        <v>221</v>
      </c>
      <c r="BK149" s="18">
        <v>151</v>
      </c>
      <c r="BL149" s="18">
        <v>114</v>
      </c>
      <c r="BM149" s="113">
        <v>85.5</v>
      </c>
      <c r="BN149" s="113">
        <v>133.5</v>
      </c>
      <c r="BO149" s="168">
        <v>123.5</v>
      </c>
      <c r="BP149" s="113">
        <v>93</v>
      </c>
      <c r="BQ149" s="113">
        <v>119</v>
      </c>
      <c r="BR149" s="101"/>
      <c r="BS149">
        <f t="shared" si="235"/>
        <v>0</v>
      </c>
      <c r="BT149">
        <f t="shared" si="235"/>
        <v>0</v>
      </c>
      <c r="BU149">
        <f t="shared" si="235"/>
        <v>0</v>
      </c>
      <c r="BV149">
        <f t="shared" si="235"/>
        <v>0</v>
      </c>
      <c r="BW149">
        <f t="shared" si="235"/>
        <v>0</v>
      </c>
      <c r="BX149">
        <f t="shared" si="235"/>
        <v>0</v>
      </c>
      <c r="BY149">
        <f t="shared" si="235"/>
        <v>0</v>
      </c>
      <c r="BZ149">
        <f t="shared" si="235"/>
        <v>0</v>
      </c>
      <c r="CA149">
        <f t="shared" si="235"/>
        <v>0</v>
      </c>
      <c r="CB149">
        <f t="shared" si="235"/>
        <v>0</v>
      </c>
      <c r="CC149">
        <f t="shared" si="236"/>
        <v>0</v>
      </c>
      <c r="CD149">
        <f t="shared" si="236"/>
        <v>0</v>
      </c>
      <c r="CE149">
        <f t="shared" si="236"/>
        <v>0</v>
      </c>
      <c r="CF149">
        <f t="shared" si="236"/>
        <v>0</v>
      </c>
      <c r="CG149">
        <f t="shared" si="236"/>
        <v>0</v>
      </c>
      <c r="CH149">
        <f t="shared" si="236"/>
        <v>0</v>
      </c>
      <c r="CI149">
        <f t="shared" si="236"/>
        <v>0</v>
      </c>
      <c r="CJ149">
        <f t="shared" si="236"/>
        <v>0</v>
      </c>
      <c r="CK149">
        <f t="shared" si="236"/>
        <v>0</v>
      </c>
      <c r="CL149">
        <f t="shared" si="236"/>
        <v>0</v>
      </c>
      <c r="CM149">
        <f t="shared" si="237"/>
        <v>0</v>
      </c>
      <c r="CN149">
        <f t="shared" si="237"/>
        <v>0</v>
      </c>
      <c r="CO149">
        <f t="shared" si="237"/>
        <v>0</v>
      </c>
      <c r="CP149">
        <f t="shared" si="237"/>
        <v>0</v>
      </c>
      <c r="CQ149">
        <f t="shared" si="237"/>
        <v>0</v>
      </c>
      <c r="CR149">
        <f t="shared" si="237"/>
        <v>0</v>
      </c>
      <c r="CS149">
        <f t="shared" si="237"/>
        <v>0</v>
      </c>
      <c r="CT149">
        <f t="shared" si="237"/>
        <v>0</v>
      </c>
      <c r="CU149">
        <f t="shared" si="237"/>
        <v>0</v>
      </c>
      <c r="CV149">
        <f t="shared" si="237"/>
        <v>0</v>
      </c>
      <c r="CW149">
        <f t="shared" si="238"/>
        <v>0</v>
      </c>
      <c r="CX149">
        <f t="shared" si="238"/>
        <v>0</v>
      </c>
      <c r="CY149">
        <f t="shared" si="238"/>
        <v>0</v>
      </c>
      <c r="CZ149">
        <f t="shared" si="238"/>
        <v>0</v>
      </c>
      <c r="DA149">
        <f t="shared" si="238"/>
        <v>0</v>
      </c>
      <c r="DB149">
        <f t="shared" si="238"/>
        <v>0</v>
      </c>
      <c r="DC149">
        <f t="shared" si="238"/>
        <v>0</v>
      </c>
      <c r="DD149">
        <f t="shared" si="238"/>
        <v>0</v>
      </c>
      <c r="DE149">
        <f t="shared" si="238"/>
        <v>0</v>
      </c>
      <c r="DF149">
        <f t="shared" si="238"/>
        <v>0</v>
      </c>
      <c r="DG149">
        <f t="shared" si="239"/>
        <v>0</v>
      </c>
      <c r="DH149">
        <f t="shared" si="239"/>
        <v>0</v>
      </c>
      <c r="DI149">
        <f t="shared" si="239"/>
        <v>0</v>
      </c>
      <c r="DJ149">
        <f t="shared" si="239"/>
        <v>0</v>
      </c>
      <c r="DK149">
        <f t="shared" si="239"/>
        <v>0</v>
      </c>
      <c r="DL149">
        <f t="shared" si="239"/>
        <v>0</v>
      </c>
      <c r="DM149">
        <f t="shared" si="239"/>
        <v>0</v>
      </c>
      <c r="DN149">
        <f t="shared" si="239"/>
        <v>0</v>
      </c>
      <c r="DO149">
        <f t="shared" si="239"/>
        <v>0</v>
      </c>
      <c r="DP149">
        <f t="shared" si="239"/>
        <v>0</v>
      </c>
      <c r="DQ149">
        <f t="shared" si="240"/>
        <v>0</v>
      </c>
      <c r="DR149">
        <f t="shared" si="240"/>
        <v>0</v>
      </c>
      <c r="DS149">
        <f t="shared" si="240"/>
        <v>0</v>
      </c>
      <c r="DT149">
        <f t="shared" si="240"/>
        <v>0</v>
      </c>
      <c r="DU149">
        <f t="shared" si="240"/>
        <v>0</v>
      </c>
      <c r="DV149">
        <f t="shared" si="240"/>
        <v>0</v>
      </c>
      <c r="DW149">
        <f t="shared" si="240"/>
        <v>0</v>
      </c>
      <c r="DX149">
        <f t="shared" si="240"/>
        <v>0</v>
      </c>
      <c r="DY149">
        <f t="shared" si="240"/>
        <v>0</v>
      </c>
      <c r="DZ149">
        <f t="shared" si="240"/>
        <v>0</v>
      </c>
      <c r="EA149">
        <f t="shared" si="241"/>
        <v>0</v>
      </c>
      <c r="EB149">
        <f t="shared" si="241"/>
        <v>0</v>
      </c>
      <c r="EC149">
        <f t="shared" si="241"/>
        <v>0</v>
      </c>
      <c r="ED149">
        <f t="shared" si="241"/>
        <v>0</v>
      </c>
      <c r="EE149">
        <f t="shared" si="241"/>
        <v>0</v>
      </c>
      <c r="EF149">
        <f t="shared" si="241"/>
        <v>0</v>
      </c>
    </row>
    <row r="150" spans="1:136" ht="15.5">
      <c r="A150" s="93"/>
      <c r="B150" s="19"/>
      <c r="C150" s="94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101"/>
    </row>
    <row r="151" spans="1:136" ht="15.5">
      <c r="A151" s="93">
        <v>14</v>
      </c>
      <c r="B151" s="32" t="s">
        <v>30</v>
      </c>
      <c r="C151" s="94">
        <v>4</v>
      </c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18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>
        <f>SUM(AI152:AI157)</f>
        <v>0</v>
      </c>
      <c r="AJ151" s="22">
        <f t="shared" ref="AJ151:BQ151" si="242">SUM(AJ152:AJ157)</f>
        <v>0</v>
      </c>
      <c r="AK151" s="22">
        <f t="shared" si="242"/>
        <v>6.9329999999999998</v>
      </c>
      <c r="AL151" s="22">
        <f t="shared" si="242"/>
        <v>149.75800000000001</v>
      </c>
      <c r="AM151" s="22">
        <f t="shared" si="242"/>
        <v>644.50299999999993</v>
      </c>
      <c r="AN151" s="22">
        <f t="shared" si="242"/>
        <v>315.74799999999999</v>
      </c>
      <c r="AO151" s="22">
        <f t="shared" si="242"/>
        <v>158.102</v>
      </c>
      <c r="AP151" s="22">
        <f t="shared" si="242"/>
        <v>453.07299999999998</v>
      </c>
      <c r="AQ151" s="22">
        <f t="shared" si="242"/>
        <v>400.964</v>
      </c>
      <c r="AR151" s="22">
        <f t="shared" si="242"/>
        <v>464.40800000000002</v>
      </c>
      <c r="AS151" s="22">
        <f t="shared" si="242"/>
        <v>242.95099999999999</v>
      </c>
      <c r="AT151" s="22">
        <f t="shared" si="242"/>
        <v>210.905</v>
      </c>
      <c r="AU151" s="22">
        <f t="shared" si="242"/>
        <v>193.53200000000001</v>
      </c>
      <c r="AV151" s="22">
        <f t="shared" si="242"/>
        <v>167.511</v>
      </c>
      <c r="AW151" s="22">
        <f t="shared" si="242"/>
        <v>137.637</v>
      </c>
      <c r="AX151" s="22">
        <f t="shared" si="242"/>
        <v>26.318000000000001</v>
      </c>
      <c r="AY151" s="22">
        <f t="shared" si="242"/>
        <v>11.896000000000001</v>
      </c>
      <c r="AZ151" s="22">
        <f t="shared" si="242"/>
        <v>5.4770000000000003</v>
      </c>
      <c r="BA151" s="22">
        <f t="shared" si="242"/>
        <v>37.061</v>
      </c>
      <c r="BB151" s="22">
        <f t="shared" si="242"/>
        <v>10.641999999999999</v>
      </c>
      <c r="BC151" s="22">
        <f t="shared" si="242"/>
        <v>16.100000000000001</v>
      </c>
      <c r="BD151" s="22">
        <f t="shared" si="242"/>
        <v>12.227</v>
      </c>
      <c r="BE151" s="22">
        <f t="shared" si="242"/>
        <v>12.462</v>
      </c>
      <c r="BF151" s="22">
        <f t="shared" si="242"/>
        <v>15.215999999999999</v>
      </c>
      <c r="BG151" s="22">
        <f t="shared" si="242"/>
        <v>14.519</v>
      </c>
      <c r="BH151" s="22">
        <f t="shared" si="242"/>
        <v>11.487</v>
      </c>
      <c r="BI151" s="22">
        <f t="shared" si="242"/>
        <v>11.612</v>
      </c>
      <c r="BJ151" s="22">
        <f t="shared" si="242"/>
        <v>12.161</v>
      </c>
      <c r="BK151" s="22">
        <f t="shared" si="242"/>
        <v>14.629</v>
      </c>
      <c r="BL151" s="22">
        <f t="shared" si="242"/>
        <v>218.5</v>
      </c>
      <c r="BM151" s="22">
        <f t="shared" si="242"/>
        <v>0</v>
      </c>
      <c r="BN151" s="22">
        <f t="shared" si="242"/>
        <v>13493.499</v>
      </c>
      <c r="BO151" s="22">
        <f t="shared" si="242"/>
        <v>14197</v>
      </c>
      <c r="BP151" s="22">
        <f t="shared" si="242"/>
        <v>15039</v>
      </c>
      <c r="BQ151" s="22">
        <f t="shared" si="242"/>
        <v>15823</v>
      </c>
      <c r="BR151" s="101"/>
      <c r="BS151">
        <f t="shared" ref="BS151:CB158" si="243">IF($C151&lt;&gt;"",IF(D151&gt;0,1,0),0)</f>
        <v>0</v>
      </c>
      <c r="BT151">
        <f t="shared" si="243"/>
        <v>0</v>
      </c>
      <c r="BU151">
        <f t="shared" si="243"/>
        <v>0</v>
      </c>
      <c r="BV151">
        <f t="shared" si="243"/>
        <v>0</v>
      </c>
      <c r="BW151">
        <f t="shared" si="243"/>
        <v>0</v>
      </c>
      <c r="BX151">
        <f t="shared" si="243"/>
        <v>0</v>
      </c>
      <c r="BY151">
        <f t="shared" si="243"/>
        <v>0</v>
      </c>
      <c r="BZ151">
        <f t="shared" si="243"/>
        <v>0</v>
      </c>
      <c r="CA151">
        <f t="shared" si="243"/>
        <v>0</v>
      </c>
      <c r="CB151">
        <f t="shared" si="243"/>
        <v>0</v>
      </c>
      <c r="CC151">
        <f t="shared" ref="CC151:CL158" si="244">IF($C151&lt;&gt;"",IF(N151&gt;0,1,0),0)</f>
        <v>0</v>
      </c>
      <c r="CD151">
        <f t="shared" si="244"/>
        <v>0</v>
      </c>
      <c r="CE151">
        <f t="shared" si="244"/>
        <v>0</v>
      </c>
      <c r="CF151">
        <f t="shared" si="244"/>
        <v>0</v>
      </c>
      <c r="CG151">
        <f t="shared" si="244"/>
        <v>0</v>
      </c>
      <c r="CH151">
        <f t="shared" si="244"/>
        <v>0</v>
      </c>
      <c r="CI151">
        <f t="shared" si="244"/>
        <v>0</v>
      </c>
      <c r="CJ151">
        <f t="shared" si="244"/>
        <v>0</v>
      </c>
      <c r="CK151">
        <f t="shared" si="244"/>
        <v>0</v>
      </c>
      <c r="CL151">
        <f t="shared" si="244"/>
        <v>0</v>
      </c>
      <c r="CM151">
        <f t="shared" ref="CM151:CV158" si="245">IF($C151&lt;&gt;"",IF(X151&gt;0,1,0),0)</f>
        <v>0</v>
      </c>
      <c r="CN151">
        <f t="shared" si="245"/>
        <v>0</v>
      </c>
      <c r="CO151">
        <f t="shared" si="245"/>
        <v>0</v>
      </c>
      <c r="CP151">
        <f t="shared" si="245"/>
        <v>0</v>
      </c>
      <c r="CQ151">
        <f t="shared" si="245"/>
        <v>0</v>
      </c>
      <c r="CR151">
        <f t="shared" si="245"/>
        <v>0</v>
      </c>
      <c r="CS151">
        <f t="shared" si="245"/>
        <v>0</v>
      </c>
      <c r="CT151">
        <f t="shared" si="245"/>
        <v>0</v>
      </c>
      <c r="CU151">
        <f t="shared" si="245"/>
        <v>0</v>
      </c>
      <c r="CV151">
        <f t="shared" si="245"/>
        <v>0</v>
      </c>
      <c r="CW151">
        <f t="shared" ref="CW151:DF158" si="246">IF($C151&lt;&gt;"",IF(AH151&gt;0,1,0),0)</f>
        <v>0</v>
      </c>
      <c r="CX151">
        <f t="shared" si="246"/>
        <v>0</v>
      </c>
      <c r="CY151">
        <f t="shared" si="246"/>
        <v>0</v>
      </c>
      <c r="CZ151">
        <f t="shared" si="246"/>
        <v>1</v>
      </c>
      <c r="DA151">
        <f t="shared" si="246"/>
        <v>1</v>
      </c>
      <c r="DB151">
        <f t="shared" si="246"/>
        <v>1</v>
      </c>
      <c r="DC151">
        <f t="shared" si="246"/>
        <v>1</v>
      </c>
      <c r="DD151">
        <f t="shared" si="246"/>
        <v>1</v>
      </c>
      <c r="DE151">
        <f t="shared" si="246"/>
        <v>1</v>
      </c>
      <c r="DF151">
        <f t="shared" si="246"/>
        <v>1</v>
      </c>
      <c r="DG151">
        <f t="shared" ref="DG151:DP158" si="247">IF($C151&lt;&gt;"",IF(AR151&gt;0,1,0),0)</f>
        <v>1</v>
      </c>
      <c r="DH151">
        <f t="shared" si="247"/>
        <v>1</v>
      </c>
      <c r="DI151">
        <f t="shared" si="247"/>
        <v>1</v>
      </c>
      <c r="DJ151">
        <f t="shared" si="247"/>
        <v>1</v>
      </c>
      <c r="DK151">
        <f t="shared" si="247"/>
        <v>1</v>
      </c>
      <c r="DL151">
        <f t="shared" si="247"/>
        <v>1</v>
      </c>
      <c r="DM151">
        <f t="shared" si="247"/>
        <v>1</v>
      </c>
      <c r="DN151">
        <f t="shared" si="247"/>
        <v>1</v>
      </c>
      <c r="DO151">
        <f t="shared" si="247"/>
        <v>1</v>
      </c>
      <c r="DP151">
        <f t="shared" si="247"/>
        <v>1</v>
      </c>
      <c r="DQ151">
        <f t="shared" ref="DQ151:DZ158" si="248">IF($C151&lt;&gt;"",IF(BB151&gt;0,1,0),0)</f>
        <v>1</v>
      </c>
      <c r="DR151">
        <f t="shared" si="248"/>
        <v>1</v>
      </c>
      <c r="DS151">
        <f t="shared" si="248"/>
        <v>1</v>
      </c>
      <c r="DT151">
        <f t="shared" si="248"/>
        <v>1</v>
      </c>
      <c r="DU151">
        <f t="shared" si="248"/>
        <v>1</v>
      </c>
      <c r="DV151">
        <f t="shared" si="248"/>
        <v>1</v>
      </c>
      <c r="DW151">
        <f t="shared" si="248"/>
        <v>1</v>
      </c>
      <c r="DX151">
        <f t="shared" si="248"/>
        <v>1</v>
      </c>
      <c r="DY151">
        <f t="shared" si="248"/>
        <v>1</v>
      </c>
      <c r="DZ151">
        <f t="shared" si="248"/>
        <v>1</v>
      </c>
      <c r="EA151">
        <f t="shared" ref="EA151:EF158" si="249">IF($C151&lt;&gt;"",IF(BL151&gt;0,1,0),0)</f>
        <v>1</v>
      </c>
      <c r="EB151">
        <f t="shared" si="249"/>
        <v>0</v>
      </c>
      <c r="EC151">
        <f t="shared" si="249"/>
        <v>1</v>
      </c>
      <c r="ED151">
        <f t="shared" si="249"/>
        <v>1</v>
      </c>
      <c r="EE151">
        <f t="shared" si="249"/>
        <v>1</v>
      </c>
      <c r="EF151">
        <f t="shared" si="249"/>
        <v>1</v>
      </c>
    </row>
    <row r="152" spans="1:136" ht="15.5">
      <c r="A152" s="93"/>
      <c r="B152" s="19" t="s">
        <v>184</v>
      </c>
      <c r="C152" s="94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18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18">
        <v>0</v>
      </c>
      <c r="AJ152" s="18">
        <v>0</v>
      </c>
      <c r="AK152" s="18">
        <v>0</v>
      </c>
      <c r="AL152" s="18">
        <v>0</v>
      </c>
      <c r="AM152" s="18">
        <v>0</v>
      </c>
      <c r="AN152" s="18">
        <v>0</v>
      </c>
      <c r="AO152" s="18">
        <v>0</v>
      </c>
      <c r="AP152" s="18">
        <v>0</v>
      </c>
      <c r="AQ152" s="18">
        <v>0</v>
      </c>
      <c r="AR152" s="18">
        <v>0</v>
      </c>
      <c r="AS152" s="18">
        <v>0</v>
      </c>
      <c r="AT152" s="18">
        <v>0</v>
      </c>
      <c r="AU152" s="18">
        <v>0</v>
      </c>
      <c r="AV152" s="18">
        <v>0</v>
      </c>
      <c r="AW152" s="18">
        <v>0</v>
      </c>
      <c r="AX152" s="18">
        <v>0</v>
      </c>
      <c r="AY152" s="18">
        <v>0</v>
      </c>
      <c r="AZ152" s="18">
        <v>0</v>
      </c>
      <c r="BA152" s="18">
        <v>0</v>
      </c>
      <c r="BB152" s="18">
        <v>0</v>
      </c>
      <c r="BC152" s="18">
        <v>0</v>
      </c>
      <c r="BD152" s="18">
        <v>0</v>
      </c>
      <c r="BE152" s="18">
        <v>0</v>
      </c>
      <c r="BF152" s="18">
        <v>0</v>
      </c>
      <c r="BG152" s="18">
        <v>0</v>
      </c>
      <c r="BH152" s="18">
        <v>0</v>
      </c>
      <c r="BI152" s="18">
        <v>0</v>
      </c>
      <c r="BJ152" s="18">
        <v>0</v>
      </c>
      <c r="BK152" s="18">
        <v>0</v>
      </c>
      <c r="BL152" s="18">
        <v>0</v>
      </c>
      <c r="BM152" s="18">
        <v>0</v>
      </c>
      <c r="BN152" s="18">
        <v>116</v>
      </c>
      <c r="BO152" s="18">
        <v>291</v>
      </c>
      <c r="BP152" s="113">
        <v>500</v>
      </c>
      <c r="BQ152" s="124">
        <v>655</v>
      </c>
      <c r="BR152" s="101"/>
      <c r="BS152">
        <f t="shared" si="243"/>
        <v>0</v>
      </c>
      <c r="BT152">
        <f t="shared" si="243"/>
        <v>0</v>
      </c>
      <c r="BU152">
        <f t="shared" si="243"/>
        <v>0</v>
      </c>
      <c r="BV152">
        <f t="shared" si="243"/>
        <v>0</v>
      </c>
      <c r="BW152">
        <f t="shared" si="243"/>
        <v>0</v>
      </c>
      <c r="BX152">
        <f t="shared" si="243"/>
        <v>0</v>
      </c>
      <c r="BY152">
        <f t="shared" si="243"/>
        <v>0</v>
      </c>
      <c r="BZ152">
        <f t="shared" si="243"/>
        <v>0</v>
      </c>
      <c r="CA152">
        <f t="shared" si="243"/>
        <v>0</v>
      </c>
      <c r="CB152">
        <f t="shared" si="243"/>
        <v>0</v>
      </c>
      <c r="CC152">
        <f t="shared" si="244"/>
        <v>0</v>
      </c>
      <c r="CD152">
        <f t="shared" si="244"/>
        <v>0</v>
      </c>
      <c r="CE152">
        <f t="shared" si="244"/>
        <v>0</v>
      </c>
      <c r="CF152">
        <f t="shared" si="244"/>
        <v>0</v>
      </c>
      <c r="CG152">
        <f t="shared" si="244"/>
        <v>0</v>
      </c>
      <c r="CH152">
        <f t="shared" si="244"/>
        <v>0</v>
      </c>
      <c r="CI152">
        <f t="shared" si="244"/>
        <v>0</v>
      </c>
      <c r="CJ152">
        <f t="shared" si="244"/>
        <v>0</v>
      </c>
      <c r="CK152">
        <f t="shared" si="244"/>
        <v>0</v>
      </c>
      <c r="CL152">
        <f t="shared" si="244"/>
        <v>0</v>
      </c>
      <c r="CM152">
        <f t="shared" si="245"/>
        <v>0</v>
      </c>
      <c r="CN152">
        <f t="shared" si="245"/>
        <v>0</v>
      </c>
      <c r="CO152">
        <f t="shared" si="245"/>
        <v>0</v>
      </c>
      <c r="CP152">
        <f t="shared" si="245"/>
        <v>0</v>
      </c>
      <c r="CQ152">
        <f t="shared" si="245"/>
        <v>0</v>
      </c>
      <c r="CR152">
        <f t="shared" si="245"/>
        <v>0</v>
      </c>
      <c r="CS152">
        <f t="shared" si="245"/>
        <v>0</v>
      </c>
      <c r="CT152">
        <f t="shared" si="245"/>
        <v>0</v>
      </c>
      <c r="CU152">
        <f t="shared" si="245"/>
        <v>0</v>
      </c>
      <c r="CV152">
        <f t="shared" si="245"/>
        <v>0</v>
      </c>
      <c r="CW152">
        <f t="shared" si="246"/>
        <v>0</v>
      </c>
      <c r="CX152">
        <f t="shared" si="246"/>
        <v>0</v>
      </c>
      <c r="CY152">
        <f t="shared" si="246"/>
        <v>0</v>
      </c>
      <c r="CZ152">
        <f t="shared" si="246"/>
        <v>0</v>
      </c>
      <c r="DA152">
        <f t="shared" si="246"/>
        <v>0</v>
      </c>
      <c r="DB152">
        <f t="shared" si="246"/>
        <v>0</v>
      </c>
      <c r="DC152">
        <f t="shared" si="246"/>
        <v>0</v>
      </c>
      <c r="DD152">
        <f t="shared" si="246"/>
        <v>0</v>
      </c>
      <c r="DE152">
        <f t="shared" si="246"/>
        <v>0</v>
      </c>
      <c r="DF152">
        <f t="shared" si="246"/>
        <v>0</v>
      </c>
      <c r="DG152">
        <f t="shared" si="247"/>
        <v>0</v>
      </c>
      <c r="DH152">
        <f t="shared" si="247"/>
        <v>0</v>
      </c>
      <c r="DI152">
        <f t="shared" si="247"/>
        <v>0</v>
      </c>
      <c r="DJ152">
        <f t="shared" si="247"/>
        <v>0</v>
      </c>
      <c r="DK152">
        <f t="shared" si="247"/>
        <v>0</v>
      </c>
      <c r="DL152">
        <f t="shared" si="247"/>
        <v>0</v>
      </c>
      <c r="DM152">
        <f t="shared" si="247"/>
        <v>0</v>
      </c>
      <c r="DN152">
        <f t="shared" si="247"/>
        <v>0</v>
      </c>
      <c r="DO152">
        <f t="shared" si="247"/>
        <v>0</v>
      </c>
      <c r="DP152">
        <f t="shared" si="247"/>
        <v>0</v>
      </c>
      <c r="DQ152">
        <f t="shared" si="248"/>
        <v>0</v>
      </c>
      <c r="DR152">
        <f t="shared" si="248"/>
        <v>0</v>
      </c>
      <c r="DS152">
        <f t="shared" si="248"/>
        <v>0</v>
      </c>
      <c r="DT152">
        <f t="shared" si="248"/>
        <v>0</v>
      </c>
      <c r="DU152">
        <f t="shared" si="248"/>
        <v>0</v>
      </c>
      <c r="DV152">
        <f t="shared" si="248"/>
        <v>0</v>
      </c>
      <c r="DW152">
        <f t="shared" si="248"/>
        <v>0</v>
      </c>
      <c r="DX152">
        <f t="shared" si="248"/>
        <v>0</v>
      </c>
      <c r="DY152">
        <f t="shared" si="248"/>
        <v>0</v>
      </c>
      <c r="DZ152">
        <f t="shared" si="248"/>
        <v>0</v>
      </c>
      <c r="EA152">
        <f t="shared" si="249"/>
        <v>0</v>
      </c>
      <c r="EB152">
        <f t="shared" si="249"/>
        <v>0</v>
      </c>
      <c r="EC152">
        <f t="shared" si="249"/>
        <v>0</v>
      </c>
      <c r="ED152">
        <f t="shared" si="249"/>
        <v>0</v>
      </c>
      <c r="EE152">
        <f t="shared" si="249"/>
        <v>0</v>
      </c>
      <c r="EF152">
        <f t="shared" si="249"/>
        <v>0</v>
      </c>
    </row>
    <row r="153" spans="1:136" ht="15.5">
      <c r="A153" s="93"/>
      <c r="B153" s="19" t="s">
        <v>2</v>
      </c>
      <c r="C153" s="94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18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18">
        <v>0</v>
      </c>
      <c r="AJ153" s="18">
        <v>0</v>
      </c>
      <c r="AK153" s="18">
        <v>0</v>
      </c>
      <c r="AL153" s="18">
        <v>0</v>
      </c>
      <c r="AM153" s="18">
        <v>0</v>
      </c>
      <c r="AN153" s="18">
        <v>0</v>
      </c>
      <c r="AO153" s="18">
        <v>0</v>
      </c>
      <c r="AP153" s="18">
        <v>0</v>
      </c>
      <c r="AQ153" s="18">
        <v>0</v>
      </c>
      <c r="AR153" s="18">
        <v>0</v>
      </c>
      <c r="AS153" s="18">
        <v>0</v>
      </c>
      <c r="AT153" s="18">
        <v>0</v>
      </c>
      <c r="AU153" s="18">
        <v>0</v>
      </c>
      <c r="AV153" s="18">
        <v>0</v>
      </c>
      <c r="AW153" s="18">
        <v>0</v>
      </c>
      <c r="AX153" s="18">
        <v>0</v>
      </c>
      <c r="AY153" s="18">
        <v>0</v>
      </c>
      <c r="AZ153" s="18">
        <v>0</v>
      </c>
      <c r="BA153" s="18">
        <v>0</v>
      </c>
      <c r="BB153" s="18">
        <v>0</v>
      </c>
      <c r="BC153" s="18">
        <v>0</v>
      </c>
      <c r="BD153" s="18">
        <v>0</v>
      </c>
      <c r="BE153" s="18">
        <v>0</v>
      </c>
      <c r="BF153" s="18">
        <v>0</v>
      </c>
      <c r="BG153" s="18">
        <v>0</v>
      </c>
      <c r="BH153" s="18">
        <v>0</v>
      </c>
      <c r="BI153" s="18">
        <v>0</v>
      </c>
      <c r="BJ153" s="18">
        <v>0</v>
      </c>
      <c r="BK153" s="18">
        <v>0</v>
      </c>
      <c r="BL153" s="18">
        <v>0</v>
      </c>
      <c r="BM153" s="18">
        <v>0</v>
      </c>
      <c r="BN153" s="18">
        <v>9743</v>
      </c>
      <c r="BO153" s="113">
        <v>10135</v>
      </c>
      <c r="BP153" s="113">
        <v>10527</v>
      </c>
      <c r="BQ153" s="113">
        <v>10919</v>
      </c>
      <c r="BR153" s="101"/>
      <c r="BS153">
        <f t="shared" si="243"/>
        <v>0</v>
      </c>
      <c r="BT153">
        <f t="shared" si="243"/>
        <v>0</v>
      </c>
      <c r="BU153">
        <f t="shared" si="243"/>
        <v>0</v>
      </c>
      <c r="BV153">
        <f t="shared" si="243"/>
        <v>0</v>
      </c>
      <c r="BW153">
        <f t="shared" si="243"/>
        <v>0</v>
      </c>
      <c r="BX153">
        <f t="shared" si="243"/>
        <v>0</v>
      </c>
      <c r="BY153">
        <f t="shared" si="243"/>
        <v>0</v>
      </c>
      <c r="BZ153">
        <f t="shared" si="243"/>
        <v>0</v>
      </c>
      <c r="CA153">
        <f t="shared" si="243"/>
        <v>0</v>
      </c>
      <c r="CB153">
        <f t="shared" si="243"/>
        <v>0</v>
      </c>
      <c r="CC153">
        <f t="shared" si="244"/>
        <v>0</v>
      </c>
      <c r="CD153">
        <f t="shared" si="244"/>
        <v>0</v>
      </c>
      <c r="CE153">
        <f t="shared" si="244"/>
        <v>0</v>
      </c>
      <c r="CF153">
        <f t="shared" si="244"/>
        <v>0</v>
      </c>
      <c r="CG153">
        <f t="shared" si="244"/>
        <v>0</v>
      </c>
      <c r="CH153">
        <f t="shared" si="244"/>
        <v>0</v>
      </c>
      <c r="CI153">
        <f t="shared" si="244"/>
        <v>0</v>
      </c>
      <c r="CJ153">
        <f t="shared" si="244"/>
        <v>0</v>
      </c>
      <c r="CK153">
        <f t="shared" si="244"/>
        <v>0</v>
      </c>
      <c r="CL153">
        <f t="shared" si="244"/>
        <v>0</v>
      </c>
      <c r="CM153">
        <f t="shared" si="245"/>
        <v>0</v>
      </c>
      <c r="CN153">
        <f t="shared" si="245"/>
        <v>0</v>
      </c>
      <c r="CO153">
        <f t="shared" si="245"/>
        <v>0</v>
      </c>
      <c r="CP153">
        <f t="shared" si="245"/>
        <v>0</v>
      </c>
      <c r="CQ153">
        <f t="shared" si="245"/>
        <v>0</v>
      </c>
      <c r="CR153">
        <f t="shared" si="245"/>
        <v>0</v>
      </c>
      <c r="CS153">
        <f t="shared" si="245"/>
        <v>0</v>
      </c>
      <c r="CT153">
        <f t="shared" si="245"/>
        <v>0</v>
      </c>
      <c r="CU153">
        <f t="shared" si="245"/>
        <v>0</v>
      </c>
      <c r="CV153">
        <f t="shared" si="245"/>
        <v>0</v>
      </c>
      <c r="CW153">
        <f t="shared" si="246"/>
        <v>0</v>
      </c>
      <c r="CX153">
        <f t="shared" si="246"/>
        <v>0</v>
      </c>
      <c r="CY153">
        <f t="shared" si="246"/>
        <v>0</v>
      </c>
      <c r="CZ153">
        <f t="shared" si="246"/>
        <v>0</v>
      </c>
      <c r="DA153">
        <f t="shared" si="246"/>
        <v>0</v>
      </c>
      <c r="DB153">
        <f t="shared" si="246"/>
        <v>0</v>
      </c>
      <c r="DC153">
        <f t="shared" si="246"/>
        <v>0</v>
      </c>
      <c r="DD153">
        <f t="shared" si="246"/>
        <v>0</v>
      </c>
      <c r="DE153">
        <f t="shared" si="246"/>
        <v>0</v>
      </c>
      <c r="DF153">
        <f t="shared" si="246"/>
        <v>0</v>
      </c>
      <c r="DG153">
        <f t="shared" si="247"/>
        <v>0</v>
      </c>
      <c r="DH153">
        <f t="shared" si="247"/>
        <v>0</v>
      </c>
      <c r="DI153">
        <f t="shared" si="247"/>
        <v>0</v>
      </c>
      <c r="DJ153">
        <f t="shared" si="247"/>
        <v>0</v>
      </c>
      <c r="DK153">
        <f t="shared" si="247"/>
        <v>0</v>
      </c>
      <c r="DL153">
        <f t="shared" si="247"/>
        <v>0</v>
      </c>
      <c r="DM153">
        <f t="shared" si="247"/>
        <v>0</v>
      </c>
      <c r="DN153">
        <f t="shared" si="247"/>
        <v>0</v>
      </c>
      <c r="DO153">
        <f t="shared" si="247"/>
        <v>0</v>
      </c>
      <c r="DP153">
        <f t="shared" si="247"/>
        <v>0</v>
      </c>
      <c r="DQ153">
        <f t="shared" si="248"/>
        <v>0</v>
      </c>
      <c r="DR153">
        <f t="shared" si="248"/>
        <v>0</v>
      </c>
      <c r="DS153">
        <f t="shared" si="248"/>
        <v>0</v>
      </c>
      <c r="DT153">
        <f t="shared" si="248"/>
        <v>0</v>
      </c>
      <c r="DU153">
        <f t="shared" si="248"/>
        <v>0</v>
      </c>
      <c r="DV153">
        <f t="shared" si="248"/>
        <v>0</v>
      </c>
      <c r="DW153">
        <f t="shared" si="248"/>
        <v>0</v>
      </c>
      <c r="DX153">
        <f t="shared" si="248"/>
        <v>0</v>
      </c>
      <c r="DY153">
        <f t="shared" si="248"/>
        <v>0</v>
      </c>
      <c r="DZ153">
        <f t="shared" si="248"/>
        <v>0</v>
      </c>
      <c r="EA153">
        <f t="shared" si="249"/>
        <v>0</v>
      </c>
      <c r="EB153">
        <f t="shared" si="249"/>
        <v>0</v>
      </c>
      <c r="EC153">
        <f t="shared" si="249"/>
        <v>0</v>
      </c>
      <c r="ED153">
        <f t="shared" si="249"/>
        <v>0</v>
      </c>
      <c r="EE153">
        <f t="shared" si="249"/>
        <v>0</v>
      </c>
      <c r="EF153">
        <f t="shared" si="249"/>
        <v>0</v>
      </c>
    </row>
    <row r="154" spans="1:136" ht="15.5">
      <c r="A154" s="93"/>
      <c r="B154" s="19" t="s">
        <v>205</v>
      </c>
      <c r="C154" s="94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18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18">
        <v>0</v>
      </c>
      <c r="AJ154" s="18">
        <v>0</v>
      </c>
      <c r="AK154" s="18">
        <v>0</v>
      </c>
      <c r="AL154" s="18">
        <v>0</v>
      </c>
      <c r="AM154" s="18">
        <v>0</v>
      </c>
      <c r="AN154" s="18">
        <v>0</v>
      </c>
      <c r="AO154" s="18">
        <v>0</v>
      </c>
      <c r="AP154" s="18">
        <v>0</v>
      </c>
      <c r="AQ154" s="18">
        <v>0</v>
      </c>
      <c r="AR154" s="18">
        <v>0</v>
      </c>
      <c r="AS154" s="18">
        <v>0</v>
      </c>
      <c r="AT154" s="18">
        <v>0</v>
      </c>
      <c r="AU154" s="18">
        <v>0</v>
      </c>
      <c r="AV154" s="18">
        <v>0</v>
      </c>
      <c r="AW154" s="18">
        <v>0</v>
      </c>
      <c r="AX154" s="18">
        <v>0</v>
      </c>
      <c r="AY154" s="18">
        <v>0</v>
      </c>
      <c r="AZ154" s="18">
        <v>0</v>
      </c>
      <c r="BA154" s="18">
        <v>15.3</v>
      </c>
      <c r="BB154" s="18">
        <v>0</v>
      </c>
      <c r="BC154" s="18">
        <v>0</v>
      </c>
      <c r="BD154" s="18">
        <v>0</v>
      </c>
      <c r="BE154" s="18">
        <v>0</v>
      </c>
      <c r="BF154" s="18">
        <v>0</v>
      </c>
      <c r="BG154" s="18">
        <v>0</v>
      </c>
      <c r="BH154" s="18">
        <v>0</v>
      </c>
      <c r="BI154" s="18">
        <v>0</v>
      </c>
      <c r="BJ154" s="18">
        <v>0</v>
      </c>
      <c r="BK154" s="18">
        <v>0</v>
      </c>
      <c r="BL154" s="18">
        <f>48.5+170</f>
        <v>218.5</v>
      </c>
      <c r="BM154" s="18">
        <v>0</v>
      </c>
      <c r="BN154" s="18">
        <v>48</v>
      </c>
      <c r="BO154" s="113">
        <v>48</v>
      </c>
      <c r="BP154" s="113">
        <v>48</v>
      </c>
      <c r="BQ154" s="113">
        <v>48</v>
      </c>
      <c r="BR154" s="101"/>
      <c r="BS154">
        <f t="shared" si="243"/>
        <v>0</v>
      </c>
      <c r="BT154">
        <f t="shared" si="243"/>
        <v>0</v>
      </c>
      <c r="BU154">
        <f t="shared" si="243"/>
        <v>0</v>
      </c>
      <c r="BV154">
        <f t="shared" si="243"/>
        <v>0</v>
      </c>
      <c r="BW154">
        <f t="shared" si="243"/>
        <v>0</v>
      </c>
      <c r="BX154">
        <f t="shared" si="243"/>
        <v>0</v>
      </c>
      <c r="BY154">
        <f t="shared" si="243"/>
        <v>0</v>
      </c>
      <c r="BZ154">
        <f t="shared" si="243"/>
        <v>0</v>
      </c>
      <c r="CA154">
        <f t="shared" si="243"/>
        <v>0</v>
      </c>
      <c r="CB154">
        <f t="shared" si="243"/>
        <v>0</v>
      </c>
      <c r="CC154">
        <f t="shared" si="244"/>
        <v>0</v>
      </c>
      <c r="CD154">
        <f t="shared" si="244"/>
        <v>0</v>
      </c>
      <c r="CE154">
        <f t="shared" si="244"/>
        <v>0</v>
      </c>
      <c r="CF154">
        <f t="shared" si="244"/>
        <v>0</v>
      </c>
      <c r="CG154">
        <f t="shared" si="244"/>
        <v>0</v>
      </c>
      <c r="CH154">
        <f t="shared" si="244"/>
        <v>0</v>
      </c>
      <c r="CI154">
        <f t="shared" si="244"/>
        <v>0</v>
      </c>
      <c r="CJ154">
        <f t="shared" si="244"/>
        <v>0</v>
      </c>
      <c r="CK154">
        <f t="shared" si="244"/>
        <v>0</v>
      </c>
      <c r="CL154">
        <f t="shared" si="244"/>
        <v>0</v>
      </c>
      <c r="CM154">
        <f t="shared" si="245"/>
        <v>0</v>
      </c>
      <c r="CN154">
        <f t="shared" si="245"/>
        <v>0</v>
      </c>
      <c r="CO154">
        <f t="shared" si="245"/>
        <v>0</v>
      </c>
      <c r="CP154">
        <f t="shared" si="245"/>
        <v>0</v>
      </c>
      <c r="CQ154">
        <f t="shared" si="245"/>
        <v>0</v>
      </c>
      <c r="CR154">
        <f t="shared" si="245"/>
        <v>0</v>
      </c>
      <c r="CS154">
        <f t="shared" si="245"/>
        <v>0</v>
      </c>
      <c r="CT154">
        <f t="shared" si="245"/>
        <v>0</v>
      </c>
      <c r="CU154">
        <f t="shared" si="245"/>
        <v>0</v>
      </c>
      <c r="CV154">
        <f t="shared" si="245"/>
        <v>0</v>
      </c>
      <c r="CW154">
        <f t="shared" si="246"/>
        <v>0</v>
      </c>
      <c r="CX154">
        <f t="shared" si="246"/>
        <v>0</v>
      </c>
      <c r="CY154">
        <f t="shared" si="246"/>
        <v>0</v>
      </c>
      <c r="CZ154">
        <f t="shared" si="246"/>
        <v>0</v>
      </c>
      <c r="DA154">
        <f t="shared" si="246"/>
        <v>0</v>
      </c>
      <c r="DB154">
        <f t="shared" si="246"/>
        <v>0</v>
      </c>
      <c r="DC154">
        <f t="shared" si="246"/>
        <v>0</v>
      </c>
      <c r="DD154">
        <f t="shared" si="246"/>
        <v>0</v>
      </c>
      <c r="DE154">
        <f t="shared" si="246"/>
        <v>0</v>
      </c>
      <c r="DF154">
        <f t="shared" si="246"/>
        <v>0</v>
      </c>
      <c r="DG154">
        <f t="shared" si="247"/>
        <v>0</v>
      </c>
      <c r="DH154">
        <f t="shared" si="247"/>
        <v>0</v>
      </c>
      <c r="DI154">
        <f t="shared" si="247"/>
        <v>0</v>
      </c>
      <c r="DJ154">
        <f t="shared" si="247"/>
        <v>0</v>
      </c>
      <c r="DK154">
        <f t="shared" si="247"/>
        <v>0</v>
      </c>
      <c r="DL154">
        <f t="shared" si="247"/>
        <v>0</v>
      </c>
      <c r="DM154">
        <f t="shared" si="247"/>
        <v>0</v>
      </c>
      <c r="DN154">
        <f t="shared" si="247"/>
        <v>0</v>
      </c>
      <c r="DO154">
        <f t="shared" si="247"/>
        <v>0</v>
      </c>
      <c r="DP154">
        <f t="shared" si="247"/>
        <v>0</v>
      </c>
      <c r="DQ154">
        <f t="shared" si="248"/>
        <v>0</v>
      </c>
      <c r="DR154">
        <f t="shared" si="248"/>
        <v>0</v>
      </c>
      <c r="DS154">
        <f t="shared" si="248"/>
        <v>0</v>
      </c>
      <c r="DT154">
        <f t="shared" si="248"/>
        <v>0</v>
      </c>
      <c r="DU154">
        <f t="shared" si="248"/>
        <v>0</v>
      </c>
      <c r="DV154">
        <f t="shared" si="248"/>
        <v>0</v>
      </c>
      <c r="DW154">
        <f t="shared" si="248"/>
        <v>0</v>
      </c>
      <c r="DX154">
        <f t="shared" si="248"/>
        <v>0</v>
      </c>
      <c r="DY154">
        <f t="shared" si="248"/>
        <v>0</v>
      </c>
      <c r="DZ154">
        <f t="shared" si="248"/>
        <v>0</v>
      </c>
      <c r="EA154">
        <f t="shared" si="249"/>
        <v>0</v>
      </c>
      <c r="EB154">
        <f t="shared" si="249"/>
        <v>0</v>
      </c>
      <c r="EC154">
        <f t="shared" si="249"/>
        <v>0</v>
      </c>
      <c r="ED154">
        <f t="shared" si="249"/>
        <v>0</v>
      </c>
      <c r="EE154">
        <f t="shared" si="249"/>
        <v>0</v>
      </c>
      <c r="EF154">
        <f t="shared" si="249"/>
        <v>0</v>
      </c>
    </row>
    <row r="155" spans="1:136" ht="15.5">
      <c r="A155" s="93"/>
      <c r="B155" s="53" t="s">
        <v>3</v>
      </c>
      <c r="C155" s="94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>
        <v>0</v>
      </c>
      <c r="AJ155" s="18">
        <v>0</v>
      </c>
      <c r="AK155" s="18">
        <v>0.23400000000000001</v>
      </c>
      <c r="AL155" s="18">
        <v>0</v>
      </c>
      <c r="AM155" s="18">
        <v>486</v>
      </c>
      <c r="AN155" s="18">
        <v>297</v>
      </c>
      <c r="AO155" s="18">
        <v>156</v>
      </c>
      <c r="AP155" s="18">
        <v>447</v>
      </c>
      <c r="AQ155" s="18">
        <v>386</v>
      </c>
      <c r="AR155" s="18">
        <v>462</v>
      </c>
      <c r="AS155" s="18">
        <v>239</v>
      </c>
      <c r="AT155" s="18">
        <v>209</v>
      </c>
      <c r="AU155" s="18">
        <v>193</v>
      </c>
      <c r="AV155" s="18">
        <v>167</v>
      </c>
      <c r="AW155" s="18">
        <v>100</v>
      </c>
      <c r="AX155" s="18">
        <v>0</v>
      </c>
      <c r="AY155" s="18">
        <v>0</v>
      </c>
      <c r="AZ155" s="18">
        <v>0</v>
      </c>
      <c r="BA155" s="18">
        <v>0</v>
      </c>
      <c r="BB155" s="18">
        <v>0</v>
      </c>
      <c r="BC155" s="18">
        <v>0</v>
      </c>
      <c r="BD155" s="18">
        <v>0</v>
      </c>
      <c r="BE155" s="18">
        <v>0</v>
      </c>
      <c r="BF155" s="18">
        <v>0</v>
      </c>
      <c r="BG155" s="18">
        <v>0</v>
      </c>
      <c r="BH155" s="18">
        <v>0</v>
      </c>
      <c r="BI155" s="18">
        <v>0</v>
      </c>
      <c r="BJ155" s="18">
        <v>0</v>
      </c>
      <c r="BK155" s="18">
        <v>0</v>
      </c>
      <c r="BL155" s="18">
        <v>0</v>
      </c>
      <c r="BM155" s="18">
        <v>0</v>
      </c>
      <c r="BN155" s="18">
        <v>116.499</v>
      </c>
      <c r="BO155" s="18">
        <v>11</v>
      </c>
      <c r="BP155" s="113">
        <v>15</v>
      </c>
      <c r="BQ155" s="113">
        <v>15</v>
      </c>
      <c r="BR155" s="101"/>
      <c r="BS155">
        <f t="shared" si="243"/>
        <v>0</v>
      </c>
      <c r="BT155">
        <f t="shared" si="243"/>
        <v>0</v>
      </c>
      <c r="BU155">
        <f t="shared" si="243"/>
        <v>0</v>
      </c>
      <c r="BV155">
        <f t="shared" si="243"/>
        <v>0</v>
      </c>
      <c r="BW155">
        <f t="shared" si="243"/>
        <v>0</v>
      </c>
      <c r="BX155">
        <f t="shared" si="243"/>
        <v>0</v>
      </c>
      <c r="BY155">
        <f t="shared" si="243"/>
        <v>0</v>
      </c>
      <c r="BZ155">
        <f t="shared" si="243"/>
        <v>0</v>
      </c>
      <c r="CA155">
        <f t="shared" si="243"/>
        <v>0</v>
      </c>
      <c r="CB155">
        <f t="shared" si="243"/>
        <v>0</v>
      </c>
      <c r="CC155">
        <f t="shared" si="244"/>
        <v>0</v>
      </c>
      <c r="CD155">
        <f t="shared" si="244"/>
        <v>0</v>
      </c>
      <c r="CE155">
        <f t="shared" si="244"/>
        <v>0</v>
      </c>
      <c r="CF155">
        <f t="shared" si="244"/>
        <v>0</v>
      </c>
      <c r="CG155">
        <f t="shared" si="244"/>
        <v>0</v>
      </c>
      <c r="CH155">
        <f t="shared" si="244"/>
        <v>0</v>
      </c>
      <c r="CI155">
        <f t="shared" si="244"/>
        <v>0</v>
      </c>
      <c r="CJ155">
        <f t="shared" si="244"/>
        <v>0</v>
      </c>
      <c r="CK155">
        <f t="shared" si="244"/>
        <v>0</v>
      </c>
      <c r="CL155">
        <f t="shared" si="244"/>
        <v>0</v>
      </c>
      <c r="CM155">
        <f t="shared" si="245"/>
        <v>0</v>
      </c>
      <c r="CN155">
        <f t="shared" si="245"/>
        <v>0</v>
      </c>
      <c r="CO155">
        <f t="shared" si="245"/>
        <v>0</v>
      </c>
      <c r="CP155">
        <f t="shared" si="245"/>
        <v>0</v>
      </c>
      <c r="CQ155">
        <f t="shared" si="245"/>
        <v>0</v>
      </c>
      <c r="CR155">
        <f t="shared" si="245"/>
        <v>0</v>
      </c>
      <c r="CS155">
        <f t="shared" si="245"/>
        <v>0</v>
      </c>
      <c r="CT155">
        <f t="shared" si="245"/>
        <v>0</v>
      </c>
      <c r="CU155">
        <f t="shared" si="245"/>
        <v>0</v>
      </c>
      <c r="CV155">
        <f t="shared" si="245"/>
        <v>0</v>
      </c>
      <c r="CW155">
        <f t="shared" si="246"/>
        <v>0</v>
      </c>
      <c r="CX155">
        <f t="shared" si="246"/>
        <v>0</v>
      </c>
      <c r="CY155">
        <f t="shared" si="246"/>
        <v>0</v>
      </c>
      <c r="CZ155">
        <f t="shared" si="246"/>
        <v>0</v>
      </c>
      <c r="DA155">
        <f t="shared" si="246"/>
        <v>0</v>
      </c>
      <c r="DB155">
        <f t="shared" si="246"/>
        <v>0</v>
      </c>
      <c r="DC155">
        <f t="shared" si="246"/>
        <v>0</v>
      </c>
      <c r="DD155">
        <f t="shared" si="246"/>
        <v>0</v>
      </c>
      <c r="DE155">
        <f t="shared" si="246"/>
        <v>0</v>
      </c>
      <c r="DF155">
        <f t="shared" si="246"/>
        <v>0</v>
      </c>
      <c r="DG155">
        <f t="shared" si="247"/>
        <v>0</v>
      </c>
      <c r="DH155">
        <f t="shared" si="247"/>
        <v>0</v>
      </c>
      <c r="DI155">
        <f t="shared" si="247"/>
        <v>0</v>
      </c>
      <c r="DJ155">
        <f t="shared" si="247"/>
        <v>0</v>
      </c>
      <c r="DK155">
        <f t="shared" si="247"/>
        <v>0</v>
      </c>
      <c r="DL155">
        <f t="shared" si="247"/>
        <v>0</v>
      </c>
      <c r="DM155">
        <f t="shared" si="247"/>
        <v>0</v>
      </c>
      <c r="DN155">
        <f t="shared" si="247"/>
        <v>0</v>
      </c>
      <c r="DO155">
        <f t="shared" si="247"/>
        <v>0</v>
      </c>
      <c r="DP155">
        <f t="shared" si="247"/>
        <v>0</v>
      </c>
      <c r="DQ155">
        <f t="shared" si="248"/>
        <v>0</v>
      </c>
      <c r="DR155">
        <f t="shared" si="248"/>
        <v>0</v>
      </c>
      <c r="DS155">
        <f t="shared" si="248"/>
        <v>0</v>
      </c>
      <c r="DT155">
        <f t="shared" si="248"/>
        <v>0</v>
      </c>
      <c r="DU155">
        <f t="shared" si="248"/>
        <v>0</v>
      </c>
      <c r="DV155">
        <f t="shared" si="248"/>
        <v>0</v>
      </c>
      <c r="DW155">
        <f t="shared" si="248"/>
        <v>0</v>
      </c>
      <c r="DX155">
        <f t="shared" si="248"/>
        <v>0</v>
      </c>
      <c r="DY155">
        <f t="shared" si="248"/>
        <v>0</v>
      </c>
      <c r="DZ155">
        <f t="shared" si="248"/>
        <v>0</v>
      </c>
      <c r="EA155">
        <f t="shared" si="249"/>
        <v>0</v>
      </c>
      <c r="EB155">
        <f t="shared" si="249"/>
        <v>0</v>
      </c>
      <c r="EC155">
        <f t="shared" si="249"/>
        <v>0</v>
      </c>
      <c r="ED155">
        <f t="shared" si="249"/>
        <v>0</v>
      </c>
      <c r="EE155">
        <f t="shared" si="249"/>
        <v>0</v>
      </c>
      <c r="EF155">
        <f t="shared" si="249"/>
        <v>0</v>
      </c>
    </row>
    <row r="156" spans="1:136" ht="15.5">
      <c r="A156" s="93"/>
      <c r="B156" s="53" t="s">
        <v>25</v>
      </c>
      <c r="C156" s="94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>
        <v>0</v>
      </c>
      <c r="AJ156" s="18">
        <v>0</v>
      </c>
      <c r="AK156" s="18">
        <v>0</v>
      </c>
      <c r="AL156" s="18">
        <v>0</v>
      </c>
      <c r="AM156" s="18">
        <v>0</v>
      </c>
      <c r="AN156" s="18">
        <v>0</v>
      </c>
      <c r="AO156" s="18">
        <v>0</v>
      </c>
      <c r="AP156" s="18">
        <v>0</v>
      </c>
      <c r="AQ156" s="18">
        <v>0</v>
      </c>
      <c r="AR156" s="18">
        <v>0</v>
      </c>
      <c r="AS156" s="18">
        <v>0</v>
      </c>
      <c r="AT156" s="18">
        <v>0</v>
      </c>
      <c r="AU156" s="18">
        <v>0</v>
      </c>
      <c r="AV156" s="18">
        <v>0</v>
      </c>
      <c r="AW156" s="18">
        <v>0</v>
      </c>
      <c r="AX156" s="18">
        <v>0</v>
      </c>
      <c r="AY156" s="18">
        <v>0</v>
      </c>
      <c r="AZ156" s="18">
        <v>0</v>
      </c>
      <c r="BA156" s="18">
        <v>0</v>
      </c>
      <c r="BB156" s="18">
        <v>0</v>
      </c>
      <c r="BC156" s="18">
        <v>0</v>
      </c>
      <c r="BD156" s="18">
        <v>0</v>
      </c>
      <c r="BE156" s="18">
        <v>0</v>
      </c>
      <c r="BF156" s="18">
        <v>0</v>
      </c>
      <c r="BG156" s="18">
        <v>0</v>
      </c>
      <c r="BH156" s="18">
        <v>0</v>
      </c>
      <c r="BI156" s="18">
        <v>0</v>
      </c>
      <c r="BJ156" s="18">
        <v>0</v>
      </c>
      <c r="BK156" s="18">
        <v>0</v>
      </c>
      <c r="BL156" s="18">
        <v>0</v>
      </c>
      <c r="BM156" s="18">
        <v>0</v>
      </c>
      <c r="BN156" s="113">
        <v>3445</v>
      </c>
      <c r="BO156" s="113">
        <v>3682</v>
      </c>
      <c r="BP156" s="113">
        <v>3919</v>
      </c>
      <c r="BQ156" s="113">
        <v>4156</v>
      </c>
      <c r="BR156" s="101"/>
      <c r="BS156">
        <f t="shared" si="243"/>
        <v>0</v>
      </c>
      <c r="BT156">
        <f t="shared" si="243"/>
        <v>0</v>
      </c>
      <c r="BU156">
        <f t="shared" si="243"/>
        <v>0</v>
      </c>
      <c r="BV156">
        <f t="shared" si="243"/>
        <v>0</v>
      </c>
      <c r="BW156">
        <f t="shared" si="243"/>
        <v>0</v>
      </c>
      <c r="BX156">
        <f t="shared" si="243"/>
        <v>0</v>
      </c>
      <c r="BY156">
        <f t="shared" si="243"/>
        <v>0</v>
      </c>
      <c r="BZ156">
        <f t="shared" si="243"/>
        <v>0</v>
      </c>
      <c r="CA156">
        <f t="shared" si="243"/>
        <v>0</v>
      </c>
      <c r="CB156">
        <f t="shared" si="243"/>
        <v>0</v>
      </c>
      <c r="CC156">
        <f t="shared" si="244"/>
        <v>0</v>
      </c>
      <c r="CD156">
        <f t="shared" si="244"/>
        <v>0</v>
      </c>
      <c r="CE156">
        <f t="shared" si="244"/>
        <v>0</v>
      </c>
      <c r="CF156">
        <f t="shared" si="244"/>
        <v>0</v>
      </c>
      <c r="CG156">
        <f t="shared" si="244"/>
        <v>0</v>
      </c>
      <c r="CH156">
        <f t="shared" si="244"/>
        <v>0</v>
      </c>
      <c r="CI156">
        <f t="shared" si="244"/>
        <v>0</v>
      </c>
      <c r="CJ156">
        <f t="shared" si="244"/>
        <v>0</v>
      </c>
      <c r="CK156">
        <f t="shared" si="244"/>
        <v>0</v>
      </c>
      <c r="CL156">
        <f t="shared" si="244"/>
        <v>0</v>
      </c>
      <c r="CM156">
        <f t="shared" si="245"/>
        <v>0</v>
      </c>
      <c r="CN156">
        <f t="shared" si="245"/>
        <v>0</v>
      </c>
      <c r="CO156">
        <f t="shared" si="245"/>
        <v>0</v>
      </c>
      <c r="CP156">
        <f t="shared" si="245"/>
        <v>0</v>
      </c>
      <c r="CQ156">
        <f t="shared" si="245"/>
        <v>0</v>
      </c>
      <c r="CR156">
        <f t="shared" si="245"/>
        <v>0</v>
      </c>
      <c r="CS156">
        <f t="shared" si="245"/>
        <v>0</v>
      </c>
      <c r="CT156">
        <f t="shared" si="245"/>
        <v>0</v>
      </c>
      <c r="CU156">
        <f t="shared" si="245"/>
        <v>0</v>
      </c>
      <c r="CV156">
        <f t="shared" si="245"/>
        <v>0</v>
      </c>
      <c r="CW156">
        <f t="shared" si="246"/>
        <v>0</v>
      </c>
      <c r="CX156">
        <f t="shared" si="246"/>
        <v>0</v>
      </c>
      <c r="CY156">
        <f t="shared" si="246"/>
        <v>0</v>
      </c>
      <c r="CZ156">
        <f t="shared" si="246"/>
        <v>0</v>
      </c>
      <c r="DA156">
        <f t="shared" si="246"/>
        <v>0</v>
      </c>
      <c r="DB156">
        <f t="shared" si="246"/>
        <v>0</v>
      </c>
      <c r="DC156">
        <f t="shared" si="246"/>
        <v>0</v>
      </c>
      <c r="DD156">
        <f t="shared" si="246"/>
        <v>0</v>
      </c>
      <c r="DE156">
        <f t="shared" si="246"/>
        <v>0</v>
      </c>
      <c r="DF156">
        <f t="shared" si="246"/>
        <v>0</v>
      </c>
      <c r="DG156">
        <f t="shared" si="247"/>
        <v>0</v>
      </c>
      <c r="DH156">
        <f t="shared" si="247"/>
        <v>0</v>
      </c>
      <c r="DI156">
        <f t="shared" si="247"/>
        <v>0</v>
      </c>
      <c r="DJ156">
        <f t="shared" si="247"/>
        <v>0</v>
      </c>
      <c r="DK156">
        <f t="shared" si="247"/>
        <v>0</v>
      </c>
      <c r="DL156">
        <f t="shared" si="247"/>
        <v>0</v>
      </c>
      <c r="DM156">
        <f t="shared" si="247"/>
        <v>0</v>
      </c>
      <c r="DN156">
        <f t="shared" si="247"/>
        <v>0</v>
      </c>
      <c r="DO156">
        <f t="shared" si="247"/>
        <v>0</v>
      </c>
      <c r="DP156">
        <f t="shared" si="247"/>
        <v>0</v>
      </c>
      <c r="DQ156">
        <f t="shared" si="248"/>
        <v>0</v>
      </c>
      <c r="DR156">
        <f t="shared" si="248"/>
        <v>0</v>
      </c>
      <c r="DS156">
        <f t="shared" si="248"/>
        <v>0</v>
      </c>
      <c r="DT156">
        <f t="shared" si="248"/>
        <v>0</v>
      </c>
      <c r="DU156">
        <f t="shared" si="248"/>
        <v>0</v>
      </c>
      <c r="DV156">
        <f t="shared" si="248"/>
        <v>0</v>
      </c>
      <c r="DW156">
        <f t="shared" si="248"/>
        <v>0</v>
      </c>
      <c r="DX156">
        <f t="shared" si="248"/>
        <v>0</v>
      </c>
      <c r="DY156">
        <f t="shared" si="248"/>
        <v>0</v>
      </c>
      <c r="DZ156">
        <f t="shared" si="248"/>
        <v>0</v>
      </c>
      <c r="EA156">
        <f t="shared" si="249"/>
        <v>0</v>
      </c>
      <c r="EB156">
        <f t="shared" si="249"/>
        <v>0</v>
      </c>
      <c r="EC156">
        <f t="shared" si="249"/>
        <v>0</v>
      </c>
      <c r="ED156">
        <f t="shared" si="249"/>
        <v>0</v>
      </c>
      <c r="EE156">
        <f t="shared" si="249"/>
        <v>0</v>
      </c>
      <c r="EF156">
        <f t="shared" si="249"/>
        <v>0</v>
      </c>
    </row>
    <row r="157" spans="1:136" ht="15.5">
      <c r="A157" s="93"/>
      <c r="B157" s="19" t="s">
        <v>208</v>
      </c>
      <c r="C157" s="94"/>
      <c r="D157" s="18" t="s">
        <v>169</v>
      </c>
      <c r="E157" s="18" t="s">
        <v>169</v>
      </c>
      <c r="F157" s="18" t="s">
        <v>169</v>
      </c>
      <c r="G157" s="18" t="s">
        <v>169</v>
      </c>
      <c r="H157" s="18" t="s">
        <v>169</v>
      </c>
      <c r="I157" s="18" t="s">
        <v>169</v>
      </c>
      <c r="J157" s="18" t="s">
        <v>169</v>
      </c>
      <c r="K157" s="18" t="s">
        <v>169</v>
      </c>
      <c r="L157" s="18" t="s">
        <v>169</v>
      </c>
      <c r="M157" s="18" t="s">
        <v>169</v>
      </c>
      <c r="N157" s="18" t="s">
        <v>169</v>
      </c>
      <c r="O157" s="18" t="s">
        <v>169</v>
      </c>
      <c r="P157" s="18" t="s">
        <v>169</v>
      </c>
      <c r="Q157" s="18" t="s">
        <v>169</v>
      </c>
      <c r="R157" s="18" t="s">
        <v>169</v>
      </c>
      <c r="S157" s="18" t="s">
        <v>169</v>
      </c>
      <c r="T157" s="18" t="s">
        <v>169</v>
      </c>
      <c r="U157" s="18" t="s">
        <v>169</v>
      </c>
      <c r="V157" s="18" t="s">
        <v>169</v>
      </c>
      <c r="W157" s="18" t="s">
        <v>169</v>
      </c>
      <c r="X157" s="18" t="s">
        <v>169</v>
      </c>
      <c r="Y157" s="18" t="s">
        <v>169</v>
      </c>
      <c r="Z157" s="18" t="s">
        <v>169</v>
      </c>
      <c r="AA157" s="18" t="s">
        <v>169</v>
      </c>
      <c r="AB157" s="18" t="s">
        <v>169</v>
      </c>
      <c r="AC157" s="18" t="s">
        <v>169</v>
      </c>
      <c r="AD157" s="18" t="s">
        <v>169</v>
      </c>
      <c r="AE157" s="18" t="s">
        <v>169</v>
      </c>
      <c r="AF157" s="18" t="s">
        <v>169</v>
      </c>
      <c r="AG157" s="18" t="s">
        <v>169</v>
      </c>
      <c r="AH157" s="18" t="s">
        <v>169</v>
      </c>
      <c r="AI157" s="18">
        <v>0</v>
      </c>
      <c r="AJ157" s="18">
        <v>0</v>
      </c>
      <c r="AK157" s="18">
        <v>6.6989999999999998</v>
      </c>
      <c r="AL157" s="18">
        <v>149.75800000000001</v>
      </c>
      <c r="AM157" s="18">
        <v>158.50299999999999</v>
      </c>
      <c r="AN157" s="18">
        <v>18.748000000000001</v>
      </c>
      <c r="AO157" s="18">
        <v>2.1019999999999999</v>
      </c>
      <c r="AP157" s="18">
        <v>6.0730000000000004</v>
      </c>
      <c r="AQ157" s="18">
        <v>14.964</v>
      </c>
      <c r="AR157" s="18">
        <v>2.4079999999999999</v>
      </c>
      <c r="AS157" s="18">
        <v>3.9510000000000001</v>
      </c>
      <c r="AT157" s="18">
        <v>1.905</v>
      </c>
      <c r="AU157" s="18">
        <v>0.53200000000000003</v>
      </c>
      <c r="AV157" s="18">
        <v>0.51100000000000001</v>
      </c>
      <c r="AW157" s="18">
        <v>37.637</v>
      </c>
      <c r="AX157" s="18">
        <v>26.318000000000001</v>
      </c>
      <c r="AY157" s="18">
        <v>11.896000000000001</v>
      </c>
      <c r="AZ157" s="18">
        <v>5.4770000000000003</v>
      </c>
      <c r="BA157" s="18">
        <v>21.760999999999999</v>
      </c>
      <c r="BB157" s="18">
        <v>10.641999999999999</v>
      </c>
      <c r="BC157" s="18">
        <v>16.100000000000001</v>
      </c>
      <c r="BD157" s="18">
        <v>12.227</v>
      </c>
      <c r="BE157" s="18">
        <v>12.462</v>
      </c>
      <c r="BF157" s="18">
        <v>15.215999999999999</v>
      </c>
      <c r="BG157" s="18">
        <v>14.519</v>
      </c>
      <c r="BH157" s="18">
        <v>11.487</v>
      </c>
      <c r="BI157" s="18">
        <v>11.612</v>
      </c>
      <c r="BJ157" s="18">
        <v>12.161</v>
      </c>
      <c r="BK157" s="113">
        <v>14.629</v>
      </c>
      <c r="BL157" s="18">
        <v>0</v>
      </c>
      <c r="BM157" s="18">
        <v>0</v>
      </c>
      <c r="BN157" s="113">
        <v>25</v>
      </c>
      <c r="BO157" s="113">
        <v>30</v>
      </c>
      <c r="BP157" s="113">
        <v>30</v>
      </c>
      <c r="BQ157" s="113">
        <v>30</v>
      </c>
      <c r="BR157" s="101"/>
      <c r="BS157">
        <f t="shared" si="243"/>
        <v>0</v>
      </c>
      <c r="BT157">
        <f t="shared" si="243"/>
        <v>0</v>
      </c>
      <c r="BU157">
        <f t="shared" si="243"/>
        <v>0</v>
      </c>
      <c r="BV157">
        <f t="shared" si="243"/>
        <v>0</v>
      </c>
      <c r="BW157">
        <f t="shared" si="243"/>
        <v>0</v>
      </c>
      <c r="BX157">
        <f t="shared" si="243"/>
        <v>0</v>
      </c>
      <c r="BY157">
        <f t="shared" si="243"/>
        <v>0</v>
      </c>
      <c r="BZ157">
        <f t="shared" si="243"/>
        <v>0</v>
      </c>
      <c r="CA157">
        <f t="shared" si="243"/>
        <v>0</v>
      </c>
      <c r="CB157">
        <f t="shared" si="243"/>
        <v>0</v>
      </c>
      <c r="CC157">
        <f t="shared" si="244"/>
        <v>0</v>
      </c>
      <c r="CD157">
        <f t="shared" si="244"/>
        <v>0</v>
      </c>
      <c r="CE157">
        <f t="shared" si="244"/>
        <v>0</v>
      </c>
      <c r="CF157">
        <f t="shared" si="244"/>
        <v>0</v>
      </c>
      <c r="CG157">
        <f t="shared" si="244"/>
        <v>0</v>
      </c>
      <c r="CH157">
        <f t="shared" si="244"/>
        <v>0</v>
      </c>
      <c r="CI157">
        <f t="shared" si="244"/>
        <v>0</v>
      </c>
      <c r="CJ157">
        <f t="shared" si="244"/>
        <v>0</v>
      </c>
      <c r="CK157">
        <f t="shared" si="244"/>
        <v>0</v>
      </c>
      <c r="CL157">
        <f t="shared" si="244"/>
        <v>0</v>
      </c>
      <c r="CM157">
        <f t="shared" si="245"/>
        <v>0</v>
      </c>
      <c r="CN157">
        <f t="shared" si="245"/>
        <v>0</v>
      </c>
      <c r="CO157">
        <f t="shared" si="245"/>
        <v>0</v>
      </c>
      <c r="CP157">
        <f t="shared" si="245"/>
        <v>0</v>
      </c>
      <c r="CQ157">
        <f t="shared" si="245"/>
        <v>0</v>
      </c>
      <c r="CR157">
        <f t="shared" si="245"/>
        <v>0</v>
      </c>
      <c r="CS157">
        <f t="shared" si="245"/>
        <v>0</v>
      </c>
      <c r="CT157">
        <f t="shared" si="245"/>
        <v>0</v>
      </c>
      <c r="CU157">
        <f t="shared" si="245"/>
        <v>0</v>
      </c>
      <c r="CV157">
        <f t="shared" si="245"/>
        <v>0</v>
      </c>
      <c r="CW157">
        <f t="shared" si="246"/>
        <v>0</v>
      </c>
      <c r="CX157">
        <f t="shared" si="246"/>
        <v>0</v>
      </c>
      <c r="CY157">
        <f t="shared" si="246"/>
        <v>0</v>
      </c>
      <c r="CZ157">
        <f t="shared" si="246"/>
        <v>0</v>
      </c>
      <c r="DA157">
        <f t="shared" si="246"/>
        <v>0</v>
      </c>
      <c r="DB157">
        <f t="shared" si="246"/>
        <v>0</v>
      </c>
      <c r="DC157">
        <f t="shared" si="246"/>
        <v>0</v>
      </c>
      <c r="DD157">
        <f t="shared" si="246"/>
        <v>0</v>
      </c>
      <c r="DE157">
        <f t="shared" si="246"/>
        <v>0</v>
      </c>
      <c r="DF157">
        <f t="shared" si="246"/>
        <v>0</v>
      </c>
      <c r="DG157">
        <f t="shared" si="247"/>
        <v>0</v>
      </c>
      <c r="DH157">
        <f t="shared" si="247"/>
        <v>0</v>
      </c>
      <c r="DI157">
        <f t="shared" si="247"/>
        <v>0</v>
      </c>
      <c r="DJ157">
        <f t="shared" si="247"/>
        <v>0</v>
      </c>
      <c r="DK157">
        <f t="shared" si="247"/>
        <v>0</v>
      </c>
      <c r="DL157">
        <f t="shared" si="247"/>
        <v>0</v>
      </c>
      <c r="DM157">
        <f t="shared" si="247"/>
        <v>0</v>
      </c>
      <c r="DN157">
        <f t="shared" si="247"/>
        <v>0</v>
      </c>
      <c r="DO157">
        <f t="shared" si="247"/>
        <v>0</v>
      </c>
      <c r="DP157">
        <f t="shared" si="247"/>
        <v>0</v>
      </c>
      <c r="DQ157">
        <f t="shared" si="248"/>
        <v>0</v>
      </c>
      <c r="DR157">
        <f t="shared" si="248"/>
        <v>0</v>
      </c>
      <c r="DS157">
        <f t="shared" si="248"/>
        <v>0</v>
      </c>
      <c r="DT157">
        <f t="shared" si="248"/>
        <v>0</v>
      </c>
      <c r="DU157">
        <f t="shared" si="248"/>
        <v>0</v>
      </c>
      <c r="DV157">
        <f t="shared" si="248"/>
        <v>0</v>
      </c>
      <c r="DW157">
        <f t="shared" si="248"/>
        <v>0</v>
      </c>
      <c r="DX157">
        <f t="shared" si="248"/>
        <v>0</v>
      </c>
      <c r="DY157">
        <f t="shared" si="248"/>
        <v>0</v>
      </c>
      <c r="DZ157">
        <f t="shared" si="248"/>
        <v>0</v>
      </c>
      <c r="EA157">
        <f t="shared" si="249"/>
        <v>0</v>
      </c>
      <c r="EB157">
        <f t="shared" si="249"/>
        <v>0</v>
      </c>
      <c r="EC157">
        <f t="shared" si="249"/>
        <v>0</v>
      </c>
      <c r="ED157">
        <f t="shared" si="249"/>
        <v>0</v>
      </c>
      <c r="EE157">
        <f t="shared" si="249"/>
        <v>0</v>
      </c>
      <c r="EF157">
        <f t="shared" si="249"/>
        <v>0</v>
      </c>
    </row>
    <row r="158" spans="1:136" ht="15.5">
      <c r="A158" s="93"/>
      <c r="B158" s="19" t="s">
        <v>212</v>
      </c>
      <c r="C158" s="94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>
        <v>0</v>
      </c>
      <c r="AJ158" s="18">
        <v>0</v>
      </c>
      <c r="AK158" s="18">
        <v>0</v>
      </c>
      <c r="AL158" s="18">
        <v>0</v>
      </c>
      <c r="AM158" s="18">
        <f>2510000/10600</f>
        <v>236.79245283018867</v>
      </c>
      <c r="AN158" s="18">
        <f>4237000/11500</f>
        <v>368.43478260869563</v>
      </c>
      <c r="AO158" s="18">
        <f>1404172/31230</f>
        <v>44.962279859109827</v>
      </c>
      <c r="AP158" s="18">
        <f>5447/220</f>
        <v>24.759090909090908</v>
      </c>
      <c r="AQ158" s="147">
        <v>9.4043887147335425</v>
      </c>
      <c r="AR158" s="147">
        <f>165000/1180</f>
        <v>139.83050847457628</v>
      </c>
      <c r="AS158" s="147">
        <v>198.1012658227848</v>
      </c>
      <c r="AT158" s="147">
        <v>172.91666666666666</v>
      </c>
      <c r="AU158" s="147">
        <v>105.28756957328386</v>
      </c>
      <c r="AV158" s="147">
        <v>101.38248847926268</v>
      </c>
      <c r="AW158" s="18">
        <v>81.784386617100367</v>
      </c>
      <c r="AX158" s="18">
        <v>0</v>
      </c>
      <c r="AY158" s="18">
        <v>0</v>
      </c>
      <c r="AZ158" s="18">
        <v>0</v>
      </c>
      <c r="BA158" s="18">
        <v>0</v>
      </c>
      <c r="BB158" s="18">
        <v>0</v>
      </c>
      <c r="BC158" s="18">
        <v>0</v>
      </c>
      <c r="BD158" s="18">
        <v>0</v>
      </c>
      <c r="BE158" s="25">
        <v>0</v>
      </c>
      <c r="BF158" s="18">
        <v>0</v>
      </c>
      <c r="BG158" s="18">
        <v>0</v>
      </c>
      <c r="BH158" s="18">
        <v>0</v>
      </c>
      <c r="BI158" s="18">
        <v>0</v>
      </c>
      <c r="BJ158" s="18">
        <v>0</v>
      </c>
      <c r="BK158" s="113">
        <v>0</v>
      </c>
      <c r="BL158" s="18">
        <v>0</v>
      </c>
      <c r="BM158" s="18">
        <v>0</v>
      </c>
      <c r="BN158" s="40" t="s">
        <v>249</v>
      </c>
      <c r="BO158" s="40" t="s">
        <v>249</v>
      </c>
      <c r="BP158" s="40" t="s">
        <v>249</v>
      </c>
      <c r="BQ158" s="40" t="s">
        <v>249</v>
      </c>
      <c r="BR158" s="101"/>
      <c r="BS158">
        <f t="shared" si="243"/>
        <v>0</v>
      </c>
      <c r="BT158">
        <f t="shared" si="243"/>
        <v>0</v>
      </c>
      <c r="BU158">
        <f t="shared" si="243"/>
        <v>0</v>
      </c>
      <c r="BV158">
        <f t="shared" si="243"/>
        <v>0</v>
      </c>
      <c r="BW158">
        <f t="shared" si="243"/>
        <v>0</v>
      </c>
      <c r="BX158">
        <f t="shared" si="243"/>
        <v>0</v>
      </c>
      <c r="BY158">
        <f t="shared" si="243"/>
        <v>0</v>
      </c>
      <c r="BZ158">
        <f t="shared" si="243"/>
        <v>0</v>
      </c>
      <c r="CA158">
        <f t="shared" si="243"/>
        <v>0</v>
      </c>
      <c r="CB158">
        <f t="shared" si="243"/>
        <v>0</v>
      </c>
      <c r="CC158">
        <f t="shared" si="244"/>
        <v>0</v>
      </c>
      <c r="CD158">
        <f t="shared" si="244"/>
        <v>0</v>
      </c>
      <c r="CE158">
        <f t="shared" si="244"/>
        <v>0</v>
      </c>
      <c r="CF158">
        <f t="shared" si="244"/>
        <v>0</v>
      </c>
      <c r="CG158">
        <f t="shared" si="244"/>
        <v>0</v>
      </c>
      <c r="CH158">
        <f t="shared" si="244"/>
        <v>0</v>
      </c>
      <c r="CI158">
        <f t="shared" si="244"/>
        <v>0</v>
      </c>
      <c r="CJ158">
        <f t="shared" si="244"/>
        <v>0</v>
      </c>
      <c r="CK158">
        <f t="shared" si="244"/>
        <v>0</v>
      </c>
      <c r="CL158">
        <f t="shared" si="244"/>
        <v>0</v>
      </c>
      <c r="CM158">
        <f t="shared" si="245"/>
        <v>0</v>
      </c>
      <c r="CN158">
        <f t="shared" si="245"/>
        <v>0</v>
      </c>
      <c r="CO158">
        <f t="shared" si="245"/>
        <v>0</v>
      </c>
      <c r="CP158">
        <f t="shared" si="245"/>
        <v>0</v>
      </c>
      <c r="CQ158">
        <f t="shared" si="245"/>
        <v>0</v>
      </c>
      <c r="CR158">
        <f t="shared" si="245"/>
        <v>0</v>
      </c>
      <c r="CS158">
        <f t="shared" si="245"/>
        <v>0</v>
      </c>
      <c r="CT158">
        <f t="shared" si="245"/>
        <v>0</v>
      </c>
      <c r="CU158">
        <f t="shared" si="245"/>
        <v>0</v>
      </c>
      <c r="CV158">
        <f t="shared" si="245"/>
        <v>0</v>
      </c>
      <c r="CW158">
        <f t="shared" si="246"/>
        <v>0</v>
      </c>
      <c r="CX158">
        <f t="shared" si="246"/>
        <v>0</v>
      </c>
      <c r="CY158">
        <f t="shared" si="246"/>
        <v>0</v>
      </c>
      <c r="CZ158">
        <f t="shared" si="246"/>
        <v>0</v>
      </c>
      <c r="DA158">
        <f t="shared" si="246"/>
        <v>0</v>
      </c>
      <c r="DB158">
        <f t="shared" si="246"/>
        <v>0</v>
      </c>
      <c r="DC158">
        <f t="shared" si="246"/>
        <v>0</v>
      </c>
      <c r="DD158">
        <f t="shared" si="246"/>
        <v>0</v>
      </c>
      <c r="DE158">
        <f t="shared" si="246"/>
        <v>0</v>
      </c>
      <c r="DF158">
        <f t="shared" si="246"/>
        <v>0</v>
      </c>
      <c r="DG158">
        <f t="shared" si="247"/>
        <v>0</v>
      </c>
      <c r="DH158">
        <f t="shared" si="247"/>
        <v>0</v>
      </c>
      <c r="DI158">
        <f t="shared" si="247"/>
        <v>0</v>
      </c>
      <c r="DJ158">
        <f t="shared" si="247"/>
        <v>0</v>
      </c>
      <c r="DK158">
        <f t="shared" si="247"/>
        <v>0</v>
      </c>
      <c r="DL158">
        <f t="shared" si="247"/>
        <v>0</v>
      </c>
      <c r="DM158">
        <f t="shared" si="247"/>
        <v>0</v>
      </c>
      <c r="DN158">
        <f t="shared" si="247"/>
        <v>0</v>
      </c>
      <c r="DO158">
        <f t="shared" si="247"/>
        <v>0</v>
      </c>
      <c r="DP158">
        <f t="shared" si="247"/>
        <v>0</v>
      </c>
      <c r="DQ158">
        <f t="shared" si="248"/>
        <v>0</v>
      </c>
      <c r="DR158">
        <f t="shared" si="248"/>
        <v>0</v>
      </c>
      <c r="DS158">
        <f t="shared" si="248"/>
        <v>0</v>
      </c>
      <c r="DT158">
        <f t="shared" si="248"/>
        <v>0</v>
      </c>
      <c r="DU158">
        <f t="shared" si="248"/>
        <v>0</v>
      </c>
      <c r="DV158">
        <f t="shared" si="248"/>
        <v>0</v>
      </c>
      <c r="DW158">
        <f t="shared" si="248"/>
        <v>0</v>
      </c>
      <c r="DX158">
        <f t="shared" si="248"/>
        <v>0</v>
      </c>
      <c r="DY158">
        <f t="shared" si="248"/>
        <v>0</v>
      </c>
      <c r="DZ158">
        <f t="shared" si="248"/>
        <v>0</v>
      </c>
      <c r="EA158">
        <f t="shared" si="249"/>
        <v>0</v>
      </c>
      <c r="EB158">
        <f t="shared" si="249"/>
        <v>0</v>
      </c>
      <c r="EC158">
        <f t="shared" si="249"/>
        <v>0</v>
      </c>
      <c r="ED158">
        <f t="shared" si="249"/>
        <v>0</v>
      </c>
      <c r="EE158">
        <f t="shared" si="249"/>
        <v>0</v>
      </c>
      <c r="EF158">
        <f t="shared" si="249"/>
        <v>0</v>
      </c>
    </row>
    <row r="159" spans="1:136" ht="15.5">
      <c r="A159" s="93"/>
      <c r="B159" s="53"/>
      <c r="C159" s="9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18"/>
      <c r="AR159" s="18"/>
      <c r="AS159" s="18"/>
      <c r="AT159" s="18"/>
      <c r="AU159" s="34"/>
      <c r="AV159" s="34"/>
      <c r="AW159" s="34"/>
      <c r="AX159" s="34"/>
      <c r="AY159" s="34"/>
      <c r="AZ159" s="34"/>
      <c r="BA159" s="34"/>
      <c r="BB159" s="34"/>
      <c r="BC159" s="34"/>
      <c r="BD159" s="20"/>
      <c r="BE159" s="56"/>
      <c r="BF159" s="20"/>
      <c r="BG159" s="20"/>
      <c r="BH159" s="2"/>
      <c r="BI159" s="2"/>
      <c r="BJ159" s="2"/>
      <c r="BK159" s="2"/>
      <c r="BL159" s="22"/>
      <c r="BM159" s="2"/>
      <c r="BN159" s="2"/>
      <c r="BO159" s="2"/>
      <c r="BP159" s="2"/>
      <c r="BQ159" s="2"/>
      <c r="BR159" s="101"/>
    </row>
    <row r="160" spans="1:136" ht="15.5">
      <c r="A160" s="93">
        <v>15</v>
      </c>
      <c r="B160" s="32" t="s">
        <v>31</v>
      </c>
      <c r="C160" s="94">
        <v>3</v>
      </c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>
        <f t="shared" ref="Y160:BQ160" si="250">SUM(Y161:Y163)</f>
        <v>0.197632</v>
      </c>
      <c r="Z160" s="22">
        <f t="shared" si="250"/>
        <v>0.47282099999999999</v>
      </c>
      <c r="AA160" s="22">
        <f t="shared" si="250"/>
        <v>3.2305950000000001</v>
      </c>
      <c r="AB160" s="22">
        <f t="shared" si="250"/>
        <v>6.1449930000000004</v>
      </c>
      <c r="AC160" s="22">
        <f t="shared" si="250"/>
        <v>3.0880550000000002</v>
      </c>
      <c r="AD160" s="22">
        <f t="shared" si="250"/>
        <v>2.702375</v>
      </c>
      <c r="AE160" s="22">
        <f t="shared" si="250"/>
        <v>2.4605189999999997</v>
      </c>
      <c r="AF160" s="22">
        <f t="shared" si="250"/>
        <v>3.5638519999999998</v>
      </c>
      <c r="AG160" s="22">
        <f t="shared" si="250"/>
        <v>2.6428219999999998</v>
      </c>
      <c r="AH160" s="22">
        <f t="shared" si="250"/>
        <v>12.011950000000001</v>
      </c>
      <c r="AI160" s="22">
        <f t="shared" si="250"/>
        <v>1.7640690000000001</v>
      </c>
      <c r="AJ160" s="22">
        <f t="shared" si="250"/>
        <v>3.0483570000000002</v>
      </c>
      <c r="AK160" s="22">
        <f t="shared" si="250"/>
        <v>4.7230850000000002</v>
      </c>
      <c r="AL160" s="22">
        <f t="shared" si="250"/>
        <v>8.2685370000000002</v>
      </c>
      <c r="AM160" s="22">
        <f t="shared" si="250"/>
        <v>1.5458530000000001</v>
      </c>
      <c r="AN160" s="22">
        <f t="shared" si="250"/>
        <v>1.179583</v>
      </c>
      <c r="AO160" s="22">
        <f t="shared" si="250"/>
        <v>1.4E-2</v>
      </c>
      <c r="AP160" s="22">
        <f t="shared" si="250"/>
        <v>0</v>
      </c>
      <c r="AQ160" s="22">
        <f t="shared" si="250"/>
        <v>8.6399999999999999E-5</v>
      </c>
      <c r="AR160" s="22">
        <f t="shared" si="250"/>
        <v>0</v>
      </c>
      <c r="AS160" s="22">
        <f t="shared" si="250"/>
        <v>1.2E-2</v>
      </c>
      <c r="AT160" s="22">
        <f t="shared" si="250"/>
        <v>1.899912</v>
      </c>
      <c r="AU160" s="22">
        <f t="shared" si="250"/>
        <v>0.98312900000000003</v>
      </c>
      <c r="AV160" s="22">
        <f t="shared" si="250"/>
        <v>1.307858</v>
      </c>
      <c r="AW160" s="22">
        <f t="shared" si="250"/>
        <v>8.7249440000000007</v>
      </c>
      <c r="AX160" s="22">
        <f t="shared" si="250"/>
        <v>555.13348970000004</v>
      </c>
      <c r="AY160" s="22">
        <f t="shared" si="250"/>
        <v>558.26717500000007</v>
      </c>
      <c r="AZ160" s="22">
        <f t="shared" si="250"/>
        <v>14.766910000000001</v>
      </c>
      <c r="BA160" s="22">
        <f t="shared" si="250"/>
        <v>10.7616391</v>
      </c>
      <c r="BB160" s="22">
        <f t="shared" si="250"/>
        <v>7.8089341999999995</v>
      </c>
      <c r="BC160" s="22">
        <f t="shared" si="250"/>
        <v>8.2695553000000004</v>
      </c>
      <c r="BD160" s="22">
        <f t="shared" si="250"/>
        <v>550.20033650000005</v>
      </c>
      <c r="BE160" s="22">
        <f t="shared" si="250"/>
        <v>1105.0457240000001</v>
      </c>
      <c r="BF160" s="22">
        <f t="shared" si="250"/>
        <v>6.0339147999999998</v>
      </c>
      <c r="BG160" s="22">
        <f t="shared" si="250"/>
        <v>7.2783801000000006</v>
      </c>
      <c r="BH160" s="22">
        <f t="shared" si="250"/>
        <v>530.10312920000001</v>
      </c>
      <c r="BI160" s="22">
        <f t="shared" si="250"/>
        <v>532.92936980000002</v>
      </c>
      <c r="BJ160" s="22">
        <f t="shared" si="250"/>
        <v>13.5237911</v>
      </c>
      <c r="BK160" s="22">
        <f t="shared" si="250"/>
        <v>22.731000000000002</v>
      </c>
      <c r="BL160" s="22">
        <f t="shared" si="250"/>
        <v>55.604799099999994</v>
      </c>
      <c r="BM160" s="22">
        <f t="shared" si="250"/>
        <v>606.54607939999994</v>
      </c>
      <c r="BN160" s="22">
        <f t="shared" si="250"/>
        <v>56</v>
      </c>
      <c r="BO160" s="22">
        <f t="shared" si="250"/>
        <v>11</v>
      </c>
      <c r="BP160" s="22">
        <f t="shared" si="250"/>
        <v>10</v>
      </c>
      <c r="BQ160" s="22">
        <f t="shared" si="250"/>
        <v>0</v>
      </c>
      <c r="BR160" s="101"/>
      <c r="BS160">
        <f t="shared" ref="BS160:CX160" si="251">IF($C160&lt;&gt;"",IF(D160&gt;0,1,0),0)</f>
        <v>0</v>
      </c>
      <c r="BT160">
        <f t="shared" si="251"/>
        <v>0</v>
      </c>
      <c r="BU160">
        <f t="shared" si="251"/>
        <v>0</v>
      </c>
      <c r="BV160">
        <f t="shared" si="251"/>
        <v>0</v>
      </c>
      <c r="BW160">
        <f t="shared" si="251"/>
        <v>0</v>
      </c>
      <c r="BX160">
        <f t="shared" si="251"/>
        <v>0</v>
      </c>
      <c r="BY160">
        <f t="shared" si="251"/>
        <v>0</v>
      </c>
      <c r="BZ160">
        <f t="shared" si="251"/>
        <v>0</v>
      </c>
      <c r="CA160">
        <f t="shared" si="251"/>
        <v>0</v>
      </c>
      <c r="CB160">
        <f t="shared" si="251"/>
        <v>0</v>
      </c>
      <c r="CC160">
        <f t="shared" si="251"/>
        <v>0</v>
      </c>
      <c r="CD160">
        <f t="shared" si="251"/>
        <v>0</v>
      </c>
      <c r="CE160">
        <f t="shared" si="251"/>
        <v>0</v>
      </c>
      <c r="CF160">
        <f t="shared" si="251"/>
        <v>0</v>
      </c>
      <c r="CG160">
        <f t="shared" si="251"/>
        <v>0</v>
      </c>
      <c r="CH160">
        <f t="shared" si="251"/>
        <v>0</v>
      </c>
      <c r="CI160">
        <f t="shared" si="251"/>
        <v>0</v>
      </c>
      <c r="CJ160">
        <f t="shared" si="251"/>
        <v>0</v>
      </c>
      <c r="CK160">
        <f t="shared" si="251"/>
        <v>0</v>
      </c>
      <c r="CL160">
        <f t="shared" si="251"/>
        <v>0</v>
      </c>
      <c r="CM160">
        <f t="shared" si="251"/>
        <v>0</v>
      </c>
      <c r="CN160">
        <f t="shared" si="251"/>
        <v>1</v>
      </c>
      <c r="CO160">
        <f t="shared" si="251"/>
        <v>1</v>
      </c>
      <c r="CP160">
        <f t="shared" si="251"/>
        <v>1</v>
      </c>
      <c r="CQ160">
        <f t="shared" si="251"/>
        <v>1</v>
      </c>
      <c r="CR160">
        <f t="shared" si="251"/>
        <v>1</v>
      </c>
      <c r="CS160">
        <f t="shared" si="251"/>
        <v>1</v>
      </c>
      <c r="CT160">
        <f t="shared" si="251"/>
        <v>1</v>
      </c>
      <c r="CU160">
        <f t="shared" si="251"/>
        <v>1</v>
      </c>
      <c r="CV160">
        <f t="shared" si="251"/>
        <v>1</v>
      </c>
      <c r="CW160">
        <f t="shared" si="251"/>
        <v>1</v>
      </c>
      <c r="CX160">
        <f t="shared" si="251"/>
        <v>1</v>
      </c>
      <c r="CY160">
        <f t="shared" ref="CY160:ED160" si="252">IF($C160&lt;&gt;"",IF(AJ160&gt;0,1,0),0)</f>
        <v>1</v>
      </c>
      <c r="CZ160">
        <f t="shared" si="252"/>
        <v>1</v>
      </c>
      <c r="DA160">
        <f t="shared" si="252"/>
        <v>1</v>
      </c>
      <c r="DB160">
        <f t="shared" si="252"/>
        <v>1</v>
      </c>
      <c r="DC160">
        <f t="shared" si="252"/>
        <v>1</v>
      </c>
      <c r="DD160">
        <f t="shared" si="252"/>
        <v>1</v>
      </c>
      <c r="DE160">
        <f t="shared" si="252"/>
        <v>0</v>
      </c>
      <c r="DF160">
        <f t="shared" si="252"/>
        <v>1</v>
      </c>
      <c r="DG160">
        <f t="shared" si="252"/>
        <v>0</v>
      </c>
      <c r="DH160">
        <f t="shared" si="252"/>
        <v>1</v>
      </c>
      <c r="DI160">
        <f t="shared" si="252"/>
        <v>1</v>
      </c>
      <c r="DJ160">
        <f t="shared" si="252"/>
        <v>1</v>
      </c>
      <c r="DK160">
        <f t="shared" si="252"/>
        <v>1</v>
      </c>
      <c r="DL160">
        <f t="shared" si="252"/>
        <v>1</v>
      </c>
      <c r="DM160">
        <f t="shared" si="252"/>
        <v>1</v>
      </c>
      <c r="DN160">
        <f t="shared" si="252"/>
        <v>1</v>
      </c>
      <c r="DO160">
        <f t="shared" si="252"/>
        <v>1</v>
      </c>
      <c r="DP160">
        <f t="shared" si="252"/>
        <v>1</v>
      </c>
      <c r="DQ160">
        <f t="shared" si="252"/>
        <v>1</v>
      </c>
      <c r="DR160">
        <f t="shared" si="252"/>
        <v>1</v>
      </c>
      <c r="DS160">
        <f t="shared" si="252"/>
        <v>1</v>
      </c>
      <c r="DT160">
        <f t="shared" si="252"/>
        <v>1</v>
      </c>
      <c r="DU160">
        <f t="shared" si="252"/>
        <v>1</v>
      </c>
      <c r="DV160">
        <f t="shared" si="252"/>
        <v>1</v>
      </c>
      <c r="DW160">
        <f t="shared" si="252"/>
        <v>1</v>
      </c>
      <c r="DX160">
        <f t="shared" si="252"/>
        <v>1</v>
      </c>
      <c r="DY160">
        <f t="shared" si="252"/>
        <v>1</v>
      </c>
      <c r="DZ160">
        <f t="shared" si="252"/>
        <v>1</v>
      </c>
      <c r="EA160">
        <f t="shared" si="252"/>
        <v>1</v>
      </c>
      <c r="EB160">
        <f t="shared" si="252"/>
        <v>1</v>
      </c>
      <c r="EC160">
        <f t="shared" si="252"/>
        <v>1</v>
      </c>
      <c r="ED160">
        <f t="shared" si="252"/>
        <v>1</v>
      </c>
      <c r="EE160">
        <f t="shared" ref="EE160:EF160" si="253">IF($C160&lt;&gt;"",IF(BP160&gt;0,1,0),0)</f>
        <v>1</v>
      </c>
      <c r="EF160">
        <f t="shared" si="253"/>
        <v>0</v>
      </c>
    </row>
    <row r="161" spans="1:136" ht="15.5">
      <c r="A161" s="93"/>
      <c r="B161" s="57" t="s">
        <v>3</v>
      </c>
      <c r="C161" s="94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>
        <v>0.197632</v>
      </c>
      <c r="Z161" s="18">
        <v>0.47282099999999999</v>
      </c>
      <c r="AA161" s="18">
        <v>3.2044839999999999</v>
      </c>
      <c r="AB161" s="18">
        <v>4.7703290000000003</v>
      </c>
      <c r="AC161" s="18">
        <f>0.472165+2.6</f>
        <v>3.072165</v>
      </c>
      <c r="AD161" s="18">
        <v>1.912415</v>
      </c>
      <c r="AE161" s="18">
        <v>1.166804</v>
      </c>
      <c r="AF161" s="18">
        <v>1.900852</v>
      </c>
      <c r="AG161" s="18">
        <v>1.356358</v>
      </c>
      <c r="AH161" s="18">
        <v>10.33295</v>
      </c>
      <c r="AI161" s="18">
        <v>1.7631270000000001</v>
      </c>
      <c r="AJ161" s="18">
        <v>2.9765630000000001</v>
      </c>
      <c r="AK161" s="18">
        <v>3.30966</v>
      </c>
      <c r="AL161" s="18">
        <v>5.1108960000000003</v>
      </c>
      <c r="AM161" s="18">
        <v>1.2466630000000001</v>
      </c>
      <c r="AN161" s="18">
        <v>1.179583</v>
      </c>
      <c r="AO161" s="40">
        <v>1.4E-2</v>
      </c>
      <c r="AP161" s="18">
        <v>0</v>
      </c>
      <c r="AQ161" s="18">
        <v>0</v>
      </c>
      <c r="AR161" s="18">
        <v>0</v>
      </c>
      <c r="AS161" s="58">
        <v>1.2E-2</v>
      </c>
      <c r="AT161" s="18">
        <v>0.844912</v>
      </c>
      <c r="AU161" s="18">
        <v>0.88412900000000005</v>
      </c>
      <c r="AV161" s="18">
        <v>1.252858</v>
      </c>
      <c r="AW161" s="18">
        <v>5.7409439999999998</v>
      </c>
      <c r="AX161" s="18">
        <v>6.6544897000000001</v>
      </c>
      <c r="AY161" s="18">
        <v>6.956175</v>
      </c>
      <c r="AZ161" s="18">
        <v>13.581910000000001</v>
      </c>
      <c r="BA161" s="18">
        <v>9.6731970999999994</v>
      </c>
      <c r="BB161" s="18">
        <v>6.7264101999999992</v>
      </c>
      <c r="BC161" s="18">
        <v>7.4145553000000008</v>
      </c>
      <c r="BD161" s="18">
        <v>5.3093634999999999</v>
      </c>
      <c r="BE161" s="18">
        <v>545.66585499999997</v>
      </c>
      <c r="BF161" s="18">
        <v>6.0339147999999998</v>
      </c>
      <c r="BG161" s="18">
        <v>7.2783801000000006</v>
      </c>
      <c r="BH161" s="18">
        <v>4.1031291999999997</v>
      </c>
      <c r="BI161" s="18">
        <v>6.7723697999999999</v>
      </c>
      <c r="BJ161" s="18">
        <v>12.954791100000001</v>
      </c>
      <c r="BK161" s="34">
        <v>22.731000000000002</v>
      </c>
      <c r="BL161" s="113">
        <v>35.919799099999999</v>
      </c>
      <c r="BM161" s="113">
        <v>46.804079399999999</v>
      </c>
      <c r="BN161" s="34">
        <v>56</v>
      </c>
      <c r="BO161" s="113">
        <v>11</v>
      </c>
      <c r="BP161" s="34">
        <v>10</v>
      </c>
      <c r="BQ161" s="34">
        <v>0</v>
      </c>
      <c r="BR161" s="101"/>
      <c r="BS161">
        <f t="shared" ref="BS161:CB163" si="254">IF($C161&lt;&gt;"",IF(D161&gt;0,1,0),0)</f>
        <v>0</v>
      </c>
      <c r="BT161">
        <f t="shared" si="254"/>
        <v>0</v>
      </c>
      <c r="BU161">
        <f t="shared" si="254"/>
        <v>0</v>
      </c>
      <c r="BV161">
        <f t="shared" si="254"/>
        <v>0</v>
      </c>
      <c r="BW161">
        <f t="shared" si="254"/>
        <v>0</v>
      </c>
      <c r="BX161">
        <f t="shared" si="254"/>
        <v>0</v>
      </c>
      <c r="BY161">
        <f t="shared" si="254"/>
        <v>0</v>
      </c>
      <c r="BZ161">
        <f t="shared" si="254"/>
        <v>0</v>
      </c>
      <c r="CA161">
        <f t="shared" si="254"/>
        <v>0</v>
      </c>
      <c r="CB161">
        <f t="shared" si="254"/>
        <v>0</v>
      </c>
      <c r="CC161">
        <f t="shared" ref="CC161:CL163" si="255">IF($C161&lt;&gt;"",IF(N161&gt;0,1,0),0)</f>
        <v>0</v>
      </c>
      <c r="CD161">
        <f t="shared" si="255"/>
        <v>0</v>
      </c>
      <c r="CE161">
        <f t="shared" si="255"/>
        <v>0</v>
      </c>
      <c r="CF161">
        <f t="shared" si="255"/>
        <v>0</v>
      </c>
      <c r="CG161">
        <f t="shared" si="255"/>
        <v>0</v>
      </c>
      <c r="CH161">
        <f t="shared" si="255"/>
        <v>0</v>
      </c>
      <c r="CI161">
        <f t="shared" si="255"/>
        <v>0</v>
      </c>
      <c r="CJ161">
        <f t="shared" si="255"/>
        <v>0</v>
      </c>
      <c r="CK161">
        <f t="shared" si="255"/>
        <v>0</v>
      </c>
      <c r="CL161">
        <f t="shared" si="255"/>
        <v>0</v>
      </c>
      <c r="CM161">
        <f t="shared" ref="CM161:CV163" si="256">IF($C161&lt;&gt;"",IF(X161&gt;0,1,0),0)</f>
        <v>0</v>
      </c>
      <c r="CN161">
        <f t="shared" si="256"/>
        <v>0</v>
      </c>
      <c r="CO161">
        <f t="shared" si="256"/>
        <v>0</v>
      </c>
      <c r="CP161">
        <f t="shared" si="256"/>
        <v>0</v>
      </c>
      <c r="CQ161">
        <f t="shared" si="256"/>
        <v>0</v>
      </c>
      <c r="CR161">
        <f t="shared" si="256"/>
        <v>0</v>
      </c>
      <c r="CS161">
        <f t="shared" si="256"/>
        <v>0</v>
      </c>
      <c r="CT161">
        <f t="shared" si="256"/>
        <v>0</v>
      </c>
      <c r="CU161">
        <f t="shared" si="256"/>
        <v>0</v>
      </c>
      <c r="CV161">
        <f t="shared" si="256"/>
        <v>0</v>
      </c>
      <c r="CW161">
        <f t="shared" ref="CW161:DF163" si="257">IF($C161&lt;&gt;"",IF(AH161&gt;0,1,0),0)</f>
        <v>0</v>
      </c>
      <c r="CX161">
        <f t="shared" si="257"/>
        <v>0</v>
      </c>
      <c r="CY161">
        <f t="shared" si="257"/>
        <v>0</v>
      </c>
      <c r="CZ161">
        <f t="shared" si="257"/>
        <v>0</v>
      </c>
      <c r="DA161">
        <f t="shared" si="257"/>
        <v>0</v>
      </c>
      <c r="DB161">
        <f t="shared" si="257"/>
        <v>0</v>
      </c>
      <c r="DC161">
        <f t="shared" si="257"/>
        <v>0</v>
      </c>
      <c r="DD161">
        <f t="shared" si="257"/>
        <v>0</v>
      </c>
      <c r="DE161">
        <f t="shared" si="257"/>
        <v>0</v>
      </c>
      <c r="DF161">
        <f t="shared" si="257"/>
        <v>0</v>
      </c>
      <c r="DG161">
        <f t="shared" ref="DG161:DP163" si="258">IF($C161&lt;&gt;"",IF(AR161&gt;0,1,0),0)</f>
        <v>0</v>
      </c>
      <c r="DH161">
        <f t="shared" si="258"/>
        <v>0</v>
      </c>
      <c r="DI161">
        <f t="shared" si="258"/>
        <v>0</v>
      </c>
      <c r="DJ161">
        <f t="shared" si="258"/>
        <v>0</v>
      </c>
      <c r="DK161">
        <f t="shared" si="258"/>
        <v>0</v>
      </c>
      <c r="DL161">
        <f t="shared" si="258"/>
        <v>0</v>
      </c>
      <c r="DM161">
        <f t="shared" si="258"/>
        <v>0</v>
      </c>
      <c r="DN161">
        <f t="shared" si="258"/>
        <v>0</v>
      </c>
      <c r="DO161">
        <f t="shared" si="258"/>
        <v>0</v>
      </c>
      <c r="DP161">
        <f t="shared" si="258"/>
        <v>0</v>
      </c>
      <c r="DQ161">
        <f t="shared" ref="DQ161:DZ163" si="259">IF($C161&lt;&gt;"",IF(BB161&gt;0,1,0),0)</f>
        <v>0</v>
      </c>
      <c r="DR161">
        <f t="shared" si="259"/>
        <v>0</v>
      </c>
      <c r="DS161">
        <f t="shared" si="259"/>
        <v>0</v>
      </c>
      <c r="DT161">
        <f t="shared" si="259"/>
        <v>0</v>
      </c>
      <c r="DU161">
        <f t="shared" si="259"/>
        <v>0</v>
      </c>
      <c r="DV161">
        <f t="shared" si="259"/>
        <v>0</v>
      </c>
      <c r="DW161">
        <f t="shared" si="259"/>
        <v>0</v>
      </c>
      <c r="DX161">
        <f t="shared" si="259"/>
        <v>0</v>
      </c>
      <c r="DY161">
        <f t="shared" si="259"/>
        <v>0</v>
      </c>
      <c r="DZ161">
        <f t="shared" si="259"/>
        <v>0</v>
      </c>
      <c r="EA161">
        <f t="shared" ref="EA161:EF162" si="260">IF($C161&lt;&gt;"",IF(BL160&gt;0,1,0),0)</f>
        <v>0</v>
      </c>
      <c r="EB161">
        <f t="shared" si="260"/>
        <v>0</v>
      </c>
      <c r="EC161">
        <f t="shared" si="260"/>
        <v>0</v>
      </c>
      <c r="ED161">
        <f t="shared" si="260"/>
        <v>0</v>
      </c>
      <c r="EE161">
        <f t="shared" si="260"/>
        <v>0</v>
      </c>
      <c r="EF161">
        <f t="shared" si="260"/>
        <v>0</v>
      </c>
    </row>
    <row r="162" spans="1:136" ht="15.5">
      <c r="A162" s="93"/>
      <c r="B162" s="53" t="s">
        <v>25</v>
      </c>
      <c r="C162" s="94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>
        <v>0</v>
      </c>
      <c r="Z162" s="18">
        <v>0</v>
      </c>
      <c r="AA162" s="18">
        <v>0</v>
      </c>
      <c r="AB162" s="18">
        <v>0</v>
      </c>
      <c r="AC162" s="18">
        <v>0</v>
      </c>
      <c r="AD162" s="18">
        <v>0</v>
      </c>
      <c r="AE162" s="18">
        <v>0</v>
      </c>
      <c r="AF162" s="18">
        <v>0</v>
      </c>
      <c r="AG162" s="18">
        <v>0</v>
      </c>
      <c r="AH162" s="18">
        <v>0</v>
      </c>
      <c r="AI162" s="18">
        <v>0</v>
      </c>
      <c r="AJ162" s="18">
        <v>0</v>
      </c>
      <c r="AK162" s="18">
        <v>0</v>
      </c>
      <c r="AL162" s="18">
        <v>0</v>
      </c>
      <c r="AM162" s="18">
        <v>0</v>
      </c>
      <c r="AN162" s="18">
        <v>0</v>
      </c>
      <c r="AO162" s="18">
        <v>0</v>
      </c>
      <c r="AP162" s="18">
        <v>0</v>
      </c>
      <c r="AQ162" s="18">
        <v>0</v>
      </c>
      <c r="AR162" s="18">
        <v>0</v>
      </c>
      <c r="AS162" s="18">
        <v>0</v>
      </c>
      <c r="AT162" s="18">
        <v>0</v>
      </c>
      <c r="AU162" s="18">
        <v>0</v>
      </c>
      <c r="AV162" s="18">
        <v>0</v>
      </c>
      <c r="AW162" s="18">
        <v>0</v>
      </c>
      <c r="AX162" s="18">
        <v>547</v>
      </c>
      <c r="AY162" s="18">
        <v>550</v>
      </c>
      <c r="AZ162" s="18">
        <v>0</v>
      </c>
      <c r="BA162" s="18">
        <v>0</v>
      </c>
      <c r="BB162" s="18">
        <v>0</v>
      </c>
      <c r="BC162" s="18">
        <v>0</v>
      </c>
      <c r="BD162" s="18">
        <v>544</v>
      </c>
      <c r="BE162" s="25">
        <v>555</v>
      </c>
      <c r="BF162" s="18">
        <v>0</v>
      </c>
      <c r="BG162" s="18">
        <v>0</v>
      </c>
      <c r="BH162" s="18">
        <v>526</v>
      </c>
      <c r="BI162" s="116">
        <v>526</v>
      </c>
      <c r="BJ162" s="18">
        <v>0</v>
      </c>
      <c r="BK162" s="18">
        <v>0</v>
      </c>
      <c r="BL162" s="113">
        <v>0</v>
      </c>
      <c r="BM162" s="113">
        <v>553</v>
      </c>
      <c r="BN162" s="34">
        <v>0</v>
      </c>
      <c r="BO162" s="34">
        <v>0</v>
      </c>
      <c r="BP162" s="34">
        <v>0</v>
      </c>
      <c r="BQ162" s="34">
        <v>0</v>
      </c>
      <c r="BR162" s="101"/>
      <c r="BS162">
        <f t="shared" si="254"/>
        <v>0</v>
      </c>
      <c r="BT162">
        <f t="shared" si="254"/>
        <v>0</v>
      </c>
      <c r="BU162">
        <f t="shared" si="254"/>
        <v>0</v>
      </c>
      <c r="BV162">
        <f t="shared" si="254"/>
        <v>0</v>
      </c>
      <c r="BW162">
        <f t="shared" si="254"/>
        <v>0</v>
      </c>
      <c r="BX162">
        <f t="shared" si="254"/>
        <v>0</v>
      </c>
      <c r="BY162">
        <f t="shared" si="254"/>
        <v>0</v>
      </c>
      <c r="BZ162">
        <f t="shared" si="254"/>
        <v>0</v>
      </c>
      <c r="CA162">
        <f t="shared" si="254"/>
        <v>0</v>
      </c>
      <c r="CB162">
        <f t="shared" si="254"/>
        <v>0</v>
      </c>
      <c r="CC162">
        <f t="shared" si="255"/>
        <v>0</v>
      </c>
      <c r="CD162">
        <f t="shared" si="255"/>
        <v>0</v>
      </c>
      <c r="CE162">
        <f t="shared" si="255"/>
        <v>0</v>
      </c>
      <c r="CF162">
        <f t="shared" si="255"/>
        <v>0</v>
      </c>
      <c r="CG162">
        <f t="shared" si="255"/>
        <v>0</v>
      </c>
      <c r="CH162">
        <f t="shared" si="255"/>
        <v>0</v>
      </c>
      <c r="CI162">
        <f t="shared" si="255"/>
        <v>0</v>
      </c>
      <c r="CJ162">
        <f t="shared" si="255"/>
        <v>0</v>
      </c>
      <c r="CK162">
        <f t="shared" si="255"/>
        <v>0</v>
      </c>
      <c r="CL162">
        <f t="shared" si="255"/>
        <v>0</v>
      </c>
      <c r="CM162">
        <f t="shared" si="256"/>
        <v>0</v>
      </c>
      <c r="CN162">
        <f t="shared" si="256"/>
        <v>0</v>
      </c>
      <c r="CO162">
        <f t="shared" si="256"/>
        <v>0</v>
      </c>
      <c r="CP162">
        <f t="shared" si="256"/>
        <v>0</v>
      </c>
      <c r="CQ162">
        <f t="shared" si="256"/>
        <v>0</v>
      </c>
      <c r="CR162">
        <f t="shared" si="256"/>
        <v>0</v>
      </c>
      <c r="CS162">
        <f t="shared" si="256"/>
        <v>0</v>
      </c>
      <c r="CT162">
        <f t="shared" si="256"/>
        <v>0</v>
      </c>
      <c r="CU162">
        <f t="shared" si="256"/>
        <v>0</v>
      </c>
      <c r="CV162">
        <f t="shared" si="256"/>
        <v>0</v>
      </c>
      <c r="CW162">
        <f t="shared" si="257"/>
        <v>0</v>
      </c>
      <c r="CX162">
        <f t="shared" si="257"/>
        <v>0</v>
      </c>
      <c r="CY162">
        <f t="shared" si="257"/>
        <v>0</v>
      </c>
      <c r="CZ162">
        <f t="shared" si="257"/>
        <v>0</v>
      </c>
      <c r="DA162">
        <f t="shared" si="257"/>
        <v>0</v>
      </c>
      <c r="DB162">
        <f t="shared" si="257"/>
        <v>0</v>
      </c>
      <c r="DC162">
        <f t="shared" si="257"/>
        <v>0</v>
      </c>
      <c r="DD162">
        <f t="shared" si="257"/>
        <v>0</v>
      </c>
      <c r="DE162">
        <f t="shared" si="257"/>
        <v>0</v>
      </c>
      <c r="DF162">
        <f t="shared" si="257"/>
        <v>0</v>
      </c>
      <c r="DG162">
        <f t="shared" si="258"/>
        <v>0</v>
      </c>
      <c r="DH162">
        <f t="shared" si="258"/>
        <v>0</v>
      </c>
      <c r="DI162">
        <f t="shared" si="258"/>
        <v>0</v>
      </c>
      <c r="DJ162">
        <f t="shared" si="258"/>
        <v>0</v>
      </c>
      <c r="DK162">
        <f t="shared" si="258"/>
        <v>0</v>
      </c>
      <c r="DL162">
        <f t="shared" si="258"/>
        <v>0</v>
      </c>
      <c r="DM162">
        <f t="shared" si="258"/>
        <v>0</v>
      </c>
      <c r="DN162">
        <f t="shared" si="258"/>
        <v>0</v>
      </c>
      <c r="DO162">
        <f t="shared" si="258"/>
        <v>0</v>
      </c>
      <c r="DP162">
        <f t="shared" si="258"/>
        <v>0</v>
      </c>
      <c r="DQ162">
        <f t="shared" si="259"/>
        <v>0</v>
      </c>
      <c r="DR162">
        <f t="shared" si="259"/>
        <v>0</v>
      </c>
      <c r="DS162">
        <f t="shared" si="259"/>
        <v>0</v>
      </c>
      <c r="DT162">
        <f t="shared" si="259"/>
        <v>0</v>
      </c>
      <c r="DU162">
        <f t="shared" si="259"/>
        <v>0</v>
      </c>
      <c r="DV162">
        <f t="shared" si="259"/>
        <v>0</v>
      </c>
      <c r="DW162">
        <f t="shared" si="259"/>
        <v>0</v>
      </c>
      <c r="DX162">
        <f t="shared" si="259"/>
        <v>0</v>
      </c>
      <c r="DY162">
        <f t="shared" si="259"/>
        <v>0</v>
      </c>
      <c r="DZ162">
        <f t="shared" si="259"/>
        <v>0</v>
      </c>
      <c r="EA162">
        <f t="shared" si="260"/>
        <v>0</v>
      </c>
      <c r="EB162">
        <f t="shared" si="260"/>
        <v>0</v>
      </c>
      <c r="EC162">
        <f t="shared" si="260"/>
        <v>0</v>
      </c>
      <c r="ED162">
        <f t="shared" si="260"/>
        <v>0</v>
      </c>
      <c r="EE162">
        <f t="shared" si="260"/>
        <v>0</v>
      </c>
      <c r="EF162">
        <f t="shared" si="260"/>
        <v>0</v>
      </c>
    </row>
    <row r="163" spans="1:136" ht="15.5">
      <c r="A163" s="93"/>
      <c r="B163" s="19" t="s">
        <v>208</v>
      </c>
      <c r="C163" s="94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>
        <v>0</v>
      </c>
      <c r="Z163" s="18">
        <v>0</v>
      </c>
      <c r="AA163" s="18">
        <v>2.6110999999999999E-2</v>
      </c>
      <c r="AB163" s="18">
        <v>1.3746640000000001</v>
      </c>
      <c r="AC163" s="18">
        <v>1.5890000000000001E-2</v>
      </c>
      <c r="AD163" s="18">
        <v>0.78996</v>
      </c>
      <c r="AE163" s="18">
        <v>1.2937149999999999</v>
      </c>
      <c r="AF163" s="18">
        <v>1.663</v>
      </c>
      <c r="AG163" s="18">
        <v>1.2864640000000001</v>
      </c>
      <c r="AH163" s="18">
        <v>1.679</v>
      </c>
      <c r="AI163" s="18">
        <v>9.4200000000000002E-4</v>
      </c>
      <c r="AJ163" s="18">
        <v>7.1793999999999997E-2</v>
      </c>
      <c r="AK163" s="18">
        <v>1.4134249999999999</v>
      </c>
      <c r="AL163" s="18">
        <v>3.1576409999999999</v>
      </c>
      <c r="AM163" s="18">
        <v>0.29919000000000001</v>
      </c>
      <c r="AN163" s="18">
        <v>0</v>
      </c>
      <c r="AO163" s="18">
        <v>0</v>
      </c>
      <c r="AP163" s="18">
        <v>0</v>
      </c>
      <c r="AQ163" s="18">
        <v>8.6399999999999999E-5</v>
      </c>
      <c r="AR163" s="18">
        <v>0</v>
      </c>
      <c r="AS163" s="18">
        <v>0</v>
      </c>
      <c r="AT163" s="18">
        <v>1.0549999999999999</v>
      </c>
      <c r="AU163" s="18">
        <v>9.9000000000000005E-2</v>
      </c>
      <c r="AV163" s="18">
        <v>5.5E-2</v>
      </c>
      <c r="AW163" s="18">
        <v>2.984</v>
      </c>
      <c r="AX163" s="18">
        <v>1.4790000000000001</v>
      </c>
      <c r="AY163" s="18">
        <v>1.3109999999999999</v>
      </c>
      <c r="AZ163" s="18">
        <v>1.1850000000000001</v>
      </c>
      <c r="BA163" s="18">
        <v>1.0884419999999999</v>
      </c>
      <c r="BB163" s="18">
        <v>1.082524</v>
      </c>
      <c r="BC163" s="18">
        <v>0.85499999999999998</v>
      </c>
      <c r="BD163" s="18">
        <v>0.89097300000000001</v>
      </c>
      <c r="BE163" s="25">
        <v>4.3798690000000002</v>
      </c>
      <c r="BF163" s="18">
        <v>0</v>
      </c>
      <c r="BG163" s="18">
        <v>0</v>
      </c>
      <c r="BH163" s="18">
        <v>0</v>
      </c>
      <c r="BI163" s="18">
        <v>0.157</v>
      </c>
      <c r="BJ163" s="18">
        <v>0.56899999999999995</v>
      </c>
      <c r="BK163" s="34">
        <v>0</v>
      </c>
      <c r="BL163" s="18">
        <v>19.684999999999999</v>
      </c>
      <c r="BM163" s="34">
        <v>6.742</v>
      </c>
      <c r="BN163" s="34">
        <v>0</v>
      </c>
      <c r="BO163" s="34">
        <v>0</v>
      </c>
      <c r="BP163" s="34">
        <v>0</v>
      </c>
      <c r="BQ163" s="34">
        <v>0</v>
      </c>
      <c r="BR163" s="101"/>
      <c r="BS163">
        <f t="shared" si="254"/>
        <v>0</v>
      </c>
      <c r="BT163">
        <f t="shared" si="254"/>
        <v>0</v>
      </c>
      <c r="BU163">
        <f t="shared" si="254"/>
        <v>0</v>
      </c>
      <c r="BV163">
        <f t="shared" si="254"/>
        <v>0</v>
      </c>
      <c r="BW163">
        <f t="shared" si="254"/>
        <v>0</v>
      </c>
      <c r="BX163">
        <f t="shared" si="254"/>
        <v>0</v>
      </c>
      <c r="BY163">
        <f t="shared" si="254"/>
        <v>0</v>
      </c>
      <c r="BZ163">
        <f t="shared" si="254"/>
        <v>0</v>
      </c>
      <c r="CA163">
        <f t="shared" si="254"/>
        <v>0</v>
      </c>
      <c r="CB163">
        <f t="shared" si="254"/>
        <v>0</v>
      </c>
      <c r="CC163">
        <f t="shared" si="255"/>
        <v>0</v>
      </c>
      <c r="CD163">
        <f t="shared" si="255"/>
        <v>0</v>
      </c>
      <c r="CE163">
        <f t="shared" si="255"/>
        <v>0</v>
      </c>
      <c r="CF163">
        <f t="shared" si="255"/>
        <v>0</v>
      </c>
      <c r="CG163">
        <f t="shared" si="255"/>
        <v>0</v>
      </c>
      <c r="CH163">
        <f t="shared" si="255"/>
        <v>0</v>
      </c>
      <c r="CI163">
        <f t="shared" si="255"/>
        <v>0</v>
      </c>
      <c r="CJ163">
        <f t="shared" si="255"/>
        <v>0</v>
      </c>
      <c r="CK163">
        <f t="shared" si="255"/>
        <v>0</v>
      </c>
      <c r="CL163">
        <f t="shared" si="255"/>
        <v>0</v>
      </c>
      <c r="CM163">
        <f t="shared" si="256"/>
        <v>0</v>
      </c>
      <c r="CN163">
        <f t="shared" si="256"/>
        <v>0</v>
      </c>
      <c r="CO163">
        <f t="shared" si="256"/>
        <v>0</v>
      </c>
      <c r="CP163">
        <f t="shared" si="256"/>
        <v>0</v>
      </c>
      <c r="CQ163">
        <f t="shared" si="256"/>
        <v>0</v>
      </c>
      <c r="CR163">
        <f t="shared" si="256"/>
        <v>0</v>
      </c>
      <c r="CS163">
        <f t="shared" si="256"/>
        <v>0</v>
      </c>
      <c r="CT163">
        <f t="shared" si="256"/>
        <v>0</v>
      </c>
      <c r="CU163">
        <f t="shared" si="256"/>
        <v>0</v>
      </c>
      <c r="CV163">
        <f t="shared" si="256"/>
        <v>0</v>
      </c>
      <c r="CW163">
        <f t="shared" si="257"/>
        <v>0</v>
      </c>
      <c r="CX163">
        <f t="shared" si="257"/>
        <v>0</v>
      </c>
      <c r="CY163">
        <f t="shared" si="257"/>
        <v>0</v>
      </c>
      <c r="CZ163">
        <f t="shared" si="257"/>
        <v>0</v>
      </c>
      <c r="DA163">
        <f t="shared" si="257"/>
        <v>0</v>
      </c>
      <c r="DB163">
        <f t="shared" si="257"/>
        <v>0</v>
      </c>
      <c r="DC163">
        <f t="shared" si="257"/>
        <v>0</v>
      </c>
      <c r="DD163">
        <f t="shared" si="257"/>
        <v>0</v>
      </c>
      <c r="DE163">
        <f t="shared" si="257"/>
        <v>0</v>
      </c>
      <c r="DF163">
        <f t="shared" si="257"/>
        <v>0</v>
      </c>
      <c r="DG163">
        <f t="shared" si="258"/>
        <v>0</v>
      </c>
      <c r="DH163">
        <f t="shared" si="258"/>
        <v>0</v>
      </c>
      <c r="DI163">
        <f t="shared" si="258"/>
        <v>0</v>
      </c>
      <c r="DJ163">
        <f t="shared" si="258"/>
        <v>0</v>
      </c>
      <c r="DK163">
        <f t="shared" si="258"/>
        <v>0</v>
      </c>
      <c r="DL163">
        <f t="shared" si="258"/>
        <v>0</v>
      </c>
      <c r="DM163">
        <f t="shared" si="258"/>
        <v>0</v>
      </c>
      <c r="DN163">
        <f t="shared" si="258"/>
        <v>0</v>
      </c>
      <c r="DO163">
        <f t="shared" si="258"/>
        <v>0</v>
      </c>
      <c r="DP163">
        <f t="shared" si="258"/>
        <v>0</v>
      </c>
      <c r="DQ163">
        <f t="shared" si="259"/>
        <v>0</v>
      </c>
      <c r="DR163">
        <f t="shared" si="259"/>
        <v>0</v>
      </c>
      <c r="DS163">
        <f t="shared" si="259"/>
        <v>0</v>
      </c>
      <c r="DT163">
        <f t="shared" si="259"/>
        <v>0</v>
      </c>
      <c r="DU163">
        <f t="shared" si="259"/>
        <v>0</v>
      </c>
      <c r="DV163">
        <f t="shared" si="259"/>
        <v>0</v>
      </c>
      <c r="DW163">
        <f t="shared" si="259"/>
        <v>0</v>
      </c>
      <c r="DX163">
        <f t="shared" si="259"/>
        <v>0</v>
      </c>
      <c r="DY163">
        <f t="shared" si="259"/>
        <v>0</v>
      </c>
      <c r="DZ163">
        <f t="shared" si="259"/>
        <v>0</v>
      </c>
      <c r="EA163">
        <f t="shared" ref="EA163:EF163" si="261">IF($C163&lt;&gt;"",IF(BL163&gt;0,1,0),0)</f>
        <v>0</v>
      </c>
      <c r="EB163">
        <f t="shared" si="261"/>
        <v>0</v>
      </c>
      <c r="EC163">
        <f t="shared" si="261"/>
        <v>0</v>
      </c>
      <c r="ED163">
        <f t="shared" si="261"/>
        <v>0</v>
      </c>
      <c r="EE163">
        <f t="shared" si="261"/>
        <v>0</v>
      </c>
      <c r="EF163">
        <f t="shared" si="261"/>
        <v>0</v>
      </c>
    </row>
    <row r="164" spans="1:136" ht="15.5">
      <c r="A164" s="93"/>
      <c r="B164" s="53"/>
      <c r="C164" s="95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  <c r="AH164" s="58"/>
      <c r="AI164" s="58"/>
      <c r="AJ164" s="58"/>
      <c r="AK164" s="58"/>
      <c r="AL164" s="58"/>
      <c r="AM164" s="58"/>
      <c r="AN164" s="58"/>
      <c r="AO164" s="58"/>
      <c r="AP164" s="58"/>
      <c r="AQ164" s="58"/>
      <c r="AR164" s="58"/>
      <c r="AS164" s="58"/>
      <c r="AT164" s="58"/>
      <c r="AU164" s="58"/>
      <c r="AV164" s="58"/>
      <c r="AW164" s="58"/>
      <c r="AX164" s="58"/>
      <c r="AY164" s="58"/>
      <c r="AZ164" s="58"/>
      <c r="BA164" s="58"/>
      <c r="BB164" s="58"/>
      <c r="BC164" s="58"/>
      <c r="BD164" s="18"/>
      <c r="BE164" s="25"/>
      <c r="BF164" s="18"/>
      <c r="BG164" s="18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101"/>
    </row>
    <row r="165" spans="1:136" ht="15.5">
      <c r="A165" s="93">
        <v>16</v>
      </c>
      <c r="B165" s="52" t="s">
        <v>32</v>
      </c>
      <c r="C165" s="94">
        <v>4</v>
      </c>
      <c r="D165" s="39">
        <f t="shared" ref="D165:AI165" si="262">SUM(D166:D169)</f>
        <v>0.8</v>
      </c>
      <c r="E165" s="39">
        <f t="shared" si="262"/>
        <v>0.8</v>
      </c>
      <c r="F165" s="39">
        <f t="shared" si="262"/>
        <v>0.8</v>
      </c>
      <c r="G165" s="39">
        <f t="shared" si="262"/>
        <v>0.8</v>
      </c>
      <c r="H165" s="39">
        <f t="shared" si="262"/>
        <v>0.8</v>
      </c>
      <c r="I165" s="39">
        <f t="shared" si="262"/>
        <v>4.3</v>
      </c>
      <c r="J165" s="39">
        <f t="shared" si="262"/>
        <v>4.3</v>
      </c>
      <c r="K165" s="39">
        <f t="shared" si="262"/>
        <v>14</v>
      </c>
      <c r="L165" s="39">
        <f t="shared" si="262"/>
        <v>14</v>
      </c>
      <c r="M165" s="39">
        <f t="shared" si="262"/>
        <v>14</v>
      </c>
      <c r="N165" s="39">
        <f t="shared" si="262"/>
        <v>4.3404889999999998</v>
      </c>
      <c r="O165" s="39">
        <f t="shared" si="262"/>
        <v>5.9993829999999999</v>
      </c>
      <c r="P165" s="39">
        <f t="shared" si="262"/>
        <v>9.3161070000000006</v>
      </c>
      <c r="Q165" s="39">
        <f t="shared" si="262"/>
        <v>12.619379</v>
      </c>
      <c r="R165" s="39">
        <f t="shared" si="262"/>
        <v>14.759542</v>
      </c>
      <c r="S165" s="39">
        <f t="shared" si="262"/>
        <v>16.719825</v>
      </c>
      <c r="T165" s="39">
        <f t="shared" si="262"/>
        <v>15.442523000000001</v>
      </c>
      <c r="U165" s="39">
        <f t="shared" si="262"/>
        <v>16.832511</v>
      </c>
      <c r="V165" s="39">
        <f t="shared" si="262"/>
        <v>19.098178999999998</v>
      </c>
      <c r="W165" s="39">
        <f t="shared" si="262"/>
        <v>20.004135999999999</v>
      </c>
      <c r="X165" s="39">
        <f t="shared" si="262"/>
        <v>18.905969000000002</v>
      </c>
      <c r="Y165" s="39">
        <f t="shared" si="262"/>
        <v>15.504892000000002</v>
      </c>
      <c r="Z165" s="39">
        <f t="shared" si="262"/>
        <v>4.9966860000000004</v>
      </c>
      <c r="AA165" s="39">
        <f t="shared" si="262"/>
        <v>44.907586999999999</v>
      </c>
      <c r="AB165" s="39">
        <f t="shared" si="262"/>
        <v>87.566640000000007</v>
      </c>
      <c r="AC165" s="39">
        <f t="shared" si="262"/>
        <v>166.74584000000002</v>
      </c>
      <c r="AD165" s="39">
        <f t="shared" si="262"/>
        <v>265.92719</v>
      </c>
      <c r="AE165" s="39">
        <f t="shared" si="262"/>
        <v>394.35030999999998</v>
      </c>
      <c r="AF165" s="39">
        <f t="shared" si="262"/>
        <v>440.11550999999997</v>
      </c>
      <c r="AG165" s="39">
        <f t="shared" si="262"/>
        <v>360.262</v>
      </c>
      <c r="AH165" s="39">
        <f t="shared" si="262"/>
        <v>221.91914779999999</v>
      </c>
      <c r="AI165" s="39">
        <f t="shared" si="262"/>
        <v>211.76950500000001</v>
      </c>
      <c r="AJ165" s="39">
        <f t="shared" ref="AJ165:BO165" si="263">SUM(AJ166:AJ169)</f>
        <v>93.548949499999992</v>
      </c>
      <c r="AK165" s="39">
        <f t="shared" si="263"/>
        <v>114.629216</v>
      </c>
      <c r="AL165" s="39">
        <f t="shared" si="263"/>
        <v>90.974522599999986</v>
      </c>
      <c r="AM165" s="39">
        <f t="shared" si="263"/>
        <v>219.6226326</v>
      </c>
      <c r="AN165" s="39">
        <f t="shared" si="263"/>
        <v>216.6763905</v>
      </c>
      <c r="AO165" s="39">
        <f t="shared" si="263"/>
        <v>80.567072800000005</v>
      </c>
      <c r="AP165" s="39">
        <f t="shared" si="263"/>
        <v>81.297352700000005</v>
      </c>
      <c r="AQ165" s="39">
        <f t="shared" si="263"/>
        <v>81.337387899999996</v>
      </c>
      <c r="AR165" s="39">
        <f t="shared" si="263"/>
        <v>56.508285299999997</v>
      </c>
      <c r="AS165" s="39">
        <f t="shared" si="263"/>
        <v>20.867973900000003</v>
      </c>
      <c r="AT165" s="39">
        <f t="shared" si="263"/>
        <v>20.3576519</v>
      </c>
      <c r="AU165" s="39">
        <f t="shared" si="263"/>
        <v>238.4258446</v>
      </c>
      <c r="AV165" s="39">
        <f t="shared" si="263"/>
        <v>22.842078099999998</v>
      </c>
      <c r="AW165" s="39">
        <f t="shared" si="263"/>
        <v>22.1998107</v>
      </c>
      <c r="AX165" s="39">
        <f t="shared" si="263"/>
        <v>1085.2449848000001</v>
      </c>
      <c r="AY165" s="39">
        <f t="shared" si="263"/>
        <v>14.124237600000001</v>
      </c>
      <c r="AZ165" s="39">
        <f t="shared" si="263"/>
        <v>22.886575499999999</v>
      </c>
      <c r="BA165" s="39">
        <f t="shared" si="263"/>
        <v>61.282595899999997</v>
      </c>
      <c r="BB165" s="39">
        <f t="shared" si="263"/>
        <v>60.848645599999998</v>
      </c>
      <c r="BC165" s="39">
        <f t="shared" si="263"/>
        <v>62.905303700000005</v>
      </c>
      <c r="BD165" s="39">
        <f t="shared" si="263"/>
        <v>75.906301999999997</v>
      </c>
      <c r="BE165" s="39">
        <f t="shared" si="263"/>
        <v>83.234941899999995</v>
      </c>
      <c r="BF165" s="39">
        <f t="shared" si="263"/>
        <v>54.274934600000002</v>
      </c>
      <c r="BG165" s="39">
        <f t="shared" si="263"/>
        <v>82.481923399999999</v>
      </c>
      <c r="BH165" s="39">
        <f t="shared" si="263"/>
        <v>74.338750300000001</v>
      </c>
      <c r="BI165" s="39">
        <f t="shared" si="263"/>
        <v>80.703715500000001</v>
      </c>
      <c r="BJ165" s="39">
        <f t="shared" si="263"/>
        <v>84.510812099999995</v>
      </c>
      <c r="BK165" s="39">
        <f t="shared" si="263"/>
        <v>0</v>
      </c>
      <c r="BL165" s="39">
        <f t="shared" si="263"/>
        <v>0</v>
      </c>
      <c r="BM165" s="39">
        <f t="shared" si="263"/>
        <v>0</v>
      </c>
      <c r="BN165" s="39">
        <f t="shared" si="263"/>
        <v>0</v>
      </c>
      <c r="BO165" s="39">
        <f t="shared" si="263"/>
        <v>0</v>
      </c>
      <c r="BP165" s="39">
        <f>SUM(BP166:BP169)</f>
        <v>0</v>
      </c>
      <c r="BQ165" s="39">
        <f>SUM(BQ166:BQ169)</f>
        <v>0</v>
      </c>
      <c r="BR165" s="101"/>
      <c r="BS165">
        <f t="shared" ref="BS165:CB170" si="264">IF($C165&lt;&gt;"",IF(D165&gt;0,1,0),0)</f>
        <v>1</v>
      </c>
      <c r="BT165">
        <f t="shared" si="264"/>
        <v>1</v>
      </c>
      <c r="BU165">
        <f t="shared" si="264"/>
        <v>1</v>
      </c>
      <c r="BV165">
        <f t="shared" si="264"/>
        <v>1</v>
      </c>
      <c r="BW165">
        <f t="shared" si="264"/>
        <v>1</v>
      </c>
      <c r="BX165">
        <f t="shared" si="264"/>
        <v>1</v>
      </c>
      <c r="BY165">
        <f t="shared" si="264"/>
        <v>1</v>
      </c>
      <c r="BZ165">
        <f t="shared" si="264"/>
        <v>1</v>
      </c>
      <c r="CA165">
        <f t="shared" si="264"/>
        <v>1</v>
      </c>
      <c r="CB165">
        <f t="shared" si="264"/>
        <v>1</v>
      </c>
      <c r="CC165">
        <f t="shared" ref="CC165:CL170" si="265">IF($C165&lt;&gt;"",IF(N165&gt;0,1,0),0)</f>
        <v>1</v>
      </c>
      <c r="CD165">
        <f t="shared" si="265"/>
        <v>1</v>
      </c>
      <c r="CE165">
        <f t="shared" si="265"/>
        <v>1</v>
      </c>
      <c r="CF165">
        <f t="shared" si="265"/>
        <v>1</v>
      </c>
      <c r="CG165">
        <f t="shared" si="265"/>
        <v>1</v>
      </c>
      <c r="CH165">
        <f t="shared" si="265"/>
        <v>1</v>
      </c>
      <c r="CI165">
        <f t="shared" si="265"/>
        <v>1</v>
      </c>
      <c r="CJ165">
        <f t="shared" si="265"/>
        <v>1</v>
      </c>
      <c r="CK165">
        <f t="shared" si="265"/>
        <v>1</v>
      </c>
      <c r="CL165">
        <f t="shared" si="265"/>
        <v>1</v>
      </c>
      <c r="CM165">
        <f t="shared" ref="CM165:CV170" si="266">IF($C165&lt;&gt;"",IF(X165&gt;0,1,0),0)</f>
        <v>1</v>
      </c>
      <c r="CN165">
        <f t="shared" si="266"/>
        <v>1</v>
      </c>
      <c r="CO165">
        <f t="shared" si="266"/>
        <v>1</v>
      </c>
      <c r="CP165">
        <f t="shared" si="266"/>
        <v>1</v>
      </c>
      <c r="CQ165">
        <f t="shared" si="266"/>
        <v>1</v>
      </c>
      <c r="CR165">
        <f t="shared" si="266"/>
        <v>1</v>
      </c>
      <c r="CS165">
        <f t="shared" si="266"/>
        <v>1</v>
      </c>
      <c r="CT165">
        <f t="shared" si="266"/>
        <v>1</v>
      </c>
      <c r="CU165">
        <f t="shared" si="266"/>
        <v>1</v>
      </c>
      <c r="CV165">
        <f t="shared" si="266"/>
        <v>1</v>
      </c>
      <c r="CW165">
        <f t="shared" ref="CW165:DF170" si="267">IF($C165&lt;&gt;"",IF(AH165&gt;0,1,0),0)</f>
        <v>1</v>
      </c>
      <c r="CX165">
        <f t="shared" si="267"/>
        <v>1</v>
      </c>
      <c r="CY165">
        <f t="shared" si="267"/>
        <v>1</v>
      </c>
      <c r="CZ165">
        <f t="shared" si="267"/>
        <v>1</v>
      </c>
      <c r="DA165">
        <f t="shared" si="267"/>
        <v>1</v>
      </c>
      <c r="DB165">
        <f t="shared" si="267"/>
        <v>1</v>
      </c>
      <c r="DC165">
        <f t="shared" si="267"/>
        <v>1</v>
      </c>
      <c r="DD165">
        <f t="shared" si="267"/>
        <v>1</v>
      </c>
      <c r="DE165">
        <f t="shared" si="267"/>
        <v>1</v>
      </c>
      <c r="DF165">
        <f t="shared" si="267"/>
        <v>1</v>
      </c>
      <c r="DG165">
        <f t="shared" ref="DG165:DP170" si="268">IF($C165&lt;&gt;"",IF(AR165&gt;0,1,0),0)</f>
        <v>1</v>
      </c>
      <c r="DH165">
        <f t="shared" si="268"/>
        <v>1</v>
      </c>
      <c r="DI165">
        <f t="shared" si="268"/>
        <v>1</v>
      </c>
      <c r="DJ165">
        <f t="shared" si="268"/>
        <v>1</v>
      </c>
      <c r="DK165">
        <f t="shared" si="268"/>
        <v>1</v>
      </c>
      <c r="DL165">
        <f t="shared" si="268"/>
        <v>1</v>
      </c>
      <c r="DM165">
        <f t="shared" si="268"/>
        <v>1</v>
      </c>
      <c r="DN165">
        <f t="shared" si="268"/>
        <v>1</v>
      </c>
      <c r="DO165">
        <f t="shared" si="268"/>
        <v>1</v>
      </c>
      <c r="DP165">
        <f t="shared" si="268"/>
        <v>1</v>
      </c>
      <c r="DQ165">
        <f t="shared" ref="DQ165:DZ170" si="269">IF($C165&lt;&gt;"",IF(BB165&gt;0,1,0),0)</f>
        <v>1</v>
      </c>
      <c r="DR165">
        <f t="shared" si="269"/>
        <v>1</v>
      </c>
      <c r="DS165">
        <f t="shared" si="269"/>
        <v>1</v>
      </c>
      <c r="DT165">
        <f t="shared" si="269"/>
        <v>1</v>
      </c>
      <c r="DU165">
        <f t="shared" si="269"/>
        <v>1</v>
      </c>
      <c r="DV165">
        <f t="shared" si="269"/>
        <v>1</v>
      </c>
      <c r="DW165">
        <f t="shared" si="269"/>
        <v>1</v>
      </c>
      <c r="DX165">
        <f t="shared" si="269"/>
        <v>1</v>
      </c>
      <c r="DY165">
        <f t="shared" si="269"/>
        <v>1</v>
      </c>
      <c r="DZ165">
        <f t="shared" si="269"/>
        <v>0</v>
      </c>
      <c r="EA165">
        <f t="shared" ref="EA165:EF170" si="270">IF($C165&lt;&gt;"",IF(BL165&gt;0,1,0),0)</f>
        <v>0</v>
      </c>
      <c r="EB165">
        <f t="shared" si="270"/>
        <v>0</v>
      </c>
      <c r="EC165">
        <f t="shared" si="270"/>
        <v>0</v>
      </c>
      <c r="ED165">
        <f t="shared" si="270"/>
        <v>0</v>
      </c>
      <c r="EE165">
        <f t="shared" si="270"/>
        <v>0</v>
      </c>
      <c r="EF165">
        <f t="shared" si="270"/>
        <v>0</v>
      </c>
    </row>
    <row r="166" spans="1:136" ht="15.5">
      <c r="A166" s="93"/>
      <c r="B166" s="19" t="s">
        <v>2</v>
      </c>
      <c r="C166" s="95"/>
      <c r="D166" s="58">
        <v>0</v>
      </c>
      <c r="E166" s="58">
        <v>0</v>
      </c>
      <c r="F166" s="58">
        <v>0</v>
      </c>
      <c r="G166" s="58">
        <v>0</v>
      </c>
      <c r="H166" s="58">
        <v>0</v>
      </c>
      <c r="I166" s="58">
        <v>0</v>
      </c>
      <c r="J166" s="58">
        <v>0</v>
      </c>
      <c r="K166" s="58">
        <v>0</v>
      </c>
      <c r="L166" s="58">
        <v>0</v>
      </c>
      <c r="M166" s="58">
        <v>0</v>
      </c>
      <c r="N166" s="58">
        <v>0</v>
      </c>
      <c r="O166" s="58">
        <v>0</v>
      </c>
      <c r="P166" s="58">
        <v>0</v>
      </c>
      <c r="Q166" s="58">
        <v>0</v>
      </c>
      <c r="R166" s="58">
        <v>0</v>
      </c>
      <c r="S166" s="58">
        <v>0</v>
      </c>
      <c r="T166" s="58">
        <v>0</v>
      </c>
      <c r="U166" s="58">
        <v>0</v>
      </c>
      <c r="V166" s="58">
        <v>0</v>
      </c>
      <c r="W166" s="58">
        <v>0</v>
      </c>
      <c r="X166" s="58">
        <v>0</v>
      </c>
      <c r="Y166" s="58">
        <v>0</v>
      </c>
      <c r="Z166" s="58">
        <v>0</v>
      </c>
      <c r="AA166" s="58">
        <v>0</v>
      </c>
      <c r="AB166" s="58">
        <v>0</v>
      </c>
      <c r="AC166" s="58">
        <v>0</v>
      </c>
      <c r="AD166" s="58">
        <v>0</v>
      </c>
      <c r="AE166" s="58">
        <v>0</v>
      </c>
      <c r="AF166" s="58">
        <v>0</v>
      </c>
      <c r="AG166" s="58">
        <v>193</v>
      </c>
      <c r="AH166" s="58">
        <v>0</v>
      </c>
      <c r="AI166" s="58">
        <v>152</v>
      </c>
      <c r="AJ166" s="58">
        <v>0</v>
      </c>
      <c r="AK166" s="58">
        <v>24</v>
      </c>
      <c r="AL166" s="58">
        <v>0</v>
      </c>
      <c r="AM166" s="58">
        <v>0</v>
      </c>
      <c r="AN166" s="58">
        <v>209</v>
      </c>
      <c r="AO166" s="58">
        <v>0</v>
      </c>
      <c r="AP166" s="58">
        <v>0</v>
      </c>
      <c r="AQ166" s="58">
        <v>0</v>
      </c>
      <c r="AR166" s="58">
        <v>5</v>
      </c>
      <c r="AS166" s="58">
        <v>0</v>
      </c>
      <c r="AT166" s="58">
        <v>0</v>
      </c>
      <c r="AU166" s="58">
        <v>65</v>
      </c>
      <c r="AV166" s="58">
        <v>0</v>
      </c>
      <c r="AW166" s="58">
        <v>0</v>
      </c>
      <c r="AX166" s="58">
        <v>0</v>
      </c>
      <c r="AY166" s="58">
        <v>0</v>
      </c>
      <c r="AZ166" s="58">
        <v>0</v>
      </c>
      <c r="BA166" s="58">
        <v>0</v>
      </c>
      <c r="BB166" s="58">
        <v>0</v>
      </c>
      <c r="BC166" s="58">
        <v>0</v>
      </c>
      <c r="BD166" s="58">
        <v>0</v>
      </c>
      <c r="BE166" s="41">
        <v>0</v>
      </c>
      <c r="BF166" s="58">
        <v>0</v>
      </c>
      <c r="BG166" s="58">
        <v>0</v>
      </c>
      <c r="BH166" s="58">
        <v>0</v>
      </c>
      <c r="BI166" s="58">
        <v>0</v>
      </c>
      <c r="BJ166" s="113">
        <v>0</v>
      </c>
      <c r="BK166" s="113">
        <v>0</v>
      </c>
      <c r="BL166" s="113">
        <v>0</v>
      </c>
      <c r="BM166" s="113">
        <v>0</v>
      </c>
      <c r="BN166" s="113">
        <v>0</v>
      </c>
      <c r="BO166" s="113">
        <v>0</v>
      </c>
      <c r="BP166" s="113">
        <v>0</v>
      </c>
      <c r="BQ166" s="113">
        <v>0</v>
      </c>
      <c r="BR166" s="101"/>
      <c r="BS166">
        <f t="shared" si="264"/>
        <v>0</v>
      </c>
      <c r="BT166">
        <f t="shared" si="264"/>
        <v>0</v>
      </c>
      <c r="BU166">
        <f t="shared" si="264"/>
        <v>0</v>
      </c>
      <c r="BV166">
        <f t="shared" si="264"/>
        <v>0</v>
      </c>
      <c r="BW166">
        <f t="shared" si="264"/>
        <v>0</v>
      </c>
      <c r="BX166">
        <f t="shared" si="264"/>
        <v>0</v>
      </c>
      <c r="BY166">
        <f t="shared" si="264"/>
        <v>0</v>
      </c>
      <c r="BZ166">
        <f t="shared" si="264"/>
        <v>0</v>
      </c>
      <c r="CA166">
        <f t="shared" si="264"/>
        <v>0</v>
      </c>
      <c r="CB166">
        <f t="shared" si="264"/>
        <v>0</v>
      </c>
      <c r="CC166">
        <f t="shared" si="265"/>
        <v>0</v>
      </c>
      <c r="CD166">
        <f t="shared" si="265"/>
        <v>0</v>
      </c>
      <c r="CE166">
        <f t="shared" si="265"/>
        <v>0</v>
      </c>
      <c r="CF166">
        <f t="shared" si="265"/>
        <v>0</v>
      </c>
      <c r="CG166">
        <f t="shared" si="265"/>
        <v>0</v>
      </c>
      <c r="CH166">
        <f t="shared" si="265"/>
        <v>0</v>
      </c>
      <c r="CI166">
        <f t="shared" si="265"/>
        <v>0</v>
      </c>
      <c r="CJ166">
        <f t="shared" si="265"/>
        <v>0</v>
      </c>
      <c r="CK166">
        <f t="shared" si="265"/>
        <v>0</v>
      </c>
      <c r="CL166">
        <f t="shared" si="265"/>
        <v>0</v>
      </c>
      <c r="CM166">
        <f t="shared" si="266"/>
        <v>0</v>
      </c>
      <c r="CN166">
        <f t="shared" si="266"/>
        <v>0</v>
      </c>
      <c r="CO166">
        <f t="shared" si="266"/>
        <v>0</v>
      </c>
      <c r="CP166">
        <f t="shared" si="266"/>
        <v>0</v>
      </c>
      <c r="CQ166">
        <f t="shared" si="266"/>
        <v>0</v>
      </c>
      <c r="CR166">
        <f t="shared" si="266"/>
        <v>0</v>
      </c>
      <c r="CS166">
        <f t="shared" si="266"/>
        <v>0</v>
      </c>
      <c r="CT166">
        <f t="shared" si="266"/>
        <v>0</v>
      </c>
      <c r="CU166">
        <f t="shared" si="266"/>
        <v>0</v>
      </c>
      <c r="CV166">
        <f t="shared" si="266"/>
        <v>0</v>
      </c>
      <c r="CW166">
        <f t="shared" si="267"/>
        <v>0</v>
      </c>
      <c r="CX166">
        <f t="shared" si="267"/>
        <v>0</v>
      </c>
      <c r="CY166">
        <f t="shared" si="267"/>
        <v>0</v>
      </c>
      <c r="CZ166">
        <f t="shared" si="267"/>
        <v>0</v>
      </c>
      <c r="DA166">
        <f t="shared" si="267"/>
        <v>0</v>
      </c>
      <c r="DB166">
        <f t="shared" si="267"/>
        <v>0</v>
      </c>
      <c r="DC166">
        <f t="shared" si="267"/>
        <v>0</v>
      </c>
      <c r="DD166">
        <f t="shared" si="267"/>
        <v>0</v>
      </c>
      <c r="DE166">
        <f t="shared" si="267"/>
        <v>0</v>
      </c>
      <c r="DF166">
        <f t="shared" si="267"/>
        <v>0</v>
      </c>
      <c r="DG166">
        <f t="shared" si="268"/>
        <v>0</v>
      </c>
      <c r="DH166">
        <f t="shared" si="268"/>
        <v>0</v>
      </c>
      <c r="DI166">
        <f t="shared" si="268"/>
        <v>0</v>
      </c>
      <c r="DJ166">
        <f t="shared" si="268"/>
        <v>0</v>
      </c>
      <c r="DK166">
        <f t="shared" si="268"/>
        <v>0</v>
      </c>
      <c r="DL166">
        <f t="shared" si="268"/>
        <v>0</v>
      </c>
      <c r="DM166">
        <f t="shared" si="268"/>
        <v>0</v>
      </c>
      <c r="DN166">
        <f t="shared" si="268"/>
        <v>0</v>
      </c>
      <c r="DO166">
        <f t="shared" si="268"/>
        <v>0</v>
      </c>
      <c r="DP166">
        <f t="shared" si="268"/>
        <v>0</v>
      </c>
      <c r="DQ166">
        <f t="shared" si="269"/>
        <v>0</v>
      </c>
      <c r="DR166">
        <f t="shared" si="269"/>
        <v>0</v>
      </c>
      <c r="DS166">
        <f t="shared" si="269"/>
        <v>0</v>
      </c>
      <c r="DT166">
        <f t="shared" si="269"/>
        <v>0</v>
      </c>
      <c r="DU166">
        <f t="shared" si="269"/>
        <v>0</v>
      </c>
      <c r="DV166">
        <f t="shared" si="269"/>
        <v>0</v>
      </c>
      <c r="DW166">
        <f t="shared" si="269"/>
        <v>0</v>
      </c>
      <c r="DX166">
        <f t="shared" si="269"/>
        <v>0</v>
      </c>
      <c r="DY166">
        <f t="shared" si="269"/>
        <v>0</v>
      </c>
      <c r="DZ166">
        <f t="shared" si="269"/>
        <v>0</v>
      </c>
      <c r="EA166">
        <f t="shared" si="270"/>
        <v>0</v>
      </c>
      <c r="EB166">
        <f t="shared" si="270"/>
        <v>0</v>
      </c>
      <c r="EC166">
        <f t="shared" si="270"/>
        <v>0</v>
      </c>
      <c r="ED166">
        <f t="shared" si="270"/>
        <v>0</v>
      </c>
      <c r="EE166">
        <f t="shared" si="270"/>
        <v>0</v>
      </c>
      <c r="EF166">
        <f t="shared" si="270"/>
        <v>0</v>
      </c>
    </row>
    <row r="167" spans="1:136" ht="15.5">
      <c r="A167" s="93"/>
      <c r="B167" s="19" t="s">
        <v>205</v>
      </c>
      <c r="C167" s="95"/>
      <c r="D167" s="58">
        <v>0</v>
      </c>
      <c r="E167" s="58">
        <v>0</v>
      </c>
      <c r="F167" s="58">
        <v>0</v>
      </c>
      <c r="G167" s="58">
        <v>0</v>
      </c>
      <c r="H167" s="58">
        <v>0</v>
      </c>
      <c r="I167" s="58">
        <v>0</v>
      </c>
      <c r="J167" s="58">
        <v>0</v>
      </c>
      <c r="K167" s="58">
        <v>0</v>
      </c>
      <c r="L167" s="58">
        <v>0</v>
      </c>
      <c r="M167" s="58">
        <v>0</v>
      </c>
      <c r="N167" s="58">
        <v>0</v>
      </c>
      <c r="O167" s="58">
        <v>0</v>
      </c>
      <c r="P167" s="58">
        <v>0</v>
      </c>
      <c r="Q167" s="58">
        <v>0</v>
      </c>
      <c r="R167" s="58">
        <v>0</v>
      </c>
      <c r="S167" s="58">
        <v>0</v>
      </c>
      <c r="T167" s="58">
        <v>0</v>
      </c>
      <c r="U167" s="58">
        <v>0</v>
      </c>
      <c r="V167" s="58">
        <v>0</v>
      </c>
      <c r="W167" s="58">
        <v>0</v>
      </c>
      <c r="X167" s="58">
        <v>0</v>
      </c>
      <c r="Y167" s="58">
        <v>0</v>
      </c>
      <c r="Z167" s="58">
        <v>0</v>
      </c>
      <c r="AA167" s="58">
        <v>0</v>
      </c>
      <c r="AB167" s="58">
        <v>0</v>
      </c>
      <c r="AC167" s="58">
        <v>0</v>
      </c>
      <c r="AD167" s="58">
        <v>0</v>
      </c>
      <c r="AE167" s="58">
        <v>0</v>
      </c>
      <c r="AF167" s="58">
        <v>0</v>
      </c>
      <c r="AG167" s="58">
        <v>0</v>
      </c>
      <c r="AH167" s="58">
        <v>0</v>
      </c>
      <c r="AI167" s="58">
        <v>0</v>
      </c>
      <c r="AJ167" s="58">
        <v>0</v>
      </c>
      <c r="AK167" s="58">
        <v>0</v>
      </c>
      <c r="AL167" s="58">
        <v>0</v>
      </c>
      <c r="AM167" s="58">
        <v>0</v>
      </c>
      <c r="AN167" s="58">
        <v>0</v>
      </c>
      <c r="AO167" s="58">
        <v>0</v>
      </c>
      <c r="AP167" s="58">
        <v>0</v>
      </c>
      <c r="AQ167" s="58">
        <v>0</v>
      </c>
      <c r="AR167" s="58">
        <v>1.6726268999999998</v>
      </c>
      <c r="AS167" s="58">
        <v>2.2303306000000003</v>
      </c>
      <c r="AT167" s="58">
        <v>2.7877448</v>
      </c>
      <c r="AU167" s="58">
        <v>3.3455363</v>
      </c>
      <c r="AV167" s="58">
        <v>3.9032200000000001</v>
      </c>
      <c r="AW167" s="58">
        <v>4.5748555999999994</v>
      </c>
      <c r="AX167" s="71">
        <v>5.3190672000000001</v>
      </c>
      <c r="AY167" s="71">
        <v>6.3179365999999995</v>
      </c>
      <c r="AZ167" s="58">
        <v>7.4276475999999994</v>
      </c>
      <c r="BA167" s="58">
        <v>31.871351100000002</v>
      </c>
      <c r="BB167" s="58">
        <v>22.444075999999999</v>
      </c>
      <c r="BC167" s="58">
        <v>27.657295000000001</v>
      </c>
      <c r="BD167" s="232">
        <v>23.156964899999998</v>
      </c>
      <c r="BE167" s="41">
        <v>17.980432699999998</v>
      </c>
      <c r="BF167" s="58">
        <v>9.8725281999999996</v>
      </c>
      <c r="BG167" s="58">
        <v>20</v>
      </c>
      <c r="BH167" s="58">
        <v>13</v>
      </c>
      <c r="BI167" s="58">
        <v>15</v>
      </c>
      <c r="BJ167" s="113">
        <v>14</v>
      </c>
      <c r="BK167" s="113">
        <v>0</v>
      </c>
      <c r="BL167" s="113">
        <v>0</v>
      </c>
      <c r="BM167" s="113">
        <v>0</v>
      </c>
      <c r="BN167" s="113">
        <v>0</v>
      </c>
      <c r="BO167" s="113">
        <v>0</v>
      </c>
      <c r="BP167" s="113">
        <v>0</v>
      </c>
      <c r="BQ167" s="113">
        <v>0</v>
      </c>
      <c r="BR167" s="101"/>
      <c r="BS167">
        <f t="shared" si="264"/>
        <v>0</v>
      </c>
      <c r="BT167">
        <f t="shared" si="264"/>
        <v>0</v>
      </c>
      <c r="BU167">
        <f t="shared" si="264"/>
        <v>0</v>
      </c>
      <c r="BV167">
        <f t="shared" si="264"/>
        <v>0</v>
      </c>
      <c r="BW167">
        <f t="shared" si="264"/>
        <v>0</v>
      </c>
      <c r="BX167">
        <f t="shared" si="264"/>
        <v>0</v>
      </c>
      <c r="BY167">
        <f t="shared" si="264"/>
        <v>0</v>
      </c>
      <c r="BZ167">
        <f t="shared" si="264"/>
        <v>0</v>
      </c>
      <c r="CA167">
        <f t="shared" si="264"/>
        <v>0</v>
      </c>
      <c r="CB167">
        <f t="shared" si="264"/>
        <v>0</v>
      </c>
      <c r="CC167">
        <f t="shared" si="265"/>
        <v>0</v>
      </c>
      <c r="CD167">
        <f t="shared" si="265"/>
        <v>0</v>
      </c>
      <c r="CE167">
        <f t="shared" si="265"/>
        <v>0</v>
      </c>
      <c r="CF167">
        <f t="shared" si="265"/>
        <v>0</v>
      </c>
      <c r="CG167">
        <f t="shared" si="265"/>
        <v>0</v>
      </c>
      <c r="CH167">
        <f t="shared" si="265"/>
        <v>0</v>
      </c>
      <c r="CI167">
        <f t="shared" si="265"/>
        <v>0</v>
      </c>
      <c r="CJ167">
        <f t="shared" si="265"/>
        <v>0</v>
      </c>
      <c r="CK167">
        <f t="shared" si="265"/>
        <v>0</v>
      </c>
      <c r="CL167">
        <f t="shared" si="265"/>
        <v>0</v>
      </c>
      <c r="CM167">
        <f t="shared" si="266"/>
        <v>0</v>
      </c>
      <c r="CN167">
        <f t="shared" si="266"/>
        <v>0</v>
      </c>
      <c r="CO167">
        <f t="shared" si="266"/>
        <v>0</v>
      </c>
      <c r="CP167">
        <f t="shared" si="266"/>
        <v>0</v>
      </c>
      <c r="CQ167">
        <f t="shared" si="266"/>
        <v>0</v>
      </c>
      <c r="CR167">
        <f t="shared" si="266"/>
        <v>0</v>
      </c>
      <c r="CS167">
        <f t="shared" si="266"/>
        <v>0</v>
      </c>
      <c r="CT167">
        <f t="shared" si="266"/>
        <v>0</v>
      </c>
      <c r="CU167">
        <f t="shared" si="266"/>
        <v>0</v>
      </c>
      <c r="CV167">
        <f t="shared" si="266"/>
        <v>0</v>
      </c>
      <c r="CW167">
        <f t="shared" si="267"/>
        <v>0</v>
      </c>
      <c r="CX167">
        <f t="shared" si="267"/>
        <v>0</v>
      </c>
      <c r="CY167">
        <f t="shared" si="267"/>
        <v>0</v>
      </c>
      <c r="CZ167">
        <f t="shared" si="267"/>
        <v>0</v>
      </c>
      <c r="DA167">
        <f t="shared" si="267"/>
        <v>0</v>
      </c>
      <c r="DB167">
        <f t="shared" si="267"/>
        <v>0</v>
      </c>
      <c r="DC167">
        <f t="shared" si="267"/>
        <v>0</v>
      </c>
      <c r="DD167">
        <f t="shared" si="267"/>
        <v>0</v>
      </c>
      <c r="DE167">
        <f t="shared" si="267"/>
        <v>0</v>
      </c>
      <c r="DF167">
        <f t="shared" si="267"/>
        <v>0</v>
      </c>
      <c r="DG167">
        <f t="shared" si="268"/>
        <v>0</v>
      </c>
      <c r="DH167">
        <f t="shared" si="268"/>
        <v>0</v>
      </c>
      <c r="DI167">
        <f t="shared" si="268"/>
        <v>0</v>
      </c>
      <c r="DJ167">
        <f t="shared" si="268"/>
        <v>0</v>
      </c>
      <c r="DK167">
        <f t="shared" si="268"/>
        <v>0</v>
      </c>
      <c r="DL167">
        <f t="shared" si="268"/>
        <v>0</v>
      </c>
      <c r="DM167">
        <f t="shared" si="268"/>
        <v>0</v>
      </c>
      <c r="DN167">
        <f t="shared" si="268"/>
        <v>0</v>
      </c>
      <c r="DO167">
        <f t="shared" si="268"/>
        <v>0</v>
      </c>
      <c r="DP167">
        <f t="shared" si="268"/>
        <v>0</v>
      </c>
      <c r="DQ167">
        <f t="shared" si="269"/>
        <v>0</v>
      </c>
      <c r="DR167">
        <f t="shared" si="269"/>
        <v>0</v>
      </c>
      <c r="DS167">
        <f t="shared" si="269"/>
        <v>0</v>
      </c>
      <c r="DT167">
        <f t="shared" si="269"/>
        <v>0</v>
      </c>
      <c r="DU167">
        <f t="shared" si="269"/>
        <v>0</v>
      </c>
      <c r="DV167">
        <f t="shared" si="269"/>
        <v>0</v>
      </c>
      <c r="DW167">
        <f t="shared" si="269"/>
        <v>0</v>
      </c>
      <c r="DX167">
        <f t="shared" si="269"/>
        <v>0</v>
      </c>
      <c r="DY167">
        <f t="shared" si="269"/>
        <v>0</v>
      </c>
      <c r="DZ167">
        <f t="shared" si="269"/>
        <v>0</v>
      </c>
      <c r="EA167">
        <f t="shared" si="270"/>
        <v>0</v>
      </c>
      <c r="EB167">
        <f t="shared" si="270"/>
        <v>0</v>
      </c>
      <c r="EC167">
        <f t="shared" si="270"/>
        <v>0</v>
      </c>
      <c r="ED167">
        <f t="shared" si="270"/>
        <v>0</v>
      </c>
      <c r="EE167">
        <f t="shared" si="270"/>
        <v>0</v>
      </c>
      <c r="EF167">
        <f t="shared" si="270"/>
        <v>0</v>
      </c>
    </row>
    <row r="168" spans="1:136" ht="15.5">
      <c r="A168" s="93"/>
      <c r="B168" s="57" t="s">
        <v>3</v>
      </c>
      <c r="C168" s="95"/>
      <c r="D168" s="34">
        <v>0.8</v>
      </c>
      <c r="E168" s="34">
        <v>0.8</v>
      </c>
      <c r="F168" s="34">
        <v>0.8</v>
      </c>
      <c r="G168" s="34">
        <v>0.8</v>
      </c>
      <c r="H168" s="34">
        <v>0.8</v>
      </c>
      <c r="I168" s="34">
        <v>4.3</v>
      </c>
      <c r="J168" s="34">
        <v>4.3</v>
      </c>
      <c r="K168" s="34">
        <v>14</v>
      </c>
      <c r="L168" s="34">
        <v>14</v>
      </c>
      <c r="M168" s="34">
        <v>14</v>
      </c>
      <c r="N168" s="34">
        <v>1.5654889999999999</v>
      </c>
      <c r="O168" s="34">
        <v>2.087383</v>
      </c>
      <c r="P168" s="34">
        <v>2.7151070000000002</v>
      </c>
      <c r="Q168" s="34">
        <v>2.9053789999999999</v>
      </c>
      <c r="R168" s="34">
        <v>2.131542</v>
      </c>
      <c r="S168" s="34">
        <v>1.277825</v>
      </c>
      <c r="T168" s="34">
        <v>0.92752299999999999</v>
      </c>
      <c r="U168" s="34">
        <v>0.79751099999999997</v>
      </c>
      <c r="V168" s="34">
        <v>0.80017899999999997</v>
      </c>
      <c r="W168" s="34">
        <v>0.67913599999999996</v>
      </c>
      <c r="X168" s="34">
        <v>0.79196900000000003</v>
      </c>
      <c r="Y168" s="34">
        <v>0.749892</v>
      </c>
      <c r="Z168" s="34">
        <v>1.586686</v>
      </c>
      <c r="AA168" s="34">
        <v>8.5425869999999993</v>
      </c>
      <c r="AB168" s="34">
        <v>18.836639999999999</v>
      </c>
      <c r="AC168" s="34">
        <v>29.272839999999999</v>
      </c>
      <c r="AD168" s="34">
        <v>43.051189999999998</v>
      </c>
      <c r="AE168" s="34">
        <v>62.998309999999996</v>
      </c>
      <c r="AF168" s="34">
        <v>77.648510000000002</v>
      </c>
      <c r="AG168" s="40" t="s">
        <v>16</v>
      </c>
      <c r="AH168" s="34">
        <v>202.21067579999999</v>
      </c>
      <c r="AI168" s="18">
        <v>47</v>
      </c>
      <c r="AJ168" s="34">
        <v>84.554367799999994</v>
      </c>
      <c r="AK168" s="34">
        <v>82.8181175</v>
      </c>
      <c r="AL168" s="34">
        <v>83.269781599999988</v>
      </c>
      <c r="AM168" s="34">
        <v>211.58233749999999</v>
      </c>
      <c r="AN168" s="40" t="s">
        <v>225</v>
      </c>
      <c r="AO168" s="34">
        <v>73.5014568</v>
      </c>
      <c r="AP168" s="34">
        <v>73.954502599999998</v>
      </c>
      <c r="AQ168" s="34">
        <v>74.624902300000002</v>
      </c>
      <c r="AR168" s="34">
        <f>51.5082853-AR167</f>
        <v>49.8356584</v>
      </c>
      <c r="AS168" s="18">
        <f>20.8679739-AS167</f>
        <v>18.637643300000001</v>
      </c>
      <c r="AT168" s="18">
        <f>20.3576519-AT167</f>
        <v>17.569907100000002</v>
      </c>
      <c r="AU168" s="18">
        <f>235.0803083-AU166</f>
        <v>170.08030830000001</v>
      </c>
      <c r="AV168" s="18">
        <f>22.8420781-AV167</f>
        <v>18.938858099999997</v>
      </c>
      <c r="AW168" s="147">
        <f>22.1998107-AW167</f>
        <v>17.624955100000001</v>
      </c>
      <c r="AX168" s="18">
        <f>1085.2449848-AX167</f>
        <v>1079.9259176</v>
      </c>
      <c r="AY168" s="18">
        <f>14.1242376-AY167</f>
        <v>7.8063010000000013</v>
      </c>
      <c r="AZ168" s="18">
        <f>22.8865755-AZ167</f>
        <v>15.458927899999999</v>
      </c>
      <c r="BA168" s="18">
        <f>61.2825959-BA167</f>
        <v>29.411244799999995</v>
      </c>
      <c r="BB168" s="18">
        <f>60.8486456-BB167</f>
        <v>38.404569600000002</v>
      </c>
      <c r="BC168" s="18">
        <f>62.9053037-BC167</f>
        <v>35.2480087</v>
      </c>
      <c r="BD168" s="18">
        <f>75.906302-BD167</f>
        <v>52.749337099999998</v>
      </c>
      <c r="BE168" s="25">
        <f>83.2349419-BE167</f>
        <v>65.254509200000001</v>
      </c>
      <c r="BF168" s="18">
        <f>54.2749346-BF167</f>
        <v>44.402406400000004</v>
      </c>
      <c r="BG168" s="18">
        <f>82.4819234-BG167</f>
        <v>62.481923399999999</v>
      </c>
      <c r="BH168" s="18">
        <f>74.3387503-BH167</f>
        <v>61.338750300000001</v>
      </c>
      <c r="BI168" s="18">
        <f>80.7037155-BI167</f>
        <v>65.703715500000001</v>
      </c>
      <c r="BJ168" s="71">
        <f>84.2543321-BJ167</f>
        <v>70.254332099999999</v>
      </c>
      <c r="BK168" s="34">
        <v>0</v>
      </c>
      <c r="BL168" s="34">
        <v>0</v>
      </c>
      <c r="BM168" s="34">
        <v>0</v>
      </c>
      <c r="BN168" s="34">
        <v>0</v>
      </c>
      <c r="BO168" s="34">
        <v>0</v>
      </c>
      <c r="BP168" s="113">
        <v>0</v>
      </c>
      <c r="BQ168" s="113">
        <v>0</v>
      </c>
      <c r="BR168" s="101"/>
      <c r="BS168">
        <f t="shared" si="264"/>
        <v>0</v>
      </c>
      <c r="BT168">
        <f t="shared" si="264"/>
        <v>0</v>
      </c>
      <c r="BU168">
        <f t="shared" si="264"/>
        <v>0</v>
      </c>
      <c r="BV168">
        <f t="shared" si="264"/>
        <v>0</v>
      </c>
      <c r="BW168">
        <f t="shared" si="264"/>
        <v>0</v>
      </c>
      <c r="BX168">
        <f t="shared" si="264"/>
        <v>0</v>
      </c>
      <c r="BY168">
        <f t="shared" si="264"/>
        <v>0</v>
      </c>
      <c r="BZ168">
        <f t="shared" si="264"/>
        <v>0</v>
      </c>
      <c r="CA168">
        <f t="shared" si="264"/>
        <v>0</v>
      </c>
      <c r="CB168">
        <f t="shared" si="264"/>
        <v>0</v>
      </c>
      <c r="CC168">
        <f t="shared" si="265"/>
        <v>0</v>
      </c>
      <c r="CD168">
        <f t="shared" si="265"/>
        <v>0</v>
      </c>
      <c r="CE168">
        <f t="shared" si="265"/>
        <v>0</v>
      </c>
      <c r="CF168">
        <f t="shared" si="265"/>
        <v>0</v>
      </c>
      <c r="CG168">
        <f t="shared" si="265"/>
        <v>0</v>
      </c>
      <c r="CH168">
        <f t="shared" si="265"/>
        <v>0</v>
      </c>
      <c r="CI168">
        <f t="shared" si="265"/>
        <v>0</v>
      </c>
      <c r="CJ168">
        <f t="shared" si="265"/>
        <v>0</v>
      </c>
      <c r="CK168">
        <f t="shared" si="265"/>
        <v>0</v>
      </c>
      <c r="CL168">
        <f t="shared" si="265"/>
        <v>0</v>
      </c>
      <c r="CM168">
        <f t="shared" si="266"/>
        <v>0</v>
      </c>
      <c r="CN168">
        <f t="shared" si="266"/>
        <v>0</v>
      </c>
      <c r="CO168">
        <f t="shared" si="266"/>
        <v>0</v>
      </c>
      <c r="CP168">
        <f t="shared" si="266"/>
        <v>0</v>
      </c>
      <c r="CQ168">
        <f t="shared" si="266"/>
        <v>0</v>
      </c>
      <c r="CR168">
        <f t="shared" si="266"/>
        <v>0</v>
      </c>
      <c r="CS168">
        <f t="shared" si="266"/>
        <v>0</v>
      </c>
      <c r="CT168">
        <f t="shared" si="266"/>
        <v>0</v>
      </c>
      <c r="CU168">
        <f t="shared" si="266"/>
        <v>0</v>
      </c>
      <c r="CV168">
        <f t="shared" si="266"/>
        <v>0</v>
      </c>
      <c r="CW168">
        <f t="shared" si="267"/>
        <v>0</v>
      </c>
      <c r="CX168">
        <f t="shared" si="267"/>
        <v>0</v>
      </c>
      <c r="CY168">
        <f t="shared" si="267"/>
        <v>0</v>
      </c>
      <c r="CZ168">
        <f t="shared" si="267"/>
        <v>0</v>
      </c>
      <c r="DA168">
        <f t="shared" si="267"/>
        <v>0</v>
      </c>
      <c r="DB168">
        <f t="shared" si="267"/>
        <v>0</v>
      </c>
      <c r="DC168">
        <f t="shared" si="267"/>
        <v>0</v>
      </c>
      <c r="DD168">
        <f t="shared" si="267"/>
        <v>0</v>
      </c>
      <c r="DE168">
        <f t="shared" si="267"/>
        <v>0</v>
      </c>
      <c r="DF168">
        <f t="shared" si="267"/>
        <v>0</v>
      </c>
      <c r="DG168">
        <f t="shared" si="268"/>
        <v>0</v>
      </c>
      <c r="DH168">
        <f t="shared" si="268"/>
        <v>0</v>
      </c>
      <c r="DI168">
        <f t="shared" si="268"/>
        <v>0</v>
      </c>
      <c r="DJ168">
        <f t="shared" si="268"/>
        <v>0</v>
      </c>
      <c r="DK168">
        <f t="shared" si="268"/>
        <v>0</v>
      </c>
      <c r="DL168">
        <f t="shared" si="268"/>
        <v>0</v>
      </c>
      <c r="DM168">
        <f t="shared" si="268"/>
        <v>0</v>
      </c>
      <c r="DN168">
        <f t="shared" si="268"/>
        <v>0</v>
      </c>
      <c r="DO168">
        <f t="shared" si="268"/>
        <v>0</v>
      </c>
      <c r="DP168">
        <f t="shared" si="268"/>
        <v>0</v>
      </c>
      <c r="DQ168">
        <f t="shared" si="269"/>
        <v>0</v>
      </c>
      <c r="DR168">
        <f t="shared" si="269"/>
        <v>0</v>
      </c>
      <c r="DS168">
        <f t="shared" si="269"/>
        <v>0</v>
      </c>
      <c r="DT168">
        <f t="shared" si="269"/>
        <v>0</v>
      </c>
      <c r="DU168">
        <f t="shared" si="269"/>
        <v>0</v>
      </c>
      <c r="DV168">
        <f t="shared" si="269"/>
        <v>0</v>
      </c>
      <c r="DW168">
        <f t="shared" si="269"/>
        <v>0</v>
      </c>
      <c r="DX168">
        <f t="shared" si="269"/>
        <v>0</v>
      </c>
      <c r="DY168">
        <f t="shared" si="269"/>
        <v>0</v>
      </c>
      <c r="DZ168">
        <f t="shared" si="269"/>
        <v>0</v>
      </c>
      <c r="EA168">
        <f t="shared" si="270"/>
        <v>0</v>
      </c>
      <c r="EB168">
        <f t="shared" si="270"/>
        <v>0</v>
      </c>
      <c r="EC168">
        <f t="shared" si="270"/>
        <v>0</v>
      </c>
      <c r="ED168">
        <f t="shared" si="270"/>
        <v>0</v>
      </c>
      <c r="EE168">
        <f t="shared" si="270"/>
        <v>0</v>
      </c>
      <c r="EF168">
        <f t="shared" si="270"/>
        <v>0</v>
      </c>
    </row>
    <row r="169" spans="1:136" ht="15.5">
      <c r="A169" s="93"/>
      <c r="B169" s="19" t="s">
        <v>208</v>
      </c>
      <c r="C169" s="94"/>
      <c r="D169" s="18">
        <v>0</v>
      </c>
      <c r="E169" s="18">
        <v>0</v>
      </c>
      <c r="F169" s="18">
        <v>0</v>
      </c>
      <c r="G169" s="18">
        <v>0</v>
      </c>
      <c r="H169" s="18">
        <v>0</v>
      </c>
      <c r="I169" s="18">
        <v>0</v>
      </c>
      <c r="J169" s="18">
        <v>0</v>
      </c>
      <c r="K169" s="18">
        <v>0</v>
      </c>
      <c r="L169" s="18">
        <v>0</v>
      </c>
      <c r="M169" s="18">
        <v>0</v>
      </c>
      <c r="N169" s="18">
        <v>2.7749999999999999</v>
      </c>
      <c r="O169" s="18">
        <v>3.9119999999999999</v>
      </c>
      <c r="P169" s="18">
        <v>6.601</v>
      </c>
      <c r="Q169" s="18">
        <v>9.7140000000000004</v>
      </c>
      <c r="R169" s="18">
        <v>12.628</v>
      </c>
      <c r="S169" s="18">
        <v>15.442</v>
      </c>
      <c r="T169" s="18">
        <v>14.515000000000001</v>
      </c>
      <c r="U169" s="18">
        <v>16.035</v>
      </c>
      <c r="V169" s="18">
        <v>18.297999999999998</v>
      </c>
      <c r="W169" s="18">
        <v>19.324999999999999</v>
      </c>
      <c r="X169" s="18">
        <v>18.114000000000001</v>
      </c>
      <c r="Y169" s="18">
        <v>14.755000000000001</v>
      </c>
      <c r="Z169" s="18">
        <v>3.41</v>
      </c>
      <c r="AA169" s="18">
        <v>36.365000000000002</v>
      </c>
      <c r="AB169" s="18">
        <v>68.73</v>
      </c>
      <c r="AC169" s="18">
        <v>137.47300000000001</v>
      </c>
      <c r="AD169" s="18">
        <v>222.876</v>
      </c>
      <c r="AE169" s="18">
        <v>331.35199999999998</v>
      </c>
      <c r="AF169" s="18">
        <v>362.46699999999998</v>
      </c>
      <c r="AG169" s="18">
        <v>167.262</v>
      </c>
      <c r="AH169" s="18">
        <v>19.708472</v>
      </c>
      <c r="AI169" s="18">
        <v>12.769505000000001</v>
      </c>
      <c r="AJ169" s="18">
        <v>8.9945816999999995</v>
      </c>
      <c r="AK169" s="18">
        <v>7.8110984999999999</v>
      </c>
      <c r="AL169" s="18">
        <v>7.7047410000000003</v>
      </c>
      <c r="AM169" s="18">
        <v>8.0402950999999998</v>
      </c>
      <c r="AN169" s="18">
        <v>7.6763905000000001</v>
      </c>
      <c r="AO169" s="18">
        <v>7.0656160000000003</v>
      </c>
      <c r="AP169" s="18">
        <v>7.3428500999999997</v>
      </c>
      <c r="AQ169" s="18">
        <v>6.7124855999999999</v>
      </c>
      <c r="AR169" s="18">
        <v>0</v>
      </c>
      <c r="AS169" s="18">
        <v>0</v>
      </c>
      <c r="AT169" s="18">
        <v>0</v>
      </c>
      <c r="AU169" s="18">
        <v>0</v>
      </c>
      <c r="AV169" s="18">
        <v>0</v>
      </c>
      <c r="AW169" s="18">
        <v>0</v>
      </c>
      <c r="AX169" s="18">
        <v>0</v>
      </c>
      <c r="AY169" s="18">
        <v>0</v>
      </c>
      <c r="AZ169" s="18">
        <v>0</v>
      </c>
      <c r="BA169" s="18">
        <v>0</v>
      </c>
      <c r="BB169" s="18">
        <v>0</v>
      </c>
      <c r="BC169" s="18">
        <v>0</v>
      </c>
      <c r="BD169" s="18">
        <v>0</v>
      </c>
      <c r="BE169" s="18">
        <v>0</v>
      </c>
      <c r="BF169" s="18">
        <v>0</v>
      </c>
      <c r="BG169" s="18">
        <v>0</v>
      </c>
      <c r="BH169" s="58">
        <v>0</v>
      </c>
      <c r="BI169" s="58">
        <v>0</v>
      </c>
      <c r="BJ169" s="58">
        <v>0.25647999999999999</v>
      </c>
      <c r="BK169" s="58">
        <v>0</v>
      </c>
      <c r="BL169" s="113">
        <v>0</v>
      </c>
      <c r="BM169" s="113">
        <v>0</v>
      </c>
      <c r="BN169" s="113">
        <v>0</v>
      </c>
      <c r="BO169" s="113">
        <v>0</v>
      </c>
      <c r="BP169" s="113">
        <v>0</v>
      </c>
      <c r="BQ169" s="113">
        <v>0</v>
      </c>
      <c r="BR169" s="101"/>
      <c r="BS169">
        <f t="shared" si="264"/>
        <v>0</v>
      </c>
      <c r="BT169">
        <f t="shared" si="264"/>
        <v>0</v>
      </c>
      <c r="BU169">
        <f t="shared" si="264"/>
        <v>0</v>
      </c>
      <c r="BV169">
        <f t="shared" si="264"/>
        <v>0</v>
      </c>
      <c r="BW169">
        <f t="shared" si="264"/>
        <v>0</v>
      </c>
      <c r="BX169">
        <f t="shared" si="264"/>
        <v>0</v>
      </c>
      <c r="BY169">
        <f t="shared" si="264"/>
        <v>0</v>
      </c>
      <c r="BZ169">
        <f t="shared" si="264"/>
        <v>0</v>
      </c>
      <c r="CA169">
        <f t="shared" si="264"/>
        <v>0</v>
      </c>
      <c r="CB169">
        <f t="shared" si="264"/>
        <v>0</v>
      </c>
      <c r="CC169">
        <f t="shared" si="265"/>
        <v>0</v>
      </c>
      <c r="CD169">
        <f t="shared" si="265"/>
        <v>0</v>
      </c>
      <c r="CE169">
        <f t="shared" si="265"/>
        <v>0</v>
      </c>
      <c r="CF169">
        <f t="shared" si="265"/>
        <v>0</v>
      </c>
      <c r="CG169">
        <f t="shared" si="265"/>
        <v>0</v>
      </c>
      <c r="CH169">
        <f t="shared" si="265"/>
        <v>0</v>
      </c>
      <c r="CI169">
        <f t="shared" si="265"/>
        <v>0</v>
      </c>
      <c r="CJ169">
        <f t="shared" si="265"/>
        <v>0</v>
      </c>
      <c r="CK169">
        <f t="shared" si="265"/>
        <v>0</v>
      </c>
      <c r="CL169">
        <f t="shared" si="265"/>
        <v>0</v>
      </c>
      <c r="CM169">
        <f t="shared" si="266"/>
        <v>0</v>
      </c>
      <c r="CN169">
        <f t="shared" si="266"/>
        <v>0</v>
      </c>
      <c r="CO169">
        <f t="shared" si="266"/>
        <v>0</v>
      </c>
      <c r="CP169">
        <f t="shared" si="266"/>
        <v>0</v>
      </c>
      <c r="CQ169">
        <f t="shared" si="266"/>
        <v>0</v>
      </c>
      <c r="CR169">
        <f t="shared" si="266"/>
        <v>0</v>
      </c>
      <c r="CS169">
        <f t="shared" si="266"/>
        <v>0</v>
      </c>
      <c r="CT169">
        <f t="shared" si="266"/>
        <v>0</v>
      </c>
      <c r="CU169">
        <f t="shared" si="266"/>
        <v>0</v>
      </c>
      <c r="CV169">
        <f t="shared" si="266"/>
        <v>0</v>
      </c>
      <c r="CW169">
        <f t="shared" si="267"/>
        <v>0</v>
      </c>
      <c r="CX169">
        <f t="shared" si="267"/>
        <v>0</v>
      </c>
      <c r="CY169">
        <f t="shared" si="267"/>
        <v>0</v>
      </c>
      <c r="CZ169">
        <f t="shared" si="267"/>
        <v>0</v>
      </c>
      <c r="DA169">
        <f t="shared" si="267"/>
        <v>0</v>
      </c>
      <c r="DB169">
        <f t="shared" si="267"/>
        <v>0</v>
      </c>
      <c r="DC169">
        <f t="shared" si="267"/>
        <v>0</v>
      </c>
      <c r="DD169">
        <f t="shared" si="267"/>
        <v>0</v>
      </c>
      <c r="DE169">
        <f t="shared" si="267"/>
        <v>0</v>
      </c>
      <c r="DF169">
        <f t="shared" si="267"/>
        <v>0</v>
      </c>
      <c r="DG169">
        <f t="shared" si="268"/>
        <v>0</v>
      </c>
      <c r="DH169">
        <f t="shared" si="268"/>
        <v>0</v>
      </c>
      <c r="DI169">
        <f t="shared" si="268"/>
        <v>0</v>
      </c>
      <c r="DJ169">
        <f t="shared" si="268"/>
        <v>0</v>
      </c>
      <c r="DK169">
        <f t="shared" si="268"/>
        <v>0</v>
      </c>
      <c r="DL169">
        <f t="shared" si="268"/>
        <v>0</v>
      </c>
      <c r="DM169">
        <f t="shared" si="268"/>
        <v>0</v>
      </c>
      <c r="DN169">
        <f t="shared" si="268"/>
        <v>0</v>
      </c>
      <c r="DO169">
        <f t="shared" si="268"/>
        <v>0</v>
      </c>
      <c r="DP169">
        <f t="shared" si="268"/>
        <v>0</v>
      </c>
      <c r="DQ169">
        <f t="shared" si="269"/>
        <v>0</v>
      </c>
      <c r="DR169">
        <f t="shared" si="269"/>
        <v>0</v>
      </c>
      <c r="DS169">
        <f t="shared" si="269"/>
        <v>0</v>
      </c>
      <c r="DT169">
        <f t="shared" si="269"/>
        <v>0</v>
      </c>
      <c r="DU169">
        <f t="shared" si="269"/>
        <v>0</v>
      </c>
      <c r="DV169">
        <f t="shared" si="269"/>
        <v>0</v>
      </c>
      <c r="DW169">
        <f t="shared" si="269"/>
        <v>0</v>
      </c>
      <c r="DX169">
        <f t="shared" si="269"/>
        <v>0</v>
      </c>
      <c r="DY169">
        <f t="shared" si="269"/>
        <v>0</v>
      </c>
      <c r="DZ169">
        <f t="shared" si="269"/>
        <v>0</v>
      </c>
      <c r="EA169">
        <f t="shared" si="270"/>
        <v>0</v>
      </c>
      <c r="EB169">
        <f t="shared" si="270"/>
        <v>0</v>
      </c>
      <c r="EC169">
        <f t="shared" si="270"/>
        <v>0</v>
      </c>
      <c r="ED169">
        <f t="shared" si="270"/>
        <v>0</v>
      </c>
      <c r="EE169">
        <f t="shared" si="270"/>
        <v>0</v>
      </c>
      <c r="EF169">
        <f t="shared" si="270"/>
        <v>0</v>
      </c>
    </row>
    <row r="170" spans="1:136" ht="15.5">
      <c r="A170" s="93"/>
      <c r="B170" s="19" t="s">
        <v>212</v>
      </c>
      <c r="C170" s="94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>
        <v>24.653633806729399</v>
      </c>
      <c r="Y170" s="18">
        <v>7.7723305034078685</v>
      </c>
      <c r="Z170" s="18">
        <v>0</v>
      </c>
      <c r="AA170" s="18">
        <v>29.109549854681099</v>
      </c>
      <c r="AB170" s="18">
        <v>60.467055879899917</v>
      </c>
      <c r="AC170" s="18">
        <v>80.005289605924361</v>
      </c>
      <c r="AD170" s="18">
        <v>161.5551425030979</v>
      </c>
      <c r="AE170" s="18">
        <v>257.49213483146065</v>
      </c>
      <c r="AF170" s="18">
        <v>244.46699669966998</v>
      </c>
      <c r="AG170" s="18">
        <v>257.33932273669666</v>
      </c>
      <c r="AH170" s="18">
        <v>260.32748538011697</v>
      </c>
      <c r="AI170" s="18">
        <v>262.06177606177607</v>
      </c>
      <c r="AJ170" s="34">
        <v>223.29822012350164</v>
      </c>
      <c r="AK170" s="18">
        <v>176.30257801899592</v>
      </c>
      <c r="AL170" s="18">
        <v>77.392442947998504</v>
      </c>
      <c r="AM170" s="18">
        <v>62.804081632653059</v>
      </c>
      <c r="AN170" s="18">
        <v>9.8797021195340839</v>
      </c>
      <c r="AO170" s="18">
        <v>440.039411499474</v>
      </c>
      <c r="AP170" s="18">
        <v>448.85958660014251</v>
      </c>
      <c r="AQ170" s="18">
        <v>368.48150700666207</v>
      </c>
      <c r="AR170" s="18">
        <v>318.86524822695037</v>
      </c>
      <c r="AS170" s="18">
        <v>293.02700523982264</v>
      </c>
      <c r="AT170" s="18">
        <v>304.17266187050359</v>
      </c>
      <c r="AU170" s="18">
        <v>423.68421052631578</v>
      </c>
      <c r="AV170" s="18">
        <v>434.63203463203462</v>
      </c>
      <c r="AW170" s="18">
        <v>287.68115942028987</v>
      </c>
      <c r="AX170" s="18">
        <v>298.96049896049897</v>
      </c>
      <c r="AY170" s="18">
        <v>256.59090909090907</v>
      </c>
      <c r="AZ170" s="18">
        <v>208.87445887445887</v>
      </c>
      <c r="BA170" s="18">
        <v>140.90909090909091</v>
      </c>
      <c r="BB170" s="18">
        <v>105.83333333333333</v>
      </c>
      <c r="BC170" s="18">
        <v>79.032258064516128</v>
      </c>
      <c r="BD170" s="18">
        <v>54.435483870967744</v>
      </c>
      <c r="BE170" s="25">
        <v>41.25</v>
      </c>
      <c r="BF170" s="18">
        <v>32.342007434944236</v>
      </c>
      <c r="BG170" s="18">
        <v>11.872909698996656</v>
      </c>
      <c r="BH170" s="58">
        <v>9.2478421701602951</v>
      </c>
      <c r="BI170" s="58">
        <v>0.72336654791399169</v>
      </c>
      <c r="BJ170" s="58">
        <v>0</v>
      </c>
      <c r="BK170" s="113">
        <v>32.460910944935421</v>
      </c>
      <c r="BL170" s="113">
        <v>95.914567156397226</v>
      </c>
      <c r="BM170" s="113">
        <v>88.869910282953754</v>
      </c>
      <c r="BN170" s="113">
        <v>89.580869565217398</v>
      </c>
      <c r="BO170" s="113">
        <v>86.135451505016718</v>
      </c>
      <c r="BP170" s="113">
        <v>85</v>
      </c>
      <c r="BQ170" s="113">
        <v>79</v>
      </c>
      <c r="BR170" s="101"/>
      <c r="BS170">
        <f t="shared" si="264"/>
        <v>0</v>
      </c>
      <c r="BT170">
        <f t="shared" si="264"/>
        <v>0</v>
      </c>
      <c r="BU170">
        <f t="shared" si="264"/>
        <v>0</v>
      </c>
      <c r="BV170">
        <f t="shared" si="264"/>
        <v>0</v>
      </c>
      <c r="BW170">
        <f t="shared" si="264"/>
        <v>0</v>
      </c>
      <c r="BX170">
        <f t="shared" si="264"/>
        <v>0</v>
      </c>
      <c r="BY170">
        <f t="shared" si="264"/>
        <v>0</v>
      </c>
      <c r="BZ170">
        <f t="shared" si="264"/>
        <v>0</v>
      </c>
      <c r="CA170">
        <f t="shared" si="264"/>
        <v>0</v>
      </c>
      <c r="CB170">
        <f t="shared" si="264"/>
        <v>0</v>
      </c>
      <c r="CC170">
        <f t="shared" si="265"/>
        <v>0</v>
      </c>
      <c r="CD170">
        <f t="shared" si="265"/>
        <v>0</v>
      </c>
      <c r="CE170">
        <f t="shared" si="265"/>
        <v>0</v>
      </c>
      <c r="CF170">
        <f t="shared" si="265"/>
        <v>0</v>
      </c>
      <c r="CG170">
        <f t="shared" si="265"/>
        <v>0</v>
      </c>
      <c r="CH170">
        <f t="shared" si="265"/>
        <v>0</v>
      </c>
      <c r="CI170">
        <f t="shared" si="265"/>
        <v>0</v>
      </c>
      <c r="CJ170">
        <f t="shared" si="265"/>
        <v>0</v>
      </c>
      <c r="CK170">
        <f t="shared" si="265"/>
        <v>0</v>
      </c>
      <c r="CL170">
        <f t="shared" si="265"/>
        <v>0</v>
      </c>
      <c r="CM170">
        <f t="shared" si="266"/>
        <v>0</v>
      </c>
      <c r="CN170">
        <f t="shared" si="266"/>
        <v>0</v>
      </c>
      <c r="CO170">
        <f t="shared" si="266"/>
        <v>0</v>
      </c>
      <c r="CP170">
        <f t="shared" si="266"/>
        <v>0</v>
      </c>
      <c r="CQ170">
        <f t="shared" si="266"/>
        <v>0</v>
      </c>
      <c r="CR170">
        <f t="shared" si="266"/>
        <v>0</v>
      </c>
      <c r="CS170">
        <f t="shared" si="266"/>
        <v>0</v>
      </c>
      <c r="CT170">
        <f t="shared" si="266"/>
        <v>0</v>
      </c>
      <c r="CU170">
        <f t="shared" si="266"/>
        <v>0</v>
      </c>
      <c r="CV170">
        <f t="shared" si="266"/>
        <v>0</v>
      </c>
      <c r="CW170">
        <f t="shared" si="267"/>
        <v>0</v>
      </c>
      <c r="CX170">
        <f t="shared" si="267"/>
        <v>0</v>
      </c>
      <c r="CY170">
        <f t="shared" si="267"/>
        <v>0</v>
      </c>
      <c r="CZ170">
        <f t="shared" si="267"/>
        <v>0</v>
      </c>
      <c r="DA170">
        <f t="shared" si="267"/>
        <v>0</v>
      </c>
      <c r="DB170">
        <f t="shared" si="267"/>
        <v>0</v>
      </c>
      <c r="DC170">
        <f t="shared" si="267"/>
        <v>0</v>
      </c>
      <c r="DD170">
        <f t="shared" si="267"/>
        <v>0</v>
      </c>
      <c r="DE170">
        <f t="shared" si="267"/>
        <v>0</v>
      </c>
      <c r="DF170">
        <f t="shared" si="267"/>
        <v>0</v>
      </c>
      <c r="DG170">
        <f t="shared" si="268"/>
        <v>0</v>
      </c>
      <c r="DH170">
        <f t="shared" si="268"/>
        <v>0</v>
      </c>
      <c r="DI170">
        <f t="shared" si="268"/>
        <v>0</v>
      </c>
      <c r="DJ170">
        <f t="shared" si="268"/>
        <v>0</v>
      </c>
      <c r="DK170">
        <f t="shared" si="268"/>
        <v>0</v>
      </c>
      <c r="DL170">
        <f t="shared" si="268"/>
        <v>0</v>
      </c>
      <c r="DM170">
        <f t="shared" si="268"/>
        <v>0</v>
      </c>
      <c r="DN170">
        <f t="shared" si="268"/>
        <v>0</v>
      </c>
      <c r="DO170">
        <f t="shared" si="268"/>
        <v>0</v>
      </c>
      <c r="DP170">
        <f t="shared" si="268"/>
        <v>0</v>
      </c>
      <c r="DQ170">
        <f t="shared" si="269"/>
        <v>0</v>
      </c>
      <c r="DR170">
        <f t="shared" si="269"/>
        <v>0</v>
      </c>
      <c r="DS170">
        <f t="shared" si="269"/>
        <v>0</v>
      </c>
      <c r="DT170">
        <f t="shared" si="269"/>
        <v>0</v>
      </c>
      <c r="DU170">
        <f t="shared" si="269"/>
        <v>0</v>
      </c>
      <c r="DV170">
        <f t="shared" si="269"/>
        <v>0</v>
      </c>
      <c r="DW170">
        <f t="shared" si="269"/>
        <v>0</v>
      </c>
      <c r="DX170">
        <f t="shared" si="269"/>
        <v>0</v>
      </c>
      <c r="DY170">
        <f t="shared" si="269"/>
        <v>0</v>
      </c>
      <c r="DZ170">
        <f t="shared" si="269"/>
        <v>0</v>
      </c>
      <c r="EA170">
        <f t="shared" si="270"/>
        <v>0</v>
      </c>
      <c r="EB170">
        <f t="shared" si="270"/>
        <v>0</v>
      </c>
      <c r="EC170">
        <f t="shared" si="270"/>
        <v>0</v>
      </c>
      <c r="ED170">
        <f t="shared" si="270"/>
        <v>0</v>
      </c>
      <c r="EE170">
        <f t="shared" si="270"/>
        <v>0</v>
      </c>
      <c r="EF170">
        <f t="shared" si="270"/>
        <v>0</v>
      </c>
    </row>
    <row r="171" spans="1:136" ht="15.5">
      <c r="A171" s="93"/>
      <c r="B171" s="19"/>
      <c r="C171" s="94"/>
      <c r="D171" s="34"/>
      <c r="E171" s="34"/>
      <c r="F171" s="34"/>
      <c r="G171" s="34" t="s">
        <v>24</v>
      </c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25"/>
      <c r="BF171" s="18"/>
      <c r="BG171" s="18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101"/>
    </row>
    <row r="172" spans="1:136" ht="15.5">
      <c r="A172" s="93">
        <v>17</v>
      </c>
      <c r="B172" s="52" t="s">
        <v>33</v>
      </c>
      <c r="C172" s="94">
        <v>4</v>
      </c>
      <c r="D172" s="22">
        <f t="shared" ref="D172:AI172" si="271">D173</f>
        <v>0</v>
      </c>
      <c r="E172" s="22">
        <f t="shared" si="271"/>
        <v>0</v>
      </c>
      <c r="F172" s="22">
        <f t="shared" si="271"/>
        <v>0</v>
      </c>
      <c r="G172" s="22">
        <f t="shared" si="271"/>
        <v>0</v>
      </c>
      <c r="H172" s="22">
        <f t="shared" si="271"/>
        <v>0</v>
      </c>
      <c r="I172" s="22">
        <f t="shared" si="271"/>
        <v>0</v>
      </c>
      <c r="J172" s="22">
        <f t="shared" si="271"/>
        <v>0</v>
      </c>
      <c r="K172" s="22">
        <f t="shared" si="271"/>
        <v>0</v>
      </c>
      <c r="L172" s="22">
        <f t="shared" si="271"/>
        <v>0</v>
      </c>
      <c r="M172" s="22">
        <f t="shared" si="271"/>
        <v>0</v>
      </c>
      <c r="N172" s="22">
        <f t="shared" si="271"/>
        <v>0</v>
      </c>
      <c r="O172" s="22">
        <f t="shared" si="271"/>
        <v>0</v>
      </c>
      <c r="P172" s="22">
        <f t="shared" si="271"/>
        <v>0</v>
      </c>
      <c r="Q172" s="22">
        <f t="shared" si="271"/>
        <v>0</v>
      </c>
      <c r="R172" s="22">
        <f t="shared" si="271"/>
        <v>0</v>
      </c>
      <c r="S172" s="22">
        <f t="shared" si="271"/>
        <v>0</v>
      </c>
      <c r="T172" s="22">
        <f t="shared" si="271"/>
        <v>0</v>
      </c>
      <c r="U172" s="22">
        <f t="shared" si="271"/>
        <v>0</v>
      </c>
      <c r="V172" s="22">
        <f t="shared" si="271"/>
        <v>0</v>
      </c>
      <c r="W172" s="22">
        <f t="shared" si="271"/>
        <v>0</v>
      </c>
      <c r="X172" s="22">
        <f t="shared" si="271"/>
        <v>0</v>
      </c>
      <c r="Y172" s="22">
        <f t="shared" si="271"/>
        <v>0</v>
      </c>
      <c r="Z172" s="22">
        <f t="shared" si="271"/>
        <v>0</v>
      </c>
      <c r="AA172" s="22">
        <f t="shared" si="271"/>
        <v>0</v>
      </c>
      <c r="AB172" s="22">
        <f t="shared" si="271"/>
        <v>0</v>
      </c>
      <c r="AC172" s="22">
        <f t="shared" si="271"/>
        <v>0</v>
      </c>
      <c r="AD172" s="22">
        <f t="shared" si="271"/>
        <v>0</v>
      </c>
      <c r="AE172" s="22">
        <f t="shared" si="271"/>
        <v>0</v>
      </c>
      <c r="AF172" s="22">
        <f t="shared" si="271"/>
        <v>0</v>
      </c>
      <c r="AG172" s="22">
        <f t="shared" si="271"/>
        <v>0</v>
      </c>
      <c r="AH172" s="22">
        <f t="shared" si="271"/>
        <v>1.72</v>
      </c>
      <c r="AI172" s="22">
        <f t="shared" si="271"/>
        <v>3.5409999999999999</v>
      </c>
      <c r="AJ172" s="22">
        <f t="shared" ref="AJ172:BF172" si="272">AJ173</f>
        <v>3.488</v>
      </c>
      <c r="AK172" s="22">
        <f t="shared" si="272"/>
        <v>2.8420000000000001</v>
      </c>
      <c r="AL172" s="22">
        <f t="shared" si="272"/>
        <v>2.0339999999999998</v>
      </c>
      <c r="AM172" s="22">
        <f t="shared" si="272"/>
        <v>0.81399999999999995</v>
      </c>
      <c r="AN172" s="22">
        <f t="shared" si="272"/>
        <v>0.27700000000000002</v>
      </c>
      <c r="AO172" s="22">
        <f t="shared" si="272"/>
        <v>0</v>
      </c>
      <c r="AP172" s="22">
        <f t="shared" si="272"/>
        <v>0</v>
      </c>
      <c r="AQ172" s="22">
        <f t="shared" si="272"/>
        <v>0</v>
      </c>
      <c r="AR172" s="22">
        <f t="shared" si="272"/>
        <v>0</v>
      </c>
      <c r="AS172" s="22">
        <f t="shared" si="272"/>
        <v>0</v>
      </c>
      <c r="AT172" s="22">
        <f t="shared" si="272"/>
        <v>0</v>
      </c>
      <c r="AU172" s="22">
        <f t="shared" si="272"/>
        <v>0</v>
      </c>
      <c r="AV172" s="22">
        <f t="shared" si="272"/>
        <v>0</v>
      </c>
      <c r="AW172" s="22">
        <f t="shared" si="272"/>
        <v>8.6180000000000003</v>
      </c>
      <c r="AX172" s="22">
        <f t="shared" si="272"/>
        <v>0</v>
      </c>
      <c r="AY172" s="22">
        <f t="shared" si="272"/>
        <v>0</v>
      </c>
      <c r="AZ172" s="22">
        <f t="shared" si="272"/>
        <v>0</v>
      </c>
      <c r="BA172" s="22">
        <f t="shared" si="272"/>
        <v>0</v>
      </c>
      <c r="BB172" s="22">
        <f t="shared" si="272"/>
        <v>0</v>
      </c>
      <c r="BC172" s="22">
        <f t="shared" si="272"/>
        <v>0</v>
      </c>
      <c r="BD172" s="22">
        <f t="shared" si="272"/>
        <v>0</v>
      </c>
      <c r="BE172" s="22">
        <f t="shared" si="272"/>
        <v>0</v>
      </c>
      <c r="BF172" s="22">
        <f t="shared" si="272"/>
        <v>0</v>
      </c>
      <c r="BG172" s="22">
        <v>0</v>
      </c>
      <c r="BH172" s="22">
        <v>0</v>
      </c>
      <c r="BI172" s="22">
        <v>0</v>
      </c>
      <c r="BJ172" s="22">
        <v>0</v>
      </c>
      <c r="BK172" s="22">
        <v>0</v>
      </c>
      <c r="BL172" s="22">
        <f t="shared" ref="BL172:BQ172" si="273">BL173</f>
        <v>0</v>
      </c>
      <c r="BM172" s="22">
        <f t="shared" si="273"/>
        <v>0</v>
      </c>
      <c r="BN172" s="22">
        <f t="shared" si="273"/>
        <v>0</v>
      </c>
      <c r="BO172" s="22">
        <f t="shared" si="273"/>
        <v>0</v>
      </c>
      <c r="BP172" s="22">
        <f t="shared" si="273"/>
        <v>0</v>
      </c>
      <c r="BQ172" s="22">
        <f t="shared" si="273"/>
        <v>0</v>
      </c>
      <c r="BR172" s="101"/>
      <c r="BS172">
        <f t="shared" ref="BS172:CB173" si="274">IF($C172&lt;&gt;"",IF(D172&gt;0,1,0),0)</f>
        <v>0</v>
      </c>
      <c r="BT172">
        <f t="shared" si="274"/>
        <v>0</v>
      </c>
      <c r="BU172">
        <f t="shared" si="274"/>
        <v>0</v>
      </c>
      <c r="BV172">
        <f t="shared" si="274"/>
        <v>0</v>
      </c>
      <c r="BW172">
        <f t="shared" si="274"/>
        <v>0</v>
      </c>
      <c r="BX172">
        <f t="shared" si="274"/>
        <v>0</v>
      </c>
      <c r="BY172">
        <f t="shared" si="274"/>
        <v>0</v>
      </c>
      <c r="BZ172">
        <f t="shared" si="274"/>
        <v>0</v>
      </c>
      <c r="CA172">
        <f t="shared" si="274"/>
        <v>0</v>
      </c>
      <c r="CB172">
        <f t="shared" si="274"/>
        <v>0</v>
      </c>
      <c r="CC172">
        <f t="shared" ref="CC172:CL173" si="275">IF($C172&lt;&gt;"",IF(N172&gt;0,1,0),0)</f>
        <v>0</v>
      </c>
      <c r="CD172">
        <f t="shared" si="275"/>
        <v>0</v>
      </c>
      <c r="CE172">
        <f t="shared" si="275"/>
        <v>0</v>
      </c>
      <c r="CF172">
        <f t="shared" si="275"/>
        <v>0</v>
      </c>
      <c r="CG172">
        <f t="shared" si="275"/>
        <v>0</v>
      </c>
      <c r="CH172">
        <f t="shared" si="275"/>
        <v>0</v>
      </c>
      <c r="CI172">
        <f t="shared" si="275"/>
        <v>0</v>
      </c>
      <c r="CJ172">
        <f t="shared" si="275"/>
        <v>0</v>
      </c>
      <c r="CK172">
        <f t="shared" si="275"/>
        <v>0</v>
      </c>
      <c r="CL172">
        <f t="shared" si="275"/>
        <v>0</v>
      </c>
      <c r="CM172">
        <f t="shared" ref="CM172:CV173" si="276">IF($C172&lt;&gt;"",IF(X172&gt;0,1,0),0)</f>
        <v>0</v>
      </c>
      <c r="CN172">
        <f t="shared" si="276"/>
        <v>0</v>
      </c>
      <c r="CO172">
        <f t="shared" si="276"/>
        <v>0</v>
      </c>
      <c r="CP172">
        <f t="shared" si="276"/>
        <v>0</v>
      </c>
      <c r="CQ172">
        <f t="shared" si="276"/>
        <v>0</v>
      </c>
      <c r="CR172">
        <f t="shared" si="276"/>
        <v>0</v>
      </c>
      <c r="CS172">
        <f t="shared" si="276"/>
        <v>0</v>
      </c>
      <c r="CT172">
        <f t="shared" si="276"/>
        <v>0</v>
      </c>
      <c r="CU172">
        <f t="shared" si="276"/>
        <v>0</v>
      </c>
      <c r="CV172">
        <f t="shared" si="276"/>
        <v>0</v>
      </c>
      <c r="CW172">
        <f t="shared" ref="CW172:DF173" si="277">IF($C172&lt;&gt;"",IF(AH172&gt;0,1,0),0)</f>
        <v>1</v>
      </c>
      <c r="CX172">
        <f t="shared" si="277"/>
        <v>1</v>
      </c>
      <c r="CY172">
        <f t="shared" si="277"/>
        <v>1</v>
      </c>
      <c r="CZ172">
        <f t="shared" si="277"/>
        <v>1</v>
      </c>
      <c r="DA172">
        <f t="shared" si="277"/>
        <v>1</v>
      </c>
      <c r="DB172">
        <f t="shared" si="277"/>
        <v>1</v>
      </c>
      <c r="DC172">
        <f t="shared" si="277"/>
        <v>1</v>
      </c>
      <c r="DD172">
        <f t="shared" si="277"/>
        <v>0</v>
      </c>
      <c r="DE172">
        <f t="shared" si="277"/>
        <v>0</v>
      </c>
      <c r="DF172">
        <f t="shared" si="277"/>
        <v>0</v>
      </c>
      <c r="DG172">
        <f t="shared" ref="DG172:DP173" si="278">IF($C172&lt;&gt;"",IF(AR172&gt;0,1,0),0)</f>
        <v>0</v>
      </c>
      <c r="DH172">
        <f t="shared" si="278"/>
        <v>0</v>
      </c>
      <c r="DI172">
        <f t="shared" si="278"/>
        <v>0</v>
      </c>
      <c r="DJ172">
        <f t="shared" si="278"/>
        <v>0</v>
      </c>
      <c r="DK172">
        <f t="shared" si="278"/>
        <v>0</v>
      </c>
      <c r="DL172">
        <f t="shared" si="278"/>
        <v>1</v>
      </c>
      <c r="DM172">
        <f t="shared" si="278"/>
        <v>0</v>
      </c>
      <c r="DN172">
        <f t="shared" si="278"/>
        <v>0</v>
      </c>
      <c r="DO172">
        <f t="shared" si="278"/>
        <v>0</v>
      </c>
      <c r="DP172">
        <f t="shared" si="278"/>
        <v>0</v>
      </c>
      <c r="DQ172">
        <f t="shared" ref="DQ172:DZ173" si="279">IF($C172&lt;&gt;"",IF(BB172&gt;0,1,0),0)</f>
        <v>0</v>
      </c>
      <c r="DR172">
        <f t="shared" si="279"/>
        <v>0</v>
      </c>
      <c r="DS172">
        <f t="shared" si="279"/>
        <v>0</v>
      </c>
      <c r="DT172">
        <f t="shared" si="279"/>
        <v>0</v>
      </c>
      <c r="DU172">
        <f t="shared" si="279"/>
        <v>0</v>
      </c>
      <c r="DV172">
        <f t="shared" si="279"/>
        <v>0</v>
      </c>
      <c r="DW172">
        <f t="shared" si="279"/>
        <v>0</v>
      </c>
      <c r="DX172">
        <f t="shared" si="279"/>
        <v>0</v>
      </c>
      <c r="DY172">
        <f t="shared" si="279"/>
        <v>0</v>
      </c>
      <c r="DZ172">
        <f t="shared" si="279"/>
        <v>0</v>
      </c>
      <c r="EA172">
        <f t="shared" ref="EA172:EF173" si="280">IF($C172&lt;&gt;"",IF(BL172&gt;0,1,0),0)</f>
        <v>0</v>
      </c>
      <c r="EB172">
        <f t="shared" si="280"/>
        <v>0</v>
      </c>
      <c r="EC172">
        <f t="shared" si="280"/>
        <v>0</v>
      </c>
      <c r="ED172">
        <f t="shared" si="280"/>
        <v>0</v>
      </c>
      <c r="EE172">
        <f t="shared" si="280"/>
        <v>0</v>
      </c>
      <c r="EF172">
        <f t="shared" si="280"/>
        <v>0</v>
      </c>
    </row>
    <row r="173" spans="1:136" ht="15.5">
      <c r="A173" s="93"/>
      <c r="B173" s="57" t="s">
        <v>3</v>
      </c>
      <c r="C173" s="95"/>
      <c r="D173" s="18">
        <v>0</v>
      </c>
      <c r="E173" s="18">
        <v>0</v>
      </c>
      <c r="F173" s="18">
        <v>0</v>
      </c>
      <c r="G173" s="18">
        <v>0</v>
      </c>
      <c r="H173" s="18">
        <v>0</v>
      </c>
      <c r="I173" s="18">
        <v>0</v>
      </c>
      <c r="J173" s="18">
        <v>0</v>
      </c>
      <c r="K173" s="18">
        <v>0</v>
      </c>
      <c r="L173" s="18">
        <v>0</v>
      </c>
      <c r="M173" s="18">
        <v>0</v>
      </c>
      <c r="N173" s="18">
        <v>0</v>
      </c>
      <c r="O173" s="18">
        <v>0</v>
      </c>
      <c r="P173" s="18">
        <v>0</v>
      </c>
      <c r="Q173" s="18">
        <v>0</v>
      </c>
      <c r="R173" s="18">
        <v>0</v>
      </c>
      <c r="S173" s="18">
        <v>0</v>
      </c>
      <c r="T173" s="18">
        <v>0</v>
      </c>
      <c r="U173" s="18">
        <v>0</v>
      </c>
      <c r="V173" s="18">
        <v>0</v>
      </c>
      <c r="W173" s="18">
        <v>0</v>
      </c>
      <c r="X173" s="18">
        <v>0</v>
      </c>
      <c r="Y173" s="18">
        <v>0</v>
      </c>
      <c r="Z173" s="18">
        <v>0</v>
      </c>
      <c r="AA173" s="18">
        <v>0</v>
      </c>
      <c r="AB173" s="18">
        <v>0</v>
      </c>
      <c r="AC173" s="18">
        <v>0</v>
      </c>
      <c r="AD173" s="18">
        <v>0</v>
      </c>
      <c r="AE173" s="18">
        <v>0</v>
      </c>
      <c r="AF173" s="18">
        <v>0</v>
      </c>
      <c r="AG173" s="18">
        <v>0</v>
      </c>
      <c r="AH173" s="18">
        <v>1.72</v>
      </c>
      <c r="AI173" s="18">
        <v>3.5409999999999999</v>
      </c>
      <c r="AJ173" s="18">
        <v>3.488</v>
      </c>
      <c r="AK173" s="18">
        <v>2.8420000000000001</v>
      </c>
      <c r="AL173" s="18">
        <v>2.0339999999999998</v>
      </c>
      <c r="AM173" s="18">
        <v>0.81399999999999995</v>
      </c>
      <c r="AN173" s="18">
        <v>0.27700000000000002</v>
      </c>
      <c r="AO173" s="18">
        <v>0</v>
      </c>
      <c r="AP173" s="18">
        <v>0</v>
      </c>
      <c r="AQ173" s="18">
        <v>0</v>
      </c>
      <c r="AR173" s="18">
        <v>0</v>
      </c>
      <c r="AS173" s="18">
        <v>0</v>
      </c>
      <c r="AT173" s="18">
        <v>0</v>
      </c>
      <c r="AU173" s="18">
        <v>0</v>
      </c>
      <c r="AV173" s="18">
        <v>0</v>
      </c>
      <c r="AW173" s="18">
        <v>8.6180000000000003</v>
      </c>
      <c r="AX173" s="18">
        <v>0</v>
      </c>
      <c r="AY173" s="18">
        <v>0</v>
      </c>
      <c r="AZ173" s="18">
        <v>0</v>
      </c>
      <c r="BA173" s="18">
        <v>0</v>
      </c>
      <c r="BB173" s="18">
        <v>0</v>
      </c>
      <c r="BC173" s="18">
        <v>0</v>
      </c>
      <c r="BD173" s="18">
        <v>0</v>
      </c>
      <c r="BE173" s="25">
        <v>0</v>
      </c>
      <c r="BF173" s="18">
        <v>0</v>
      </c>
      <c r="BG173" s="18">
        <v>0</v>
      </c>
      <c r="BH173" s="18">
        <v>0</v>
      </c>
      <c r="BI173" s="18">
        <v>0</v>
      </c>
      <c r="BJ173" s="18">
        <v>0</v>
      </c>
      <c r="BK173" s="18">
        <v>0</v>
      </c>
      <c r="BL173" s="34">
        <v>0</v>
      </c>
      <c r="BM173" s="34">
        <v>0</v>
      </c>
      <c r="BN173" s="34">
        <v>0</v>
      </c>
      <c r="BO173" s="34">
        <v>0</v>
      </c>
      <c r="BP173" s="34">
        <v>0</v>
      </c>
      <c r="BQ173" s="34">
        <v>0</v>
      </c>
      <c r="BR173" s="101"/>
      <c r="BS173">
        <f t="shared" si="274"/>
        <v>0</v>
      </c>
      <c r="BT173">
        <f t="shared" si="274"/>
        <v>0</v>
      </c>
      <c r="BU173">
        <f t="shared" si="274"/>
        <v>0</v>
      </c>
      <c r="BV173">
        <f t="shared" si="274"/>
        <v>0</v>
      </c>
      <c r="BW173">
        <f t="shared" si="274"/>
        <v>0</v>
      </c>
      <c r="BX173">
        <f t="shared" si="274"/>
        <v>0</v>
      </c>
      <c r="BY173">
        <f t="shared" si="274"/>
        <v>0</v>
      </c>
      <c r="BZ173">
        <f t="shared" si="274"/>
        <v>0</v>
      </c>
      <c r="CA173">
        <f t="shared" si="274"/>
        <v>0</v>
      </c>
      <c r="CB173">
        <f t="shared" si="274"/>
        <v>0</v>
      </c>
      <c r="CC173">
        <f t="shared" si="275"/>
        <v>0</v>
      </c>
      <c r="CD173">
        <f t="shared" si="275"/>
        <v>0</v>
      </c>
      <c r="CE173">
        <f t="shared" si="275"/>
        <v>0</v>
      </c>
      <c r="CF173">
        <f t="shared" si="275"/>
        <v>0</v>
      </c>
      <c r="CG173">
        <f t="shared" si="275"/>
        <v>0</v>
      </c>
      <c r="CH173">
        <f t="shared" si="275"/>
        <v>0</v>
      </c>
      <c r="CI173">
        <f t="shared" si="275"/>
        <v>0</v>
      </c>
      <c r="CJ173">
        <f t="shared" si="275"/>
        <v>0</v>
      </c>
      <c r="CK173">
        <f t="shared" si="275"/>
        <v>0</v>
      </c>
      <c r="CL173">
        <f t="shared" si="275"/>
        <v>0</v>
      </c>
      <c r="CM173">
        <f t="shared" si="276"/>
        <v>0</v>
      </c>
      <c r="CN173">
        <f t="shared" si="276"/>
        <v>0</v>
      </c>
      <c r="CO173">
        <f t="shared" si="276"/>
        <v>0</v>
      </c>
      <c r="CP173">
        <f t="shared" si="276"/>
        <v>0</v>
      </c>
      <c r="CQ173">
        <f t="shared" si="276"/>
        <v>0</v>
      </c>
      <c r="CR173">
        <f t="shared" si="276"/>
        <v>0</v>
      </c>
      <c r="CS173">
        <f t="shared" si="276"/>
        <v>0</v>
      </c>
      <c r="CT173">
        <f t="shared" si="276"/>
        <v>0</v>
      </c>
      <c r="CU173">
        <f t="shared" si="276"/>
        <v>0</v>
      </c>
      <c r="CV173">
        <f t="shared" si="276"/>
        <v>0</v>
      </c>
      <c r="CW173">
        <f t="shared" si="277"/>
        <v>0</v>
      </c>
      <c r="CX173">
        <f t="shared" si="277"/>
        <v>0</v>
      </c>
      <c r="CY173">
        <f t="shared" si="277"/>
        <v>0</v>
      </c>
      <c r="CZ173">
        <f t="shared" si="277"/>
        <v>0</v>
      </c>
      <c r="DA173">
        <f t="shared" si="277"/>
        <v>0</v>
      </c>
      <c r="DB173">
        <f t="shared" si="277"/>
        <v>0</v>
      </c>
      <c r="DC173">
        <f t="shared" si="277"/>
        <v>0</v>
      </c>
      <c r="DD173">
        <f t="shared" si="277"/>
        <v>0</v>
      </c>
      <c r="DE173">
        <f t="shared" si="277"/>
        <v>0</v>
      </c>
      <c r="DF173">
        <f t="shared" si="277"/>
        <v>0</v>
      </c>
      <c r="DG173">
        <f t="shared" si="278"/>
        <v>0</v>
      </c>
      <c r="DH173">
        <f t="shared" si="278"/>
        <v>0</v>
      </c>
      <c r="DI173">
        <f t="shared" si="278"/>
        <v>0</v>
      </c>
      <c r="DJ173">
        <f t="shared" si="278"/>
        <v>0</v>
      </c>
      <c r="DK173">
        <f t="shared" si="278"/>
        <v>0</v>
      </c>
      <c r="DL173">
        <f t="shared" si="278"/>
        <v>0</v>
      </c>
      <c r="DM173">
        <f t="shared" si="278"/>
        <v>0</v>
      </c>
      <c r="DN173">
        <f t="shared" si="278"/>
        <v>0</v>
      </c>
      <c r="DO173">
        <f t="shared" si="278"/>
        <v>0</v>
      </c>
      <c r="DP173">
        <f t="shared" si="278"/>
        <v>0</v>
      </c>
      <c r="DQ173">
        <f t="shared" si="279"/>
        <v>0</v>
      </c>
      <c r="DR173">
        <f t="shared" si="279"/>
        <v>0</v>
      </c>
      <c r="DS173">
        <f t="shared" si="279"/>
        <v>0</v>
      </c>
      <c r="DT173">
        <f t="shared" si="279"/>
        <v>0</v>
      </c>
      <c r="DU173">
        <f t="shared" si="279"/>
        <v>0</v>
      </c>
      <c r="DV173">
        <f t="shared" si="279"/>
        <v>0</v>
      </c>
      <c r="DW173">
        <f t="shared" si="279"/>
        <v>0</v>
      </c>
      <c r="DX173">
        <f t="shared" si="279"/>
        <v>0</v>
      </c>
      <c r="DY173">
        <f t="shared" si="279"/>
        <v>0</v>
      </c>
      <c r="DZ173">
        <f t="shared" si="279"/>
        <v>0</v>
      </c>
      <c r="EA173">
        <f t="shared" si="280"/>
        <v>0</v>
      </c>
      <c r="EB173">
        <f t="shared" si="280"/>
        <v>0</v>
      </c>
      <c r="EC173">
        <f t="shared" si="280"/>
        <v>0</v>
      </c>
      <c r="ED173">
        <f t="shared" si="280"/>
        <v>0</v>
      </c>
      <c r="EE173">
        <f t="shared" si="280"/>
        <v>0</v>
      </c>
      <c r="EF173">
        <f t="shared" si="280"/>
        <v>0</v>
      </c>
    </row>
    <row r="174" spans="1:136" ht="15.5">
      <c r="A174" s="93"/>
      <c r="B174" s="37"/>
      <c r="C174" s="95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20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25"/>
      <c r="BF174" s="18"/>
      <c r="BG174" s="18"/>
      <c r="BH174" s="2"/>
      <c r="BI174" s="2"/>
      <c r="BJ174" s="2"/>
      <c r="BK174" s="2"/>
      <c r="BL174" s="22"/>
      <c r="BM174" s="2"/>
      <c r="BN174" s="2"/>
      <c r="BO174" s="2"/>
      <c r="BP174" s="2"/>
      <c r="BQ174" s="2"/>
      <c r="BR174" s="101"/>
    </row>
    <row r="175" spans="1:136" ht="15.5">
      <c r="A175" s="93">
        <v>18</v>
      </c>
      <c r="B175" s="80" t="s">
        <v>34</v>
      </c>
      <c r="C175" s="95">
        <v>3</v>
      </c>
      <c r="D175" s="22">
        <f t="shared" ref="D175:AI175" si="281">SUM(D176:D183)</f>
        <v>116.547</v>
      </c>
      <c r="E175" s="22">
        <f t="shared" si="281"/>
        <v>121.19</v>
      </c>
      <c r="F175" s="22">
        <f t="shared" si="281"/>
        <v>97.832999999999998</v>
      </c>
      <c r="G175" s="22">
        <f t="shared" si="281"/>
        <v>102.776</v>
      </c>
      <c r="H175" s="22">
        <f t="shared" si="281"/>
        <v>106.119</v>
      </c>
      <c r="I175" s="22">
        <f t="shared" si="281"/>
        <v>109.762</v>
      </c>
      <c r="J175" s="22">
        <f t="shared" si="281"/>
        <v>112.405</v>
      </c>
      <c r="K175" s="22">
        <f t="shared" si="281"/>
        <v>72.048000000000002</v>
      </c>
      <c r="L175" s="22">
        <f t="shared" si="281"/>
        <v>74.691000000000003</v>
      </c>
      <c r="M175" s="22">
        <f t="shared" si="281"/>
        <v>77.334000000000003</v>
      </c>
      <c r="N175" s="22">
        <f t="shared" si="281"/>
        <v>2.9990000000000001</v>
      </c>
      <c r="O175" s="22">
        <f t="shared" si="281"/>
        <v>5.298</v>
      </c>
      <c r="P175" s="22">
        <f t="shared" si="281"/>
        <v>4.1340000000000003</v>
      </c>
      <c r="Q175" s="22">
        <f t="shared" si="281"/>
        <v>6.3780000000000001</v>
      </c>
      <c r="R175" s="22">
        <f t="shared" si="281"/>
        <v>5.4180000000000001</v>
      </c>
      <c r="S175" s="22">
        <f t="shared" si="281"/>
        <v>5.2249999999999996</v>
      </c>
      <c r="T175" s="22">
        <f t="shared" si="281"/>
        <v>5.2249999999999996</v>
      </c>
      <c r="U175" s="22">
        <f t="shared" si="281"/>
        <v>5.2249999999999996</v>
      </c>
      <c r="V175" s="22">
        <f t="shared" si="281"/>
        <v>6.6630000000000003</v>
      </c>
      <c r="W175" s="22">
        <f t="shared" si="281"/>
        <v>26.688800000000001</v>
      </c>
      <c r="X175" s="22">
        <f t="shared" si="281"/>
        <v>196.20253</v>
      </c>
      <c r="Y175" s="22">
        <f t="shared" si="281"/>
        <v>558.16253000000006</v>
      </c>
      <c r="Z175" s="22">
        <f t="shared" si="281"/>
        <v>438.08103</v>
      </c>
      <c r="AA175" s="22">
        <f t="shared" si="281"/>
        <v>735.1463</v>
      </c>
      <c r="AB175" s="22">
        <f t="shared" si="281"/>
        <v>586.73050000000001</v>
      </c>
      <c r="AC175" s="22">
        <f t="shared" si="281"/>
        <v>891.35759999999993</v>
      </c>
      <c r="AD175" s="22">
        <f t="shared" si="281"/>
        <v>2268.40625</v>
      </c>
      <c r="AE175" s="22">
        <f t="shared" si="281"/>
        <v>2157.8274999999999</v>
      </c>
      <c r="AF175" s="22">
        <f t="shared" si="281"/>
        <v>958.55435</v>
      </c>
      <c r="AG175" s="22">
        <f t="shared" si="281"/>
        <v>1255.8836000000001</v>
      </c>
      <c r="AH175" s="22">
        <f t="shared" si="281"/>
        <v>560.5145</v>
      </c>
      <c r="AI175" s="22">
        <f t="shared" si="281"/>
        <v>800.73500499999989</v>
      </c>
      <c r="AJ175" s="22">
        <f t="shared" ref="AJ175:BO175" si="282">SUM(AJ176:AJ183)</f>
        <v>424.43072715</v>
      </c>
      <c r="AK175" s="22">
        <f t="shared" si="282"/>
        <v>555.67489999999998</v>
      </c>
      <c r="AL175" s="22">
        <f t="shared" si="282"/>
        <v>168.55680000000001</v>
      </c>
      <c r="AM175" s="22">
        <f t="shared" si="282"/>
        <v>1402.920323533438</v>
      </c>
      <c r="AN175" s="22">
        <f t="shared" si="282"/>
        <v>709.12834323944116</v>
      </c>
      <c r="AO175" s="22">
        <f t="shared" si="282"/>
        <v>442.04474323944117</v>
      </c>
      <c r="AP175" s="22">
        <f t="shared" si="282"/>
        <v>570.38499999999999</v>
      </c>
      <c r="AQ175" s="22">
        <f t="shared" si="282"/>
        <v>76.199460000000002</v>
      </c>
      <c r="AR175" s="22">
        <f t="shared" si="282"/>
        <v>67.102090000000004</v>
      </c>
      <c r="AS175" s="22">
        <f t="shared" si="282"/>
        <v>685</v>
      </c>
      <c r="AT175" s="22">
        <f t="shared" si="282"/>
        <v>65.325559999999996</v>
      </c>
      <c r="AU175" s="22">
        <f t="shared" si="282"/>
        <v>55.660539999999997</v>
      </c>
      <c r="AV175" s="22">
        <f t="shared" si="282"/>
        <v>85.824439999999996</v>
      </c>
      <c r="AW175" s="22">
        <f t="shared" si="282"/>
        <v>65.087800000000001</v>
      </c>
      <c r="AX175" s="22">
        <f t="shared" si="282"/>
        <v>1775.3677371999997</v>
      </c>
      <c r="AY175" s="22">
        <f t="shared" si="282"/>
        <v>1174.7825398</v>
      </c>
      <c r="AZ175" s="22">
        <f t="shared" si="282"/>
        <v>19.300715099999998</v>
      </c>
      <c r="BA175" s="22">
        <f t="shared" si="282"/>
        <v>85.30806410000001</v>
      </c>
      <c r="BB175" s="22">
        <f t="shared" si="282"/>
        <v>0</v>
      </c>
      <c r="BC175" s="22">
        <f t="shared" si="282"/>
        <v>0</v>
      </c>
      <c r="BD175" s="22">
        <f t="shared" si="282"/>
        <v>0</v>
      </c>
      <c r="BE175" s="22">
        <f t="shared" si="282"/>
        <v>0</v>
      </c>
      <c r="BF175" s="22">
        <f t="shared" si="282"/>
        <v>0.442</v>
      </c>
      <c r="BG175" s="22">
        <f t="shared" si="282"/>
        <v>3.1</v>
      </c>
      <c r="BH175" s="22">
        <f t="shared" si="282"/>
        <v>0</v>
      </c>
      <c r="BI175" s="22">
        <f t="shared" si="282"/>
        <v>1.7310396000000001</v>
      </c>
      <c r="BJ175" s="22">
        <f t="shared" si="282"/>
        <v>0</v>
      </c>
      <c r="BK175" s="22">
        <f t="shared" si="282"/>
        <v>0</v>
      </c>
      <c r="BL175" s="22">
        <f t="shared" si="282"/>
        <v>2.08</v>
      </c>
      <c r="BM175" s="22">
        <f t="shared" si="282"/>
        <v>0.14000000000000001</v>
      </c>
      <c r="BN175" s="22">
        <f t="shared" si="282"/>
        <v>0.23899999999999999</v>
      </c>
      <c r="BO175" s="22">
        <f t="shared" si="282"/>
        <v>0.42599999999999999</v>
      </c>
      <c r="BP175" s="22">
        <f>SUM(BP176:BP183)</f>
        <v>0.42599999999999999</v>
      </c>
      <c r="BQ175" s="22">
        <f>SUM(BQ176:BQ183)</f>
        <v>0.42599999999999999</v>
      </c>
      <c r="BR175" s="101"/>
      <c r="BS175">
        <f t="shared" ref="BS175:CX175" si="283">IF($C175&lt;&gt;"",IF(D175&gt;0,1,0),0)</f>
        <v>1</v>
      </c>
      <c r="BT175">
        <f t="shared" si="283"/>
        <v>1</v>
      </c>
      <c r="BU175">
        <f t="shared" si="283"/>
        <v>1</v>
      </c>
      <c r="BV175">
        <f t="shared" si="283"/>
        <v>1</v>
      </c>
      <c r="BW175">
        <f t="shared" si="283"/>
        <v>1</v>
      </c>
      <c r="BX175">
        <f t="shared" si="283"/>
        <v>1</v>
      </c>
      <c r="BY175">
        <f t="shared" si="283"/>
        <v>1</v>
      </c>
      <c r="BZ175">
        <f t="shared" si="283"/>
        <v>1</v>
      </c>
      <c r="CA175">
        <f t="shared" si="283"/>
        <v>1</v>
      </c>
      <c r="CB175">
        <f t="shared" si="283"/>
        <v>1</v>
      </c>
      <c r="CC175">
        <f t="shared" si="283"/>
        <v>1</v>
      </c>
      <c r="CD175">
        <f t="shared" si="283"/>
        <v>1</v>
      </c>
      <c r="CE175">
        <f t="shared" si="283"/>
        <v>1</v>
      </c>
      <c r="CF175">
        <f t="shared" si="283"/>
        <v>1</v>
      </c>
      <c r="CG175">
        <f t="shared" si="283"/>
        <v>1</v>
      </c>
      <c r="CH175">
        <f t="shared" si="283"/>
        <v>1</v>
      </c>
      <c r="CI175">
        <f t="shared" si="283"/>
        <v>1</v>
      </c>
      <c r="CJ175">
        <f t="shared" si="283"/>
        <v>1</v>
      </c>
      <c r="CK175">
        <f t="shared" si="283"/>
        <v>1</v>
      </c>
      <c r="CL175">
        <f t="shared" si="283"/>
        <v>1</v>
      </c>
      <c r="CM175">
        <f t="shared" si="283"/>
        <v>1</v>
      </c>
      <c r="CN175">
        <f t="shared" si="283"/>
        <v>1</v>
      </c>
      <c r="CO175">
        <f t="shared" si="283"/>
        <v>1</v>
      </c>
      <c r="CP175">
        <f t="shared" si="283"/>
        <v>1</v>
      </c>
      <c r="CQ175">
        <f t="shared" si="283"/>
        <v>1</v>
      </c>
      <c r="CR175">
        <f t="shared" si="283"/>
        <v>1</v>
      </c>
      <c r="CS175">
        <f t="shared" si="283"/>
        <v>1</v>
      </c>
      <c r="CT175">
        <f t="shared" si="283"/>
        <v>1</v>
      </c>
      <c r="CU175">
        <f t="shared" si="283"/>
        <v>1</v>
      </c>
      <c r="CV175">
        <f t="shared" si="283"/>
        <v>1</v>
      </c>
      <c r="CW175">
        <f t="shared" si="283"/>
        <v>1</v>
      </c>
      <c r="CX175">
        <f t="shared" si="283"/>
        <v>1</v>
      </c>
      <c r="CY175">
        <f t="shared" ref="CY175:ED175" si="284">IF($C175&lt;&gt;"",IF(AJ175&gt;0,1,0),0)</f>
        <v>1</v>
      </c>
      <c r="CZ175">
        <f t="shared" si="284"/>
        <v>1</v>
      </c>
      <c r="DA175">
        <f t="shared" si="284"/>
        <v>1</v>
      </c>
      <c r="DB175">
        <f t="shared" si="284"/>
        <v>1</v>
      </c>
      <c r="DC175">
        <f t="shared" si="284"/>
        <v>1</v>
      </c>
      <c r="DD175">
        <f t="shared" si="284"/>
        <v>1</v>
      </c>
      <c r="DE175">
        <f t="shared" si="284"/>
        <v>1</v>
      </c>
      <c r="DF175">
        <f t="shared" si="284"/>
        <v>1</v>
      </c>
      <c r="DG175">
        <f t="shared" si="284"/>
        <v>1</v>
      </c>
      <c r="DH175">
        <f t="shared" si="284"/>
        <v>1</v>
      </c>
      <c r="DI175">
        <f t="shared" si="284"/>
        <v>1</v>
      </c>
      <c r="DJ175">
        <f t="shared" si="284"/>
        <v>1</v>
      </c>
      <c r="DK175">
        <f t="shared" si="284"/>
        <v>1</v>
      </c>
      <c r="DL175">
        <f t="shared" si="284"/>
        <v>1</v>
      </c>
      <c r="DM175">
        <f t="shared" si="284"/>
        <v>1</v>
      </c>
      <c r="DN175">
        <f t="shared" si="284"/>
        <v>1</v>
      </c>
      <c r="DO175">
        <f t="shared" si="284"/>
        <v>1</v>
      </c>
      <c r="DP175">
        <f t="shared" si="284"/>
        <v>1</v>
      </c>
      <c r="DQ175">
        <f t="shared" si="284"/>
        <v>0</v>
      </c>
      <c r="DR175">
        <f t="shared" si="284"/>
        <v>0</v>
      </c>
      <c r="DS175">
        <f t="shared" si="284"/>
        <v>0</v>
      </c>
      <c r="DT175">
        <f t="shared" si="284"/>
        <v>0</v>
      </c>
      <c r="DU175">
        <f t="shared" si="284"/>
        <v>1</v>
      </c>
      <c r="DV175">
        <f t="shared" si="284"/>
        <v>1</v>
      </c>
      <c r="DW175">
        <f t="shared" si="284"/>
        <v>0</v>
      </c>
      <c r="DX175">
        <f t="shared" si="284"/>
        <v>1</v>
      </c>
      <c r="DY175">
        <f t="shared" si="284"/>
        <v>0</v>
      </c>
      <c r="DZ175">
        <f t="shared" si="284"/>
        <v>0</v>
      </c>
      <c r="EA175">
        <f t="shared" si="284"/>
        <v>1</v>
      </c>
      <c r="EB175">
        <f t="shared" si="284"/>
        <v>1</v>
      </c>
      <c r="EC175">
        <f t="shared" si="284"/>
        <v>1</v>
      </c>
      <c r="ED175">
        <f t="shared" si="284"/>
        <v>1</v>
      </c>
      <c r="EE175">
        <f t="shared" ref="EE175:EF175" si="285">IF($C175&lt;&gt;"",IF(BP175&gt;0,1,0),0)</f>
        <v>1</v>
      </c>
      <c r="EF175">
        <f t="shared" si="285"/>
        <v>1</v>
      </c>
    </row>
    <row r="176" spans="1:136" ht="15.5">
      <c r="A176" s="93"/>
      <c r="B176" s="53" t="s">
        <v>15</v>
      </c>
      <c r="C176" s="95"/>
      <c r="D176" s="18">
        <v>0</v>
      </c>
      <c r="E176" s="18">
        <v>0</v>
      </c>
      <c r="F176" s="18">
        <v>0</v>
      </c>
      <c r="G176" s="18">
        <v>0.3</v>
      </c>
      <c r="H176" s="18">
        <v>0</v>
      </c>
      <c r="I176" s="18">
        <v>0</v>
      </c>
      <c r="J176" s="18">
        <v>0</v>
      </c>
      <c r="K176" s="18">
        <v>0</v>
      </c>
      <c r="L176" s="18">
        <v>0</v>
      </c>
      <c r="M176" s="18">
        <v>0</v>
      </c>
      <c r="N176" s="18">
        <v>0</v>
      </c>
      <c r="O176" s="18">
        <v>0</v>
      </c>
      <c r="P176" s="18">
        <v>0</v>
      </c>
      <c r="Q176" s="18">
        <v>0</v>
      </c>
      <c r="R176" s="18">
        <v>0</v>
      </c>
      <c r="S176" s="18">
        <v>0</v>
      </c>
      <c r="T176" s="18">
        <v>0</v>
      </c>
      <c r="U176" s="18">
        <v>0</v>
      </c>
      <c r="V176" s="18">
        <v>0</v>
      </c>
      <c r="W176" s="18">
        <v>0</v>
      </c>
      <c r="X176" s="18">
        <v>0</v>
      </c>
      <c r="Y176" s="18">
        <v>0</v>
      </c>
      <c r="Z176" s="18">
        <v>0</v>
      </c>
      <c r="AA176" s="18">
        <v>0</v>
      </c>
      <c r="AB176" s="18">
        <v>0</v>
      </c>
      <c r="AC176" s="18">
        <v>0</v>
      </c>
      <c r="AD176" s="18">
        <v>0</v>
      </c>
      <c r="AE176" s="18">
        <v>0</v>
      </c>
      <c r="AF176" s="18">
        <v>10</v>
      </c>
      <c r="AG176" s="18">
        <v>0</v>
      </c>
      <c r="AH176" s="18">
        <v>0</v>
      </c>
      <c r="AI176" s="18">
        <v>0</v>
      </c>
      <c r="AJ176" s="18">
        <v>0</v>
      </c>
      <c r="AK176" s="18">
        <v>0</v>
      </c>
      <c r="AL176" s="18">
        <v>0</v>
      </c>
      <c r="AM176" s="18">
        <v>0</v>
      </c>
      <c r="AN176" s="18">
        <v>0</v>
      </c>
      <c r="AO176" s="18">
        <v>0</v>
      </c>
      <c r="AP176" s="18">
        <v>0</v>
      </c>
      <c r="AQ176" s="18">
        <v>0</v>
      </c>
      <c r="AR176" s="18">
        <v>0</v>
      </c>
      <c r="AS176" s="18">
        <v>0</v>
      </c>
      <c r="AT176" s="18">
        <v>0</v>
      </c>
      <c r="AU176" s="18">
        <v>0</v>
      </c>
      <c r="AV176" s="18">
        <v>0</v>
      </c>
      <c r="AW176" s="18">
        <v>0</v>
      </c>
      <c r="AX176" s="18">
        <v>0</v>
      </c>
      <c r="AY176" s="18">
        <v>0</v>
      </c>
      <c r="AZ176" s="18">
        <v>0</v>
      </c>
      <c r="BA176" s="18">
        <v>0</v>
      </c>
      <c r="BB176" s="18">
        <v>0</v>
      </c>
      <c r="BC176" s="18">
        <v>0</v>
      </c>
      <c r="BD176" s="18">
        <v>0</v>
      </c>
      <c r="BE176" s="18">
        <v>0</v>
      </c>
      <c r="BF176" s="18">
        <v>0</v>
      </c>
      <c r="BG176" s="60">
        <v>0</v>
      </c>
      <c r="BH176" s="60">
        <v>0</v>
      </c>
      <c r="BI176" s="60">
        <v>0</v>
      </c>
      <c r="BJ176" s="60">
        <v>0</v>
      </c>
      <c r="BK176" s="60">
        <v>0</v>
      </c>
      <c r="BL176" s="60">
        <v>0</v>
      </c>
      <c r="BM176" s="60">
        <v>0</v>
      </c>
      <c r="BN176" s="60">
        <v>0</v>
      </c>
      <c r="BO176" s="60">
        <v>0</v>
      </c>
      <c r="BP176" s="60">
        <v>0</v>
      </c>
      <c r="BQ176" s="60">
        <v>0</v>
      </c>
      <c r="BR176" s="101"/>
      <c r="BS176">
        <f t="shared" ref="BS176:BS184" si="286">IF($C176&lt;&gt;"",IF(D176&gt;0,1,0),0)</f>
        <v>0</v>
      </c>
      <c r="BT176">
        <f t="shared" ref="BT176:BT184" si="287">IF($C176&lt;&gt;"",IF(E176&gt;0,1,0),0)</f>
        <v>0</v>
      </c>
      <c r="BU176">
        <f t="shared" ref="BU176:BU184" si="288">IF($C176&lt;&gt;"",IF(F176&gt;0,1,0),0)</f>
        <v>0</v>
      </c>
      <c r="BV176">
        <f t="shared" ref="BV176:BV184" si="289">IF($C176&lt;&gt;"",IF(G176&gt;0,1,0),0)</f>
        <v>0</v>
      </c>
      <c r="BW176">
        <f t="shared" ref="BW176:BW184" si="290">IF($C176&lt;&gt;"",IF(H176&gt;0,1,0),0)</f>
        <v>0</v>
      </c>
      <c r="BX176">
        <f t="shared" ref="BX176:BX184" si="291">IF($C176&lt;&gt;"",IF(I176&gt;0,1,0),0)</f>
        <v>0</v>
      </c>
      <c r="BY176">
        <f t="shared" ref="BY176:BY184" si="292">IF($C176&lt;&gt;"",IF(J176&gt;0,1,0),0)</f>
        <v>0</v>
      </c>
      <c r="BZ176">
        <f t="shared" ref="BZ176:BZ184" si="293">IF($C176&lt;&gt;"",IF(K176&gt;0,1,0),0)</f>
        <v>0</v>
      </c>
      <c r="CA176">
        <f t="shared" ref="CA176:CA184" si="294">IF($C176&lt;&gt;"",IF(L176&gt;0,1,0),0)</f>
        <v>0</v>
      </c>
      <c r="CB176">
        <f t="shared" ref="CB176:CB184" si="295">IF($C176&lt;&gt;"",IF(M176&gt;0,1,0),0)</f>
        <v>0</v>
      </c>
      <c r="CC176">
        <f t="shared" ref="CC176:CC184" si="296">IF($C176&lt;&gt;"",IF(N176&gt;0,1,0),0)</f>
        <v>0</v>
      </c>
      <c r="CD176">
        <f t="shared" ref="CD176:CD184" si="297">IF($C176&lt;&gt;"",IF(O176&gt;0,1,0),0)</f>
        <v>0</v>
      </c>
      <c r="CE176">
        <f t="shared" ref="CE176:CE184" si="298">IF($C176&lt;&gt;"",IF(P176&gt;0,1,0),0)</f>
        <v>0</v>
      </c>
      <c r="CF176">
        <f t="shared" ref="CF176:CF184" si="299">IF($C176&lt;&gt;"",IF(Q176&gt;0,1,0),0)</f>
        <v>0</v>
      </c>
      <c r="CG176">
        <f t="shared" ref="CG176:CG184" si="300">IF($C176&lt;&gt;"",IF(R176&gt;0,1,0),0)</f>
        <v>0</v>
      </c>
      <c r="CH176">
        <f t="shared" ref="CH176:CH184" si="301">IF($C176&lt;&gt;"",IF(S176&gt;0,1,0),0)</f>
        <v>0</v>
      </c>
      <c r="CI176">
        <f t="shared" ref="CI176:CI184" si="302">IF($C176&lt;&gt;"",IF(T176&gt;0,1,0),0)</f>
        <v>0</v>
      </c>
      <c r="CJ176">
        <f t="shared" ref="CJ176:CJ184" si="303">IF($C176&lt;&gt;"",IF(U176&gt;0,1,0),0)</f>
        <v>0</v>
      </c>
      <c r="CK176">
        <f t="shared" ref="CK176:CK184" si="304">IF($C176&lt;&gt;"",IF(V176&gt;0,1,0),0)</f>
        <v>0</v>
      </c>
      <c r="CL176">
        <f t="shared" ref="CL176:CL184" si="305">IF($C176&lt;&gt;"",IF(W176&gt;0,1,0),0)</f>
        <v>0</v>
      </c>
      <c r="CM176">
        <f t="shared" ref="CM176:CM184" si="306">IF($C176&lt;&gt;"",IF(X176&gt;0,1,0),0)</f>
        <v>0</v>
      </c>
      <c r="CN176">
        <f t="shared" ref="CN176:CN184" si="307">IF($C176&lt;&gt;"",IF(Y176&gt;0,1,0),0)</f>
        <v>0</v>
      </c>
      <c r="CO176">
        <f t="shared" ref="CO176:CO184" si="308">IF($C176&lt;&gt;"",IF(Z176&gt;0,1,0),0)</f>
        <v>0</v>
      </c>
      <c r="CP176">
        <f t="shared" ref="CP176:CP184" si="309">IF($C176&lt;&gt;"",IF(AA176&gt;0,1,0),0)</f>
        <v>0</v>
      </c>
      <c r="CQ176">
        <f t="shared" ref="CQ176:CQ184" si="310">IF($C176&lt;&gt;"",IF(AB176&gt;0,1,0),0)</f>
        <v>0</v>
      </c>
      <c r="CR176">
        <f t="shared" ref="CR176:CR184" si="311">IF($C176&lt;&gt;"",IF(AC176&gt;0,1,0),0)</f>
        <v>0</v>
      </c>
      <c r="CS176">
        <f t="shared" ref="CS176:CS184" si="312">IF($C176&lt;&gt;"",IF(AD176&gt;0,1,0),0)</f>
        <v>0</v>
      </c>
      <c r="CT176">
        <f t="shared" ref="CT176:CT184" si="313">IF($C176&lt;&gt;"",IF(AE176&gt;0,1,0),0)</f>
        <v>0</v>
      </c>
      <c r="CU176">
        <f t="shared" ref="CU176:CU184" si="314">IF($C176&lt;&gt;"",IF(AF176&gt;0,1,0),0)</f>
        <v>0</v>
      </c>
      <c r="CV176">
        <f t="shared" ref="CV176:CV184" si="315">IF($C176&lt;&gt;"",IF(AG176&gt;0,1,0),0)</f>
        <v>0</v>
      </c>
      <c r="CW176">
        <f t="shared" ref="CW176:CW184" si="316">IF($C176&lt;&gt;"",IF(AH176&gt;0,1,0),0)</f>
        <v>0</v>
      </c>
      <c r="CX176">
        <f t="shared" ref="CX176:CX184" si="317">IF($C176&lt;&gt;"",IF(AI176&gt;0,1,0),0)</f>
        <v>0</v>
      </c>
      <c r="CY176">
        <f t="shared" ref="CY176:CY184" si="318">IF($C176&lt;&gt;"",IF(AJ176&gt;0,1,0),0)</f>
        <v>0</v>
      </c>
      <c r="CZ176">
        <f t="shared" ref="CZ176:CZ184" si="319">IF($C176&lt;&gt;"",IF(AK176&gt;0,1,0),0)</f>
        <v>0</v>
      </c>
      <c r="DA176">
        <f t="shared" ref="DA176:DA184" si="320">IF($C176&lt;&gt;"",IF(AL176&gt;0,1,0),0)</f>
        <v>0</v>
      </c>
      <c r="DB176">
        <f t="shared" ref="DB176:DB184" si="321">IF($C176&lt;&gt;"",IF(AM176&gt;0,1,0),0)</f>
        <v>0</v>
      </c>
      <c r="DC176">
        <f t="shared" ref="DC176:DC184" si="322">IF($C176&lt;&gt;"",IF(AN176&gt;0,1,0),0)</f>
        <v>0</v>
      </c>
      <c r="DD176">
        <f t="shared" ref="DD176:DD184" si="323">IF($C176&lt;&gt;"",IF(AO176&gt;0,1,0),0)</f>
        <v>0</v>
      </c>
      <c r="DE176">
        <f t="shared" ref="DE176:DE184" si="324">IF($C176&lt;&gt;"",IF(AP176&gt;0,1,0),0)</f>
        <v>0</v>
      </c>
      <c r="DF176">
        <f t="shared" ref="DF176:DF184" si="325">IF($C176&lt;&gt;"",IF(AQ176&gt;0,1,0),0)</f>
        <v>0</v>
      </c>
      <c r="DG176">
        <f t="shared" ref="DG176:DG184" si="326">IF($C176&lt;&gt;"",IF(AR176&gt;0,1,0),0)</f>
        <v>0</v>
      </c>
      <c r="DH176">
        <f t="shared" ref="DH176:DH184" si="327">IF($C176&lt;&gt;"",IF(AS176&gt;0,1,0),0)</f>
        <v>0</v>
      </c>
      <c r="DI176">
        <f t="shared" ref="DI176:DI184" si="328">IF($C176&lt;&gt;"",IF(AT176&gt;0,1,0),0)</f>
        <v>0</v>
      </c>
      <c r="DJ176">
        <f t="shared" ref="DJ176:DJ184" si="329">IF($C176&lt;&gt;"",IF(AU176&gt;0,1,0),0)</f>
        <v>0</v>
      </c>
      <c r="DK176">
        <f t="shared" ref="DK176:DK184" si="330">IF($C176&lt;&gt;"",IF(AV176&gt;0,1,0),0)</f>
        <v>0</v>
      </c>
      <c r="DL176">
        <f t="shared" ref="DL176:DL184" si="331">IF($C176&lt;&gt;"",IF(AW176&gt;0,1,0),0)</f>
        <v>0</v>
      </c>
      <c r="DM176">
        <f t="shared" ref="DM176:DM184" si="332">IF($C176&lt;&gt;"",IF(AX176&gt;0,1,0),0)</f>
        <v>0</v>
      </c>
      <c r="DN176">
        <f t="shared" ref="DN176:DN184" si="333">IF($C176&lt;&gt;"",IF(AY176&gt;0,1,0),0)</f>
        <v>0</v>
      </c>
      <c r="DO176">
        <f t="shared" ref="DO176:DO184" si="334">IF($C176&lt;&gt;"",IF(AZ176&gt;0,1,0),0)</f>
        <v>0</v>
      </c>
      <c r="DP176">
        <f t="shared" ref="DP176:DP184" si="335">IF($C176&lt;&gt;"",IF(BA176&gt;0,1,0),0)</f>
        <v>0</v>
      </c>
      <c r="DQ176">
        <f t="shared" ref="DQ176:DQ184" si="336">IF($C176&lt;&gt;"",IF(BB176&gt;0,1,0),0)</f>
        <v>0</v>
      </c>
      <c r="DR176">
        <f t="shared" ref="DR176:DR184" si="337">IF($C176&lt;&gt;"",IF(BC176&gt;0,1,0),0)</f>
        <v>0</v>
      </c>
      <c r="DS176">
        <f t="shared" ref="DS176:DS184" si="338">IF($C176&lt;&gt;"",IF(BD176&gt;0,1,0),0)</f>
        <v>0</v>
      </c>
      <c r="DT176">
        <f t="shared" ref="DT176:DT184" si="339">IF($C176&lt;&gt;"",IF(BE176&gt;0,1,0),0)</f>
        <v>0</v>
      </c>
      <c r="DU176">
        <f t="shared" ref="DU176:DU184" si="340">IF($C176&lt;&gt;"",IF(BF176&gt;0,1,0),0)</f>
        <v>0</v>
      </c>
      <c r="DV176">
        <f t="shared" ref="DV176:DV184" si="341">IF($C176&lt;&gt;"",IF(BG176&gt;0,1,0),0)</f>
        <v>0</v>
      </c>
      <c r="DW176">
        <f t="shared" ref="DW176:DW184" si="342">IF($C176&lt;&gt;"",IF(BH176&gt;0,1,0),0)</f>
        <v>0</v>
      </c>
      <c r="DX176">
        <f t="shared" ref="DX176:DX184" si="343">IF($C176&lt;&gt;"",IF(BI176&gt;0,1,0),0)</f>
        <v>0</v>
      </c>
      <c r="DY176">
        <f t="shared" ref="DY176:DY184" si="344">IF($C176&lt;&gt;"",IF(BJ176&gt;0,1,0),0)</f>
        <v>0</v>
      </c>
      <c r="DZ176">
        <f t="shared" ref="DZ176:DZ184" si="345">IF($C176&lt;&gt;"",IF(BK176&gt;0,1,0),0)</f>
        <v>0</v>
      </c>
      <c r="EA176">
        <f t="shared" ref="EA176:EF179" si="346">IF($C176&lt;&gt;"",IF(BL175&gt;0,1,0),0)</f>
        <v>0</v>
      </c>
      <c r="EB176">
        <f t="shared" si="346"/>
        <v>0</v>
      </c>
      <c r="EC176">
        <f t="shared" si="346"/>
        <v>0</v>
      </c>
      <c r="ED176">
        <f t="shared" si="346"/>
        <v>0</v>
      </c>
      <c r="EE176">
        <f t="shared" si="346"/>
        <v>0</v>
      </c>
      <c r="EF176">
        <f t="shared" si="346"/>
        <v>0</v>
      </c>
    </row>
    <row r="177" spans="1:136" ht="15.5">
      <c r="A177" s="93"/>
      <c r="B177" s="19" t="s">
        <v>2</v>
      </c>
      <c r="C177" s="95"/>
      <c r="D177" s="18">
        <v>0</v>
      </c>
      <c r="E177" s="18">
        <v>0</v>
      </c>
      <c r="F177" s="18">
        <v>0</v>
      </c>
      <c r="G177" s="18">
        <v>0</v>
      </c>
      <c r="H177" s="18">
        <v>0</v>
      </c>
      <c r="I177" s="18">
        <v>0</v>
      </c>
      <c r="J177" s="18">
        <v>0</v>
      </c>
      <c r="K177" s="18">
        <v>0</v>
      </c>
      <c r="L177" s="18">
        <v>0</v>
      </c>
      <c r="M177" s="18">
        <v>0</v>
      </c>
      <c r="N177" s="18">
        <v>0</v>
      </c>
      <c r="O177" s="18">
        <v>0</v>
      </c>
      <c r="P177" s="18">
        <v>0</v>
      </c>
      <c r="Q177" s="18">
        <v>0</v>
      </c>
      <c r="R177" s="18">
        <v>0</v>
      </c>
      <c r="S177" s="18">
        <v>0</v>
      </c>
      <c r="T177" s="18">
        <v>0</v>
      </c>
      <c r="U177" s="18">
        <v>0</v>
      </c>
      <c r="V177" s="18">
        <v>0</v>
      </c>
      <c r="W177" s="18"/>
      <c r="X177" s="18"/>
      <c r="Y177" s="18"/>
      <c r="Z177" s="18"/>
      <c r="AA177" s="18"/>
      <c r="AB177" s="18"/>
      <c r="AC177" s="40" t="s">
        <v>16</v>
      </c>
      <c r="AD177" s="18">
        <v>642</v>
      </c>
      <c r="AE177" s="40" t="s">
        <v>16</v>
      </c>
      <c r="AF177" s="18">
        <v>228</v>
      </c>
      <c r="AG177" s="40" t="s">
        <v>16</v>
      </c>
      <c r="AH177" s="18">
        <v>276</v>
      </c>
      <c r="AI177" s="40" t="s">
        <v>16</v>
      </c>
      <c r="AJ177" s="18">
        <v>65</v>
      </c>
      <c r="AK177" s="40" t="s">
        <v>16</v>
      </c>
      <c r="AL177" s="40" t="s">
        <v>16</v>
      </c>
      <c r="AM177" s="18">
        <v>1363</v>
      </c>
      <c r="AN177" s="40" t="s">
        <v>16</v>
      </c>
      <c r="AO177" s="40" t="s">
        <v>16</v>
      </c>
      <c r="AP177" s="18">
        <v>561</v>
      </c>
      <c r="AQ177" s="40" t="s">
        <v>16</v>
      </c>
      <c r="AR177" s="40" t="s">
        <v>16</v>
      </c>
      <c r="AS177" s="18">
        <v>685</v>
      </c>
      <c r="AT177" s="40" t="s">
        <v>16</v>
      </c>
      <c r="AU177" s="40" t="s">
        <v>16</v>
      </c>
      <c r="AV177" s="40" t="s">
        <v>16</v>
      </c>
      <c r="AW177" s="18">
        <v>0</v>
      </c>
      <c r="AX177" s="18">
        <v>0</v>
      </c>
      <c r="AY177" s="18">
        <v>0</v>
      </c>
      <c r="AZ177" s="18">
        <v>0</v>
      </c>
      <c r="BA177" s="18">
        <v>0</v>
      </c>
      <c r="BB177" s="18">
        <v>0</v>
      </c>
      <c r="BC177" s="18">
        <v>0</v>
      </c>
      <c r="BD177" s="18">
        <v>0</v>
      </c>
      <c r="BE177" s="18">
        <v>0</v>
      </c>
      <c r="BF177" s="18">
        <v>0</v>
      </c>
      <c r="BG177" s="18">
        <v>0</v>
      </c>
      <c r="BH177" s="18">
        <v>0</v>
      </c>
      <c r="BI177" s="18">
        <v>0</v>
      </c>
      <c r="BJ177" s="18">
        <v>0</v>
      </c>
      <c r="BK177" s="18">
        <v>0</v>
      </c>
      <c r="BL177" s="18">
        <v>0</v>
      </c>
      <c r="BM177" s="18">
        <v>0</v>
      </c>
      <c r="BN177" s="18">
        <v>0</v>
      </c>
      <c r="BO177" s="18">
        <v>0</v>
      </c>
      <c r="BP177" s="18">
        <v>0</v>
      </c>
      <c r="BQ177" s="18">
        <v>0</v>
      </c>
      <c r="BR177" s="101"/>
      <c r="BS177">
        <f t="shared" si="286"/>
        <v>0</v>
      </c>
      <c r="BT177">
        <f t="shared" si="287"/>
        <v>0</v>
      </c>
      <c r="BU177">
        <f t="shared" si="288"/>
        <v>0</v>
      </c>
      <c r="BV177">
        <f t="shared" si="289"/>
        <v>0</v>
      </c>
      <c r="BW177">
        <f t="shared" si="290"/>
        <v>0</v>
      </c>
      <c r="BX177">
        <f t="shared" si="291"/>
        <v>0</v>
      </c>
      <c r="BY177">
        <f t="shared" si="292"/>
        <v>0</v>
      </c>
      <c r="BZ177">
        <f t="shared" si="293"/>
        <v>0</v>
      </c>
      <c r="CA177">
        <f t="shared" si="294"/>
        <v>0</v>
      </c>
      <c r="CB177">
        <f t="shared" si="295"/>
        <v>0</v>
      </c>
      <c r="CC177">
        <f t="shared" si="296"/>
        <v>0</v>
      </c>
      <c r="CD177">
        <f t="shared" si="297"/>
        <v>0</v>
      </c>
      <c r="CE177">
        <f t="shared" si="298"/>
        <v>0</v>
      </c>
      <c r="CF177">
        <f t="shared" si="299"/>
        <v>0</v>
      </c>
      <c r="CG177">
        <f t="shared" si="300"/>
        <v>0</v>
      </c>
      <c r="CH177">
        <f t="shared" si="301"/>
        <v>0</v>
      </c>
      <c r="CI177">
        <f t="shared" si="302"/>
        <v>0</v>
      </c>
      <c r="CJ177">
        <f t="shared" si="303"/>
        <v>0</v>
      </c>
      <c r="CK177">
        <f t="shared" si="304"/>
        <v>0</v>
      </c>
      <c r="CL177">
        <f t="shared" si="305"/>
        <v>0</v>
      </c>
      <c r="CM177">
        <f t="shared" si="306"/>
        <v>0</v>
      </c>
      <c r="CN177">
        <f t="shared" si="307"/>
        <v>0</v>
      </c>
      <c r="CO177">
        <f t="shared" si="308"/>
        <v>0</v>
      </c>
      <c r="CP177">
        <f t="shared" si="309"/>
        <v>0</v>
      </c>
      <c r="CQ177">
        <f t="shared" si="310"/>
        <v>0</v>
      </c>
      <c r="CR177">
        <f t="shared" si="311"/>
        <v>0</v>
      </c>
      <c r="CS177">
        <f t="shared" si="312"/>
        <v>0</v>
      </c>
      <c r="CT177">
        <f t="shared" si="313"/>
        <v>0</v>
      </c>
      <c r="CU177">
        <f t="shared" si="314"/>
        <v>0</v>
      </c>
      <c r="CV177">
        <f t="shared" si="315"/>
        <v>0</v>
      </c>
      <c r="CW177">
        <f t="shared" si="316"/>
        <v>0</v>
      </c>
      <c r="CX177">
        <f t="shared" si="317"/>
        <v>0</v>
      </c>
      <c r="CY177">
        <f t="shared" si="318"/>
        <v>0</v>
      </c>
      <c r="CZ177">
        <f t="shared" si="319"/>
        <v>0</v>
      </c>
      <c r="DA177">
        <f t="shared" si="320"/>
        <v>0</v>
      </c>
      <c r="DB177">
        <f t="shared" si="321"/>
        <v>0</v>
      </c>
      <c r="DC177">
        <f t="shared" si="322"/>
        <v>0</v>
      </c>
      <c r="DD177">
        <f t="shared" si="323"/>
        <v>0</v>
      </c>
      <c r="DE177">
        <f t="shared" si="324"/>
        <v>0</v>
      </c>
      <c r="DF177">
        <f t="shared" si="325"/>
        <v>0</v>
      </c>
      <c r="DG177">
        <f t="shared" si="326"/>
        <v>0</v>
      </c>
      <c r="DH177">
        <f t="shared" si="327"/>
        <v>0</v>
      </c>
      <c r="DI177">
        <f t="shared" si="328"/>
        <v>0</v>
      </c>
      <c r="DJ177">
        <f t="shared" si="329"/>
        <v>0</v>
      </c>
      <c r="DK177">
        <f t="shared" si="330"/>
        <v>0</v>
      </c>
      <c r="DL177">
        <f t="shared" si="331"/>
        <v>0</v>
      </c>
      <c r="DM177">
        <f t="shared" si="332"/>
        <v>0</v>
      </c>
      <c r="DN177">
        <f t="shared" si="333"/>
        <v>0</v>
      </c>
      <c r="DO177">
        <f t="shared" si="334"/>
        <v>0</v>
      </c>
      <c r="DP177">
        <f t="shared" si="335"/>
        <v>0</v>
      </c>
      <c r="DQ177">
        <f t="shared" si="336"/>
        <v>0</v>
      </c>
      <c r="DR177">
        <f t="shared" si="337"/>
        <v>0</v>
      </c>
      <c r="DS177">
        <f t="shared" si="338"/>
        <v>0</v>
      </c>
      <c r="DT177">
        <f t="shared" si="339"/>
        <v>0</v>
      </c>
      <c r="DU177">
        <f t="shared" si="340"/>
        <v>0</v>
      </c>
      <c r="DV177">
        <f t="shared" si="341"/>
        <v>0</v>
      </c>
      <c r="DW177">
        <f t="shared" si="342"/>
        <v>0</v>
      </c>
      <c r="DX177">
        <f t="shared" si="343"/>
        <v>0</v>
      </c>
      <c r="DY177">
        <f t="shared" si="344"/>
        <v>0</v>
      </c>
      <c r="DZ177">
        <f t="shared" si="345"/>
        <v>0</v>
      </c>
      <c r="EA177">
        <f t="shared" si="346"/>
        <v>0</v>
      </c>
      <c r="EB177">
        <f t="shared" si="346"/>
        <v>0</v>
      </c>
      <c r="EC177">
        <f t="shared" si="346"/>
        <v>0</v>
      </c>
      <c r="ED177">
        <f t="shared" si="346"/>
        <v>0</v>
      </c>
      <c r="EE177">
        <f t="shared" si="346"/>
        <v>0</v>
      </c>
      <c r="EF177">
        <f t="shared" si="346"/>
        <v>0</v>
      </c>
    </row>
    <row r="178" spans="1:136" ht="15.5">
      <c r="A178" s="93"/>
      <c r="B178" s="19" t="s">
        <v>205</v>
      </c>
      <c r="C178" s="95"/>
      <c r="D178" s="71">
        <v>0</v>
      </c>
      <c r="E178" s="71">
        <v>0</v>
      </c>
      <c r="F178" s="71">
        <v>0</v>
      </c>
      <c r="G178" s="71">
        <v>0</v>
      </c>
      <c r="H178" s="71">
        <v>0</v>
      </c>
      <c r="I178" s="71">
        <v>0</v>
      </c>
      <c r="J178" s="71">
        <v>0</v>
      </c>
      <c r="K178" s="71">
        <v>0</v>
      </c>
      <c r="L178" s="71">
        <v>0</v>
      </c>
      <c r="M178" s="71">
        <v>0</v>
      </c>
      <c r="N178" s="71">
        <v>0</v>
      </c>
      <c r="O178" s="71">
        <v>0</v>
      </c>
      <c r="P178" s="71">
        <v>0</v>
      </c>
      <c r="Q178" s="71">
        <v>0</v>
      </c>
      <c r="R178" s="71">
        <v>0</v>
      </c>
      <c r="S178" s="71">
        <v>0</v>
      </c>
      <c r="T178" s="71">
        <v>0</v>
      </c>
      <c r="U178" s="71">
        <v>0</v>
      </c>
      <c r="V178" s="71">
        <v>0</v>
      </c>
      <c r="W178" s="71">
        <v>0</v>
      </c>
      <c r="X178" s="71">
        <v>0</v>
      </c>
      <c r="Y178" s="71">
        <v>0</v>
      </c>
      <c r="Z178" s="71">
        <v>0</v>
      </c>
      <c r="AA178" s="71">
        <v>0</v>
      </c>
      <c r="AB178" s="71">
        <v>0</v>
      </c>
      <c r="AC178" s="71">
        <v>0</v>
      </c>
      <c r="AD178" s="71">
        <v>0</v>
      </c>
      <c r="AE178" s="71">
        <v>0</v>
      </c>
      <c r="AF178" s="71">
        <v>0</v>
      </c>
      <c r="AG178" s="71">
        <v>0</v>
      </c>
      <c r="AH178" s="71">
        <v>0</v>
      </c>
      <c r="AI178" s="71">
        <v>0</v>
      </c>
      <c r="AJ178" s="71">
        <v>0</v>
      </c>
      <c r="AK178" s="71">
        <v>0</v>
      </c>
      <c r="AL178" s="71">
        <v>0</v>
      </c>
      <c r="AM178" s="71">
        <v>0</v>
      </c>
      <c r="AN178" s="71">
        <v>0</v>
      </c>
      <c r="AO178" s="71">
        <v>0</v>
      </c>
      <c r="AP178" s="71">
        <v>0</v>
      </c>
      <c r="AQ178" s="71">
        <v>0</v>
      </c>
      <c r="AR178" s="71">
        <v>0</v>
      </c>
      <c r="AS178" s="18">
        <v>0</v>
      </c>
      <c r="AT178" s="18">
        <v>0</v>
      </c>
      <c r="AU178" s="40" t="s">
        <v>16</v>
      </c>
      <c r="AV178" s="18">
        <v>17</v>
      </c>
      <c r="AW178" s="18">
        <v>4.5</v>
      </c>
      <c r="AX178" s="18">
        <v>0</v>
      </c>
      <c r="AY178" s="18">
        <v>0</v>
      </c>
      <c r="AZ178" s="71">
        <v>5</v>
      </c>
      <c r="BA178" s="18">
        <v>0</v>
      </c>
      <c r="BB178" s="18">
        <v>0</v>
      </c>
      <c r="BC178" s="18">
        <v>0</v>
      </c>
      <c r="BD178" s="18">
        <v>0</v>
      </c>
      <c r="BE178" s="25">
        <v>0</v>
      </c>
      <c r="BF178" s="18">
        <v>0</v>
      </c>
      <c r="BG178" s="18">
        <v>3.1</v>
      </c>
      <c r="BH178" s="18">
        <v>0</v>
      </c>
      <c r="BI178" s="18">
        <v>0.86551980000000006</v>
      </c>
      <c r="BJ178" s="18">
        <v>0</v>
      </c>
      <c r="BK178" s="18">
        <v>0</v>
      </c>
      <c r="BL178" s="18">
        <v>2</v>
      </c>
      <c r="BM178" s="113">
        <v>0</v>
      </c>
      <c r="BN178" s="113">
        <v>0</v>
      </c>
      <c r="BO178" s="113">
        <v>0</v>
      </c>
      <c r="BP178" s="113">
        <v>0</v>
      </c>
      <c r="BQ178" s="113">
        <v>0</v>
      </c>
      <c r="BR178" s="101"/>
      <c r="BS178">
        <f t="shared" si="286"/>
        <v>0</v>
      </c>
      <c r="BT178">
        <f t="shared" si="287"/>
        <v>0</v>
      </c>
      <c r="BU178">
        <f t="shared" si="288"/>
        <v>0</v>
      </c>
      <c r="BV178">
        <f t="shared" si="289"/>
        <v>0</v>
      </c>
      <c r="BW178">
        <f t="shared" si="290"/>
        <v>0</v>
      </c>
      <c r="BX178">
        <f t="shared" si="291"/>
        <v>0</v>
      </c>
      <c r="BY178">
        <f t="shared" si="292"/>
        <v>0</v>
      </c>
      <c r="BZ178">
        <f t="shared" si="293"/>
        <v>0</v>
      </c>
      <c r="CA178">
        <f t="shared" si="294"/>
        <v>0</v>
      </c>
      <c r="CB178">
        <f t="shared" si="295"/>
        <v>0</v>
      </c>
      <c r="CC178">
        <f t="shared" si="296"/>
        <v>0</v>
      </c>
      <c r="CD178">
        <f t="shared" si="297"/>
        <v>0</v>
      </c>
      <c r="CE178">
        <f t="shared" si="298"/>
        <v>0</v>
      </c>
      <c r="CF178">
        <f t="shared" si="299"/>
        <v>0</v>
      </c>
      <c r="CG178">
        <f t="shared" si="300"/>
        <v>0</v>
      </c>
      <c r="CH178">
        <f t="shared" si="301"/>
        <v>0</v>
      </c>
      <c r="CI178">
        <f t="shared" si="302"/>
        <v>0</v>
      </c>
      <c r="CJ178">
        <f t="shared" si="303"/>
        <v>0</v>
      </c>
      <c r="CK178">
        <f t="shared" si="304"/>
        <v>0</v>
      </c>
      <c r="CL178">
        <f t="shared" si="305"/>
        <v>0</v>
      </c>
      <c r="CM178">
        <f t="shared" si="306"/>
        <v>0</v>
      </c>
      <c r="CN178">
        <f t="shared" si="307"/>
        <v>0</v>
      </c>
      <c r="CO178">
        <f t="shared" si="308"/>
        <v>0</v>
      </c>
      <c r="CP178">
        <f t="shared" si="309"/>
        <v>0</v>
      </c>
      <c r="CQ178">
        <f t="shared" si="310"/>
        <v>0</v>
      </c>
      <c r="CR178">
        <f t="shared" si="311"/>
        <v>0</v>
      </c>
      <c r="CS178">
        <f t="shared" si="312"/>
        <v>0</v>
      </c>
      <c r="CT178">
        <f t="shared" si="313"/>
        <v>0</v>
      </c>
      <c r="CU178">
        <f t="shared" si="314"/>
        <v>0</v>
      </c>
      <c r="CV178">
        <f t="shared" si="315"/>
        <v>0</v>
      </c>
      <c r="CW178">
        <f t="shared" si="316"/>
        <v>0</v>
      </c>
      <c r="CX178">
        <f t="shared" si="317"/>
        <v>0</v>
      </c>
      <c r="CY178">
        <f t="shared" si="318"/>
        <v>0</v>
      </c>
      <c r="CZ178">
        <f t="shared" si="319"/>
        <v>0</v>
      </c>
      <c r="DA178">
        <f t="shared" si="320"/>
        <v>0</v>
      </c>
      <c r="DB178">
        <f t="shared" si="321"/>
        <v>0</v>
      </c>
      <c r="DC178">
        <f t="shared" si="322"/>
        <v>0</v>
      </c>
      <c r="DD178">
        <f t="shared" si="323"/>
        <v>0</v>
      </c>
      <c r="DE178">
        <f t="shared" si="324"/>
        <v>0</v>
      </c>
      <c r="DF178">
        <f t="shared" si="325"/>
        <v>0</v>
      </c>
      <c r="DG178">
        <f t="shared" si="326"/>
        <v>0</v>
      </c>
      <c r="DH178">
        <f t="shared" si="327"/>
        <v>0</v>
      </c>
      <c r="DI178">
        <f t="shared" si="328"/>
        <v>0</v>
      </c>
      <c r="DJ178">
        <f t="shared" si="329"/>
        <v>0</v>
      </c>
      <c r="DK178">
        <f t="shared" si="330"/>
        <v>0</v>
      </c>
      <c r="DL178">
        <f t="shared" si="331"/>
        <v>0</v>
      </c>
      <c r="DM178">
        <f t="shared" si="332"/>
        <v>0</v>
      </c>
      <c r="DN178">
        <f t="shared" si="333"/>
        <v>0</v>
      </c>
      <c r="DO178">
        <f t="shared" si="334"/>
        <v>0</v>
      </c>
      <c r="DP178">
        <f t="shared" si="335"/>
        <v>0</v>
      </c>
      <c r="DQ178">
        <f t="shared" si="336"/>
        <v>0</v>
      </c>
      <c r="DR178">
        <f t="shared" si="337"/>
        <v>0</v>
      </c>
      <c r="DS178">
        <f t="shared" si="338"/>
        <v>0</v>
      </c>
      <c r="DT178">
        <f t="shared" si="339"/>
        <v>0</v>
      </c>
      <c r="DU178">
        <f t="shared" si="340"/>
        <v>0</v>
      </c>
      <c r="DV178">
        <f t="shared" si="341"/>
        <v>0</v>
      </c>
      <c r="DW178">
        <f t="shared" si="342"/>
        <v>0</v>
      </c>
      <c r="DX178">
        <f t="shared" si="343"/>
        <v>0</v>
      </c>
      <c r="DY178">
        <f t="shared" si="344"/>
        <v>0</v>
      </c>
      <c r="DZ178">
        <f t="shared" si="345"/>
        <v>0</v>
      </c>
      <c r="EA178">
        <f t="shared" si="346"/>
        <v>0</v>
      </c>
      <c r="EB178">
        <f t="shared" si="346"/>
        <v>0</v>
      </c>
      <c r="EC178">
        <f t="shared" si="346"/>
        <v>0</v>
      </c>
      <c r="ED178">
        <f t="shared" si="346"/>
        <v>0</v>
      </c>
      <c r="EE178">
        <f t="shared" si="346"/>
        <v>0</v>
      </c>
      <c r="EF178">
        <f t="shared" si="346"/>
        <v>0</v>
      </c>
    </row>
    <row r="179" spans="1:136" ht="15.5">
      <c r="A179" s="93"/>
      <c r="B179" s="57" t="s">
        <v>3</v>
      </c>
      <c r="C179" s="95"/>
      <c r="D179" s="18">
        <v>63</v>
      </c>
      <c r="E179" s="18">
        <v>65</v>
      </c>
      <c r="F179" s="18">
        <v>39</v>
      </c>
      <c r="G179" s="18">
        <v>41</v>
      </c>
      <c r="H179" s="18">
        <v>42</v>
      </c>
      <c r="I179" s="18">
        <v>43</v>
      </c>
      <c r="J179" s="18">
        <v>43</v>
      </c>
      <c r="K179" s="18">
        <v>0</v>
      </c>
      <c r="L179" s="18">
        <v>0</v>
      </c>
      <c r="M179" s="18">
        <v>0</v>
      </c>
      <c r="N179" s="18">
        <v>2.9990000000000001</v>
      </c>
      <c r="O179" s="18">
        <v>5.0679999999999996</v>
      </c>
      <c r="P179" s="18">
        <v>3.8759999999999999</v>
      </c>
      <c r="Q179" s="18">
        <v>6.12</v>
      </c>
      <c r="R179" s="18">
        <v>5.16</v>
      </c>
      <c r="S179" s="18">
        <v>4.9669999999999996</v>
      </c>
      <c r="T179" s="18">
        <v>4.9669999999999996</v>
      </c>
      <c r="U179" s="18">
        <v>4.9669999999999996</v>
      </c>
      <c r="V179" s="18">
        <v>5.0949999999999998</v>
      </c>
      <c r="W179" s="18">
        <v>15.2158</v>
      </c>
      <c r="X179" s="18">
        <v>16.950530000000001</v>
      </c>
      <c r="Y179" s="18">
        <v>36.979529999999997</v>
      </c>
      <c r="Z179" s="18">
        <v>90.266030000000001</v>
      </c>
      <c r="AA179" s="18">
        <v>107.58329999999999</v>
      </c>
      <c r="AB179" s="18">
        <v>145.2345</v>
      </c>
      <c r="AC179" s="18">
        <v>242.42760000000001</v>
      </c>
      <c r="AD179" s="40" t="s">
        <v>16</v>
      </c>
      <c r="AE179" s="18">
        <v>286.83049999999997</v>
      </c>
      <c r="AF179" s="18">
        <v>185.05009999999999</v>
      </c>
      <c r="AG179" s="18">
        <v>960.72760000000005</v>
      </c>
      <c r="AH179" s="18">
        <v>15</v>
      </c>
      <c r="AI179" s="18">
        <v>541.60659999999996</v>
      </c>
      <c r="AJ179" s="18">
        <v>125</v>
      </c>
      <c r="AK179" s="18">
        <v>187.7749</v>
      </c>
      <c r="AL179" s="18">
        <v>120.5968</v>
      </c>
      <c r="AM179" s="40" t="s">
        <v>16</v>
      </c>
      <c r="AN179" s="18">
        <v>669.19389999999999</v>
      </c>
      <c r="AO179" s="18">
        <v>417.10629999999998</v>
      </c>
      <c r="AP179" s="40" t="s">
        <v>16</v>
      </c>
      <c r="AQ179" s="18">
        <v>76.138459999999995</v>
      </c>
      <c r="AR179" s="18">
        <v>67.042090000000002</v>
      </c>
      <c r="AS179" s="40" t="s">
        <v>16</v>
      </c>
      <c r="AT179" s="18">
        <v>65.325559999999996</v>
      </c>
      <c r="AU179" s="18">
        <v>55.660539999999997</v>
      </c>
      <c r="AV179" s="18">
        <v>68.824439999999996</v>
      </c>
      <c r="AW179" s="18">
        <f>65.0878-AW178</f>
        <v>60.587800000000001</v>
      </c>
      <c r="AX179" s="18">
        <v>1775.3677371999997</v>
      </c>
      <c r="AY179" s="18">
        <v>1174.7825398</v>
      </c>
      <c r="AZ179" s="18">
        <v>14.3007151</v>
      </c>
      <c r="BA179" s="18">
        <v>85.30806410000001</v>
      </c>
      <c r="BB179" s="18">
        <v>0</v>
      </c>
      <c r="BC179" s="18">
        <v>0</v>
      </c>
      <c r="BD179" s="18">
        <v>0</v>
      </c>
      <c r="BE179" s="25">
        <v>0</v>
      </c>
      <c r="BF179" s="40">
        <v>0.442</v>
      </c>
      <c r="BG179" s="18">
        <v>0</v>
      </c>
      <c r="BH179" s="18">
        <v>0</v>
      </c>
      <c r="BI179" s="18">
        <v>0.86551980000000006</v>
      </c>
      <c r="BJ179" s="18">
        <v>0</v>
      </c>
      <c r="BK179" s="18">
        <v>0</v>
      </c>
      <c r="BL179" s="18">
        <v>0.08</v>
      </c>
      <c r="BM179" s="18">
        <v>0.14000000000000001</v>
      </c>
      <c r="BN179" s="18">
        <v>0.23899999999999999</v>
      </c>
      <c r="BO179" s="18">
        <v>0.42599999999999999</v>
      </c>
      <c r="BP179" s="18">
        <v>0.42599999999999999</v>
      </c>
      <c r="BQ179" s="18">
        <v>0.42599999999999999</v>
      </c>
      <c r="BR179" s="101"/>
      <c r="BS179">
        <f t="shared" si="286"/>
        <v>0</v>
      </c>
      <c r="BT179">
        <f t="shared" si="287"/>
        <v>0</v>
      </c>
      <c r="BU179">
        <f t="shared" si="288"/>
        <v>0</v>
      </c>
      <c r="BV179">
        <f t="shared" si="289"/>
        <v>0</v>
      </c>
      <c r="BW179">
        <f t="shared" si="290"/>
        <v>0</v>
      </c>
      <c r="BX179">
        <f t="shared" si="291"/>
        <v>0</v>
      </c>
      <c r="BY179">
        <f t="shared" si="292"/>
        <v>0</v>
      </c>
      <c r="BZ179">
        <f t="shared" si="293"/>
        <v>0</v>
      </c>
      <c r="CA179">
        <f t="shared" si="294"/>
        <v>0</v>
      </c>
      <c r="CB179">
        <f t="shared" si="295"/>
        <v>0</v>
      </c>
      <c r="CC179">
        <f t="shared" si="296"/>
        <v>0</v>
      </c>
      <c r="CD179">
        <f t="shared" si="297"/>
        <v>0</v>
      </c>
      <c r="CE179">
        <f t="shared" si="298"/>
        <v>0</v>
      </c>
      <c r="CF179">
        <f t="shared" si="299"/>
        <v>0</v>
      </c>
      <c r="CG179">
        <f t="shared" si="300"/>
        <v>0</v>
      </c>
      <c r="CH179">
        <f t="shared" si="301"/>
        <v>0</v>
      </c>
      <c r="CI179">
        <f t="shared" si="302"/>
        <v>0</v>
      </c>
      <c r="CJ179">
        <f t="shared" si="303"/>
        <v>0</v>
      </c>
      <c r="CK179">
        <f t="shared" si="304"/>
        <v>0</v>
      </c>
      <c r="CL179">
        <f t="shared" si="305"/>
        <v>0</v>
      </c>
      <c r="CM179">
        <f t="shared" si="306"/>
        <v>0</v>
      </c>
      <c r="CN179">
        <f t="shared" si="307"/>
        <v>0</v>
      </c>
      <c r="CO179">
        <f t="shared" si="308"/>
        <v>0</v>
      </c>
      <c r="CP179">
        <f t="shared" si="309"/>
        <v>0</v>
      </c>
      <c r="CQ179">
        <f t="shared" si="310"/>
        <v>0</v>
      </c>
      <c r="CR179">
        <f t="shared" si="311"/>
        <v>0</v>
      </c>
      <c r="CS179">
        <f t="shared" si="312"/>
        <v>0</v>
      </c>
      <c r="CT179">
        <f t="shared" si="313"/>
        <v>0</v>
      </c>
      <c r="CU179">
        <f t="shared" si="314"/>
        <v>0</v>
      </c>
      <c r="CV179">
        <f t="shared" si="315"/>
        <v>0</v>
      </c>
      <c r="CW179">
        <f t="shared" si="316"/>
        <v>0</v>
      </c>
      <c r="CX179">
        <f t="shared" si="317"/>
        <v>0</v>
      </c>
      <c r="CY179">
        <f t="shared" si="318"/>
        <v>0</v>
      </c>
      <c r="CZ179">
        <f t="shared" si="319"/>
        <v>0</v>
      </c>
      <c r="DA179">
        <f t="shared" si="320"/>
        <v>0</v>
      </c>
      <c r="DB179">
        <f t="shared" si="321"/>
        <v>0</v>
      </c>
      <c r="DC179">
        <f t="shared" si="322"/>
        <v>0</v>
      </c>
      <c r="DD179">
        <f t="shared" si="323"/>
        <v>0</v>
      </c>
      <c r="DE179">
        <f t="shared" si="324"/>
        <v>0</v>
      </c>
      <c r="DF179">
        <f t="shared" si="325"/>
        <v>0</v>
      </c>
      <c r="DG179">
        <f t="shared" si="326"/>
        <v>0</v>
      </c>
      <c r="DH179">
        <f t="shared" si="327"/>
        <v>0</v>
      </c>
      <c r="DI179">
        <f t="shared" si="328"/>
        <v>0</v>
      </c>
      <c r="DJ179">
        <f t="shared" si="329"/>
        <v>0</v>
      </c>
      <c r="DK179">
        <f t="shared" si="330"/>
        <v>0</v>
      </c>
      <c r="DL179">
        <f t="shared" si="331"/>
        <v>0</v>
      </c>
      <c r="DM179">
        <f t="shared" si="332"/>
        <v>0</v>
      </c>
      <c r="DN179">
        <f t="shared" si="333"/>
        <v>0</v>
      </c>
      <c r="DO179">
        <f t="shared" si="334"/>
        <v>0</v>
      </c>
      <c r="DP179">
        <f t="shared" si="335"/>
        <v>0</v>
      </c>
      <c r="DQ179">
        <f t="shared" si="336"/>
        <v>0</v>
      </c>
      <c r="DR179">
        <f t="shared" si="337"/>
        <v>0</v>
      </c>
      <c r="DS179">
        <f t="shared" si="338"/>
        <v>0</v>
      </c>
      <c r="DT179">
        <f t="shared" si="339"/>
        <v>0</v>
      </c>
      <c r="DU179">
        <f t="shared" si="340"/>
        <v>0</v>
      </c>
      <c r="DV179">
        <f t="shared" si="341"/>
        <v>0</v>
      </c>
      <c r="DW179">
        <f t="shared" si="342"/>
        <v>0</v>
      </c>
      <c r="DX179">
        <f t="shared" si="343"/>
        <v>0</v>
      </c>
      <c r="DY179">
        <f t="shared" si="344"/>
        <v>0</v>
      </c>
      <c r="DZ179">
        <f t="shared" si="345"/>
        <v>0</v>
      </c>
      <c r="EA179">
        <f t="shared" si="346"/>
        <v>0</v>
      </c>
      <c r="EB179">
        <f t="shared" si="346"/>
        <v>0</v>
      </c>
      <c r="EC179">
        <f t="shared" si="346"/>
        <v>0</v>
      </c>
      <c r="ED179">
        <f t="shared" si="346"/>
        <v>0</v>
      </c>
      <c r="EE179">
        <f t="shared" si="346"/>
        <v>0</v>
      </c>
      <c r="EF179">
        <f t="shared" si="346"/>
        <v>0</v>
      </c>
    </row>
    <row r="180" spans="1:136" ht="15.5">
      <c r="A180" s="93"/>
      <c r="B180" s="19" t="s">
        <v>208</v>
      </c>
      <c r="C180" s="95"/>
      <c r="D180" s="18">
        <v>0</v>
      </c>
      <c r="E180" s="18">
        <v>0</v>
      </c>
      <c r="F180" s="18">
        <v>0</v>
      </c>
      <c r="G180" s="18">
        <v>0</v>
      </c>
      <c r="H180" s="18">
        <v>0</v>
      </c>
      <c r="I180" s="18">
        <v>0</v>
      </c>
      <c r="J180" s="18">
        <v>0</v>
      </c>
      <c r="K180" s="18">
        <v>0</v>
      </c>
      <c r="L180" s="18">
        <v>0</v>
      </c>
      <c r="M180" s="18">
        <v>0</v>
      </c>
      <c r="N180" s="18">
        <v>0</v>
      </c>
      <c r="O180" s="18">
        <v>0.23</v>
      </c>
      <c r="P180" s="18">
        <v>0.25800000000000001</v>
      </c>
      <c r="Q180" s="18">
        <v>0.25800000000000001</v>
      </c>
      <c r="R180" s="18">
        <v>0.25800000000000001</v>
      </c>
      <c r="S180" s="18">
        <v>0.25800000000000001</v>
      </c>
      <c r="T180" s="18">
        <v>0.25800000000000001</v>
      </c>
      <c r="U180" s="18">
        <v>0.25800000000000001</v>
      </c>
      <c r="V180" s="18">
        <v>1.5680000000000001</v>
      </c>
      <c r="W180" s="18">
        <v>11.473000000000001</v>
      </c>
      <c r="X180" s="18">
        <v>7.2519999999999998</v>
      </c>
      <c r="Y180" s="18">
        <v>50.183</v>
      </c>
      <c r="Z180" s="18">
        <v>96.814999999999998</v>
      </c>
      <c r="AA180" s="18">
        <v>147.81299999999999</v>
      </c>
      <c r="AB180" s="18">
        <v>419.74599999999998</v>
      </c>
      <c r="AC180" s="18">
        <v>648.92999999999995</v>
      </c>
      <c r="AD180" s="18">
        <v>662.71500000000003</v>
      </c>
      <c r="AE180" s="18">
        <v>950.99699999999996</v>
      </c>
      <c r="AF180" s="18">
        <v>57.28</v>
      </c>
      <c r="AG180" s="18">
        <v>46.706000000000003</v>
      </c>
      <c r="AH180" s="18">
        <v>42.051000000000002</v>
      </c>
      <c r="AI180" s="18">
        <v>34.651000000000003</v>
      </c>
      <c r="AJ180" s="18">
        <v>28.939</v>
      </c>
      <c r="AK180" s="18">
        <v>31.9</v>
      </c>
      <c r="AL180" s="18">
        <v>32.96</v>
      </c>
      <c r="AM180" s="18">
        <v>24.382999999999999</v>
      </c>
      <c r="AN180" s="18">
        <v>24.381</v>
      </c>
      <c r="AO180" s="18">
        <v>9.3849999999999998</v>
      </c>
      <c r="AP180" s="18">
        <v>9.3849999999999998</v>
      </c>
      <c r="AQ180" s="18">
        <v>6.0999999999999999E-2</v>
      </c>
      <c r="AR180" s="18">
        <v>0.06</v>
      </c>
      <c r="AS180" s="18">
        <v>0</v>
      </c>
      <c r="AT180" s="18">
        <v>0</v>
      </c>
      <c r="AU180" s="18">
        <v>0</v>
      </c>
      <c r="AV180" s="18">
        <v>0</v>
      </c>
      <c r="AW180" s="18">
        <v>0</v>
      </c>
      <c r="AX180" s="18">
        <v>0</v>
      </c>
      <c r="AY180" s="18">
        <v>0</v>
      </c>
      <c r="AZ180" s="18">
        <v>0</v>
      </c>
      <c r="BA180" s="18">
        <v>0</v>
      </c>
      <c r="BB180" s="18">
        <v>0</v>
      </c>
      <c r="BC180" s="18">
        <v>0</v>
      </c>
      <c r="BD180" s="18">
        <v>0</v>
      </c>
      <c r="BE180" s="25">
        <v>0</v>
      </c>
      <c r="BF180" s="18">
        <v>0</v>
      </c>
      <c r="BG180" s="18">
        <v>0</v>
      </c>
      <c r="BH180" s="18">
        <v>0</v>
      </c>
      <c r="BI180" s="18">
        <v>0</v>
      </c>
      <c r="BJ180" s="18">
        <v>0</v>
      </c>
      <c r="BK180" s="18">
        <v>0</v>
      </c>
      <c r="BL180" s="18">
        <v>0</v>
      </c>
      <c r="BM180" s="18">
        <v>0</v>
      </c>
      <c r="BN180" s="18">
        <v>0</v>
      </c>
      <c r="BO180" s="18">
        <v>0</v>
      </c>
      <c r="BP180" s="18">
        <v>0</v>
      </c>
      <c r="BQ180" s="18">
        <v>0</v>
      </c>
      <c r="BR180" s="101"/>
      <c r="BS180">
        <f t="shared" si="286"/>
        <v>0</v>
      </c>
      <c r="BT180">
        <f t="shared" si="287"/>
        <v>0</v>
      </c>
      <c r="BU180">
        <f t="shared" si="288"/>
        <v>0</v>
      </c>
      <c r="BV180">
        <f t="shared" si="289"/>
        <v>0</v>
      </c>
      <c r="BW180">
        <f t="shared" si="290"/>
        <v>0</v>
      </c>
      <c r="BX180">
        <f t="shared" si="291"/>
        <v>0</v>
      </c>
      <c r="BY180">
        <f t="shared" si="292"/>
        <v>0</v>
      </c>
      <c r="BZ180">
        <f t="shared" si="293"/>
        <v>0</v>
      </c>
      <c r="CA180">
        <f t="shared" si="294"/>
        <v>0</v>
      </c>
      <c r="CB180">
        <f t="shared" si="295"/>
        <v>0</v>
      </c>
      <c r="CC180">
        <f t="shared" si="296"/>
        <v>0</v>
      </c>
      <c r="CD180">
        <f t="shared" si="297"/>
        <v>0</v>
      </c>
      <c r="CE180">
        <f t="shared" si="298"/>
        <v>0</v>
      </c>
      <c r="CF180">
        <f t="shared" si="299"/>
        <v>0</v>
      </c>
      <c r="CG180">
        <f t="shared" si="300"/>
        <v>0</v>
      </c>
      <c r="CH180">
        <f t="shared" si="301"/>
        <v>0</v>
      </c>
      <c r="CI180">
        <f t="shared" si="302"/>
        <v>0</v>
      </c>
      <c r="CJ180">
        <f t="shared" si="303"/>
        <v>0</v>
      </c>
      <c r="CK180">
        <f t="shared" si="304"/>
        <v>0</v>
      </c>
      <c r="CL180">
        <f t="shared" si="305"/>
        <v>0</v>
      </c>
      <c r="CM180">
        <f t="shared" si="306"/>
        <v>0</v>
      </c>
      <c r="CN180">
        <f t="shared" si="307"/>
        <v>0</v>
      </c>
      <c r="CO180">
        <f t="shared" si="308"/>
        <v>0</v>
      </c>
      <c r="CP180">
        <f t="shared" si="309"/>
        <v>0</v>
      </c>
      <c r="CQ180">
        <f t="shared" si="310"/>
        <v>0</v>
      </c>
      <c r="CR180">
        <f t="shared" si="311"/>
        <v>0</v>
      </c>
      <c r="CS180">
        <f t="shared" si="312"/>
        <v>0</v>
      </c>
      <c r="CT180">
        <f t="shared" si="313"/>
        <v>0</v>
      </c>
      <c r="CU180">
        <f t="shared" si="314"/>
        <v>0</v>
      </c>
      <c r="CV180">
        <f t="shared" si="315"/>
        <v>0</v>
      </c>
      <c r="CW180">
        <f t="shared" si="316"/>
        <v>0</v>
      </c>
      <c r="CX180">
        <f t="shared" si="317"/>
        <v>0</v>
      </c>
      <c r="CY180">
        <f t="shared" si="318"/>
        <v>0</v>
      </c>
      <c r="CZ180">
        <f t="shared" si="319"/>
        <v>0</v>
      </c>
      <c r="DA180">
        <f t="shared" si="320"/>
        <v>0</v>
      </c>
      <c r="DB180">
        <f t="shared" si="321"/>
        <v>0</v>
      </c>
      <c r="DC180">
        <f t="shared" si="322"/>
        <v>0</v>
      </c>
      <c r="DD180">
        <f t="shared" si="323"/>
        <v>0</v>
      </c>
      <c r="DE180">
        <f t="shared" si="324"/>
        <v>0</v>
      </c>
      <c r="DF180">
        <f t="shared" si="325"/>
        <v>0</v>
      </c>
      <c r="DG180">
        <f t="shared" si="326"/>
        <v>0</v>
      </c>
      <c r="DH180">
        <f t="shared" si="327"/>
        <v>0</v>
      </c>
      <c r="DI180">
        <f t="shared" si="328"/>
        <v>0</v>
      </c>
      <c r="DJ180">
        <f t="shared" si="329"/>
        <v>0</v>
      </c>
      <c r="DK180">
        <f t="shared" si="330"/>
        <v>0</v>
      </c>
      <c r="DL180">
        <f t="shared" si="331"/>
        <v>0</v>
      </c>
      <c r="DM180">
        <f t="shared" si="332"/>
        <v>0</v>
      </c>
      <c r="DN180">
        <f t="shared" si="333"/>
        <v>0</v>
      </c>
      <c r="DO180">
        <f t="shared" si="334"/>
        <v>0</v>
      </c>
      <c r="DP180">
        <f t="shared" si="335"/>
        <v>0</v>
      </c>
      <c r="DQ180">
        <f t="shared" si="336"/>
        <v>0</v>
      </c>
      <c r="DR180">
        <f t="shared" si="337"/>
        <v>0</v>
      </c>
      <c r="DS180">
        <f t="shared" si="338"/>
        <v>0</v>
      </c>
      <c r="DT180">
        <f t="shared" si="339"/>
        <v>0</v>
      </c>
      <c r="DU180">
        <f t="shared" si="340"/>
        <v>0</v>
      </c>
      <c r="DV180">
        <f t="shared" si="341"/>
        <v>0</v>
      </c>
      <c r="DW180">
        <f t="shared" si="342"/>
        <v>0</v>
      </c>
      <c r="DX180">
        <f t="shared" si="343"/>
        <v>0</v>
      </c>
      <c r="DY180">
        <f t="shared" si="344"/>
        <v>0</v>
      </c>
      <c r="DZ180">
        <f t="shared" si="345"/>
        <v>0</v>
      </c>
      <c r="EA180">
        <f t="shared" ref="EA180:EF184" si="347">IF($C180&lt;&gt;"",IF(BL180&gt;0,1,0),0)</f>
        <v>0</v>
      </c>
      <c r="EB180">
        <f t="shared" si="347"/>
        <v>0</v>
      </c>
      <c r="EC180">
        <f t="shared" si="347"/>
        <v>0</v>
      </c>
      <c r="ED180">
        <f t="shared" si="347"/>
        <v>0</v>
      </c>
      <c r="EE180">
        <f t="shared" si="347"/>
        <v>0</v>
      </c>
      <c r="EF180">
        <f t="shared" si="347"/>
        <v>0</v>
      </c>
    </row>
    <row r="181" spans="1:136" ht="15.5">
      <c r="A181" s="93"/>
      <c r="B181" s="53" t="s">
        <v>18</v>
      </c>
      <c r="C181" s="95"/>
      <c r="D181" s="18">
        <v>0</v>
      </c>
      <c r="E181" s="18">
        <v>0</v>
      </c>
      <c r="F181" s="18">
        <v>0</v>
      </c>
      <c r="G181" s="18">
        <v>0</v>
      </c>
      <c r="H181" s="18">
        <v>0</v>
      </c>
      <c r="I181" s="18">
        <v>0</v>
      </c>
      <c r="J181" s="18">
        <v>0</v>
      </c>
      <c r="K181" s="18">
        <v>0</v>
      </c>
      <c r="L181" s="18">
        <v>0</v>
      </c>
      <c r="M181" s="18">
        <v>0</v>
      </c>
      <c r="N181" s="18">
        <v>0</v>
      </c>
      <c r="O181" s="18">
        <v>0</v>
      </c>
      <c r="P181" s="18">
        <v>0</v>
      </c>
      <c r="Q181" s="18">
        <v>0</v>
      </c>
      <c r="R181" s="18">
        <v>0</v>
      </c>
      <c r="S181" s="18">
        <v>0</v>
      </c>
      <c r="T181" s="18">
        <v>0</v>
      </c>
      <c r="U181" s="18">
        <v>0</v>
      </c>
      <c r="V181" s="18">
        <v>0</v>
      </c>
      <c r="W181" s="18">
        <v>0</v>
      </c>
      <c r="X181" s="18">
        <v>172</v>
      </c>
      <c r="Y181" s="18">
        <f>416+55</f>
        <v>471</v>
      </c>
      <c r="Z181" s="18">
        <v>123</v>
      </c>
      <c r="AA181" s="18">
        <v>479.75</v>
      </c>
      <c r="AB181" s="18">
        <v>21.75</v>
      </c>
      <c r="AC181" s="18">
        <v>0</v>
      </c>
      <c r="AD181" s="18">
        <v>963.69125000000008</v>
      </c>
      <c r="AE181" s="18">
        <v>920</v>
      </c>
      <c r="AF181" s="18">
        <v>478.22424999999998</v>
      </c>
      <c r="AG181" s="18">
        <v>234.45</v>
      </c>
      <c r="AH181" s="18">
        <v>213.46350000000001</v>
      </c>
      <c r="AI181" s="18">
        <v>210.477405</v>
      </c>
      <c r="AJ181" s="18">
        <v>190.49172715</v>
      </c>
      <c r="AK181" s="18">
        <v>321</v>
      </c>
      <c r="AL181" s="18">
        <v>0</v>
      </c>
      <c r="AM181" s="18">
        <v>0</v>
      </c>
      <c r="AN181" s="18">
        <v>0</v>
      </c>
      <c r="AO181" s="18">
        <v>0</v>
      </c>
      <c r="AP181" s="18">
        <v>0</v>
      </c>
      <c r="AQ181" s="18">
        <v>0</v>
      </c>
      <c r="AR181" s="18">
        <v>0</v>
      </c>
      <c r="AS181" s="18">
        <v>0</v>
      </c>
      <c r="AT181" s="18">
        <v>0</v>
      </c>
      <c r="AU181" s="18">
        <v>0</v>
      </c>
      <c r="AV181" s="18">
        <v>0</v>
      </c>
      <c r="AW181" s="18">
        <v>0</v>
      </c>
      <c r="AX181" s="18">
        <v>0</v>
      </c>
      <c r="AY181" s="18">
        <v>0</v>
      </c>
      <c r="AZ181" s="18">
        <v>0</v>
      </c>
      <c r="BA181" s="18">
        <v>0</v>
      </c>
      <c r="BB181" s="18">
        <v>0</v>
      </c>
      <c r="BC181" s="18">
        <v>0</v>
      </c>
      <c r="BD181" s="18">
        <v>0</v>
      </c>
      <c r="BE181" s="25">
        <v>0</v>
      </c>
      <c r="BF181" s="18">
        <v>0</v>
      </c>
      <c r="BG181" s="18">
        <v>0</v>
      </c>
      <c r="BH181" s="18">
        <v>0</v>
      </c>
      <c r="BI181" s="18">
        <v>0</v>
      </c>
      <c r="BJ181" s="18">
        <v>0</v>
      </c>
      <c r="BK181" s="18">
        <v>0</v>
      </c>
      <c r="BL181" s="18">
        <v>0</v>
      </c>
      <c r="BM181" s="18">
        <v>0</v>
      </c>
      <c r="BN181" s="18">
        <v>0</v>
      </c>
      <c r="BO181" s="18">
        <v>0</v>
      </c>
      <c r="BP181" s="18">
        <v>0</v>
      </c>
      <c r="BQ181" s="18">
        <v>0</v>
      </c>
      <c r="BR181" s="101"/>
      <c r="BS181">
        <f t="shared" si="286"/>
        <v>0</v>
      </c>
      <c r="BT181">
        <f t="shared" si="287"/>
        <v>0</v>
      </c>
      <c r="BU181">
        <f t="shared" si="288"/>
        <v>0</v>
      </c>
      <c r="BV181">
        <f t="shared" si="289"/>
        <v>0</v>
      </c>
      <c r="BW181">
        <f t="shared" si="290"/>
        <v>0</v>
      </c>
      <c r="BX181">
        <f t="shared" si="291"/>
        <v>0</v>
      </c>
      <c r="BY181">
        <f t="shared" si="292"/>
        <v>0</v>
      </c>
      <c r="BZ181">
        <f t="shared" si="293"/>
        <v>0</v>
      </c>
      <c r="CA181">
        <f t="shared" si="294"/>
        <v>0</v>
      </c>
      <c r="CB181">
        <f t="shared" si="295"/>
        <v>0</v>
      </c>
      <c r="CC181">
        <f t="shared" si="296"/>
        <v>0</v>
      </c>
      <c r="CD181">
        <f t="shared" si="297"/>
        <v>0</v>
      </c>
      <c r="CE181">
        <f t="shared" si="298"/>
        <v>0</v>
      </c>
      <c r="CF181">
        <f t="shared" si="299"/>
        <v>0</v>
      </c>
      <c r="CG181">
        <f t="shared" si="300"/>
        <v>0</v>
      </c>
      <c r="CH181">
        <f t="shared" si="301"/>
        <v>0</v>
      </c>
      <c r="CI181">
        <f t="shared" si="302"/>
        <v>0</v>
      </c>
      <c r="CJ181">
        <f t="shared" si="303"/>
        <v>0</v>
      </c>
      <c r="CK181">
        <f t="shared" si="304"/>
        <v>0</v>
      </c>
      <c r="CL181">
        <f t="shared" si="305"/>
        <v>0</v>
      </c>
      <c r="CM181">
        <f t="shared" si="306"/>
        <v>0</v>
      </c>
      <c r="CN181">
        <f t="shared" si="307"/>
        <v>0</v>
      </c>
      <c r="CO181">
        <f t="shared" si="308"/>
        <v>0</v>
      </c>
      <c r="CP181">
        <f t="shared" si="309"/>
        <v>0</v>
      </c>
      <c r="CQ181">
        <f t="shared" si="310"/>
        <v>0</v>
      </c>
      <c r="CR181">
        <f t="shared" si="311"/>
        <v>0</v>
      </c>
      <c r="CS181">
        <f t="shared" si="312"/>
        <v>0</v>
      </c>
      <c r="CT181">
        <f t="shared" si="313"/>
        <v>0</v>
      </c>
      <c r="CU181">
        <f t="shared" si="314"/>
        <v>0</v>
      </c>
      <c r="CV181">
        <f t="shared" si="315"/>
        <v>0</v>
      </c>
      <c r="CW181">
        <f t="shared" si="316"/>
        <v>0</v>
      </c>
      <c r="CX181">
        <f t="shared" si="317"/>
        <v>0</v>
      </c>
      <c r="CY181">
        <f t="shared" si="318"/>
        <v>0</v>
      </c>
      <c r="CZ181">
        <f t="shared" si="319"/>
        <v>0</v>
      </c>
      <c r="DA181">
        <f t="shared" si="320"/>
        <v>0</v>
      </c>
      <c r="DB181">
        <f t="shared" si="321"/>
        <v>0</v>
      </c>
      <c r="DC181">
        <f t="shared" si="322"/>
        <v>0</v>
      </c>
      <c r="DD181">
        <f t="shared" si="323"/>
        <v>0</v>
      </c>
      <c r="DE181">
        <f t="shared" si="324"/>
        <v>0</v>
      </c>
      <c r="DF181">
        <f t="shared" si="325"/>
        <v>0</v>
      </c>
      <c r="DG181">
        <f t="shared" si="326"/>
        <v>0</v>
      </c>
      <c r="DH181">
        <f t="shared" si="327"/>
        <v>0</v>
      </c>
      <c r="DI181">
        <f t="shared" si="328"/>
        <v>0</v>
      </c>
      <c r="DJ181">
        <f t="shared" si="329"/>
        <v>0</v>
      </c>
      <c r="DK181">
        <f t="shared" si="330"/>
        <v>0</v>
      </c>
      <c r="DL181">
        <f t="shared" si="331"/>
        <v>0</v>
      </c>
      <c r="DM181">
        <f t="shared" si="332"/>
        <v>0</v>
      </c>
      <c r="DN181">
        <f t="shared" si="333"/>
        <v>0</v>
      </c>
      <c r="DO181">
        <f t="shared" si="334"/>
        <v>0</v>
      </c>
      <c r="DP181">
        <f t="shared" si="335"/>
        <v>0</v>
      </c>
      <c r="DQ181">
        <f t="shared" si="336"/>
        <v>0</v>
      </c>
      <c r="DR181">
        <f t="shared" si="337"/>
        <v>0</v>
      </c>
      <c r="DS181">
        <f t="shared" si="338"/>
        <v>0</v>
      </c>
      <c r="DT181">
        <f t="shared" si="339"/>
        <v>0</v>
      </c>
      <c r="DU181">
        <f t="shared" si="340"/>
        <v>0</v>
      </c>
      <c r="DV181">
        <f t="shared" si="341"/>
        <v>0</v>
      </c>
      <c r="DW181">
        <f t="shared" si="342"/>
        <v>0</v>
      </c>
      <c r="DX181">
        <f t="shared" si="343"/>
        <v>0</v>
      </c>
      <c r="DY181">
        <f t="shared" si="344"/>
        <v>0</v>
      </c>
      <c r="DZ181">
        <f t="shared" si="345"/>
        <v>0</v>
      </c>
      <c r="EA181">
        <f t="shared" si="347"/>
        <v>0</v>
      </c>
      <c r="EB181">
        <f t="shared" si="347"/>
        <v>0</v>
      </c>
      <c r="EC181">
        <f t="shared" si="347"/>
        <v>0</v>
      </c>
      <c r="ED181">
        <f t="shared" si="347"/>
        <v>0</v>
      </c>
      <c r="EE181">
        <f t="shared" si="347"/>
        <v>0</v>
      </c>
      <c r="EF181">
        <f t="shared" si="347"/>
        <v>0</v>
      </c>
    </row>
    <row r="182" spans="1:136" ht="15.5">
      <c r="A182" s="93"/>
      <c r="B182" s="53" t="s">
        <v>25</v>
      </c>
      <c r="C182" s="94"/>
      <c r="D182" s="18">
        <v>53.546999999999997</v>
      </c>
      <c r="E182" s="18">
        <v>56.19</v>
      </c>
      <c r="F182" s="18">
        <v>58.832999999999998</v>
      </c>
      <c r="G182" s="18">
        <v>61.475999999999999</v>
      </c>
      <c r="H182" s="18">
        <v>64.119</v>
      </c>
      <c r="I182" s="18">
        <v>66.762</v>
      </c>
      <c r="J182" s="18">
        <v>69.405000000000001</v>
      </c>
      <c r="K182" s="18">
        <v>72.048000000000002</v>
      </c>
      <c r="L182" s="18">
        <v>74.691000000000003</v>
      </c>
      <c r="M182" s="18">
        <v>77.334000000000003</v>
      </c>
      <c r="N182" s="18">
        <v>0</v>
      </c>
      <c r="O182" s="18">
        <v>0</v>
      </c>
      <c r="P182" s="18">
        <v>0</v>
      </c>
      <c r="Q182" s="18">
        <v>0</v>
      </c>
      <c r="R182" s="18">
        <v>0</v>
      </c>
      <c r="S182" s="18">
        <v>0</v>
      </c>
      <c r="T182" s="18">
        <v>0</v>
      </c>
      <c r="U182" s="18">
        <v>0</v>
      </c>
      <c r="V182" s="18">
        <v>0</v>
      </c>
      <c r="W182" s="18">
        <v>0</v>
      </c>
      <c r="X182" s="18">
        <v>0</v>
      </c>
      <c r="Y182" s="18">
        <v>0</v>
      </c>
      <c r="Z182" s="18">
        <v>0</v>
      </c>
      <c r="AA182" s="18">
        <v>0</v>
      </c>
      <c r="AB182" s="18">
        <v>0</v>
      </c>
      <c r="AC182" s="18">
        <v>0</v>
      </c>
      <c r="AD182" s="18">
        <v>0</v>
      </c>
      <c r="AE182" s="18">
        <v>0</v>
      </c>
      <c r="AF182" s="18">
        <v>0</v>
      </c>
      <c r="AG182" s="18">
        <v>14</v>
      </c>
      <c r="AH182" s="18">
        <v>14</v>
      </c>
      <c r="AI182" s="18">
        <v>14</v>
      </c>
      <c r="AJ182" s="18">
        <v>15</v>
      </c>
      <c r="AK182" s="18">
        <v>15</v>
      </c>
      <c r="AL182" s="18">
        <v>15</v>
      </c>
      <c r="AM182" s="18">
        <v>15.53732353343805</v>
      </c>
      <c r="AN182" s="18">
        <v>15.553443239441192</v>
      </c>
      <c r="AO182" s="18">
        <v>15.553443239441192</v>
      </c>
      <c r="AP182" s="18">
        <v>0</v>
      </c>
      <c r="AQ182" s="18">
        <v>0</v>
      </c>
      <c r="AR182" s="18">
        <v>0</v>
      </c>
      <c r="AS182" s="18">
        <v>0</v>
      </c>
      <c r="AT182" s="18">
        <v>0</v>
      </c>
      <c r="AU182" s="18">
        <v>0</v>
      </c>
      <c r="AV182" s="18">
        <v>0</v>
      </c>
      <c r="AW182" s="18">
        <v>0</v>
      </c>
      <c r="AX182" s="18">
        <v>0</v>
      </c>
      <c r="AY182" s="18">
        <v>0</v>
      </c>
      <c r="AZ182" s="18">
        <v>0</v>
      </c>
      <c r="BA182" s="18">
        <v>0</v>
      </c>
      <c r="BB182" s="18">
        <v>0</v>
      </c>
      <c r="BC182" s="18">
        <v>0</v>
      </c>
      <c r="BD182" s="18">
        <v>0</v>
      </c>
      <c r="BE182" s="25">
        <v>0</v>
      </c>
      <c r="BF182" s="18">
        <v>0</v>
      </c>
      <c r="BG182" s="18">
        <v>0</v>
      </c>
      <c r="BH182" s="18">
        <v>0</v>
      </c>
      <c r="BI182" s="18">
        <v>0</v>
      </c>
      <c r="BJ182" s="18">
        <v>0</v>
      </c>
      <c r="BK182" s="18">
        <v>0</v>
      </c>
      <c r="BL182" s="18">
        <v>0</v>
      </c>
      <c r="BM182" s="18">
        <v>0</v>
      </c>
      <c r="BN182" s="18">
        <v>0</v>
      </c>
      <c r="BO182" s="18">
        <v>0</v>
      </c>
      <c r="BP182" s="18">
        <v>0</v>
      </c>
      <c r="BQ182" s="18">
        <v>0</v>
      </c>
      <c r="BR182" s="101"/>
      <c r="BS182">
        <f t="shared" si="286"/>
        <v>0</v>
      </c>
      <c r="BT182">
        <f t="shared" si="287"/>
        <v>0</v>
      </c>
      <c r="BU182">
        <f t="shared" si="288"/>
        <v>0</v>
      </c>
      <c r="BV182">
        <f t="shared" si="289"/>
        <v>0</v>
      </c>
      <c r="BW182">
        <f t="shared" si="290"/>
        <v>0</v>
      </c>
      <c r="BX182">
        <f t="shared" si="291"/>
        <v>0</v>
      </c>
      <c r="BY182">
        <f t="shared" si="292"/>
        <v>0</v>
      </c>
      <c r="BZ182">
        <f t="shared" si="293"/>
        <v>0</v>
      </c>
      <c r="CA182">
        <f t="shared" si="294"/>
        <v>0</v>
      </c>
      <c r="CB182">
        <f t="shared" si="295"/>
        <v>0</v>
      </c>
      <c r="CC182">
        <f t="shared" si="296"/>
        <v>0</v>
      </c>
      <c r="CD182">
        <f t="shared" si="297"/>
        <v>0</v>
      </c>
      <c r="CE182">
        <f t="shared" si="298"/>
        <v>0</v>
      </c>
      <c r="CF182">
        <f t="shared" si="299"/>
        <v>0</v>
      </c>
      <c r="CG182">
        <f t="shared" si="300"/>
        <v>0</v>
      </c>
      <c r="CH182">
        <f t="shared" si="301"/>
        <v>0</v>
      </c>
      <c r="CI182">
        <f t="shared" si="302"/>
        <v>0</v>
      </c>
      <c r="CJ182">
        <f t="shared" si="303"/>
        <v>0</v>
      </c>
      <c r="CK182">
        <f t="shared" si="304"/>
        <v>0</v>
      </c>
      <c r="CL182">
        <f t="shared" si="305"/>
        <v>0</v>
      </c>
      <c r="CM182">
        <f t="shared" si="306"/>
        <v>0</v>
      </c>
      <c r="CN182">
        <f t="shared" si="307"/>
        <v>0</v>
      </c>
      <c r="CO182">
        <f t="shared" si="308"/>
        <v>0</v>
      </c>
      <c r="CP182">
        <f t="shared" si="309"/>
        <v>0</v>
      </c>
      <c r="CQ182">
        <f t="shared" si="310"/>
        <v>0</v>
      </c>
      <c r="CR182">
        <f t="shared" si="311"/>
        <v>0</v>
      </c>
      <c r="CS182">
        <f t="shared" si="312"/>
        <v>0</v>
      </c>
      <c r="CT182">
        <f t="shared" si="313"/>
        <v>0</v>
      </c>
      <c r="CU182">
        <f t="shared" si="314"/>
        <v>0</v>
      </c>
      <c r="CV182">
        <f t="shared" si="315"/>
        <v>0</v>
      </c>
      <c r="CW182">
        <f t="shared" si="316"/>
        <v>0</v>
      </c>
      <c r="CX182">
        <f t="shared" si="317"/>
        <v>0</v>
      </c>
      <c r="CY182">
        <f t="shared" si="318"/>
        <v>0</v>
      </c>
      <c r="CZ182">
        <f t="shared" si="319"/>
        <v>0</v>
      </c>
      <c r="DA182">
        <f t="shared" si="320"/>
        <v>0</v>
      </c>
      <c r="DB182">
        <f t="shared" si="321"/>
        <v>0</v>
      </c>
      <c r="DC182">
        <f t="shared" si="322"/>
        <v>0</v>
      </c>
      <c r="DD182">
        <f t="shared" si="323"/>
        <v>0</v>
      </c>
      <c r="DE182">
        <f t="shared" si="324"/>
        <v>0</v>
      </c>
      <c r="DF182">
        <f t="shared" si="325"/>
        <v>0</v>
      </c>
      <c r="DG182">
        <f t="shared" si="326"/>
        <v>0</v>
      </c>
      <c r="DH182">
        <f t="shared" si="327"/>
        <v>0</v>
      </c>
      <c r="DI182">
        <f t="shared" si="328"/>
        <v>0</v>
      </c>
      <c r="DJ182">
        <f t="shared" si="329"/>
        <v>0</v>
      </c>
      <c r="DK182">
        <f t="shared" si="330"/>
        <v>0</v>
      </c>
      <c r="DL182">
        <f t="shared" si="331"/>
        <v>0</v>
      </c>
      <c r="DM182">
        <f t="shared" si="332"/>
        <v>0</v>
      </c>
      <c r="DN182">
        <f t="shared" si="333"/>
        <v>0</v>
      </c>
      <c r="DO182">
        <f t="shared" si="334"/>
        <v>0</v>
      </c>
      <c r="DP182">
        <f t="shared" si="335"/>
        <v>0</v>
      </c>
      <c r="DQ182">
        <f t="shared" si="336"/>
        <v>0</v>
      </c>
      <c r="DR182">
        <f t="shared" si="337"/>
        <v>0</v>
      </c>
      <c r="DS182">
        <f t="shared" si="338"/>
        <v>0</v>
      </c>
      <c r="DT182">
        <f t="shared" si="339"/>
        <v>0</v>
      </c>
      <c r="DU182">
        <f t="shared" si="340"/>
        <v>0</v>
      </c>
      <c r="DV182">
        <f t="shared" si="341"/>
        <v>0</v>
      </c>
      <c r="DW182">
        <f t="shared" si="342"/>
        <v>0</v>
      </c>
      <c r="DX182">
        <f t="shared" si="343"/>
        <v>0</v>
      </c>
      <c r="DY182">
        <f t="shared" si="344"/>
        <v>0</v>
      </c>
      <c r="DZ182">
        <f t="shared" si="345"/>
        <v>0</v>
      </c>
      <c r="EA182">
        <f t="shared" si="347"/>
        <v>0</v>
      </c>
      <c r="EB182">
        <f t="shared" si="347"/>
        <v>0</v>
      </c>
      <c r="EC182">
        <f t="shared" si="347"/>
        <v>0</v>
      </c>
      <c r="ED182">
        <f t="shared" si="347"/>
        <v>0</v>
      </c>
      <c r="EE182">
        <f t="shared" si="347"/>
        <v>0</v>
      </c>
      <c r="EF182">
        <f t="shared" si="347"/>
        <v>0</v>
      </c>
    </row>
    <row r="183" spans="1:136" ht="15.5">
      <c r="A183" s="93"/>
      <c r="B183" s="57" t="s">
        <v>21</v>
      </c>
      <c r="C183" s="94"/>
      <c r="D183" s="18">
        <v>0</v>
      </c>
      <c r="E183" s="18">
        <v>0</v>
      </c>
      <c r="F183" s="18">
        <v>0</v>
      </c>
      <c r="G183" s="18">
        <v>0</v>
      </c>
      <c r="H183" s="18">
        <v>0</v>
      </c>
      <c r="I183" s="18">
        <v>0</v>
      </c>
      <c r="J183" s="18">
        <v>0</v>
      </c>
      <c r="K183" s="18">
        <v>0</v>
      </c>
      <c r="L183" s="18">
        <v>0</v>
      </c>
      <c r="M183" s="18">
        <v>0</v>
      </c>
      <c r="N183" s="18">
        <v>0</v>
      </c>
      <c r="O183" s="18">
        <v>0</v>
      </c>
      <c r="P183" s="18">
        <v>0</v>
      </c>
      <c r="Q183" s="18">
        <v>0</v>
      </c>
      <c r="R183" s="18">
        <v>0</v>
      </c>
      <c r="S183" s="18">
        <v>0</v>
      </c>
      <c r="T183" s="18">
        <v>0</v>
      </c>
      <c r="U183" s="18">
        <v>0</v>
      </c>
      <c r="V183" s="18">
        <v>0</v>
      </c>
      <c r="W183" s="18">
        <v>0</v>
      </c>
      <c r="X183" s="18">
        <v>0</v>
      </c>
      <c r="Y183" s="18">
        <v>0</v>
      </c>
      <c r="Z183" s="18">
        <v>128</v>
      </c>
      <c r="AA183" s="18">
        <v>0</v>
      </c>
      <c r="AB183" s="18">
        <v>0</v>
      </c>
      <c r="AC183" s="18">
        <v>0</v>
      </c>
      <c r="AD183" s="18">
        <v>0</v>
      </c>
      <c r="AE183" s="18">
        <v>0</v>
      </c>
      <c r="AF183" s="18">
        <v>0</v>
      </c>
      <c r="AG183" s="18">
        <v>0</v>
      </c>
      <c r="AH183" s="18">
        <v>0</v>
      </c>
      <c r="AI183" s="18">
        <v>0</v>
      </c>
      <c r="AJ183" s="18">
        <v>0</v>
      </c>
      <c r="AK183" s="18">
        <v>0</v>
      </c>
      <c r="AL183" s="18">
        <v>0</v>
      </c>
      <c r="AM183" s="18">
        <v>0</v>
      </c>
      <c r="AN183" s="18">
        <v>0</v>
      </c>
      <c r="AO183" s="18">
        <v>0</v>
      </c>
      <c r="AP183" s="18">
        <v>0</v>
      </c>
      <c r="AQ183" s="18">
        <v>0</v>
      </c>
      <c r="AR183" s="18">
        <v>0</v>
      </c>
      <c r="AS183" s="18">
        <v>0</v>
      </c>
      <c r="AT183" s="18">
        <v>0</v>
      </c>
      <c r="AU183" s="18">
        <v>0</v>
      </c>
      <c r="AV183" s="18">
        <v>0</v>
      </c>
      <c r="AW183" s="18">
        <v>0</v>
      </c>
      <c r="AX183" s="18">
        <v>0</v>
      </c>
      <c r="AY183" s="18">
        <v>0</v>
      </c>
      <c r="AZ183" s="18">
        <v>0</v>
      </c>
      <c r="BA183" s="18">
        <v>0</v>
      </c>
      <c r="BB183" s="18">
        <v>0</v>
      </c>
      <c r="BC183" s="18">
        <v>0</v>
      </c>
      <c r="BD183" s="18">
        <v>0</v>
      </c>
      <c r="BE183" s="25">
        <v>0</v>
      </c>
      <c r="BF183" s="18">
        <v>0</v>
      </c>
      <c r="BG183" s="18">
        <v>0</v>
      </c>
      <c r="BH183" s="18">
        <v>0</v>
      </c>
      <c r="BI183" s="18">
        <v>0</v>
      </c>
      <c r="BJ183" s="18">
        <v>0</v>
      </c>
      <c r="BK183" s="18">
        <v>0</v>
      </c>
      <c r="BL183" s="18">
        <v>0</v>
      </c>
      <c r="BM183" s="18">
        <v>0</v>
      </c>
      <c r="BN183" s="113">
        <v>0</v>
      </c>
      <c r="BO183" s="113">
        <v>0</v>
      </c>
      <c r="BP183" s="113">
        <v>0</v>
      </c>
      <c r="BQ183" s="113">
        <v>0</v>
      </c>
      <c r="BR183" s="101"/>
      <c r="BS183">
        <f t="shared" si="286"/>
        <v>0</v>
      </c>
      <c r="BT183">
        <f t="shared" si="287"/>
        <v>0</v>
      </c>
      <c r="BU183">
        <f t="shared" si="288"/>
        <v>0</v>
      </c>
      <c r="BV183">
        <f t="shared" si="289"/>
        <v>0</v>
      </c>
      <c r="BW183">
        <f t="shared" si="290"/>
        <v>0</v>
      </c>
      <c r="BX183">
        <f t="shared" si="291"/>
        <v>0</v>
      </c>
      <c r="BY183">
        <f t="shared" si="292"/>
        <v>0</v>
      </c>
      <c r="BZ183">
        <f t="shared" si="293"/>
        <v>0</v>
      </c>
      <c r="CA183">
        <f t="shared" si="294"/>
        <v>0</v>
      </c>
      <c r="CB183">
        <f t="shared" si="295"/>
        <v>0</v>
      </c>
      <c r="CC183">
        <f t="shared" si="296"/>
        <v>0</v>
      </c>
      <c r="CD183">
        <f t="shared" si="297"/>
        <v>0</v>
      </c>
      <c r="CE183">
        <f t="shared" si="298"/>
        <v>0</v>
      </c>
      <c r="CF183">
        <f t="shared" si="299"/>
        <v>0</v>
      </c>
      <c r="CG183">
        <f t="shared" si="300"/>
        <v>0</v>
      </c>
      <c r="CH183">
        <f t="shared" si="301"/>
        <v>0</v>
      </c>
      <c r="CI183">
        <f t="shared" si="302"/>
        <v>0</v>
      </c>
      <c r="CJ183">
        <f t="shared" si="303"/>
        <v>0</v>
      </c>
      <c r="CK183">
        <f t="shared" si="304"/>
        <v>0</v>
      </c>
      <c r="CL183">
        <f t="shared" si="305"/>
        <v>0</v>
      </c>
      <c r="CM183">
        <f t="shared" si="306"/>
        <v>0</v>
      </c>
      <c r="CN183">
        <f t="shared" si="307"/>
        <v>0</v>
      </c>
      <c r="CO183">
        <f t="shared" si="308"/>
        <v>0</v>
      </c>
      <c r="CP183">
        <f t="shared" si="309"/>
        <v>0</v>
      </c>
      <c r="CQ183">
        <f t="shared" si="310"/>
        <v>0</v>
      </c>
      <c r="CR183">
        <f t="shared" si="311"/>
        <v>0</v>
      </c>
      <c r="CS183">
        <f t="shared" si="312"/>
        <v>0</v>
      </c>
      <c r="CT183">
        <f t="shared" si="313"/>
        <v>0</v>
      </c>
      <c r="CU183">
        <f t="shared" si="314"/>
        <v>0</v>
      </c>
      <c r="CV183">
        <f t="shared" si="315"/>
        <v>0</v>
      </c>
      <c r="CW183">
        <f t="shared" si="316"/>
        <v>0</v>
      </c>
      <c r="CX183">
        <f t="shared" si="317"/>
        <v>0</v>
      </c>
      <c r="CY183">
        <f t="shared" si="318"/>
        <v>0</v>
      </c>
      <c r="CZ183">
        <f t="shared" si="319"/>
        <v>0</v>
      </c>
      <c r="DA183">
        <f t="shared" si="320"/>
        <v>0</v>
      </c>
      <c r="DB183">
        <f t="shared" si="321"/>
        <v>0</v>
      </c>
      <c r="DC183">
        <f t="shared" si="322"/>
        <v>0</v>
      </c>
      <c r="DD183">
        <f t="shared" si="323"/>
        <v>0</v>
      </c>
      <c r="DE183">
        <f t="shared" si="324"/>
        <v>0</v>
      </c>
      <c r="DF183">
        <f t="shared" si="325"/>
        <v>0</v>
      </c>
      <c r="DG183">
        <f t="shared" si="326"/>
        <v>0</v>
      </c>
      <c r="DH183">
        <f t="shared" si="327"/>
        <v>0</v>
      </c>
      <c r="DI183">
        <f t="shared" si="328"/>
        <v>0</v>
      </c>
      <c r="DJ183">
        <f t="shared" si="329"/>
        <v>0</v>
      </c>
      <c r="DK183">
        <f t="shared" si="330"/>
        <v>0</v>
      </c>
      <c r="DL183">
        <f t="shared" si="331"/>
        <v>0</v>
      </c>
      <c r="DM183">
        <f t="shared" si="332"/>
        <v>0</v>
      </c>
      <c r="DN183">
        <f t="shared" si="333"/>
        <v>0</v>
      </c>
      <c r="DO183">
        <f t="shared" si="334"/>
        <v>0</v>
      </c>
      <c r="DP183">
        <f t="shared" si="335"/>
        <v>0</v>
      </c>
      <c r="DQ183">
        <f t="shared" si="336"/>
        <v>0</v>
      </c>
      <c r="DR183">
        <f t="shared" si="337"/>
        <v>0</v>
      </c>
      <c r="DS183">
        <f t="shared" si="338"/>
        <v>0</v>
      </c>
      <c r="DT183">
        <f t="shared" si="339"/>
        <v>0</v>
      </c>
      <c r="DU183">
        <f t="shared" si="340"/>
        <v>0</v>
      </c>
      <c r="DV183">
        <f t="shared" si="341"/>
        <v>0</v>
      </c>
      <c r="DW183">
        <f t="shared" si="342"/>
        <v>0</v>
      </c>
      <c r="DX183">
        <f t="shared" si="343"/>
        <v>0</v>
      </c>
      <c r="DY183">
        <f t="shared" si="344"/>
        <v>0</v>
      </c>
      <c r="DZ183">
        <f t="shared" si="345"/>
        <v>0</v>
      </c>
      <c r="EA183">
        <f t="shared" si="347"/>
        <v>0</v>
      </c>
      <c r="EB183">
        <f t="shared" si="347"/>
        <v>0</v>
      </c>
      <c r="EC183">
        <f t="shared" si="347"/>
        <v>0</v>
      </c>
      <c r="ED183">
        <f t="shared" si="347"/>
        <v>0</v>
      </c>
      <c r="EE183">
        <f t="shared" si="347"/>
        <v>0</v>
      </c>
      <c r="EF183">
        <f t="shared" si="347"/>
        <v>0</v>
      </c>
    </row>
    <row r="184" spans="1:136" ht="15.5">
      <c r="A184" s="93"/>
      <c r="B184" s="19" t="s">
        <v>212</v>
      </c>
      <c r="C184" s="94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>
        <v>360.9375</v>
      </c>
      <c r="AE184" s="18">
        <v>363.90243902439028</v>
      </c>
      <c r="AF184" s="18">
        <v>278.72340425531911</v>
      </c>
      <c r="AG184" s="18">
        <v>207.80669144981414</v>
      </c>
      <c r="AH184" s="18">
        <v>119.87381703470032</v>
      </c>
      <c r="AI184" s="18">
        <v>88.268156424581008</v>
      </c>
      <c r="AJ184" s="18">
        <v>83.07692307692308</v>
      </c>
      <c r="AK184" s="18">
        <v>86.416861826697897</v>
      </c>
      <c r="AL184" s="18">
        <v>26.041666666666668</v>
      </c>
      <c r="AM184" s="18">
        <v>15.208333333333334</v>
      </c>
      <c r="AN184" s="18">
        <v>10.256410256410255</v>
      </c>
      <c r="AO184" s="18">
        <v>2.6666666666666665</v>
      </c>
      <c r="AP184" s="18">
        <v>6.1705989110707806</v>
      </c>
      <c r="AQ184" s="18">
        <v>18.476190476190474</v>
      </c>
      <c r="AR184" s="18">
        <v>15.6957928802589</v>
      </c>
      <c r="AS184" s="18">
        <v>6.2027231467473518</v>
      </c>
      <c r="AT184" s="18">
        <v>0</v>
      </c>
      <c r="AU184" s="18">
        <v>0</v>
      </c>
      <c r="AV184" s="18">
        <v>0</v>
      </c>
      <c r="AW184" s="18">
        <v>0</v>
      </c>
      <c r="AX184" s="18">
        <v>0</v>
      </c>
      <c r="AY184" s="18">
        <v>0</v>
      </c>
      <c r="AZ184" s="18">
        <v>0</v>
      </c>
      <c r="BA184" s="18">
        <v>0</v>
      </c>
      <c r="BB184" s="18">
        <v>0</v>
      </c>
      <c r="BC184" s="18">
        <v>0</v>
      </c>
      <c r="BD184" s="18">
        <v>0</v>
      </c>
      <c r="BE184" s="25">
        <v>0</v>
      </c>
      <c r="BF184" s="18">
        <v>0</v>
      </c>
      <c r="BG184" s="18">
        <v>0</v>
      </c>
      <c r="BH184" s="18">
        <v>0</v>
      </c>
      <c r="BI184" s="18">
        <v>0</v>
      </c>
      <c r="BJ184" s="18">
        <v>0</v>
      </c>
      <c r="BK184" s="18">
        <v>0</v>
      </c>
      <c r="BL184" s="18">
        <v>0</v>
      </c>
      <c r="BM184" s="18">
        <v>0</v>
      </c>
      <c r="BN184" s="113">
        <v>0</v>
      </c>
      <c r="BO184" s="113">
        <v>0</v>
      </c>
      <c r="BP184" s="113">
        <v>0</v>
      </c>
      <c r="BQ184" s="113">
        <v>0</v>
      </c>
      <c r="BR184" s="101"/>
      <c r="BS184">
        <f t="shared" si="286"/>
        <v>0</v>
      </c>
      <c r="BT184">
        <f t="shared" si="287"/>
        <v>0</v>
      </c>
      <c r="BU184">
        <f t="shared" si="288"/>
        <v>0</v>
      </c>
      <c r="BV184">
        <f t="shared" si="289"/>
        <v>0</v>
      </c>
      <c r="BW184">
        <f t="shared" si="290"/>
        <v>0</v>
      </c>
      <c r="BX184">
        <f t="shared" si="291"/>
        <v>0</v>
      </c>
      <c r="BY184">
        <f t="shared" si="292"/>
        <v>0</v>
      </c>
      <c r="BZ184">
        <f t="shared" si="293"/>
        <v>0</v>
      </c>
      <c r="CA184">
        <f t="shared" si="294"/>
        <v>0</v>
      </c>
      <c r="CB184">
        <f t="shared" si="295"/>
        <v>0</v>
      </c>
      <c r="CC184">
        <f t="shared" si="296"/>
        <v>0</v>
      </c>
      <c r="CD184">
        <f t="shared" si="297"/>
        <v>0</v>
      </c>
      <c r="CE184">
        <f t="shared" si="298"/>
        <v>0</v>
      </c>
      <c r="CF184">
        <f t="shared" si="299"/>
        <v>0</v>
      </c>
      <c r="CG184">
        <f t="shared" si="300"/>
        <v>0</v>
      </c>
      <c r="CH184">
        <f t="shared" si="301"/>
        <v>0</v>
      </c>
      <c r="CI184">
        <f t="shared" si="302"/>
        <v>0</v>
      </c>
      <c r="CJ184">
        <f t="shared" si="303"/>
        <v>0</v>
      </c>
      <c r="CK184">
        <f t="shared" si="304"/>
        <v>0</v>
      </c>
      <c r="CL184">
        <f t="shared" si="305"/>
        <v>0</v>
      </c>
      <c r="CM184">
        <f t="shared" si="306"/>
        <v>0</v>
      </c>
      <c r="CN184">
        <f t="shared" si="307"/>
        <v>0</v>
      </c>
      <c r="CO184">
        <f t="shared" si="308"/>
        <v>0</v>
      </c>
      <c r="CP184">
        <f t="shared" si="309"/>
        <v>0</v>
      </c>
      <c r="CQ184">
        <f t="shared" si="310"/>
        <v>0</v>
      </c>
      <c r="CR184">
        <f t="shared" si="311"/>
        <v>0</v>
      </c>
      <c r="CS184">
        <f t="shared" si="312"/>
        <v>0</v>
      </c>
      <c r="CT184">
        <f t="shared" si="313"/>
        <v>0</v>
      </c>
      <c r="CU184">
        <f t="shared" si="314"/>
        <v>0</v>
      </c>
      <c r="CV184">
        <f t="shared" si="315"/>
        <v>0</v>
      </c>
      <c r="CW184">
        <f t="shared" si="316"/>
        <v>0</v>
      </c>
      <c r="CX184">
        <f t="shared" si="317"/>
        <v>0</v>
      </c>
      <c r="CY184">
        <f t="shared" si="318"/>
        <v>0</v>
      </c>
      <c r="CZ184">
        <f t="shared" si="319"/>
        <v>0</v>
      </c>
      <c r="DA184">
        <f t="shared" si="320"/>
        <v>0</v>
      </c>
      <c r="DB184">
        <f t="shared" si="321"/>
        <v>0</v>
      </c>
      <c r="DC184">
        <f t="shared" si="322"/>
        <v>0</v>
      </c>
      <c r="DD184">
        <f t="shared" si="323"/>
        <v>0</v>
      </c>
      <c r="DE184">
        <f t="shared" si="324"/>
        <v>0</v>
      </c>
      <c r="DF184">
        <f t="shared" si="325"/>
        <v>0</v>
      </c>
      <c r="DG184">
        <f t="shared" si="326"/>
        <v>0</v>
      </c>
      <c r="DH184">
        <f t="shared" si="327"/>
        <v>0</v>
      </c>
      <c r="DI184">
        <f t="shared" si="328"/>
        <v>0</v>
      </c>
      <c r="DJ184">
        <f t="shared" si="329"/>
        <v>0</v>
      </c>
      <c r="DK184">
        <f t="shared" si="330"/>
        <v>0</v>
      </c>
      <c r="DL184">
        <f t="shared" si="331"/>
        <v>0</v>
      </c>
      <c r="DM184">
        <f t="shared" si="332"/>
        <v>0</v>
      </c>
      <c r="DN184">
        <f t="shared" si="333"/>
        <v>0</v>
      </c>
      <c r="DO184">
        <f t="shared" si="334"/>
        <v>0</v>
      </c>
      <c r="DP184">
        <f t="shared" si="335"/>
        <v>0</v>
      </c>
      <c r="DQ184">
        <f t="shared" si="336"/>
        <v>0</v>
      </c>
      <c r="DR184">
        <f t="shared" si="337"/>
        <v>0</v>
      </c>
      <c r="DS184">
        <f t="shared" si="338"/>
        <v>0</v>
      </c>
      <c r="DT184">
        <f t="shared" si="339"/>
        <v>0</v>
      </c>
      <c r="DU184">
        <f t="shared" si="340"/>
        <v>0</v>
      </c>
      <c r="DV184">
        <f t="shared" si="341"/>
        <v>0</v>
      </c>
      <c r="DW184">
        <f t="shared" si="342"/>
        <v>0</v>
      </c>
      <c r="DX184">
        <f t="shared" si="343"/>
        <v>0</v>
      </c>
      <c r="DY184">
        <f t="shared" si="344"/>
        <v>0</v>
      </c>
      <c r="DZ184">
        <f t="shared" si="345"/>
        <v>0</v>
      </c>
      <c r="EA184">
        <f t="shared" si="347"/>
        <v>0</v>
      </c>
      <c r="EB184">
        <f t="shared" si="347"/>
        <v>0</v>
      </c>
      <c r="EC184">
        <f t="shared" si="347"/>
        <v>0</v>
      </c>
      <c r="ED184">
        <f t="shared" si="347"/>
        <v>0</v>
      </c>
      <c r="EE184">
        <f t="shared" si="347"/>
        <v>0</v>
      </c>
      <c r="EF184">
        <f t="shared" si="347"/>
        <v>0</v>
      </c>
    </row>
    <row r="185" spans="1:136" ht="15.5">
      <c r="A185" s="93"/>
      <c r="B185" s="53"/>
      <c r="C185" s="94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25"/>
      <c r="BF185" s="18"/>
      <c r="BG185" s="18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101"/>
    </row>
    <row r="186" spans="1:136" ht="15.5">
      <c r="A186" s="93">
        <v>19</v>
      </c>
      <c r="B186" s="32" t="s">
        <v>209</v>
      </c>
      <c r="C186" s="94">
        <v>2</v>
      </c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>
        <f t="shared" ref="AJ186:BO186" si="348">SUM(AJ187:AJ192)</f>
        <v>975.77759766643248</v>
      </c>
      <c r="AK186" s="22">
        <f t="shared" si="348"/>
        <v>1110.1312229993937</v>
      </c>
      <c r="AL186" s="22">
        <f t="shared" si="348"/>
        <v>1181.3565701545413</v>
      </c>
      <c r="AM186" s="22">
        <f t="shared" si="348"/>
        <v>2326.0606291646654</v>
      </c>
      <c r="AN186" s="22">
        <f t="shared" si="348"/>
        <v>2493</v>
      </c>
      <c r="AO186" s="22">
        <f t="shared" si="348"/>
        <v>2552</v>
      </c>
      <c r="AP186" s="22">
        <f t="shared" si="348"/>
        <v>1192</v>
      </c>
      <c r="AQ186" s="22">
        <f t="shared" si="348"/>
        <v>1349.1181999999999</v>
      </c>
      <c r="AR186" s="22">
        <f t="shared" si="348"/>
        <v>584.2447987999999</v>
      </c>
      <c r="AS186" s="22">
        <f t="shared" si="348"/>
        <v>0</v>
      </c>
      <c r="AT186" s="22">
        <f t="shared" si="348"/>
        <v>1.6905043999999998</v>
      </c>
      <c r="AU186" s="22">
        <f t="shared" si="348"/>
        <v>0</v>
      </c>
      <c r="AV186" s="22">
        <f t="shared" si="348"/>
        <v>0</v>
      </c>
      <c r="AW186" s="22">
        <f t="shared" si="348"/>
        <v>0</v>
      </c>
      <c r="AX186" s="22">
        <f t="shared" si="348"/>
        <v>0</v>
      </c>
      <c r="AY186" s="22">
        <f t="shared" si="348"/>
        <v>0</v>
      </c>
      <c r="AZ186" s="22">
        <f t="shared" si="348"/>
        <v>0</v>
      </c>
      <c r="BA186" s="22">
        <f t="shared" si="348"/>
        <v>27.5612593</v>
      </c>
      <c r="BB186" s="22">
        <f t="shared" si="348"/>
        <v>0</v>
      </c>
      <c r="BC186" s="22">
        <f t="shared" si="348"/>
        <v>0</v>
      </c>
      <c r="BD186" s="22">
        <f t="shared" si="348"/>
        <v>0</v>
      </c>
      <c r="BE186" s="22">
        <f t="shared" si="348"/>
        <v>0</v>
      </c>
      <c r="BF186" s="22">
        <f t="shared" si="348"/>
        <v>0</v>
      </c>
      <c r="BG186" s="22">
        <f t="shared" si="348"/>
        <v>0</v>
      </c>
      <c r="BH186" s="22">
        <f t="shared" si="348"/>
        <v>0.59931509999999999</v>
      </c>
      <c r="BI186" s="22">
        <f t="shared" si="348"/>
        <v>14.4842715</v>
      </c>
      <c r="BJ186" s="22">
        <f t="shared" si="348"/>
        <v>0</v>
      </c>
      <c r="BK186" s="22">
        <f t="shared" si="348"/>
        <v>0</v>
      </c>
      <c r="BL186" s="22">
        <f t="shared" si="348"/>
        <v>45.658829099999998</v>
      </c>
      <c r="BM186" s="22">
        <f t="shared" si="348"/>
        <v>0</v>
      </c>
      <c r="BN186" s="22">
        <f t="shared" si="348"/>
        <v>0</v>
      </c>
      <c r="BO186" s="22">
        <f t="shared" si="348"/>
        <v>0</v>
      </c>
      <c r="BP186" s="22">
        <f>SUM(BP187:BP192)</f>
        <v>0</v>
      </c>
      <c r="BQ186" s="22">
        <f>SUM(BQ187:BQ192)</f>
        <v>0</v>
      </c>
      <c r="BR186" s="101"/>
      <c r="BS186">
        <f t="shared" ref="BS186:CB188" si="349">IF($C186&lt;&gt;"",IF(D186&gt;0,1,0),0)</f>
        <v>0</v>
      </c>
      <c r="BT186">
        <f t="shared" si="349"/>
        <v>0</v>
      </c>
      <c r="BU186">
        <f t="shared" si="349"/>
        <v>0</v>
      </c>
      <c r="BV186">
        <f t="shared" si="349"/>
        <v>0</v>
      </c>
      <c r="BW186">
        <f t="shared" si="349"/>
        <v>0</v>
      </c>
      <c r="BX186">
        <f t="shared" si="349"/>
        <v>0</v>
      </c>
      <c r="BY186">
        <f t="shared" si="349"/>
        <v>0</v>
      </c>
      <c r="BZ186">
        <f t="shared" si="349"/>
        <v>0</v>
      </c>
      <c r="CA186">
        <f t="shared" si="349"/>
        <v>0</v>
      </c>
      <c r="CB186">
        <f t="shared" si="349"/>
        <v>0</v>
      </c>
      <c r="CC186">
        <f t="shared" ref="CC186:CL188" si="350">IF($C186&lt;&gt;"",IF(N186&gt;0,1,0),0)</f>
        <v>0</v>
      </c>
      <c r="CD186">
        <f t="shared" si="350"/>
        <v>0</v>
      </c>
      <c r="CE186">
        <f t="shared" si="350"/>
        <v>0</v>
      </c>
      <c r="CF186">
        <f t="shared" si="350"/>
        <v>0</v>
      </c>
      <c r="CG186">
        <f t="shared" si="350"/>
        <v>0</v>
      </c>
      <c r="CH186">
        <f t="shared" si="350"/>
        <v>0</v>
      </c>
      <c r="CI186">
        <f t="shared" si="350"/>
        <v>0</v>
      </c>
      <c r="CJ186">
        <f t="shared" si="350"/>
        <v>0</v>
      </c>
      <c r="CK186">
        <f t="shared" si="350"/>
        <v>0</v>
      </c>
      <c r="CL186">
        <f t="shared" si="350"/>
        <v>0</v>
      </c>
      <c r="CM186">
        <f t="shared" ref="CM186:CV188" si="351">IF($C186&lt;&gt;"",IF(X186&gt;0,1,0),0)</f>
        <v>0</v>
      </c>
      <c r="CN186">
        <f t="shared" si="351"/>
        <v>0</v>
      </c>
      <c r="CO186">
        <f t="shared" si="351"/>
        <v>0</v>
      </c>
      <c r="CP186">
        <f t="shared" si="351"/>
        <v>0</v>
      </c>
      <c r="CQ186">
        <f t="shared" si="351"/>
        <v>0</v>
      </c>
      <c r="CR186">
        <f t="shared" si="351"/>
        <v>0</v>
      </c>
      <c r="CS186">
        <f t="shared" si="351"/>
        <v>0</v>
      </c>
      <c r="CT186">
        <f t="shared" si="351"/>
        <v>0</v>
      </c>
      <c r="CU186">
        <f t="shared" si="351"/>
        <v>0</v>
      </c>
      <c r="CV186">
        <f t="shared" si="351"/>
        <v>0</v>
      </c>
      <c r="CW186">
        <f t="shared" ref="CW186:DF188" si="352">IF($C186&lt;&gt;"",IF(AH186&gt;0,1,0),0)</f>
        <v>0</v>
      </c>
      <c r="CX186">
        <f t="shared" si="352"/>
        <v>0</v>
      </c>
      <c r="CY186">
        <f t="shared" si="352"/>
        <v>1</v>
      </c>
      <c r="CZ186">
        <f t="shared" si="352"/>
        <v>1</v>
      </c>
      <c r="DA186">
        <f t="shared" si="352"/>
        <v>1</v>
      </c>
      <c r="DB186">
        <f t="shared" si="352"/>
        <v>1</v>
      </c>
      <c r="DC186">
        <f t="shared" si="352"/>
        <v>1</v>
      </c>
      <c r="DD186">
        <f t="shared" si="352"/>
        <v>1</v>
      </c>
      <c r="DE186">
        <f t="shared" si="352"/>
        <v>1</v>
      </c>
      <c r="DF186">
        <f t="shared" si="352"/>
        <v>1</v>
      </c>
      <c r="DG186">
        <f t="shared" ref="DG186:DP188" si="353">IF($C186&lt;&gt;"",IF(AR186&gt;0,1,0),0)</f>
        <v>1</v>
      </c>
      <c r="DH186">
        <f t="shared" si="353"/>
        <v>0</v>
      </c>
      <c r="DI186">
        <f t="shared" si="353"/>
        <v>1</v>
      </c>
      <c r="DJ186">
        <f t="shared" si="353"/>
        <v>0</v>
      </c>
      <c r="DK186">
        <f t="shared" si="353"/>
        <v>0</v>
      </c>
      <c r="DL186">
        <f t="shared" si="353"/>
        <v>0</v>
      </c>
      <c r="DM186">
        <f t="shared" si="353"/>
        <v>0</v>
      </c>
      <c r="DN186">
        <f t="shared" si="353"/>
        <v>0</v>
      </c>
      <c r="DO186">
        <f t="shared" si="353"/>
        <v>0</v>
      </c>
      <c r="DP186">
        <f t="shared" si="353"/>
        <v>1</v>
      </c>
      <c r="DQ186">
        <f t="shared" ref="DQ186:DZ188" si="354">IF($C186&lt;&gt;"",IF(BB186&gt;0,1,0),0)</f>
        <v>0</v>
      </c>
      <c r="DR186">
        <f t="shared" si="354"/>
        <v>0</v>
      </c>
      <c r="DS186">
        <f t="shared" si="354"/>
        <v>0</v>
      </c>
      <c r="DT186">
        <f t="shared" si="354"/>
        <v>0</v>
      </c>
      <c r="DU186">
        <f t="shared" si="354"/>
        <v>0</v>
      </c>
      <c r="DV186">
        <f t="shared" si="354"/>
        <v>0</v>
      </c>
      <c r="DW186">
        <f t="shared" si="354"/>
        <v>1</v>
      </c>
      <c r="DX186">
        <f t="shared" si="354"/>
        <v>1</v>
      </c>
      <c r="DY186">
        <f t="shared" si="354"/>
        <v>0</v>
      </c>
      <c r="DZ186">
        <f t="shared" si="354"/>
        <v>0</v>
      </c>
      <c r="EA186">
        <f t="shared" ref="EA186:EF188" si="355">IF($C186&lt;&gt;"",IF(BL186&gt;0,1,0),0)</f>
        <v>1</v>
      </c>
      <c r="EB186">
        <f t="shared" si="355"/>
        <v>0</v>
      </c>
      <c r="EC186">
        <f t="shared" si="355"/>
        <v>0</v>
      </c>
      <c r="ED186">
        <f t="shared" si="355"/>
        <v>0</v>
      </c>
      <c r="EE186">
        <f t="shared" si="355"/>
        <v>0</v>
      </c>
      <c r="EF186">
        <f t="shared" si="355"/>
        <v>0</v>
      </c>
    </row>
    <row r="187" spans="1:136" ht="15.5">
      <c r="A187" s="93"/>
      <c r="B187" s="53" t="s">
        <v>15</v>
      </c>
      <c r="C187" s="95"/>
      <c r="D187" s="18"/>
      <c r="E187" s="18"/>
      <c r="F187" s="18"/>
      <c r="G187" s="18"/>
      <c r="H187" s="18"/>
      <c r="I187" s="18"/>
      <c r="J187" s="18"/>
      <c r="K187" s="18"/>
      <c r="L187" s="18"/>
      <c r="M187" s="22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>
        <v>3.6</v>
      </c>
      <c r="AK187" s="18">
        <v>95.596813746659478</v>
      </c>
      <c r="AL187" s="18">
        <v>106.92245921704152</v>
      </c>
      <c r="AM187" s="18">
        <v>114.30587916466523</v>
      </c>
      <c r="AN187" s="18">
        <v>0</v>
      </c>
      <c r="AO187" s="18">
        <v>0</v>
      </c>
      <c r="AP187" s="18">
        <v>0</v>
      </c>
      <c r="AQ187" s="18">
        <v>0</v>
      </c>
      <c r="AR187" s="18">
        <v>0</v>
      </c>
      <c r="AS187" s="18">
        <v>0</v>
      </c>
      <c r="AT187" s="18">
        <v>0</v>
      </c>
      <c r="AU187" s="18">
        <v>0</v>
      </c>
      <c r="AV187" s="18">
        <v>0</v>
      </c>
      <c r="AW187" s="18">
        <v>0</v>
      </c>
      <c r="AX187" s="18">
        <v>0</v>
      </c>
      <c r="AY187" s="18">
        <v>0</v>
      </c>
      <c r="AZ187" s="18">
        <v>0</v>
      </c>
      <c r="BA187" s="18">
        <v>0</v>
      </c>
      <c r="BB187" s="18">
        <v>0</v>
      </c>
      <c r="BC187" s="18">
        <v>0</v>
      </c>
      <c r="BD187" s="18">
        <v>0</v>
      </c>
      <c r="BE187" s="25">
        <v>0</v>
      </c>
      <c r="BF187" s="18">
        <v>0</v>
      </c>
      <c r="BG187" s="18">
        <v>0</v>
      </c>
      <c r="BH187" s="18">
        <v>0</v>
      </c>
      <c r="BI187" s="18">
        <v>0</v>
      </c>
      <c r="BJ187" s="18">
        <v>0</v>
      </c>
      <c r="BK187" s="18">
        <v>0</v>
      </c>
      <c r="BL187" s="18">
        <v>0</v>
      </c>
      <c r="BM187" s="18">
        <v>0</v>
      </c>
      <c r="BN187" s="34">
        <v>0</v>
      </c>
      <c r="BO187" s="34">
        <v>0</v>
      </c>
      <c r="BP187" s="34">
        <v>0</v>
      </c>
      <c r="BQ187" s="34">
        <v>0</v>
      </c>
      <c r="BR187" s="101"/>
      <c r="BS187">
        <f t="shared" si="349"/>
        <v>0</v>
      </c>
      <c r="BT187">
        <f t="shared" si="349"/>
        <v>0</v>
      </c>
      <c r="BU187">
        <f t="shared" si="349"/>
        <v>0</v>
      </c>
      <c r="BV187">
        <f t="shared" si="349"/>
        <v>0</v>
      </c>
      <c r="BW187">
        <f t="shared" si="349"/>
        <v>0</v>
      </c>
      <c r="BX187">
        <f t="shared" si="349"/>
        <v>0</v>
      </c>
      <c r="BY187">
        <f t="shared" si="349"/>
        <v>0</v>
      </c>
      <c r="BZ187">
        <f t="shared" si="349"/>
        <v>0</v>
      </c>
      <c r="CA187">
        <f t="shared" si="349"/>
        <v>0</v>
      </c>
      <c r="CB187">
        <f t="shared" si="349"/>
        <v>0</v>
      </c>
      <c r="CC187">
        <f t="shared" si="350"/>
        <v>0</v>
      </c>
      <c r="CD187">
        <f t="shared" si="350"/>
        <v>0</v>
      </c>
      <c r="CE187">
        <f t="shared" si="350"/>
        <v>0</v>
      </c>
      <c r="CF187">
        <f t="shared" si="350"/>
        <v>0</v>
      </c>
      <c r="CG187">
        <f t="shared" si="350"/>
        <v>0</v>
      </c>
      <c r="CH187">
        <f t="shared" si="350"/>
        <v>0</v>
      </c>
      <c r="CI187">
        <f t="shared" si="350"/>
        <v>0</v>
      </c>
      <c r="CJ187">
        <f t="shared" si="350"/>
        <v>0</v>
      </c>
      <c r="CK187">
        <f t="shared" si="350"/>
        <v>0</v>
      </c>
      <c r="CL187">
        <f t="shared" si="350"/>
        <v>0</v>
      </c>
      <c r="CM187">
        <f t="shared" si="351"/>
        <v>0</v>
      </c>
      <c r="CN187">
        <f t="shared" si="351"/>
        <v>0</v>
      </c>
      <c r="CO187">
        <f t="shared" si="351"/>
        <v>0</v>
      </c>
      <c r="CP187">
        <f t="shared" si="351"/>
        <v>0</v>
      </c>
      <c r="CQ187">
        <f t="shared" si="351"/>
        <v>0</v>
      </c>
      <c r="CR187">
        <f t="shared" si="351"/>
        <v>0</v>
      </c>
      <c r="CS187">
        <f t="shared" si="351"/>
        <v>0</v>
      </c>
      <c r="CT187">
        <f t="shared" si="351"/>
        <v>0</v>
      </c>
      <c r="CU187">
        <f t="shared" si="351"/>
        <v>0</v>
      </c>
      <c r="CV187">
        <f t="shared" si="351"/>
        <v>0</v>
      </c>
      <c r="CW187">
        <f t="shared" si="352"/>
        <v>0</v>
      </c>
      <c r="CX187">
        <f t="shared" si="352"/>
        <v>0</v>
      </c>
      <c r="CY187">
        <f t="shared" si="352"/>
        <v>0</v>
      </c>
      <c r="CZ187">
        <f t="shared" si="352"/>
        <v>0</v>
      </c>
      <c r="DA187">
        <f t="shared" si="352"/>
        <v>0</v>
      </c>
      <c r="DB187">
        <f t="shared" si="352"/>
        <v>0</v>
      </c>
      <c r="DC187">
        <f t="shared" si="352"/>
        <v>0</v>
      </c>
      <c r="DD187">
        <f t="shared" si="352"/>
        <v>0</v>
      </c>
      <c r="DE187">
        <f t="shared" si="352"/>
        <v>0</v>
      </c>
      <c r="DF187">
        <f t="shared" si="352"/>
        <v>0</v>
      </c>
      <c r="DG187">
        <f t="shared" si="353"/>
        <v>0</v>
      </c>
      <c r="DH187">
        <f t="shared" si="353"/>
        <v>0</v>
      </c>
      <c r="DI187">
        <f t="shared" si="353"/>
        <v>0</v>
      </c>
      <c r="DJ187">
        <f t="shared" si="353"/>
        <v>0</v>
      </c>
      <c r="DK187">
        <f t="shared" si="353"/>
        <v>0</v>
      </c>
      <c r="DL187">
        <f t="shared" si="353"/>
        <v>0</v>
      </c>
      <c r="DM187">
        <f t="shared" si="353"/>
        <v>0</v>
      </c>
      <c r="DN187">
        <f t="shared" si="353"/>
        <v>0</v>
      </c>
      <c r="DO187">
        <f t="shared" si="353"/>
        <v>0</v>
      </c>
      <c r="DP187">
        <f t="shared" si="353"/>
        <v>0</v>
      </c>
      <c r="DQ187">
        <f t="shared" si="354"/>
        <v>0</v>
      </c>
      <c r="DR187">
        <f t="shared" si="354"/>
        <v>0</v>
      </c>
      <c r="DS187">
        <f t="shared" si="354"/>
        <v>0</v>
      </c>
      <c r="DT187">
        <f t="shared" si="354"/>
        <v>0</v>
      </c>
      <c r="DU187">
        <f t="shared" si="354"/>
        <v>0</v>
      </c>
      <c r="DV187">
        <f t="shared" si="354"/>
        <v>0</v>
      </c>
      <c r="DW187">
        <f t="shared" si="354"/>
        <v>0</v>
      </c>
      <c r="DX187">
        <f t="shared" si="354"/>
        <v>0</v>
      </c>
      <c r="DY187">
        <f t="shared" si="354"/>
        <v>0</v>
      </c>
      <c r="DZ187">
        <f t="shared" si="354"/>
        <v>0</v>
      </c>
      <c r="EA187">
        <f t="shared" si="355"/>
        <v>0</v>
      </c>
      <c r="EB187">
        <f t="shared" si="355"/>
        <v>0</v>
      </c>
      <c r="EC187">
        <f t="shared" si="355"/>
        <v>0</v>
      </c>
      <c r="ED187">
        <f t="shared" si="355"/>
        <v>0</v>
      </c>
      <c r="EE187">
        <f t="shared" si="355"/>
        <v>0</v>
      </c>
      <c r="EF187">
        <f t="shared" si="355"/>
        <v>0</v>
      </c>
    </row>
    <row r="188" spans="1:136" ht="15.5">
      <c r="A188" s="93"/>
      <c r="B188" s="53" t="s">
        <v>184</v>
      </c>
      <c r="C188" s="95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40" t="s">
        <v>16</v>
      </c>
      <c r="AK188" s="40" t="s">
        <v>16</v>
      </c>
      <c r="AL188" s="40" t="s">
        <v>16</v>
      </c>
      <c r="AM188" s="18">
        <v>450</v>
      </c>
      <c r="AN188" s="107">
        <v>621</v>
      </c>
      <c r="AO188" s="107">
        <v>579</v>
      </c>
      <c r="AP188" s="107">
        <v>557</v>
      </c>
      <c r="AQ188" s="107">
        <v>579</v>
      </c>
      <c r="AR188" s="18">
        <v>569</v>
      </c>
      <c r="AS188" s="18">
        <v>0</v>
      </c>
      <c r="AT188" s="18">
        <v>0</v>
      </c>
      <c r="AU188" s="18">
        <v>0</v>
      </c>
      <c r="AV188" s="18">
        <v>0</v>
      </c>
      <c r="AW188" s="18">
        <v>0</v>
      </c>
      <c r="AX188" s="18">
        <v>0</v>
      </c>
      <c r="AY188" s="18">
        <v>0</v>
      </c>
      <c r="AZ188" s="18">
        <v>0</v>
      </c>
      <c r="BA188" s="18">
        <v>0</v>
      </c>
      <c r="BB188" s="18">
        <v>0</v>
      </c>
      <c r="BC188" s="18">
        <v>0</v>
      </c>
      <c r="BD188" s="18">
        <v>0</v>
      </c>
      <c r="BE188" s="25">
        <v>0</v>
      </c>
      <c r="BF188" s="18">
        <v>0</v>
      </c>
      <c r="BG188" s="18">
        <v>0</v>
      </c>
      <c r="BH188" s="18">
        <v>0</v>
      </c>
      <c r="BI188" s="18">
        <v>0</v>
      </c>
      <c r="BJ188" s="18">
        <v>0</v>
      </c>
      <c r="BK188" s="18">
        <v>0</v>
      </c>
      <c r="BL188" s="18">
        <v>0</v>
      </c>
      <c r="BM188" s="18">
        <v>0</v>
      </c>
      <c r="BN188" s="34">
        <v>0</v>
      </c>
      <c r="BO188" s="34">
        <v>0</v>
      </c>
      <c r="BP188" s="34">
        <v>0</v>
      </c>
      <c r="BQ188" s="34">
        <v>0</v>
      </c>
      <c r="BR188" s="101"/>
      <c r="BS188">
        <f t="shared" si="349"/>
        <v>0</v>
      </c>
      <c r="BT188">
        <f t="shared" si="349"/>
        <v>0</v>
      </c>
      <c r="BU188">
        <f t="shared" si="349"/>
        <v>0</v>
      </c>
      <c r="BV188">
        <f t="shared" si="349"/>
        <v>0</v>
      </c>
      <c r="BW188">
        <f t="shared" si="349"/>
        <v>0</v>
      </c>
      <c r="BX188">
        <f t="shared" si="349"/>
        <v>0</v>
      </c>
      <c r="BY188">
        <f t="shared" si="349"/>
        <v>0</v>
      </c>
      <c r="BZ188">
        <f t="shared" si="349"/>
        <v>0</v>
      </c>
      <c r="CA188">
        <f t="shared" si="349"/>
        <v>0</v>
      </c>
      <c r="CB188">
        <f t="shared" si="349"/>
        <v>0</v>
      </c>
      <c r="CC188">
        <f t="shared" si="350"/>
        <v>0</v>
      </c>
      <c r="CD188">
        <f t="shared" si="350"/>
        <v>0</v>
      </c>
      <c r="CE188">
        <f t="shared" si="350"/>
        <v>0</v>
      </c>
      <c r="CF188">
        <f t="shared" si="350"/>
        <v>0</v>
      </c>
      <c r="CG188">
        <f t="shared" si="350"/>
        <v>0</v>
      </c>
      <c r="CH188">
        <f t="shared" si="350"/>
        <v>0</v>
      </c>
      <c r="CI188">
        <f t="shared" si="350"/>
        <v>0</v>
      </c>
      <c r="CJ188">
        <f t="shared" si="350"/>
        <v>0</v>
      </c>
      <c r="CK188">
        <f t="shared" si="350"/>
        <v>0</v>
      </c>
      <c r="CL188">
        <f t="shared" si="350"/>
        <v>0</v>
      </c>
      <c r="CM188">
        <f t="shared" si="351"/>
        <v>0</v>
      </c>
      <c r="CN188">
        <f t="shared" si="351"/>
        <v>0</v>
      </c>
      <c r="CO188">
        <f t="shared" si="351"/>
        <v>0</v>
      </c>
      <c r="CP188">
        <f t="shared" si="351"/>
        <v>0</v>
      </c>
      <c r="CQ188">
        <f t="shared" si="351"/>
        <v>0</v>
      </c>
      <c r="CR188">
        <f t="shared" si="351"/>
        <v>0</v>
      </c>
      <c r="CS188">
        <f t="shared" si="351"/>
        <v>0</v>
      </c>
      <c r="CT188">
        <f t="shared" si="351"/>
        <v>0</v>
      </c>
      <c r="CU188">
        <f t="shared" si="351"/>
        <v>0</v>
      </c>
      <c r="CV188">
        <f t="shared" si="351"/>
        <v>0</v>
      </c>
      <c r="CW188">
        <f t="shared" si="352"/>
        <v>0</v>
      </c>
      <c r="CX188">
        <f t="shared" si="352"/>
        <v>0</v>
      </c>
      <c r="CY188">
        <f t="shared" si="352"/>
        <v>0</v>
      </c>
      <c r="CZ188">
        <f t="shared" si="352"/>
        <v>0</v>
      </c>
      <c r="DA188">
        <f t="shared" si="352"/>
        <v>0</v>
      </c>
      <c r="DB188">
        <f t="shared" si="352"/>
        <v>0</v>
      </c>
      <c r="DC188">
        <f t="shared" si="352"/>
        <v>0</v>
      </c>
      <c r="DD188">
        <f t="shared" si="352"/>
        <v>0</v>
      </c>
      <c r="DE188">
        <f t="shared" si="352"/>
        <v>0</v>
      </c>
      <c r="DF188">
        <f t="shared" si="352"/>
        <v>0</v>
      </c>
      <c r="DG188">
        <f t="shared" si="353"/>
        <v>0</v>
      </c>
      <c r="DH188">
        <f t="shared" si="353"/>
        <v>0</v>
      </c>
      <c r="DI188">
        <f t="shared" si="353"/>
        <v>0</v>
      </c>
      <c r="DJ188">
        <f t="shared" si="353"/>
        <v>0</v>
      </c>
      <c r="DK188">
        <f t="shared" si="353"/>
        <v>0</v>
      </c>
      <c r="DL188">
        <f t="shared" si="353"/>
        <v>0</v>
      </c>
      <c r="DM188">
        <f t="shared" si="353"/>
        <v>0</v>
      </c>
      <c r="DN188">
        <f t="shared" si="353"/>
        <v>0</v>
      </c>
      <c r="DO188">
        <f t="shared" si="353"/>
        <v>0</v>
      </c>
      <c r="DP188">
        <f t="shared" si="353"/>
        <v>0</v>
      </c>
      <c r="DQ188">
        <f t="shared" si="354"/>
        <v>0</v>
      </c>
      <c r="DR188">
        <f t="shared" si="354"/>
        <v>0</v>
      </c>
      <c r="DS188">
        <f t="shared" si="354"/>
        <v>0</v>
      </c>
      <c r="DT188">
        <f t="shared" si="354"/>
        <v>0</v>
      </c>
      <c r="DU188">
        <f t="shared" si="354"/>
        <v>0</v>
      </c>
      <c r="DV188">
        <f t="shared" si="354"/>
        <v>0</v>
      </c>
      <c r="DW188">
        <f t="shared" si="354"/>
        <v>0</v>
      </c>
      <c r="DX188">
        <f t="shared" si="354"/>
        <v>0</v>
      </c>
      <c r="DY188">
        <f t="shared" si="354"/>
        <v>0</v>
      </c>
      <c r="DZ188">
        <f t="shared" si="354"/>
        <v>0</v>
      </c>
      <c r="EA188">
        <f t="shared" si="355"/>
        <v>0</v>
      </c>
      <c r="EB188">
        <f t="shared" si="355"/>
        <v>0</v>
      </c>
      <c r="EC188">
        <f t="shared" si="355"/>
        <v>0</v>
      </c>
      <c r="ED188">
        <f t="shared" si="355"/>
        <v>0</v>
      </c>
      <c r="EE188">
        <f t="shared" si="355"/>
        <v>0</v>
      </c>
      <c r="EF188">
        <f t="shared" si="355"/>
        <v>0</v>
      </c>
    </row>
    <row r="189" spans="1:136" ht="15.5">
      <c r="A189" s="93"/>
      <c r="B189" s="19" t="s">
        <v>2</v>
      </c>
      <c r="C189" s="95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40" t="s">
        <v>16</v>
      </c>
      <c r="AK189" s="40" t="s">
        <v>16</v>
      </c>
      <c r="AL189" s="40" t="s">
        <v>16</v>
      </c>
      <c r="AM189" s="18">
        <v>571</v>
      </c>
      <c r="AN189" s="18">
        <v>600</v>
      </c>
      <c r="AO189" s="18">
        <v>629</v>
      </c>
      <c r="AP189" s="34">
        <v>588</v>
      </c>
      <c r="AQ189" s="34">
        <v>0</v>
      </c>
      <c r="AR189" s="34">
        <v>9</v>
      </c>
      <c r="AS189" s="34">
        <v>0</v>
      </c>
      <c r="AT189" s="34">
        <v>0</v>
      </c>
      <c r="AU189" s="34">
        <v>0</v>
      </c>
      <c r="AV189" s="34">
        <v>0</v>
      </c>
      <c r="AW189" s="34">
        <v>0</v>
      </c>
      <c r="AX189" s="34">
        <v>0</v>
      </c>
      <c r="AY189" s="34">
        <v>0</v>
      </c>
      <c r="AZ189" s="34">
        <v>0</v>
      </c>
      <c r="BA189" s="34">
        <v>0</v>
      </c>
      <c r="BB189" s="34">
        <v>0</v>
      </c>
      <c r="BC189" s="34">
        <v>0</v>
      </c>
      <c r="BD189" s="34">
        <v>0</v>
      </c>
      <c r="BE189" s="34">
        <v>0</v>
      </c>
      <c r="BF189" s="34">
        <v>0</v>
      </c>
      <c r="BG189" s="34">
        <v>0</v>
      </c>
      <c r="BH189" s="34">
        <v>0</v>
      </c>
      <c r="BI189" s="34">
        <v>0</v>
      </c>
      <c r="BJ189" s="34">
        <v>0</v>
      </c>
      <c r="BK189" s="34">
        <v>0</v>
      </c>
      <c r="BL189" s="34">
        <v>0</v>
      </c>
      <c r="BM189" s="34">
        <v>0</v>
      </c>
      <c r="BN189" s="34">
        <v>0</v>
      </c>
      <c r="BO189" s="34">
        <v>0</v>
      </c>
      <c r="BP189" s="34">
        <v>0</v>
      </c>
      <c r="BQ189" s="34">
        <v>0</v>
      </c>
      <c r="BR189" s="101"/>
      <c r="BS189">
        <f t="shared" ref="BS189:CB193" si="356">IF($C189&lt;&gt;"",IF(D189&gt;0,1,0),0)</f>
        <v>0</v>
      </c>
      <c r="BT189">
        <f t="shared" si="356"/>
        <v>0</v>
      </c>
      <c r="BU189">
        <f t="shared" si="356"/>
        <v>0</v>
      </c>
      <c r="BV189">
        <f t="shared" si="356"/>
        <v>0</v>
      </c>
      <c r="BW189">
        <f t="shared" si="356"/>
        <v>0</v>
      </c>
      <c r="BX189">
        <f t="shared" si="356"/>
        <v>0</v>
      </c>
      <c r="BY189">
        <f t="shared" si="356"/>
        <v>0</v>
      </c>
      <c r="BZ189">
        <f t="shared" si="356"/>
        <v>0</v>
      </c>
      <c r="CA189">
        <f t="shared" si="356"/>
        <v>0</v>
      </c>
      <c r="CB189">
        <f t="shared" si="356"/>
        <v>0</v>
      </c>
      <c r="CC189">
        <f t="shared" ref="CC189:CL193" si="357">IF($C189&lt;&gt;"",IF(N189&gt;0,1,0),0)</f>
        <v>0</v>
      </c>
      <c r="CD189">
        <f t="shared" si="357"/>
        <v>0</v>
      </c>
      <c r="CE189">
        <f t="shared" si="357"/>
        <v>0</v>
      </c>
      <c r="CF189">
        <f t="shared" si="357"/>
        <v>0</v>
      </c>
      <c r="CG189">
        <f t="shared" si="357"/>
        <v>0</v>
      </c>
      <c r="CH189">
        <f t="shared" si="357"/>
        <v>0</v>
      </c>
      <c r="CI189">
        <f t="shared" si="357"/>
        <v>0</v>
      </c>
      <c r="CJ189">
        <f t="shared" si="357"/>
        <v>0</v>
      </c>
      <c r="CK189">
        <f t="shared" si="357"/>
        <v>0</v>
      </c>
      <c r="CL189">
        <f t="shared" si="357"/>
        <v>0</v>
      </c>
      <c r="CM189">
        <f t="shared" ref="CM189:CV193" si="358">IF($C189&lt;&gt;"",IF(X189&gt;0,1,0),0)</f>
        <v>0</v>
      </c>
      <c r="CN189">
        <f t="shared" si="358"/>
        <v>0</v>
      </c>
      <c r="CO189">
        <f t="shared" si="358"/>
        <v>0</v>
      </c>
      <c r="CP189">
        <f t="shared" si="358"/>
        <v>0</v>
      </c>
      <c r="CQ189">
        <f t="shared" si="358"/>
        <v>0</v>
      </c>
      <c r="CR189">
        <f t="shared" si="358"/>
        <v>0</v>
      </c>
      <c r="CS189">
        <f t="shared" si="358"/>
        <v>0</v>
      </c>
      <c r="CT189">
        <f t="shared" si="358"/>
        <v>0</v>
      </c>
      <c r="CU189">
        <f t="shared" si="358"/>
        <v>0</v>
      </c>
      <c r="CV189">
        <f t="shared" si="358"/>
        <v>0</v>
      </c>
      <c r="CW189">
        <f t="shared" ref="CW189:DF193" si="359">IF($C189&lt;&gt;"",IF(AH189&gt;0,1,0),0)</f>
        <v>0</v>
      </c>
      <c r="CX189">
        <f t="shared" si="359"/>
        <v>0</v>
      </c>
      <c r="CY189">
        <f t="shared" si="359"/>
        <v>0</v>
      </c>
      <c r="CZ189">
        <f t="shared" si="359"/>
        <v>0</v>
      </c>
      <c r="DA189">
        <f t="shared" si="359"/>
        <v>0</v>
      </c>
      <c r="DB189">
        <f t="shared" si="359"/>
        <v>0</v>
      </c>
      <c r="DC189">
        <f t="shared" si="359"/>
        <v>0</v>
      </c>
      <c r="DD189">
        <f t="shared" si="359"/>
        <v>0</v>
      </c>
      <c r="DE189">
        <f t="shared" si="359"/>
        <v>0</v>
      </c>
      <c r="DF189">
        <f t="shared" si="359"/>
        <v>0</v>
      </c>
      <c r="DG189">
        <f t="shared" ref="DG189:DP193" si="360">IF($C189&lt;&gt;"",IF(AR189&gt;0,1,0),0)</f>
        <v>0</v>
      </c>
      <c r="DH189">
        <f t="shared" si="360"/>
        <v>0</v>
      </c>
      <c r="DI189">
        <f t="shared" si="360"/>
        <v>0</v>
      </c>
      <c r="DJ189">
        <f t="shared" si="360"/>
        <v>0</v>
      </c>
      <c r="DK189">
        <f t="shared" si="360"/>
        <v>0</v>
      </c>
      <c r="DL189">
        <f t="shared" si="360"/>
        <v>0</v>
      </c>
      <c r="DM189">
        <f t="shared" si="360"/>
        <v>0</v>
      </c>
      <c r="DN189">
        <f t="shared" si="360"/>
        <v>0</v>
      </c>
      <c r="DO189">
        <f t="shared" si="360"/>
        <v>0</v>
      </c>
      <c r="DP189">
        <f t="shared" si="360"/>
        <v>0</v>
      </c>
      <c r="DQ189">
        <f t="shared" ref="DQ189:DZ193" si="361">IF($C189&lt;&gt;"",IF(BB189&gt;0,1,0),0)</f>
        <v>0</v>
      </c>
      <c r="DR189">
        <f t="shared" si="361"/>
        <v>0</v>
      </c>
      <c r="DS189">
        <f t="shared" si="361"/>
        <v>0</v>
      </c>
      <c r="DT189">
        <f t="shared" si="361"/>
        <v>0</v>
      </c>
      <c r="DU189">
        <f t="shared" si="361"/>
        <v>0</v>
      </c>
      <c r="DV189">
        <f t="shared" si="361"/>
        <v>0</v>
      </c>
      <c r="DW189">
        <f t="shared" si="361"/>
        <v>0</v>
      </c>
      <c r="DX189">
        <f t="shared" si="361"/>
        <v>0</v>
      </c>
      <c r="DY189">
        <f t="shared" si="361"/>
        <v>0</v>
      </c>
      <c r="DZ189">
        <f t="shared" si="361"/>
        <v>0</v>
      </c>
      <c r="EA189">
        <f t="shared" ref="EA189:EF189" si="362">IF($C189&lt;&gt;"",IF(BL190&gt;0,1,0),0)</f>
        <v>0</v>
      </c>
      <c r="EB189">
        <f t="shared" si="362"/>
        <v>0</v>
      </c>
      <c r="EC189">
        <f t="shared" si="362"/>
        <v>0</v>
      </c>
      <c r="ED189">
        <f t="shared" si="362"/>
        <v>0</v>
      </c>
      <c r="EE189">
        <f t="shared" si="362"/>
        <v>0</v>
      </c>
      <c r="EF189">
        <f t="shared" si="362"/>
        <v>0</v>
      </c>
    </row>
    <row r="190" spans="1:136" ht="15.5">
      <c r="A190" s="93"/>
      <c r="B190" s="57" t="s">
        <v>3</v>
      </c>
      <c r="C190" s="95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40" t="s">
        <v>16</v>
      </c>
      <c r="AK190" s="40" t="s">
        <v>16</v>
      </c>
      <c r="AL190" s="40" t="s">
        <v>16</v>
      </c>
      <c r="AM190" s="18">
        <v>37</v>
      </c>
      <c r="AN190" s="18">
        <v>41</v>
      </c>
      <c r="AO190" s="18">
        <v>44</v>
      </c>
      <c r="AP190" s="18">
        <v>47</v>
      </c>
      <c r="AQ190" s="34">
        <v>178.6182</v>
      </c>
      <c r="AR190" s="34">
        <v>2.9447987999999996</v>
      </c>
      <c r="AS190" s="34">
        <v>0</v>
      </c>
      <c r="AT190" s="34">
        <v>1.6905043999999998</v>
      </c>
      <c r="AU190" s="34">
        <v>0</v>
      </c>
      <c r="AV190" s="34">
        <v>0</v>
      </c>
      <c r="AW190" s="34">
        <v>0</v>
      </c>
      <c r="AX190" s="34">
        <v>0</v>
      </c>
      <c r="AY190" s="34">
        <v>0</v>
      </c>
      <c r="AZ190" s="34">
        <v>0</v>
      </c>
      <c r="BA190" s="34">
        <v>27.5612593</v>
      </c>
      <c r="BB190" s="34">
        <v>0</v>
      </c>
      <c r="BC190" s="34">
        <v>0</v>
      </c>
      <c r="BD190" s="34">
        <v>0</v>
      </c>
      <c r="BE190" s="34">
        <v>0</v>
      </c>
      <c r="BF190" s="34">
        <v>0</v>
      </c>
      <c r="BG190" s="34">
        <v>0</v>
      </c>
      <c r="BH190" s="34">
        <v>0.59931509999999999</v>
      </c>
      <c r="BI190" s="34">
        <v>14.4842715</v>
      </c>
      <c r="BJ190" s="34">
        <v>0</v>
      </c>
      <c r="BK190" s="34">
        <v>0</v>
      </c>
      <c r="BL190" s="34">
        <v>45.658829099999998</v>
      </c>
      <c r="BM190" s="113">
        <v>0</v>
      </c>
      <c r="BN190" s="34">
        <v>0</v>
      </c>
      <c r="BO190" s="34">
        <v>0</v>
      </c>
      <c r="BP190" s="34">
        <v>0</v>
      </c>
      <c r="BQ190" s="34">
        <v>0</v>
      </c>
      <c r="BR190" s="101"/>
      <c r="BS190">
        <f t="shared" si="356"/>
        <v>0</v>
      </c>
      <c r="BT190">
        <f t="shared" si="356"/>
        <v>0</v>
      </c>
      <c r="BU190">
        <f t="shared" si="356"/>
        <v>0</v>
      </c>
      <c r="BV190">
        <f t="shared" si="356"/>
        <v>0</v>
      </c>
      <c r="BW190">
        <f t="shared" si="356"/>
        <v>0</v>
      </c>
      <c r="BX190">
        <f t="shared" si="356"/>
        <v>0</v>
      </c>
      <c r="BY190">
        <f t="shared" si="356"/>
        <v>0</v>
      </c>
      <c r="BZ190">
        <f t="shared" si="356"/>
        <v>0</v>
      </c>
      <c r="CA190">
        <f t="shared" si="356"/>
        <v>0</v>
      </c>
      <c r="CB190">
        <f t="shared" si="356"/>
        <v>0</v>
      </c>
      <c r="CC190">
        <f t="shared" si="357"/>
        <v>0</v>
      </c>
      <c r="CD190">
        <f t="shared" si="357"/>
        <v>0</v>
      </c>
      <c r="CE190">
        <f t="shared" si="357"/>
        <v>0</v>
      </c>
      <c r="CF190">
        <f t="shared" si="357"/>
        <v>0</v>
      </c>
      <c r="CG190">
        <f t="shared" si="357"/>
        <v>0</v>
      </c>
      <c r="CH190">
        <f t="shared" si="357"/>
        <v>0</v>
      </c>
      <c r="CI190">
        <f t="shared" si="357"/>
        <v>0</v>
      </c>
      <c r="CJ190">
        <f t="shared" si="357"/>
        <v>0</v>
      </c>
      <c r="CK190">
        <f t="shared" si="357"/>
        <v>0</v>
      </c>
      <c r="CL190">
        <f t="shared" si="357"/>
        <v>0</v>
      </c>
      <c r="CM190">
        <f t="shared" si="358"/>
        <v>0</v>
      </c>
      <c r="CN190">
        <f t="shared" si="358"/>
        <v>0</v>
      </c>
      <c r="CO190">
        <f t="shared" si="358"/>
        <v>0</v>
      </c>
      <c r="CP190">
        <f t="shared" si="358"/>
        <v>0</v>
      </c>
      <c r="CQ190">
        <f t="shared" si="358"/>
        <v>0</v>
      </c>
      <c r="CR190">
        <f t="shared" si="358"/>
        <v>0</v>
      </c>
      <c r="CS190">
        <f t="shared" si="358"/>
        <v>0</v>
      </c>
      <c r="CT190">
        <f t="shared" si="358"/>
        <v>0</v>
      </c>
      <c r="CU190">
        <f t="shared" si="358"/>
        <v>0</v>
      </c>
      <c r="CV190">
        <f t="shared" si="358"/>
        <v>0</v>
      </c>
      <c r="CW190">
        <f t="shared" si="359"/>
        <v>0</v>
      </c>
      <c r="CX190">
        <f t="shared" si="359"/>
        <v>0</v>
      </c>
      <c r="CY190">
        <f t="shared" si="359"/>
        <v>0</v>
      </c>
      <c r="CZ190">
        <f t="shared" si="359"/>
        <v>0</v>
      </c>
      <c r="DA190">
        <f t="shared" si="359"/>
        <v>0</v>
      </c>
      <c r="DB190">
        <f t="shared" si="359"/>
        <v>0</v>
      </c>
      <c r="DC190">
        <f t="shared" si="359"/>
        <v>0</v>
      </c>
      <c r="DD190">
        <f t="shared" si="359"/>
        <v>0</v>
      </c>
      <c r="DE190">
        <f t="shared" si="359"/>
        <v>0</v>
      </c>
      <c r="DF190">
        <f t="shared" si="359"/>
        <v>0</v>
      </c>
      <c r="DG190">
        <f t="shared" si="360"/>
        <v>0</v>
      </c>
      <c r="DH190">
        <f t="shared" si="360"/>
        <v>0</v>
      </c>
      <c r="DI190">
        <f t="shared" si="360"/>
        <v>0</v>
      </c>
      <c r="DJ190">
        <f t="shared" si="360"/>
        <v>0</v>
      </c>
      <c r="DK190">
        <f t="shared" si="360"/>
        <v>0</v>
      </c>
      <c r="DL190">
        <f t="shared" si="360"/>
        <v>0</v>
      </c>
      <c r="DM190">
        <f t="shared" si="360"/>
        <v>0</v>
      </c>
      <c r="DN190">
        <f t="shared" si="360"/>
        <v>0</v>
      </c>
      <c r="DO190">
        <f t="shared" si="360"/>
        <v>0</v>
      </c>
      <c r="DP190">
        <f t="shared" si="360"/>
        <v>0</v>
      </c>
      <c r="DQ190">
        <f t="shared" si="361"/>
        <v>0</v>
      </c>
      <c r="DR190">
        <f t="shared" si="361"/>
        <v>0</v>
      </c>
      <c r="DS190">
        <f t="shared" si="361"/>
        <v>0</v>
      </c>
      <c r="DT190">
        <f t="shared" si="361"/>
        <v>0</v>
      </c>
      <c r="DU190">
        <f t="shared" si="361"/>
        <v>0</v>
      </c>
      <c r="DV190">
        <f t="shared" si="361"/>
        <v>0</v>
      </c>
      <c r="DW190">
        <f t="shared" si="361"/>
        <v>0</v>
      </c>
      <c r="DX190">
        <f t="shared" si="361"/>
        <v>0</v>
      </c>
      <c r="DY190">
        <f t="shared" si="361"/>
        <v>0</v>
      </c>
      <c r="DZ190">
        <f t="shared" si="361"/>
        <v>0</v>
      </c>
      <c r="EA190">
        <f>IF($C190&lt;&gt;"",IF(#REF!&gt;0,1,0),0)</f>
        <v>0</v>
      </c>
      <c r="EB190">
        <f>IF($C190&lt;&gt;"",IF(#REF!&gt;0,1,0),0)</f>
        <v>0</v>
      </c>
      <c r="EC190">
        <f>IF($C190&lt;&gt;"",IF(#REF!&gt;0,1,0),0)</f>
        <v>0</v>
      </c>
      <c r="ED190">
        <f>IF($C190&lt;&gt;"",IF(#REF!&gt;0,1,0),0)</f>
        <v>0</v>
      </c>
      <c r="EE190">
        <f>IF($C190&lt;&gt;"",IF(#REF!&gt;0,1,0),0)</f>
        <v>0</v>
      </c>
      <c r="EF190">
        <f>IF($C190&lt;&gt;"",IF(#REF!&gt;0,1,0),0)</f>
        <v>0</v>
      </c>
    </row>
    <row r="191" spans="1:136" ht="15.5">
      <c r="A191" s="93"/>
      <c r="B191" s="53" t="s">
        <v>18</v>
      </c>
      <c r="C191" s="95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34">
        <v>972.17759766643246</v>
      </c>
      <c r="AK191" s="34">
        <v>1014.5344092527341</v>
      </c>
      <c r="AL191" s="34">
        <v>1074.4341109374998</v>
      </c>
      <c r="AM191" s="34">
        <v>1153.7547499999998</v>
      </c>
      <c r="AN191" s="34">
        <v>1231</v>
      </c>
      <c r="AO191" s="34">
        <v>1300</v>
      </c>
      <c r="AP191" s="34">
        <v>0</v>
      </c>
      <c r="AQ191" s="34">
        <v>0</v>
      </c>
      <c r="AR191" s="34">
        <v>0</v>
      </c>
      <c r="AS191" s="18">
        <v>0</v>
      </c>
      <c r="AT191" s="18">
        <v>0</v>
      </c>
      <c r="AU191" s="18">
        <v>0</v>
      </c>
      <c r="AV191" s="18">
        <v>0</v>
      </c>
      <c r="AW191" s="18">
        <v>0</v>
      </c>
      <c r="AX191" s="18">
        <v>0</v>
      </c>
      <c r="AY191" s="18">
        <v>0</v>
      </c>
      <c r="AZ191" s="18">
        <v>0</v>
      </c>
      <c r="BA191" s="18">
        <v>0</v>
      </c>
      <c r="BB191" s="18">
        <v>0</v>
      </c>
      <c r="BC191" s="18">
        <v>0</v>
      </c>
      <c r="BD191" s="18">
        <v>0</v>
      </c>
      <c r="BE191" s="25">
        <v>0</v>
      </c>
      <c r="BF191" s="18">
        <v>0</v>
      </c>
      <c r="BG191" s="18">
        <v>0</v>
      </c>
      <c r="BH191" s="18">
        <v>0</v>
      </c>
      <c r="BI191" s="18">
        <v>0</v>
      </c>
      <c r="BJ191" s="18">
        <v>0</v>
      </c>
      <c r="BK191" s="18">
        <v>0</v>
      </c>
      <c r="BL191" s="18">
        <v>0</v>
      </c>
      <c r="BM191" s="18">
        <v>0</v>
      </c>
      <c r="BN191" s="34">
        <v>0</v>
      </c>
      <c r="BO191" s="34">
        <v>0</v>
      </c>
      <c r="BP191" s="34">
        <v>0</v>
      </c>
      <c r="BQ191" s="34">
        <v>0</v>
      </c>
      <c r="BR191" s="101"/>
      <c r="BS191">
        <f t="shared" si="356"/>
        <v>0</v>
      </c>
      <c r="BT191">
        <f t="shared" si="356"/>
        <v>0</v>
      </c>
      <c r="BU191">
        <f t="shared" si="356"/>
        <v>0</v>
      </c>
      <c r="BV191">
        <f t="shared" si="356"/>
        <v>0</v>
      </c>
      <c r="BW191">
        <f t="shared" si="356"/>
        <v>0</v>
      </c>
      <c r="BX191">
        <f t="shared" si="356"/>
        <v>0</v>
      </c>
      <c r="BY191">
        <f t="shared" si="356"/>
        <v>0</v>
      </c>
      <c r="BZ191">
        <f t="shared" si="356"/>
        <v>0</v>
      </c>
      <c r="CA191">
        <f t="shared" si="356"/>
        <v>0</v>
      </c>
      <c r="CB191">
        <f t="shared" si="356"/>
        <v>0</v>
      </c>
      <c r="CC191">
        <f t="shared" si="357"/>
        <v>0</v>
      </c>
      <c r="CD191">
        <f t="shared" si="357"/>
        <v>0</v>
      </c>
      <c r="CE191">
        <f t="shared" si="357"/>
        <v>0</v>
      </c>
      <c r="CF191">
        <f t="shared" si="357"/>
        <v>0</v>
      </c>
      <c r="CG191">
        <f t="shared" si="357"/>
        <v>0</v>
      </c>
      <c r="CH191">
        <f t="shared" si="357"/>
        <v>0</v>
      </c>
      <c r="CI191">
        <f t="shared" si="357"/>
        <v>0</v>
      </c>
      <c r="CJ191">
        <f t="shared" si="357"/>
        <v>0</v>
      </c>
      <c r="CK191">
        <f t="shared" si="357"/>
        <v>0</v>
      </c>
      <c r="CL191">
        <f t="shared" si="357"/>
        <v>0</v>
      </c>
      <c r="CM191">
        <f t="shared" si="358"/>
        <v>0</v>
      </c>
      <c r="CN191">
        <f t="shared" si="358"/>
        <v>0</v>
      </c>
      <c r="CO191">
        <f t="shared" si="358"/>
        <v>0</v>
      </c>
      <c r="CP191">
        <f t="shared" si="358"/>
        <v>0</v>
      </c>
      <c r="CQ191">
        <f t="shared" si="358"/>
        <v>0</v>
      </c>
      <c r="CR191">
        <f t="shared" si="358"/>
        <v>0</v>
      </c>
      <c r="CS191">
        <f t="shared" si="358"/>
        <v>0</v>
      </c>
      <c r="CT191">
        <f t="shared" si="358"/>
        <v>0</v>
      </c>
      <c r="CU191">
        <f t="shared" si="358"/>
        <v>0</v>
      </c>
      <c r="CV191">
        <f t="shared" si="358"/>
        <v>0</v>
      </c>
      <c r="CW191">
        <f t="shared" si="359"/>
        <v>0</v>
      </c>
      <c r="CX191">
        <f t="shared" si="359"/>
        <v>0</v>
      </c>
      <c r="CY191">
        <f t="shared" si="359"/>
        <v>0</v>
      </c>
      <c r="CZ191">
        <f t="shared" si="359"/>
        <v>0</v>
      </c>
      <c r="DA191">
        <f t="shared" si="359"/>
        <v>0</v>
      </c>
      <c r="DB191">
        <f t="shared" si="359"/>
        <v>0</v>
      </c>
      <c r="DC191">
        <f t="shared" si="359"/>
        <v>0</v>
      </c>
      <c r="DD191">
        <f t="shared" si="359"/>
        <v>0</v>
      </c>
      <c r="DE191">
        <f t="shared" si="359"/>
        <v>0</v>
      </c>
      <c r="DF191">
        <f t="shared" si="359"/>
        <v>0</v>
      </c>
      <c r="DG191">
        <f t="shared" si="360"/>
        <v>0</v>
      </c>
      <c r="DH191">
        <f t="shared" si="360"/>
        <v>0</v>
      </c>
      <c r="DI191">
        <f t="shared" si="360"/>
        <v>0</v>
      </c>
      <c r="DJ191">
        <f t="shared" si="360"/>
        <v>0</v>
      </c>
      <c r="DK191">
        <f t="shared" si="360"/>
        <v>0</v>
      </c>
      <c r="DL191">
        <f t="shared" si="360"/>
        <v>0</v>
      </c>
      <c r="DM191">
        <f t="shared" si="360"/>
        <v>0</v>
      </c>
      <c r="DN191">
        <f t="shared" si="360"/>
        <v>0</v>
      </c>
      <c r="DO191">
        <f t="shared" si="360"/>
        <v>0</v>
      </c>
      <c r="DP191">
        <f t="shared" si="360"/>
        <v>0</v>
      </c>
      <c r="DQ191">
        <f t="shared" si="361"/>
        <v>0</v>
      </c>
      <c r="DR191">
        <f t="shared" si="361"/>
        <v>0</v>
      </c>
      <c r="DS191">
        <f t="shared" si="361"/>
        <v>0</v>
      </c>
      <c r="DT191">
        <f t="shared" si="361"/>
        <v>0</v>
      </c>
      <c r="DU191">
        <f t="shared" si="361"/>
        <v>0</v>
      </c>
      <c r="DV191">
        <f t="shared" si="361"/>
        <v>0</v>
      </c>
      <c r="DW191">
        <f t="shared" si="361"/>
        <v>0</v>
      </c>
      <c r="DX191">
        <f t="shared" si="361"/>
        <v>0</v>
      </c>
      <c r="DY191">
        <f t="shared" si="361"/>
        <v>0</v>
      </c>
      <c r="DZ191">
        <f t="shared" si="361"/>
        <v>0</v>
      </c>
      <c r="EA191">
        <f t="shared" ref="EA191:EF193" si="363">IF($C191&lt;&gt;"",IF(BL191&gt;0,1,0),0)</f>
        <v>0</v>
      </c>
      <c r="EB191">
        <f t="shared" si="363"/>
        <v>0</v>
      </c>
      <c r="EC191">
        <f t="shared" si="363"/>
        <v>0</v>
      </c>
      <c r="ED191">
        <f t="shared" si="363"/>
        <v>0</v>
      </c>
      <c r="EE191">
        <f t="shared" si="363"/>
        <v>0</v>
      </c>
      <c r="EF191">
        <f t="shared" si="363"/>
        <v>0</v>
      </c>
    </row>
    <row r="192" spans="1:136" ht="15.5">
      <c r="A192" s="93"/>
      <c r="B192" s="19" t="s">
        <v>208</v>
      </c>
      <c r="C192" s="95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>
        <v>0</v>
      </c>
      <c r="AK192" s="34">
        <v>0</v>
      </c>
      <c r="AL192" s="34">
        <v>0</v>
      </c>
      <c r="AM192" s="34">
        <v>0</v>
      </c>
      <c r="AN192" s="34">
        <v>0</v>
      </c>
      <c r="AO192" s="34">
        <v>0</v>
      </c>
      <c r="AP192" s="34">
        <v>0</v>
      </c>
      <c r="AQ192" s="34">
        <v>591.5</v>
      </c>
      <c r="AR192" s="83">
        <v>3.3</v>
      </c>
      <c r="AS192" s="83">
        <v>0</v>
      </c>
      <c r="AT192" s="83">
        <v>0</v>
      </c>
      <c r="AU192" s="83">
        <v>0</v>
      </c>
      <c r="AV192" s="83">
        <v>0</v>
      </c>
      <c r="AW192" s="83">
        <v>0</v>
      </c>
      <c r="AX192" s="83">
        <v>0</v>
      </c>
      <c r="AY192" s="34">
        <v>0</v>
      </c>
      <c r="AZ192" s="34">
        <v>0</v>
      </c>
      <c r="BA192" s="34">
        <v>0</v>
      </c>
      <c r="BB192" s="34">
        <v>0</v>
      </c>
      <c r="BC192" s="34">
        <v>0</v>
      </c>
      <c r="BD192" s="34">
        <v>0</v>
      </c>
      <c r="BE192" s="42">
        <v>0</v>
      </c>
      <c r="BF192" s="34">
        <v>0</v>
      </c>
      <c r="BG192" s="34">
        <v>0</v>
      </c>
      <c r="BH192" s="34">
        <v>0</v>
      </c>
      <c r="BI192" s="34">
        <v>0</v>
      </c>
      <c r="BJ192" s="34">
        <v>0</v>
      </c>
      <c r="BK192" s="34">
        <v>0</v>
      </c>
      <c r="BL192" s="34">
        <v>0</v>
      </c>
      <c r="BM192" s="34">
        <v>0</v>
      </c>
      <c r="BN192" s="34">
        <v>0</v>
      </c>
      <c r="BO192" s="34">
        <v>0</v>
      </c>
      <c r="BP192" s="34">
        <v>0</v>
      </c>
      <c r="BQ192" s="34">
        <v>0</v>
      </c>
      <c r="BR192" s="101"/>
      <c r="BS192">
        <f t="shared" si="356"/>
        <v>0</v>
      </c>
      <c r="BT192">
        <f t="shared" si="356"/>
        <v>0</v>
      </c>
      <c r="BU192">
        <f t="shared" si="356"/>
        <v>0</v>
      </c>
      <c r="BV192">
        <f t="shared" si="356"/>
        <v>0</v>
      </c>
      <c r="BW192">
        <f t="shared" si="356"/>
        <v>0</v>
      </c>
      <c r="BX192">
        <f t="shared" si="356"/>
        <v>0</v>
      </c>
      <c r="BY192">
        <f t="shared" si="356"/>
        <v>0</v>
      </c>
      <c r="BZ192">
        <f t="shared" si="356"/>
        <v>0</v>
      </c>
      <c r="CA192">
        <f t="shared" si="356"/>
        <v>0</v>
      </c>
      <c r="CB192">
        <f t="shared" si="356"/>
        <v>0</v>
      </c>
      <c r="CC192">
        <f t="shared" si="357"/>
        <v>0</v>
      </c>
      <c r="CD192">
        <f t="shared" si="357"/>
        <v>0</v>
      </c>
      <c r="CE192">
        <f t="shared" si="357"/>
        <v>0</v>
      </c>
      <c r="CF192">
        <f t="shared" si="357"/>
        <v>0</v>
      </c>
      <c r="CG192">
        <f t="shared" si="357"/>
        <v>0</v>
      </c>
      <c r="CH192">
        <f t="shared" si="357"/>
        <v>0</v>
      </c>
      <c r="CI192">
        <f t="shared" si="357"/>
        <v>0</v>
      </c>
      <c r="CJ192">
        <f t="shared" si="357"/>
        <v>0</v>
      </c>
      <c r="CK192">
        <f t="shared" si="357"/>
        <v>0</v>
      </c>
      <c r="CL192">
        <f t="shared" si="357"/>
        <v>0</v>
      </c>
      <c r="CM192">
        <f t="shared" si="358"/>
        <v>0</v>
      </c>
      <c r="CN192">
        <f t="shared" si="358"/>
        <v>0</v>
      </c>
      <c r="CO192">
        <f t="shared" si="358"/>
        <v>0</v>
      </c>
      <c r="CP192">
        <f t="shared" si="358"/>
        <v>0</v>
      </c>
      <c r="CQ192">
        <f t="shared" si="358"/>
        <v>0</v>
      </c>
      <c r="CR192">
        <f t="shared" si="358"/>
        <v>0</v>
      </c>
      <c r="CS192">
        <f t="shared" si="358"/>
        <v>0</v>
      </c>
      <c r="CT192">
        <f t="shared" si="358"/>
        <v>0</v>
      </c>
      <c r="CU192">
        <f t="shared" si="358"/>
        <v>0</v>
      </c>
      <c r="CV192">
        <f t="shared" si="358"/>
        <v>0</v>
      </c>
      <c r="CW192">
        <f t="shared" si="359"/>
        <v>0</v>
      </c>
      <c r="CX192">
        <f t="shared" si="359"/>
        <v>0</v>
      </c>
      <c r="CY192">
        <f t="shared" si="359"/>
        <v>0</v>
      </c>
      <c r="CZ192">
        <f t="shared" si="359"/>
        <v>0</v>
      </c>
      <c r="DA192">
        <f t="shared" si="359"/>
        <v>0</v>
      </c>
      <c r="DB192">
        <f t="shared" si="359"/>
        <v>0</v>
      </c>
      <c r="DC192">
        <f t="shared" si="359"/>
        <v>0</v>
      </c>
      <c r="DD192">
        <f t="shared" si="359"/>
        <v>0</v>
      </c>
      <c r="DE192">
        <f t="shared" si="359"/>
        <v>0</v>
      </c>
      <c r="DF192">
        <f t="shared" si="359"/>
        <v>0</v>
      </c>
      <c r="DG192">
        <f t="shared" si="360"/>
        <v>0</v>
      </c>
      <c r="DH192">
        <f t="shared" si="360"/>
        <v>0</v>
      </c>
      <c r="DI192">
        <f t="shared" si="360"/>
        <v>0</v>
      </c>
      <c r="DJ192">
        <f t="shared" si="360"/>
        <v>0</v>
      </c>
      <c r="DK192">
        <f t="shared" si="360"/>
        <v>0</v>
      </c>
      <c r="DL192">
        <f t="shared" si="360"/>
        <v>0</v>
      </c>
      <c r="DM192">
        <f t="shared" si="360"/>
        <v>0</v>
      </c>
      <c r="DN192">
        <f t="shared" si="360"/>
        <v>0</v>
      </c>
      <c r="DO192">
        <f t="shared" si="360"/>
        <v>0</v>
      </c>
      <c r="DP192">
        <f t="shared" si="360"/>
        <v>0</v>
      </c>
      <c r="DQ192">
        <f t="shared" si="361"/>
        <v>0</v>
      </c>
      <c r="DR192">
        <f t="shared" si="361"/>
        <v>0</v>
      </c>
      <c r="DS192">
        <f t="shared" si="361"/>
        <v>0</v>
      </c>
      <c r="DT192">
        <f t="shared" si="361"/>
        <v>0</v>
      </c>
      <c r="DU192">
        <f t="shared" si="361"/>
        <v>0</v>
      </c>
      <c r="DV192">
        <f t="shared" si="361"/>
        <v>0</v>
      </c>
      <c r="DW192">
        <f t="shared" si="361"/>
        <v>0</v>
      </c>
      <c r="DX192">
        <f t="shared" si="361"/>
        <v>0</v>
      </c>
      <c r="DY192">
        <f t="shared" si="361"/>
        <v>0</v>
      </c>
      <c r="DZ192">
        <f t="shared" si="361"/>
        <v>0</v>
      </c>
      <c r="EA192">
        <f t="shared" si="363"/>
        <v>0</v>
      </c>
      <c r="EB192">
        <f t="shared" si="363"/>
        <v>0</v>
      </c>
      <c r="EC192">
        <f t="shared" si="363"/>
        <v>0</v>
      </c>
      <c r="ED192">
        <f t="shared" si="363"/>
        <v>0</v>
      </c>
      <c r="EE192">
        <f t="shared" si="363"/>
        <v>0</v>
      </c>
      <c r="EF192">
        <f t="shared" si="363"/>
        <v>0</v>
      </c>
    </row>
    <row r="193" spans="1:136" ht="15.5">
      <c r="A193" s="93"/>
      <c r="B193" s="19" t="s">
        <v>212</v>
      </c>
      <c r="C193" s="95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1"/>
      <c r="U193" s="51"/>
      <c r="V193" s="51"/>
      <c r="W193" s="51"/>
      <c r="X193" s="51"/>
      <c r="Y193" s="51"/>
      <c r="Z193" s="51"/>
      <c r="AA193" s="51"/>
      <c r="AB193" s="51"/>
      <c r="AC193" s="51"/>
      <c r="AD193" s="51"/>
      <c r="AE193" s="51"/>
      <c r="AF193" s="51"/>
      <c r="AG193" s="51"/>
      <c r="AH193" s="51"/>
      <c r="AI193" s="51"/>
      <c r="AJ193" s="48">
        <v>1250</v>
      </c>
      <c r="AK193" s="18">
        <v>2500</v>
      </c>
      <c r="AL193" s="18">
        <v>3750</v>
      </c>
      <c r="AM193" s="18">
        <v>5000</v>
      </c>
      <c r="AN193" s="216">
        <f>734/1.505</f>
        <v>487.7076411960133</v>
      </c>
      <c r="AO193" s="164">
        <v>69.101123595505612</v>
      </c>
      <c r="AP193" s="165">
        <v>87.32</v>
      </c>
      <c r="AQ193" s="220">
        <v>196.44499999999999</v>
      </c>
      <c r="AR193" s="164">
        <v>414.53999999999996</v>
      </c>
      <c r="AS193" s="164">
        <v>432.98500000000001</v>
      </c>
      <c r="AT193" s="164">
        <v>634.41000000000008</v>
      </c>
      <c r="AU193" s="164">
        <v>1036.6400000000001</v>
      </c>
      <c r="AV193" s="164">
        <v>1063.26</v>
      </c>
      <c r="AW193" s="164">
        <v>915.6</v>
      </c>
      <c r="AX193" s="164">
        <v>692.33500000000004</v>
      </c>
      <c r="AY193" s="166">
        <v>1107.645</v>
      </c>
      <c r="AZ193" s="164">
        <v>1286.4449999999999</v>
      </c>
      <c r="BA193" s="164">
        <v>1089.19</v>
      </c>
      <c r="BB193" s="164">
        <v>943.84</v>
      </c>
      <c r="BC193" s="164">
        <v>950.40000000000009</v>
      </c>
      <c r="BD193" s="164">
        <v>1033.8100000000002</v>
      </c>
      <c r="BE193" s="164">
        <v>1175.3</v>
      </c>
      <c r="BF193" s="164">
        <v>1104.22</v>
      </c>
      <c r="BG193" s="164">
        <v>1048.8800000000001</v>
      </c>
      <c r="BH193" s="113">
        <v>1091.27</v>
      </c>
      <c r="BI193" s="113">
        <v>1161.44</v>
      </c>
      <c r="BJ193" s="113">
        <v>1080.8799999999999</v>
      </c>
      <c r="BK193" s="113">
        <v>999.60000000000014</v>
      </c>
      <c r="BL193" s="18">
        <v>1054</v>
      </c>
      <c r="BM193" s="113">
        <v>985.99999999999989</v>
      </c>
      <c r="BN193" s="228">
        <f>1713/1.99</f>
        <v>860.8040201005025</v>
      </c>
      <c r="BO193" s="168">
        <v>949.72067039106139</v>
      </c>
      <c r="BP193" s="113">
        <v>20</v>
      </c>
      <c r="BQ193" s="113">
        <v>0</v>
      </c>
      <c r="BR193" s="101"/>
      <c r="BS193">
        <f t="shared" si="356"/>
        <v>0</v>
      </c>
      <c r="BT193">
        <f t="shared" si="356"/>
        <v>0</v>
      </c>
      <c r="BU193">
        <f t="shared" si="356"/>
        <v>0</v>
      </c>
      <c r="BV193">
        <f t="shared" si="356"/>
        <v>0</v>
      </c>
      <c r="BW193">
        <f t="shared" si="356"/>
        <v>0</v>
      </c>
      <c r="BX193">
        <f t="shared" si="356"/>
        <v>0</v>
      </c>
      <c r="BY193">
        <f t="shared" si="356"/>
        <v>0</v>
      </c>
      <c r="BZ193">
        <f t="shared" si="356"/>
        <v>0</v>
      </c>
      <c r="CA193">
        <f t="shared" si="356"/>
        <v>0</v>
      </c>
      <c r="CB193">
        <f t="shared" si="356"/>
        <v>0</v>
      </c>
      <c r="CC193">
        <f t="shared" si="357"/>
        <v>0</v>
      </c>
      <c r="CD193">
        <f t="shared" si="357"/>
        <v>0</v>
      </c>
      <c r="CE193">
        <f t="shared" si="357"/>
        <v>0</v>
      </c>
      <c r="CF193">
        <f t="shared" si="357"/>
        <v>0</v>
      </c>
      <c r="CG193">
        <f t="shared" si="357"/>
        <v>0</v>
      </c>
      <c r="CH193">
        <f t="shared" si="357"/>
        <v>0</v>
      </c>
      <c r="CI193">
        <f t="shared" si="357"/>
        <v>0</v>
      </c>
      <c r="CJ193">
        <f t="shared" si="357"/>
        <v>0</v>
      </c>
      <c r="CK193">
        <f t="shared" si="357"/>
        <v>0</v>
      </c>
      <c r="CL193">
        <f t="shared" si="357"/>
        <v>0</v>
      </c>
      <c r="CM193">
        <f t="shared" si="358"/>
        <v>0</v>
      </c>
      <c r="CN193">
        <f t="shared" si="358"/>
        <v>0</v>
      </c>
      <c r="CO193">
        <f t="shared" si="358"/>
        <v>0</v>
      </c>
      <c r="CP193">
        <f t="shared" si="358"/>
        <v>0</v>
      </c>
      <c r="CQ193">
        <f t="shared" si="358"/>
        <v>0</v>
      </c>
      <c r="CR193">
        <f t="shared" si="358"/>
        <v>0</v>
      </c>
      <c r="CS193">
        <f t="shared" si="358"/>
        <v>0</v>
      </c>
      <c r="CT193">
        <f t="shared" si="358"/>
        <v>0</v>
      </c>
      <c r="CU193">
        <f t="shared" si="358"/>
        <v>0</v>
      </c>
      <c r="CV193">
        <f t="shared" si="358"/>
        <v>0</v>
      </c>
      <c r="CW193">
        <f t="shared" si="359"/>
        <v>0</v>
      </c>
      <c r="CX193">
        <f t="shared" si="359"/>
        <v>0</v>
      </c>
      <c r="CY193">
        <f t="shared" si="359"/>
        <v>0</v>
      </c>
      <c r="CZ193">
        <f t="shared" si="359"/>
        <v>0</v>
      </c>
      <c r="DA193">
        <f t="shared" si="359"/>
        <v>0</v>
      </c>
      <c r="DB193">
        <f t="shared" si="359"/>
        <v>0</v>
      </c>
      <c r="DC193">
        <f t="shared" si="359"/>
        <v>0</v>
      </c>
      <c r="DD193">
        <f t="shared" si="359"/>
        <v>0</v>
      </c>
      <c r="DE193">
        <f t="shared" si="359"/>
        <v>0</v>
      </c>
      <c r="DF193">
        <f t="shared" si="359"/>
        <v>0</v>
      </c>
      <c r="DG193">
        <f t="shared" si="360"/>
        <v>0</v>
      </c>
      <c r="DH193">
        <f t="shared" si="360"/>
        <v>0</v>
      </c>
      <c r="DI193">
        <f t="shared" si="360"/>
        <v>0</v>
      </c>
      <c r="DJ193">
        <f t="shared" si="360"/>
        <v>0</v>
      </c>
      <c r="DK193">
        <f t="shared" si="360"/>
        <v>0</v>
      </c>
      <c r="DL193">
        <f t="shared" si="360"/>
        <v>0</v>
      </c>
      <c r="DM193">
        <f t="shared" si="360"/>
        <v>0</v>
      </c>
      <c r="DN193">
        <f t="shared" si="360"/>
        <v>0</v>
      </c>
      <c r="DO193">
        <f t="shared" si="360"/>
        <v>0</v>
      </c>
      <c r="DP193">
        <f t="shared" si="360"/>
        <v>0</v>
      </c>
      <c r="DQ193">
        <f t="shared" si="361"/>
        <v>0</v>
      </c>
      <c r="DR193">
        <f t="shared" si="361"/>
        <v>0</v>
      </c>
      <c r="DS193">
        <f t="shared" si="361"/>
        <v>0</v>
      </c>
      <c r="DT193">
        <f t="shared" si="361"/>
        <v>0</v>
      </c>
      <c r="DU193">
        <f t="shared" si="361"/>
        <v>0</v>
      </c>
      <c r="DV193">
        <f t="shared" si="361"/>
        <v>0</v>
      </c>
      <c r="DW193">
        <f t="shared" si="361"/>
        <v>0</v>
      </c>
      <c r="DX193">
        <f t="shared" si="361"/>
        <v>0</v>
      </c>
      <c r="DY193">
        <f t="shared" si="361"/>
        <v>0</v>
      </c>
      <c r="DZ193">
        <f t="shared" si="361"/>
        <v>0</v>
      </c>
      <c r="EA193">
        <f t="shared" si="363"/>
        <v>0</v>
      </c>
      <c r="EB193">
        <f t="shared" si="363"/>
        <v>0</v>
      </c>
      <c r="EC193">
        <f t="shared" si="363"/>
        <v>0</v>
      </c>
      <c r="ED193">
        <f t="shared" si="363"/>
        <v>0</v>
      </c>
      <c r="EE193">
        <f t="shared" si="363"/>
        <v>0</v>
      </c>
      <c r="EF193">
        <f t="shared" si="363"/>
        <v>0</v>
      </c>
    </row>
    <row r="194" spans="1:136" ht="15.5">
      <c r="A194" s="93"/>
      <c r="B194" s="19"/>
      <c r="C194" s="95"/>
      <c r="D194" s="135"/>
      <c r="E194" s="135"/>
      <c r="F194" s="135"/>
      <c r="G194" s="135"/>
      <c r="H194" s="135"/>
      <c r="I194" s="135"/>
      <c r="J194" s="135"/>
      <c r="K194" s="135"/>
      <c r="L194" s="135"/>
      <c r="M194" s="135"/>
      <c r="N194" s="135"/>
      <c r="O194" s="135"/>
      <c r="P194" s="135"/>
      <c r="Q194" s="135"/>
      <c r="R194" s="135"/>
      <c r="S194" s="163"/>
      <c r="T194" s="163"/>
      <c r="U194" s="163"/>
      <c r="V194" s="163"/>
      <c r="W194" s="163"/>
      <c r="X194" s="163"/>
      <c r="Y194" s="163"/>
      <c r="Z194" s="163"/>
      <c r="AA194" s="163"/>
      <c r="AB194" s="163"/>
      <c r="AC194" s="163"/>
      <c r="AD194" s="163"/>
      <c r="AE194" s="163"/>
      <c r="AF194" s="163"/>
      <c r="AG194" s="163"/>
      <c r="AH194" s="163"/>
      <c r="AI194" s="163"/>
      <c r="AJ194" s="163"/>
      <c r="AK194" s="163"/>
      <c r="AL194" s="163"/>
      <c r="AM194" s="163"/>
      <c r="AN194" s="163"/>
      <c r="AO194" s="163"/>
      <c r="AP194" s="163"/>
      <c r="AQ194" s="163"/>
      <c r="AR194" s="163"/>
      <c r="AS194" s="163"/>
      <c r="AT194" s="163"/>
      <c r="AU194" s="163"/>
      <c r="AV194" s="163"/>
      <c r="AW194" s="163"/>
      <c r="AX194" s="163"/>
      <c r="AY194" s="163"/>
      <c r="AZ194" s="163"/>
      <c r="BA194" s="163"/>
      <c r="BB194" s="163"/>
      <c r="BC194" s="163"/>
      <c r="BD194" s="163"/>
      <c r="BE194" s="163"/>
      <c r="BF194" s="163"/>
      <c r="BG194" s="163"/>
      <c r="BH194" s="4"/>
      <c r="BI194" s="4"/>
      <c r="BJ194" s="4"/>
      <c r="BK194" s="4"/>
      <c r="BL194" s="22"/>
      <c r="BM194" s="4"/>
      <c r="BN194" s="2"/>
      <c r="BO194" s="2"/>
      <c r="BP194" s="2"/>
      <c r="BQ194" s="2"/>
      <c r="BR194" s="101"/>
    </row>
    <row r="195" spans="1:136" ht="15.5">
      <c r="A195" s="93">
        <v>20</v>
      </c>
      <c r="B195" s="52" t="s">
        <v>36</v>
      </c>
      <c r="C195" s="95">
        <v>3</v>
      </c>
      <c r="D195" s="22"/>
      <c r="E195" s="22"/>
      <c r="F195" s="22"/>
      <c r="G195" s="22"/>
      <c r="H195" s="22"/>
      <c r="I195" s="22"/>
      <c r="J195" s="22">
        <f t="shared" ref="J195:AO195" si="364">SUM(J196:J198)</f>
        <v>0</v>
      </c>
      <c r="K195" s="22">
        <f t="shared" si="364"/>
        <v>0</v>
      </c>
      <c r="L195" s="22">
        <f t="shared" si="364"/>
        <v>0</v>
      </c>
      <c r="M195" s="22">
        <f t="shared" si="364"/>
        <v>0</v>
      </c>
      <c r="N195" s="22">
        <f t="shared" si="364"/>
        <v>0</v>
      </c>
      <c r="O195" s="22">
        <f t="shared" si="364"/>
        <v>0</v>
      </c>
      <c r="P195" s="22">
        <f t="shared" si="364"/>
        <v>0</v>
      </c>
      <c r="Q195" s="22">
        <f t="shared" si="364"/>
        <v>0</v>
      </c>
      <c r="R195" s="22">
        <f t="shared" si="364"/>
        <v>0</v>
      </c>
      <c r="S195" s="22">
        <f t="shared" si="364"/>
        <v>0</v>
      </c>
      <c r="T195" s="22">
        <f t="shared" si="364"/>
        <v>0</v>
      </c>
      <c r="U195" s="22">
        <f t="shared" si="364"/>
        <v>0</v>
      </c>
      <c r="V195" s="22">
        <f t="shared" si="364"/>
        <v>0</v>
      </c>
      <c r="W195" s="22">
        <f t="shared" si="364"/>
        <v>0.27300000000000002</v>
      </c>
      <c r="X195" s="22">
        <f t="shared" si="364"/>
        <v>0</v>
      </c>
      <c r="Y195" s="22">
        <f t="shared" si="364"/>
        <v>0</v>
      </c>
      <c r="Z195" s="22">
        <f t="shared" si="364"/>
        <v>0</v>
      </c>
      <c r="AA195" s="22">
        <f t="shared" si="364"/>
        <v>0</v>
      </c>
      <c r="AB195" s="22">
        <f t="shared" si="364"/>
        <v>0</v>
      </c>
      <c r="AC195" s="22">
        <f t="shared" si="364"/>
        <v>0</v>
      </c>
      <c r="AD195" s="22">
        <f t="shared" si="364"/>
        <v>0.112</v>
      </c>
      <c r="AE195" s="22">
        <f t="shared" si="364"/>
        <v>1.8069999999999999</v>
      </c>
      <c r="AF195" s="22">
        <f t="shared" si="364"/>
        <v>0.98299999999999998</v>
      </c>
      <c r="AG195" s="22">
        <f t="shared" si="364"/>
        <v>2.6459999999999999</v>
      </c>
      <c r="AH195" s="22">
        <f t="shared" si="364"/>
        <v>7.266</v>
      </c>
      <c r="AI195" s="22">
        <f t="shared" si="364"/>
        <v>9.1210000000000004</v>
      </c>
      <c r="AJ195" s="22">
        <f t="shared" si="364"/>
        <v>12.696</v>
      </c>
      <c r="AK195" s="22">
        <f t="shared" si="364"/>
        <v>13.59</v>
      </c>
      <c r="AL195" s="22">
        <f t="shared" si="364"/>
        <v>22.055999999999997</v>
      </c>
      <c r="AM195" s="22">
        <f t="shared" si="364"/>
        <v>16.858000000000001</v>
      </c>
      <c r="AN195" s="22">
        <f t="shared" si="364"/>
        <v>1.633</v>
      </c>
      <c r="AO195" s="22">
        <f t="shared" si="364"/>
        <v>2.0550000000000002</v>
      </c>
      <c r="AP195" s="22">
        <f t="shared" ref="AP195:BO195" si="365">SUM(AP196:AP198)</f>
        <v>4.1859999999999999</v>
      </c>
      <c r="AQ195" s="22">
        <f t="shared" si="365"/>
        <v>4.1980000000000004</v>
      </c>
      <c r="AR195" s="22">
        <f t="shared" si="365"/>
        <v>4.8579999999999997</v>
      </c>
      <c r="AS195" s="22">
        <f t="shared" si="365"/>
        <v>3.827</v>
      </c>
      <c r="AT195" s="22">
        <f t="shared" si="365"/>
        <v>1.44</v>
      </c>
      <c r="AU195" s="22">
        <f t="shared" si="365"/>
        <v>2.84</v>
      </c>
      <c r="AV195" s="22">
        <f t="shared" si="365"/>
        <v>1.006</v>
      </c>
      <c r="AW195" s="22">
        <f t="shared" si="365"/>
        <v>5.49</v>
      </c>
      <c r="AX195" s="22">
        <f t="shared" si="365"/>
        <v>27.582674000000001</v>
      </c>
      <c r="AY195" s="22">
        <f t="shared" si="365"/>
        <v>0</v>
      </c>
      <c r="AZ195" s="22">
        <f t="shared" si="365"/>
        <v>2.00235E-2</v>
      </c>
      <c r="BA195" s="22">
        <f t="shared" si="365"/>
        <v>0.43036479999999999</v>
      </c>
      <c r="BB195" s="22">
        <f t="shared" si="365"/>
        <v>0</v>
      </c>
      <c r="BC195" s="22">
        <f t="shared" si="365"/>
        <v>0</v>
      </c>
      <c r="BD195" s="22">
        <f t="shared" si="365"/>
        <v>0</v>
      </c>
      <c r="BE195" s="22">
        <f t="shared" si="365"/>
        <v>0</v>
      </c>
      <c r="BF195" s="22">
        <f t="shared" si="365"/>
        <v>0</v>
      </c>
      <c r="BG195" s="22">
        <f t="shared" si="365"/>
        <v>0</v>
      </c>
      <c r="BH195" s="22">
        <f t="shared" si="365"/>
        <v>0</v>
      </c>
      <c r="BI195" s="22">
        <f t="shared" si="365"/>
        <v>4.2724E-3</v>
      </c>
      <c r="BJ195" s="22">
        <f t="shared" si="365"/>
        <v>8.0319882000000007</v>
      </c>
      <c r="BK195" s="22">
        <f t="shared" si="365"/>
        <v>0</v>
      </c>
      <c r="BL195" s="22">
        <f t="shared" si="365"/>
        <v>2.8806000000000001E-3</v>
      </c>
      <c r="BM195" s="22">
        <f t="shared" si="365"/>
        <v>0</v>
      </c>
      <c r="BN195" s="22">
        <f t="shared" si="365"/>
        <v>0</v>
      </c>
      <c r="BO195" s="22">
        <f t="shared" si="365"/>
        <v>0</v>
      </c>
      <c r="BP195" s="22">
        <f>SUM(BP196:BP198)</f>
        <v>0</v>
      </c>
      <c r="BQ195" s="22">
        <f>SUM(BQ196:BQ198)</f>
        <v>0</v>
      </c>
      <c r="BR195" s="101"/>
      <c r="BS195">
        <f t="shared" ref="BS195:CX195" si="366">IF($C195&lt;&gt;"",IF(D195&gt;0,1,0),0)</f>
        <v>0</v>
      </c>
      <c r="BT195">
        <f t="shared" si="366"/>
        <v>0</v>
      </c>
      <c r="BU195">
        <f t="shared" si="366"/>
        <v>0</v>
      </c>
      <c r="BV195">
        <f t="shared" si="366"/>
        <v>0</v>
      </c>
      <c r="BW195">
        <f t="shared" si="366"/>
        <v>0</v>
      </c>
      <c r="BX195">
        <f t="shared" si="366"/>
        <v>0</v>
      </c>
      <c r="BY195">
        <f t="shared" si="366"/>
        <v>0</v>
      </c>
      <c r="BZ195">
        <f t="shared" si="366"/>
        <v>0</v>
      </c>
      <c r="CA195">
        <f t="shared" si="366"/>
        <v>0</v>
      </c>
      <c r="CB195">
        <f t="shared" si="366"/>
        <v>0</v>
      </c>
      <c r="CC195">
        <f t="shared" si="366"/>
        <v>0</v>
      </c>
      <c r="CD195">
        <f t="shared" si="366"/>
        <v>0</v>
      </c>
      <c r="CE195">
        <f t="shared" si="366"/>
        <v>0</v>
      </c>
      <c r="CF195">
        <f t="shared" si="366"/>
        <v>0</v>
      </c>
      <c r="CG195">
        <f t="shared" si="366"/>
        <v>0</v>
      </c>
      <c r="CH195">
        <f t="shared" si="366"/>
        <v>0</v>
      </c>
      <c r="CI195">
        <f t="shared" si="366"/>
        <v>0</v>
      </c>
      <c r="CJ195">
        <f t="shared" si="366"/>
        <v>0</v>
      </c>
      <c r="CK195">
        <f t="shared" si="366"/>
        <v>0</v>
      </c>
      <c r="CL195">
        <f t="shared" si="366"/>
        <v>1</v>
      </c>
      <c r="CM195">
        <f t="shared" si="366"/>
        <v>0</v>
      </c>
      <c r="CN195">
        <f t="shared" si="366"/>
        <v>0</v>
      </c>
      <c r="CO195">
        <f t="shared" si="366"/>
        <v>0</v>
      </c>
      <c r="CP195">
        <f t="shared" si="366"/>
        <v>0</v>
      </c>
      <c r="CQ195">
        <f t="shared" si="366"/>
        <v>0</v>
      </c>
      <c r="CR195">
        <f t="shared" si="366"/>
        <v>0</v>
      </c>
      <c r="CS195">
        <f t="shared" si="366"/>
        <v>1</v>
      </c>
      <c r="CT195">
        <f t="shared" si="366"/>
        <v>1</v>
      </c>
      <c r="CU195">
        <f t="shared" si="366"/>
        <v>1</v>
      </c>
      <c r="CV195">
        <f t="shared" si="366"/>
        <v>1</v>
      </c>
      <c r="CW195">
        <f t="shared" si="366"/>
        <v>1</v>
      </c>
      <c r="CX195">
        <f t="shared" si="366"/>
        <v>1</v>
      </c>
      <c r="CY195">
        <f t="shared" ref="CY195:ED195" si="367">IF($C195&lt;&gt;"",IF(AJ195&gt;0,1,0),0)</f>
        <v>1</v>
      </c>
      <c r="CZ195">
        <f t="shared" si="367"/>
        <v>1</v>
      </c>
      <c r="DA195">
        <f t="shared" si="367"/>
        <v>1</v>
      </c>
      <c r="DB195">
        <f t="shared" si="367"/>
        <v>1</v>
      </c>
      <c r="DC195">
        <f t="shared" si="367"/>
        <v>1</v>
      </c>
      <c r="DD195">
        <f t="shared" si="367"/>
        <v>1</v>
      </c>
      <c r="DE195">
        <f t="shared" si="367"/>
        <v>1</v>
      </c>
      <c r="DF195">
        <f t="shared" si="367"/>
        <v>1</v>
      </c>
      <c r="DG195">
        <f t="shared" si="367"/>
        <v>1</v>
      </c>
      <c r="DH195">
        <f t="shared" si="367"/>
        <v>1</v>
      </c>
      <c r="DI195">
        <f t="shared" si="367"/>
        <v>1</v>
      </c>
      <c r="DJ195">
        <f t="shared" si="367"/>
        <v>1</v>
      </c>
      <c r="DK195">
        <f t="shared" si="367"/>
        <v>1</v>
      </c>
      <c r="DL195">
        <f t="shared" si="367"/>
        <v>1</v>
      </c>
      <c r="DM195">
        <f t="shared" si="367"/>
        <v>1</v>
      </c>
      <c r="DN195">
        <f t="shared" si="367"/>
        <v>0</v>
      </c>
      <c r="DO195">
        <f t="shared" si="367"/>
        <v>1</v>
      </c>
      <c r="DP195">
        <f t="shared" si="367"/>
        <v>1</v>
      </c>
      <c r="DQ195">
        <f t="shared" si="367"/>
        <v>0</v>
      </c>
      <c r="DR195">
        <f t="shared" si="367"/>
        <v>0</v>
      </c>
      <c r="DS195">
        <f t="shared" si="367"/>
        <v>0</v>
      </c>
      <c r="DT195">
        <f t="shared" si="367"/>
        <v>0</v>
      </c>
      <c r="DU195">
        <f t="shared" si="367"/>
        <v>0</v>
      </c>
      <c r="DV195">
        <f t="shared" si="367"/>
        <v>0</v>
      </c>
      <c r="DW195">
        <f t="shared" si="367"/>
        <v>0</v>
      </c>
      <c r="DX195">
        <f t="shared" si="367"/>
        <v>1</v>
      </c>
      <c r="DY195">
        <f t="shared" si="367"/>
        <v>1</v>
      </c>
      <c r="DZ195">
        <f t="shared" si="367"/>
        <v>0</v>
      </c>
      <c r="EA195">
        <f t="shared" si="367"/>
        <v>1</v>
      </c>
      <c r="EB195">
        <f t="shared" si="367"/>
        <v>0</v>
      </c>
      <c r="EC195">
        <f t="shared" si="367"/>
        <v>0</v>
      </c>
      <c r="ED195">
        <f t="shared" si="367"/>
        <v>0</v>
      </c>
      <c r="EE195">
        <f t="shared" ref="EE195:EF195" si="368">IF($C195&lt;&gt;"",IF(BP195&gt;0,1,0),0)</f>
        <v>0</v>
      </c>
      <c r="EF195">
        <f t="shared" si="368"/>
        <v>0</v>
      </c>
    </row>
    <row r="196" spans="1:136" ht="15.5">
      <c r="A196" s="93"/>
      <c r="B196" s="53" t="s">
        <v>205</v>
      </c>
      <c r="C196" s="95"/>
      <c r="D196" s="22"/>
      <c r="E196" s="22"/>
      <c r="F196" s="22"/>
      <c r="G196" s="22"/>
      <c r="H196" s="22"/>
      <c r="I196" s="22"/>
      <c r="J196" s="18">
        <v>0</v>
      </c>
      <c r="K196" s="18">
        <v>0</v>
      </c>
      <c r="L196" s="18">
        <v>0</v>
      </c>
      <c r="M196" s="18">
        <v>0</v>
      </c>
      <c r="N196" s="18">
        <v>0</v>
      </c>
      <c r="O196" s="18">
        <v>0</v>
      </c>
      <c r="P196" s="18">
        <v>0</v>
      </c>
      <c r="Q196" s="18">
        <v>0</v>
      </c>
      <c r="R196" s="18">
        <v>0</v>
      </c>
      <c r="S196" s="18">
        <v>0</v>
      </c>
      <c r="T196" s="18">
        <v>0</v>
      </c>
      <c r="U196" s="18">
        <v>0</v>
      </c>
      <c r="V196" s="18">
        <v>0</v>
      </c>
      <c r="W196" s="18">
        <v>0</v>
      </c>
      <c r="X196" s="18">
        <v>0</v>
      </c>
      <c r="Y196" s="18">
        <v>0</v>
      </c>
      <c r="Z196" s="18">
        <v>0</v>
      </c>
      <c r="AA196" s="18">
        <v>0</v>
      </c>
      <c r="AB196" s="18">
        <v>0</v>
      </c>
      <c r="AC196" s="18">
        <v>0</v>
      </c>
      <c r="AD196" s="18">
        <v>0</v>
      </c>
      <c r="AE196" s="18">
        <v>0</v>
      </c>
      <c r="AF196" s="18">
        <v>0</v>
      </c>
      <c r="AG196" s="18">
        <v>0</v>
      </c>
      <c r="AH196" s="18">
        <v>0</v>
      </c>
      <c r="AI196" s="18">
        <v>0</v>
      </c>
      <c r="AJ196" s="18">
        <v>0</v>
      </c>
      <c r="AK196" s="18">
        <v>0</v>
      </c>
      <c r="AL196" s="18">
        <v>0</v>
      </c>
      <c r="AM196" s="18">
        <v>0</v>
      </c>
      <c r="AN196" s="18">
        <v>0</v>
      </c>
      <c r="AO196" s="18">
        <v>0</v>
      </c>
      <c r="AP196" s="18">
        <v>0</v>
      </c>
      <c r="AQ196" s="18">
        <v>0</v>
      </c>
      <c r="AR196" s="18">
        <v>0</v>
      </c>
      <c r="AS196" s="18">
        <v>0</v>
      </c>
      <c r="AT196" s="18">
        <v>0</v>
      </c>
      <c r="AU196" s="18">
        <v>0</v>
      </c>
      <c r="AV196" s="18">
        <v>0</v>
      </c>
      <c r="AW196" s="18">
        <v>0</v>
      </c>
      <c r="AX196" s="18">
        <v>0</v>
      </c>
      <c r="AY196" s="18">
        <v>0</v>
      </c>
      <c r="AZ196" s="18">
        <v>0</v>
      </c>
      <c r="BA196" s="18">
        <f>215182.4/1000000</f>
        <v>0.2151824</v>
      </c>
      <c r="BB196" s="18">
        <v>0</v>
      </c>
      <c r="BC196" s="18">
        <v>0</v>
      </c>
      <c r="BD196" s="18">
        <v>0</v>
      </c>
      <c r="BE196" s="18">
        <v>0</v>
      </c>
      <c r="BF196" s="18">
        <v>0</v>
      </c>
      <c r="BG196" s="18">
        <v>0</v>
      </c>
      <c r="BH196" s="18">
        <v>0</v>
      </c>
      <c r="BI196" s="18">
        <v>0</v>
      </c>
      <c r="BJ196" s="34">
        <v>8</v>
      </c>
      <c r="BK196" s="34">
        <v>0</v>
      </c>
      <c r="BL196" s="113">
        <v>0</v>
      </c>
      <c r="BM196" s="113">
        <v>0</v>
      </c>
      <c r="BN196" s="113">
        <v>0</v>
      </c>
      <c r="BO196" s="113">
        <v>0</v>
      </c>
      <c r="BP196" s="113">
        <v>0</v>
      </c>
      <c r="BQ196" s="113">
        <v>0</v>
      </c>
      <c r="BR196" s="101"/>
      <c r="BS196">
        <f t="shared" ref="BS196:CB198" si="369">IF($C196&lt;&gt;"",IF(D196&gt;0,1,0),0)</f>
        <v>0</v>
      </c>
      <c r="BT196">
        <f t="shared" si="369"/>
        <v>0</v>
      </c>
      <c r="BU196">
        <f t="shared" si="369"/>
        <v>0</v>
      </c>
      <c r="BV196">
        <f t="shared" si="369"/>
        <v>0</v>
      </c>
      <c r="BW196">
        <f t="shared" si="369"/>
        <v>0</v>
      </c>
      <c r="BX196">
        <f t="shared" si="369"/>
        <v>0</v>
      </c>
      <c r="BY196">
        <f t="shared" si="369"/>
        <v>0</v>
      </c>
      <c r="BZ196">
        <f t="shared" si="369"/>
        <v>0</v>
      </c>
      <c r="CA196">
        <f t="shared" si="369"/>
        <v>0</v>
      </c>
      <c r="CB196">
        <f t="shared" si="369"/>
        <v>0</v>
      </c>
      <c r="CC196">
        <f t="shared" ref="CC196:CL198" si="370">IF($C196&lt;&gt;"",IF(N196&gt;0,1,0),0)</f>
        <v>0</v>
      </c>
      <c r="CD196">
        <f t="shared" si="370"/>
        <v>0</v>
      </c>
      <c r="CE196">
        <f t="shared" si="370"/>
        <v>0</v>
      </c>
      <c r="CF196">
        <f t="shared" si="370"/>
        <v>0</v>
      </c>
      <c r="CG196">
        <f t="shared" si="370"/>
        <v>0</v>
      </c>
      <c r="CH196">
        <f t="shared" si="370"/>
        <v>0</v>
      </c>
      <c r="CI196">
        <f t="shared" si="370"/>
        <v>0</v>
      </c>
      <c r="CJ196">
        <f t="shared" si="370"/>
        <v>0</v>
      </c>
      <c r="CK196">
        <f t="shared" si="370"/>
        <v>0</v>
      </c>
      <c r="CL196">
        <f t="shared" si="370"/>
        <v>0</v>
      </c>
      <c r="CM196">
        <f t="shared" ref="CM196:CV198" si="371">IF($C196&lt;&gt;"",IF(X196&gt;0,1,0),0)</f>
        <v>0</v>
      </c>
      <c r="CN196">
        <f t="shared" si="371"/>
        <v>0</v>
      </c>
      <c r="CO196">
        <f t="shared" si="371"/>
        <v>0</v>
      </c>
      <c r="CP196">
        <f t="shared" si="371"/>
        <v>0</v>
      </c>
      <c r="CQ196">
        <f t="shared" si="371"/>
        <v>0</v>
      </c>
      <c r="CR196">
        <f t="shared" si="371"/>
        <v>0</v>
      </c>
      <c r="CS196">
        <f t="shared" si="371"/>
        <v>0</v>
      </c>
      <c r="CT196">
        <f t="shared" si="371"/>
        <v>0</v>
      </c>
      <c r="CU196">
        <f t="shared" si="371"/>
        <v>0</v>
      </c>
      <c r="CV196">
        <f t="shared" si="371"/>
        <v>0</v>
      </c>
      <c r="CW196">
        <f t="shared" ref="CW196:DF198" si="372">IF($C196&lt;&gt;"",IF(AH196&gt;0,1,0),0)</f>
        <v>0</v>
      </c>
      <c r="CX196">
        <f t="shared" si="372"/>
        <v>0</v>
      </c>
      <c r="CY196">
        <f t="shared" si="372"/>
        <v>0</v>
      </c>
      <c r="CZ196">
        <f t="shared" si="372"/>
        <v>0</v>
      </c>
      <c r="DA196">
        <f t="shared" si="372"/>
        <v>0</v>
      </c>
      <c r="DB196">
        <f t="shared" si="372"/>
        <v>0</v>
      </c>
      <c r="DC196">
        <f t="shared" si="372"/>
        <v>0</v>
      </c>
      <c r="DD196">
        <f t="shared" si="372"/>
        <v>0</v>
      </c>
      <c r="DE196">
        <f t="shared" si="372"/>
        <v>0</v>
      </c>
      <c r="DF196">
        <f t="shared" si="372"/>
        <v>0</v>
      </c>
      <c r="DG196">
        <f t="shared" ref="DG196:DP198" si="373">IF($C196&lt;&gt;"",IF(AR196&gt;0,1,0),0)</f>
        <v>0</v>
      </c>
      <c r="DH196">
        <f t="shared" si="373"/>
        <v>0</v>
      </c>
      <c r="DI196">
        <f t="shared" si="373"/>
        <v>0</v>
      </c>
      <c r="DJ196">
        <f t="shared" si="373"/>
        <v>0</v>
      </c>
      <c r="DK196">
        <f t="shared" si="373"/>
        <v>0</v>
      </c>
      <c r="DL196">
        <f t="shared" si="373"/>
        <v>0</v>
      </c>
      <c r="DM196">
        <f t="shared" si="373"/>
        <v>0</v>
      </c>
      <c r="DN196">
        <f t="shared" si="373"/>
        <v>0</v>
      </c>
      <c r="DO196">
        <f t="shared" si="373"/>
        <v>0</v>
      </c>
      <c r="DP196">
        <f t="shared" si="373"/>
        <v>0</v>
      </c>
      <c r="DQ196">
        <f t="shared" ref="DQ196:DZ198" si="374">IF($C196&lt;&gt;"",IF(BB196&gt;0,1,0),0)</f>
        <v>0</v>
      </c>
      <c r="DR196">
        <f t="shared" si="374"/>
        <v>0</v>
      </c>
      <c r="DS196">
        <f t="shared" si="374"/>
        <v>0</v>
      </c>
      <c r="DT196">
        <f t="shared" si="374"/>
        <v>0</v>
      </c>
      <c r="DU196">
        <f t="shared" si="374"/>
        <v>0</v>
      </c>
      <c r="DV196">
        <f t="shared" si="374"/>
        <v>0</v>
      </c>
      <c r="DW196">
        <f t="shared" si="374"/>
        <v>0</v>
      </c>
      <c r="DX196">
        <f t="shared" si="374"/>
        <v>0</v>
      </c>
      <c r="DY196">
        <f t="shared" si="374"/>
        <v>0</v>
      </c>
      <c r="DZ196">
        <f t="shared" si="374"/>
        <v>0</v>
      </c>
      <c r="EA196">
        <f t="shared" ref="EA196:EF198" si="375">IF($C196&lt;&gt;"",IF(BL195&gt;0,1,0),0)</f>
        <v>0</v>
      </c>
      <c r="EB196">
        <f t="shared" si="375"/>
        <v>0</v>
      </c>
      <c r="EC196">
        <f t="shared" si="375"/>
        <v>0</v>
      </c>
      <c r="ED196">
        <f t="shared" si="375"/>
        <v>0</v>
      </c>
      <c r="EE196">
        <f t="shared" si="375"/>
        <v>0</v>
      </c>
      <c r="EF196">
        <f t="shared" si="375"/>
        <v>0</v>
      </c>
    </row>
    <row r="197" spans="1:136" ht="15.5">
      <c r="A197" s="90"/>
      <c r="B197" s="57" t="s">
        <v>3</v>
      </c>
      <c r="C197" s="95"/>
      <c r="D197" s="18"/>
      <c r="E197" s="18"/>
      <c r="F197" s="18"/>
      <c r="G197" s="18"/>
      <c r="H197" s="18"/>
      <c r="I197" s="18"/>
      <c r="J197" s="18">
        <v>0</v>
      </c>
      <c r="K197" s="18">
        <v>0</v>
      </c>
      <c r="L197" s="18">
        <v>0</v>
      </c>
      <c r="M197" s="18">
        <v>0</v>
      </c>
      <c r="N197" s="18">
        <v>0</v>
      </c>
      <c r="O197" s="18">
        <v>0</v>
      </c>
      <c r="P197" s="18">
        <v>0</v>
      </c>
      <c r="Q197" s="18">
        <v>0</v>
      </c>
      <c r="R197" s="18">
        <v>0</v>
      </c>
      <c r="S197" s="18">
        <v>0</v>
      </c>
      <c r="T197" s="18">
        <v>0</v>
      </c>
      <c r="U197" s="18">
        <v>0</v>
      </c>
      <c r="V197" s="18">
        <v>0</v>
      </c>
      <c r="W197" s="18">
        <v>0.27300000000000002</v>
      </c>
      <c r="X197" s="18">
        <v>0</v>
      </c>
      <c r="Y197" s="18">
        <v>0</v>
      </c>
      <c r="Z197" s="18">
        <v>0</v>
      </c>
      <c r="AA197" s="18">
        <v>0</v>
      </c>
      <c r="AB197" s="18">
        <v>0</v>
      </c>
      <c r="AC197" s="18">
        <v>0</v>
      </c>
      <c r="AD197" s="18">
        <v>0.112</v>
      </c>
      <c r="AE197" s="18">
        <v>1.8069999999999999</v>
      </c>
      <c r="AF197" s="18">
        <v>0.70799999999999996</v>
      </c>
      <c r="AG197" s="18">
        <v>2.4020000000000001</v>
      </c>
      <c r="AH197" s="18">
        <v>4.1689999999999996</v>
      </c>
      <c r="AI197" s="18">
        <v>6.2370000000000001</v>
      </c>
      <c r="AJ197" s="18">
        <v>9.4659999999999993</v>
      </c>
      <c r="AK197" s="18">
        <v>9.4009999999999998</v>
      </c>
      <c r="AL197" s="18">
        <v>10.629</v>
      </c>
      <c r="AM197" s="18">
        <v>4.8579999999999997</v>
      </c>
      <c r="AN197" s="18">
        <v>1.633</v>
      </c>
      <c r="AO197" s="18">
        <v>2.0550000000000002</v>
      </c>
      <c r="AP197" s="18">
        <v>4.1859999999999999</v>
      </c>
      <c r="AQ197" s="18">
        <v>4.1980000000000004</v>
      </c>
      <c r="AR197" s="18">
        <v>4.8579999999999997</v>
      </c>
      <c r="AS197" s="18">
        <v>3.827</v>
      </c>
      <c r="AT197" s="18">
        <v>1.44</v>
      </c>
      <c r="AU197" s="18">
        <v>2.84</v>
      </c>
      <c r="AV197" s="18">
        <v>1.006</v>
      </c>
      <c r="AW197" s="18">
        <v>5.49</v>
      </c>
      <c r="AX197" s="18">
        <v>27.582674000000001</v>
      </c>
      <c r="AY197" s="18">
        <v>0</v>
      </c>
      <c r="AZ197" s="18">
        <v>2.00235E-2</v>
      </c>
      <c r="BA197" s="18">
        <v>0.2151824</v>
      </c>
      <c r="BB197" s="18">
        <v>0</v>
      </c>
      <c r="BC197" s="18">
        <v>0</v>
      </c>
      <c r="BD197" s="18">
        <v>0</v>
      </c>
      <c r="BE197" s="25">
        <v>0</v>
      </c>
      <c r="BF197" s="18">
        <v>0</v>
      </c>
      <c r="BG197" s="18">
        <v>0</v>
      </c>
      <c r="BH197" s="18">
        <v>0</v>
      </c>
      <c r="BI197" s="18">
        <v>4.2724E-3</v>
      </c>
      <c r="BJ197" s="103">
        <v>3.1988199999999994E-2</v>
      </c>
      <c r="BK197" s="113">
        <v>0</v>
      </c>
      <c r="BL197" s="103">
        <v>1.4403E-3</v>
      </c>
      <c r="BM197" s="18">
        <v>0</v>
      </c>
      <c r="BN197" s="18">
        <v>0</v>
      </c>
      <c r="BO197" s="18">
        <v>0</v>
      </c>
      <c r="BP197" s="18">
        <v>0</v>
      </c>
      <c r="BQ197" s="18">
        <v>0</v>
      </c>
      <c r="BR197" s="101"/>
      <c r="BS197">
        <f t="shared" si="369"/>
        <v>0</v>
      </c>
      <c r="BT197">
        <f t="shared" si="369"/>
        <v>0</v>
      </c>
      <c r="BU197">
        <f t="shared" si="369"/>
        <v>0</v>
      </c>
      <c r="BV197">
        <f t="shared" si="369"/>
        <v>0</v>
      </c>
      <c r="BW197">
        <f t="shared" si="369"/>
        <v>0</v>
      </c>
      <c r="BX197">
        <f t="shared" si="369"/>
        <v>0</v>
      </c>
      <c r="BY197">
        <f t="shared" si="369"/>
        <v>0</v>
      </c>
      <c r="BZ197">
        <f t="shared" si="369"/>
        <v>0</v>
      </c>
      <c r="CA197">
        <f t="shared" si="369"/>
        <v>0</v>
      </c>
      <c r="CB197">
        <f t="shared" si="369"/>
        <v>0</v>
      </c>
      <c r="CC197">
        <f t="shared" si="370"/>
        <v>0</v>
      </c>
      <c r="CD197">
        <f t="shared" si="370"/>
        <v>0</v>
      </c>
      <c r="CE197">
        <f t="shared" si="370"/>
        <v>0</v>
      </c>
      <c r="CF197">
        <f t="shared" si="370"/>
        <v>0</v>
      </c>
      <c r="CG197">
        <f t="shared" si="370"/>
        <v>0</v>
      </c>
      <c r="CH197">
        <f t="shared" si="370"/>
        <v>0</v>
      </c>
      <c r="CI197">
        <f t="shared" si="370"/>
        <v>0</v>
      </c>
      <c r="CJ197">
        <f t="shared" si="370"/>
        <v>0</v>
      </c>
      <c r="CK197">
        <f t="shared" si="370"/>
        <v>0</v>
      </c>
      <c r="CL197">
        <f t="shared" si="370"/>
        <v>0</v>
      </c>
      <c r="CM197">
        <f t="shared" si="371"/>
        <v>0</v>
      </c>
      <c r="CN197">
        <f t="shared" si="371"/>
        <v>0</v>
      </c>
      <c r="CO197">
        <f t="shared" si="371"/>
        <v>0</v>
      </c>
      <c r="CP197">
        <f t="shared" si="371"/>
        <v>0</v>
      </c>
      <c r="CQ197">
        <f t="shared" si="371"/>
        <v>0</v>
      </c>
      <c r="CR197">
        <f t="shared" si="371"/>
        <v>0</v>
      </c>
      <c r="CS197">
        <f t="shared" si="371"/>
        <v>0</v>
      </c>
      <c r="CT197">
        <f t="shared" si="371"/>
        <v>0</v>
      </c>
      <c r="CU197">
        <f t="shared" si="371"/>
        <v>0</v>
      </c>
      <c r="CV197">
        <f t="shared" si="371"/>
        <v>0</v>
      </c>
      <c r="CW197">
        <f t="shared" si="372"/>
        <v>0</v>
      </c>
      <c r="CX197">
        <f t="shared" si="372"/>
        <v>0</v>
      </c>
      <c r="CY197">
        <f t="shared" si="372"/>
        <v>0</v>
      </c>
      <c r="CZ197">
        <f t="shared" si="372"/>
        <v>0</v>
      </c>
      <c r="DA197">
        <f t="shared" si="372"/>
        <v>0</v>
      </c>
      <c r="DB197">
        <f t="shared" si="372"/>
        <v>0</v>
      </c>
      <c r="DC197">
        <f t="shared" si="372"/>
        <v>0</v>
      </c>
      <c r="DD197">
        <f t="shared" si="372"/>
        <v>0</v>
      </c>
      <c r="DE197">
        <f t="shared" si="372"/>
        <v>0</v>
      </c>
      <c r="DF197">
        <f t="shared" si="372"/>
        <v>0</v>
      </c>
      <c r="DG197">
        <f t="shared" si="373"/>
        <v>0</v>
      </c>
      <c r="DH197">
        <f t="shared" si="373"/>
        <v>0</v>
      </c>
      <c r="DI197">
        <f t="shared" si="373"/>
        <v>0</v>
      </c>
      <c r="DJ197">
        <f t="shared" si="373"/>
        <v>0</v>
      </c>
      <c r="DK197">
        <f t="shared" si="373"/>
        <v>0</v>
      </c>
      <c r="DL197">
        <f t="shared" si="373"/>
        <v>0</v>
      </c>
      <c r="DM197">
        <f t="shared" si="373"/>
        <v>0</v>
      </c>
      <c r="DN197">
        <f t="shared" si="373"/>
        <v>0</v>
      </c>
      <c r="DO197">
        <f t="shared" si="373"/>
        <v>0</v>
      </c>
      <c r="DP197">
        <f t="shared" si="373"/>
        <v>0</v>
      </c>
      <c r="DQ197">
        <f t="shared" si="374"/>
        <v>0</v>
      </c>
      <c r="DR197">
        <f t="shared" si="374"/>
        <v>0</v>
      </c>
      <c r="DS197">
        <f t="shared" si="374"/>
        <v>0</v>
      </c>
      <c r="DT197">
        <f t="shared" si="374"/>
        <v>0</v>
      </c>
      <c r="DU197">
        <f t="shared" si="374"/>
        <v>0</v>
      </c>
      <c r="DV197">
        <f t="shared" si="374"/>
        <v>0</v>
      </c>
      <c r="DW197">
        <f t="shared" si="374"/>
        <v>0</v>
      </c>
      <c r="DX197">
        <f t="shared" si="374"/>
        <v>0</v>
      </c>
      <c r="DY197">
        <f t="shared" si="374"/>
        <v>0</v>
      </c>
      <c r="DZ197">
        <f t="shared" si="374"/>
        <v>0</v>
      </c>
      <c r="EA197">
        <f t="shared" si="375"/>
        <v>0</v>
      </c>
      <c r="EB197">
        <f t="shared" si="375"/>
        <v>0</v>
      </c>
      <c r="EC197">
        <f t="shared" si="375"/>
        <v>0</v>
      </c>
      <c r="ED197">
        <f t="shared" si="375"/>
        <v>0</v>
      </c>
      <c r="EE197">
        <f t="shared" si="375"/>
        <v>0</v>
      </c>
      <c r="EF197">
        <f t="shared" si="375"/>
        <v>0</v>
      </c>
    </row>
    <row r="198" spans="1:136" ht="15.5">
      <c r="A198" s="90"/>
      <c r="B198" s="19" t="s">
        <v>208</v>
      </c>
      <c r="C198" s="95"/>
      <c r="D198" s="18"/>
      <c r="E198" s="18"/>
      <c r="F198" s="18"/>
      <c r="G198" s="18"/>
      <c r="H198" s="18"/>
      <c r="I198" s="18"/>
      <c r="J198" s="18">
        <v>0</v>
      </c>
      <c r="K198" s="18">
        <v>0</v>
      </c>
      <c r="L198" s="18">
        <v>0</v>
      </c>
      <c r="M198" s="18">
        <v>0</v>
      </c>
      <c r="N198" s="18">
        <v>0</v>
      </c>
      <c r="O198" s="18">
        <v>0</v>
      </c>
      <c r="P198" s="18">
        <v>0</v>
      </c>
      <c r="Q198" s="18">
        <v>0</v>
      </c>
      <c r="R198" s="18">
        <v>0</v>
      </c>
      <c r="S198" s="18">
        <v>0</v>
      </c>
      <c r="T198" s="18">
        <v>0</v>
      </c>
      <c r="U198" s="18">
        <v>0</v>
      </c>
      <c r="V198" s="18">
        <v>0</v>
      </c>
      <c r="W198" s="18">
        <v>0</v>
      </c>
      <c r="X198" s="18">
        <v>0</v>
      </c>
      <c r="Y198" s="18">
        <v>0</v>
      </c>
      <c r="Z198" s="18">
        <v>0</v>
      </c>
      <c r="AA198" s="18">
        <v>0</v>
      </c>
      <c r="AB198" s="18">
        <v>0</v>
      </c>
      <c r="AC198" s="18">
        <v>0</v>
      </c>
      <c r="AD198" s="18">
        <v>0</v>
      </c>
      <c r="AE198" s="18">
        <v>0</v>
      </c>
      <c r="AF198" s="18">
        <v>0.27500000000000002</v>
      </c>
      <c r="AG198" s="18">
        <v>0.24399999999999999</v>
      </c>
      <c r="AH198" s="18">
        <v>3.097</v>
      </c>
      <c r="AI198" s="18">
        <v>2.8839999999999999</v>
      </c>
      <c r="AJ198" s="18">
        <v>3.23</v>
      </c>
      <c r="AK198" s="18">
        <v>4.1890000000000001</v>
      </c>
      <c r="AL198" s="18">
        <v>11.427</v>
      </c>
      <c r="AM198" s="18">
        <v>12</v>
      </c>
      <c r="AN198" s="18">
        <v>0</v>
      </c>
      <c r="AO198" s="18">
        <v>0</v>
      </c>
      <c r="AP198" s="18">
        <v>0</v>
      </c>
      <c r="AQ198" s="18">
        <v>0</v>
      </c>
      <c r="AR198" s="18">
        <v>0</v>
      </c>
      <c r="AS198" s="18">
        <v>0</v>
      </c>
      <c r="AT198" s="18">
        <v>0</v>
      </c>
      <c r="AU198" s="18">
        <v>0</v>
      </c>
      <c r="AV198" s="18">
        <v>0</v>
      </c>
      <c r="AW198" s="18">
        <v>0</v>
      </c>
      <c r="AX198" s="18">
        <v>0</v>
      </c>
      <c r="AY198" s="18">
        <v>0</v>
      </c>
      <c r="AZ198" s="18">
        <v>0</v>
      </c>
      <c r="BA198" s="18">
        <v>0</v>
      </c>
      <c r="BB198" s="18">
        <v>0</v>
      </c>
      <c r="BC198" s="18">
        <v>0</v>
      </c>
      <c r="BD198" s="18">
        <v>0</v>
      </c>
      <c r="BE198" s="25">
        <v>0</v>
      </c>
      <c r="BF198" s="18">
        <v>0</v>
      </c>
      <c r="BG198" s="18">
        <v>0</v>
      </c>
      <c r="BH198" s="18">
        <v>0</v>
      </c>
      <c r="BI198" s="18">
        <v>0</v>
      </c>
      <c r="BJ198" s="113">
        <v>0</v>
      </c>
      <c r="BK198" s="113">
        <v>0</v>
      </c>
      <c r="BL198" s="113">
        <v>1.4403E-3</v>
      </c>
      <c r="BM198" s="18">
        <v>0</v>
      </c>
      <c r="BN198" s="18">
        <v>0</v>
      </c>
      <c r="BO198" s="18">
        <v>0</v>
      </c>
      <c r="BP198" s="18">
        <v>0</v>
      </c>
      <c r="BQ198" s="18">
        <v>0</v>
      </c>
      <c r="BR198" s="101"/>
      <c r="BS198">
        <f t="shared" si="369"/>
        <v>0</v>
      </c>
      <c r="BT198">
        <f t="shared" si="369"/>
        <v>0</v>
      </c>
      <c r="BU198">
        <f t="shared" si="369"/>
        <v>0</v>
      </c>
      <c r="BV198">
        <f t="shared" si="369"/>
        <v>0</v>
      </c>
      <c r="BW198">
        <f t="shared" si="369"/>
        <v>0</v>
      </c>
      <c r="BX198">
        <f t="shared" si="369"/>
        <v>0</v>
      </c>
      <c r="BY198">
        <f t="shared" si="369"/>
        <v>0</v>
      </c>
      <c r="BZ198">
        <f t="shared" si="369"/>
        <v>0</v>
      </c>
      <c r="CA198">
        <f t="shared" si="369"/>
        <v>0</v>
      </c>
      <c r="CB198">
        <f t="shared" si="369"/>
        <v>0</v>
      </c>
      <c r="CC198">
        <f t="shared" si="370"/>
        <v>0</v>
      </c>
      <c r="CD198">
        <f t="shared" si="370"/>
        <v>0</v>
      </c>
      <c r="CE198">
        <f t="shared" si="370"/>
        <v>0</v>
      </c>
      <c r="CF198">
        <f t="shared" si="370"/>
        <v>0</v>
      </c>
      <c r="CG198">
        <f t="shared" si="370"/>
        <v>0</v>
      </c>
      <c r="CH198">
        <f t="shared" si="370"/>
        <v>0</v>
      </c>
      <c r="CI198">
        <f t="shared" si="370"/>
        <v>0</v>
      </c>
      <c r="CJ198">
        <f t="shared" si="370"/>
        <v>0</v>
      </c>
      <c r="CK198">
        <f t="shared" si="370"/>
        <v>0</v>
      </c>
      <c r="CL198">
        <f t="shared" si="370"/>
        <v>0</v>
      </c>
      <c r="CM198">
        <f t="shared" si="371"/>
        <v>0</v>
      </c>
      <c r="CN198">
        <f t="shared" si="371"/>
        <v>0</v>
      </c>
      <c r="CO198">
        <f t="shared" si="371"/>
        <v>0</v>
      </c>
      <c r="CP198">
        <f t="shared" si="371"/>
        <v>0</v>
      </c>
      <c r="CQ198">
        <f t="shared" si="371"/>
        <v>0</v>
      </c>
      <c r="CR198">
        <f t="shared" si="371"/>
        <v>0</v>
      </c>
      <c r="CS198">
        <f t="shared" si="371"/>
        <v>0</v>
      </c>
      <c r="CT198">
        <f t="shared" si="371"/>
        <v>0</v>
      </c>
      <c r="CU198">
        <f t="shared" si="371"/>
        <v>0</v>
      </c>
      <c r="CV198">
        <f t="shared" si="371"/>
        <v>0</v>
      </c>
      <c r="CW198">
        <f t="shared" si="372"/>
        <v>0</v>
      </c>
      <c r="CX198">
        <f t="shared" si="372"/>
        <v>0</v>
      </c>
      <c r="CY198">
        <f t="shared" si="372"/>
        <v>0</v>
      </c>
      <c r="CZ198">
        <f t="shared" si="372"/>
        <v>0</v>
      </c>
      <c r="DA198">
        <f t="shared" si="372"/>
        <v>0</v>
      </c>
      <c r="DB198">
        <f t="shared" si="372"/>
        <v>0</v>
      </c>
      <c r="DC198">
        <f t="shared" si="372"/>
        <v>0</v>
      </c>
      <c r="DD198">
        <f t="shared" si="372"/>
        <v>0</v>
      </c>
      <c r="DE198">
        <f t="shared" si="372"/>
        <v>0</v>
      </c>
      <c r="DF198">
        <f t="shared" si="372"/>
        <v>0</v>
      </c>
      <c r="DG198">
        <f t="shared" si="373"/>
        <v>0</v>
      </c>
      <c r="DH198">
        <f t="shared" si="373"/>
        <v>0</v>
      </c>
      <c r="DI198">
        <f t="shared" si="373"/>
        <v>0</v>
      </c>
      <c r="DJ198">
        <f t="shared" si="373"/>
        <v>0</v>
      </c>
      <c r="DK198">
        <f t="shared" si="373"/>
        <v>0</v>
      </c>
      <c r="DL198">
        <f t="shared" si="373"/>
        <v>0</v>
      </c>
      <c r="DM198">
        <f t="shared" si="373"/>
        <v>0</v>
      </c>
      <c r="DN198">
        <f t="shared" si="373"/>
        <v>0</v>
      </c>
      <c r="DO198">
        <f t="shared" si="373"/>
        <v>0</v>
      </c>
      <c r="DP198">
        <f t="shared" si="373"/>
        <v>0</v>
      </c>
      <c r="DQ198">
        <f t="shared" si="374"/>
        <v>0</v>
      </c>
      <c r="DR198">
        <f t="shared" si="374"/>
        <v>0</v>
      </c>
      <c r="DS198">
        <f t="shared" si="374"/>
        <v>0</v>
      </c>
      <c r="DT198">
        <f t="shared" si="374"/>
        <v>0</v>
      </c>
      <c r="DU198">
        <f t="shared" si="374"/>
        <v>0</v>
      </c>
      <c r="DV198">
        <f t="shared" si="374"/>
        <v>0</v>
      </c>
      <c r="DW198">
        <f t="shared" si="374"/>
        <v>0</v>
      </c>
      <c r="DX198">
        <f t="shared" si="374"/>
        <v>0</v>
      </c>
      <c r="DY198">
        <f t="shared" si="374"/>
        <v>0</v>
      </c>
      <c r="DZ198">
        <f t="shared" si="374"/>
        <v>0</v>
      </c>
      <c r="EA198">
        <f t="shared" si="375"/>
        <v>0</v>
      </c>
      <c r="EB198">
        <f t="shared" si="375"/>
        <v>0</v>
      </c>
      <c r="EC198">
        <f t="shared" si="375"/>
        <v>0</v>
      </c>
      <c r="ED198">
        <f t="shared" si="375"/>
        <v>0</v>
      </c>
      <c r="EE198">
        <f t="shared" si="375"/>
        <v>0</v>
      </c>
      <c r="EF198">
        <f t="shared" si="375"/>
        <v>0</v>
      </c>
    </row>
    <row r="199" spans="1:136" ht="15.5">
      <c r="A199" s="90"/>
      <c r="B199" s="19"/>
      <c r="C199" s="95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  <c r="BD199" s="18"/>
      <c r="BE199" s="25"/>
      <c r="BF199" s="18"/>
      <c r="BG199" s="18"/>
      <c r="BH199" s="2"/>
      <c r="BI199" s="2"/>
      <c r="BJ199" s="2"/>
      <c r="BK199" s="2"/>
      <c r="BL199" s="22"/>
      <c r="BM199" s="2"/>
      <c r="BN199" s="2"/>
      <c r="BO199" s="2"/>
      <c r="BP199" s="2"/>
      <c r="BQ199" s="2"/>
      <c r="BR199" s="101"/>
    </row>
    <row r="200" spans="1:136" ht="15.5">
      <c r="A200" s="93">
        <v>21</v>
      </c>
      <c r="B200" s="32" t="s">
        <v>37</v>
      </c>
      <c r="C200" s="95">
        <v>3</v>
      </c>
      <c r="D200" s="22">
        <f t="shared" ref="D200:AI200" si="376">SUM(D201:D206)</f>
        <v>48</v>
      </c>
      <c r="E200" s="22">
        <f t="shared" si="376"/>
        <v>811.6</v>
      </c>
      <c r="F200" s="22">
        <f t="shared" si="376"/>
        <v>43.5</v>
      </c>
      <c r="G200" s="22">
        <f t="shared" si="376"/>
        <v>112</v>
      </c>
      <c r="H200" s="22">
        <f t="shared" si="376"/>
        <v>416</v>
      </c>
      <c r="I200" s="22">
        <f t="shared" si="376"/>
        <v>43</v>
      </c>
      <c r="J200" s="22">
        <f t="shared" si="376"/>
        <v>0</v>
      </c>
      <c r="K200" s="22">
        <f t="shared" si="376"/>
        <v>0</v>
      </c>
      <c r="L200" s="22">
        <f t="shared" si="376"/>
        <v>0</v>
      </c>
      <c r="M200" s="22">
        <f t="shared" si="376"/>
        <v>0</v>
      </c>
      <c r="N200" s="22">
        <f t="shared" si="376"/>
        <v>0</v>
      </c>
      <c r="O200" s="22">
        <f t="shared" si="376"/>
        <v>20.8</v>
      </c>
      <c r="P200" s="22">
        <f t="shared" si="376"/>
        <v>35</v>
      </c>
      <c r="Q200" s="22">
        <f t="shared" si="376"/>
        <v>40.800000000000004</v>
      </c>
      <c r="R200" s="22">
        <f t="shared" si="376"/>
        <v>39.800000000000004</v>
      </c>
      <c r="S200" s="22">
        <f t="shared" si="376"/>
        <v>47.371000000000002</v>
      </c>
      <c r="T200" s="22">
        <f t="shared" si="376"/>
        <v>62.83</v>
      </c>
      <c r="U200" s="22">
        <f t="shared" si="376"/>
        <v>137.893</v>
      </c>
      <c r="V200" s="22">
        <f t="shared" si="376"/>
        <v>286.37700000000001</v>
      </c>
      <c r="W200" s="22">
        <f t="shared" si="376"/>
        <v>352.69</v>
      </c>
      <c r="X200" s="22">
        <f t="shared" si="376"/>
        <v>411.435</v>
      </c>
      <c r="Y200" s="22">
        <f t="shared" si="376"/>
        <v>439.47799999999995</v>
      </c>
      <c r="Z200" s="22">
        <f t="shared" si="376"/>
        <v>441.29599999999999</v>
      </c>
      <c r="AA200" s="22">
        <f t="shared" si="376"/>
        <v>28266.532999999999</v>
      </c>
      <c r="AB200" s="22">
        <f t="shared" si="376"/>
        <v>26641.555</v>
      </c>
      <c r="AC200" s="22">
        <f t="shared" si="376"/>
        <v>17329.883000000002</v>
      </c>
      <c r="AD200" s="22">
        <f t="shared" si="376"/>
        <v>54301.686000000002</v>
      </c>
      <c r="AE200" s="22">
        <f t="shared" si="376"/>
        <v>98751.7</v>
      </c>
      <c r="AF200" s="22">
        <f t="shared" si="376"/>
        <v>68315.100000000006</v>
      </c>
      <c r="AG200" s="22">
        <f t="shared" si="376"/>
        <v>85564.51999999999</v>
      </c>
      <c r="AH200" s="22">
        <f t="shared" si="376"/>
        <v>148584.70000000001</v>
      </c>
      <c r="AI200" s="22">
        <f t="shared" si="376"/>
        <v>91440.6</v>
      </c>
      <c r="AJ200" s="22">
        <f t="shared" ref="AJ200:BO200" si="377">SUM(AJ201:AJ206)</f>
        <v>31888.5</v>
      </c>
      <c r="AK200" s="22">
        <f t="shared" si="377"/>
        <v>63096.476000000002</v>
      </c>
      <c r="AL200" s="22">
        <f t="shared" si="377"/>
        <v>92622.260000000009</v>
      </c>
      <c r="AM200" s="22">
        <f t="shared" si="377"/>
        <v>5450.4580000000005</v>
      </c>
      <c r="AN200" s="22">
        <f t="shared" si="377"/>
        <v>4901.7530000000006</v>
      </c>
      <c r="AO200" s="22">
        <f t="shared" si="377"/>
        <v>10851.409</v>
      </c>
      <c r="AP200" s="22">
        <f t="shared" si="377"/>
        <v>3561.1050000000005</v>
      </c>
      <c r="AQ200" s="22">
        <f t="shared" si="377"/>
        <v>10647.549000000001</v>
      </c>
      <c r="AR200" s="22">
        <f t="shared" si="377"/>
        <v>14955.630000000001</v>
      </c>
      <c r="AS200" s="22">
        <f t="shared" si="377"/>
        <v>0</v>
      </c>
      <c r="AT200" s="22">
        <f t="shared" si="377"/>
        <v>0</v>
      </c>
      <c r="AU200" s="22">
        <f t="shared" si="377"/>
        <v>0.2</v>
      </c>
      <c r="AV200" s="22">
        <f t="shared" si="377"/>
        <v>1.9E-2</v>
      </c>
      <c r="AW200" s="22">
        <f t="shared" si="377"/>
        <v>4274.2129999999997</v>
      </c>
      <c r="AX200" s="22">
        <f t="shared" si="377"/>
        <v>104.8448138</v>
      </c>
      <c r="AY200" s="22">
        <f t="shared" si="377"/>
        <v>24.098877399999999</v>
      </c>
      <c r="AZ200" s="22">
        <f t="shared" si="377"/>
        <v>56.432000000000002</v>
      </c>
      <c r="BA200" s="22">
        <f t="shared" si="377"/>
        <v>47.895161899999998</v>
      </c>
      <c r="BB200" s="22">
        <f t="shared" si="377"/>
        <v>83.762012600000006</v>
      </c>
      <c r="BC200" s="22">
        <f t="shared" si="377"/>
        <v>1.8975789999999999</v>
      </c>
      <c r="BD200" s="22">
        <f t="shared" si="377"/>
        <v>1.4651520000000002</v>
      </c>
      <c r="BE200" s="22">
        <f t="shared" si="377"/>
        <v>102.52561970000002</v>
      </c>
      <c r="BF200" s="22">
        <f t="shared" si="377"/>
        <v>649.40642909999997</v>
      </c>
      <c r="BG200" s="22">
        <f t="shared" si="377"/>
        <v>40.638610200000002</v>
      </c>
      <c r="BH200" s="22">
        <f t="shared" si="377"/>
        <v>5.9852037000000005</v>
      </c>
      <c r="BI200" s="22">
        <f t="shared" si="377"/>
        <v>21.417000000000002</v>
      </c>
      <c r="BJ200" s="22">
        <f t="shared" si="377"/>
        <v>38175.296959800005</v>
      </c>
      <c r="BK200" s="22">
        <f t="shared" si="377"/>
        <v>13.5127694</v>
      </c>
      <c r="BL200" s="22">
        <f t="shared" si="377"/>
        <v>8.7721456999999994</v>
      </c>
      <c r="BM200" s="22">
        <f t="shared" si="377"/>
        <v>8.5559999999999992</v>
      </c>
      <c r="BN200" s="22">
        <f t="shared" si="377"/>
        <v>12564.296670899999</v>
      </c>
      <c r="BO200" s="22">
        <f t="shared" si="377"/>
        <v>429</v>
      </c>
      <c r="BP200" s="22">
        <f>SUM(BP201:BP206)</f>
        <v>250</v>
      </c>
      <c r="BQ200" s="22">
        <f>SUM(BQ201:BQ206)</f>
        <v>0</v>
      </c>
      <c r="BR200" s="101"/>
      <c r="BS200">
        <f t="shared" ref="BS200:CB207" si="378">IF($C200&lt;&gt;"",IF(D200&gt;0,1,0),0)</f>
        <v>1</v>
      </c>
      <c r="BT200">
        <f t="shared" si="378"/>
        <v>1</v>
      </c>
      <c r="BU200">
        <f t="shared" si="378"/>
        <v>1</v>
      </c>
      <c r="BV200">
        <f t="shared" si="378"/>
        <v>1</v>
      </c>
      <c r="BW200">
        <f t="shared" si="378"/>
        <v>1</v>
      </c>
      <c r="BX200">
        <f t="shared" si="378"/>
        <v>1</v>
      </c>
      <c r="BY200">
        <f t="shared" si="378"/>
        <v>0</v>
      </c>
      <c r="BZ200">
        <f t="shared" si="378"/>
        <v>0</v>
      </c>
      <c r="CA200">
        <f t="shared" si="378"/>
        <v>0</v>
      </c>
      <c r="CB200">
        <f t="shared" si="378"/>
        <v>0</v>
      </c>
      <c r="CC200">
        <f t="shared" ref="CC200:CL207" si="379">IF($C200&lt;&gt;"",IF(N200&gt;0,1,0),0)</f>
        <v>0</v>
      </c>
      <c r="CD200">
        <f t="shared" si="379"/>
        <v>1</v>
      </c>
      <c r="CE200">
        <f t="shared" si="379"/>
        <v>1</v>
      </c>
      <c r="CF200">
        <f t="shared" si="379"/>
        <v>1</v>
      </c>
      <c r="CG200">
        <f t="shared" si="379"/>
        <v>1</v>
      </c>
      <c r="CH200">
        <f t="shared" si="379"/>
        <v>1</v>
      </c>
      <c r="CI200">
        <f t="shared" si="379"/>
        <v>1</v>
      </c>
      <c r="CJ200">
        <f t="shared" si="379"/>
        <v>1</v>
      </c>
      <c r="CK200">
        <f t="shared" si="379"/>
        <v>1</v>
      </c>
      <c r="CL200">
        <f t="shared" si="379"/>
        <v>1</v>
      </c>
      <c r="CM200">
        <f t="shared" ref="CM200:CV207" si="380">IF($C200&lt;&gt;"",IF(X200&gt;0,1,0),0)</f>
        <v>1</v>
      </c>
      <c r="CN200">
        <f t="shared" si="380"/>
        <v>1</v>
      </c>
      <c r="CO200">
        <f t="shared" si="380"/>
        <v>1</v>
      </c>
      <c r="CP200">
        <f t="shared" si="380"/>
        <v>1</v>
      </c>
      <c r="CQ200">
        <f t="shared" si="380"/>
        <v>1</v>
      </c>
      <c r="CR200">
        <f t="shared" si="380"/>
        <v>1</v>
      </c>
      <c r="CS200">
        <f t="shared" si="380"/>
        <v>1</v>
      </c>
      <c r="CT200">
        <f t="shared" si="380"/>
        <v>1</v>
      </c>
      <c r="CU200">
        <f t="shared" si="380"/>
        <v>1</v>
      </c>
      <c r="CV200">
        <f t="shared" si="380"/>
        <v>1</v>
      </c>
      <c r="CW200">
        <f t="shared" ref="CW200:DF207" si="381">IF($C200&lt;&gt;"",IF(AH200&gt;0,1,0),0)</f>
        <v>1</v>
      </c>
      <c r="CX200">
        <f t="shared" si="381"/>
        <v>1</v>
      </c>
      <c r="CY200">
        <f t="shared" si="381"/>
        <v>1</v>
      </c>
      <c r="CZ200">
        <f t="shared" si="381"/>
        <v>1</v>
      </c>
      <c r="DA200">
        <f t="shared" si="381"/>
        <v>1</v>
      </c>
      <c r="DB200">
        <f t="shared" si="381"/>
        <v>1</v>
      </c>
      <c r="DC200">
        <f t="shared" si="381"/>
        <v>1</v>
      </c>
      <c r="DD200">
        <f t="shared" si="381"/>
        <v>1</v>
      </c>
      <c r="DE200">
        <f t="shared" si="381"/>
        <v>1</v>
      </c>
      <c r="DF200">
        <f t="shared" si="381"/>
        <v>1</v>
      </c>
      <c r="DG200">
        <f t="shared" ref="DG200:DP207" si="382">IF($C200&lt;&gt;"",IF(AR200&gt;0,1,0),0)</f>
        <v>1</v>
      </c>
      <c r="DH200">
        <f t="shared" si="382"/>
        <v>0</v>
      </c>
      <c r="DI200">
        <f t="shared" si="382"/>
        <v>0</v>
      </c>
      <c r="DJ200">
        <f t="shared" si="382"/>
        <v>1</v>
      </c>
      <c r="DK200">
        <f t="shared" si="382"/>
        <v>1</v>
      </c>
      <c r="DL200">
        <f t="shared" si="382"/>
        <v>1</v>
      </c>
      <c r="DM200">
        <f t="shared" si="382"/>
        <v>1</v>
      </c>
      <c r="DN200">
        <f t="shared" si="382"/>
        <v>1</v>
      </c>
      <c r="DO200">
        <f t="shared" si="382"/>
        <v>1</v>
      </c>
      <c r="DP200">
        <f t="shared" si="382"/>
        <v>1</v>
      </c>
      <c r="DQ200">
        <f t="shared" ref="DQ200:DZ207" si="383">IF($C200&lt;&gt;"",IF(BB200&gt;0,1,0),0)</f>
        <v>1</v>
      </c>
      <c r="DR200">
        <f t="shared" si="383"/>
        <v>1</v>
      </c>
      <c r="DS200">
        <f t="shared" si="383"/>
        <v>1</v>
      </c>
      <c r="DT200">
        <f t="shared" si="383"/>
        <v>1</v>
      </c>
      <c r="DU200">
        <f t="shared" si="383"/>
        <v>1</v>
      </c>
      <c r="DV200">
        <f t="shared" si="383"/>
        <v>1</v>
      </c>
      <c r="DW200">
        <f t="shared" si="383"/>
        <v>1</v>
      </c>
      <c r="DX200">
        <f t="shared" si="383"/>
        <v>1</v>
      </c>
      <c r="DY200">
        <f t="shared" si="383"/>
        <v>1</v>
      </c>
      <c r="DZ200">
        <f t="shared" si="383"/>
        <v>1</v>
      </c>
      <c r="EA200">
        <f t="shared" ref="EA200:EF207" si="384">IF($C200&lt;&gt;"",IF(BL200&gt;0,1,0),0)</f>
        <v>1</v>
      </c>
      <c r="EB200">
        <f t="shared" si="384"/>
        <v>1</v>
      </c>
      <c r="EC200">
        <f t="shared" si="384"/>
        <v>1</v>
      </c>
      <c r="ED200">
        <f t="shared" si="384"/>
        <v>1</v>
      </c>
      <c r="EE200">
        <f t="shared" si="384"/>
        <v>1</v>
      </c>
      <c r="EF200">
        <f t="shared" si="384"/>
        <v>0</v>
      </c>
    </row>
    <row r="201" spans="1:136" ht="15.5">
      <c r="A201" s="90"/>
      <c r="B201" s="53" t="s">
        <v>15</v>
      </c>
      <c r="C201" s="95"/>
      <c r="D201" s="18">
        <v>48</v>
      </c>
      <c r="E201" s="18">
        <v>0</v>
      </c>
      <c r="F201" s="18">
        <v>29</v>
      </c>
      <c r="G201" s="18">
        <v>0</v>
      </c>
      <c r="H201" s="18">
        <v>107</v>
      </c>
      <c r="I201" s="18">
        <v>0</v>
      </c>
      <c r="J201" s="18">
        <v>0</v>
      </c>
      <c r="K201" s="18">
        <v>0</v>
      </c>
      <c r="L201" s="18">
        <v>0</v>
      </c>
      <c r="M201" s="18">
        <v>0</v>
      </c>
      <c r="N201" s="18">
        <v>0</v>
      </c>
      <c r="O201" s="18">
        <v>0</v>
      </c>
      <c r="P201" s="18">
        <v>0</v>
      </c>
      <c r="Q201" s="18">
        <v>0</v>
      </c>
      <c r="R201" s="18">
        <v>0</v>
      </c>
      <c r="S201" s="18">
        <v>0</v>
      </c>
      <c r="T201" s="18">
        <v>0</v>
      </c>
      <c r="U201" s="18">
        <v>0</v>
      </c>
      <c r="V201" s="18">
        <v>0</v>
      </c>
      <c r="W201" s="18">
        <v>0</v>
      </c>
      <c r="X201" s="18">
        <v>0</v>
      </c>
      <c r="Y201" s="18">
        <v>0</v>
      </c>
      <c r="Z201" s="18">
        <v>0</v>
      </c>
      <c r="AA201" s="18">
        <v>0</v>
      </c>
      <c r="AB201" s="18">
        <v>0</v>
      </c>
      <c r="AC201" s="18">
        <v>0</v>
      </c>
      <c r="AD201" s="18">
        <v>0</v>
      </c>
      <c r="AE201" s="18">
        <v>0</v>
      </c>
      <c r="AF201" s="18">
        <v>0</v>
      </c>
      <c r="AG201" s="18">
        <v>0</v>
      </c>
      <c r="AH201" s="18">
        <v>0</v>
      </c>
      <c r="AI201" s="18">
        <v>0</v>
      </c>
      <c r="AJ201" s="18">
        <v>0</v>
      </c>
      <c r="AK201" s="18">
        <v>0</v>
      </c>
      <c r="AL201" s="18">
        <v>0</v>
      </c>
      <c r="AM201" s="18">
        <v>0</v>
      </c>
      <c r="AN201" s="18">
        <v>0</v>
      </c>
      <c r="AO201" s="18">
        <v>0</v>
      </c>
      <c r="AP201" s="18">
        <v>0</v>
      </c>
      <c r="AQ201" s="18">
        <v>0</v>
      </c>
      <c r="AR201" s="18">
        <v>0</v>
      </c>
      <c r="AS201" s="18">
        <v>0</v>
      </c>
      <c r="AT201" s="18">
        <v>0</v>
      </c>
      <c r="AU201" s="18">
        <v>0</v>
      </c>
      <c r="AV201" s="18">
        <v>0</v>
      </c>
      <c r="AW201" s="18">
        <v>0</v>
      </c>
      <c r="AX201" s="18">
        <v>48</v>
      </c>
      <c r="AY201" s="18">
        <v>0</v>
      </c>
      <c r="AZ201" s="18">
        <v>0</v>
      </c>
      <c r="BA201" s="18">
        <v>0</v>
      </c>
      <c r="BB201" s="18">
        <v>0</v>
      </c>
      <c r="BC201" s="18">
        <v>0</v>
      </c>
      <c r="BD201" s="18">
        <v>0</v>
      </c>
      <c r="BE201" s="18">
        <v>0</v>
      </c>
      <c r="BF201" s="18">
        <v>0</v>
      </c>
      <c r="BG201" s="18">
        <v>0</v>
      </c>
      <c r="BH201" s="18">
        <v>0</v>
      </c>
      <c r="BI201" s="18">
        <v>0</v>
      </c>
      <c r="BJ201" s="113">
        <v>0</v>
      </c>
      <c r="BK201" s="113">
        <v>0</v>
      </c>
      <c r="BL201" s="113">
        <v>0</v>
      </c>
      <c r="BM201" s="113">
        <v>0</v>
      </c>
      <c r="BN201" s="113">
        <v>0</v>
      </c>
      <c r="BO201" s="113">
        <v>0</v>
      </c>
      <c r="BP201" s="113">
        <v>0</v>
      </c>
      <c r="BQ201" s="113">
        <v>0</v>
      </c>
      <c r="BR201" s="101"/>
      <c r="BS201">
        <f t="shared" si="378"/>
        <v>0</v>
      </c>
      <c r="BT201">
        <f t="shared" si="378"/>
        <v>0</v>
      </c>
      <c r="BU201">
        <f t="shared" si="378"/>
        <v>0</v>
      </c>
      <c r="BV201">
        <f t="shared" si="378"/>
        <v>0</v>
      </c>
      <c r="BW201">
        <f t="shared" si="378"/>
        <v>0</v>
      </c>
      <c r="BX201">
        <f t="shared" si="378"/>
        <v>0</v>
      </c>
      <c r="BY201">
        <f t="shared" si="378"/>
        <v>0</v>
      </c>
      <c r="BZ201">
        <f t="shared" si="378"/>
        <v>0</v>
      </c>
      <c r="CA201">
        <f t="shared" si="378"/>
        <v>0</v>
      </c>
      <c r="CB201">
        <f t="shared" si="378"/>
        <v>0</v>
      </c>
      <c r="CC201">
        <f t="shared" si="379"/>
        <v>0</v>
      </c>
      <c r="CD201">
        <f t="shared" si="379"/>
        <v>0</v>
      </c>
      <c r="CE201">
        <f t="shared" si="379"/>
        <v>0</v>
      </c>
      <c r="CF201">
        <f t="shared" si="379"/>
        <v>0</v>
      </c>
      <c r="CG201">
        <f t="shared" si="379"/>
        <v>0</v>
      </c>
      <c r="CH201">
        <f t="shared" si="379"/>
        <v>0</v>
      </c>
      <c r="CI201">
        <f t="shared" si="379"/>
        <v>0</v>
      </c>
      <c r="CJ201">
        <f t="shared" si="379"/>
        <v>0</v>
      </c>
      <c r="CK201">
        <f t="shared" si="379"/>
        <v>0</v>
      </c>
      <c r="CL201">
        <f t="shared" si="379"/>
        <v>0</v>
      </c>
      <c r="CM201">
        <f t="shared" si="380"/>
        <v>0</v>
      </c>
      <c r="CN201">
        <f t="shared" si="380"/>
        <v>0</v>
      </c>
      <c r="CO201">
        <f t="shared" si="380"/>
        <v>0</v>
      </c>
      <c r="CP201">
        <f t="shared" si="380"/>
        <v>0</v>
      </c>
      <c r="CQ201">
        <f t="shared" si="380"/>
        <v>0</v>
      </c>
      <c r="CR201">
        <f t="shared" si="380"/>
        <v>0</v>
      </c>
      <c r="CS201">
        <f t="shared" si="380"/>
        <v>0</v>
      </c>
      <c r="CT201">
        <f t="shared" si="380"/>
        <v>0</v>
      </c>
      <c r="CU201">
        <f t="shared" si="380"/>
        <v>0</v>
      </c>
      <c r="CV201">
        <f t="shared" si="380"/>
        <v>0</v>
      </c>
      <c r="CW201">
        <f t="shared" si="381"/>
        <v>0</v>
      </c>
      <c r="CX201">
        <f t="shared" si="381"/>
        <v>0</v>
      </c>
      <c r="CY201">
        <f t="shared" si="381"/>
        <v>0</v>
      </c>
      <c r="CZ201">
        <f t="shared" si="381"/>
        <v>0</v>
      </c>
      <c r="DA201">
        <f t="shared" si="381"/>
        <v>0</v>
      </c>
      <c r="DB201">
        <f t="shared" si="381"/>
        <v>0</v>
      </c>
      <c r="DC201">
        <f t="shared" si="381"/>
        <v>0</v>
      </c>
      <c r="DD201">
        <f t="shared" si="381"/>
        <v>0</v>
      </c>
      <c r="DE201">
        <f t="shared" si="381"/>
        <v>0</v>
      </c>
      <c r="DF201">
        <f t="shared" si="381"/>
        <v>0</v>
      </c>
      <c r="DG201">
        <f t="shared" si="382"/>
        <v>0</v>
      </c>
      <c r="DH201">
        <f t="shared" si="382"/>
        <v>0</v>
      </c>
      <c r="DI201">
        <f t="shared" si="382"/>
        <v>0</v>
      </c>
      <c r="DJ201">
        <f t="shared" si="382"/>
        <v>0</v>
      </c>
      <c r="DK201">
        <f t="shared" si="382"/>
        <v>0</v>
      </c>
      <c r="DL201">
        <f t="shared" si="382"/>
        <v>0</v>
      </c>
      <c r="DM201">
        <f t="shared" si="382"/>
        <v>0</v>
      </c>
      <c r="DN201">
        <f t="shared" si="382"/>
        <v>0</v>
      </c>
      <c r="DO201">
        <f t="shared" si="382"/>
        <v>0</v>
      </c>
      <c r="DP201">
        <f t="shared" si="382"/>
        <v>0</v>
      </c>
      <c r="DQ201">
        <f t="shared" si="383"/>
        <v>0</v>
      </c>
      <c r="DR201">
        <f t="shared" si="383"/>
        <v>0</v>
      </c>
      <c r="DS201">
        <f t="shared" si="383"/>
        <v>0</v>
      </c>
      <c r="DT201">
        <f t="shared" si="383"/>
        <v>0</v>
      </c>
      <c r="DU201">
        <f t="shared" si="383"/>
        <v>0</v>
      </c>
      <c r="DV201">
        <f t="shared" si="383"/>
        <v>0</v>
      </c>
      <c r="DW201">
        <f t="shared" si="383"/>
        <v>0</v>
      </c>
      <c r="DX201">
        <f t="shared" si="383"/>
        <v>0</v>
      </c>
      <c r="DY201">
        <f t="shared" si="383"/>
        <v>0</v>
      </c>
      <c r="DZ201">
        <f t="shared" si="383"/>
        <v>0</v>
      </c>
      <c r="EA201">
        <f t="shared" si="384"/>
        <v>0</v>
      </c>
      <c r="EB201">
        <f t="shared" si="384"/>
        <v>0</v>
      </c>
      <c r="EC201">
        <f t="shared" si="384"/>
        <v>0</v>
      </c>
      <c r="ED201">
        <f t="shared" si="384"/>
        <v>0</v>
      </c>
      <c r="EE201">
        <f t="shared" si="384"/>
        <v>0</v>
      </c>
      <c r="EF201">
        <f t="shared" si="384"/>
        <v>0</v>
      </c>
    </row>
    <row r="202" spans="1:136" ht="15.5">
      <c r="A202" s="90"/>
      <c r="B202" s="19" t="s">
        <v>2</v>
      </c>
      <c r="C202" s="95"/>
      <c r="D202" s="18">
        <v>0</v>
      </c>
      <c r="E202" s="18">
        <v>300</v>
      </c>
      <c r="F202" s="40" t="s">
        <v>22</v>
      </c>
      <c r="G202" s="40" t="s">
        <v>22</v>
      </c>
      <c r="H202" s="18">
        <v>270</v>
      </c>
      <c r="I202" s="18">
        <v>0</v>
      </c>
      <c r="J202" s="18">
        <v>0</v>
      </c>
      <c r="K202" s="18">
        <v>0</v>
      </c>
      <c r="L202" s="18">
        <v>0</v>
      </c>
      <c r="M202" s="18">
        <v>0</v>
      </c>
      <c r="N202" s="18">
        <v>0</v>
      </c>
      <c r="O202" s="18">
        <v>0</v>
      </c>
      <c r="P202" s="18">
        <v>0</v>
      </c>
      <c r="Q202" s="18">
        <v>0</v>
      </c>
      <c r="R202" s="18">
        <v>0</v>
      </c>
      <c r="S202" s="18">
        <v>0</v>
      </c>
      <c r="T202" s="18">
        <v>0</v>
      </c>
      <c r="U202" s="18">
        <v>0</v>
      </c>
      <c r="V202" s="18">
        <v>0</v>
      </c>
      <c r="W202" s="18">
        <v>0</v>
      </c>
      <c r="X202" s="18">
        <v>0</v>
      </c>
      <c r="Y202" s="18">
        <v>0</v>
      </c>
      <c r="Z202" s="40" t="s">
        <v>16</v>
      </c>
      <c r="AA202" s="18">
        <v>3100</v>
      </c>
      <c r="AB202" s="18">
        <v>0</v>
      </c>
      <c r="AC202" s="18">
        <v>0</v>
      </c>
      <c r="AD202" s="18">
        <v>0</v>
      </c>
      <c r="AE202" s="18">
        <v>3100</v>
      </c>
      <c r="AF202" s="18">
        <v>5600</v>
      </c>
      <c r="AG202" s="18">
        <f>1013+92</f>
        <v>1105</v>
      </c>
      <c r="AH202" s="18">
        <v>4973</v>
      </c>
      <c r="AI202" s="18">
        <v>4763</v>
      </c>
      <c r="AJ202" s="18">
        <v>10384</v>
      </c>
      <c r="AK202" s="18">
        <v>710</v>
      </c>
      <c r="AL202" s="18">
        <v>0</v>
      </c>
      <c r="AM202" s="18">
        <v>0</v>
      </c>
      <c r="AN202" s="18">
        <v>0</v>
      </c>
      <c r="AO202" s="18">
        <v>0</v>
      </c>
      <c r="AP202" s="18">
        <v>0</v>
      </c>
      <c r="AQ202" s="18">
        <v>0</v>
      </c>
      <c r="AR202" s="18">
        <v>0</v>
      </c>
      <c r="AS202" s="18">
        <v>0</v>
      </c>
      <c r="AT202" s="18">
        <v>0</v>
      </c>
      <c r="AU202" s="18">
        <v>0</v>
      </c>
      <c r="AV202" s="18">
        <v>0</v>
      </c>
      <c r="AW202" s="18">
        <v>0</v>
      </c>
      <c r="AX202" s="18">
        <v>0</v>
      </c>
      <c r="AY202" s="18">
        <v>0</v>
      </c>
      <c r="AZ202" s="18">
        <v>0</v>
      </c>
      <c r="BA202" s="18">
        <v>0</v>
      </c>
      <c r="BB202" s="18">
        <v>0</v>
      </c>
      <c r="BC202" s="18">
        <v>0</v>
      </c>
      <c r="BD202" s="18">
        <v>0</v>
      </c>
      <c r="BE202" s="18">
        <v>0</v>
      </c>
      <c r="BF202" s="18">
        <v>0</v>
      </c>
      <c r="BG202" s="18">
        <v>0</v>
      </c>
      <c r="BH202" s="18">
        <v>0</v>
      </c>
      <c r="BI202" s="18">
        <v>0</v>
      </c>
      <c r="BJ202" s="113">
        <v>0</v>
      </c>
      <c r="BK202" s="113">
        <v>0</v>
      </c>
      <c r="BL202" s="113">
        <v>0</v>
      </c>
      <c r="BM202" s="113">
        <v>0</v>
      </c>
      <c r="BN202" s="113">
        <v>0</v>
      </c>
      <c r="BO202" s="113">
        <v>0</v>
      </c>
      <c r="BP202" s="113">
        <v>0</v>
      </c>
      <c r="BQ202" s="113">
        <v>0</v>
      </c>
      <c r="BR202" s="101"/>
      <c r="BS202">
        <f t="shared" si="378"/>
        <v>0</v>
      </c>
      <c r="BT202">
        <f t="shared" si="378"/>
        <v>0</v>
      </c>
      <c r="BU202">
        <f t="shared" si="378"/>
        <v>0</v>
      </c>
      <c r="BV202">
        <f t="shared" si="378"/>
        <v>0</v>
      </c>
      <c r="BW202">
        <f t="shared" si="378"/>
        <v>0</v>
      </c>
      <c r="BX202">
        <f t="shared" si="378"/>
        <v>0</v>
      </c>
      <c r="BY202">
        <f t="shared" si="378"/>
        <v>0</v>
      </c>
      <c r="BZ202">
        <f t="shared" si="378"/>
        <v>0</v>
      </c>
      <c r="CA202">
        <f t="shared" si="378"/>
        <v>0</v>
      </c>
      <c r="CB202">
        <f t="shared" si="378"/>
        <v>0</v>
      </c>
      <c r="CC202">
        <f t="shared" si="379"/>
        <v>0</v>
      </c>
      <c r="CD202">
        <f t="shared" si="379"/>
        <v>0</v>
      </c>
      <c r="CE202">
        <f t="shared" si="379"/>
        <v>0</v>
      </c>
      <c r="CF202">
        <f t="shared" si="379"/>
        <v>0</v>
      </c>
      <c r="CG202">
        <f t="shared" si="379"/>
        <v>0</v>
      </c>
      <c r="CH202">
        <f t="shared" si="379"/>
        <v>0</v>
      </c>
      <c r="CI202">
        <f t="shared" si="379"/>
        <v>0</v>
      </c>
      <c r="CJ202">
        <f t="shared" si="379"/>
        <v>0</v>
      </c>
      <c r="CK202">
        <f t="shared" si="379"/>
        <v>0</v>
      </c>
      <c r="CL202">
        <f t="shared" si="379"/>
        <v>0</v>
      </c>
      <c r="CM202">
        <f t="shared" si="380"/>
        <v>0</v>
      </c>
      <c r="CN202">
        <f t="shared" si="380"/>
        <v>0</v>
      </c>
      <c r="CO202">
        <f t="shared" si="380"/>
        <v>0</v>
      </c>
      <c r="CP202">
        <f t="shared" si="380"/>
        <v>0</v>
      </c>
      <c r="CQ202">
        <f t="shared" si="380"/>
        <v>0</v>
      </c>
      <c r="CR202">
        <f t="shared" si="380"/>
        <v>0</v>
      </c>
      <c r="CS202">
        <f t="shared" si="380"/>
        <v>0</v>
      </c>
      <c r="CT202">
        <f t="shared" si="380"/>
        <v>0</v>
      </c>
      <c r="CU202">
        <f t="shared" si="380"/>
        <v>0</v>
      </c>
      <c r="CV202">
        <f t="shared" si="380"/>
        <v>0</v>
      </c>
      <c r="CW202">
        <f t="shared" si="381"/>
        <v>0</v>
      </c>
      <c r="CX202">
        <f t="shared" si="381"/>
        <v>0</v>
      </c>
      <c r="CY202">
        <f t="shared" si="381"/>
        <v>0</v>
      </c>
      <c r="CZ202">
        <f t="shared" si="381"/>
        <v>0</v>
      </c>
      <c r="DA202">
        <f t="shared" si="381"/>
        <v>0</v>
      </c>
      <c r="DB202">
        <f t="shared" si="381"/>
        <v>0</v>
      </c>
      <c r="DC202">
        <f t="shared" si="381"/>
        <v>0</v>
      </c>
      <c r="DD202">
        <f t="shared" si="381"/>
        <v>0</v>
      </c>
      <c r="DE202">
        <f t="shared" si="381"/>
        <v>0</v>
      </c>
      <c r="DF202">
        <f t="shared" si="381"/>
        <v>0</v>
      </c>
      <c r="DG202">
        <f t="shared" si="382"/>
        <v>0</v>
      </c>
      <c r="DH202">
        <f t="shared" si="382"/>
        <v>0</v>
      </c>
      <c r="DI202">
        <f t="shared" si="382"/>
        <v>0</v>
      </c>
      <c r="DJ202">
        <f t="shared" si="382"/>
        <v>0</v>
      </c>
      <c r="DK202">
        <f t="shared" si="382"/>
        <v>0</v>
      </c>
      <c r="DL202">
        <f t="shared" si="382"/>
        <v>0</v>
      </c>
      <c r="DM202">
        <f t="shared" si="382"/>
        <v>0</v>
      </c>
      <c r="DN202">
        <f t="shared" si="382"/>
        <v>0</v>
      </c>
      <c r="DO202">
        <f t="shared" si="382"/>
        <v>0</v>
      </c>
      <c r="DP202">
        <f t="shared" si="382"/>
        <v>0</v>
      </c>
      <c r="DQ202">
        <f t="shared" si="383"/>
        <v>0</v>
      </c>
      <c r="DR202">
        <f t="shared" si="383"/>
        <v>0</v>
      </c>
      <c r="DS202">
        <f t="shared" si="383"/>
        <v>0</v>
      </c>
      <c r="DT202">
        <f t="shared" si="383"/>
        <v>0</v>
      </c>
      <c r="DU202">
        <f t="shared" si="383"/>
        <v>0</v>
      </c>
      <c r="DV202">
        <f t="shared" si="383"/>
        <v>0</v>
      </c>
      <c r="DW202">
        <f t="shared" si="383"/>
        <v>0</v>
      </c>
      <c r="DX202">
        <f t="shared" si="383"/>
        <v>0</v>
      </c>
      <c r="DY202">
        <f t="shared" si="383"/>
        <v>0</v>
      </c>
      <c r="DZ202">
        <f t="shared" si="383"/>
        <v>0</v>
      </c>
      <c r="EA202">
        <f t="shared" si="384"/>
        <v>0</v>
      </c>
      <c r="EB202">
        <f t="shared" si="384"/>
        <v>0</v>
      </c>
      <c r="EC202">
        <f t="shared" si="384"/>
        <v>0</v>
      </c>
      <c r="ED202">
        <f t="shared" si="384"/>
        <v>0</v>
      </c>
      <c r="EE202">
        <f t="shared" si="384"/>
        <v>0</v>
      </c>
      <c r="EF202">
        <f t="shared" si="384"/>
        <v>0</v>
      </c>
    </row>
    <row r="203" spans="1:136" ht="15.5">
      <c r="A203" s="90"/>
      <c r="B203" s="57" t="s">
        <v>3</v>
      </c>
      <c r="C203" s="95"/>
      <c r="D203" s="18">
        <v>0</v>
      </c>
      <c r="E203" s="18">
        <f>162+79.6</f>
        <v>241.6</v>
      </c>
      <c r="F203" s="18">
        <v>14.5</v>
      </c>
      <c r="G203" s="18">
        <v>19</v>
      </c>
      <c r="H203" s="18">
        <f>7+32</f>
        <v>39</v>
      </c>
      <c r="I203" s="18">
        <v>6</v>
      </c>
      <c r="J203" s="18">
        <v>0</v>
      </c>
      <c r="K203" s="18">
        <v>0</v>
      </c>
      <c r="L203" s="18">
        <v>0</v>
      </c>
      <c r="M203" s="18">
        <v>0</v>
      </c>
      <c r="N203" s="18">
        <v>0</v>
      </c>
      <c r="O203" s="18">
        <v>0</v>
      </c>
      <c r="P203" s="18">
        <v>0</v>
      </c>
      <c r="Q203" s="18">
        <v>0</v>
      </c>
      <c r="R203" s="18">
        <v>0</v>
      </c>
      <c r="S203" s="18">
        <v>0.77100000000000002</v>
      </c>
      <c r="T203" s="18">
        <v>1.03</v>
      </c>
      <c r="U203" s="18">
        <v>1.2929999999999999</v>
      </c>
      <c r="V203" s="18">
        <v>1.877</v>
      </c>
      <c r="W203" s="18">
        <v>2.69</v>
      </c>
      <c r="X203" s="18">
        <v>3.1349999999999998</v>
      </c>
      <c r="Y203" s="18">
        <v>9.0779999999999994</v>
      </c>
      <c r="Z203" s="18">
        <v>20.795999999999999</v>
      </c>
      <c r="AA203" s="18">
        <v>27.832999999999998</v>
      </c>
      <c r="AB203" s="18">
        <v>101.05500000000001</v>
      </c>
      <c r="AC203" s="18">
        <v>113.883</v>
      </c>
      <c r="AD203" s="18">
        <v>157.286</v>
      </c>
      <c r="AE203" s="40" t="s">
        <v>22</v>
      </c>
      <c r="AF203" s="40" t="s">
        <v>22</v>
      </c>
      <c r="AG203" s="18">
        <f>15814.62-AG202</f>
        <v>14709.62</v>
      </c>
      <c r="AH203" s="40" t="s">
        <v>22</v>
      </c>
      <c r="AI203" s="40" t="s">
        <v>22</v>
      </c>
      <c r="AJ203" s="40" t="s">
        <v>22</v>
      </c>
      <c r="AK203" s="18">
        <f>4075.976-AK202</f>
        <v>3365.9760000000001</v>
      </c>
      <c r="AL203" s="18">
        <v>46484.26</v>
      </c>
      <c r="AM203" s="18">
        <v>2064.4580000000001</v>
      </c>
      <c r="AN203" s="18">
        <v>1723.8530000000001</v>
      </c>
      <c r="AO203" s="18">
        <v>8213.3089999999993</v>
      </c>
      <c r="AP203" s="18">
        <v>630.505</v>
      </c>
      <c r="AQ203" s="18">
        <v>8708.8490000000002</v>
      </c>
      <c r="AR203" s="18">
        <v>13663.93</v>
      </c>
      <c r="AS203" s="18">
        <v>0</v>
      </c>
      <c r="AT203" s="18">
        <v>0</v>
      </c>
      <c r="AU203" s="18">
        <v>0</v>
      </c>
      <c r="AV203" s="18">
        <v>1.9E-2</v>
      </c>
      <c r="AW203" s="18">
        <v>4274.2129999999997</v>
      </c>
      <c r="AX203" s="18">
        <v>56.844813799999997</v>
      </c>
      <c r="AY203" s="18">
        <v>23.998877399999998</v>
      </c>
      <c r="AZ203" s="18">
        <v>56.231999999999999</v>
      </c>
      <c r="BA203" s="18">
        <v>47.795161899999997</v>
      </c>
      <c r="BB203" s="18">
        <v>83.365615500000004</v>
      </c>
      <c r="BC203" s="18">
        <v>1.366093</v>
      </c>
      <c r="BD203" s="18">
        <v>1.0517171000000001</v>
      </c>
      <c r="BE203" s="25">
        <v>67.075120300000009</v>
      </c>
      <c r="BF203" s="18">
        <v>633.0267063</v>
      </c>
      <c r="BG203" s="18">
        <v>40.638610200000002</v>
      </c>
      <c r="BH203" s="18">
        <v>5.9852037000000005</v>
      </c>
      <c r="BI203" s="18">
        <v>20.222000000000001</v>
      </c>
      <c r="BJ203" s="113">
        <v>38175.296959800005</v>
      </c>
      <c r="BK203" s="34">
        <v>13.5127694</v>
      </c>
      <c r="BL203" s="34">
        <v>8.7721456999999994</v>
      </c>
      <c r="BM203" s="113">
        <v>8.5559999999999992</v>
      </c>
      <c r="BN203" s="113">
        <v>12564.296670899999</v>
      </c>
      <c r="BO203" s="113">
        <v>429</v>
      </c>
      <c r="BP203" s="154">
        <v>250</v>
      </c>
      <c r="BQ203" s="113">
        <v>0</v>
      </c>
      <c r="BR203" s="101"/>
      <c r="BS203">
        <f t="shared" si="378"/>
        <v>0</v>
      </c>
      <c r="BT203">
        <f t="shared" si="378"/>
        <v>0</v>
      </c>
      <c r="BU203">
        <f t="shared" si="378"/>
        <v>0</v>
      </c>
      <c r="BV203">
        <f t="shared" si="378"/>
        <v>0</v>
      </c>
      <c r="BW203">
        <f t="shared" si="378"/>
        <v>0</v>
      </c>
      <c r="BX203">
        <f t="shared" si="378"/>
        <v>0</v>
      </c>
      <c r="BY203">
        <f t="shared" si="378"/>
        <v>0</v>
      </c>
      <c r="BZ203">
        <f t="shared" si="378"/>
        <v>0</v>
      </c>
      <c r="CA203">
        <f t="shared" si="378"/>
        <v>0</v>
      </c>
      <c r="CB203">
        <f t="shared" si="378"/>
        <v>0</v>
      </c>
      <c r="CC203">
        <f t="shared" si="379"/>
        <v>0</v>
      </c>
      <c r="CD203">
        <f t="shared" si="379"/>
        <v>0</v>
      </c>
      <c r="CE203">
        <f t="shared" si="379"/>
        <v>0</v>
      </c>
      <c r="CF203">
        <f t="shared" si="379"/>
        <v>0</v>
      </c>
      <c r="CG203">
        <f t="shared" si="379"/>
        <v>0</v>
      </c>
      <c r="CH203">
        <f t="shared" si="379"/>
        <v>0</v>
      </c>
      <c r="CI203">
        <f t="shared" si="379"/>
        <v>0</v>
      </c>
      <c r="CJ203">
        <f t="shared" si="379"/>
        <v>0</v>
      </c>
      <c r="CK203">
        <f t="shared" si="379"/>
        <v>0</v>
      </c>
      <c r="CL203">
        <f t="shared" si="379"/>
        <v>0</v>
      </c>
      <c r="CM203">
        <f t="shared" si="380"/>
        <v>0</v>
      </c>
      <c r="CN203">
        <f t="shared" si="380"/>
        <v>0</v>
      </c>
      <c r="CO203">
        <f t="shared" si="380"/>
        <v>0</v>
      </c>
      <c r="CP203">
        <f t="shared" si="380"/>
        <v>0</v>
      </c>
      <c r="CQ203">
        <f t="shared" si="380"/>
        <v>0</v>
      </c>
      <c r="CR203">
        <f t="shared" si="380"/>
        <v>0</v>
      </c>
      <c r="CS203">
        <f t="shared" si="380"/>
        <v>0</v>
      </c>
      <c r="CT203">
        <f t="shared" si="380"/>
        <v>0</v>
      </c>
      <c r="CU203">
        <f t="shared" si="380"/>
        <v>0</v>
      </c>
      <c r="CV203">
        <f t="shared" si="380"/>
        <v>0</v>
      </c>
      <c r="CW203">
        <f t="shared" si="381"/>
        <v>0</v>
      </c>
      <c r="CX203">
        <f t="shared" si="381"/>
        <v>0</v>
      </c>
      <c r="CY203">
        <f t="shared" si="381"/>
        <v>0</v>
      </c>
      <c r="CZ203">
        <f t="shared" si="381"/>
        <v>0</v>
      </c>
      <c r="DA203">
        <f t="shared" si="381"/>
        <v>0</v>
      </c>
      <c r="DB203">
        <f t="shared" si="381"/>
        <v>0</v>
      </c>
      <c r="DC203">
        <f t="shared" si="381"/>
        <v>0</v>
      </c>
      <c r="DD203">
        <f t="shared" si="381"/>
        <v>0</v>
      </c>
      <c r="DE203">
        <f t="shared" si="381"/>
        <v>0</v>
      </c>
      <c r="DF203">
        <f t="shared" si="381"/>
        <v>0</v>
      </c>
      <c r="DG203">
        <f t="shared" si="382"/>
        <v>0</v>
      </c>
      <c r="DH203">
        <f t="shared" si="382"/>
        <v>0</v>
      </c>
      <c r="DI203">
        <f t="shared" si="382"/>
        <v>0</v>
      </c>
      <c r="DJ203">
        <f t="shared" si="382"/>
        <v>0</v>
      </c>
      <c r="DK203">
        <f t="shared" si="382"/>
        <v>0</v>
      </c>
      <c r="DL203">
        <f t="shared" si="382"/>
        <v>0</v>
      </c>
      <c r="DM203">
        <f t="shared" si="382"/>
        <v>0</v>
      </c>
      <c r="DN203">
        <f t="shared" si="382"/>
        <v>0</v>
      </c>
      <c r="DO203">
        <f t="shared" si="382"/>
        <v>0</v>
      </c>
      <c r="DP203">
        <f t="shared" si="382"/>
        <v>0</v>
      </c>
      <c r="DQ203">
        <f t="shared" si="383"/>
        <v>0</v>
      </c>
      <c r="DR203">
        <f t="shared" si="383"/>
        <v>0</v>
      </c>
      <c r="DS203">
        <f t="shared" si="383"/>
        <v>0</v>
      </c>
      <c r="DT203">
        <f t="shared" si="383"/>
        <v>0</v>
      </c>
      <c r="DU203">
        <f t="shared" si="383"/>
        <v>0</v>
      </c>
      <c r="DV203">
        <f t="shared" si="383"/>
        <v>0</v>
      </c>
      <c r="DW203">
        <f t="shared" si="383"/>
        <v>0</v>
      </c>
      <c r="DX203">
        <f t="shared" si="383"/>
        <v>0</v>
      </c>
      <c r="DY203">
        <f t="shared" si="383"/>
        <v>0</v>
      </c>
      <c r="DZ203">
        <f t="shared" si="383"/>
        <v>0</v>
      </c>
      <c r="EA203">
        <f t="shared" si="384"/>
        <v>0</v>
      </c>
      <c r="EB203">
        <f t="shared" si="384"/>
        <v>0</v>
      </c>
      <c r="EC203">
        <f t="shared" si="384"/>
        <v>0</v>
      </c>
      <c r="ED203">
        <f t="shared" si="384"/>
        <v>0</v>
      </c>
      <c r="EE203">
        <f t="shared" si="384"/>
        <v>0</v>
      </c>
      <c r="EF203">
        <f t="shared" si="384"/>
        <v>0</v>
      </c>
    </row>
    <row r="204" spans="1:136" ht="15.5">
      <c r="A204" s="90"/>
      <c r="B204" s="57" t="s">
        <v>18</v>
      </c>
      <c r="C204" s="95"/>
      <c r="D204" s="18">
        <v>0</v>
      </c>
      <c r="E204" s="18">
        <v>200</v>
      </c>
      <c r="F204" s="18">
        <v>0</v>
      </c>
      <c r="G204" s="18">
        <v>0</v>
      </c>
      <c r="H204" s="18">
        <v>0</v>
      </c>
      <c r="I204" s="18">
        <v>0</v>
      </c>
      <c r="J204" s="18">
        <v>0</v>
      </c>
      <c r="K204" s="18">
        <v>0</v>
      </c>
      <c r="L204" s="18">
        <v>0</v>
      </c>
      <c r="M204" s="18">
        <v>0</v>
      </c>
      <c r="N204" s="18">
        <v>0</v>
      </c>
      <c r="O204" s="18">
        <v>0</v>
      </c>
      <c r="P204" s="18">
        <v>0</v>
      </c>
      <c r="Q204" s="18">
        <v>0</v>
      </c>
      <c r="R204" s="18">
        <v>0</v>
      </c>
      <c r="S204" s="18">
        <v>0</v>
      </c>
      <c r="T204" s="18">
        <v>0</v>
      </c>
      <c r="U204" s="18">
        <v>0</v>
      </c>
      <c r="V204" s="18">
        <v>0</v>
      </c>
      <c r="W204" s="18">
        <v>0</v>
      </c>
      <c r="X204" s="18">
        <v>0</v>
      </c>
      <c r="Y204" s="18">
        <v>0</v>
      </c>
      <c r="Z204" s="18">
        <v>0</v>
      </c>
      <c r="AA204" s="18">
        <v>20252</v>
      </c>
      <c r="AB204" s="18">
        <v>21126</v>
      </c>
      <c r="AC204" s="18">
        <v>16632</v>
      </c>
      <c r="AD204" s="18">
        <v>21504</v>
      </c>
      <c r="AE204" s="18">
        <v>37703</v>
      </c>
      <c r="AF204" s="18">
        <v>62100</v>
      </c>
      <c r="AG204" s="18">
        <v>65844</v>
      </c>
      <c r="AH204" s="18">
        <v>70140</v>
      </c>
      <c r="AI204" s="18">
        <v>11685</v>
      </c>
      <c r="AJ204" s="18">
        <v>14395</v>
      </c>
      <c r="AK204" s="18">
        <v>48885</v>
      </c>
      <c r="AL204" s="18">
        <v>43257</v>
      </c>
      <c r="AM204" s="18">
        <v>0</v>
      </c>
      <c r="AN204" s="18">
        <v>0</v>
      </c>
      <c r="AO204" s="18">
        <v>0</v>
      </c>
      <c r="AP204" s="18">
        <v>0</v>
      </c>
      <c r="AQ204" s="18">
        <v>0</v>
      </c>
      <c r="AR204" s="18">
        <v>0</v>
      </c>
      <c r="AS204" s="18">
        <v>0</v>
      </c>
      <c r="AT204" s="18">
        <v>0</v>
      </c>
      <c r="AU204" s="18">
        <v>0</v>
      </c>
      <c r="AV204" s="18">
        <v>0</v>
      </c>
      <c r="AW204" s="18">
        <v>0</v>
      </c>
      <c r="AX204" s="18">
        <v>0</v>
      </c>
      <c r="AY204" s="18">
        <v>0</v>
      </c>
      <c r="AZ204" s="18">
        <v>0</v>
      </c>
      <c r="BA204" s="18">
        <v>0</v>
      </c>
      <c r="BB204" s="18">
        <v>0</v>
      </c>
      <c r="BC204" s="18">
        <v>0</v>
      </c>
      <c r="BD204" s="18">
        <v>0</v>
      </c>
      <c r="BE204" s="25">
        <v>0</v>
      </c>
      <c r="BF204" s="18">
        <v>0</v>
      </c>
      <c r="BG204" s="18">
        <v>0</v>
      </c>
      <c r="BH204" s="18">
        <v>0</v>
      </c>
      <c r="BI204" s="18">
        <v>0</v>
      </c>
      <c r="BJ204" s="113">
        <v>0</v>
      </c>
      <c r="BK204" s="113">
        <v>0</v>
      </c>
      <c r="BL204" s="113">
        <v>0</v>
      </c>
      <c r="BM204" s="113">
        <v>0</v>
      </c>
      <c r="BN204" s="113">
        <v>0</v>
      </c>
      <c r="BO204" s="113">
        <v>0</v>
      </c>
      <c r="BP204" s="113">
        <v>0</v>
      </c>
      <c r="BQ204" s="113">
        <v>0</v>
      </c>
      <c r="BR204" s="101"/>
      <c r="BS204">
        <f t="shared" si="378"/>
        <v>0</v>
      </c>
      <c r="BT204">
        <f t="shared" si="378"/>
        <v>0</v>
      </c>
      <c r="BU204">
        <f t="shared" si="378"/>
        <v>0</v>
      </c>
      <c r="BV204">
        <f t="shared" si="378"/>
        <v>0</v>
      </c>
      <c r="BW204">
        <f t="shared" si="378"/>
        <v>0</v>
      </c>
      <c r="BX204">
        <f t="shared" si="378"/>
        <v>0</v>
      </c>
      <c r="BY204">
        <f t="shared" si="378"/>
        <v>0</v>
      </c>
      <c r="BZ204">
        <f t="shared" si="378"/>
        <v>0</v>
      </c>
      <c r="CA204">
        <f t="shared" si="378"/>
        <v>0</v>
      </c>
      <c r="CB204">
        <f t="shared" si="378"/>
        <v>0</v>
      </c>
      <c r="CC204">
        <f t="shared" si="379"/>
        <v>0</v>
      </c>
      <c r="CD204">
        <f t="shared" si="379"/>
        <v>0</v>
      </c>
      <c r="CE204">
        <f t="shared" si="379"/>
        <v>0</v>
      </c>
      <c r="CF204">
        <f t="shared" si="379"/>
        <v>0</v>
      </c>
      <c r="CG204">
        <f t="shared" si="379"/>
        <v>0</v>
      </c>
      <c r="CH204">
        <f t="shared" si="379"/>
        <v>0</v>
      </c>
      <c r="CI204">
        <f t="shared" si="379"/>
        <v>0</v>
      </c>
      <c r="CJ204">
        <f t="shared" si="379"/>
        <v>0</v>
      </c>
      <c r="CK204">
        <f t="shared" si="379"/>
        <v>0</v>
      </c>
      <c r="CL204">
        <f t="shared" si="379"/>
        <v>0</v>
      </c>
      <c r="CM204">
        <f t="shared" si="380"/>
        <v>0</v>
      </c>
      <c r="CN204">
        <f t="shared" si="380"/>
        <v>0</v>
      </c>
      <c r="CO204">
        <f t="shared" si="380"/>
        <v>0</v>
      </c>
      <c r="CP204">
        <f t="shared" si="380"/>
        <v>0</v>
      </c>
      <c r="CQ204">
        <f t="shared" si="380"/>
        <v>0</v>
      </c>
      <c r="CR204">
        <f t="shared" si="380"/>
        <v>0</v>
      </c>
      <c r="CS204">
        <f t="shared" si="380"/>
        <v>0</v>
      </c>
      <c r="CT204">
        <f t="shared" si="380"/>
        <v>0</v>
      </c>
      <c r="CU204">
        <f t="shared" si="380"/>
        <v>0</v>
      </c>
      <c r="CV204">
        <f t="shared" si="380"/>
        <v>0</v>
      </c>
      <c r="CW204">
        <f t="shared" si="381"/>
        <v>0</v>
      </c>
      <c r="CX204">
        <f t="shared" si="381"/>
        <v>0</v>
      </c>
      <c r="CY204">
        <f t="shared" si="381"/>
        <v>0</v>
      </c>
      <c r="CZ204">
        <f t="shared" si="381"/>
        <v>0</v>
      </c>
      <c r="DA204">
        <f t="shared" si="381"/>
        <v>0</v>
      </c>
      <c r="DB204">
        <f t="shared" si="381"/>
        <v>0</v>
      </c>
      <c r="DC204">
        <f t="shared" si="381"/>
        <v>0</v>
      </c>
      <c r="DD204">
        <f t="shared" si="381"/>
        <v>0</v>
      </c>
      <c r="DE204">
        <f t="shared" si="381"/>
        <v>0</v>
      </c>
      <c r="DF204">
        <f t="shared" si="381"/>
        <v>0</v>
      </c>
      <c r="DG204">
        <f t="shared" si="382"/>
        <v>0</v>
      </c>
      <c r="DH204">
        <f t="shared" si="382"/>
        <v>0</v>
      </c>
      <c r="DI204">
        <f t="shared" si="382"/>
        <v>0</v>
      </c>
      <c r="DJ204">
        <f t="shared" si="382"/>
        <v>0</v>
      </c>
      <c r="DK204">
        <f t="shared" si="382"/>
        <v>0</v>
      </c>
      <c r="DL204">
        <f t="shared" si="382"/>
        <v>0</v>
      </c>
      <c r="DM204">
        <f t="shared" si="382"/>
        <v>0</v>
      </c>
      <c r="DN204">
        <f t="shared" si="382"/>
        <v>0</v>
      </c>
      <c r="DO204">
        <f t="shared" si="382"/>
        <v>0</v>
      </c>
      <c r="DP204">
        <f t="shared" si="382"/>
        <v>0</v>
      </c>
      <c r="DQ204">
        <f t="shared" si="383"/>
        <v>0</v>
      </c>
      <c r="DR204">
        <f t="shared" si="383"/>
        <v>0</v>
      </c>
      <c r="DS204">
        <f t="shared" si="383"/>
        <v>0</v>
      </c>
      <c r="DT204">
        <f t="shared" si="383"/>
        <v>0</v>
      </c>
      <c r="DU204">
        <f t="shared" si="383"/>
        <v>0</v>
      </c>
      <c r="DV204">
        <f t="shared" si="383"/>
        <v>0</v>
      </c>
      <c r="DW204">
        <f t="shared" si="383"/>
        <v>0</v>
      </c>
      <c r="DX204">
        <f t="shared" si="383"/>
        <v>0</v>
      </c>
      <c r="DY204">
        <f t="shared" si="383"/>
        <v>0</v>
      </c>
      <c r="DZ204">
        <f t="shared" si="383"/>
        <v>0</v>
      </c>
      <c r="EA204">
        <f t="shared" si="384"/>
        <v>0</v>
      </c>
      <c r="EB204">
        <f t="shared" si="384"/>
        <v>0</v>
      </c>
      <c r="EC204">
        <f t="shared" si="384"/>
        <v>0</v>
      </c>
      <c r="ED204">
        <f t="shared" si="384"/>
        <v>0</v>
      </c>
      <c r="EE204">
        <f t="shared" si="384"/>
        <v>0</v>
      </c>
      <c r="EF204">
        <f t="shared" si="384"/>
        <v>0</v>
      </c>
    </row>
    <row r="205" spans="1:136" ht="15.5">
      <c r="A205" s="90"/>
      <c r="B205" s="19" t="s">
        <v>208</v>
      </c>
      <c r="C205" s="95"/>
      <c r="D205" s="18">
        <v>0</v>
      </c>
      <c r="E205" s="18">
        <v>70</v>
      </c>
      <c r="F205" s="18">
        <v>0</v>
      </c>
      <c r="G205" s="18">
        <v>93</v>
      </c>
      <c r="H205" s="18">
        <v>0</v>
      </c>
      <c r="I205" s="18">
        <v>37</v>
      </c>
      <c r="J205" s="18">
        <v>0</v>
      </c>
      <c r="K205" s="18">
        <v>0</v>
      </c>
      <c r="L205" s="18">
        <v>0</v>
      </c>
      <c r="M205" s="18">
        <v>0</v>
      </c>
      <c r="N205" s="18">
        <v>0</v>
      </c>
      <c r="O205" s="18">
        <v>20.8</v>
      </c>
      <c r="P205" s="18">
        <v>35</v>
      </c>
      <c r="Q205" s="18">
        <v>40.800000000000004</v>
      </c>
      <c r="R205" s="18">
        <v>39.800000000000004</v>
      </c>
      <c r="S205" s="18">
        <v>46.6</v>
      </c>
      <c r="T205" s="18">
        <v>61.8</v>
      </c>
      <c r="U205" s="18">
        <v>136.6</v>
      </c>
      <c r="V205" s="18">
        <v>284.5</v>
      </c>
      <c r="W205" s="18">
        <v>350</v>
      </c>
      <c r="X205" s="18">
        <v>408.3</v>
      </c>
      <c r="Y205" s="18">
        <v>430.4</v>
      </c>
      <c r="Z205" s="18">
        <v>420.5</v>
      </c>
      <c r="AA205" s="18">
        <v>434.7</v>
      </c>
      <c r="AB205" s="18">
        <v>568.5</v>
      </c>
      <c r="AC205" s="18">
        <v>584</v>
      </c>
      <c r="AD205" s="18">
        <v>750.4</v>
      </c>
      <c r="AE205" s="18">
        <v>3948.7</v>
      </c>
      <c r="AF205" s="18">
        <v>615.09999999999991</v>
      </c>
      <c r="AG205" s="18">
        <v>3905.9</v>
      </c>
      <c r="AH205" s="18">
        <v>11271.699999999999</v>
      </c>
      <c r="AI205" s="18">
        <v>12792.6</v>
      </c>
      <c r="AJ205" s="18">
        <v>7109.5</v>
      </c>
      <c r="AK205" s="18">
        <v>10135.5</v>
      </c>
      <c r="AL205" s="18">
        <v>2881</v>
      </c>
      <c r="AM205" s="18">
        <v>3386</v>
      </c>
      <c r="AN205" s="18">
        <v>3177.9</v>
      </c>
      <c r="AO205" s="18">
        <v>2638.1</v>
      </c>
      <c r="AP205" s="18">
        <v>2930.6000000000004</v>
      </c>
      <c r="AQ205" s="18">
        <v>1938.7</v>
      </c>
      <c r="AR205" s="18">
        <v>1291.7</v>
      </c>
      <c r="AS205" s="18">
        <v>0</v>
      </c>
      <c r="AT205" s="18">
        <v>0</v>
      </c>
      <c r="AU205" s="18">
        <v>0.2</v>
      </c>
      <c r="AV205" s="18">
        <v>0</v>
      </c>
      <c r="AW205" s="18">
        <v>0</v>
      </c>
      <c r="AX205" s="18">
        <v>0</v>
      </c>
      <c r="AY205" s="18">
        <v>0.1</v>
      </c>
      <c r="AZ205" s="18">
        <v>0.2</v>
      </c>
      <c r="BA205" s="18">
        <v>0.1</v>
      </c>
      <c r="BB205" s="18">
        <v>0.3963971</v>
      </c>
      <c r="BC205" s="18">
        <v>0.53148600000000001</v>
      </c>
      <c r="BD205" s="18">
        <v>0.41343490000000005</v>
      </c>
      <c r="BE205" s="18">
        <v>35.450499400000005</v>
      </c>
      <c r="BF205" s="18">
        <v>16.3797228</v>
      </c>
      <c r="BG205" s="18">
        <v>0</v>
      </c>
      <c r="BH205" s="18">
        <v>0</v>
      </c>
      <c r="BI205" s="18">
        <v>1.1950000000000001</v>
      </c>
      <c r="BJ205" s="113">
        <v>0</v>
      </c>
      <c r="BK205" s="113">
        <v>0</v>
      </c>
      <c r="BL205" s="113">
        <v>0</v>
      </c>
      <c r="BM205" s="113">
        <v>0</v>
      </c>
      <c r="BN205" s="113">
        <v>0</v>
      </c>
      <c r="BO205" s="113">
        <v>0</v>
      </c>
      <c r="BP205" s="113">
        <v>0</v>
      </c>
      <c r="BQ205" s="113">
        <v>0</v>
      </c>
      <c r="BR205" s="101"/>
      <c r="BS205">
        <f t="shared" si="378"/>
        <v>0</v>
      </c>
      <c r="BT205">
        <f t="shared" si="378"/>
        <v>0</v>
      </c>
      <c r="BU205">
        <f t="shared" si="378"/>
        <v>0</v>
      </c>
      <c r="BV205">
        <f t="shared" si="378"/>
        <v>0</v>
      </c>
      <c r="BW205">
        <f t="shared" si="378"/>
        <v>0</v>
      </c>
      <c r="BX205">
        <f t="shared" si="378"/>
        <v>0</v>
      </c>
      <c r="BY205">
        <f t="shared" si="378"/>
        <v>0</v>
      </c>
      <c r="BZ205">
        <f t="shared" si="378"/>
        <v>0</v>
      </c>
      <c r="CA205">
        <f t="shared" si="378"/>
        <v>0</v>
      </c>
      <c r="CB205">
        <f t="shared" si="378"/>
        <v>0</v>
      </c>
      <c r="CC205">
        <f t="shared" si="379"/>
        <v>0</v>
      </c>
      <c r="CD205">
        <f t="shared" si="379"/>
        <v>0</v>
      </c>
      <c r="CE205">
        <f t="shared" si="379"/>
        <v>0</v>
      </c>
      <c r="CF205">
        <f t="shared" si="379"/>
        <v>0</v>
      </c>
      <c r="CG205">
        <f t="shared" si="379"/>
        <v>0</v>
      </c>
      <c r="CH205">
        <f t="shared" si="379"/>
        <v>0</v>
      </c>
      <c r="CI205">
        <f t="shared" si="379"/>
        <v>0</v>
      </c>
      <c r="CJ205">
        <f t="shared" si="379"/>
        <v>0</v>
      </c>
      <c r="CK205">
        <f t="shared" si="379"/>
        <v>0</v>
      </c>
      <c r="CL205">
        <f t="shared" si="379"/>
        <v>0</v>
      </c>
      <c r="CM205">
        <f t="shared" si="380"/>
        <v>0</v>
      </c>
      <c r="CN205">
        <f t="shared" si="380"/>
        <v>0</v>
      </c>
      <c r="CO205">
        <f t="shared" si="380"/>
        <v>0</v>
      </c>
      <c r="CP205">
        <f t="shared" si="380"/>
        <v>0</v>
      </c>
      <c r="CQ205">
        <f t="shared" si="380"/>
        <v>0</v>
      </c>
      <c r="CR205">
        <f t="shared" si="380"/>
        <v>0</v>
      </c>
      <c r="CS205">
        <f t="shared" si="380"/>
        <v>0</v>
      </c>
      <c r="CT205">
        <f t="shared" si="380"/>
        <v>0</v>
      </c>
      <c r="CU205">
        <f t="shared" si="380"/>
        <v>0</v>
      </c>
      <c r="CV205">
        <f t="shared" si="380"/>
        <v>0</v>
      </c>
      <c r="CW205">
        <f t="shared" si="381"/>
        <v>0</v>
      </c>
      <c r="CX205">
        <f t="shared" si="381"/>
        <v>0</v>
      </c>
      <c r="CY205">
        <f t="shared" si="381"/>
        <v>0</v>
      </c>
      <c r="CZ205">
        <f t="shared" si="381"/>
        <v>0</v>
      </c>
      <c r="DA205">
        <f t="shared" si="381"/>
        <v>0</v>
      </c>
      <c r="DB205">
        <f t="shared" si="381"/>
        <v>0</v>
      </c>
      <c r="DC205">
        <f t="shared" si="381"/>
        <v>0</v>
      </c>
      <c r="DD205">
        <f t="shared" si="381"/>
        <v>0</v>
      </c>
      <c r="DE205">
        <f t="shared" si="381"/>
        <v>0</v>
      </c>
      <c r="DF205">
        <f t="shared" si="381"/>
        <v>0</v>
      </c>
      <c r="DG205">
        <f t="shared" si="382"/>
        <v>0</v>
      </c>
      <c r="DH205">
        <f t="shared" si="382"/>
        <v>0</v>
      </c>
      <c r="DI205">
        <f t="shared" si="382"/>
        <v>0</v>
      </c>
      <c r="DJ205">
        <f t="shared" si="382"/>
        <v>0</v>
      </c>
      <c r="DK205">
        <f t="shared" si="382"/>
        <v>0</v>
      </c>
      <c r="DL205">
        <f t="shared" si="382"/>
        <v>0</v>
      </c>
      <c r="DM205">
        <f t="shared" si="382"/>
        <v>0</v>
      </c>
      <c r="DN205">
        <f t="shared" si="382"/>
        <v>0</v>
      </c>
      <c r="DO205">
        <f t="shared" si="382"/>
        <v>0</v>
      </c>
      <c r="DP205">
        <f t="shared" si="382"/>
        <v>0</v>
      </c>
      <c r="DQ205">
        <f t="shared" si="383"/>
        <v>0</v>
      </c>
      <c r="DR205">
        <f t="shared" si="383"/>
        <v>0</v>
      </c>
      <c r="DS205">
        <f t="shared" si="383"/>
        <v>0</v>
      </c>
      <c r="DT205">
        <f t="shared" si="383"/>
        <v>0</v>
      </c>
      <c r="DU205">
        <f t="shared" si="383"/>
        <v>0</v>
      </c>
      <c r="DV205">
        <f t="shared" si="383"/>
        <v>0</v>
      </c>
      <c r="DW205">
        <f t="shared" si="383"/>
        <v>0</v>
      </c>
      <c r="DX205">
        <f t="shared" si="383"/>
        <v>0</v>
      </c>
      <c r="DY205">
        <f t="shared" si="383"/>
        <v>0</v>
      </c>
      <c r="DZ205">
        <f t="shared" si="383"/>
        <v>0</v>
      </c>
      <c r="EA205">
        <f t="shared" si="384"/>
        <v>0</v>
      </c>
      <c r="EB205">
        <f t="shared" si="384"/>
        <v>0</v>
      </c>
      <c r="EC205">
        <f t="shared" si="384"/>
        <v>0</v>
      </c>
      <c r="ED205">
        <f t="shared" si="384"/>
        <v>0</v>
      </c>
      <c r="EE205">
        <f t="shared" si="384"/>
        <v>0</v>
      </c>
      <c r="EF205">
        <f t="shared" si="384"/>
        <v>0</v>
      </c>
    </row>
    <row r="206" spans="1:136" ht="15.5">
      <c r="A206" s="90"/>
      <c r="B206" s="57" t="s">
        <v>21</v>
      </c>
      <c r="C206" s="94"/>
      <c r="D206" s="18">
        <v>0</v>
      </c>
      <c r="E206" s="18">
        <v>0</v>
      </c>
      <c r="F206" s="18">
        <v>0</v>
      </c>
      <c r="G206" s="18">
        <v>0</v>
      </c>
      <c r="H206" s="18">
        <v>0</v>
      </c>
      <c r="I206" s="18">
        <v>0</v>
      </c>
      <c r="J206" s="18">
        <v>0</v>
      </c>
      <c r="K206" s="18">
        <v>0</v>
      </c>
      <c r="L206" s="18">
        <v>0</v>
      </c>
      <c r="M206" s="18">
        <v>0</v>
      </c>
      <c r="N206" s="18">
        <v>0</v>
      </c>
      <c r="O206" s="18">
        <v>0</v>
      </c>
      <c r="P206" s="18">
        <v>0</v>
      </c>
      <c r="Q206" s="18">
        <v>0</v>
      </c>
      <c r="R206" s="18">
        <v>0</v>
      </c>
      <c r="S206" s="18">
        <v>0</v>
      </c>
      <c r="T206" s="18">
        <v>0</v>
      </c>
      <c r="U206" s="18">
        <v>0</v>
      </c>
      <c r="V206" s="18">
        <v>0</v>
      </c>
      <c r="W206" s="18">
        <v>0</v>
      </c>
      <c r="X206" s="18">
        <v>0</v>
      </c>
      <c r="Y206" s="18">
        <v>0</v>
      </c>
      <c r="Z206" s="18">
        <v>0</v>
      </c>
      <c r="AA206" s="18">
        <v>4452</v>
      </c>
      <c r="AB206" s="18">
        <v>4846</v>
      </c>
      <c r="AC206" s="18">
        <v>0</v>
      </c>
      <c r="AD206" s="18">
        <v>31890</v>
      </c>
      <c r="AE206" s="18">
        <v>54000</v>
      </c>
      <c r="AF206" s="18">
        <v>0</v>
      </c>
      <c r="AG206" s="18">
        <v>0</v>
      </c>
      <c r="AH206" s="34">
        <v>62200</v>
      </c>
      <c r="AI206" s="34">
        <v>62200</v>
      </c>
      <c r="AJ206" s="34">
        <v>0</v>
      </c>
      <c r="AK206" s="34">
        <v>0</v>
      </c>
      <c r="AL206" s="34">
        <v>0</v>
      </c>
      <c r="AM206" s="34">
        <v>0</v>
      </c>
      <c r="AN206" s="34">
        <v>0</v>
      </c>
      <c r="AO206" s="34">
        <v>0</v>
      </c>
      <c r="AP206" s="34">
        <v>0</v>
      </c>
      <c r="AQ206" s="34">
        <v>0</v>
      </c>
      <c r="AR206" s="34">
        <v>0</v>
      </c>
      <c r="AS206" s="18">
        <v>0</v>
      </c>
      <c r="AT206" s="18">
        <v>0</v>
      </c>
      <c r="AU206" s="18">
        <v>0</v>
      </c>
      <c r="AV206" s="18">
        <v>0</v>
      </c>
      <c r="AW206" s="18">
        <v>0</v>
      </c>
      <c r="AX206" s="18">
        <v>0</v>
      </c>
      <c r="AY206" s="18">
        <v>0</v>
      </c>
      <c r="AZ206" s="18">
        <v>0</v>
      </c>
      <c r="BA206" s="18">
        <v>0</v>
      </c>
      <c r="BB206" s="18">
        <v>0</v>
      </c>
      <c r="BC206" s="18">
        <v>0</v>
      </c>
      <c r="BD206" s="18">
        <v>0</v>
      </c>
      <c r="BE206" s="25">
        <v>0</v>
      </c>
      <c r="BF206" s="18">
        <v>0</v>
      </c>
      <c r="BG206" s="18">
        <v>0</v>
      </c>
      <c r="BH206" s="18">
        <v>0</v>
      </c>
      <c r="BI206" s="18">
        <v>0</v>
      </c>
      <c r="BJ206" s="113">
        <v>0</v>
      </c>
      <c r="BK206" s="113">
        <v>0</v>
      </c>
      <c r="BL206" s="113">
        <v>0</v>
      </c>
      <c r="BM206" s="113">
        <v>0</v>
      </c>
      <c r="BN206" s="113">
        <v>0</v>
      </c>
      <c r="BO206" s="113">
        <v>0</v>
      </c>
      <c r="BP206" s="113">
        <v>0</v>
      </c>
      <c r="BQ206" s="113">
        <v>0</v>
      </c>
      <c r="BR206" s="101"/>
      <c r="BS206">
        <f t="shared" si="378"/>
        <v>0</v>
      </c>
      <c r="BT206">
        <f t="shared" si="378"/>
        <v>0</v>
      </c>
      <c r="BU206">
        <f t="shared" si="378"/>
        <v>0</v>
      </c>
      <c r="BV206">
        <f t="shared" si="378"/>
        <v>0</v>
      </c>
      <c r="BW206">
        <f t="shared" si="378"/>
        <v>0</v>
      </c>
      <c r="BX206">
        <f t="shared" si="378"/>
        <v>0</v>
      </c>
      <c r="BY206">
        <f t="shared" si="378"/>
        <v>0</v>
      </c>
      <c r="BZ206">
        <f t="shared" si="378"/>
        <v>0</v>
      </c>
      <c r="CA206">
        <f t="shared" si="378"/>
        <v>0</v>
      </c>
      <c r="CB206">
        <f t="shared" si="378"/>
        <v>0</v>
      </c>
      <c r="CC206">
        <f t="shared" si="379"/>
        <v>0</v>
      </c>
      <c r="CD206">
        <f t="shared" si="379"/>
        <v>0</v>
      </c>
      <c r="CE206">
        <f t="shared" si="379"/>
        <v>0</v>
      </c>
      <c r="CF206">
        <f t="shared" si="379"/>
        <v>0</v>
      </c>
      <c r="CG206">
        <f t="shared" si="379"/>
        <v>0</v>
      </c>
      <c r="CH206">
        <f t="shared" si="379"/>
        <v>0</v>
      </c>
      <c r="CI206">
        <f t="shared" si="379"/>
        <v>0</v>
      </c>
      <c r="CJ206">
        <f t="shared" si="379"/>
        <v>0</v>
      </c>
      <c r="CK206">
        <f t="shared" si="379"/>
        <v>0</v>
      </c>
      <c r="CL206">
        <f t="shared" si="379"/>
        <v>0</v>
      </c>
      <c r="CM206">
        <f t="shared" si="380"/>
        <v>0</v>
      </c>
      <c r="CN206">
        <f t="shared" si="380"/>
        <v>0</v>
      </c>
      <c r="CO206">
        <f t="shared" si="380"/>
        <v>0</v>
      </c>
      <c r="CP206">
        <f t="shared" si="380"/>
        <v>0</v>
      </c>
      <c r="CQ206">
        <f t="shared" si="380"/>
        <v>0</v>
      </c>
      <c r="CR206">
        <f t="shared" si="380"/>
        <v>0</v>
      </c>
      <c r="CS206">
        <f t="shared" si="380"/>
        <v>0</v>
      </c>
      <c r="CT206">
        <f t="shared" si="380"/>
        <v>0</v>
      </c>
      <c r="CU206">
        <f t="shared" si="380"/>
        <v>0</v>
      </c>
      <c r="CV206">
        <f t="shared" si="380"/>
        <v>0</v>
      </c>
      <c r="CW206">
        <f t="shared" si="381"/>
        <v>0</v>
      </c>
      <c r="CX206">
        <f t="shared" si="381"/>
        <v>0</v>
      </c>
      <c r="CY206">
        <f t="shared" si="381"/>
        <v>0</v>
      </c>
      <c r="CZ206">
        <f t="shared" si="381"/>
        <v>0</v>
      </c>
      <c r="DA206">
        <f t="shared" si="381"/>
        <v>0</v>
      </c>
      <c r="DB206">
        <f t="shared" si="381"/>
        <v>0</v>
      </c>
      <c r="DC206">
        <f t="shared" si="381"/>
        <v>0</v>
      </c>
      <c r="DD206">
        <f t="shared" si="381"/>
        <v>0</v>
      </c>
      <c r="DE206">
        <f t="shared" si="381"/>
        <v>0</v>
      </c>
      <c r="DF206">
        <f t="shared" si="381"/>
        <v>0</v>
      </c>
      <c r="DG206">
        <f t="shared" si="382"/>
        <v>0</v>
      </c>
      <c r="DH206">
        <f t="shared" si="382"/>
        <v>0</v>
      </c>
      <c r="DI206">
        <f t="shared" si="382"/>
        <v>0</v>
      </c>
      <c r="DJ206">
        <f t="shared" si="382"/>
        <v>0</v>
      </c>
      <c r="DK206">
        <f t="shared" si="382"/>
        <v>0</v>
      </c>
      <c r="DL206">
        <f t="shared" si="382"/>
        <v>0</v>
      </c>
      <c r="DM206">
        <f t="shared" si="382"/>
        <v>0</v>
      </c>
      <c r="DN206">
        <f t="shared" si="382"/>
        <v>0</v>
      </c>
      <c r="DO206">
        <f t="shared" si="382"/>
        <v>0</v>
      </c>
      <c r="DP206">
        <f t="shared" si="382"/>
        <v>0</v>
      </c>
      <c r="DQ206">
        <f t="shared" si="383"/>
        <v>0</v>
      </c>
      <c r="DR206">
        <f t="shared" si="383"/>
        <v>0</v>
      </c>
      <c r="DS206">
        <f t="shared" si="383"/>
        <v>0</v>
      </c>
      <c r="DT206">
        <f t="shared" si="383"/>
        <v>0</v>
      </c>
      <c r="DU206">
        <f t="shared" si="383"/>
        <v>0</v>
      </c>
      <c r="DV206">
        <f t="shared" si="383"/>
        <v>0</v>
      </c>
      <c r="DW206">
        <f t="shared" si="383"/>
        <v>0</v>
      </c>
      <c r="DX206">
        <f t="shared" si="383"/>
        <v>0</v>
      </c>
      <c r="DY206">
        <f t="shared" si="383"/>
        <v>0</v>
      </c>
      <c r="DZ206">
        <f t="shared" si="383"/>
        <v>0</v>
      </c>
      <c r="EA206">
        <f t="shared" si="384"/>
        <v>0</v>
      </c>
      <c r="EB206">
        <f t="shared" si="384"/>
        <v>0</v>
      </c>
      <c r="EC206">
        <f t="shared" si="384"/>
        <v>0</v>
      </c>
      <c r="ED206">
        <f t="shared" si="384"/>
        <v>0</v>
      </c>
      <c r="EE206">
        <f t="shared" si="384"/>
        <v>0</v>
      </c>
      <c r="EF206">
        <f t="shared" si="384"/>
        <v>0</v>
      </c>
    </row>
    <row r="207" spans="1:136" ht="15.5">
      <c r="A207" s="90"/>
      <c r="B207" s="19" t="s">
        <v>212</v>
      </c>
      <c r="C207" s="94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7">
        <f>-(0.058*464990)/394000</f>
        <v>-6.8450304568527923E-2</v>
      </c>
      <c r="AI207" s="103">
        <f>-(0.023*407730)/399000</f>
        <v>-2.3503233082706763E-2</v>
      </c>
      <c r="AJ207" s="34">
        <f>13.1/397</f>
        <v>3.299748110831234E-2</v>
      </c>
      <c r="AK207" s="34">
        <f>31.9/9993</f>
        <v>3.1922345641949364E-3</v>
      </c>
      <c r="AL207" s="34">
        <f>1103/397</f>
        <v>2.7783375314861463</v>
      </c>
      <c r="AM207" s="34">
        <v>0</v>
      </c>
      <c r="AN207" s="34">
        <f>15625/398</f>
        <v>39.258793969849243</v>
      </c>
      <c r="AO207" s="34">
        <v>79</v>
      </c>
      <c r="AP207" s="34">
        <v>163</v>
      </c>
      <c r="AQ207" s="34">
        <v>276</v>
      </c>
      <c r="AR207" s="34">
        <v>303</v>
      </c>
      <c r="AS207" s="18">
        <v>0</v>
      </c>
      <c r="AT207" s="18">
        <v>0</v>
      </c>
      <c r="AU207" s="18">
        <v>0</v>
      </c>
      <c r="AV207" s="18">
        <v>0</v>
      </c>
      <c r="AW207" s="18">
        <v>0</v>
      </c>
      <c r="AX207" s="18">
        <v>0</v>
      </c>
      <c r="AY207" s="18">
        <v>0</v>
      </c>
      <c r="AZ207" s="18">
        <v>0</v>
      </c>
      <c r="BA207" s="18">
        <v>0</v>
      </c>
      <c r="BB207" s="18">
        <v>0</v>
      </c>
      <c r="BC207" s="18">
        <v>0</v>
      </c>
      <c r="BD207" s="18">
        <v>0</v>
      </c>
      <c r="BE207" s="25">
        <v>0</v>
      </c>
      <c r="BF207" s="18">
        <v>0</v>
      </c>
      <c r="BG207" s="18">
        <f>72400/3.962</f>
        <v>18273.599192327107</v>
      </c>
      <c r="BH207" s="18">
        <v>0</v>
      </c>
      <c r="BI207" s="18">
        <v>0</v>
      </c>
      <c r="BJ207" s="113">
        <v>0</v>
      </c>
      <c r="BK207" s="113">
        <v>0</v>
      </c>
      <c r="BL207" s="113">
        <v>0</v>
      </c>
      <c r="BM207" s="113">
        <v>0</v>
      </c>
      <c r="BN207" s="113">
        <f>0.006*1920000</f>
        <v>11520</v>
      </c>
      <c r="BO207" s="113">
        <f>0.006*2069000</f>
        <v>12414</v>
      </c>
      <c r="BP207" s="113">
        <v>0</v>
      </c>
      <c r="BQ207" s="113">
        <v>0</v>
      </c>
      <c r="BR207" s="101"/>
      <c r="BS207">
        <f t="shared" si="378"/>
        <v>0</v>
      </c>
      <c r="BT207">
        <f t="shared" si="378"/>
        <v>0</v>
      </c>
      <c r="BU207">
        <f t="shared" si="378"/>
        <v>0</v>
      </c>
      <c r="BV207">
        <f t="shared" si="378"/>
        <v>0</v>
      </c>
      <c r="BW207">
        <f t="shared" si="378"/>
        <v>0</v>
      </c>
      <c r="BX207">
        <f t="shared" si="378"/>
        <v>0</v>
      </c>
      <c r="BY207">
        <f t="shared" si="378"/>
        <v>0</v>
      </c>
      <c r="BZ207">
        <f t="shared" si="378"/>
        <v>0</v>
      </c>
      <c r="CA207">
        <f t="shared" si="378"/>
        <v>0</v>
      </c>
      <c r="CB207">
        <f t="shared" si="378"/>
        <v>0</v>
      </c>
      <c r="CC207">
        <f t="shared" si="379"/>
        <v>0</v>
      </c>
      <c r="CD207">
        <f t="shared" si="379"/>
        <v>0</v>
      </c>
      <c r="CE207">
        <f t="shared" si="379"/>
        <v>0</v>
      </c>
      <c r="CF207">
        <f t="shared" si="379"/>
        <v>0</v>
      </c>
      <c r="CG207">
        <f t="shared" si="379"/>
        <v>0</v>
      </c>
      <c r="CH207">
        <f t="shared" si="379"/>
        <v>0</v>
      </c>
      <c r="CI207">
        <f t="shared" si="379"/>
        <v>0</v>
      </c>
      <c r="CJ207">
        <f t="shared" si="379"/>
        <v>0</v>
      </c>
      <c r="CK207">
        <f t="shared" si="379"/>
        <v>0</v>
      </c>
      <c r="CL207">
        <f t="shared" si="379"/>
        <v>0</v>
      </c>
      <c r="CM207">
        <f t="shared" si="380"/>
        <v>0</v>
      </c>
      <c r="CN207">
        <f t="shared" si="380"/>
        <v>0</v>
      </c>
      <c r="CO207">
        <f t="shared" si="380"/>
        <v>0</v>
      </c>
      <c r="CP207">
        <f t="shared" si="380"/>
        <v>0</v>
      </c>
      <c r="CQ207">
        <f t="shared" si="380"/>
        <v>0</v>
      </c>
      <c r="CR207">
        <f t="shared" si="380"/>
        <v>0</v>
      </c>
      <c r="CS207">
        <f t="shared" si="380"/>
        <v>0</v>
      </c>
      <c r="CT207">
        <f t="shared" si="380"/>
        <v>0</v>
      </c>
      <c r="CU207">
        <f t="shared" si="380"/>
        <v>0</v>
      </c>
      <c r="CV207">
        <f t="shared" si="380"/>
        <v>0</v>
      </c>
      <c r="CW207">
        <f t="shared" si="381"/>
        <v>0</v>
      </c>
      <c r="CX207">
        <f t="shared" si="381"/>
        <v>0</v>
      </c>
      <c r="CY207">
        <f t="shared" si="381"/>
        <v>0</v>
      </c>
      <c r="CZ207">
        <f t="shared" si="381"/>
        <v>0</v>
      </c>
      <c r="DA207">
        <f t="shared" si="381"/>
        <v>0</v>
      </c>
      <c r="DB207">
        <f t="shared" si="381"/>
        <v>0</v>
      </c>
      <c r="DC207">
        <f t="shared" si="381"/>
        <v>0</v>
      </c>
      <c r="DD207">
        <f t="shared" si="381"/>
        <v>0</v>
      </c>
      <c r="DE207">
        <f t="shared" si="381"/>
        <v>0</v>
      </c>
      <c r="DF207">
        <f t="shared" si="381"/>
        <v>0</v>
      </c>
      <c r="DG207">
        <f t="shared" si="382"/>
        <v>0</v>
      </c>
      <c r="DH207">
        <f t="shared" si="382"/>
        <v>0</v>
      </c>
      <c r="DI207">
        <f t="shared" si="382"/>
        <v>0</v>
      </c>
      <c r="DJ207">
        <f t="shared" si="382"/>
        <v>0</v>
      </c>
      <c r="DK207">
        <f t="shared" si="382"/>
        <v>0</v>
      </c>
      <c r="DL207">
        <f t="shared" si="382"/>
        <v>0</v>
      </c>
      <c r="DM207">
        <f t="shared" si="382"/>
        <v>0</v>
      </c>
      <c r="DN207">
        <f t="shared" si="382"/>
        <v>0</v>
      </c>
      <c r="DO207">
        <f t="shared" si="382"/>
        <v>0</v>
      </c>
      <c r="DP207">
        <f t="shared" si="382"/>
        <v>0</v>
      </c>
      <c r="DQ207">
        <f t="shared" si="383"/>
        <v>0</v>
      </c>
      <c r="DR207">
        <f t="shared" si="383"/>
        <v>0</v>
      </c>
      <c r="DS207">
        <f t="shared" si="383"/>
        <v>0</v>
      </c>
      <c r="DT207">
        <f t="shared" si="383"/>
        <v>0</v>
      </c>
      <c r="DU207">
        <f t="shared" si="383"/>
        <v>0</v>
      </c>
      <c r="DV207">
        <f t="shared" si="383"/>
        <v>0</v>
      </c>
      <c r="DW207">
        <f t="shared" si="383"/>
        <v>0</v>
      </c>
      <c r="DX207">
        <f t="shared" si="383"/>
        <v>0</v>
      </c>
      <c r="DY207">
        <f t="shared" si="383"/>
        <v>0</v>
      </c>
      <c r="DZ207">
        <f t="shared" si="383"/>
        <v>0</v>
      </c>
      <c r="EA207">
        <f t="shared" si="384"/>
        <v>0</v>
      </c>
      <c r="EB207">
        <f t="shared" si="384"/>
        <v>0</v>
      </c>
      <c r="EC207">
        <f t="shared" si="384"/>
        <v>0</v>
      </c>
      <c r="ED207">
        <f t="shared" si="384"/>
        <v>0</v>
      </c>
      <c r="EE207">
        <f t="shared" si="384"/>
        <v>0</v>
      </c>
      <c r="EF207">
        <f t="shared" si="384"/>
        <v>0</v>
      </c>
    </row>
    <row r="208" spans="1:136" ht="15.5">
      <c r="A208" s="90"/>
      <c r="B208" s="57"/>
      <c r="C208" s="94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34"/>
      <c r="AJ208" s="34"/>
      <c r="AK208" s="34"/>
      <c r="AL208" s="34"/>
      <c r="AM208" s="34"/>
      <c r="AN208" s="34"/>
      <c r="AO208" s="34"/>
      <c r="AP208" s="34"/>
      <c r="AQ208" s="34"/>
      <c r="AR208" s="34"/>
      <c r="AS208" s="18"/>
      <c r="AT208" s="18"/>
      <c r="AU208" s="18"/>
      <c r="AV208" s="18"/>
      <c r="AW208" s="18"/>
      <c r="AX208" s="18"/>
      <c r="AY208" s="18"/>
      <c r="AZ208" s="18"/>
      <c r="BA208" s="18"/>
      <c r="BB208" s="18"/>
      <c r="BC208" s="18"/>
      <c r="BD208" s="18"/>
      <c r="BE208" s="25"/>
      <c r="BF208" s="18"/>
      <c r="BG208" s="18"/>
      <c r="BH208" s="18"/>
      <c r="BI208" s="18"/>
      <c r="BJ208" s="113"/>
      <c r="BK208" s="113"/>
      <c r="BL208" s="113"/>
      <c r="BM208" s="113"/>
      <c r="BN208" s="113"/>
      <c r="BO208" s="113"/>
      <c r="BP208" s="2"/>
      <c r="BQ208" s="2"/>
      <c r="BR208" s="101"/>
    </row>
    <row r="209" spans="1:136" ht="15.5">
      <c r="A209" s="93">
        <v>22</v>
      </c>
      <c r="B209" s="54" t="s">
        <v>38</v>
      </c>
      <c r="C209" s="95">
        <v>3</v>
      </c>
      <c r="D209" s="9">
        <f t="shared" ref="D209:AI209" si="385">SUM(D210:D214)</f>
        <v>131.6891</v>
      </c>
      <c r="E209" s="9">
        <f t="shared" si="385"/>
        <v>133.77590000000001</v>
      </c>
      <c r="F209" s="9">
        <f t="shared" si="385"/>
        <v>135.86270000000002</v>
      </c>
      <c r="G209" s="9">
        <f t="shared" si="385"/>
        <v>137.9495</v>
      </c>
      <c r="H209" s="9">
        <f t="shared" si="385"/>
        <v>140.03630000000001</v>
      </c>
      <c r="I209" s="9">
        <f t="shared" si="385"/>
        <v>142.12310000000002</v>
      </c>
      <c r="J209" s="9">
        <f t="shared" si="385"/>
        <v>144.2099</v>
      </c>
      <c r="K209" s="9">
        <f t="shared" si="385"/>
        <v>128.21710000000002</v>
      </c>
      <c r="L209" s="9">
        <f t="shared" si="385"/>
        <v>130.07350000000002</v>
      </c>
      <c r="M209" s="9">
        <f t="shared" si="385"/>
        <v>131.92990000000003</v>
      </c>
      <c r="N209" s="9">
        <f t="shared" si="385"/>
        <v>133.31703000000005</v>
      </c>
      <c r="O209" s="9">
        <f t="shared" si="385"/>
        <v>141.81809000000001</v>
      </c>
      <c r="P209" s="9">
        <f t="shared" si="385"/>
        <v>134.61436</v>
      </c>
      <c r="Q209" s="9">
        <f t="shared" si="385"/>
        <v>135.46310000000003</v>
      </c>
      <c r="R209" s="9">
        <f t="shared" si="385"/>
        <v>137.76573000000002</v>
      </c>
      <c r="S209" s="9">
        <f t="shared" si="385"/>
        <v>124.14164000000002</v>
      </c>
      <c r="T209" s="9">
        <f t="shared" si="385"/>
        <v>108.64894000000001</v>
      </c>
      <c r="U209" s="9">
        <f t="shared" si="385"/>
        <v>118.75365000000002</v>
      </c>
      <c r="V209" s="9">
        <f t="shared" si="385"/>
        <v>127.50815000000003</v>
      </c>
      <c r="W209" s="9">
        <f t="shared" si="385"/>
        <v>140.07170000000005</v>
      </c>
      <c r="X209" s="9">
        <f t="shared" si="385"/>
        <v>123.81445000000004</v>
      </c>
      <c r="Y209" s="9">
        <f t="shared" si="385"/>
        <v>101.19970000000002</v>
      </c>
      <c r="Z209" s="9">
        <f t="shared" si="385"/>
        <v>87.219180000000023</v>
      </c>
      <c r="AA209" s="9">
        <f t="shared" si="385"/>
        <v>77.813450000000017</v>
      </c>
      <c r="AB209" s="9">
        <f t="shared" si="385"/>
        <v>65.439290000000014</v>
      </c>
      <c r="AC209" s="9">
        <f t="shared" si="385"/>
        <v>80.016480000000016</v>
      </c>
      <c r="AD209" s="9">
        <f t="shared" si="385"/>
        <v>80.845920000000021</v>
      </c>
      <c r="AE209" s="9">
        <f t="shared" si="385"/>
        <v>103.79577</v>
      </c>
      <c r="AF209" s="9">
        <f t="shared" si="385"/>
        <v>0</v>
      </c>
      <c r="AG209" s="9">
        <f t="shared" si="385"/>
        <v>3.0572241</v>
      </c>
      <c r="AH209" s="9">
        <f t="shared" si="385"/>
        <v>6484.8525594000002</v>
      </c>
      <c r="AI209" s="9">
        <f t="shared" si="385"/>
        <v>7651</v>
      </c>
      <c r="AJ209" s="9">
        <f t="shared" ref="AJ209:BN209" si="386">SUM(AJ210:AJ214)</f>
        <v>8235.3037103000006</v>
      </c>
      <c r="AK209" s="9">
        <f t="shared" si="386"/>
        <v>8222.055053</v>
      </c>
      <c r="AL209" s="9">
        <f t="shared" si="386"/>
        <v>14448</v>
      </c>
      <c r="AM209" s="9">
        <f t="shared" si="386"/>
        <v>348.02815040000002</v>
      </c>
      <c r="AN209" s="9">
        <f t="shared" si="386"/>
        <v>231.69699869999999</v>
      </c>
      <c r="AO209" s="9">
        <f t="shared" si="386"/>
        <v>514.56014809999999</v>
      </c>
      <c r="AP209" s="9">
        <f t="shared" si="386"/>
        <v>267.29569149999998</v>
      </c>
      <c r="AQ209" s="9">
        <f t="shared" si="386"/>
        <v>337.149</v>
      </c>
      <c r="AR209" s="9">
        <f t="shared" si="386"/>
        <v>18.097293800000003</v>
      </c>
      <c r="AS209" s="9">
        <f t="shared" si="386"/>
        <v>226.58764240000002</v>
      </c>
      <c r="AT209" s="9">
        <f t="shared" si="386"/>
        <v>22.742999999999999</v>
      </c>
      <c r="AU209" s="9">
        <f t="shared" si="386"/>
        <v>4.51</v>
      </c>
      <c r="AV209" s="9">
        <f t="shared" si="386"/>
        <v>38.6</v>
      </c>
      <c r="AW209" s="9">
        <f t="shared" si="386"/>
        <v>72.17</v>
      </c>
      <c r="AX209" s="9">
        <f t="shared" si="386"/>
        <v>14.249802300000001</v>
      </c>
      <c r="AY209" s="9">
        <f t="shared" si="386"/>
        <v>19.6137959</v>
      </c>
      <c r="AZ209" s="9">
        <f t="shared" si="386"/>
        <v>86.315623700000003</v>
      </c>
      <c r="BA209" s="9">
        <f t="shared" si="386"/>
        <v>122.8879841</v>
      </c>
      <c r="BB209" s="9">
        <f t="shared" si="386"/>
        <v>0</v>
      </c>
      <c r="BC209" s="9">
        <f t="shared" si="386"/>
        <v>0</v>
      </c>
      <c r="BD209" s="9">
        <f t="shared" si="386"/>
        <v>0</v>
      </c>
      <c r="BE209" s="9">
        <f t="shared" si="386"/>
        <v>0.94819540000000002</v>
      </c>
      <c r="BF209" s="9">
        <f t="shared" si="386"/>
        <v>2.5251300000000001E-2</v>
      </c>
      <c r="BG209" s="9">
        <f t="shared" si="386"/>
        <v>0</v>
      </c>
      <c r="BH209" s="9">
        <f t="shared" si="386"/>
        <v>0</v>
      </c>
      <c r="BI209" s="9">
        <f t="shared" si="386"/>
        <v>0</v>
      </c>
      <c r="BJ209" s="9">
        <f t="shared" si="386"/>
        <v>0</v>
      </c>
      <c r="BK209" s="9">
        <f t="shared" si="386"/>
        <v>0</v>
      </c>
      <c r="BL209" s="9">
        <f t="shared" si="386"/>
        <v>0</v>
      </c>
      <c r="BM209" s="9">
        <f t="shared" si="386"/>
        <v>0</v>
      </c>
      <c r="BN209" s="9">
        <f t="shared" si="386"/>
        <v>1.3694899999999999E-2</v>
      </c>
      <c r="BO209" s="22">
        <f>SUM(BO210:BO215)</f>
        <v>0</v>
      </c>
      <c r="BP209" s="22">
        <f>SUM(BP210:BP215)</f>
        <v>0</v>
      </c>
      <c r="BQ209" s="22">
        <f>SUM(BQ210:BQ215)</f>
        <v>0</v>
      </c>
      <c r="BR209" s="101"/>
      <c r="BS209">
        <f t="shared" ref="BS209:CX209" si="387">IF($C209&lt;&gt;"",IF(D209&gt;0,1,0),0)</f>
        <v>1</v>
      </c>
      <c r="BT209">
        <f t="shared" si="387"/>
        <v>1</v>
      </c>
      <c r="BU209">
        <f t="shared" si="387"/>
        <v>1</v>
      </c>
      <c r="BV209">
        <f t="shared" si="387"/>
        <v>1</v>
      </c>
      <c r="BW209">
        <f t="shared" si="387"/>
        <v>1</v>
      </c>
      <c r="BX209">
        <f t="shared" si="387"/>
        <v>1</v>
      </c>
      <c r="BY209">
        <f t="shared" si="387"/>
        <v>1</v>
      </c>
      <c r="BZ209">
        <f t="shared" si="387"/>
        <v>1</v>
      </c>
      <c r="CA209">
        <f t="shared" si="387"/>
        <v>1</v>
      </c>
      <c r="CB209">
        <f t="shared" si="387"/>
        <v>1</v>
      </c>
      <c r="CC209">
        <f t="shared" si="387"/>
        <v>1</v>
      </c>
      <c r="CD209">
        <f t="shared" si="387"/>
        <v>1</v>
      </c>
      <c r="CE209">
        <f t="shared" si="387"/>
        <v>1</v>
      </c>
      <c r="CF209">
        <f t="shared" si="387"/>
        <v>1</v>
      </c>
      <c r="CG209">
        <f t="shared" si="387"/>
        <v>1</v>
      </c>
      <c r="CH209">
        <f t="shared" si="387"/>
        <v>1</v>
      </c>
      <c r="CI209">
        <f t="shared" si="387"/>
        <v>1</v>
      </c>
      <c r="CJ209">
        <f t="shared" si="387"/>
        <v>1</v>
      </c>
      <c r="CK209">
        <f t="shared" si="387"/>
        <v>1</v>
      </c>
      <c r="CL209">
        <f t="shared" si="387"/>
        <v>1</v>
      </c>
      <c r="CM209">
        <f t="shared" si="387"/>
        <v>1</v>
      </c>
      <c r="CN209">
        <f t="shared" si="387"/>
        <v>1</v>
      </c>
      <c r="CO209">
        <f t="shared" si="387"/>
        <v>1</v>
      </c>
      <c r="CP209">
        <f t="shared" si="387"/>
        <v>1</v>
      </c>
      <c r="CQ209">
        <f t="shared" si="387"/>
        <v>1</v>
      </c>
      <c r="CR209">
        <f t="shared" si="387"/>
        <v>1</v>
      </c>
      <c r="CS209">
        <f t="shared" si="387"/>
        <v>1</v>
      </c>
      <c r="CT209">
        <f t="shared" si="387"/>
        <v>1</v>
      </c>
      <c r="CU209">
        <f t="shared" si="387"/>
        <v>0</v>
      </c>
      <c r="CV209">
        <f t="shared" si="387"/>
        <v>1</v>
      </c>
      <c r="CW209">
        <f t="shared" si="387"/>
        <v>1</v>
      </c>
      <c r="CX209">
        <f t="shared" si="387"/>
        <v>1</v>
      </c>
      <c r="CY209">
        <f t="shared" ref="CY209:ED209" si="388">IF($C209&lt;&gt;"",IF(AJ209&gt;0,1,0),0)</f>
        <v>1</v>
      </c>
      <c r="CZ209">
        <f t="shared" si="388"/>
        <v>1</v>
      </c>
      <c r="DA209">
        <f t="shared" si="388"/>
        <v>1</v>
      </c>
      <c r="DB209">
        <f t="shared" si="388"/>
        <v>1</v>
      </c>
      <c r="DC209">
        <f t="shared" si="388"/>
        <v>1</v>
      </c>
      <c r="DD209">
        <f t="shared" si="388"/>
        <v>1</v>
      </c>
      <c r="DE209">
        <f t="shared" si="388"/>
        <v>1</v>
      </c>
      <c r="DF209">
        <f t="shared" si="388"/>
        <v>1</v>
      </c>
      <c r="DG209">
        <f t="shared" si="388"/>
        <v>1</v>
      </c>
      <c r="DH209">
        <f t="shared" si="388"/>
        <v>1</v>
      </c>
      <c r="DI209">
        <f t="shared" si="388"/>
        <v>1</v>
      </c>
      <c r="DJ209">
        <f t="shared" si="388"/>
        <v>1</v>
      </c>
      <c r="DK209">
        <f t="shared" si="388"/>
        <v>1</v>
      </c>
      <c r="DL209">
        <f t="shared" si="388"/>
        <v>1</v>
      </c>
      <c r="DM209">
        <f t="shared" si="388"/>
        <v>1</v>
      </c>
      <c r="DN209">
        <f t="shared" si="388"/>
        <v>1</v>
      </c>
      <c r="DO209">
        <f t="shared" si="388"/>
        <v>1</v>
      </c>
      <c r="DP209">
        <f t="shared" si="388"/>
        <v>1</v>
      </c>
      <c r="DQ209">
        <f t="shared" si="388"/>
        <v>0</v>
      </c>
      <c r="DR209">
        <f t="shared" si="388"/>
        <v>0</v>
      </c>
      <c r="DS209">
        <f t="shared" si="388"/>
        <v>0</v>
      </c>
      <c r="DT209">
        <f t="shared" si="388"/>
        <v>1</v>
      </c>
      <c r="DU209">
        <f t="shared" si="388"/>
        <v>1</v>
      </c>
      <c r="DV209">
        <f t="shared" si="388"/>
        <v>0</v>
      </c>
      <c r="DW209">
        <f t="shared" si="388"/>
        <v>0</v>
      </c>
      <c r="DX209">
        <f t="shared" si="388"/>
        <v>0</v>
      </c>
      <c r="DY209">
        <f t="shared" si="388"/>
        <v>0</v>
      </c>
      <c r="DZ209">
        <f t="shared" si="388"/>
        <v>0</v>
      </c>
      <c r="EA209">
        <f t="shared" si="388"/>
        <v>0</v>
      </c>
      <c r="EB209">
        <f t="shared" si="388"/>
        <v>0</v>
      </c>
      <c r="EC209">
        <f t="shared" si="388"/>
        <v>1</v>
      </c>
      <c r="ED209">
        <f t="shared" si="388"/>
        <v>0</v>
      </c>
      <c r="EE209">
        <f t="shared" ref="EE209:EF209" si="389">IF($C209&lt;&gt;"",IF(BP209&gt;0,1,0),0)</f>
        <v>0</v>
      </c>
      <c r="EF209">
        <f t="shared" si="389"/>
        <v>0</v>
      </c>
    </row>
    <row r="210" spans="1:136" ht="15.5">
      <c r="A210" s="90"/>
      <c r="B210" s="19" t="s">
        <v>2</v>
      </c>
      <c r="C210" s="94"/>
      <c r="D210" s="18">
        <v>0</v>
      </c>
      <c r="E210" s="18">
        <v>0</v>
      </c>
      <c r="F210" s="18">
        <v>0</v>
      </c>
      <c r="G210" s="18">
        <v>0</v>
      </c>
      <c r="H210" s="18">
        <v>0</v>
      </c>
      <c r="I210" s="18">
        <v>0</v>
      </c>
      <c r="J210" s="18">
        <v>0</v>
      </c>
      <c r="K210" s="18">
        <v>0</v>
      </c>
      <c r="L210" s="18">
        <v>0</v>
      </c>
      <c r="M210" s="18">
        <v>0</v>
      </c>
      <c r="N210" s="18">
        <v>0</v>
      </c>
      <c r="O210" s="18">
        <v>0</v>
      </c>
      <c r="P210" s="18">
        <v>0</v>
      </c>
      <c r="Q210" s="18">
        <v>0</v>
      </c>
      <c r="R210" s="18">
        <v>0</v>
      </c>
      <c r="S210" s="18">
        <v>0</v>
      </c>
      <c r="T210" s="18">
        <v>0</v>
      </c>
      <c r="U210" s="18">
        <v>0</v>
      </c>
      <c r="V210" s="18">
        <v>0</v>
      </c>
      <c r="W210" s="18">
        <v>0</v>
      </c>
      <c r="X210" s="18">
        <v>0</v>
      </c>
      <c r="Y210" s="18">
        <v>0</v>
      </c>
      <c r="Z210" s="18">
        <v>0</v>
      </c>
      <c r="AA210" s="18">
        <v>0</v>
      </c>
      <c r="AB210" s="18">
        <v>0</v>
      </c>
      <c r="AC210" s="18">
        <v>0</v>
      </c>
      <c r="AD210" s="18">
        <v>0</v>
      </c>
      <c r="AE210" s="18">
        <v>0</v>
      </c>
      <c r="AF210" s="18">
        <v>0</v>
      </c>
      <c r="AG210" s="18">
        <v>0</v>
      </c>
      <c r="AH210" s="18">
        <v>6.4</v>
      </c>
      <c r="AI210" s="18">
        <v>642</v>
      </c>
      <c r="AJ210" s="18">
        <v>251</v>
      </c>
      <c r="AK210" s="18">
        <v>0</v>
      </c>
      <c r="AL210" s="18">
        <v>200</v>
      </c>
      <c r="AM210" s="18">
        <v>0</v>
      </c>
      <c r="AN210" s="18">
        <v>0</v>
      </c>
      <c r="AO210" s="18">
        <v>0</v>
      </c>
      <c r="AP210" s="18">
        <v>0</v>
      </c>
      <c r="AQ210" s="18">
        <v>0</v>
      </c>
      <c r="AR210" s="18">
        <v>0</v>
      </c>
      <c r="AS210" s="18">
        <v>0</v>
      </c>
      <c r="AT210" s="18">
        <v>0</v>
      </c>
      <c r="AU210" s="18">
        <v>0</v>
      </c>
      <c r="AV210" s="18">
        <v>0</v>
      </c>
      <c r="AW210" s="18">
        <v>0</v>
      </c>
      <c r="AX210" s="18">
        <v>0</v>
      </c>
      <c r="AY210" s="18">
        <v>0</v>
      </c>
      <c r="AZ210" s="18">
        <v>0</v>
      </c>
      <c r="BA210" s="18">
        <v>0</v>
      </c>
      <c r="BB210" s="18">
        <v>0</v>
      </c>
      <c r="BC210" s="18">
        <v>0</v>
      </c>
      <c r="BD210" s="18">
        <v>0</v>
      </c>
      <c r="BE210" s="25">
        <v>0</v>
      </c>
      <c r="BF210" s="18">
        <v>0</v>
      </c>
      <c r="BG210" s="18">
        <v>0</v>
      </c>
      <c r="BH210" s="18">
        <v>0</v>
      </c>
      <c r="BI210" s="18">
        <v>0</v>
      </c>
      <c r="BJ210" s="113">
        <v>0</v>
      </c>
      <c r="BK210" s="113">
        <v>0</v>
      </c>
      <c r="BL210" s="113">
        <v>0</v>
      </c>
      <c r="BM210" s="113">
        <v>0</v>
      </c>
      <c r="BN210" s="113">
        <v>0</v>
      </c>
      <c r="BO210" s="113">
        <v>0</v>
      </c>
      <c r="BP210" s="113">
        <v>0</v>
      </c>
      <c r="BQ210" s="113">
        <v>0</v>
      </c>
      <c r="BR210" s="101"/>
      <c r="BS210">
        <f t="shared" ref="BS210:CB215" si="390">IF($C210&lt;&gt;"",IF(D210&gt;0,1,0),0)</f>
        <v>0</v>
      </c>
      <c r="BT210">
        <f t="shared" si="390"/>
        <v>0</v>
      </c>
      <c r="BU210">
        <f t="shared" si="390"/>
        <v>0</v>
      </c>
      <c r="BV210">
        <f t="shared" si="390"/>
        <v>0</v>
      </c>
      <c r="BW210">
        <f t="shared" si="390"/>
        <v>0</v>
      </c>
      <c r="BX210">
        <f t="shared" si="390"/>
        <v>0</v>
      </c>
      <c r="BY210">
        <f t="shared" si="390"/>
        <v>0</v>
      </c>
      <c r="BZ210">
        <f t="shared" si="390"/>
        <v>0</v>
      </c>
      <c r="CA210">
        <f t="shared" si="390"/>
        <v>0</v>
      </c>
      <c r="CB210">
        <f t="shared" si="390"/>
        <v>0</v>
      </c>
      <c r="CC210">
        <f t="shared" ref="CC210:CL215" si="391">IF($C210&lt;&gt;"",IF(N210&gt;0,1,0),0)</f>
        <v>0</v>
      </c>
      <c r="CD210">
        <f t="shared" si="391"/>
        <v>0</v>
      </c>
      <c r="CE210">
        <f t="shared" si="391"/>
        <v>0</v>
      </c>
      <c r="CF210">
        <f t="shared" si="391"/>
        <v>0</v>
      </c>
      <c r="CG210">
        <f t="shared" si="391"/>
        <v>0</v>
      </c>
      <c r="CH210">
        <f t="shared" si="391"/>
        <v>0</v>
      </c>
      <c r="CI210">
        <f t="shared" si="391"/>
        <v>0</v>
      </c>
      <c r="CJ210">
        <f t="shared" si="391"/>
        <v>0</v>
      </c>
      <c r="CK210">
        <f t="shared" si="391"/>
        <v>0</v>
      </c>
      <c r="CL210">
        <f t="shared" si="391"/>
        <v>0</v>
      </c>
      <c r="CM210">
        <f t="shared" ref="CM210:CV215" si="392">IF($C210&lt;&gt;"",IF(X210&gt;0,1,0),0)</f>
        <v>0</v>
      </c>
      <c r="CN210">
        <f t="shared" si="392"/>
        <v>0</v>
      </c>
      <c r="CO210">
        <f t="shared" si="392"/>
        <v>0</v>
      </c>
      <c r="CP210">
        <f t="shared" si="392"/>
        <v>0</v>
      </c>
      <c r="CQ210">
        <f t="shared" si="392"/>
        <v>0</v>
      </c>
      <c r="CR210">
        <f t="shared" si="392"/>
        <v>0</v>
      </c>
      <c r="CS210">
        <f t="shared" si="392"/>
        <v>0</v>
      </c>
      <c r="CT210">
        <f t="shared" si="392"/>
        <v>0</v>
      </c>
      <c r="CU210">
        <f t="shared" si="392"/>
        <v>0</v>
      </c>
      <c r="CV210">
        <f t="shared" si="392"/>
        <v>0</v>
      </c>
      <c r="CW210">
        <f t="shared" ref="CW210:DF215" si="393">IF($C210&lt;&gt;"",IF(AH210&gt;0,1,0),0)</f>
        <v>0</v>
      </c>
      <c r="CX210">
        <f t="shared" si="393"/>
        <v>0</v>
      </c>
      <c r="CY210">
        <f t="shared" si="393"/>
        <v>0</v>
      </c>
      <c r="CZ210">
        <f t="shared" si="393"/>
        <v>0</v>
      </c>
      <c r="DA210">
        <f t="shared" si="393"/>
        <v>0</v>
      </c>
      <c r="DB210">
        <f t="shared" si="393"/>
        <v>0</v>
      </c>
      <c r="DC210">
        <f t="shared" si="393"/>
        <v>0</v>
      </c>
      <c r="DD210">
        <f t="shared" si="393"/>
        <v>0</v>
      </c>
      <c r="DE210">
        <f t="shared" si="393"/>
        <v>0</v>
      </c>
      <c r="DF210">
        <f t="shared" si="393"/>
        <v>0</v>
      </c>
      <c r="DG210">
        <f t="shared" ref="DG210:DP215" si="394">IF($C210&lt;&gt;"",IF(AR210&gt;0,1,0),0)</f>
        <v>0</v>
      </c>
      <c r="DH210">
        <f t="shared" si="394"/>
        <v>0</v>
      </c>
      <c r="DI210">
        <f t="shared" si="394"/>
        <v>0</v>
      </c>
      <c r="DJ210">
        <f t="shared" si="394"/>
        <v>0</v>
      </c>
      <c r="DK210">
        <f t="shared" si="394"/>
        <v>0</v>
      </c>
      <c r="DL210">
        <f t="shared" si="394"/>
        <v>0</v>
      </c>
      <c r="DM210">
        <f t="shared" si="394"/>
        <v>0</v>
      </c>
      <c r="DN210">
        <f t="shared" si="394"/>
        <v>0</v>
      </c>
      <c r="DO210">
        <f t="shared" si="394"/>
        <v>0</v>
      </c>
      <c r="DP210">
        <f t="shared" si="394"/>
        <v>0</v>
      </c>
      <c r="DQ210">
        <f t="shared" ref="DQ210:DZ215" si="395">IF($C210&lt;&gt;"",IF(BB210&gt;0,1,0),0)</f>
        <v>0</v>
      </c>
      <c r="DR210">
        <f t="shared" si="395"/>
        <v>0</v>
      </c>
      <c r="DS210">
        <f t="shared" si="395"/>
        <v>0</v>
      </c>
      <c r="DT210">
        <f t="shared" si="395"/>
        <v>0</v>
      </c>
      <c r="DU210">
        <f t="shared" si="395"/>
        <v>0</v>
      </c>
      <c r="DV210">
        <f t="shared" si="395"/>
        <v>0</v>
      </c>
      <c r="DW210">
        <f t="shared" si="395"/>
        <v>0</v>
      </c>
      <c r="DX210">
        <f t="shared" si="395"/>
        <v>0</v>
      </c>
      <c r="DY210">
        <f t="shared" si="395"/>
        <v>0</v>
      </c>
      <c r="DZ210">
        <f t="shared" si="395"/>
        <v>0</v>
      </c>
      <c r="EA210">
        <f t="shared" ref="EA210:EF214" si="396">IF($C210&lt;&gt;"",IF(BL209&gt;0,1,0),0)</f>
        <v>0</v>
      </c>
      <c r="EB210">
        <f t="shared" si="396"/>
        <v>0</v>
      </c>
      <c r="EC210">
        <f t="shared" si="396"/>
        <v>0</v>
      </c>
      <c r="ED210">
        <f t="shared" si="396"/>
        <v>0</v>
      </c>
      <c r="EE210">
        <f t="shared" si="396"/>
        <v>0</v>
      </c>
      <c r="EF210">
        <f t="shared" si="396"/>
        <v>0</v>
      </c>
    </row>
    <row r="211" spans="1:136" ht="15.5">
      <c r="A211" s="90"/>
      <c r="B211" s="57" t="s">
        <v>3</v>
      </c>
      <c r="C211" s="94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>
        <v>0</v>
      </c>
      <c r="AH211" s="18">
        <v>6.4525594000000002</v>
      </c>
      <c r="AI211" s="40" t="s">
        <v>22</v>
      </c>
      <c r="AJ211" s="18">
        <v>438.30371029999998</v>
      </c>
      <c r="AK211" s="18">
        <v>312.05505299999999</v>
      </c>
      <c r="AL211" s="18">
        <f>6538-AL210</f>
        <v>6338</v>
      </c>
      <c r="AM211" s="18">
        <v>73.006939799999998</v>
      </c>
      <c r="AN211" s="18">
        <v>56.171383299999995</v>
      </c>
      <c r="AO211" s="18">
        <v>40.463148099999998</v>
      </c>
      <c r="AP211" s="18">
        <v>31.282691499999999</v>
      </c>
      <c r="AQ211" s="18">
        <v>151.99</v>
      </c>
      <c r="AR211" s="18">
        <v>11.567293800000002</v>
      </c>
      <c r="AS211" s="18">
        <v>201.96164240000002</v>
      </c>
      <c r="AT211" s="18">
        <v>6.95</v>
      </c>
      <c r="AU211" s="18">
        <v>4.51</v>
      </c>
      <c r="AV211" s="18">
        <v>0</v>
      </c>
      <c r="AW211" s="18">
        <v>72.17</v>
      </c>
      <c r="AX211" s="18">
        <v>14.249802300000001</v>
      </c>
      <c r="AY211" s="18">
        <v>19.6137959</v>
      </c>
      <c r="AZ211" s="18">
        <v>86.315623700000003</v>
      </c>
      <c r="BA211" s="18">
        <v>122.8879841</v>
      </c>
      <c r="BB211" s="18">
        <v>0</v>
      </c>
      <c r="BC211" s="18">
        <v>0</v>
      </c>
      <c r="BD211" s="18">
        <v>0</v>
      </c>
      <c r="BE211" s="25">
        <v>0.94819540000000002</v>
      </c>
      <c r="BF211" s="18">
        <v>2.5251300000000001E-2</v>
      </c>
      <c r="BG211" s="18">
        <v>0</v>
      </c>
      <c r="BH211" s="18">
        <v>0</v>
      </c>
      <c r="BI211" s="18">
        <v>0</v>
      </c>
      <c r="BJ211" s="113">
        <v>0</v>
      </c>
      <c r="BK211" s="113">
        <v>0</v>
      </c>
      <c r="BL211" s="113">
        <v>0</v>
      </c>
      <c r="BM211" s="113">
        <v>0</v>
      </c>
      <c r="BN211" s="103">
        <v>1.3694899999999999E-2</v>
      </c>
      <c r="BO211" s="113">
        <v>0</v>
      </c>
      <c r="BP211" s="113">
        <v>0</v>
      </c>
      <c r="BQ211" s="113">
        <v>0</v>
      </c>
      <c r="BR211" s="101"/>
      <c r="BS211">
        <f t="shared" si="390"/>
        <v>0</v>
      </c>
      <c r="BT211">
        <f t="shared" si="390"/>
        <v>0</v>
      </c>
      <c r="BU211">
        <f t="shared" si="390"/>
        <v>0</v>
      </c>
      <c r="BV211">
        <f t="shared" si="390"/>
        <v>0</v>
      </c>
      <c r="BW211">
        <f t="shared" si="390"/>
        <v>0</v>
      </c>
      <c r="BX211">
        <f t="shared" si="390"/>
        <v>0</v>
      </c>
      <c r="BY211">
        <f t="shared" si="390"/>
        <v>0</v>
      </c>
      <c r="BZ211">
        <f t="shared" si="390"/>
        <v>0</v>
      </c>
      <c r="CA211">
        <f t="shared" si="390"/>
        <v>0</v>
      </c>
      <c r="CB211">
        <f t="shared" si="390"/>
        <v>0</v>
      </c>
      <c r="CC211">
        <f t="shared" si="391"/>
        <v>0</v>
      </c>
      <c r="CD211">
        <f t="shared" si="391"/>
        <v>0</v>
      </c>
      <c r="CE211">
        <f t="shared" si="391"/>
        <v>0</v>
      </c>
      <c r="CF211">
        <f t="shared" si="391"/>
        <v>0</v>
      </c>
      <c r="CG211">
        <f t="shared" si="391"/>
        <v>0</v>
      </c>
      <c r="CH211">
        <f t="shared" si="391"/>
        <v>0</v>
      </c>
      <c r="CI211">
        <f t="shared" si="391"/>
        <v>0</v>
      </c>
      <c r="CJ211">
        <f t="shared" si="391"/>
        <v>0</v>
      </c>
      <c r="CK211">
        <f t="shared" si="391"/>
        <v>0</v>
      </c>
      <c r="CL211">
        <f t="shared" si="391"/>
        <v>0</v>
      </c>
      <c r="CM211">
        <f t="shared" si="392"/>
        <v>0</v>
      </c>
      <c r="CN211">
        <f t="shared" si="392"/>
        <v>0</v>
      </c>
      <c r="CO211">
        <f t="shared" si="392"/>
        <v>0</v>
      </c>
      <c r="CP211">
        <f t="shared" si="392"/>
        <v>0</v>
      </c>
      <c r="CQ211">
        <f t="shared" si="392"/>
        <v>0</v>
      </c>
      <c r="CR211">
        <f t="shared" si="392"/>
        <v>0</v>
      </c>
      <c r="CS211">
        <f t="shared" si="392"/>
        <v>0</v>
      </c>
      <c r="CT211">
        <f t="shared" si="392"/>
        <v>0</v>
      </c>
      <c r="CU211">
        <f t="shared" si="392"/>
        <v>0</v>
      </c>
      <c r="CV211">
        <f t="shared" si="392"/>
        <v>0</v>
      </c>
      <c r="CW211">
        <f t="shared" si="393"/>
        <v>0</v>
      </c>
      <c r="CX211">
        <f t="shared" si="393"/>
        <v>0</v>
      </c>
      <c r="CY211">
        <f t="shared" si="393"/>
        <v>0</v>
      </c>
      <c r="CZ211">
        <f t="shared" si="393"/>
        <v>0</v>
      </c>
      <c r="DA211">
        <f t="shared" si="393"/>
        <v>0</v>
      </c>
      <c r="DB211">
        <f t="shared" si="393"/>
        <v>0</v>
      </c>
      <c r="DC211">
        <f t="shared" si="393"/>
        <v>0</v>
      </c>
      <c r="DD211">
        <f t="shared" si="393"/>
        <v>0</v>
      </c>
      <c r="DE211">
        <f t="shared" si="393"/>
        <v>0</v>
      </c>
      <c r="DF211">
        <f t="shared" si="393"/>
        <v>0</v>
      </c>
      <c r="DG211">
        <f t="shared" si="394"/>
        <v>0</v>
      </c>
      <c r="DH211">
        <f t="shared" si="394"/>
        <v>0</v>
      </c>
      <c r="DI211">
        <f t="shared" si="394"/>
        <v>0</v>
      </c>
      <c r="DJ211">
        <f t="shared" si="394"/>
        <v>0</v>
      </c>
      <c r="DK211">
        <f t="shared" si="394"/>
        <v>0</v>
      </c>
      <c r="DL211">
        <f t="shared" si="394"/>
        <v>0</v>
      </c>
      <c r="DM211">
        <f t="shared" si="394"/>
        <v>0</v>
      </c>
      <c r="DN211">
        <f t="shared" si="394"/>
        <v>0</v>
      </c>
      <c r="DO211">
        <f t="shared" si="394"/>
        <v>0</v>
      </c>
      <c r="DP211">
        <f t="shared" si="394"/>
        <v>0</v>
      </c>
      <c r="DQ211">
        <f t="shared" si="395"/>
        <v>0</v>
      </c>
      <c r="DR211">
        <f t="shared" si="395"/>
        <v>0</v>
      </c>
      <c r="DS211">
        <f t="shared" si="395"/>
        <v>0</v>
      </c>
      <c r="DT211">
        <f t="shared" si="395"/>
        <v>0</v>
      </c>
      <c r="DU211">
        <f t="shared" si="395"/>
        <v>0</v>
      </c>
      <c r="DV211">
        <f t="shared" si="395"/>
        <v>0</v>
      </c>
      <c r="DW211">
        <f t="shared" si="395"/>
        <v>0</v>
      </c>
      <c r="DX211">
        <f t="shared" si="395"/>
        <v>0</v>
      </c>
      <c r="DY211">
        <f t="shared" si="395"/>
        <v>0</v>
      </c>
      <c r="DZ211">
        <f t="shared" si="395"/>
        <v>0</v>
      </c>
      <c r="EA211">
        <f t="shared" si="396"/>
        <v>0</v>
      </c>
      <c r="EB211">
        <f t="shared" si="396"/>
        <v>0</v>
      </c>
      <c r="EC211">
        <f t="shared" si="396"/>
        <v>0</v>
      </c>
      <c r="ED211">
        <f t="shared" si="396"/>
        <v>0</v>
      </c>
      <c r="EE211">
        <f t="shared" si="396"/>
        <v>0</v>
      </c>
      <c r="EF211">
        <f t="shared" si="396"/>
        <v>0</v>
      </c>
    </row>
    <row r="212" spans="1:136" ht="15.5">
      <c r="A212" s="90"/>
      <c r="B212" s="57" t="s">
        <v>18</v>
      </c>
      <c r="C212" s="94"/>
      <c r="D212" s="18">
        <v>0</v>
      </c>
      <c r="E212" s="18">
        <v>0</v>
      </c>
      <c r="F212" s="18">
        <v>0</v>
      </c>
      <c r="G212" s="18">
        <v>0</v>
      </c>
      <c r="H212" s="18">
        <v>0</v>
      </c>
      <c r="I212" s="18">
        <v>0</v>
      </c>
      <c r="J212" s="18">
        <v>0</v>
      </c>
      <c r="K212" s="18">
        <v>0</v>
      </c>
      <c r="L212" s="18">
        <v>0</v>
      </c>
      <c r="M212" s="18">
        <v>0</v>
      </c>
      <c r="N212" s="18">
        <v>0</v>
      </c>
      <c r="O212" s="18">
        <v>0</v>
      </c>
      <c r="P212" s="18">
        <v>0</v>
      </c>
      <c r="Q212" s="18">
        <v>0</v>
      </c>
      <c r="R212" s="18">
        <v>0</v>
      </c>
      <c r="S212" s="18">
        <v>0</v>
      </c>
      <c r="T212" s="18">
        <v>0</v>
      </c>
      <c r="U212" s="18">
        <v>0</v>
      </c>
      <c r="V212" s="18">
        <v>0</v>
      </c>
      <c r="W212" s="18">
        <v>0</v>
      </c>
      <c r="X212" s="18">
        <v>0</v>
      </c>
      <c r="Y212" s="18">
        <v>0</v>
      </c>
      <c r="Z212" s="18">
        <v>0</v>
      </c>
      <c r="AA212" s="18">
        <v>0</v>
      </c>
      <c r="AB212" s="18">
        <v>0</v>
      </c>
      <c r="AC212" s="18">
        <v>0</v>
      </c>
      <c r="AD212" s="18">
        <v>0</v>
      </c>
      <c r="AE212" s="18">
        <v>0</v>
      </c>
      <c r="AF212" s="18">
        <v>0</v>
      </c>
      <c r="AG212" s="18">
        <v>0</v>
      </c>
      <c r="AH212" s="18">
        <v>6472</v>
      </c>
      <c r="AI212" s="18">
        <v>7009</v>
      </c>
      <c r="AJ212" s="18">
        <v>7546</v>
      </c>
      <c r="AK212" s="18">
        <v>7910</v>
      </c>
      <c r="AL212" s="18">
        <v>7910</v>
      </c>
      <c r="AM212" s="18">
        <v>0</v>
      </c>
      <c r="AN212" s="18">
        <v>0</v>
      </c>
      <c r="AO212" s="18">
        <v>0</v>
      </c>
      <c r="AP212" s="18">
        <v>0</v>
      </c>
      <c r="AQ212" s="18">
        <v>0</v>
      </c>
      <c r="AR212" s="18">
        <v>0</v>
      </c>
      <c r="AS212" s="18">
        <v>0</v>
      </c>
      <c r="AT212" s="18">
        <v>0</v>
      </c>
      <c r="AU212" s="18">
        <v>0</v>
      </c>
      <c r="AV212" s="18">
        <v>0</v>
      </c>
      <c r="AW212" s="18">
        <v>0</v>
      </c>
      <c r="AX212" s="18">
        <v>0</v>
      </c>
      <c r="AY212" s="18">
        <v>0</v>
      </c>
      <c r="AZ212" s="18">
        <v>0</v>
      </c>
      <c r="BA212" s="18">
        <v>0</v>
      </c>
      <c r="BB212" s="18">
        <v>0</v>
      </c>
      <c r="BC212" s="18">
        <v>0</v>
      </c>
      <c r="BD212" s="18">
        <v>0</v>
      </c>
      <c r="BE212" s="25">
        <v>0</v>
      </c>
      <c r="BF212" s="18">
        <v>0</v>
      </c>
      <c r="BG212" s="18">
        <v>0</v>
      </c>
      <c r="BH212" s="18">
        <v>0</v>
      </c>
      <c r="BI212" s="18">
        <v>0</v>
      </c>
      <c r="BJ212" s="113">
        <v>0</v>
      </c>
      <c r="BK212" s="113">
        <v>0</v>
      </c>
      <c r="BL212" s="113">
        <v>0</v>
      </c>
      <c r="BM212" s="113">
        <v>0</v>
      </c>
      <c r="BN212" s="113">
        <v>0</v>
      </c>
      <c r="BO212" s="113">
        <v>0</v>
      </c>
      <c r="BP212" s="113">
        <v>0</v>
      </c>
      <c r="BQ212" s="113">
        <v>0</v>
      </c>
      <c r="BR212" s="101"/>
      <c r="BS212">
        <f t="shared" si="390"/>
        <v>0</v>
      </c>
      <c r="BT212">
        <f t="shared" si="390"/>
        <v>0</v>
      </c>
      <c r="BU212">
        <f t="shared" si="390"/>
        <v>0</v>
      </c>
      <c r="BV212">
        <f t="shared" si="390"/>
        <v>0</v>
      </c>
      <c r="BW212">
        <f t="shared" si="390"/>
        <v>0</v>
      </c>
      <c r="BX212">
        <f t="shared" si="390"/>
        <v>0</v>
      </c>
      <c r="BY212">
        <f t="shared" si="390"/>
        <v>0</v>
      </c>
      <c r="BZ212">
        <f t="shared" si="390"/>
        <v>0</v>
      </c>
      <c r="CA212">
        <f t="shared" si="390"/>
        <v>0</v>
      </c>
      <c r="CB212">
        <f t="shared" si="390"/>
        <v>0</v>
      </c>
      <c r="CC212">
        <f t="shared" si="391"/>
        <v>0</v>
      </c>
      <c r="CD212">
        <f t="shared" si="391"/>
        <v>0</v>
      </c>
      <c r="CE212">
        <f t="shared" si="391"/>
        <v>0</v>
      </c>
      <c r="CF212">
        <f t="shared" si="391"/>
        <v>0</v>
      </c>
      <c r="CG212">
        <f t="shared" si="391"/>
        <v>0</v>
      </c>
      <c r="CH212">
        <f t="shared" si="391"/>
        <v>0</v>
      </c>
      <c r="CI212">
        <f t="shared" si="391"/>
        <v>0</v>
      </c>
      <c r="CJ212">
        <f t="shared" si="391"/>
        <v>0</v>
      </c>
      <c r="CK212">
        <f t="shared" si="391"/>
        <v>0</v>
      </c>
      <c r="CL212">
        <f t="shared" si="391"/>
        <v>0</v>
      </c>
      <c r="CM212">
        <f t="shared" si="392"/>
        <v>0</v>
      </c>
      <c r="CN212">
        <f t="shared" si="392"/>
        <v>0</v>
      </c>
      <c r="CO212">
        <f t="shared" si="392"/>
        <v>0</v>
      </c>
      <c r="CP212">
        <f t="shared" si="392"/>
        <v>0</v>
      </c>
      <c r="CQ212">
        <f t="shared" si="392"/>
        <v>0</v>
      </c>
      <c r="CR212">
        <f t="shared" si="392"/>
        <v>0</v>
      </c>
      <c r="CS212">
        <f t="shared" si="392"/>
        <v>0</v>
      </c>
      <c r="CT212">
        <f t="shared" si="392"/>
        <v>0</v>
      </c>
      <c r="CU212">
        <f t="shared" si="392"/>
        <v>0</v>
      </c>
      <c r="CV212">
        <f t="shared" si="392"/>
        <v>0</v>
      </c>
      <c r="CW212">
        <f t="shared" si="393"/>
        <v>0</v>
      </c>
      <c r="CX212">
        <f t="shared" si="393"/>
        <v>0</v>
      </c>
      <c r="CY212">
        <f t="shared" si="393"/>
        <v>0</v>
      </c>
      <c r="CZ212">
        <f t="shared" si="393"/>
        <v>0</v>
      </c>
      <c r="DA212">
        <f t="shared" si="393"/>
        <v>0</v>
      </c>
      <c r="DB212">
        <f t="shared" si="393"/>
        <v>0</v>
      </c>
      <c r="DC212">
        <f t="shared" si="393"/>
        <v>0</v>
      </c>
      <c r="DD212">
        <f t="shared" si="393"/>
        <v>0</v>
      </c>
      <c r="DE212">
        <f t="shared" si="393"/>
        <v>0</v>
      </c>
      <c r="DF212">
        <f t="shared" si="393"/>
        <v>0</v>
      </c>
      <c r="DG212">
        <f t="shared" si="394"/>
        <v>0</v>
      </c>
      <c r="DH212">
        <f t="shared" si="394"/>
        <v>0</v>
      </c>
      <c r="DI212">
        <f t="shared" si="394"/>
        <v>0</v>
      </c>
      <c r="DJ212">
        <f t="shared" si="394"/>
        <v>0</v>
      </c>
      <c r="DK212">
        <f t="shared" si="394"/>
        <v>0</v>
      </c>
      <c r="DL212">
        <f t="shared" si="394"/>
        <v>0</v>
      </c>
      <c r="DM212">
        <f t="shared" si="394"/>
        <v>0</v>
      </c>
      <c r="DN212">
        <f t="shared" si="394"/>
        <v>0</v>
      </c>
      <c r="DO212">
        <f t="shared" si="394"/>
        <v>0</v>
      </c>
      <c r="DP212">
        <f t="shared" si="394"/>
        <v>0</v>
      </c>
      <c r="DQ212">
        <f t="shared" si="395"/>
        <v>0</v>
      </c>
      <c r="DR212">
        <f t="shared" si="395"/>
        <v>0</v>
      </c>
      <c r="DS212">
        <f t="shared" si="395"/>
        <v>0</v>
      </c>
      <c r="DT212">
        <f t="shared" si="395"/>
        <v>0</v>
      </c>
      <c r="DU212">
        <f t="shared" si="395"/>
        <v>0</v>
      </c>
      <c r="DV212">
        <f t="shared" si="395"/>
        <v>0</v>
      </c>
      <c r="DW212">
        <f t="shared" si="395"/>
        <v>0</v>
      </c>
      <c r="DX212">
        <f t="shared" si="395"/>
        <v>0</v>
      </c>
      <c r="DY212">
        <f t="shared" si="395"/>
        <v>0</v>
      </c>
      <c r="DZ212">
        <f t="shared" si="395"/>
        <v>0</v>
      </c>
      <c r="EA212">
        <f t="shared" si="396"/>
        <v>0</v>
      </c>
      <c r="EB212">
        <f t="shared" si="396"/>
        <v>0</v>
      </c>
      <c r="EC212">
        <f t="shared" si="396"/>
        <v>0</v>
      </c>
      <c r="ED212">
        <f t="shared" si="396"/>
        <v>0</v>
      </c>
      <c r="EE212">
        <f t="shared" si="396"/>
        <v>0</v>
      </c>
      <c r="EF212">
        <f t="shared" si="396"/>
        <v>0</v>
      </c>
    </row>
    <row r="213" spans="1:136" ht="15.5">
      <c r="A213" s="90"/>
      <c r="B213" s="57" t="s">
        <v>25</v>
      </c>
      <c r="C213" s="94"/>
      <c r="D213" s="18">
        <v>131.6891</v>
      </c>
      <c r="E213" s="18">
        <v>133.77590000000001</v>
      </c>
      <c r="F213" s="18">
        <v>135.86270000000002</v>
      </c>
      <c r="G213" s="18">
        <v>137.9495</v>
      </c>
      <c r="H213" s="18">
        <v>140.03630000000001</v>
      </c>
      <c r="I213" s="18">
        <v>142.12310000000002</v>
      </c>
      <c r="J213" s="18">
        <v>144.2099</v>
      </c>
      <c r="K213" s="18">
        <v>128.21710000000002</v>
      </c>
      <c r="L213" s="18">
        <v>130.07350000000002</v>
      </c>
      <c r="M213" s="18">
        <v>131.92990000000003</v>
      </c>
      <c r="N213" s="18">
        <v>133.31703000000005</v>
      </c>
      <c r="O213" s="18">
        <v>141.81809000000001</v>
      </c>
      <c r="P213" s="18">
        <v>134.61436</v>
      </c>
      <c r="Q213" s="18">
        <v>135.46310000000003</v>
      </c>
      <c r="R213" s="18">
        <v>137.76573000000002</v>
      </c>
      <c r="S213" s="18">
        <v>124.14164000000002</v>
      </c>
      <c r="T213" s="18">
        <v>108.64894000000001</v>
      </c>
      <c r="U213" s="18">
        <v>118.75365000000002</v>
      </c>
      <c r="V213" s="18">
        <v>127.50815000000003</v>
      </c>
      <c r="W213" s="18">
        <v>140.07170000000005</v>
      </c>
      <c r="X213" s="18">
        <v>123.81445000000004</v>
      </c>
      <c r="Y213" s="18">
        <v>101.19970000000002</v>
      </c>
      <c r="Z213" s="18">
        <v>87.219180000000023</v>
      </c>
      <c r="AA213" s="18">
        <v>77.813450000000017</v>
      </c>
      <c r="AB213" s="18">
        <v>65.439290000000014</v>
      </c>
      <c r="AC213" s="18">
        <v>80.016480000000016</v>
      </c>
      <c r="AD213" s="18">
        <v>80.845920000000021</v>
      </c>
      <c r="AE213" s="18">
        <v>103.79577</v>
      </c>
      <c r="AF213" s="18">
        <v>0</v>
      </c>
      <c r="AG213" s="18">
        <v>0</v>
      </c>
      <c r="AH213" s="18">
        <v>0</v>
      </c>
      <c r="AI213" s="18">
        <v>0</v>
      </c>
      <c r="AJ213" s="18">
        <v>0</v>
      </c>
      <c r="AK213" s="18">
        <v>0</v>
      </c>
      <c r="AL213" s="18">
        <v>0</v>
      </c>
      <c r="AM213" s="18">
        <v>0</v>
      </c>
      <c r="AN213" s="18">
        <v>0</v>
      </c>
      <c r="AO213" s="18">
        <v>0</v>
      </c>
      <c r="AP213" s="18">
        <v>0</v>
      </c>
      <c r="AQ213" s="18">
        <v>0</v>
      </c>
      <c r="AR213" s="18">
        <v>0</v>
      </c>
      <c r="AS213" s="18">
        <v>0</v>
      </c>
      <c r="AT213" s="18">
        <v>0</v>
      </c>
      <c r="AU213" s="18">
        <v>0</v>
      </c>
      <c r="AV213" s="18">
        <v>0</v>
      </c>
      <c r="AW213" s="18">
        <v>0</v>
      </c>
      <c r="AX213" s="18">
        <v>0</v>
      </c>
      <c r="AY213" s="18">
        <v>0</v>
      </c>
      <c r="AZ213" s="18">
        <v>0</v>
      </c>
      <c r="BA213" s="18">
        <v>0</v>
      </c>
      <c r="BB213" s="18">
        <v>0</v>
      </c>
      <c r="BC213" s="18">
        <v>0</v>
      </c>
      <c r="BD213" s="18">
        <v>0</v>
      </c>
      <c r="BE213" s="18">
        <v>0</v>
      </c>
      <c r="BF213" s="18">
        <v>0</v>
      </c>
      <c r="BG213" s="18">
        <v>0</v>
      </c>
      <c r="BH213" s="18">
        <v>0</v>
      </c>
      <c r="BI213" s="18">
        <v>0</v>
      </c>
      <c r="BJ213" s="113">
        <v>0</v>
      </c>
      <c r="BK213" s="113">
        <v>0</v>
      </c>
      <c r="BL213" s="113">
        <v>0</v>
      </c>
      <c r="BM213" s="113">
        <v>0</v>
      </c>
      <c r="BN213" s="113">
        <v>0</v>
      </c>
      <c r="BO213" s="113">
        <v>0</v>
      </c>
      <c r="BP213" s="113">
        <v>0</v>
      </c>
      <c r="BQ213" s="113">
        <v>0</v>
      </c>
      <c r="BR213" s="101"/>
      <c r="BS213">
        <f t="shared" si="390"/>
        <v>0</v>
      </c>
      <c r="BT213">
        <f t="shared" si="390"/>
        <v>0</v>
      </c>
      <c r="BU213">
        <f t="shared" si="390"/>
        <v>0</v>
      </c>
      <c r="BV213">
        <f t="shared" si="390"/>
        <v>0</v>
      </c>
      <c r="BW213">
        <f t="shared" si="390"/>
        <v>0</v>
      </c>
      <c r="BX213">
        <f t="shared" si="390"/>
        <v>0</v>
      </c>
      <c r="BY213">
        <f t="shared" si="390"/>
        <v>0</v>
      </c>
      <c r="BZ213">
        <f t="shared" si="390"/>
        <v>0</v>
      </c>
      <c r="CA213">
        <f t="shared" si="390"/>
        <v>0</v>
      </c>
      <c r="CB213">
        <f t="shared" si="390"/>
        <v>0</v>
      </c>
      <c r="CC213">
        <f t="shared" si="391"/>
        <v>0</v>
      </c>
      <c r="CD213">
        <f t="shared" si="391"/>
        <v>0</v>
      </c>
      <c r="CE213">
        <f t="shared" si="391"/>
        <v>0</v>
      </c>
      <c r="CF213">
        <f t="shared" si="391"/>
        <v>0</v>
      </c>
      <c r="CG213">
        <f t="shared" si="391"/>
        <v>0</v>
      </c>
      <c r="CH213">
        <f t="shared" si="391"/>
        <v>0</v>
      </c>
      <c r="CI213">
        <f t="shared" si="391"/>
        <v>0</v>
      </c>
      <c r="CJ213">
        <f t="shared" si="391"/>
        <v>0</v>
      </c>
      <c r="CK213">
        <f t="shared" si="391"/>
        <v>0</v>
      </c>
      <c r="CL213">
        <f t="shared" si="391"/>
        <v>0</v>
      </c>
      <c r="CM213">
        <f t="shared" si="392"/>
        <v>0</v>
      </c>
      <c r="CN213">
        <f t="shared" si="392"/>
        <v>0</v>
      </c>
      <c r="CO213">
        <f t="shared" si="392"/>
        <v>0</v>
      </c>
      <c r="CP213">
        <f t="shared" si="392"/>
        <v>0</v>
      </c>
      <c r="CQ213">
        <f t="shared" si="392"/>
        <v>0</v>
      </c>
      <c r="CR213">
        <f t="shared" si="392"/>
        <v>0</v>
      </c>
      <c r="CS213">
        <f t="shared" si="392"/>
        <v>0</v>
      </c>
      <c r="CT213">
        <f t="shared" si="392"/>
        <v>0</v>
      </c>
      <c r="CU213">
        <f t="shared" si="392"/>
        <v>0</v>
      </c>
      <c r="CV213">
        <f t="shared" si="392"/>
        <v>0</v>
      </c>
      <c r="CW213">
        <f t="shared" si="393"/>
        <v>0</v>
      </c>
      <c r="CX213">
        <f t="shared" si="393"/>
        <v>0</v>
      </c>
      <c r="CY213">
        <f t="shared" si="393"/>
        <v>0</v>
      </c>
      <c r="CZ213">
        <f t="shared" si="393"/>
        <v>0</v>
      </c>
      <c r="DA213">
        <f t="shared" si="393"/>
        <v>0</v>
      </c>
      <c r="DB213">
        <f t="shared" si="393"/>
        <v>0</v>
      </c>
      <c r="DC213">
        <f t="shared" si="393"/>
        <v>0</v>
      </c>
      <c r="DD213">
        <f t="shared" si="393"/>
        <v>0</v>
      </c>
      <c r="DE213">
        <f t="shared" si="393"/>
        <v>0</v>
      </c>
      <c r="DF213">
        <f t="shared" si="393"/>
        <v>0</v>
      </c>
      <c r="DG213">
        <f t="shared" si="394"/>
        <v>0</v>
      </c>
      <c r="DH213">
        <f t="shared" si="394"/>
        <v>0</v>
      </c>
      <c r="DI213">
        <f t="shared" si="394"/>
        <v>0</v>
      </c>
      <c r="DJ213">
        <f t="shared" si="394"/>
        <v>0</v>
      </c>
      <c r="DK213">
        <f t="shared" si="394"/>
        <v>0</v>
      </c>
      <c r="DL213">
        <f t="shared" si="394"/>
        <v>0</v>
      </c>
      <c r="DM213">
        <f t="shared" si="394"/>
        <v>0</v>
      </c>
      <c r="DN213">
        <f t="shared" si="394"/>
        <v>0</v>
      </c>
      <c r="DO213">
        <f t="shared" si="394"/>
        <v>0</v>
      </c>
      <c r="DP213">
        <f t="shared" si="394"/>
        <v>0</v>
      </c>
      <c r="DQ213">
        <f t="shared" si="395"/>
        <v>0</v>
      </c>
      <c r="DR213">
        <f t="shared" si="395"/>
        <v>0</v>
      </c>
      <c r="DS213">
        <f t="shared" si="395"/>
        <v>0</v>
      </c>
      <c r="DT213">
        <f t="shared" si="395"/>
        <v>0</v>
      </c>
      <c r="DU213">
        <f t="shared" si="395"/>
        <v>0</v>
      </c>
      <c r="DV213">
        <f t="shared" si="395"/>
        <v>0</v>
      </c>
      <c r="DW213">
        <f t="shared" si="395"/>
        <v>0</v>
      </c>
      <c r="DX213">
        <f t="shared" si="395"/>
        <v>0</v>
      </c>
      <c r="DY213">
        <f t="shared" si="395"/>
        <v>0</v>
      </c>
      <c r="DZ213">
        <f t="shared" si="395"/>
        <v>0</v>
      </c>
      <c r="EA213">
        <f t="shared" si="396"/>
        <v>0</v>
      </c>
      <c r="EB213">
        <f t="shared" si="396"/>
        <v>0</v>
      </c>
      <c r="EC213">
        <f t="shared" si="396"/>
        <v>0</v>
      </c>
      <c r="ED213">
        <f t="shared" si="396"/>
        <v>0</v>
      </c>
      <c r="EE213">
        <f t="shared" si="396"/>
        <v>0</v>
      </c>
      <c r="EF213">
        <f t="shared" si="396"/>
        <v>0</v>
      </c>
    </row>
    <row r="214" spans="1:136" ht="15.5">
      <c r="A214" s="90"/>
      <c r="B214" s="19" t="s">
        <v>208</v>
      </c>
      <c r="C214" s="94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>
        <v>3.0572241</v>
      </c>
      <c r="AH214" s="40" t="s">
        <v>22</v>
      </c>
      <c r="AI214" s="40" t="s">
        <v>22</v>
      </c>
      <c r="AJ214" s="40" t="s">
        <v>22</v>
      </c>
      <c r="AK214" s="40" t="s">
        <v>22</v>
      </c>
      <c r="AL214" s="40" t="s">
        <v>22</v>
      </c>
      <c r="AM214" s="18">
        <v>275.02121060000002</v>
      </c>
      <c r="AN214" s="18">
        <v>175.52561539999999</v>
      </c>
      <c r="AO214" s="18">
        <v>474.09699999999998</v>
      </c>
      <c r="AP214" s="18">
        <v>236.01300000000001</v>
      </c>
      <c r="AQ214" s="18">
        <v>185.15899999999999</v>
      </c>
      <c r="AR214" s="18">
        <v>6.53</v>
      </c>
      <c r="AS214" s="18">
        <v>24.626000000000001</v>
      </c>
      <c r="AT214" s="18">
        <v>15.792999999999999</v>
      </c>
      <c r="AU214" s="18">
        <v>0</v>
      </c>
      <c r="AV214" s="18">
        <v>38.6</v>
      </c>
      <c r="AW214" s="18">
        <v>0</v>
      </c>
      <c r="AX214" s="18">
        <v>0</v>
      </c>
      <c r="AY214" s="18">
        <v>0</v>
      </c>
      <c r="AZ214" s="18">
        <v>0</v>
      </c>
      <c r="BA214" s="18">
        <v>0</v>
      </c>
      <c r="BB214" s="18">
        <v>0</v>
      </c>
      <c r="BC214" s="18">
        <v>0</v>
      </c>
      <c r="BD214" s="18">
        <v>0</v>
      </c>
      <c r="BE214" s="25">
        <v>0</v>
      </c>
      <c r="BF214" s="18">
        <v>0</v>
      </c>
      <c r="BG214" s="18">
        <v>0</v>
      </c>
      <c r="BH214" s="18">
        <v>0</v>
      </c>
      <c r="BI214" s="18">
        <v>0</v>
      </c>
      <c r="BJ214" s="113">
        <v>0</v>
      </c>
      <c r="BK214" s="113">
        <v>0</v>
      </c>
      <c r="BL214" s="113">
        <v>0</v>
      </c>
      <c r="BM214" s="113">
        <v>0</v>
      </c>
      <c r="BN214" s="113">
        <v>0</v>
      </c>
      <c r="BO214" s="113">
        <v>0</v>
      </c>
      <c r="BP214" s="113">
        <v>0</v>
      </c>
      <c r="BQ214" s="113">
        <v>0</v>
      </c>
      <c r="BR214" s="101"/>
      <c r="BS214">
        <f t="shared" si="390"/>
        <v>0</v>
      </c>
      <c r="BT214">
        <f t="shared" si="390"/>
        <v>0</v>
      </c>
      <c r="BU214">
        <f t="shared" si="390"/>
        <v>0</v>
      </c>
      <c r="BV214">
        <f t="shared" si="390"/>
        <v>0</v>
      </c>
      <c r="BW214">
        <f t="shared" si="390"/>
        <v>0</v>
      </c>
      <c r="BX214">
        <f t="shared" si="390"/>
        <v>0</v>
      </c>
      <c r="BY214">
        <f t="shared" si="390"/>
        <v>0</v>
      </c>
      <c r="BZ214">
        <f t="shared" si="390"/>
        <v>0</v>
      </c>
      <c r="CA214">
        <f t="shared" si="390"/>
        <v>0</v>
      </c>
      <c r="CB214">
        <f t="shared" si="390"/>
        <v>0</v>
      </c>
      <c r="CC214">
        <f t="shared" si="391"/>
        <v>0</v>
      </c>
      <c r="CD214">
        <f t="shared" si="391"/>
        <v>0</v>
      </c>
      <c r="CE214">
        <f t="shared" si="391"/>
        <v>0</v>
      </c>
      <c r="CF214">
        <f t="shared" si="391"/>
        <v>0</v>
      </c>
      <c r="CG214">
        <f t="shared" si="391"/>
        <v>0</v>
      </c>
      <c r="CH214">
        <f t="shared" si="391"/>
        <v>0</v>
      </c>
      <c r="CI214">
        <f t="shared" si="391"/>
        <v>0</v>
      </c>
      <c r="CJ214">
        <f t="shared" si="391"/>
        <v>0</v>
      </c>
      <c r="CK214">
        <f t="shared" si="391"/>
        <v>0</v>
      </c>
      <c r="CL214">
        <f t="shared" si="391"/>
        <v>0</v>
      </c>
      <c r="CM214">
        <f t="shared" si="392"/>
        <v>0</v>
      </c>
      <c r="CN214">
        <f t="shared" si="392"/>
        <v>0</v>
      </c>
      <c r="CO214">
        <f t="shared" si="392"/>
        <v>0</v>
      </c>
      <c r="CP214">
        <f t="shared" si="392"/>
        <v>0</v>
      </c>
      <c r="CQ214">
        <f t="shared" si="392"/>
        <v>0</v>
      </c>
      <c r="CR214">
        <f t="shared" si="392"/>
        <v>0</v>
      </c>
      <c r="CS214">
        <f t="shared" si="392"/>
        <v>0</v>
      </c>
      <c r="CT214">
        <f t="shared" si="392"/>
        <v>0</v>
      </c>
      <c r="CU214">
        <f t="shared" si="392"/>
        <v>0</v>
      </c>
      <c r="CV214">
        <f t="shared" si="392"/>
        <v>0</v>
      </c>
      <c r="CW214">
        <f t="shared" si="393"/>
        <v>0</v>
      </c>
      <c r="CX214">
        <f t="shared" si="393"/>
        <v>0</v>
      </c>
      <c r="CY214">
        <f t="shared" si="393"/>
        <v>0</v>
      </c>
      <c r="CZ214">
        <f t="shared" si="393"/>
        <v>0</v>
      </c>
      <c r="DA214">
        <f t="shared" si="393"/>
        <v>0</v>
      </c>
      <c r="DB214">
        <f t="shared" si="393"/>
        <v>0</v>
      </c>
      <c r="DC214">
        <f t="shared" si="393"/>
        <v>0</v>
      </c>
      <c r="DD214">
        <f t="shared" si="393"/>
        <v>0</v>
      </c>
      <c r="DE214">
        <f t="shared" si="393"/>
        <v>0</v>
      </c>
      <c r="DF214">
        <f t="shared" si="393"/>
        <v>0</v>
      </c>
      <c r="DG214">
        <f t="shared" si="394"/>
        <v>0</v>
      </c>
      <c r="DH214">
        <f t="shared" si="394"/>
        <v>0</v>
      </c>
      <c r="DI214">
        <f t="shared" si="394"/>
        <v>0</v>
      </c>
      <c r="DJ214">
        <f t="shared" si="394"/>
        <v>0</v>
      </c>
      <c r="DK214">
        <f t="shared" si="394"/>
        <v>0</v>
      </c>
      <c r="DL214">
        <f t="shared" si="394"/>
        <v>0</v>
      </c>
      <c r="DM214">
        <f t="shared" si="394"/>
        <v>0</v>
      </c>
      <c r="DN214">
        <f t="shared" si="394"/>
        <v>0</v>
      </c>
      <c r="DO214">
        <f t="shared" si="394"/>
        <v>0</v>
      </c>
      <c r="DP214">
        <f t="shared" si="394"/>
        <v>0</v>
      </c>
      <c r="DQ214">
        <f t="shared" si="395"/>
        <v>0</v>
      </c>
      <c r="DR214">
        <f t="shared" si="395"/>
        <v>0</v>
      </c>
      <c r="DS214">
        <f t="shared" si="395"/>
        <v>0</v>
      </c>
      <c r="DT214">
        <f t="shared" si="395"/>
        <v>0</v>
      </c>
      <c r="DU214">
        <f t="shared" si="395"/>
        <v>0</v>
      </c>
      <c r="DV214">
        <f t="shared" si="395"/>
        <v>0</v>
      </c>
      <c r="DW214">
        <f t="shared" si="395"/>
        <v>0</v>
      </c>
      <c r="DX214">
        <f t="shared" si="395"/>
        <v>0</v>
      </c>
      <c r="DY214">
        <f t="shared" si="395"/>
        <v>0</v>
      </c>
      <c r="DZ214">
        <f t="shared" si="395"/>
        <v>0</v>
      </c>
      <c r="EA214">
        <f t="shared" si="396"/>
        <v>0</v>
      </c>
      <c r="EB214">
        <f t="shared" si="396"/>
        <v>0</v>
      </c>
      <c r="EC214">
        <f t="shared" si="396"/>
        <v>0</v>
      </c>
      <c r="ED214">
        <f t="shared" si="396"/>
        <v>0</v>
      </c>
      <c r="EE214">
        <f t="shared" si="396"/>
        <v>0</v>
      </c>
      <c r="EF214">
        <f t="shared" si="396"/>
        <v>0</v>
      </c>
    </row>
    <row r="215" spans="1:136" ht="15.5">
      <c r="A215" s="90"/>
      <c r="B215" s="19" t="s">
        <v>212</v>
      </c>
      <c r="C215" s="94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>
        <v>0</v>
      </c>
      <c r="AI215" s="18">
        <v>0</v>
      </c>
      <c r="AJ215" s="18">
        <v>0</v>
      </c>
      <c r="AK215" s="18">
        <v>0</v>
      </c>
      <c r="AL215" s="18">
        <v>0</v>
      </c>
      <c r="AM215" s="18">
        <v>0</v>
      </c>
      <c r="AN215" s="18">
        <f>(0.05*1660000)/487.4</f>
        <v>170.29134181370537</v>
      </c>
      <c r="AO215" s="18">
        <v>0</v>
      </c>
      <c r="AP215" s="18">
        <v>0</v>
      </c>
      <c r="AQ215" s="18">
        <v>0</v>
      </c>
      <c r="AR215" s="18">
        <f>0.015*12605</f>
        <v>189.07499999999999</v>
      </c>
      <c r="AS215" s="18">
        <f>0.015*13553</f>
        <v>203.29499999999999</v>
      </c>
      <c r="AT215" s="18">
        <v>0</v>
      </c>
      <c r="AU215" s="18">
        <f>97/1.7327</f>
        <v>55.981993420672943</v>
      </c>
      <c r="AV215" s="18">
        <v>6.4</v>
      </c>
      <c r="AW215" s="18">
        <v>4.8</v>
      </c>
      <c r="AX215" s="18">
        <v>0</v>
      </c>
      <c r="AY215" s="18">
        <v>0</v>
      </c>
      <c r="AZ215" s="18">
        <v>0</v>
      </c>
      <c r="BA215" s="18">
        <f>(0.013*66256)/1.4</f>
        <v>615.23428571428576</v>
      </c>
      <c r="BB215" s="18">
        <v>496</v>
      </c>
      <c r="BC215" s="18">
        <f>0.005*75265</f>
        <v>376.32499999999999</v>
      </c>
      <c r="BD215" s="18">
        <v>0</v>
      </c>
      <c r="BE215" s="25">
        <v>0</v>
      </c>
      <c r="BF215" s="18">
        <v>0</v>
      </c>
      <c r="BG215" s="18">
        <v>0</v>
      </c>
      <c r="BH215" s="18">
        <v>0</v>
      </c>
      <c r="BI215" s="18">
        <v>0</v>
      </c>
      <c r="BJ215" s="113">
        <v>0</v>
      </c>
      <c r="BK215" s="113">
        <v>0</v>
      </c>
      <c r="BL215" s="113">
        <v>0</v>
      </c>
      <c r="BM215" s="113">
        <v>0</v>
      </c>
      <c r="BN215" s="113">
        <v>0</v>
      </c>
      <c r="BO215" s="113">
        <v>0</v>
      </c>
      <c r="BP215" s="113">
        <v>0</v>
      </c>
      <c r="BQ215" s="113">
        <v>0</v>
      </c>
      <c r="BR215" s="101"/>
      <c r="BS215">
        <f t="shared" si="390"/>
        <v>0</v>
      </c>
      <c r="BT215">
        <f t="shared" si="390"/>
        <v>0</v>
      </c>
      <c r="BU215">
        <f t="shared" si="390"/>
        <v>0</v>
      </c>
      <c r="BV215">
        <f t="shared" si="390"/>
        <v>0</v>
      </c>
      <c r="BW215">
        <f t="shared" si="390"/>
        <v>0</v>
      </c>
      <c r="BX215">
        <f t="shared" si="390"/>
        <v>0</v>
      </c>
      <c r="BY215">
        <f t="shared" si="390"/>
        <v>0</v>
      </c>
      <c r="BZ215">
        <f t="shared" si="390"/>
        <v>0</v>
      </c>
      <c r="CA215">
        <f t="shared" si="390"/>
        <v>0</v>
      </c>
      <c r="CB215">
        <f t="shared" si="390"/>
        <v>0</v>
      </c>
      <c r="CC215">
        <f t="shared" si="391"/>
        <v>0</v>
      </c>
      <c r="CD215">
        <f t="shared" si="391"/>
        <v>0</v>
      </c>
      <c r="CE215">
        <f t="shared" si="391"/>
        <v>0</v>
      </c>
      <c r="CF215">
        <f t="shared" si="391"/>
        <v>0</v>
      </c>
      <c r="CG215">
        <f t="shared" si="391"/>
        <v>0</v>
      </c>
      <c r="CH215">
        <f t="shared" si="391"/>
        <v>0</v>
      </c>
      <c r="CI215">
        <f t="shared" si="391"/>
        <v>0</v>
      </c>
      <c r="CJ215">
        <f t="shared" si="391"/>
        <v>0</v>
      </c>
      <c r="CK215">
        <f t="shared" si="391"/>
        <v>0</v>
      </c>
      <c r="CL215">
        <f t="shared" si="391"/>
        <v>0</v>
      </c>
      <c r="CM215">
        <f t="shared" si="392"/>
        <v>0</v>
      </c>
      <c r="CN215">
        <f t="shared" si="392"/>
        <v>0</v>
      </c>
      <c r="CO215">
        <f t="shared" si="392"/>
        <v>0</v>
      </c>
      <c r="CP215">
        <f t="shared" si="392"/>
        <v>0</v>
      </c>
      <c r="CQ215">
        <f t="shared" si="392"/>
        <v>0</v>
      </c>
      <c r="CR215">
        <f t="shared" si="392"/>
        <v>0</v>
      </c>
      <c r="CS215">
        <f t="shared" si="392"/>
        <v>0</v>
      </c>
      <c r="CT215">
        <f t="shared" si="392"/>
        <v>0</v>
      </c>
      <c r="CU215">
        <f t="shared" si="392"/>
        <v>0</v>
      </c>
      <c r="CV215">
        <f t="shared" si="392"/>
        <v>0</v>
      </c>
      <c r="CW215">
        <f t="shared" si="393"/>
        <v>0</v>
      </c>
      <c r="CX215">
        <f t="shared" si="393"/>
        <v>0</v>
      </c>
      <c r="CY215">
        <f t="shared" si="393"/>
        <v>0</v>
      </c>
      <c r="CZ215">
        <f t="shared" si="393"/>
        <v>0</v>
      </c>
      <c r="DA215">
        <f t="shared" si="393"/>
        <v>0</v>
      </c>
      <c r="DB215">
        <f t="shared" si="393"/>
        <v>0</v>
      </c>
      <c r="DC215">
        <f t="shared" si="393"/>
        <v>0</v>
      </c>
      <c r="DD215">
        <f t="shared" si="393"/>
        <v>0</v>
      </c>
      <c r="DE215">
        <f t="shared" si="393"/>
        <v>0</v>
      </c>
      <c r="DF215">
        <f t="shared" si="393"/>
        <v>0</v>
      </c>
      <c r="DG215">
        <f t="shared" si="394"/>
        <v>0</v>
      </c>
      <c r="DH215">
        <f t="shared" si="394"/>
        <v>0</v>
      </c>
      <c r="DI215">
        <f t="shared" si="394"/>
        <v>0</v>
      </c>
      <c r="DJ215">
        <f t="shared" si="394"/>
        <v>0</v>
      </c>
      <c r="DK215">
        <f t="shared" si="394"/>
        <v>0</v>
      </c>
      <c r="DL215">
        <f t="shared" si="394"/>
        <v>0</v>
      </c>
      <c r="DM215">
        <f t="shared" si="394"/>
        <v>0</v>
      </c>
      <c r="DN215">
        <f t="shared" si="394"/>
        <v>0</v>
      </c>
      <c r="DO215">
        <f t="shared" si="394"/>
        <v>0</v>
      </c>
      <c r="DP215">
        <f t="shared" si="394"/>
        <v>0</v>
      </c>
      <c r="DQ215">
        <f t="shared" si="395"/>
        <v>0</v>
      </c>
      <c r="DR215">
        <f t="shared" si="395"/>
        <v>0</v>
      </c>
      <c r="DS215">
        <f t="shared" si="395"/>
        <v>0</v>
      </c>
      <c r="DT215">
        <f t="shared" si="395"/>
        <v>0</v>
      </c>
      <c r="DU215">
        <f t="shared" si="395"/>
        <v>0</v>
      </c>
      <c r="DV215">
        <f t="shared" si="395"/>
        <v>0</v>
      </c>
      <c r="DW215">
        <f t="shared" si="395"/>
        <v>0</v>
      </c>
      <c r="DX215">
        <f t="shared" si="395"/>
        <v>0</v>
      </c>
      <c r="DY215">
        <f t="shared" si="395"/>
        <v>0</v>
      </c>
      <c r="DZ215">
        <f t="shared" si="395"/>
        <v>0</v>
      </c>
      <c r="EA215">
        <f t="shared" ref="EA215:EF215" si="397">IF($C215&lt;&gt;"",IF(BL215&gt;0,1,0),0)</f>
        <v>0</v>
      </c>
      <c r="EB215">
        <f t="shared" si="397"/>
        <v>0</v>
      </c>
      <c r="EC215">
        <f t="shared" si="397"/>
        <v>0</v>
      </c>
      <c r="ED215">
        <f t="shared" si="397"/>
        <v>0</v>
      </c>
      <c r="EE215">
        <f t="shared" si="397"/>
        <v>0</v>
      </c>
      <c r="EF215">
        <f t="shared" si="397"/>
        <v>0</v>
      </c>
    </row>
    <row r="216" spans="1:136" ht="15.5">
      <c r="A216" s="90"/>
      <c r="B216" s="57"/>
      <c r="C216" s="94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E216" s="18"/>
      <c r="BF216" s="18"/>
      <c r="BG216" s="18"/>
      <c r="BH216" s="2"/>
      <c r="BI216" s="2"/>
      <c r="BJ216" s="2"/>
      <c r="BK216" s="2"/>
      <c r="BL216" s="39"/>
      <c r="BM216" s="2"/>
      <c r="BN216" s="2"/>
      <c r="BO216" s="2"/>
      <c r="BP216" s="2"/>
      <c r="BQ216" s="2"/>
      <c r="BR216" s="101"/>
    </row>
    <row r="217" spans="1:136" ht="15.5">
      <c r="A217" s="93">
        <v>23</v>
      </c>
      <c r="B217" s="32" t="s">
        <v>39</v>
      </c>
      <c r="C217" s="94">
        <v>4</v>
      </c>
      <c r="D217" s="39">
        <f t="shared" ref="D217:AI217" si="398">SUM(D218:D221)</f>
        <v>0</v>
      </c>
      <c r="E217" s="39">
        <f t="shared" si="398"/>
        <v>0</v>
      </c>
      <c r="F217" s="39">
        <f t="shared" si="398"/>
        <v>0</v>
      </c>
      <c r="G217" s="39">
        <f t="shared" si="398"/>
        <v>0</v>
      </c>
      <c r="H217" s="39">
        <f t="shared" si="398"/>
        <v>0</v>
      </c>
      <c r="I217" s="39">
        <f t="shared" si="398"/>
        <v>0</v>
      </c>
      <c r="J217" s="39">
        <f t="shared" si="398"/>
        <v>0</v>
      </c>
      <c r="K217" s="39">
        <f t="shared" si="398"/>
        <v>0</v>
      </c>
      <c r="L217" s="39">
        <f t="shared" si="398"/>
        <v>0</v>
      </c>
      <c r="M217" s="39">
        <f t="shared" si="398"/>
        <v>0</v>
      </c>
      <c r="N217" s="39">
        <f t="shared" si="398"/>
        <v>0</v>
      </c>
      <c r="O217" s="39">
        <f t="shared" si="398"/>
        <v>0</v>
      </c>
      <c r="P217" s="39">
        <f t="shared" si="398"/>
        <v>0</v>
      </c>
      <c r="Q217" s="39">
        <f t="shared" si="398"/>
        <v>0</v>
      </c>
      <c r="R217" s="39">
        <f t="shared" si="398"/>
        <v>0</v>
      </c>
      <c r="S217" s="39">
        <f t="shared" si="398"/>
        <v>0</v>
      </c>
      <c r="T217" s="39">
        <f t="shared" si="398"/>
        <v>0</v>
      </c>
      <c r="U217" s="39">
        <f t="shared" si="398"/>
        <v>0</v>
      </c>
      <c r="V217" s="39">
        <f t="shared" si="398"/>
        <v>0.01</v>
      </c>
      <c r="W217" s="39">
        <f t="shared" si="398"/>
        <v>0.05</v>
      </c>
      <c r="X217" s="39">
        <f t="shared" si="398"/>
        <v>0.25</v>
      </c>
      <c r="Y217" s="39">
        <f t="shared" si="398"/>
        <v>0.24</v>
      </c>
      <c r="Z217" s="39">
        <f t="shared" si="398"/>
        <v>1.1299999999999999</v>
      </c>
      <c r="AA217" s="39">
        <f t="shared" si="398"/>
        <v>0.99</v>
      </c>
      <c r="AB217" s="39">
        <f t="shared" si="398"/>
        <v>7.2700000000000005</v>
      </c>
      <c r="AC217" s="39">
        <f t="shared" si="398"/>
        <v>12.330000000000002</v>
      </c>
      <c r="AD217" s="39">
        <f t="shared" si="398"/>
        <v>30.97</v>
      </c>
      <c r="AE217" s="39">
        <f t="shared" si="398"/>
        <v>51.93</v>
      </c>
      <c r="AF217" s="39">
        <f t="shared" si="398"/>
        <v>61.019999999999996</v>
      </c>
      <c r="AG217" s="39">
        <f t="shared" si="398"/>
        <v>255.91</v>
      </c>
      <c r="AH217" s="39">
        <f t="shared" si="398"/>
        <v>90.52</v>
      </c>
      <c r="AI217" s="39">
        <f t="shared" si="398"/>
        <v>129.297</v>
      </c>
      <c r="AJ217" s="39">
        <f t="shared" ref="AJ217:BO217" si="399">SUM(AJ218:AJ221)</f>
        <v>52.437999999999995</v>
      </c>
      <c r="AK217" s="39">
        <f t="shared" si="399"/>
        <v>55.594000000000001</v>
      </c>
      <c r="AL217" s="39">
        <f t="shared" si="399"/>
        <v>171.26460539999999</v>
      </c>
      <c r="AM217" s="39">
        <f t="shared" si="399"/>
        <v>63.938000000000002</v>
      </c>
      <c r="AN217" s="39">
        <f t="shared" si="399"/>
        <v>77.633780899999991</v>
      </c>
      <c r="AO217" s="39">
        <f t="shared" si="399"/>
        <v>40.837000000000003</v>
      </c>
      <c r="AP217" s="39">
        <f t="shared" si="399"/>
        <v>47.256999999999998</v>
      </c>
      <c r="AQ217" s="39">
        <f t="shared" si="399"/>
        <v>44.012999999999998</v>
      </c>
      <c r="AR217" s="39">
        <f t="shared" si="399"/>
        <v>184.7</v>
      </c>
      <c r="AS217" s="39">
        <f t="shared" si="399"/>
        <v>68.40100000000001</v>
      </c>
      <c r="AT217" s="39">
        <f t="shared" si="399"/>
        <v>101.7</v>
      </c>
      <c r="AU217" s="39">
        <f t="shared" si="399"/>
        <v>81.075000000000003</v>
      </c>
      <c r="AV217" s="39">
        <f t="shared" si="399"/>
        <v>181.387</v>
      </c>
      <c r="AW217" s="39">
        <f t="shared" si="399"/>
        <v>94.111999999999995</v>
      </c>
      <c r="AX217" s="39">
        <f t="shared" si="399"/>
        <v>1327.7173763000001</v>
      </c>
      <c r="AY217" s="39">
        <f t="shared" si="399"/>
        <v>38.108241</v>
      </c>
      <c r="AZ217" s="39">
        <f t="shared" si="399"/>
        <v>40.627403999999999</v>
      </c>
      <c r="BA217" s="39">
        <f t="shared" si="399"/>
        <v>36.381122400000002</v>
      </c>
      <c r="BB217" s="39">
        <f t="shared" si="399"/>
        <v>40.268290999999998</v>
      </c>
      <c r="BC217" s="39">
        <f t="shared" si="399"/>
        <v>34.237127700000002</v>
      </c>
      <c r="BD217" s="39">
        <f t="shared" si="399"/>
        <v>34.3367474</v>
      </c>
      <c r="BE217" s="39">
        <f t="shared" si="399"/>
        <v>35.176604699999999</v>
      </c>
      <c r="BF217" s="39">
        <f t="shared" si="399"/>
        <v>35.096318799999999</v>
      </c>
      <c r="BG217" s="39">
        <f t="shared" si="399"/>
        <v>34.625872700000002</v>
      </c>
      <c r="BH217" s="39">
        <f t="shared" si="399"/>
        <v>79.814487</v>
      </c>
      <c r="BI217" s="39">
        <f t="shared" si="399"/>
        <v>87.335231199999996</v>
      </c>
      <c r="BJ217" s="39">
        <f t="shared" si="399"/>
        <v>85.590488199999996</v>
      </c>
      <c r="BK217" s="39">
        <f t="shared" si="399"/>
        <v>82.590488199999996</v>
      </c>
      <c r="BL217" s="39">
        <f t="shared" si="399"/>
        <v>99.590488199999996</v>
      </c>
      <c r="BM217" s="39">
        <f t="shared" si="399"/>
        <v>100.82179309999999</v>
      </c>
      <c r="BN217" s="39">
        <f t="shared" si="399"/>
        <v>80.018114100000005</v>
      </c>
      <c r="BO217" s="39">
        <f t="shared" si="399"/>
        <v>56</v>
      </c>
      <c r="BP217" s="39">
        <f>SUM(BP218:BP221)</f>
        <v>55</v>
      </c>
      <c r="BQ217" s="39">
        <f>SUM(BQ218:BQ221)</f>
        <v>53</v>
      </c>
      <c r="BR217" s="101"/>
      <c r="BS217">
        <f t="shared" ref="BS217:CB219" si="400">IF($C217&lt;&gt;"",IF(D217&gt;0,1,0),0)</f>
        <v>0</v>
      </c>
      <c r="BT217">
        <f t="shared" si="400"/>
        <v>0</v>
      </c>
      <c r="BU217">
        <f t="shared" si="400"/>
        <v>0</v>
      </c>
      <c r="BV217">
        <f t="shared" si="400"/>
        <v>0</v>
      </c>
      <c r="BW217">
        <f t="shared" si="400"/>
        <v>0</v>
      </c>
      <c r="BX217">
        <f t="shared" si="400"/>
        <v>0</v>
      </c>
      <c r="BY217">
        <f t="shared" si="400"/>
        <v>0</v>
      </c>
      <c r="BZ217">
        <f t="shared" si="400"/>
        <v>0</v>
      </c>
      <c r="CA217">
        <f t="shared" si="400"/>
        <v>0</v>
      </c>
      <c r="CB217">
        <f t="shared" si="400"/>
        <v>0</v>
      </c>
      <c r="CC217">
        <f t="shared" ref="CC217:CL219" si="401">IF($C217&lt;&gt;"",IF(N217&gt;0,1,0),0)</f>
        <v>0</v>
      </c>
      <c r="CD217">
        <f t="shared" si="401"/>
        <v>0</v>
      </c>
      <c r="CE217">
        <f t="shared" si="401"/>
        <v>0</v>
      </c>
      <c r="CF217">
        <f t="shared" si="401"/>
        <v>0</v>
      </c>
      <c r="CG217">
        <f t="shared" si="401"/>
        <v>0</v>
      </c>
      <c r="CH217">
        <f t="shared" si="401"/>
        <v>0</v>
      </c>
      <c r="CI217">
        <f t="shared" si="401"/>
        <v>0</v>
      </c>
      <c r="CJ217">
        <f t="shared" si="401"/>
        <v>0</v>
      </c>
      <c r="CK217">
        <f t="shared" si="401"/>
        <v>1</v>
      </c>
      <c r="CL217">
        <f t="shared" si="401"/>
        <v>1</v>
      </c>
      <c r="CM217">
        <f t="shared" ref="CM217:CV219" si="402">IF($C217&lt;&gt;"",IF(X217&gt;0,1,0),0)</f>
        <v>1</v>
      </c>
      <c r="CN217">
        <f t="shared" si="402"/>
        <v>1</v>
      </c>
      <c r="CO217">
        <f t="shared" si="402"/>
        <v>1</v>
      </c>
      <c r="CP217">
        <f t="shared" si="402"/>
        <v>1</v>
      </c>
      <c r="CQ217">
        <f t="shared" si="402"/>
        <v>1</v>
      </c>
      <c r="CR217">
        <f t="shared" si="402"/>
        <v>1</v>
      </c>
      <c r="CS217">
        <f t="shared" si="402"/>
        <v>1</v>
      </c>
      <c r="CT217">
        <f t="shared" si="402"/>
        <v>1</v>
      </c>
      <c r="CU217">
        <f t="shared" si="402"/>
        <v>1</v>
      </c>
      <c r="CV217">
        <f t="shared" si="402"/>
        <v>1</v>
      </c>
      <c r="CW217">
        <f t="shared" ref="CW217:DF219" si="403">IF($C217&lt;&gt;"",IF(AH217&gt;0,1,0),0)</f>
        <v>1</v>
      </c>
      <c r="CX217">
        <f t="shared" si="403"/>
        <v>1</v>
      </c>
      <c r="CY217">
        <f t="shared" si="403"/>
        <v>1</v>
      </c>
      <c r="CZ217">
        <f t="shared" si="403"/>
        <v>1</v>
      </c>
      <c r="DA217">
        <f t="shared" si="403"/>
        <v>1</v>
      </c>
      <c r="DB217">
        <f t="shared" si="403"/>
        <v>1</v>
      </c>
      <c r="DC217">
        <f t="shared" si="403"/>
        <v>1</v>
      </c>
      <c r="DD217">
        <f t="shared" si="403"/>
        <v>1</v>
      </c>
      <c r="DE217">
        <f t="shared" si="403"/>
        <v>1</v>
      </c>
      <c r="DF217">
        <f t="shared" si="403"/>
        <v>1</v>
      </c>
      <c r="DG217">
        <f t="shared" ref="DG217:DP219" si="404">IF($C217&lt;&gt;"",IF(AR217&gt;0,1,0),0)</f>
        <v>1</v>
      </c>
      <c r="DH217">
        <f t="shared" si="404"/>
        <v>1</v>
      </c>
      <c r="DI217">
        <f t="shared" si="404"/>
        <v>1</v>
      </c>
      <c r="DJ217">
        <f t="shared" si="404"/>
        <v>1</v>
      </c>
      <c r="DK217">
        <f t="shared" si="404"/>
        <v>1</v>
      </c>
      <c r="DL217">
        <f t="shared" si="404"/>
        <v>1</v>
      </c>
      <c r="DM217">
        <f t="shared" si="404"/>
        <v>1</v>
      </c>
      <c r="DN217">
        <f t="shared" si="404"/>
        <v>1</v>
      </c>
      <c r="DO217">
        <f t="shared" si="404"/>
        <v>1</v>
      </c>
      <c r="DP217">
        <f t="shared" si="404"/>
        <v>1</v>
      </c>
      <c r="DQ217">
        <f t="shared" ref="DQ217:DZ219" si="405">IF($C217&lt;&gt;"",IF(BB217&gt;0,1,0),0)</f>
        <v>1</v>
      </c>
      <c r="DR217">
        <f t="shared" si="405"/>
        <v>1</v>
      </c>
      <c r="DS217">
        <f t="shared" si="405"/>
        <v>1</v>
      </c>
      <c r="DT217">
        <f t="shared" si="405"/>
        <v>1</v>
      </c>
      <c r="DU217">
        <f t="shared" si="405"/>
        <v>1</v>
      </c>
      <c r="DV217">
        <f t="shared" si="405"/>
        <v>1</v>
      </c>
      <c r="DW217">
        <f t="shared" si="405"/>
        <v>1</v>
      </c>
      <c r="DX217">
        <f t="shared" si="405"/>
        <v>1</v>
      </c>
      <c r="DY217">
        <f t="shared" si="405"/>
        <v>1</v>
      </c>
      <c r="DZ217">
        <f t="shared" si="405"/>
        <v>1</v>
      </c>
      <c r="EA217">
        <f t="shared" ref="EA217:EF219" si="406">IF($C217&lt;&gt;"",IF(BL217&gt;0,1,0),0)</f>
        <v>1</v>
      </c>
      <c r="EB217">
        <f t="shared" si="406"/>
        <v>1</v>
      </c>
      <c r="EC217">
        <f t="shared" si="406"/>
        <v>1</v>
      </c>
      <c r="ED217">
        <f t="shared" si="406"/>
        <v>1</v>
      </c>
      <c r="EE217">
        <f t="shared" si="406"/>
        <v>1</v>
      </c>
      <c r="EF217">
        <f t="shared" si="406"/>
        <v>1</v>
      </c>
    </row>
    <row r="218" spans="1:136" ht="15.5">
      <c r="A218" s="90"/>
      <c r="B218" s="19" t="s">
        <v>2</v>
      </c>
      <c r="C218" s="94"/>
      <c r="D218" s="58">
        <v>0</v>
      </c>
      <c r="E218" s="58">
        <v>0</v>
      </c>
      <c r="F218" s="58">
        <v>0</v>
      </c>
      <c r="G218" s="58">
        <v>0</v>
      </c>
      <c r="H218" s="58">
        <v>0</v>
      </c>
      <c r="I218" s="58">
        <v>0</v>
      </c>
      <c r="J218" s="58">
        <v>0</v>
      </c>
      <c r="K218" s="58">
        <v>0</v>
      </c>
      <c r="L218" s="58">
        <v>0</v>
      </c>
      <c r="M218" s="58">
        <v>0</v>
      </c>
      <c r="N218" s="58">
        <v>0</v>
      </c>
      <c r="O218" s="58">
        <v>0</v>
      </c>
      <c r="P218" s="58">
        <v>0</v>
      </c>
      <c r="Q218" s="58">
        <v>0</v>
      </c>
      <c r="R218" s="58">
        <v>0</v>
      </c>
      <c r="S218" s="58">
        <v>0</v>
      </c>
      <c r="T218" s="59">
        <v>0</v>
      </c>
      <c r="U218" s="59">
        <v>0</v>
      </c>
      <c r="V218" s="59">
        <v>0</v>
      </c>
      <c r="W218" s="59">
        <v>0</v>
      </c>
      <c r="X218" s="59">
        <v>0</v>
      </c>
      <c r="Y218" s="59">
        <v>0</v>
      </c>
      <c r="Z218" s="59">
        <v>0</v>
      </c>
      <c r="AA218" s="59">
        <v>0</v>
      </c>
      <c r="AB218" s="59">
        <v>0</v>
      </c>
      <c r="AC218" s="59">
        <v>0</v>
      </c>
      <c r="AD218" s="59">
        <v>0</v>
      </c>
      <c r="AE218" s="59">
        <v>0</v>
      </c>
      <c r="AF218" s="59">
        <v>0</v>
      </c>
      <c r="AG218" s="59">
        <v>0</v>
      </c>
      <c r="AH218" s="59">
        <v>0</v>
      </c>
      <c r="AI218" s="60">
        <v>71</v>
      </c>
      <c r="AJ218" s="18">
        <v>0</v>
      </c>
      <c r="AK218" s="60">
        <v>36</v>
      </c>
      <c r="AL218" s="18">
        <v>0</v>
      </c>
      <c r="AM218" s="18">
        <v>0</v>
      </c>
      <c r="AN218" s="60">
        <v>64</v>
      </c>
      <c r="AO218" s="18">
        <v>0</v>
      </c>
      <c r="AP218" s="18">
        <v>0</v>
      </c>
      <c r="AQ218" s="18">
        <v>0</v>
      </c>
      <c r="AR218" s="59">
        <v>48</v>
      </c>
      <c r="AS218" s="40" t="s">
        <v>22</v>
      </c>
      <c r="AT218" s="59">
        <v>36</v>
      </c>
      <c r="AU218" s="40" t="s">
        <v>22</v>
      </c>
      <c r="AV218" s="40" t="s">
        <v>22</v>
      </c>
      <c r="AW218" s="40" t="s">
        <v>22</v>
      </c>
      <c r="AX218" s="40" t="s">
        <v>22</v>
      </c>
      <c r="AY218" s="58">
        <v>0</v>
      </c>
      <c r="AZ218" s="58">
        <v>0</v>
      </c>
      <c r="BA218" s="58">
        <v>0</v>
      </c>
      <c r="BB218" s="58">
        <v>0</v>
      </c>
      <c r="BC218" s="58">
        <v>0</v>
      </c>
      <c r="BD218" s="58">
        <v>0</v>
      </c>
      <c r="BE218" s="58">
        <v>0</v>
      </c>
      <c r="BF218" s="18">
        <v>0</v>
      </c>
      <c r="BG218" s="18">
        <v>0</v>
      </c>
      <c r="BH218" s="18">
        <v>0</v>
      </c>
      <c r="BI218" s="18">
        <v>0</v>
      </c>
      <c r="BJ218" s="113">
        <v>0</v>
      </c>
      <c r="BK218" s="113">
        <v>0</v>
      </c>
      <c r="BL218" s="113">
        <v>0</v>
      </c>
      <c r="BM218" s="58">
        <v>0</v>
      </c>
      <c r="BN218" s="113">
        <v>0</v>
      </c>
      <c r="BO218" s="113">
        <v>0</v>
      </c>
      <c r="BP218" s="113">
        <v>0</v>
      </c>
      <c r="BQ218" s="113">
        <v>0</v>
      </c>
      <c r="BR218" s="101"/>
      <c r="BS218">
        <f t="shared" si="400"/>
        <v>0</v>
      </c>
      <c r="BT218">
        <f t="shared" si="400"/>
        <v>0</v>
      </c>
      <c r="BU218">
        <f t="shared" si="400"/>
        <v>0</v>
      </c>
      <c r="BV218">
        <f t="shared" si="400"/>
        <v>0</v>
      </c>
      <c r="BW218">
        <f t="shared" si="400"/>
        <v>0</v>
      </c>
      <c r="BX218">
        <f t="shared" si="400"/>
        <v>0</v>
      </c>
      <c r="BY218">
        <f t="shared" si="400"/>
        <v>0</v>
      </c>
      <c r="BZ218">
        <f t="shared" si="400"/>
        <v>0</v>
      </c>
      <c r="CA218">
        <f t="shared" si="400"/>
        <v>0</v>
      </c>
      <c r="CB218">
        <f t="shared" si="400"/>
        <v>0</v>
      </c>
      <c r="CC218">
        <f t="shared" si="401"/>
        <v>0</v>
      </c>
      <c r="CD218">
        <f t="shared" si="401"/>
        <v>0</v>
      </c>
      <c r="CE218">
        <f t="shared" si="401"/>
        <v>0</v>
      </c>
      <c r="CF218">
        <f t="shared" si="401"/>
        <v>0</v>
      </c>
      <c r="CG218">
        <f t="shared" si="401"/>
        <v>0</v>
      </c>
      <c r="CH218">
        <f t="shared" si="401"/>
        <v>0</v>
      </c>
      <c r="CI218">
        <f t="shared" si="401"/>
        <v>0</v>
      </c>
      <c r="CJ218">
        <f t="shared" si="401"/>
        <v>0</v>
      </c>
      <c r="CK218">
        <f t="shared" si="401"/>
        <v>0</v>
      </c>
      <c r="CL218">
        <f t="shared" si="401"/>
        <v>0</v>
      </c>
      <c r="CM218">
        <f t="shared" si="402"/>
        <v>0</v>
      </c>
      <c r="CN218">
        <f t="shared" si="402"/>
        <v>0</v>
      </c>
      <c r="CO218">
        <f t="shared" si="402"/>
        <v>0</v>
      </c>
      <c r="CP218">
        <f t="shared" si="402"/>
        <v>0</v>
      </c>
      <c r="CQ218">
        <f t="shared" si="402"/>
        <v>0</v>
      </c>
      <c r="CR218">
        <f t="shared" si="402"/>
        <v>0</v>
      </c>
      <c r="CS218">
        <f t="shared" si="402"/>
        <v>0</v>
      </c>
      <c r="CT218">
        <f t="shared" si="402"/>
        <v>0</v>
      </c>
      <c r="CU218">
        <f t="shared" si="402"/>
        <v>0</v>
      </c>
      <c r="CV218">
        <f t="shared" si="402"/>
        <v>0</v>
      </c>
      <c r="CW218">
        <f t="shared" si="403"/>
        <v>0</v>
      </c>
      <c r="CX218">
        <f t="shared" si="403"/>
        <v>0</v>
      </c>
      <c r="CY218">
        <f t="shared" si="403"/>
        <v>0</v>
      </c>
      <c r="CZ218">
        <f t="shared" si="403"/>
        <v>0</v>
      </c>
      <c r="DA218">
        <f t="shared" si="403"/>
        <v>0</v>
      </c>
      <c r="DB218">
        <f t="shared" si="403"/>
        <v>0</v>
      </c>
      <c r="DC218">
        <f t="shared" si="403"/>
        <v>0</v>
      </c>
      <c r="DD218">
        <f t="shared" si="403"/>
        <v>0</v>
      </c>
      <c r="DE218">
        <f t="shared" si="403"/>
        <v>0</v>
      </c>
      <c r="DF218">
        <f t="shared" si="403"/>
        <v>0</v>
      </c>
      <c r="DG218">
        <f t="shared" si="404"/>
        <v>0</v>
      </c>
      <c r="DH218">
        <f t="shared" si="404"/>
        <v>0</v>
      </c>
      <c r="DI218">
        <f t="shared" si="404"/>
        <v>0</v>
      </c>
      <c r="DJ218">
        <f t="shared" si="404"/>
        <v>0</v>
      </c>
      <c r="DK218">
        <f t="shared" si="404"/>
        <v>0</v>
      </c>
      <c r="DL218">
        <f t="shared" si="404"/>
        <v>0</v>
      </c>
      <c r="DM218">
        <f t="shared" si="404"/>
        <v>0</v>
      </c>
      <c r="DN218">
        <f t="shared" si="404"/>
        <v>0</v>
      </c>
      <c r="DO218">
        <f t="shared" si="404"/>
        <v>0</v>
      </c>
      <c r="DP218">
        <f t="shared" si="404"/>
        <v>0</v>
      </c>
      <c r="DQ218">
        <f t="shared" si="405"/>
        <v>0</v>
      </c>
      <c r="DR218">
        <f t="shared" si="405"/>
        <v>0</v>
      </c>
      <c r="DS218">
        <f t="shared" si="405"/>
        <v>0</v>
      </c>
      <c r="DT218">
        <f t="shared" si="405"/>
        <v>0</v>
      </c>
      <c r="DU218">
        <f t="shared" si="405"/>
        <v>0</v>
      </c>
      <c r="DV218">
        <f t="shared" si="405"/>
        <v>0</v>
      </c>
      <c r="DW218">
        <f t="shared" si="405"/>
        <v>0</v>
      </c>
      <c r="DX218">
        <f t="shared" si="405"/>
        <v>0</v>
      </c>
      <c r="DY218">
        <f t="shared" si="405"/>
        <v>0</v>
      </c>
      <c r="DZ218">
        <f t="shared" si="405"/>
        <v>0</v>
      </c>
      <c r="EA218">
        <f t="shared" si="406"/>
        <v>0</v>
      </c>
      <c r="EB218">
        <f t="shared" si="406"/>
        <v>0</v>
      </c>
      <c r="EC218">
        <f t="shared" si="406"/>
        <v>0</v>
      </c>
      <c r="ED218">
        <f t="shared" si="406"/>
        <v>0</v>
      </c>
      <c r="EE218">
        <f t="shared" si="406"/>
        <v>0</v>
      </c>
      <c r="EF218">
        <f t="shared" si="406"/>
        <v>0</v>
      </c>
    </row>
    <row r="219" spans="1:136" ht="15.5">
      <c r="A219" s="90"/>
      <c r="B219" s="19" t="s">
        <v>205</v>
      </c>
      <c r="C219" s="94"/>
      <c r="D219" s="58">
        <v>0</v>
      </c>
      <c r="E219" s="58">
        <v>0</v>
      </c>
      <c r="F219" s="58">
        <v>0</v>
      </c>
      <c r="G219" s="58">
        <v>0</v>
      </c>
      <c r="H219" s="58">
        <v>0</v>
      </c>
      <c r="I219" s="58">
        <v>0</v>
      </c>
      <c r="J219" s="58">
        <v>0</v>
      </c>
      <c r="K219" s="58">
        <v>0</v>
      </c>
      <c r="L219" s="58">
        <v>0</v>
      </c>
      <c r="M219" s="58">
        <v>0</v>
      </c>
      <c r="N219" s="58">
        <v>0</v>
      </c>
      <c r="O219" s="58">
        <v>0</v>
      </c>
      <c r="P219" s="58">
        <v>0</v>
      </c>
      <c r="Q219" s="58">
        <v>0</v>
      </c>
      <c r="R219" s="58">
        <v>0</v>
      </c>
      <c r="S219" s="58">
        <v>0</v>
      </c>
      <c r="T219" s="59">
        <v>0</v>
      </c>
      <c r="U219" s="59">
        <v>0</v>
      </c>
      <c r="V219" s="59">
        <v>0</v>
      </c>
      <c r="W219" s="59">
        <v>0</v>
      </c>
      <c r="X219" s="59">
        <v>0</v>
      </c>
      <c r="Y219" s="59">
        <v>0</v>
      </c>
      <c r="Z219" s="59">
        <v>0</v>
      </c>
      <c r="AA219" s="59">
        <v>0</v>
      </c>
      <c r="AB219" s="59">
        <v>0</v>
      </c>
      <c r="AC219" s="59">
        <v>0</v>
      </c>
      <c r="AD219" s="168">
        <f>(2066609.6)/1000000</f>
        <v>2.0666096</v>
      </c>
      <c r="AE219" s="168">
        <f>4133142.4/1000000</f>
        <v>4.1331423999999997</v>
      </c>
      <c r="AF219" s="168">
        <f>6199713/1000000</f>
        <v>6.199713</v>
      </c>
      <c r="AG219" s="168">
        <f>6515739.4/1000000</f>
        <v>6.5157394000000002</v>
      </c>
      <c r="AH219" s="168">
        <f>7364851.3/1000000</f>
        <v>7.3648512999999998</v>
      </c>
      <c r="AI219" s="168">
        <f>2375878.3/1000000</f>
        <v>2.3758782999999997</v>
      </c>
      <c r="AJ219" s="168">
        <f>2163148.7/1000000</f>
        <v>2.1631487000000003</v>
      </c>
      <c r="AK219" s="168">
        <f>4661379.4/1000000</f>
        <v>4.6613794000000004</v>
      </c>
      <c r="AL219" s="168">
        <f>4928605.4/1000000</f>
        <v>4.9286054000000004</v>
      </c>
      <c r="AM219" s="168">
        <f>6759565.4/1000000</f>
        <v>6.7595654000000005</v>
      </c>
      <c r="AN219" s="168">
        <f>8533780.9/1000000</f>
        <v>8.5337809</v>
      </c>
      <c r="AO219" s="168">
        <f>10315107.4/1000000</f>
        <v>10.3151074</v>
      </c>
      <c r="AP219" s="168">
        <f>12079189.7/1000000</f>
        <v>12.079189699999999</v>
      </c>
      <c r="AQ219" s="168">
        <f>12627086.8/1000000</f>
        <v>12.627086800000001</v>
      </c>
      <c r="AR219" s="168">
        <f>15293693.4/1000000</f>
        <v>15.2936934</v>
      </c>
      <c r="AS219" s="168">
        <f>15844046/1000000</f>
        <v>15.844046000000001</v>
      </c>
      <c r="AT219" s="168">
        <f>17097121/1000000</f>
        <v>17.097121000000001</v>
      </c>
      <c r="AU219" s="168">
        <f>16583300.1/1000000</f>
        <v>16.583300099999999</v>
      </c>
      <c r="AV219" s="168">
        <f>18046396.5/1000000</f>
        <v>18.0463965</v>
      </c>
      <c r="AW219" s="168">
        <f>21324006.8/1000000</f>
        <v>21.324006799999999</v>
      </c>
      <c r="AX219" s="168">
        <f>22038111.3/1000000</f>
        <v>22.038111300000001</v>
      </c>
      <c r="AY219" s="168">
        <f>23558990.2/1000000</f>
        <v>23.5589902</v>
      </c>
      <c r="AZ219" s="168">
        <f>25179088.8/1000000</f>
        <v>25.179088800000002</v>
      </c>
      <c r="BA219" s="168">
        <f>25202688.8/1000000</f>
        <v>25.202688800000001</v>
      </c>
      <c r="BB219" s="168">
        <f>25983934.5/1000000</f>
        <v>25.9839345</v>
      </c>
      <c r="BC219" s="168">
        <f>27311812.6/1000000</f>
        <v>27.311812600000003</v>
      </c>
      <c r="BD219" s="168">
        <f>27360881.4/1000000</f>
        <v>27.3608814</v>
      </c>
      <c r="BE219" s="168">
        <f>28200216.2/1000000</f>
        <v>28.2002162</v>
      </c>
      <c r="BF219" s="168">
        <f>28123713/1000000</f>
        <v>28.123712999999999</v>
      </c>
      <c r="BG219" s="228">
        <f>26509897.5/1000000</f>
        <v>26.509897500000001</v>
      </c>
      <c r="BH219" s="228">
        <f>26509897.5/1000000</f>
        <v>26.509897500000001</v>
      </c>
      <c r="BI219" s="228">
        <f>26590488.2/1000000</f>
        <v>26.590488199999999</v>
      </c>
      <c r="BJ219" s="228">
        <f>26590488.2/1000000</f>
        <v>26.590488199999999</v>
      </c>
      <c r="BK219" s="228">
        <f>26590488.2/1000000</f>
        <v>26.590488199999999</v>
      </c>
      <c r="BL219" s="228">
        <f>26590488.2/1000000</f>
        <v>26.590488199999999</v>
      </c>
      <c r="BM219" s="168">
        <f>25590488.2/1000000</f>
        <v>25.590488199999999</v>
      </c>
      <c r="BN219" s="228">
        <f>25590488.2/1000000</f>
        <v>25.590488199999999</v>
      </c>
      <c r="BO219" s="113">
        <v>0</v>
      </c>
      <c r="BP219" s="113">
        <v>0</v>
      </c>
      <c r="BQ219" s="113">
        <v>0</v>
      </c>
      <c r="BR219" s="101"/>
      <c r="BS219">
        <f t="shared" si="400"/>
        <v>0</v>
      </c>
      <c r="BT219">
        <f t="shared" si="400"/>
        <v>0</v>
      </c>
      <c r="BU219">
        <f t="shared" si="400"/>
        <v>0</v>
      </c>
      <c r="BV219">
        <f t="shared" si="400"/>
        <v>0</v>
      </c>
      <c r="BW219">
        <f t="shared" si="400"/>
        <v>0</v>
      </c>
      <c r="BX219">
        <f t="shared" si="400"/>
        <v>0</v>
      </c>
      <c r="BY219">
        <f t="shared" si="400"/>
        <v>0</v>
      </c>
      <c r="BZ219">
        <f t="shared" si="400"/>
        <v>0</v>
      </c>
      <c r="CA219">
        <f t="shared" si="400"/>
        <v>0</v>
      </c>
      <c r="CB219">
        <f t="shared" si="400"/>
        <v>0</v>
      </c>
      <c r="CC219">
        <f t="shared" si="401"/>
        <v>0</v>
      </c>
      <c r="CD219">
        <f t="shared" si="401"/>
        <v>0</v>
      </c>
      <c r="CE219">
        <f t="shared" si="401"/>
        <v>0</v>
      </c>
      <c r="CF219">
        <f t="shared" si="401"/>
        <v>0</v>
      </c>
      <c r="CG219">
        <f t="shared" si="401"/>
        <v>0</v>
      </c>
      <c r="CH219">
        <f t="shared" si="401"/>
        <v>0</v>
      </c>
      <c r="CI219">
        <f t="shared" si="401"/>
        <v>0</v>
      </c>
      <c r="CJ219">
        <f t="shared" si="401"/>
        <v>0</v>
      </c>
      <c r="CK219">
        <f t="shared" si="401"/>
        <v>0</v>
      </c>
      <c r="CL219">
        <f t="shared" si="401"/>
        <v>0</v>
      </c>
      <c r="CM219">
        <f t="shared" si="402"/>
        <v>0</v>
      </c>
      <c r="CN219">
        <f t="shared" si="402"/>
        <v>0</v>
      </c>
      <c r="CO219">
        <f t="shared" si="402"/>
        <v>0</v>
      </c>
      <c r="CP219">
        <f t="shared" si="402"/>
        <v>0</v>
      </c>
      <c r="CQ219">
        <f t="shared" si="402"/>
        <v>0</v>
      </c>
      <c r="CR219">
        <f t="shared" si="402"/>
        <v>0</v>
      </c>
      <c r="CS219">
        <f t="shared" si="402"/>
        <v>0</v>
      </c>
      <c r="CT219">
        <f t="shared" si="402"/>
        <v>0</v>
      </c>
      <c r="CU219">
        <f t="shared" si="402"/>
        <v>0</v>
      </c>
      <c r="CV219">
        <f t="shared" si="402"/>
        <v>0</v>
      </c>
      <c r="CW219">
        <f t="shared" si="403"/>
        <v>0</v>
      </c>
      <c r="CX219">
        <f t="shared" si="403"/>
        <v>0</v>
      </c>
      <c r="CY219">
        <f t="shared" si="403"/>
        <v>0</v>
      </c>
      <c r="CZ219">
        <f t="shared" si="403"/>
        <v>0</v>
      </c>
      <c r="DA219">
        <f t="shared" si="403"/>
        <v>0</v>
      </c>
      <c r="DB219">
        <f t="shared" si="403"/>
        <v>0</v>
      </c>
      <c r="DC219">
        <f t="shared" si="403"/>
        <v>0</v>
      </c>
      <c r="DD219">
        <f t="shared" si="403"/>
        <v>0</v>
      </c>
      <c r="DE219">
        <f t="shared" si="403"/>
        <v>0</v>
      </c>
      <c r="DF219">
        <f t="shared" si="403"/>
        <v>0</v>
      </c>
      <c r="DG219">
        <f t="shared" si="404"/>
        <v>0</v>
      </c>
      <c r="DH219">
        <f t="shared" si="404"/>
        <v>0</v>
      </c>
      <c r="DI219">
        <f t="shared" si="404"/>
        <v>0</v>
      </c>
      <c r="DJ219">
        <f t="shared" si="404"/>
        <v>0</v>
      </c>
      <c r="DK219">
        <f t="shared" si="404"/>
        <v>0</v>
      </c>
      <c r="DL219">
        <f t="shared" si="404"/>
        <v>0</v>
      </c>
      <c r="DM219">
        <f t="shared" si="404"/>
        <v>0</v>
      </c>
      <c r="DN219">
        <f t="shared" si="404"/>
        <v>0</v>
      </c>
      <c r="DO219">
        <f t="shared" si="404"/>
        <v>0</v>
      </c>
      <c r="DP219">
        <f t="shared" si="404"/>
        <v>0</v>
      </c>
      <c r="DQ219">
        <f t="shared" si="405"/>
        <v>0</v>
      </c>
      <c r="DR219">
        <f t="shared" si="405"/>
        <v>0</v>
      </c>
      <c r="DS219">
        <f t="shared" si="405"/>
        <v>0</v>
      </c>
      <c r="DT219">
        <f t="shared" si="405"/>
        <v>0</v>
      </c>
      <c r="DU219">
        <f t="shared" si="405"/>
        <v>0</v>
      </c>
      <c r="DV219">
        <f t="shared" si="405"/>
        <v>0</v>
      </c>
      <c r="DW219">
        <f t="shared" si="405"/>
        <v>0</v>
      </c>
      <c r="DX219">
        <f t="shared" si="405"/>
        <v>0</v>
      </c>
      <c r="DY219">
        <f t="shared" si="405"/>
        <v>0</v>
      </c>
      <c r="DZ219">
        <f t="shared" si="405"/>
        <v>0</v>
      </c>
      <c r="EA219">
        <f t="shared" si="406"/>
        <v>0</v>
      </c>
      <c r="EB219">
        <f t="shared" si="406"/>
        <v>0</v>
      </c>
      <c r="EC219">
        <f t="shared" si="406"/>
        <v>0</v>
      </c>
      <c r="ED219">
        <f t="shared" si="406"/>
        <v>0</v>
      </c>
      <c r="EE219">
        <f t="shared" si="406"/>
        <v>0</v>
      </c>
      <c r="EF219">
        <f t="shared" si="406"/>
        <v>0</v>
      </c>
    </row>
    <row r="220" spans="1:136" ht="15.5">
      <c r="A220" s="90"/>
      <c r="B220" s="57" t="s">
        <v>3</v>
      </c>
      <c r="C220" s="94"/>
      <c r="D220" s="58">
        <v>0</v>
      </c>
      <c r="E220" s="58">
        <v>0</v>
      </c>
      <c r="F220" s="58">
        <v>0</v>
      </c>
      <c r="G220" s="58">
        <v>0</v>
      </c>
      <c r="H220" s="58">
        <v>0</v>
      </c>
      <c r="I220" s="58">
        <v>0</v>
      </c>
      <c r="J220" s="58">
        <v>0</v>
      </c>
      <c r="K220" s="58">
        <v>0</v>
      </c>
      <c r="L220" s="58">
        <v>0</v>
      </c>
      <c r="M220" s="58">
        <v>0</v>
      </c>
      <c r="N220" s="58">
        <v>0</v>
      </c>
      <c r="O220" s="58">
        <v>0</v>
      </c>
      <c r="P220" s="58">
        <v>0</v>
      </c>
      <c r="Q220" s="58">
        <v>0</v>
      </c>
      <c r="R220" s="58">
        <v>0</v>
      </c>
      <c r="S220" s="58">
        <v>0</v>
      </c>
      <c r="T220" s="59">
        <v>0</v>
      </c>
      <c r="U220" s="59">
        <v>0</v>
      </c>
      <c r="V220" s="59">
        <v>0.01</v>
      </c>
      <c r="W220" s="59">
        <v>0.05</v>
      </c>
      <c r="X220" s="59">
        <v>0.25</v>
      </c>
      <c r="Y220" s="59">
        <v>0.24</v>
      </c>
      <c r="Z220" s="59">
        <v>0.13</v>
      </c>
      <c r="AA220" s="59">
        <v>0.69</v>
      </c>
      <c r="AB220" s="59">
        <v>4.2700000000000005</v>
      </c>
      <c r="AC220" s="59">
        <v>2.13</v>
      </c>
      <c r="AD220" s="59">
        <f>13.47-AD219</f>
        <v>11.403390400000001</v>
      </c>
      <c r="AE220" s="233">
        <f>25.93-AE219</f>
        <v>21.796857599999999</v>
      </c>
      <c r="AF220" s="59">
        <f>34.12-AF219</f>
        <v>27.920286999999998</v>
      </c>
      <c r="AG220" s="59">
        <f>225.41-AG219</f>
        <v>218.8942606</v>
      </c>
      <c r="AH220" s="59">
        <f>53.62-AH219</f>
        <v>46.255148699999999</v>
      </c>
      <c r="AI220" s="59">
        <f>51.497-AI219</f>
        <v>49.121121700000003</v>
      </c>
      <c r="AJ220" s="59">
        <f>49.538-AJ219</f>
        <v>47.374851299999996</v>
      </c>
      <c r="AK220" s="59">
        <f>53.494-AK219-AK218</f>
        <v>12.832620599999998</v>
      </c>
      <c r="AL220" s="59">
        <v>163.23599999999999</v>
      </c>
      <c r="AM220" s="59">
        <f>59.838-AM219</f>
        <v>53.078434600000001</v>
      </c>
      <c r="AN220" s="40" t="s">
        <v>22</v>
      </c>
      <c r="AO220" s="59">
        <f>35.837-AO219</f>
        <v>25.521892600000001</v>
      </c>
      <c r="AP220" s="59">
        <f>41.357-AP219</f>
        <v>29.277810299999999</v>
      </c>
      <c r="AQ220" s="59">
        <f>39.013-AQ219</f>
        <v>26.385913199999997</v>
      </c>
      <c r="AR220" s="59">
        <f>180-AR218-AR219</f>
        <v>116.7063066</v>
      </c>
      <c r="AS220" s="59">
        <f>67.001-AS219</f>
        <v>51.156954000000006</v>
      </c>
      <c r="AT220" s="59">
        <f>100-AT218-AT219</f>
        <v>46.902878999999999</v>
      </c>
      <c r="AU220" s="59">
        <f>81.075-AU219</f>
        <v>64.4916999</v>
      </c>
      <c r="AV220" s="59">
        <f>181.387-AV219</f>
        <v>163.34060349999999</v>
      </c>
      <c r="AW220" s="59">
        <f>94.112-AW219</f>
        <v>72.787993199999988</v>
      </c>
      <c r="AX220" s="59">
        <f>1327.7173763-AX219</f>
        <v>1305.679265</v>
      </c>
      <c r="AY220" s="59">
        <f>38.108241-AY219</f>
        <v>14.549250799999999</v>
      </c>
      <c r="AZ220" s="59">
        <f>40.627404-AZ219</f>
        <v>15.448315199999996</v>
      </c>
      <c r="BA220" s="59">
        <f>36.3811224-BA219</f>
        <v>11.178433600000002</v>
      </c>
      <c r="BB220" s="59">
        <f>40.268291-BB219</f>
        <v>14.284356499999998</v>
      </c>
      <c r="BC220" s="59">
        <f>34.2371277-BC219</f>
        <v>6.9253150999999988</v>
      </c>
      <c r="BD220" s="59">
        <f>34.3367474-BD219</f>
        <v>6.9758659999999999</v>
      </c>
      <c r="BE220" s="59">
        <f>35.1766047-BE219</f>
        <v>6.9763884999999988</v>
      </c>
      <c r="BF220" s="18">
        <f>35.0963188-BF219</f>
        <v>6.9726058000000002</v>
      </c>
      <c r="BG220" s="18">
        <f>34.6258727-BG219</f>
        <v>8.1159752000000012</v>
      </c>
      <c r="BH220" s="18">
        <f>79.814487-BH219</f>
        <v>53.304589499999999</v>
      </c>
      <c r="BI220" s="18">
        <f>87.3352312-BI219</f>
        <v>60.744743</v>
      </c>
      <c r="BJ220" s="25">
        <v>59</v>
      </c>
      <c r="BK220" s="18">
        <v>56</v>
      </c>
      <c r="BL220" s="18">
        <v>73</v>
      </c>
      <c r="BM220" s="113">
        <f>100.8217931-BM219</f>
        <v>75.231304899999998</v>
      </c>
      <c r="BN220" s="160">
        <f>80.0181141-BN219</f>
        <v>54.42762590000001</v>
      </c>
      <c r="BO220" s="113">
        <v>56</v>
      </c>
      <c r="BP220" s="113">
        <v>55</v>
      </c>
      <c r="BQ220" s="113">
        <v>53</v>
      </c>
      <c r="BR220" s="101"/>
      <c r="BS220">
        <f t="shared" ref="BS220:CB222" si="407">IF($C220&lt;&gt;"",IF(D220&gt;0,1,0),0)</f>
        <v>0</v>
      </c>
      <c r="BT220">
        <f t="shared" si="407"/>
        <v>0</v>
      </c>
      <c r="BU220">
        <f t="shared" si="407"/>
        <v>0</v>
      </c>
      <c r="BV220">
        <f t="shared" si="407"/>
        <v>0</v>
      </c>
      <c r="BW220">
        <f t="shared" si="407"/>
        <v>0</v>
      </c>
      <c r="BX220">
        <f t="shared" si="407"/>
        <v>0</v>
      </c>
      <c r="BY220">
        <f t="shared" si="407"/>
        <v>0</v>
      </c>
      <c r="BZ220">
        <f t="shared" si="407"/>
        <v>0</v>
      </c>
      <c r="CA220">
        <f t="shared" si="407"/>
        <v>0</v>
      </c>
      <c r="CB220">
        <f t="shared" si="407"/>
        <v>0</v>
      </c>
      <c r="CC220">
        <f t="shared" ref="CC220:CL222" si="408">IF($C220&lt;&gt;"",IF(N220&gt;0,1,0),0)</f>
        <v>0</v>
      </c>
      <c r="CD220">
        <f t="shared" si="408"/>
        <v>0</v>
      </c>
      <c r="CE220">
        <f t="shared" si="408"/>
        <v>0</v>
      </c>
      <c r="CF220">
        <f t="shared" si="408"/>
        <v>0</v>
      </c>
      <c r="CG220">
        <f t="shared" si="408"/>
        <v>0</v>
      </c>
      <c r="CH220">
        <f t="shared" si="408"/>
        <v>0</v>
      </c>
      <c r="CI220">
        <f t="shared" si="408"/>
        <v>0</v>
      </c>
      <c r="CJ220">
        <f t="shared" si="408"/>
        <v>0</v>
      </c>
      <c r="CK220">
        <f t="shared" si="408"/>
        <v>0</v>
      </c>
      <c r="CL220">
        <f t="shared" si="408"/>
        <v>0</v>
      </c>
      <c r="CM220">
        <f t="shared" ref="CM220:CV222" si="409">IF($C220&lt;&gt;"",IF(X220&gt;0,1,0),0)</f>
        <v>0</v>
      </c>
      <c r="CN220">
        <f t="shared" si="409"/>
        <v>0</v>
      </c>
      <c r="CO220">
        <f t="shared" si="409"/>
        <v>0</v>
      </c>
      <c r="CP220">
        <f t="shared" si="409"/>
        <v>0</v>
      </c>
      <c r="CQ220">
        <f t="shared" si="409"/>
        <v>0</v>
      </c>
      <c r="CR220">
        <f t="shared" si="409"/>
        <v>0</v>
      </c>
      <c r="CS220">
        <f t="shared" si="409"/>
        <v>0</v>
      </c>
      <c r="CT220">
        <f t="shared" si="409"/>
        <v>0</v>
      </c>
      <c r="CU220">
        <f t="shared" si="409"/>
        <v>0</v>
      </c>
      <c r="CV220">
        <f t="shared" si="409"/>
        <v>0</v>
      </c>
      <c r="CW220">
        <f t="shared" ref="CW220:DF222" si="410">IF($C220&lt;&gt;"",IF(AH220&gt;0,1,0),0)</f>
        <v>0</v>
      </c>
      <c r="CX220">
        <f t="shared" si="410"/>
        <v>0</v>
      </c>
      <c r="CY220">
        <f t="shared" si="410"/>
        <v>0</v>
      </c>
      <c r="CZ220">
        <f t="shared" si="410"/>
        <v>0</v>
      </c>
      <c r="DA220">
        <f t="shared" si="410"/>
        <v>0</v>
      </c>
      <c r="DB220">
        <f t="shared" si="410"/>
        <v>0</v>
      </c>
      <c r="DC220">
        <f t="shared" si="410"/>
        <v>0</v>
      </c>
      <c r="DD220">
        <f t="shared" si="410"/>
        <v>0</v>
      </c>
      <c r="DE220">
        <f t="shared" si="410"/>
        <v>0</v>
      </c>
      <c r="DF220">
        <f t="shared" si="410"/>
        <v>0</v>
      </c>
      <c r="DG220">
        <f t="shared" ref="DG220:DP222" si="411">IF($C220&lt;&gt;"",IF(AR220&gt;0,1,0),0)</f>
        <v>0</v>
      </c>
      <c r="DH220">
        <f t="shared" si="411"/>
        <v>0</v>
      </c>
      <c r="DI220">
        <f t="shared" si="411"/>
        <v>0</v>
      </c>
      <c r="DJ220">
        <f t="shared" si="411"/>
        <v>0</v>
      </c>
      <c r="DK220">
        <f t="shared" si="411"/>
        <v>0</v>
      </c>
      <c r="DL220">
        <f t="shared" si="411"/>
        <v>0</v>
      </c>
      <c r="DM220">
        <f t="shared" si="411"/>
        <v>0</v>
      </c>
      <c r="DN220">
        <f t="shared" si="411"/>
        <v>0</v>
      </c>
      <c r="DO220">
        <f t="shared" si="411"/>
        <v>0</v>
      </c>
      <c r="DP220">
        <f t="shared" si="411"/>
        <v>0</v>
      </c>
      <c r="DQ220">
        <f t="shared" ref="DQ220:DZ222" si="412">IF($C220&lt;&gt;"",IF(BB220&gt;0,1,0),0)</f>
        <v>0</v>
      </c>
      <c r="DR220">
        <f t="shared" si="412"/>
        <v>0</v>
      </c>
      <c r="DS220">
        <f t="shared" si="412"/>
        <v>0</v>
      </c>
      <c r="DT220">
        <f t="shared" si="412"/>
        <v>0</v>
      </c>
      <c r="DU220">
        <f t="shared" si="412"/>
        <v>0</v>
      </c>
      <c r="DV220">
        <f t="shared" si="412"/>
        <v>0</v>
      </c>
      <c r="DW220">
        <f t="shared" si="412"/>
        <v>0</v>
      </c>
      <c r="DX220">
        <f t="shared" si="412"/>
        <v>0</v>
      </c>
      <c r="DY220">
        <f t="shared" si="412"/>
        <v>0</v>
      </c>
      <c r="DZ220">
        <f t="shared" si="412"/>
        <v>0</v>
      </c>
      <c r="EA220">
        <f t="shared" ref="EA220:EF220" si="413">IF($C220&lt;&gt;"",IF(BL218&gt;0,1,0),0)</f>
        <v>0</v>
      </c>
      <c r="EB220">
        <f t="shared" si="413"/>
        <v>0</v>
      </c>
      <c r="EC220">
        <f t="shared" si="413"/>
        <v>0</v>
      </c>
      <c r="ED220">
        <f t="shared" si="413"/>
        <v>0</v>
      </c>
      <c r="EE220">
        <f t="shared" si="413"/>
        <v>0</v>
      </c>
      <c r="EF220">
        <f t="shared" si="413"/>
        <v>0</v>
      </c>
    </row>
    <row r="221" spans="1:136" ht="15.5">
      <c r="A221" s="90"/>
      <c r="B221" s="19" t="s">
        <v>208</v>
      </c>
      <c r="C221" s="94"/>
      <c r="D221" s="58">
        <v>0</v>
      </c>
      <c r="E221" s="58">
        <v>0</v>
      </c>
      <c r="F221" s="58">
        <v>0</v>
      </c>
      <c r="G221" s="58">
        <v>0</v>
      </c>
      <c r="H221" s="58">
        <v>0</v>
      </c>
      <c r="I221" s="58">
        <v>0</v>
      </c>
      <c r="J221" s="58">
        <v>0</v>
      </c>
      <c r="K221" s="58">
        <v>0</v>
      </c>
      <c r="L221" s="58">
        <v>0</v>
      </c>
      <c r="M221" s="58">
        <v>0</v>
      </c>
      <c r="N221" s="58">
        <v>0</v>
      </c>
      <c r="O221" s="58">
        <v>0</v>
      </c>
      <c r="P221" s="58">
        <v>0</v>
      </c>
      <c r="Q221" s="58">
        <v>0</v>
      </c>
      <c r="R221" s="58">
        <v>0</v>
      </c>
      <c r="S221" s="58">
        <v>0</v>
      </c>
      <c r="T221" s="58">
        <v>0</v>
      </c>
      <c r="U221" s="58">
        <v>0</v>
      </c>
      <c r="V221" s="58">
        <v>0</v>
      </c>
      <c r="W221" s="58">
        <v>0</v>
      </c>
      <c r="X221" s="58">
        <v>0</v>
      </c>
      <c r="Y221" s="58">
        <v>0</v>
      </c>
      <c r="Z221" s="58">
        <v>1</v>
      </c>
      <c r="AA221" s="18">
        <v>0.3</v>
      </c>
      <c r="AB221" s="18">
        <v>3</v>
      </c>
      <c r="AC221" s="18">
        <v>10.200000000000001</v>
      </c>
      <c r="AD221" s="18">
        <v>17.5</v>
      </c>
      <c r="AE221" s="18">
        <v>26</v>
      </c>
      <c r="AF221" s="18">
        <v>26.900000000000002</v>
      </c>
      <c r="AG221" s="18">
        <v>30.5</v>
      </c>
      <c r="AH221" s="18">
        <v>36.9</v>
      </c>
      <c r="AI221" s="18">
        <f>0.8+6</f>
        <v>6.8</v>
      </c>
      <c r="AJ221" s="18">
        <v>2.9</v>
      </c>
      <c r="AK221" s="18">
        <v>2.0999999999999996</v>
      </c>
      <c r="AL221" s="18">
        <v>3.1</v>
      </c>
      <c r="AM221" s="18">
        <v>4.0999999999999996</v>
      </c>
      <c r="AN221" s="18">
        <v>5.0999999999999996</v>
      </c>
      <c r="AO221" s="58">
        <v>5</v>
      </c>
      <c r="AP221" s="58">
        <v>5.9</v>
      </c>
      <c r="AQ221" s="58">
        <v>5</v>
      </c>
      <c r="AR221" s="58">
        <v>4.7</v>
      </c>
      <c r="AS221" s="58">
        <v>1.4</v>
      </c>
      <c r="AT221" s="58">
        <v>1.7</v>
      </c>
      <c r="AU221" s="58">
        <v>0</v>
      </c>
      <c r="AV221" s="58">
        <v>0</v>
      </c>
      <c r="AW221" s="58">
        <v>0</v>
      </c>
      <c r="AX221" s="58">
        <v>0</v>
      </c>
      <c r="AY221" s="58">
        <v>0</v>
      </c>
      <c r="AZ221" s="58">
        <v>0</v>
      </c>
      <c r="BA221" s="58">
        <v>0</v>
      </c>
      <c r="BB221" s="58">
        <v>0</v>
      </c>
      <c r="BC221" s="58">
        <v>0</v>
      </c>
      <c r="BD221" s="18">
        <v>0</v>
      </c>
      <c r="BE221" s="25">
        <v>0</v>
      </c>
      <c r="BF221" s="18">
        <v>0</v>
      </c>
      <c r="BG221" s="18">
        <v>0</v>
      </c>
      <c r="BH221" s="18">
        <v>0</v>
      </c>
      <c r="BI221" s="18">
        <v>0</v>
      </c>
      <c r="BJ221" s="113">
        <v>0</v>
      </c>
      <c r="BK221" s="264">
        <v>0</v>
      </c>
      <c r="BL221" s="113">
        <v>0</v>
      </c>
      <c r="BM221" s="264">
        <v>0</v>
      </c>
      <c r="BN221" s="113">
        <v>0</v>
      </c>
      <c r="BO221" s="113">
        <v>0</v>
      </c>
      <c r="BP221" s="113">
        <v>0</v>
      </c>
      <c r="BQ221" s="113">
        <v>0</v>
      </c>
      <c r="BR221" s="101"/>
      <c r="BS221">
        <f t="shared" si="407"/>
        <v>0</v>
      </c>
      <c r="BT221">
        <f t="shared" si="407"/>
        <v>0</v>
      </c>
      <c r="BU221">
        <f t="shared" si="407"/>
        <v>0</v>
      </c>
      <c r="BV221">
        <f t="shared" si="407"/>
        <v>0</v>
      </c>
      <c r="BW221">
        <f t="shared" si="407"/>
        <v>0</v>
      </c>
      <c r="BX221">
        <f t="shared" si="407"/>
        <v>0</v>
      </c>
      <c r="BY221">
        <f t="shared" si="407"/>
        <v>0</v>
      </c>
      <c r="BZ221">
        <f t="shared" si="407"/>
        <v>0</v>
      </c>
      <c r="CA221">
        <f t="shared" si="407"/>
        <v>0</v>
      </c>
      <c r="CB221">
        <f t="shared" si="407"/>
        <v>0</v>
      </c>
      <c r="CC221">
        <f t="shared" si="408"/>
        <v>0</v>
      </c>
      <c r="CD221">
        <f t="shared" si="408"/>
        <v>0</v>
      </c>
      <c r="CE221">
        <f t="shared" si="408"/>
        <v>0</v>
      </c>
      <c r="CF221">
        <f t="shared" si="408"/>
        <v>0</v>
      </c>
      <c r="CG221">
        <f t="shared" si="408"/>
        <v>0</v>
      </c>
      <c r="CH221">
        <f t="shared" si="408"/>
        <v>0</v>
      </c>
      <c r="CI221">
        <f t="shared" si="408"/>
        <v>0</v>
      </c>
      <c r="CJ221">
        <f t="shared" si="408"/>
        <v>0</v>
      </c>
      <c r="CK221">
        <f t="shared" si="408"/>
        <v>0</v>
      </c>
      <c r="CL221">
        <f t="shared" si="408"/>
        <v>0</v>
      </c>
      <c r="CM221">
        <f t="shared" si="409"/>
        <v>0</v>
      </c>
      <c r="CN221">
        <f t="shared" si="409"/>
        <v>0</v>
      </c>
      <c r="CO221">
        <f t="shared" si="409"/>
        <v>0</v>
      </c>
      <c r="CP221">
        <f t="shared" si="409"/>
        <v>0</v>
      </c>
      <c r="CQ221">
        <f t="shared" si="409"/>
        <v>0</v>
      </c>
      <c r="CR221">
        <f t="shared" si="409"/>
        <v>0</v>
      </c>
      <c r="CS221">
        <f t="shared" si="409"/>
        <v>0</v>
      </c>
      <c r="CT221">
        <f t="shared" si="409"/>
        <v>0</v>
      </c>
      <c r="CU221">
        <f t="shared" si="409"/>
        <v>0</v>
      </c>
      <c r="CV221">
        <f t="shared" si="409"/>
        <v>0</v>
      </c>
      <c r="CW221">
        <f t="shared" si="410"/>
        <v>0</v>
      </c>
      <c r="CX221">
        <f t="shared" si="410"/>
        <v>0</v>
      </c>
      <c r="CY221">
        <f t="shared" si="410"/>
        <v>0</v>
      </c>
      <c r="CZ221">
        <f t="shared" si="410"/>
        <v>0</v>
      </c>
      <c r="DA221">
        <f t="shared" si="410"/>
        <v>0</v>
      </c>
      <c r="DB221">
        <f t="shared" si="410"/>
        <v>0</v>
      </c>
      <c r="DC221">
        <f t="shared" si="410"/>
        <v>0</v>
      </c>
      <c r="DD221">
        <f t="shared" si="410"/>
        <v>0</v>
      </c>
      <c r="DE221">
        <f t="shared" si="410"/>
        <v>0</v>
      </c>
      <c r="DF221">
        <f t="shared" si="410"/>
        <v>0</v>
      </c>
      <c r="DG221">
        <f t="shared" si="411"/>
        <v>0</v>
      </c>
      <c r="DH221">
        <f t="shared" si="411"/>
        <v>0</v>
      </c>
      <c r="DI221">
        <f t="shared" si="411"/>
        <v>0</v>
      </c>
      <c r="DJ221">
        <f t="shared" si="411"/>
        <v>0</v>
      </c>
      <c r="DK221">
        <f t="shared" si="411"/>
        <v>0</v>
      </c>
      <c r="DL221">
        <f t="shared" si="411"/>
        <v>0</v>
      </c>
      <c r="DM221">
        <f t="shared" si="411"/>
        <v>0</v>
      </c>
      <c r="DN221">
        <f t="shared" si="411"/>
        <v>0</v>
      </c>
      <c r="DO221">
        <f t="shared" si="411"/>
        <v>0</v>
      </c>
      <c r="DP221">
        <f t="shared" si="411"/>
        <v>0</v>
      </c>
      <c r="DQ221">
        <f t="shared" si="412"/>
        <v>0</v>
      </c>
      <c r="DR221">
        <f t="shared" si="412"/>
        <v>0</v>
      </c>
      <c r="DS221">
        <f t="shared" si="412"/>
        <v>0</v>
      </c>
      <c r="DT221">
        <f t="shared" si="412"/>
        <v>0</v>
      </c>
      <c r="DU221">
        <f t="shared" si="412"/>
        <v>0</v>
      </c>
      <c r="DV221">
        <f t="shared" si="412"/>
        <v>0</v>
      </c>
      <c r="DW221">
        <f t="shared" si="412"/>
        <v>0</v>
      </c>
      <c r="DX221">
        <f t="shared" si="412"/>
        <v>0</v>
      </c>
      <c r="DY221">
        <f t="shared" si="412"/>
        <v>0</v>
      </c>
      <c r="DZ221">
        <f t="shared" si="412"/>
        <v>0</v>
      </c>
      <c r="EA221">
        <f t="shared" ref="EA221:EF221" si="414">IF($C221&lt;&gt;"",IF(BL220&gt;0,1,0),0)</f>
        <v>0</v>
      </c>
      <c r="EB221">
        <f t="shared" si="414"/>
        <v>0</v>
      </c>
      <c r="EC221">
        <f t="shared" si="414"/>
        <v>0</v>
      </c>
      <c r="ED221">
        <f t="shared" si="414"/>
        <v>0</v>
      </c>
      <c r="EE221">
        <f t="shared" si="414"/>
        <v>0</v>
      </c>
      <c r="EF221">
        <f t="shared" si="414"/>
        <v>0</v>
      </c>
    </row>
    <row r="222" spans="1:136" ht="15.5">
      <c r="A222" s="90"/>
      <c r="B222" s="19" t="s">
        <v>212</v>
      </c>
      <c r="C222" s="94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  <c r="AA222" s="18"/>
      <c r="AB222" s="18">
        <v>104.42035029190993</v>
      </c>
      <c r="AC222" s="18">
        <v>127.55884686590848</v>
      </c>
      <c r="AD222" s="18">
        <v>149.41140024783147</v>
      </c>
      <c r="AE222" s="18">
        <v>201.46067415730337</v>
      </c>
      <c r="AF222" s="18">
        <v>188.01980198019803</v>
      </c>
      <c r="AG222" s="18">
        <v>208.36212854181065</v>
      </c>
      <c r="AH222" s="18">
        <v>273.68421052631578</v>
      </c>
      <c r="AI222" s="18">
        <v>177.99227799227799</v>
      </c>
      <c r="AJ222" s="18">
        <v>160.18888485288775</v>
      </c>
      <c r="AK222" s="18">
        <v>220.82767978290366</v>
      </c>
      <c r="AL222" s="18">
        <v>106.43471754582865</v>
      </c>
      <c r="AM222" s="18">
        <v>78.163265306122454</v>
      </c>
      <c r="AN222" s="18">
        <v>40.672140538476221</v>
      </c>
      <c r="AO222" s="58">
        <v>24.749163879598662</v>
      </c>
      <c r="AP222" s="18">
        <v>14.763429384560654</v>
      </c>
      <c r="AQ222" s="18">
        <v>0</v>
      </c>
      <c r="AR222" s="58">
        <v>0</v>
      </c>
      <c r="AS222" s="58">
        <v>57.526881720430104</v>
      </c>
      <c r="AT222" s="58">
        <v>56.978417266187051</v>
      </c>
      <c r="AU222" s="58">
        <v>80.161943319838059</v>
      </c>
      <c r="AV222" s="58">
        <v>85.714285714285708</v>
      </c>
      <c r="AW222" s="58">
        <v>71.739130434782609</v>
      </c>
      <c r="AX222" s="58">
        <v>82.328482328482323</v>
      </c>
      <c r="AY222" s="58">
        <v>90</v>
      </c>
      <c r="AZ222" s="58">
        <v>60.606060606060609</v>
      </c>
      <c r="BA222" s="58">
        <v>10.537190082644628</v>
      </c>
      <c r="BB222" s="58">
        <v>10.625</v>
      </c>
      <c r="BC222" s="58">
        <v>0</v>
      </c>
      <c r="BD222" s="18">
        <v>0</v>
      </c>
      <c r="BE222" s="25">
        <v>0</v>
      </c>
      <c r="BF222" s="18">
        <v>112.26315789473684</v>
      </c>
      <c r="BG222" s="18">
        <v>123.21489001692048</v>
      </c>
      <c r="BH222" s="18">
        <v>118.21428571428571</v>
      </c>
      <c r="BI222" s="18">
        <v>93.620689655172413</v>
      </c>
      <c r="BJ222" s="113">
        <v>66.783216783216787</v>
      </c>
      <c r="BK222" s="113">
        <v>112</v>
      </c>
      <c r="BL222" s="113">
        <v>186.21973929236498</v>
      </c>
      <c r="BM222" s="113">
        <v>172.53278122843341</v>
      </c>
      <c r="BN222" s="113">
        <v>363.23333333333341</v>
      </c>
      <c r="BO222" s="154">
        <v>573.35581787521085</v>
      </c>
      <c r="BP222" s="113">
        <v>561.05610561056108</v>
      </c>
      <c r="BQ222" s="113">
        <v>18</v>
      </c>
      <c r="BR222" s="101"/>
      <c r="BS222">
        <f t="shared" si="407"/>
        <v>0</v>
      </c>
      <c r="BT222">
        <f t="shared" si="407"/>
        <v>0</v>
      </c>
      <c r="BU222">
        <f t="shared" si="407"/>
        <v>0</v>
      </c>
      <c r="BV222">
        <f t="shared" si="407"/>
        <v>0</v>
      </c>
      <c r="BW222">
        <f t="shared" si="407"/>
        <v>0</v>
      </c>
      <c r="BX222">
        <f t="shared" si="407"/>
        <v>0</v>
      </c>
      <c r="BY222">
        <f t="shared" si="407"/>
        <v>0</v>
      </c>
      <c r="BZ222">
        <f t="shared" si="407"/>
        <v>0</v>
      </c>
      <c r="CA222">
        <f t="shared" si="407"/>
        <v>0</v>
      </c>
      <c r="CB222">
        <f t="shared" si="407"/>
        <v>0</v>
      </c>
      <c r="CC222">
        <f t="shared" si="408"/>
        <v>0</v>
      </c>
      <c r="CD222">
        <f t="shared" si="408"/>
        <v>0</v>
      </c>
      <c r="CE222">
        <f t="shared" si="408"/>
        <v>0</v>
      </c>
      <c r="CF222">
        <f t="shared" si="408"/>
        <v>0</v>
      </c>
      <c r="CG222">
        <f t="shared" si="408"/>
        <v>0</v>
      </c>
      <c r="CH222">
        <f t="shared" si="408"/>
        <v>0</v>
      </c>
      <c r="CI222">
        <f t="shared" si="408"/>
        <v>0</v>
      </c>
      <c r="CJ222">
        <f t="shared" si="408"/>
        <v>0</v>
      </c>
      <c r="CK222">
        <f t="shared" si="408"/>
        <v>0</v>
      </c>
      <c r="CL222">
        <f t="shared" si="408"/>
        <v>0</v>
      </c>
      <c r="CM222">
        <f t="shared" si="409"/>
        <v>0</v>
      </c>
      <c r="CN222">
        <f t="shared" si="409"/>
        <v>0</v>
      </c>
      <c r="CO222">
        <f t="shared" si="409"/>
        <v>0</v>
      </c>
      <c r="CP222">
        <f t="shared" si="409"/>
        <v>0</v>
      </c>
      <c r="CQ222">
        <f t="shared" si="409"/>
        <v>0</v>
      </c>
      <c r="CR222">
        <f t="shared" si="409"/>
        <v>0</v>
      </c>
      <c r="CS222">
        <f t="shared" si="409"/>
        <v>0</v>
      </c>
      <c r="CT222">
        <f t="shared" si="409"/>
        <v>0</v>
      </c>
      <c r="CU222">
        <f t="shared" si="409"/>
        <v>0</v>
      </c>
      <c r="CV222">
        <f t="shared" si="409"/>
        <v>0</v>
      </c>
      <c r="CW222">
        <f t="shared" si="410"/>
        <v>0</v>
      </c>
      <c r="CX222">
        <f t="shared" si="410"/>
        <v>0</v>
      </c>
      <c r="CY222">
        <f t="shared" si="410"/>
        <v>0</v>
      </c>
      <c r="CZ222">
        <f t="shared" si="410"/>
        <v>0</v>
      </c>
      <c r="DA222">
        <f t="shared" si="410"/>
        <v>0</v>
      </c>
      <c r="DB222">
        <f t="shared" si="410"/>
        <v>0</v>
      </c>
      <c r="DC222">
        <f t="shared" si="410"/>
        <v>0</v>
      </c>
      <c r="DD222">
        <f t="shared" si="410"/>
        <v>0</v>
      </c>
      <c r="DE222">
        <f t="shared" si="410"/>
        <v>0</v>
      </c>
      <c r="DF222">
        <f t="shared" si="410"/>
        <v>0</v>
      </c>
      <c r="DG222">
        <f t="shared" si="411"/>
        <v>0</v>
      </c>
      <c r="DH222">
        <f t="shared" si="411"/>
        <v>0</v>
      </c>
      <c r="DI222">
        <f t="shared" si="411"/>
        <v>0</v>
      </c>
      <c r="DJ222">
        <f t="shared" si="411"/>
        <v>0</v>
      </c>
      <c r="DK222">
        <f t="shared" si="411"/>
        <v>0</v>
      </c>
      <c r="DL222">
        <f t="shared" si="411"/>
        <v>0</v>
      </c>
      <c r="DM222">
        <f t="shared" si="411"/>
        <v>0</v>
      </c>
      <c r="DN222">
        <f t="shared" si="411"/>
        <v>0</v>
      </c>
      <c r="DO222">
        <f t="shared" si="411"/>
        <v>0</v>
      </c>
      <c r="DP222">
        <f t="shared" si="411"/>
        <v>0</v>
      </c>
      <c r="DQ222">
        <f t="shared" si="412"/>
        <v>0</v>
      </c>
      <c r="DR222">
        <f t="shared" si="412"/>
        <v>0</v>
      </c>
      <c r="DS222">
        <f t="shared" si="412"/>
        <v>0</v>
      </c>
      <c r="DT222">
        <f t="shared" si="412"/>
        <v>0</v>
      </c>
      <c r="DU222">
        <f t="shared" si="412"/>
        <v>0</v>
      </c>
      <c r="DV222">
        <f t="shared" si="412"/>
        <v>0</v>
      </c>
      <c r="DW222">
        <f t="shared" si="412"/>
        <v>0</v>
      </c>
      <c r="DX222">
        <f t="shared" si="412"/>
        <v>0</v>
      </c>
      <c r="DY222">
        <f t="shared" si="412"/>
        <v>0</v>
      </c>
      <c r="DZ222">
        <f t="shared" si="412"/>
        <v>0</v>
      </c>
      <c r="EA222">
        <f t="shared" ref="EA222:EF222" si="415">IF($C222&lt;&gt;"",IF(BL222&gt;0,1,0),0)</f>
        <v>0</v>
      </c>
      <c r="EB222">
        <f t="shared" si="415"/>
        <v>0</v>
      </c>
      <c r="EC222">
        <f t="shared" si="415"/>
        <v>0</v>
      </c>
      <c r="ED222">
        <f t="shared" si="415"/>
        <v>0</v>
      </c>
      <c r="EE222">
        <f t="shared" si="415"/>
        <v>0</v>
      </c>
      <c r="EF222">
        <f t="shared" si="415"/>
        <v>0</v>
      </c>
    </row>
    <row r="223" spans="1:136" ht="15.5">
      <c r="A223" s="90"/>
      <c r="B223" s="19"/>
      <c r="C223" s="94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  <c r="AA223" s="58"/>
      <c r="AB223" s="58"/>
      <c r="AC223" s="58"/>
      <c r="AD223" s="58"/>
      <c r="AE223" s="58"/>
      <c r="AF223" s="58"/>
      <c r="AG223" s="58"/>
      <c r="AH223" s="58"/>
      <c r="AI223" s="58"/>
      <c r="AJ223" s="58"/>
      <c r="AK223" s="58"/>
      <c r="AL223" s="58"/>
      <c r="AM223" s="58"/>
      <c r="AN223" s="58"/>
      <c r="AO223" s="58"/>
      <c r="AP223" s="58"/>
      <c r="AQ223" s="58"/>
      <c r="AR223" s="58"/>
      <c r="AS223" s="58"/>
      <c r="AT223" s="58"/>
      <c r="AU223" s="58"/>
      <c r="AV223" s="58"/>
      <c r="AW223" s="58"/>
      <c r="AX223" s="58"/>
      <c r="AY223" s="58"/>
      <c r="AZ223" s="58"/>
      <c r="BA223" s="58"/>
      <c r="BB223" s="58"/>
      <c r="BC223" s="58"/>
      <c r="BD223" s="58"/>
      <c r="BE223" s="58"/>
      <c r="BF223" s="58"/>
      <c r="BG223" s="58"/>
      <c r="BH223" s="113"/>
      <c r="BI223" s="2"/>
      <c r="BJ223" s="2"/>
      <c r="BK223" s="2"/>
      <c r="BL223" s="22"/>
      <c r="BM223" s="2"/>
      <c r="BN223" s="2"/>
      <c r="BO223" s="2"/>
      <c r="BP223" s="2"/>
      <c r="BQ223" s="2"/>
      <c r="BR223" s="101"/>
    </row>
    <row r="224" spans="1:136" ht="15.5">
      <c r="A224" s="93">
        <v>24</v>
      </c>
      <c r="B224" s="54" t="s">
        <v>40</v>
      </c>
      <c r="C224" s="94">
        <v>4</v>
      </c>
      <c r="D224" s="18"/>
      <c r="E224" s="22"/>
      <c r="F224" s="22">
        <f t="shared" ref="F224:AK224" si="416">SUM(F225:F228)</f>
        <v>0</v>
      </c>
      <c r="G224" s="22">
        <f t="shared" si="416"/>
        <v>0</v>
      </c>
      <c r="H224" s="22">
        <f t="shared" si="416"/>
        <v>0</v>
      </c>
      <c r="I224" s="22">
        <f t="shared" si="416"/>
        <v>0</v>
      </c>
      <c r="J224" s="22">
        <f t="shared" si="416"/>
        <v>0</v>
      </c>
      <c r="K224" s="22">
        <f t="shared" si="416"/>
        <v>0</v>
      </c>
      <c r="L224" s="22">
        <f t="shared" si="416"/>
        <v>0</v>
      </c>
      <c r="M224" s="22">
        <f t="shared" si="416"/>
        <v>0</v>
      </c>
      <c r="N224" s="22">
        <f t="shared" si="416"/>
        <v>0</v>
      </c>
      <c r="O224" s="22">
        <f t="shared" si="416"/>
        <v>5.1408000000000002E-2</v>
      </c>
      <c r="P224" s="22">
        <f t="shared" si="416"/>
        <v>0.15615299999999999</v>
      </c>
      <c r="Q224" s="22">
        <f t="shared" si="416"/>
        <v>0.30706600000000001</v>
      </c>
      <c r="R224" s="22">
        <f t="shared" si="416"/>
        <v>0</v>
      </c>
      <c r="S224" s="22">
        <f t="shared" si="416"/>
        <v>0</v>
      </c>
      <c r="T224" s="22">
        <f t="shared" si="416"/>
        <v>0</v>
      </c>
      <c r="U224" s="22">
        <f t="shared" si="416"/>
        <v>0</v>
      </c>
      <c r="V224" s="22">
        <f t="shared" si="416"/>
        <v>0</v>
      </c>
      <c r="W224" s="22">
        <f t="shared" si="416"/>
        <v>0</v>
      </c>
      <c r="X224" s="22">
        <f t="shared" si="416"/>
        <v>0</v>
      </c>
      <c r="Y224" s="22">
        <f t="shared" si="416"/>
        <v>0</v>
      </c>
      <c r="Z224" s="22">
        <f t="shared" si="416"/>
        <v>2.6004999999999998</v>
      </c>
      <c r="AA224" s="22">
        <f t="shared" si="416"/>
        <v>5.0481999999999996</v>
      </c>
      <c r="AB224" s="22">
        <f t="shared" si="416"/>
        <v>5.3934570000000006</v>
      </c>
      <c r="AC224" s="22">
        <f t="shared" si="416"/>
        <v>7.32057</v>
      </c>
      <c r="AD224" s="22">
        <f t="shared" si="416"/>
        <v>9.8321129999999997</v>
      </c>
      <c r="AE224" s="22">
        <f t="shared" si="416"/>
        <v>10.974012999999999</v>
      </c>
      <c r="AF224" s="22">
        <f t="shared" si="416"/>
        <v>1.7297200000000001</v>
      </c>
      <c r="AG224" s="22">
        <f t="shared" si="416"/>
        <v>14.617685</v>
      </c>
      <c r="AH224" s="22">
        <f t="shared" si="416"/>
        <v>0.72998200000000002</v>
      </c>
      <c r="AI224" s="22">
        <f t="shared" si="416"/>
        <v>6.9691000000000003E-2</v>
      </c>
      <c r="AJ224" s="22">
        <f t="shared" si="416"/>
        <v>6.1707039999999997</v>
      </c>
      <c r="AK224" s="22">
        <f t="shared" si="416"/>
        <v>13.271309</v>
      </c>
      <c r="AL224" s="22">
        <f t="shared" ref="AL224:BL224" si="417">SUM(AL225:AL228)</f>
        <v>12.705122999999999</v>
      </c>
      <c r="AM224" s="22">
        <f t="shared" si="417"/>
        <v>5.8813009999999997</v>
      </c>
      <c r="AN224" s="22">
        <f t="shared" si="417"/>
        <v>19.903632000000002</v>
      </c>
      <c r="AO224" s="22">
        <f t="shared" si="417"/>
        <v>35.526890999999999</v>
      </c>
      <c r="AP224" s="22">
        <f t="shared" si="417"/>
        <v>56.149840999999995</v>
      </c>
      <c r="AQ224" s="22">
        <f t="shared" si="417"/>
        <v>78.436410999999993</v>
      </c>
      <c r="AR224" s="22">
        <f t="shared" si="417"/>
        <v>101.81277399999999</v>
      </c>
      <c r="AS224" s="22">
        <f t="shared" si="417"/>
        <v>106.5866</v>
      </c>
      <c r="AT224" s="22">
        <f t="shared" si="417"/>
        <v>131.9666</v>
      </c>
      <c r="AU224" s="22">
        <f t="shared" si="417"/>
        <v>161.459</v>
      </c>
      <c r="AV224" s="22">
        <f t="shared" si="417"/>
        <v>140.652446</v>
      </c>
      <c r="AW224" s="22">
        <f t="shared" si="417"/>
        <v>110.565076</v>
      </c>
      <c r="AX224" s="22">
        <f t="shared" si="417"/>
        <v>140.39271399999998</v>
      </c>
      <c r="AY224" s="22">
        <f t="shared" si="417"/>
        <v>106.7239149</v>
      </c>
      <c r="AZ224" s="22">
        <f t="shared" si="417"/>
        <v>117.74386780000002</v>
      </c>
      <c r="BA224" s="22">
        <f t="shared" si="417"/>
        <v>895.64923820000001</v>
      </c>
      <c r="BB224" s="22">
        <f t="shared" si="417"/>
        <v>48.048810600000003</v>
      </c>
      <c r="BC224" s="22">
        <f t="shared" si="417"/>
        <v>47.846722200000002</v>
      </c>
      <c r="BD224" s="22">
        <f t="shared" si="417"/>
        <v>4.8929999999999998</v>
      </c>
      <c r="BE224" s="22">
        <f t="shared" si="417"/>
        <v>6.5220000000000002</v>
      </c>
      <c r="BF224" s="22">
        <f t="shared" si="417"/>
        <v>5.5819999999999999</v>
      </c>
      <c r="BG224" s="22">
        <f t="shared" si="417"/>
        <v>5.9820000000000002</v>
      </c>
      <c r="BH224" s="22">
        <f t="shared" si="417"/>
        <v>5.9020666999999998</v>
      </c>
      <c r="BI224" s="22">
        <f t="shared" si="417"/>
        <v>5.5648482999999995</v>
      </c>
      <c r="BJ224" s="22">
        <f t="shared" si="417"/>
        <v>5.5517816</v>
      </c>
      <c r="BK224" s="22">
        <f t="shared" si="417"/>
        <v>5.5767655999999999</v>
      </c>
      <c r="BL224" s="22">
        <f t="shared" si="417"/>
        <v>6.3639999999999999</v>
      </c>
      <c r="BM224" s="22">
        <f>SUM(BM226:BM228)</f>
        <v>6.383</v>
      </c>
      <c r="BN224" s="22">
        <f>SUM(BN226:BN228)</f>
        <v>6.4699777999999997</v>
      </c>
      <c r="BO224" s="22">
        <f>SUM(BO226:BO228)</f>
        <v>6</v>
      </c>
      <c r="BP224" s="22">
        <f>SUM(BP226:BP228)</f>
        <v>6.0113709999999996</v>
      </c>
      <c r="BQ224" s="22">
        <f>SUM(BQ226:BQ228)</f>
        <v>6</v>
      </c>
      <c r="BR224" s="101"/>
      <c r="BS224">
        <f t="shared" ref="BS224:CB229" si="418">IF($C224&lt;&gt;"",IF(D224&gt;0,1,0),0)</f>
        <v>0</v>
      </c>
      <c r="BT224">
        <f t="shared" si="418"/>
        <v>0</v>
      </c>
      <c r="BU224">
        <f t="shared" si="418"/>
        <v>0</v>
      </c>
      <c r="BV224">
        <f t="shared" si="418"/>
        <v>0</v>
      </c>
      <c r="BW224">
        <f t="shared" si="418"/>
        <v>0</v>
      </c>
      <c r="BX224">
        <f t="shared" si="418"/>
        <v>0</v>
      </c>
      <c r="BY224">
        <f t="shared" si="418"/>
        <v>0</v>
      </c>
      <c r="BZ224">
        <f t="shared" si="418"/>
        <v>0</v>
      </c>
      <c r="CA224">
        <f t="shared" si="418"/>
        <v>0</v>
      </c>
      <c r="CB224">
        <f t="shared" si="418"/>
        <v>0</v>
      </c>
      <c r="CC224">
        <f t="shared" ref="CC224:CL229" si="419">IF($C224&lt;&gt;"",IF(N224&gt;0,1,0),0)</f>
        <v>0</v>
      </c>
      <c r="CD224">
        <f t="shared" si="419"/>
        <v>1</v>
      </c>
      <c r="CE224">
        <f t="shared" si="419"/>
        <v>1</v>
      </c>
      <c r="CF224">
        <f t="shared" si="419"/>
        <v>1</v>
      </c>
      <c r="CG224">
        <f t="shared" si="419"/>
        <v>0</v>
      </c>
      <c r="CH224">
        <f t="shared" si="419"/>
        <v>0</v>
      </c>
      <c r="CI224">
        <f t="shared" si="419"/>
        <v>0</v>
      </c>
      <c r="CJ224">
        <f t="shared" si="419"/>
        <v>0</v>
      </c>
      <c r="CK224">
        <f t="shared" si="419"/>
        <v>0</v>
      </c>
      <c r="CL224">
        <f t="shared" si="419"/>
        <v>0</v>
      </c>
      <c r="CM224">
        <f t="shared" ref="CM224:CV229" si="420">IF($C224&lt;&gt;"",IF(X224&gt;0,1,0),0)</f>
        <v>0</v>
      </c>
      <c r="CN224">
        <f t="shared" si="420"/>
        <v>0</v>
      </c>
      <c r="CO224">
        <f t="shared" si="420"/>
        <v>1</v>
      </c>
      <c r="CP224">
        <f t="shared" si="420"/>
        <v>1</v>
      </c>
      <c r="CQ224">
        <f t="shared" si="420"/>
        <v>1</v>
      </c>
      <c r="CR224">
        <f t="shared" si="420"/>
        <v>1</v>
      </c>
      <c r="CS224">
        <f t="shared" si="420"/>
        <v>1</v>
      </c>
      <c r="CT224">
        <f t="shared" si="420"/>
        <v>1</v>
      </c>
      <c r="CU224">
        <f t="shared" si="420"/>
        <v>1</v>
      </c>
      <c r="CV224">
        <f t="shared" si="420"/>
        <v>1</v>
      </c>
      <c r="CW224">
        <f t="shared" ref="CW224:DF229" si="421">IF($C224&lt;&gt;"",IF(AH224&gt;0,1,0),0)</f>
        <v>1</v>
      </c>
      <c r="CX224">
        <f t="shared" si="421"/>
        <v>1</v>
      </c>
      <c r="CY224">
        <f t="shared" si="421"/>
        <v>1</v>
      </c>
      <c r="CZ224">
        <f t="shared" si="421"/>
        <v>1</v>
      </c>
      <c r="DA224">
        <f t="shared" si="421"/>
        <v>1</v>
      </c>
      <c r="DB224">
        <f t="shared" si="421"/>
        <v>1</v>
      </c>
      <c r="DC224">
        <f t="shared" si="421"/>
        <v>1</v>
      </c>
      <c r="DD224">
        <f t="shared" si="421"/>
        <v>1</v>
      </c>
      <c r="DE224">
        <f t="shared" si="421"/>
        <v>1</v>
      </c>
      <c r="DF224">
        <f t="shared" si="421"/>
        <v>1</v>
      </c>
      <c r="DG224">
        <f t="shared" ref="DG224:DP229" si="422">IF($C224&lt;&gt;"",IF(AR224&gt;0,1,0),0)</f>
        <v>1</v>
      </c>
      <c r="DH224">
        <f t="shared" si="422"/>
        <v>1</v>
      </c>
      <c r="DI224">
        <f t="shared" si="422"/>
        <v>1</v>
      </c>
      <c r="DJ224">
        <f t="shared" si="422"/>
        <v>1</v>
      </c>
      <c r="DK224">
        <f t="shared" si="422"/>
        <v>1</v>
      </c>
      <c r="DL224">
        <f t="shared" si="422"/>
        <v>1</v>
      </c>
      <c r="DM224">
        <f t="shared" si="422"/>
        <v>1</v>
      </c>
      <c r="DN224">
        <f t="shared" si="422"/>
        <v>1</v>
      </c>
      <c r="DO224">
        <f t="shared" si="422"/>
        <v>1</v>
      </c>
      <c r="DP224">
        <f t="shared" si="422"/>
        <v>1</v>
      </c>
      <c r="DQ224">
        <f t="shared" ref="DQ224:DZ229" si="423">IF($C224&lt;&gt;"",IF(BB224&gt;0,1,0),0)</f>
        <v>1</v>
      </c>
      <c r="DR224">
        <f t="shared" si="423"/>
        <v>1</v>
      </c>
      <c r="DS224">
        <f t="shared" si="423"/>
        <v>1</v>
      </c>
      <c r="DT224">
        <f t="shared" si="423"/>
        <v>1</v>
      </c>
      <c r="DU224">
        <f t="shared" si="423"/>
        <v>1</v>
      </c>
      <c r="DV224">
        <f t="shared" si="423"/>
        <v>1</v>
      </c>
      <c r="DW224">
        <f t="shared" si="423"/>
        <v>1</v>
      </c>
      <c r="DX224">
        <f t="shared" si="423"/>
        <v>1</v>
      </c>
      <c r="DY224">
        <f t="shared" si="423"/>
        <v>1</v>
      </c>
      <c r="DZ224">
        <f t="shared" si="423"/>
        <v>1</v>
      </c>
      <c r="EA224">
        <f t="shared" ref="EA224:EF229" si="424">IF($C224&lt;&gt;"",IF(BL224&gt;0,1,0),0)</f>
        <v>1</v>
      </c>
      <c r="EB224">
        <f t="shared" si="424"/>
        <v>1</v>
      </c>
      <c r="EC224">
        <f t="shared" si="424"/>
        <v>1</v>
      </c>
      <c r="ED224">
        <f t="shared" si="424"/>
        <v>1</v>
      </c>
      <c r="EE224">
        <f t="shared" si="424"/>
        <v>1</v>
      </c>
      <c r="EF224">
        <f t="shared" si="424"/>
        <v>1</v>
      </c>
    </row>
    <row r="225" spans="1:136" ht="15.5">
      <c r="A225" s="90"/>
      <c r="B225" s="19" t="s">
        <v>2</v>
      </c>
      <c r="C225" s="94"/>
      <c r="D225" s="18"/>
      <c r="E225" s="18"/>
      <c r="F225" s="18">
        <v>0</v>
      </c>
      <c r="G225" s="18">
        <v>0</v>
      </c>
      <c r="H225" s="18">
        <v>0</v>
      </c>
      <c r="I225" s="18">
        <v>0</v>
      </c>
      <c r="J225" s="18">
        <v>0</v>
      </c>
      <c r="K225" s="18">
        <v>0</v>
      </c>
      <c r="L225" s="18">
        <v>0</v>
      </c>
      <c r="M225" s="18">
        <v>0</v>
      </c>
      <c r="N225" s="18">
        <v>0</v>
      </c>
      <c r="O225" s="18">
        <v>0</v>
      </c>
      <c r="P225" s="18">
        <v>0</v>
      </c>
      <c r="Q225" s="18">
        <v>0</v>
      </c>
      <c r="R225" s="18">
        <v>0</v>
      </c>
      <c r="S225" s="18">
        <v>0</v>
      </c>
      <c r="T225" s="18">
        <v>0</v>
      </c>
      <c r="U225" s="18">
        <v>0</v>
      </c>
      <c r="V225" s="18">
        <v>0</v>
      </c>
      <c r="W225" s="18">
        <v>0</v>
      </c>
      <c r="X225" s="18">
        <v>0</v>
      </c>
      <c r="Y225" s="18">
        <v>0</v>
      </c>
      <c r="Z225" s="18">
        <v>0</v>
      </c>
      <c r="AA225" s="18">
        <v>0</v>
      </c>
      <c r="AB225" s="18">
        <v>0</v>
      </c>
      <c r="AC225" s="18">
        <v>0</v>
      </c>
      <c r="AD225" s="18">
        <v>0</v>
      </c>
      <c r="AE225" s="18">
        <v>0</v>
      </c>
      <c r="AF225" s="18">
        <v>0</v>
      </c>
      <c r="AG225" s="18">
        <v>0</v>
      </c>
      <c r="AH225" s="18">
        <v>0</v>
      </c>
      <c r="AI225" s="18">
        <v>0</v>
      </c>
      <c r="AJ225" s="18">
        <v>0</v>
      </c>
      <c r="AK225" s="18">
        <v>0</v>
      </c>
      <c r="AL225" s="18">
        <v>0</v>
      </c>
      <c r="AM225" s="18">
        <v>0</v>
      </c>
      <c r="AN225" s="18">
        <v>0</v>
      </c>
      <c r="AO225" s="18">
        <v>0</v>
      </c>
      <c r="AP225" s="18">
        <v>0</v>
      </c>
      <c r="AQ225" s="18">
        <v>0</v>
      </c>
      <c r="AR225" s="18">
        <v>0</v>
      </c>
      <c r="AS225" s="18">
        <v>0</v>
      </c>
      <c r="AT225" s="18">
        <v>0</v>
      </c>
      <c r="AU225" s="40" t="s">
        <v>22</v>
      </c>
      <c r="AV225" s="18">
        <v>85</v>
      </c>
      <c r="AW225" s="18">
        <v>85</v>
      </c>
      <c r="AX225" s="18">
        <v>0</v>
      </c>
      <c r="AY225" s="18">
        <v>0</v>
      </c>
      <c r="AZ225" s="40" t="s">
        <v>22</v>
      </c>
      <c r="BA225" s="18">
        <v>134</v>
      </c>
      <c r="BB225" s="58">
        <v>0</v>
      </c>
      <c r="BC225" s="58">
        <v>0</v>
      </c>
      <c r="BD225" s="58">
        <v>0</v>
      </c>
      <c r="BE225" s="58">
        <v>0</v>
      </c>
      <c r="BF225" s="58">
        <v>0</v>
      </c>
      <c r="BG225" s="58">
        <v>0</v>
      </c>
      <c r="BH225" s="58">
        <v>0</v>
      </c>
      <c r="BI225" s="58">
        <v>0</v>
      </c>
      <c r="BJ225" s="58">
        <v>0</v>
      </c>
      <c r="BK225" s="58">
        <v>0</v>
      </c>
      <c r="BL225" s="58">
        <v>0</v>
      </c>
      <c r="BM225" s="58">
        <v>0</v>
      </c>
      <c r="BN225" s="58">
        <v>0</v>
      </c>
      <c r="BO225" s="58">
        <v>0</v>
      </c>
      <c r="BP225" s="58">
        <v>0</v>
      </c>
      <c r="BQ225" s="58">
        <v>0</v>
      </c>
      <c r="BR225" s="101"/>
      <c r="BS225">
        <f t="shared" si="418"/>
        <v>0</v>
      </c>
      <c r="BT225">
        <f t="shared" si="418"/>
        <v>0</v>
      </c>
      <c r="BU225">
        <f t="shared" si="418"/>
        <v>0</v>
      </c>
      <c r="BV225">
        <f t="shared" si="418"/>
        <v>0</v>
      </c>
      <c r="BW225">
        <f t="shared" si="418"/>
        <v>0</v>
      </c>
      <c r="BX225">
        <f t="shared" si="418"/>
        <v>0</v>
      </c>
      <c r="BY225">
        <f t="shared" si="418"/>
        <v>0</v>
      </c>
      <c r="BZ225">
        <f t="shared" si="418"/>
        <v>0</v>
      </c>
      <c r="CA225">
        <f t="shared" si="418"/>
        <v>0</v>
      </c>
      <c r="CB225">
        <f t="shared" si="418"/>
        <v>0</v>
      </c>
      <c r="CC225">
        <f t="shared" si="419"/>
        <v>0</v>
      </c>
      <c r="CD225">
        <f t="shared" si="419"/>
        <v>0</v>
      </c>
      <c r="CE225">
        <f t="shared" si="419"/>
        <v>0</v>
      </c>
      <c r="CF225">
        <f t="shared" si="419"/>
        <v>0</v>
      </c>
      <c r="CG225">
        <f t="shared" si="419"/>
        <v>0</v>
      </c>
      <c r="CH225">
        <f t="shared" si="419"/>
        <v>0</v>
      </c>
      <c r="CI225">
        <f t="shared" si="419"/>
        <v>0</v>
      </c>
      <c r="CJ225">
        <f t="shared" si="419"/>
        <v>0</v>
      </c>
      <c r="CK225">
        <f t="shared" si="419"/>
        <v>0</v>
      </c>
      <c r="CL225">
        <f t="shared" si="419"/>
        <v>0</v>
      </c>
      <c r="CM225">
        <f t="shared" si="420"/>
        <v>0</v>
      </c>
      <c r="CN225">
        <f t="shared" si="420"/>
        <v>0</v>
      </c>
      <c r="CO225">
        <f t="shared" si="420"/>
        <v>0</v>
      </c>
      <c r="CP225">
        <f t="shared" si="420"/>
        <v>0</v>
      </c>
      <c r="CQ225">
        <f t="shared" si="420"/>
        <v>0</v>
      </c>
      <c r="CR225">
        <f t="shared" si="420"/>
        <v>0</v>
      </c>
      <c r="CS225">
        <f t="shared" si="420"/>
        <v>0</v>
      </c>
      <c r="CT225">
        <f t="shared" si="420"/>
        <v>0</v>
      </c>
      <c r="CU225">
        <f t="shared" si="420"/>
        <v>0</v>
      </c>
      <c r="CV225">
        <f t="shared" si="420"/>
        <v>0</v>
      </c>
      <c r="CW225">
        <f t="shared" si="421"/>
        <v>0</v>
      </c>
      <c r="CX225">
        <f t="shared" si="421"/>
        <v>0</v>
      </c>
      <c r="CY225">
        <f t="shared" si="421"/>
        <v>0</v>
      </c>
      <c r="CZ225">
        <f t="shared" si="421"/>
        <v>0</v>
      </c>
      <c r="DA225">
        <f t="shared" si="421"/>
        <v>0</v>
      </c>
      <c r="DB225">
        <f t="shared" si="421"/>
        <v>0</v>
      </c>
      <c r="DC225">
        <f t="shared" si="421"/>
        <v>0</v>
      </c>
      <c r="DD225">
        <f t="shared" si="421"/>
        <v>0</v>
      </c>
      <c r="DE225">
        <f t="shared" si="421"/>
        <v>0</v>
      </c>
      <c r="DF225">
        <f t="shared" si="421"/>
        <v>0</v>
      </c>
      <c r="DG225">
        <f t="shared" si="422"/>
        <v>0</v>
      </c>
      <c r="DH225">
        <f t="shared" si="422"/>
        <v>0</v>
      </c>
      <c r="DI225">
        <f t="shared" si="422"/>
        <v>0</v>
      </c>
      <c r="DJ225">
        <f t="shared" si="422"/>
        <v>0</v>
      </c>
      <c r="DK225">
        <f t="shared" si="422"/>
        <v>0</v>
      </c>
      <c r="DL225">
        <f t="shared" si="422"/>
        <v>0</v>
      </c>
      <c r="DM225">
        <f t="shared" si="422"/>
        <v>0</v>
      </c>
      <c r="DN225">
        <f t="shared" si="422"/>
        <v>0</v>
      </c>
      <c r="DO225">
        <f t="shared" si="422"/>
        <v>0</v>
      </c>
      <c r="DP225">
        <f t="shared" si="422"/>
        <v>0</v>
      </c>
      <c r="DQ225">
        <f t="shared" si="423"/>
        <v>0</v>
      </c>
      <c r="DR225">
        <f t="shared" si="423"/>
        <v>0</v>
      </c>
      <c r="DS225">
        <f t="shared" si="423"/>
        <v>0</v>
      </c>
      <c r="DT225">
        <f t="shared" si="423"/>
        <v>0</v>
      </c>
      <c r="DU225">
        <f t="shared" si="423"/>
        <v>0</v>
      </c>
      <c r="DV225">
        <f t="shared" si="423"/>
        <v>0</v>
      </c>
      <c r="DW225">
        <f t="shared" si="423"/>
        <v>0</v>
      </c>
      <c r="DX225">
        <f t="shared" si="423"/>
        <v>0</v>
      </c>
      <c r="DY225">
        <f t="shared" si="423"/>
        <v>0</v>
      </c>
      <c r="DZ225">
        <f t="shared" si="423"/>
        <v>0</v>
      </c>
      <c r="EA225">
        <f t="shared" si="424"/>
        <v>0</v>
      </c>
      <c r="EB225">
        <f t="shared" si="424"/>
        <v>0</v>
      </c>
      <c r="EC225">
        <f t="shared" si="424"/>
        <v>0</v>
      </c>
      <c r="ED225">
        <f t="shared" si="424"/>
        <v>0</v>
      </c>
      <c r="EE225">
        <f t="shared" si="424"/>
        <v>0</v>
      </c>
      <c r="EF225">
        <f t="shared" si="424"/>
        <v>0</v>
      </c>
    </row>
    <row r="226" spans="1:136" ht="15.5">
      <c r="A226" s="90"/>
      <c r="B226" s="19" t="s">
        <v>205</v>
      </c>
      <c r="C226" s="94"/>
      <c r="D226" s="18"/>
      <c r="E226" s="18"/>
      <c r="F226" s="18">
        <v>0</v>
      </c>
      <c r="G226" s="18">
        <v>0</v>
      </c>
      <c r="H226" s="18">
        <v>0</v>
      </c>
      <c r="I226" s="18">
        <v>0</v>
      </c>
      <c r="J226" s="18">
        <v>0</v>
      </c>
      <c r="K226" s="18">
        <v>0</v>
      </c>
      <c r="L226" s="18">
        <v>0</v>
      </c>
      <c r="M226" s="18">
        <v>0</v>
      </c>
      <c r="N226" s="18">
        <v>0</v>
      </c>
      <c r="O226" s="18">
        <v>0</v>
      </c>
      <c r="P226" s="18">
        <v>0</v>
      </c>
      <c r="Q226" s="18">
        <v>0</v>
      </c>
      <c r="R226" s="18">
        <v>0</v>
      </c>
      <c r="S226" s="18">
        <v>0</v>
      </c>
      <c r="T226" s="18">
        <v>0</v>
      </c>
      <c r="U226" s="18">
        <v>0</v>
      </c>
      <c r="V226" s="18">
        <v>0</v>
      </c>
      <c r="W226" s="18">
        <v>0</v>
      </c>
      <c r="X226" s="18">
        <v>0</v>
      </c>
      <c r="Y226" s="18">
        <v>0</v>
      </c>
      <c r="Z226" s="168">
        <f>2600500/1000000</f>
        <v>2.6004999999999998</v>
      </c>
      <c r="AA226" s="168">
        <f>5048200/1000000</f>
        <v>5.0481999999999996</v>
      </c>
      <c r="AB226" s="168">
        <f>5365350/1000000</f>
        <v>5.3653500000000003</v>
      </c>
      <c r="AC226" s="168">
        <f>6247000/1000000</f>
        <v>6.2469999999999999</v>
      </c>
      <c r="AD226" s="168">
        <f>6716750/1000000</f>
        <v>6.7167500000000002</v>
      </c>
      <c r="AE226" s="168">
        <f>8059950/1000000</f>
        <v>8.0599500000000006</v>
      </c>
      <c r="AF226" s="18">
        <v>0</v>
      </c>
      <c r="AG226" s="168">
        <f>13296975/1000000</f>
        <v>13.296975</v>
      </c>
      <c r="AH226" s="18">
        <v>0</v>
      </c>
      <c r="AI226" s="18">
        <v>0</v>
      </c>
      <c r="AJ226" s="168">
        <f>666000/1000000</f>
        <v>0.66600000000000004</v>
      </c>
      <c r="AK226" s="18">
        <v>0</v>
      </c>
      <c r="AL226" s="18">
        <v>0</v>
      </c>
      <c r="AM226" s="168">
        <f>666000/1000000</f>
        <v>0.66600000000000004</v>
      </c>
      <c r="AN226" s="168">
        <f>2345921.3/1000000</f>
        <v>2.3459212999999997</v>
      </c>
      <c r="AO226" s="168">
        <f>3203928.4/1000000</f>
        <v>3.2039284000000001</v>
      </c>
      <c r="AP226" s="168">
        <f>6838176.7/1000000</f>
        <v>6.8381767</v>
      </c>
      <c r="AQ226" s="168">
        <f>12121827.2/1000000</f>
        <v>12.121827199999998</v>
      </c>
      <c r="AR226" s="168">
        <f>13800886.3/1000000</f>
        <v>13.8008863</v>
      </c>
      <c r="AS226" s="18">
        <v>16.8</v>
      </c>
      <c r="AT226" s="18">
        <v>0</v>
      </c>
      <c r="AU226" s="71">
        <v>0</v>
      </c>
      <c r="AV226" s="18">
        <v>0</v>
      </c>
      <c r="AW226" s="18">
        <v>0</v>
      </c>
      <c r="AX226" s="18">
        <v>0</v>
      </c>
      <c r="AY226" s="18">
        <v>15</v>
      </c>
      <c r="AZ226" s="71">
        <v>0</v>
      </c>
      <c r="BA226" s="18">
        <v>0</v>
      </c>
      <c r="BB226" s="58">
        <v>0</v>
      </c>
      <c r="BC226" s="58">
        <v>0</v>
      </c>
      <c r="BD226" s="58">
        <v>0</v>
      </c>
      <c r="BE226" s="58">
        <v>0</v>
      </c>
      <c r="BF226" s="58">
        <v>0</v>
      </c>
      <c r="BG226" s="58">
        <v>0</v>
      </c>
      <c r="BH226" s="58">
        <v>0</v>
      </c>
      <c r="BI226" s="58">
        <v>0</v>
      </c>
      <c r="BJ226" s="58">
        <v>0</v>
      </c>
      <c r="BK226" s="58">
        <v>0</v>
      </c>
      <c r="BL226" s="40">
        <v>0.36399999999999999</v>
      </c>
      <c r="BM226" s="40">
        <v>0.38300000000000001</v>
      </c>
      <c r="BN226" s="58">
        <v>0</v>
      </c>
      <c r="BO226" s="58">
        <v>0</v>
      </c>
      <c r="BP226" s="58">
        <f>11371/1000000</f>
        <v>1.1370999999999999E-2</v>
      </c>
      <c r="BQ226" s="58">
        <v>0</v>
      </c>
      <c r="BR226" s="101"/>
      <c r="BS226">
        <f t="shared" si="418"/>
        <v>0</v>
      </c>
      <c r="BT226">
        <f t="shared" si="418"/>
        <v>0</v>
      </c>
      <c r="BU226">
        <f t="shared" si="418"/>
        <v>0</v>
      </c>
      <c r="BV226">
        <f t="shared" si="418"/>
        <v>0</v>
      </c>
      <c r="BW226">
        <f t="shared" si="418"/>
        <v>0</v>
      </c>
      <c r="BX226">
        <f t="shared" si="418"/>
        <v>0</v>
      </c>
      <c r="BY226">
        <f t="shared" si="418"/>
        <v>0</v>
      </c>
      <c r="BZ226">
        <f t="shared" si="418"/>
        <v>0</v>
      </c>
      <c r="CA226">
        <f t="shared" si="418"/>
        <v>0</v>
      </c>
      <c r="CB226">
        <f t="shared" si="418"/>
        <v>0</v>
      </c>
      <c r="CC226">
        <f t="shared" si="419"/>
        <v>0</v>
      </c>
      <c r="CD226">
        <f t="shared" si="419"/>
        <v>0</v>
      </c>
      <c r="CE226">
        <f t="shared" si="419"/>
        <v>0</v>
      </c>
      <c r="CF226">
        <f t="shared" si="419"/>
        <v>0</v>
      </c>
      <c r="CG226">
        <f t="shared" si="419"/>
        <v>0</v>
      </c>
      <c r="CH226">
        <f t="shared" si="419"/>
        <v>0</v>
      </c>
      <c r="CI226">
        <f t="shared" si="419"/>
        <v>0</v>
      </c>
      <c r="CJ226">
        <f t="shared" si="419"/>
        <v>0</v>
      </c>
      <c r="CK226">
        <f t="shared" si="419"/>
        <v>0</v>
      </c>
      <c r="CL226">
        <f t="shared" si="419"/>
        <v>0</v>
      </c>
      <c r="CM226">
        <f t="shared" si="420"/>
        <v>0</v>
      </c>
      <c r="CN226">
        <f t="shared" si="420"/>
        <v>0</v>
      </c>
      <c r="CO226">
        <f t="shared" si="420"/>
        <v>0</v>
      </c>
      <c r="CP226">
        <f t="shared" si="420"/>
        <v>0</v>
      </c>
      <c r="CQ226">
        <f t="shared" si="420"/>
        <v>0</v>
      </c>
      <c r="CR226">
        <f t="shared" si="420"/>
        <v>0</v>
      </c>
      <c r="CS226">
        <f t="shared" si="420"/>
        <v>0</v>
      </c>
      <c r="CT226">
        <f t="shared" si="420"/>
        <v>0</v>
      </c>
      <c r="CU226">
        <f t="shared" si="420"/>
        <v>0</v>
      </c>
      <c r="CV226">
        <f t="shared" si="420"/>
        <v>0</v>
      </c>
      <c r="CW226">
        <f t="shared" si="421"/>
        <v>0</v>
      </c>
      <c r="CX226">
        <f t="shared" si="421"/>
        <v>0</v>
      </c>
      <c r="CY226">
        <f t="shared" si="421"/>
        <v>0</v>
      </c>
      <c r="CZ226">
        <f t="shared" si="421"/>
        <v>0</v>
      </c>
      <c r="DA226">
        <f t="shared" si="421"/>
        <v>0</v>
      </c>
      <c r="DB226">
        <f t="shared" si="421"/>
        <v>0</v>
      </c>
      <c r="DC226">
        <f t="shared" si="421"/>
        <v>0</v>
      </c>
      <c r="DD226">
        <f t="shared" si="421"/>
        <v>0</v>
      </c>
      <c r="DE226">
        <f t="shared" si="421"/>
        <v>0</v>
      </c>
      <c r="DF226">
        <f t="shared" si="421"/>
        <v>0</v>
      </c>
      <c r="DG226">
        <f t="shared" si="422"/>
        <v>0</v>
      </c>
      <c r="DH226">
        <f t="shared" si="422"/>
        <v>0</v>
      </c>
      <c r="DI226">
        <f t="shared" si="422"/>
        <v>0</v>
      </c>
      <c r="DJ226">
        <f t="shared" si="422"/>
        <v>0</v>
      </c>
      <c r="DK226">
        <f t="shared" si="422"/>
        <v>0</v>
      </c>
      <c r="DL226">
        <f t="shared" si="422"/>
        <v>0</v>
      </c>
      <c r="DM226">
        <f t="shared" si="422"/>
        <v>0</v>
      </c>
      <c r="DN226">
        <f t="shared" si="422"/>
        <v>0</v>
      </c>
      <c r="DO226">
        <f t="shared" si="422"/>
        <v>0</v>
      </c>
      <c r="DP226">
        <f t="shared" si="422"/>
        <v>0</v>
      </c>
      <c r="DQ226">
        <f t="shared" si="423"/>
        <v>0</v>
      </c>
      <c r="DR226">
        <f t="shared" si="423"/>
        <v>0</v>
      </c>
      <c r="DS226">
        <f t="shared" si="423"/>
        <v>0</v>
      </c>
      <c r="DT226">
        <f t="shared" si="423"/>
        <v>0</v>
      </c>
      <c r="DU226">
        <f t="shared" si="423"/>
        <v>0</v>
      </c>
      <c r="DV226">
        <f t="shared" si="423"/>
        <v>0</v>
      </c>
      <c r="DW226">
        <f t="shared" si="423"/>
        <v>0</v>
      </c>
      <c r="DX226">
        <f t="shared" si="423"/>
        <v>0</v>
      </c>
      <c r="DY226">
        <f t="shared" si="423"/>
        <v>0</v>
      </c>
      <c r="DZ226">
        <f t="shared" si="423"/>
        <v>0</v>
      </c>
      <c r="EA226">
        <f t="shared" si="424"/>
        <v>0</v>
      </c>
      <c r="EB226">
        <f t="shared" si="424"/>
        <v>0</v>
      </c>
      <c r="EC226">
        <f t="shared" si="424"/>
        <v>0</v>
      </c>
      <c r="ED226">
        <f t="shared" si="424"/>
        <v>0</v>
      </c>
      <c r="EE226">
        <f t="shared" si="424"/>
        <v>0</v>
      </c>
      <c r="EF226">
        <f t="shared" si="424"/>
        <v>0</v>
      </c>
    </row>
    <row r="227" spans="1:136" ht="15.5">
      <c r="A227" s="90"/>
      <c r="B227" s="57" t="s">
        <v>3</v>
      </c>
      <c r="C227" s="96"/>
      <c r="D227" s="18"/>
      <c r="E227" s="18"/>
      <c r="F227" s="18">
        <v>0</v>
      </c>
      <c r="G227" s="18">
        <v>0</v>
      </c>
      <c r="H227" s="18">
        <v>0</v>
      </c>
      <c r="I227" s="18">
        <v>0</v>
      </c>
      <c r="J227" s="18">
        <v>0</v>
      </c>
      <c r="K227" s="18">
        <v>0</v>
      </c>
      <c r="L227" s="18">
        <v>0</v>
      </c>
      <c r="M227" s="18">
        <v>0</v>
      </c>
      <c r="N227" s="18">
        <v>0</v>
      </c>
      <c r="O227" s="18">
        <v>5.1408000000000002E-2</v>
      </c>
      <c r="P227" s="18">
        <v>0.15615299999999999</v>
      </c>
      <c r="Q227" s="18">
        <v>0.30706600000000001</v>
      </c>
      <c r="R227" s="18">
        <v>0</v>
      </c>
      <c r="S227" s="18">
        <v>0</v>
      </c>
      <c r="T227" s="18">
        <v>0</v>
      </c>
      <c r="U227" s="18">
        <v>0</v>
      </c>
      <c r="V227" s="18">
        <v>0</v>
      </c>
      <c r="W227" s="18">
        <v>0</v>
      </c>
      <c r="X227" s="18">
        <v>0</v>
      </c>
      <c r="Y227" s="18">
        <v>0</v>
      </c>
      <c r="Z227" s="18">
        <v>0</v>
      </c>
      <c r="AA227" s="18">
        <v>0</v>
      </c>
      <c r="AB227" s="18">
        <v>0</v>
      </c>
      <c r="AC227" s="18">
        <f>6.562642-AC226</f>
        <v>0.31564200000000042</v>
      </c>
      <c r="AD227" s="18">
        <f>7.205449-AD226</f>
        <v>0.48869899999999955</v>
      </c>
      <c r="AE227" s="18">
        <f>10.04781-AE226</f>
        <v>1.9878599999999995</v>
      </c>
      <c r="AF227" s="18">
        <v>1.5032110000000001</v>
      </c>
      <c r="AG227" s="18">
        <v>1.276842</v>
      </c>
      <c r="AH227" s="18">
        <v>0.68845299999999998</v>
      </c>
      <c r="AI227" s="18">
        <v>2.8570999999999999E-2</v>
      </c>
      <c r="AJ227" s="18">
        <f>6.132022-AJ226</f>
        <v>5.4660219999999997</v>
      </c>
      <c r="AK227" s="18">
        <v>13.23518</v>
      </c>
      <c r="AL227" s="18">
        <v>12.665279999999999</v>
      </c>
      <c r="AM227" s="18">
        <f>5.837832-AM226</f>
        <v>5.1718319999999993</v>
      </c>
      <c r="AN227" s="18">
        <f>19.86296-AN226</f>
        <v>17.517038700000001</v>
      </c>
      <c r="AO227" s="18">
        <f>35.49132-AO226</f>
        <v>32.287391599999999</v>
      </c>
      <c r="AP227" s="18">
        <f>55.90275-AP226</f>
        <v>49.064573299999999</v>
      </c>
      <c r="AQ227" s="18">
        <f>77.83121-AQ226</f>
        <v>65.7093828</v>
      </c>
      <c r="AR227" s="18">
        <f>100.9464-AR226</f>
        <v>87.145513699999995</v>
      </c>
      <c r="AS227" s="18">
        <f>106.5866-AS226</f>
        <v>89.786600000000007</v>
      </c>
      <c r="AT227" s="18">
        <v>131.9666</v>
      </c>
      <c r="AU227" s="18">
        <v>161.459</v>
      </c>
      <c r="AV227" s="18">
        <v>55</v>
      </c>
      <c r="AW227" s="18">
        <v>25</v>
      </c>
      <c r="AX227" s="18">
        <v>139.761765</v>
      </c>
      <c r="AY227" s="18">
        <f>93.1239149-1.4</f>
        <v>91.723914899999997</v>
      </c>
      <c r="AZ227" s="18">
        <v>117.74386780000002</v>
      </c>
      <c r="BA227" s="18">
        <f>895.6492382-BA225</f>
        <v>761.64923820000001</v>
      </c>
      <c r="BB227" s="18">
        <v>48.048810600000003</v>
      </c>
      <c r="BC227" s="18">
        <v>47.846722200000002</v>
      </c>
      <c r="BD227" s="18">
        <v>4.8929999999999998</v>
      </c>
      <c r="BE227" s="18">
        <v>6.5220000000000002</v>
      </c>
      <c r="BF227" s="18">
        <v>5.5819999999999999</v>
      </c>
      <c r="BG227" s="18">
        <v>5.9820000000000002</v>
      </c>
      <c r="BH227" s="18">
        <v>5.9020666999999998</v>
      </c>
      <c r="BI227" s="18">
        <v>5.5648482999999995</v>
      </c>
      <c r="BJ227" s="18">
        <v>5.5517816</v>
      </c>
      <c r="BK227" s="18">
        <v>5.5767655999999999</v>
      </c>
      <c r="BL227" s="34">
        <v>6</v>
      </c>
      <c r="BM227" s="113">
        <v>6</v>
      </c>
      <c r="BN227" s="113">
        <v>6.4699777999999997</v>
      </c>
      <c r="BO227" s="113">
        <v>6</v>
      </c>
      <c r="BP227" s="113">
        <v>6</v>
      </c>
      <c r="BQ227" s="113">
        <v>6</v>
      </c>
      <c r="BR227" s="101"/>
      <c r="BS227">
        <f t="shared" si="418"/>
        <v>0</v>
      </c>
      <c r="BT227">
        <f t="shared" si="418"/>
        <v>0</v>
      </c>
      <c r="BU227">
        <f t="shared" si="418"/>
        <v>0</v>
      </c>
      <c r="BV227">
        <f t="shared" si="418"/>
        <v>0</v>
      </c>
      <c r="BW227">
        <f t="shared" si="418"/>
        <v>0</v>
      </c>
      <c r="BX227">
        <f t="shared" si="418"/>
        <v>0</v>
      </c>
      <c r="BY227">
        <f t="shared" si="418"/>
        <v>0</v>
      </c>
      <c r="BZ227">
        <f t="shared" si="418"/>
        <v>0</v>
      </c>
      <c r="CA227">
        <f t="shared" si="418"/>
        <v>0</v>
      </c>
      <c r="CB227">
        <f t="shared" si="418"/>
        <v>0</v>
      </c>
      <c r="CC227">
        <f t="shared" si="419"/>
        <v>0</v>
      </c>
      <c r="CD227">
        <f t="shared" si="419"/>
        <v>0</v>
      </c>
      <c r="CE227">
        <f t="shared" si="419"/>
        <v>0</v>
      </c>
      <c r="CF227">
        <f t="shared" si="419"/>
        <v>0</v>
      </c>
      <c r="CG227">
        <f t="shared" si="419"/>
        <v>0</v>
      </c>
      <c r="CH227">
        <f t="shared" si="419"/>
        <v>0</v>
      </c>
      <c r="CI227">
        <f t="shared" si="419"/>
        <v>0</v>
      </c>
      <c r="CJ227">
        <f t="shared" si="419"/>
        <v>0</v>
      </c>
      <c r="CK227">
        <f t="shared" si="419"/>
        <v>0</v>
      </c>
      <c r="CL227">
        <f t="shared" si="419"/>
        <v>0</v>
      </c>
      <c r="CM227">
        <f t="shared" si="420"/>
        <v>0</v>
      </c>
      <c r="CN227">
        <f t="shared" si="420"/>
        <v>0</v>
      </c>
      <c r="CO227">
        <f t="shared" si="420"/>
        <v>0</v>
      </c>
      <c r="CP227">
        <f t="shared" si="420"/>
        <v>0</v>
      </c>
      <c r="CQ227">
        <f t="shared" si="420"/>
        <v>0</v>
      </c>
      <c r="CR227">
        <f t="shared" si="420"/>
        <v>0</v>
      </c>
      <c r="CS227">
        <f t="shared" si="420"/>
        <v>0</v>
      </c>
      <c r="CT227">
        <f t="shared" si="420"/>
        <v>0</v>
      </c>
      <c r="CU227">
        <f t="shared" si="420"/>
        <v>0</v>
      </c>
      <c r="CV227">
        <f t="shared" si="420"/>
        <v>0</v>
      </c>
      <c r="CW227">
        <f t="shared" si="421"/>
        <v>0</v>
      </c>
      <c r="CX227">
        <f t="shared" si="421"/>
        <v>0</v>
      </c>
      <c r="CY227">
        <f t="shared" si="421"/>
        <v>0</v>
      </c>
      <c r="CZ227">
        <f t="shared" si="421"/>
        <v>0</v>
      </c>
      <c r="DA227">
        <f t="shared" si="421"/>
        <v>0</v>
      </c>
      <c r="DB227">
        <f t="shared" si="421"/>
        <v>0</v>
      </c>
      <c r="DC227">
        <f t="shared" si="421"/>
        <v>0</v>
      </c>
      <c r="DD227">
        <f t="shared" si="421"/>
        <v>0</v>
      </c>
      <c r="DE227">
        <f t="shared" si="421"/>
        <v>0</v>
      </c>
      <c r="DF227">
        <f t="shared" si="421"/>
        <v>0</v>
      </c>
      <c r="DG227">
        <f t="shared" si="422"/>
        <v>0</v>
      </c>
      <c r="DH227">
        <f t="shared" si="422"/>
        <v>0</v>
      </c>
      <c r="DI227">
        <f t="shared" si="422"/>
        <v>0</v>
      </c>
      <c r="DJ227">
        <f t="shared" si="422"/>
        <v>0</v>
      </c>
      <c r="DK227">
        <f t="shared" si="422"/>
        <v>0</v>
      </c>
      <c r="DL227">
        <f t="shared" si="422"/>
        <v>0</v>
      </c>
      <c r="DM227">
        <f t="shared" si="422"/>
        <v>0</v>
      </c>
      <c r="DN227">
        <f t="shared" si="422"/>
        <v>0</v>
      </c>
      <c r="DO227">
        <f t="shared" si="422"/>
        <v>0</v>
      </c>
      <c r="DP227">
        <f t="shared" si="422"/>
        <v>0</v>
      </c>
      <c r="DQ227">
        <f t="shared" si="423"/>
        <v>0</v>
      </c>
      <c r="DR227">
        <f t="shared" si="423"/>
        <v>0</v>
      </c>
      <c r="DS227">
        <f t="shared" si="423"/>
        <v>0</v>
      </c>
      <c r="DT227">
        <f t="shared" si="423"/>
        <v>0</v>
      </c>
      <c r="DU227">
        <f t="shared" si="423"/>
        <v>0</v>
      </c>
      <c r="DV227">
        <f t="shared" si="423"/>
        <v>0</v>
      </c>
      <c r="DW227">
        <f t="shared" si="423"/>
        <v>0</v>
      </c>
      <c r="DX227">
        <f t="shared" si="423"/>
        <v>0</v>
      </c>
      <c r="DY227">
        <f t="shared" si="423"/>
        <v>0</v>
      </c>
      <c r="DZ227">
        <f t="shared" si="423"/>
        <v>0</v>
      </c>
      <c r="EA227">
        <f t="shared" si="424"/>
        <v>0</v>
      </c>
      <c r="EB227">
        <f t="shared" si="424"/>
        <v>0</v>
      </c>
      <c r="EC227">
        <f t="shared" si="424"/>
        <v>0</v>
      </c>
      <c r="ED227">
        <f t="shared" si="424"/>
        <v>0</v>
      </c>
      <c r="EE227">
        <f t="shared" si="424"/>
        <v>0</v>
      </c>
      <c r="EF227">
        <f t="shared" si="424"/>
        <v>0</v>
      </c>
    </row>
    <row r="228" spans="1:136" ht="15.5">
      <c r="A228" s="90"/>
      <c r="B228" s="19" t="s">
        <v>208</v>
      </c>
      <c r="C228" s="94"/>
      <c r="D228" s="18"/>
      <c r="E228" s="18"/>
      <c r="F228" s="18">
        <v>0</v>
      </c>
      <c r="G228" s="18">
        <v>0</v>
      </c>
      <c r="H228" s="18">
        <v>0</v>
      </c>
      <c r="I228" s="18">
        <v>0</v>
      </c>
      <c r="J228" s="18">
        <v>0</v>
      </c>
      <c r="K228" s="18">
        <v>0</v>
      </c>
      <c r="L228" s="18">
        <v>0</v>
      </c>
      <c r="M228" s="18">
        <v>0</v>
      </c>
      <c r="N228" s="18">
        <v>0</v>
      </c>
      <c r="O228" s="18">
        <v>0</v>
      </c>
      <c r="P228" s="18">
        <v>0</v>
      </c>
      <c r="Q228" s="18">
        <v>0</v>
      </c>
      <c r="R228" s="18">
        <v>0</v>
      </c>
      <c r="S228" s="18">
        <v>0</v>
      </c>
      <c r="T228" s="18">
        <v>0</v>
      </c>
      <c r="U228" s="18">
        <v>0</v>
      </c>
      <c r="V228" s="18">
        <v>0</v>
      </c>
      <c r="W228" s="18">
        <v>0</v>
      </c>
      <c r="X228" s="18">
        <v>0</v>
      </c>
      <c r="Y228" s="18">
        <v>0</v>
      </c>
      <c r="Z228" s="18">
        <v>0</v>
      </c>
      <c r="AA228" s="18">
        <v>0</v>
      </c>
      <c r="AB228" s="18">
        <v>2.8107E-2</v>
      </c>
      <c r="AC228" s="18">
        <v>0.75792800000000005</v>
      </c>
      <c r="AD228" s="18">
        <v>2.6266639999999999</v>
      </c>
      <c r="AE228" s="18">
        <v>0.926203</v>
      </c>
      <c r="AF228" s="18">
        <v>0.22650899999999999</v>
      </c>
      <c r="AG228" s="18">
        <v>4.3867999999999997E-2</v>
      </c>
      <c r="AH228" s="18">
        <v>4.1529000000000003E-2</v>
      </c>
      <c r="AI228" s="18">
        <v>4.1119999999999997E-2</v>
      </c>
      <c r="AJ228" s="18">
        <v>3.8682000000000001E-2</v>
      </c>
      <c r="AK228" s="18">
        <v>3.6129000000000001E-2</v>
      </c>
      <c r="AL228" s="18">
        <v>3.9843000000000003E-2</v>
      </c>
      <c r="AM228" s="18">
        <v>4.3469000000000001E-2</v>
      </c>
      <c r="AN228" s="18">
        <v>4.0672E-2</v>
      </c>
      <c r="AO228" s="18">
        <v>3.5570999999999998E-2</v>
      </c>
      <c r="AP228" s="18">
        <v>0.24709100000000001</v>
      </c>
      <c r="AQ228" s="18">
        <v>0.60520099999999999</v>
      </c>
      <c r="AR228" s="18">
        <v>0.86637399999999998</v>
      </c>
      <c r="AS228" s="18">
        <v>0</v>
      </c>
      <c r="AT228" s="18">
        <v>0</v>
      </c>
      <c r="AU228" s="18">
        <v>0</v>
      </c>
      <c r="AV228" s="18">
        <v>0.65244599999999997</v>
      </c>
      <c r="AW228" s="18">
        <v>0.56507600000000002</v>
      </c>
      <c r="AX228" s="18">
        <v>0.63094899999999998</v>
      </c>
      <c r="AY228" s="18">
        <v>0</v>
      </c>
      <c r="AZ228" s="18">
        <v>0</v>
      </c>
      <c r="BA228" s="18">
        <v>0</v>
      </c>
      <c r="BB228" s="18">
        <v>0</v>
      </c>
      <c r="BC228" s="18">
        <v>0</v>
      </c>
      <c r="BD228" s="18">
        <v>0</v>
      </c>
      <c r="BE228" s="25">
        <v>0</v>
      </c>
      <c r="BF228" s="18">
        <v>0</v>
      </c>
      <c r="BG228" s="18">
        <v>0</v>
      </c>
      <c r="BH228" s="34">
        <v>0</v>
      </c>
      <c r="BI228" s="18">
        <v>0</v>
      </c>
      <c r="BJ228" s="18">
        <v>0</v>
      </c>
      <c r="BK228" s="18">
        <v>0</v>
      </c>
      <c r="BL228" s="113">
        <v>0</v>
      </c>
      <c r="BM228" s="113">
        <v>0</v>
      </c>
      <c r="BN228" s="58">
        <v>0</v>
      </c>
      <c r="BO228" s="58">
        <v>0</v>
      </c>
      <c r="BP228" s="58">
        <v>0</v>
      </c>
      <c r="BQ228" s="58">
        <v>0</v>
      </c>
      <c r="BR228" s="101"/>
      <c r="BS228">
        <f t="shared" si="418"/>
        <v>0</v>
      </c>
      <c r="BT228">
        <f t="shared" si="418"/>
        <v>0</v>
      </c>
      <c r="BU228">
        <f t="shared" si="418"/>
        <v>0</v>
      </c>
      <c r="BV228">
        <f t="shared" si="418"/>
        <v>0</v>
      </c>
      <c r="BW228">
        <f t="shared" si="418"/>
        <v>0</v>
      </c>
      <c r="BX228">
        <f t="shared" si="418"/>
        <v>0</v>
      </c>
      <c r="BY228">
        <f t="shared" si="418"/>
        <v>0</v>
      </c>
      <c r="BZ228">
        <f t="shared" si="418"/>
        <v>0</v>
      </c>
      <c r="CA228">
        <f t="shared" si="418"/>
        <v>0</v>
      </c>
      <c r="CB228">
        <f t="shared" si="418"/>
        <v>0</v>
      </c>
      <c r="CC228">
        <f t="shared" si="419"/>
        <v>0</v>
      </c>
      <c r="CD228">
        <f t="shared" si="419"/>
        <v>0</v>
      </c>
      <c r="CE228">
        <f t="shared" si="419"/>
        <v>0</v>
      </c>
      <c r="CF228">
        <f t="shared" si="419"/>
        <v>0</v>
      </c>
      <c r="CG228">
        <f t="shared" si="419"/>
        <v>0</v>
      </c>
      <c r="CH228">
        <f t="shared" si="419"/>
        <v>0</v>
      </c>
      <c r="CI228">
        <f t="shared" si="419"/>
        <v>0</v>
      </c>
      <c r="CJ228">
        <f t="shared" si="419"/>
        <v>0</v>
      </c>
      <c r="CK228">
        <f t="shared" si="419"/>
        <v>0</v>
      </c>
      <c r="CL228">
        <f t="shared" si="419"/>
        <v>0</v>
      </c>
      <c r="CM228">
        <f t="shared" si="420"/>
        <v>0</v>
      </c>
      <c r="CN228">
        <f t="shared" si="420"/>
        <v>0</v>
      </c>
      <c r="CO228">
        <f t="shared" si="420"/>
        <v>0</v>
      </c>
      <c r="CP228">
        <f t="shared" si="420"/>
        <v>0</v>
      </c>
      <c r="CQ228">
        <f t="shared" si="420"/>
        <v>0</v>
      </c>
      <c r="CR228">
        <f t="shared" si="420"/>
        <v>0</v>
      </c>
      <c r="CS228">
        <f t="shared" si="420"/>
        <v>0</v>
      </c>
      <c r="CT228">
        <f t="shared" si="420"/>
        <v>0</v>
      </c>
      <c r="CU228">
        <f t="shared" si="420"/>
        <v>0</v>
      </c>
      <c r="CV228">
        <f t="shared" si="420"/>
        <v>0</v>
      </c>
      <c r="CW228">
        <f t="shared" si="421"/>
        <v>0</v>
      </c>
      <c r="CX228">
        <f t="shared" si="421"/>
        <v>0</v>
      </c>
      <c r="CY228">
        <f t="shared" si="421"/>
        <v>0</v>
      </c>
      <c r="CZ228">
        <f t="shared" si="421"/>
        <v>0</v>
      </c>
      <c r="DA228">
        <f t="shared" si="421"/>
        <v>0</v>
      </c>
      <c r="DB228">
        <f t="shared" si="421"/>
        <v>0</v>
      </c>
      <c r="DC228">
        <f t="shared" si="421"/>
        <v>0</v>
      </c>
      <c r="DD228">
        <f t="shared" si="421"/>
        <v>0</v>
      </c>
      <c r="DE228">
        <f t="shared" si="421"/>
        <v>0</v>
      </c>
      <c r="DF228">
        <f t="shared" si="421"/>
        <v>0</v>
      </c>
      <c r="DG228">
        <f t="shared" si="422"/>
        <v>0</v>
      </c>
      <c r="DH228">
        <f t="shared" si="422"/>
        <v>0</v>
      </c>
      <c r="DI228">
        <f t="shared" si="422"/>
        <v>0</v>
      </c>
      <c r="DJ228">
        <f t="shared" si="422"/>
        <v>0</v>
      </c>
      <c r="DK228">
        <f t="shared" si="422"/>
        <v>0</v>
      </c>
      <c r="DL228">
        <f t="shared" si="422"/>
        <v>0</v>
      </c>
      <c r="DM228">
        <f t="shared" si="422"/>
        <v>0</v>
      </c>
      <c r="DN228">
        <f t="shared" si="422"/>
        <v>0</v>
      </c>
      <c r="DO228">
        <f t="shared" si="422"/>
        <v>0</v>
      </c>
      <c r="DP228">
        <f t="shared" si="422"/>
        <v>0</v>
      </c>
      <c r="DQ228">
        <f t="shared" si="423"/>
        <v>0</v>
      </c>
      <c r="DR228">
        <f t="shared" si="423"/>
        <v>0</v>
      </c>
      <c r="DS228">
        <f t="shared" si="423"/>
        <v>0</v>
      </c>
      <c r="DT228">
        <f t="shared" si="423"/>
        <v>0</v>
      </c>
      <c r="DU228">
        <f t="shared" si="423"/>
        <v>0</v>
      </c>
      <c r="DV228">
        <f t="shared" si="423"/>
        <v>0</v>
      </c>
      <c r="DW228">
        <f t="shared" si="423"/>
        <v>0</v>
      </c>
      <c r="DX228">
        <f t="shared" si="423"/>
        <v>0</v>
      </c>
      <c r="DY228">
        <f t="shared" si="423"/>
        <v>0</v>
      </c>
      <c r="DZ228">
        <f t="shared" si="423"/>
        <v>0</v>
      </c>
      <c r="EA228">
        <f t="shared" si="424"/>
        <v>0</v>
      </c>
      <c r="EB228">
        <f t="shared" si="424"/>
        <v>0</v>
      </c>
      <c r="EC228">
        <f t="shared" si="424"/>
        <v>0</v>
      </c>
      <c r="ED228">
        <f t="shared" si="424"/>
        <v>0</v>
      </c>
      <c r="EE228">
        <f t="shared" si="424"/>
        <v>0</v>
      </c>
      <c r="EF228">
        <f t="shared" si="424"/>
        <v>0</v>
      </c>
    </row>
    <row r="229" spans="1:136" ht="15.5">
      <c r="A229" s="90"/>
      <c r="B229" s="19" t="s">
        <v>212</v>
      </c>
      <c r="C229" s="94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>
        <v>33.831908831908834</v>
      </c>
      <c r="AF229" s="18">
        <v>17.022792022792022</v>
      </c>
      <c r="AG229" s="18">
        <v>4.221802142407058</v>
      </c>
      <c r="AH229" s="18">
        <v>7.5625363583478764</v>
      </c>
      <c r="AI229" s="18">
        <v>6.3911845730027546</v>
      </c>
      <c r="AJ229" s="18">
        <v>4.6811945117029863</v>
      </c>
      <c r="AK229" s="18">
        <v>13.844252163164402</v>
      </c>
      <c r="AL229" s="18">
        <v>6.6046695686584886</v>
      </c>
      <c r="AM229" s="18">
        <v>6.2489991993594876</v>
      </c>
      <c r="AN229" s="18">
        <v>14.009247027741083</v>
      </c>
      <c r="AO229" s="18">
        <v>13.646532438478747</v>
      </c>
      <c r="AP229" s="18">
        <v>10.292953285827394</v>
      </c>
      <c r="AQ229" s="18">
        <v>13.044861597200127</v>
      </c>
      <c r="AR229" s="18">
        <v>9.8095238095238102</v>
      </c>
      <c r="AS229" s="18">
        <v>13.232323232323232</v>
      </c>
      <c r="AT229" s="18">
        <v>14.971751412429379</v>
      </c>
      <c r="AU229" s="18">
        <v>8.2608695652173907</v>
      </c>
      <c r="AV229" s="18">
        <v>0</v>
      </c>
      <c r="AW229" s="18">
        <v>12.23789764868603</v>
      </c>
      <c r="AX229" s="18">
        <v>34.390670553935863</v>
      </c>
      <c r="AY229" s="18">
        <v>49.057301293900181</v>
      </c>
      <c r="AZ229" s="18">
        <v>59.672849915682967</v>
      </c>
      <c r="BA229" s="18">
        <v>71.921951219512195</v>
      </c>
      <c r="BB229" s="18">
        <v>87.371193415637862</v>
      </c>
      <c r="BC229" s="18">
        <v>98.214115781126097</v>
      </c>
      <c r="BD229" s="18">
        <v>98.087318087318081</v>
      </c>
      <c r="BE229" s="25">
        <v>102.4</v>
      </c>
      <c r="BF229" s="18">
        <v>114.96036387264458</v>
      </c>
      <c r="BG229" s="18">
        <v>127.28319162851537</v>
      </c>
      <c r="BH229" s="18">
        <v>128.28277945619337</v>
      </c>
      <c r="BI229" s="18">
        <v>133.02486986697514</v>
      </c>
      <c r="BJ229" s="18">
        <v>157.43129556926527</v>
      </c>
      <c r="BK229" s="18">
        <v>218.10298102981031</v>
      </c>
      <c r="BL229" s="18">
        <v>210.13054830287206</v>
      </c>
      <c r="BM229" s="18">
        <v>201.40140140140142</v>
      </c>
      <c r="BN229" s="113">
        <v>236.23540856031127</v>
      </c>
      <c r="BO229" s="113">
        <v>111.51536559519604</v>
      </c>
      <c r="BP229" s="58">
        <v>165</v>
      </c>
      <c r="BQ229" s="58">
        <v>150</v>
      </c>
      <c r="BR229" s="101"/>
      <c r="BS229">
        <f t="shared" si="418"/>
        <v>0</v>
      </c>
      <c r="BT229">
        <f t="shared" si="418"/>
        <v>0</v>
      </c>
      <c r="BU229">
        <f t="shared" si="418"/>
        <v>0</v>
      </c>
      <c r="BV229">
        <f t="shared" si="418"/>
        <v>0</v>
      </c>
      <c r="BW229">
        <f t="shared" si="418"/>
        <v>0</v>
      </c>
      <c r="BX229">
        <f t="shared" si="418"/>
        <v>0</v>
      </c>
      <c r="BY229">
        <f t="shared" si="418"/>
        <v>0</v>
      </c>
      <c r="BZ229">
        <f t="shared" si="418"/>
        <v>0</v>
      </c>
      <c r="CA229">
        <f t="shared" si="418"/>
        <v>0</v>
      </c>
      <c r="CB229">
        <f t="shared" si="418"/>
        <v>0</v>
      </c>
      <c r="CC229">
        <f t="shared" si="419"/>
        <v>0</v>
      </c>
      <c r="CD229">
        <f t="shared" si="419"/>
        <v>0</v>
      </c>
      <c r="CE229">
        <f t="shared" si="419"/>
        <v>0</v>
      </c>
      <c r="CF229">
        <f t="shared" si="419"/>
        <v>0</v>
      </c>
      <c r="CG229">
        <f t="shared" si="419"/>
        <v>0</v>
      </c>
      <c r="CH229">
        <f t="shared" si="419"/>
        <v>0</v>
      </c>
      <c r="CI229">
        <f t="shared" si="419"/>
        <v>0</v>
      </c>
      <c r="CJ229">
        <f t="shared" si="419"/>
        <v>0</v>
      </c>
      <c r="CK229">
        <f t="shared" si="419"/>
        <v>0</v>
      </c>
      <c r="CL229">
        <f t="shared" si="419"/>
        <v>0</v>
      </c>
      <c r="CM229">
        <f t="shared" si="420"/>
        <v>0</v>
      </c>
      <c r="CN229">
        <f t="shared" si="420"/>
        <v>0</v>
      </c>
      <c r="CO229">
        <f t="shared" si="420"/>
        <v>0</v>
      </c>
      <c r="CP229">
        <f t="shared" si="420"/>
        <v>0</v>
      </c>
      <c r="CQ229">
        <f t="shared" si="420"/>
        <v>0</v>
      </c>
      <c r="CR229">
        <f t="shared" si="420"/>
        <v>0</v>
      </c>
      <c r="CS229">
        <f t="shared" si="420"/>
        <v>0</v>
      </c>
      <c r="CT229">
        <f t="shared" si="420"/>
        <v>0</v>
      </c>
      <c r="CU229">
        <f t="shared" si="420"/>
        <v>0</v>
      </c>
      <c r="CV229">
        <f t="shared" si="420"/>
        <v>0</v>
      </c>
      <c r="CW229">
        <f t="shared" si="421"/>
        <v>0</v>
      </c>
      <c r="CX229">
        <f t="shared" si="421"/>
        <v>0</v>
      </c>
      <c r="CY229">
        <f t="shared" si="421"/>
        <v>0</v>
      </c>
      <c r="CZ229">
        <f t="shared" si="421"/>
        <v>0</v>
      </c>
      <c r="DA229">
        <f t="shared" si="421"/>
        <v>0</v>
      </c>
      <c r="DB229">
        <f t="shared" si="421"/>
        <v>0</v>
      </c>
      <c r="DC229">
        <f t="shared" si="421"/>
        <v>0</v>
      </c>
      <c r="DD229">
        <f t="shared" si="421"/>
        <v>0</v>
      </c>
      <c r="DE229">
        <f t="shared" si="421"/>
        <v>0</v>
      </c>
      <c r="DF229">
        <f t="shared" si="421"/>
        <v>0</v>
      </c>
      <c r="DG229">
        <f t="shared" si="422"/>
        <v>0</v>
      </c>
      <c r="DH229">
        <f t="shared" si="422"/>
        <v>0</v>
      </c>
      <c r="DI229">
        <f t="shared" si="422"/>
        <v>0</v>
      </c>
      <c r="DJ229">
        <f t="shared" si="422"/>
        <v>0</v>
      </c>
      <c r="DK229">
        <f t="shared" si="422"/>
        <v>0</v>
      </c>
      <c r="DL229">
        <f t="shared" si="422"/>
        <v>0</v>
      </c>
      <c r="DM229">
        <f t="shared" si="422"/>
        <v>0</v>
      </c>
      <c r="DN229">
        <f t="shared" si="422"/>
        <v>0</v>
      </c>
      <c r="DO229">
        <f t="shared" si="422"/>
        <v>0</v>
      </c>
      <c r="DP229">
        <f t="shared" si="422"/>
        <v>0</v>
      </c>
      <c r="DQ229">
        <f t="shared" si="423"/>
        <v>0</v>
      </c>
      <c r="DR229">
        <f t="shared" si="423"/>
        <v>0</v>
      </c>
      <c r="DS229">
        <f t="shared" si="423"/>
        <v>0</v>
      </c>
      <c r="DT229">
        <f t="shared" si="423"/>
        <v>0</v>
      </c>
      <c r="DU229">
        <f t="shared" si="423"/>
        <v>0</v>
      </c>
      <c r="DV229">
        <f t="shared" si="423"/>
        <v>0</v>
      </c>
      <c r="DW229">
        <f t="shared" si="423"/>
        <v>0</v>
      </c>
      <c r="DX229">
        <f t="shared" si="423"/>
        <v>0</v>
      </c>
      <c r="DY229">
        <f t="shared" si="423"/>
        <v>0</v>
      </c>
      <c r="DZ229">
        <f t="shared" si="423"/>
        <v>0</v>
      </c>
      <c r="EA229">
        <f t="shared" si="424"/>
        <v>0</v>
      </c>
      <c r="EB229">
        <f t="shared" si="424"/>
        <v>0</v>
      </c>
      <c r="EC229">
        <f t="shared" si="424"/>
        <v>0</v>
      </c>
      <c r="ED229">
        <f t="shared" si="424"/>
        <v>0</v>
      </c>
      <c r="EE229">
        <f t="shared" si="424"/>
        <v>0</v>
      </c>
      <c r="EF229">
        <f t="shared" si="424"/>
        <v>0</v>
      </c>
    </row>
    <row r="230" spans="1:136" ht="15.5">
      <c r="A230" s="90"/>
      <c r="B230" s="19"/>
      <c r="C230" s="96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18"/>
      <c r="BC230" s="18"/>
      <c r="BD230" s="18"/>
      <c r="BE230" s="40"/>
      <c r="BF230" s="40"/>
      <c r="BG230" s="18"/>
      <c r="BH230" s="2"/>
      <c r="BI230" s="2"/>
      <c r="BJ230" s="2"/>
      <c r="BK230" s="2"/>
      <c r="BL230" s="40"/>
      <c r="BM230" s="40"/>
      <c r="BN230" s="2"/>
      <c r="BO230" s="2"/>
      <c r="BP230" s="2"/>
      <c r="BQ230" s="2"/>
      <c r="BR230" s="101"/>
    </row>
    <row r="231" spans="1:136" ht="15.5">
      <c r="A231" s="93">
        <v>25</v>
      </c>
      <c r="B231" s="32" t="s">
        <v>179</v>
      </c>
      <c r="C231" s="94">
        <v>4</v>
      </c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>
        <f t="shared" ref="S231:AA231" si="425">SUM(S233:S237)</f>
        <v>0</v>
      </c>
      <c r="T231" s="22">
        <f t="shared" si="425"/>
        <v>0</v>
      </c>
      <c r="U231" s="22">
        <f t="shared" si="425"/>
        <v>0</v>
      </c>
      <c r="V231" s="22">
        <f t="shared" si="425"/>
        <v>0</v>
      </c>
      <c r="W231" s="22">
        <f t="shared" si="425"/>
        <v>0</v>
      </c>
      <c r="X231" s="22">
        <f t="shared" si="425"/>
        <v>0</v>
      </c>
      <c r="Y231" s="22">
        <f t="shared" si="425"/>
        <v>6.0000000000000001E-3</v>
      </c>
      <c r="Z231" s="22">
        <f t="shared" si="425"/>
        <v>1.9112000000000001E-2</v>
      </c>
      <c r="AA231" s="22">
        <f t="shared" si="425"/>
        <v>1.7049000000000002E-2</v>
      </c>
      <c r="AB231" s="18">
        <v>0</v>
      </c>
      <c r="AC231" s="22">
        <f t="shared" ref="AC231:BP231" si="426">SUM(AC233:AC237)</f>
        <v>37.559953609631876</v>
      </c>
      <c r="AD231" s="22">
        <f t="shared" si="426"/>
        <v>43.309938411231322</v>
      </c>
      <c r="AE231" s="22">
        <f t="shared" si="426"/>
        <v>48.823994614597211</v>
      </c>
      <c r="AF231" s="22">
        <f t="shared" si="426"/>
        <v>54.545791898369345</v>
      </c>
      <c r="AG231" s="22">
        <f t="shared" si="426"/>
        <v>63.026424223596493</v>
      </c>
      <c r="AH231" s="22">
        <f t="shared" si="426"/>
        <v>80.404437603285345</v>
      </c>
      <c r="AI231" s="22">
        <f t="shared" si="426"/>
        <v>69.023617603285345</v>
      </c>
      <c r="AJ231" s="22">
        <f t="shared" si="426"/>
        <v>66.540607603285352</v>
      </c>
      <c r="AK231" s="22">
        <f t="shared" si="426"/>
        <v>68.765457603285356</v>
      </c>
      <c r="AL231" s="22">
        <f t="shared" si="426"/>
        <v>68.777147603285343</v>
      </c>
      <c r="AM231" s="22">
        <f t="shared" si="426"/>
        <v>70.72084760328535</v>
      </c>
      <c r="AN231" s="22">
        <f t="shared" si="426"/>
        <v>27.92118</v>
      </c>
      <c r="AO231" s="22">
        <f t="shared" si="426"/>
        <v>24.298469999999998</v>
      </c>
      <c r="AP231" s="22">
        <f t="shared" si="426"/>
        <v>84.744098720456407</v>
      </c>
      <c r="AQ231" s="22">
        <f t="shared" si="426"/>
        <v>205.94066000000001</v>
      </c>
      <c r="AR231" s="22">
        <f t="shared" si="426"/>
        <v>207.07553999999999</v>
      </c>
      <c r="AS231" s="22">
        <f t="shared" si="426"/>
        <v>106.58294000000001</v>
      </c>
      <c r="AT231" s="22">
        <f t="shared" si="426"/>
        <v>31.483180000000001</v>
      </c>
      <c r="AU231" s="22">
        <f t="shared" si="426"/>
        <v>24.63438</v>
      </c>
      <c r="AV231" s="22">
        <f t="shared" si="426"/>
        <v>12.608418</v>
      </c>
      <c r="AW231" s="22">
        <f t="shared" si="426"/>
        <v>4.0506709999999995</v>
      </c>
      <c r="AX231" s="22">
        <f t="shared" si="426"/>
        <v>3.157</v>
      </c>
      <c r="AY231" s="22">
        <f t="shared" si="426"/>
        <v>6.1229999999999993</v>
      </c>
      <c r="AZ231" s="22">
        <f t="shared" si="426"/>
        <v>3.8775402999999997</v>
      </c>
      <c r="BA231" s="22">
        <f t="shared" si="426"/>
        <v>3.895</v>
      </c>
      <c r="BB231" s="22">
        <f t="shared" si="426"/>
        <v>8.4404545454545463</v>
      </c>
      <c r="BC231" s="22">
        <f t="shared" si="426"/>
        <v>0</v>
      </c>
      <c r="BD231" s="22">
        <f t="shared" si="426"/>
        <v>0</v>
      </c>
      <c r="BE231" s="22">
        <f t="shared" si="426"/>
        <v>0</v>
      </c>
      <c r="BF231" s="22">
        <f t="shared" si="426"/>
        <v>0</v>
      </c>
      <c r="BG231" s="22">
        <f t="shared" si="426"/>
        <v>0</v>
      </c>
      <c r="BH231" s="22">
        <f t="shared" si="426"/>
        <v>1.54</v>
      </c>
      <c r="BI231" s="22">
        <f t="shared" si="426"/>
        <v>0</v>
      </c>
      <c r="BJ231" s="22">
        <f t="shared" si="426"/>
        <v>118.50979552510438</v>
      </c>
      <c r="BK231" s="22">
        <f t="shared" si="426"/>
        <v>115.055313</v>
      </c>
      <c r="BL231" s="22">
        <f t="shared" si="426"/>
        <v>147.7664685</v>
      </c>
      <c r="BM231" s="22">
        <f t="shared" si="426"/>
        <v>145.24290809999999</v>
      </c>
      <c r="BN231" s="22">
        <f t="shared" si="426"/>
        <v>0</v>
      </c>
      <c r="BO231" s="22">
        <f t="shared" si="426"/>
        <v>0</v>
      </c>
      <c r="BP231" s="22">
        <f t="shared" si="426"/>
        <v>0</v>
      </c>
      <c r="BQ231" s="22">
        <f>SUM(BQ233:BQ237)</f>
        <v>0</v>
      </c>
      <c r="BR231" s="101"/>
      <c r="BS231">
        <f t="shared" ref="BS231:CB232" si="427">IF($C231&lt;&gt;"",IF(D231&gt;0,1,0),0)</f>
        <v>0</v>
      </c>
      <c r="BT231">
        <f t="shared" si="427"/>
        <v>0</v>
      </c>
      <c r="BU231">
        <f t="shared" si="427"/>
        <v>0</v>
      </c>
      <c r="BV231">
        <f t="shared" si="427"/>
        <v>0</v>
      </c>
      <c r="BW231">
        <f t="shared" si="427"/>
        <v>0</v>
      </c>
      <c r="BX231">
        <f t="shared" si="427"/>
        <v>0</v>
      </c>
      <c r="BY231">
        <f t="shared" si="427"/>
        <v>0</v>
      </c>
      <c r="BZ231">
        <f t="shared" si="427"/>
        <v>0</v>
      </c>
      <c r="CA231">
        <f t="shared" si="427"/>
        <v>0</v>
      </c>
      <c r="CB231">
        <f t="shared" si="427"/>
        <v>0</v>
      </c>
      <c r="CC231">
        <f t="shared" ref="CC231:CL232" si="428">IF($C231&lt;&gt;"",IF(N231&gt;0,1,0),0)</f>
        <v>0</v>
      </c>
      <c r="CD231">
        <f t="shared" si="428"/>
        <v>0</v>
      </c>
      <c r="CE231">
        <f t="shared" si="428"/>
        <v>0</v>
      </c>
      <c r="CF231">
        <f t="shared" si="428"/>
        <v>0</v>
      </c>
      <c r="CG231">
        <f t="shared" si="428"/>
        <v>0</v>
      </c>
      <c r="CH231">
        <f t="shared" si="428"/>
        <v>0</v>
      </c>
      <c r="CI231">
        <f t="shared" si="428"/>
        <v>0</v>
      </c>
      <c r="CJ231">
        <f t="shared" si="428"/>
        <v>0</v>
      </c>
      <c r="CK231">
        <f t="shared" si="428"/>
        <v>0</v>
      </c>
      <c r="CL231">
        <f t="shared" si="428"/>
        <v>0</v>
      </c>
      <c r="CM231">
        <f t="shared" ref="CM231:CV232" si="429">IF($C231&lt;&gt;"",IF(X231&gt;0,1,0),0)</f>
        <v>0</v>
      </c>
      <c r="CN231">
        <f t="shared" si="429"/>
        <v>1</v>
      </c>
      <c r="CO231">
        <f t="shared" si="429"/>
        <v>1</v>
      </c>
      <c r="CP231">
        <f t="shared" si="429"/>
        <v>1</v>
      </c>
      <c r="CQ231">
        <f t="shared" si="429"/>
        <v>0</v>
      </c>
      <c r="CR231">
        <f t="shared" si="429"/>
        <v>1</v>
      </c>
      <c r="CS231">
        <f t="shared" si="429"/>
        <v>1</v>
      </c>
      <c r="CT231">
        <f t="shared" si="429"/>
        <v>1</v>
      </c>
      <c r="CU231">
        <f t="shared" si="429"/>
        <v>1</v>
      </c>
      <c r="CV231">
        <f t="shared" si="429"/>
        <v>1</v>
      </c>
      <c r="CW231">
        <f t="shared" ref="CW231:DF232" si="430">IF($C231&lt;&gt;"",IF(AH231&gt;0,1,0),0)</f>
        <v>1</v>
      </c>
      <c r="CX231">
        <f t="shared" si="430"/>
        <v>1</v>
      </c>
      <c r="CY231">
        <f t="shared" si="430"/>
        <v>1</v>
      </c>
      <c r="CZ231">
        <f t="shared" si="430"/>
        <v>1</v>
      </c>
      <c r="DA231">
        <f t="shared" si="430"/>
        <v>1</v>
      </c>
      <c r="DB231">
        <f t="shared" si="430"/>
        <v>1</v>
      </c>
      <c r="DC231">
        <f t="shared" si="430"/>
        <v>1</v>
      </c>
      <c r="DD231">
        <f t="shared" si="430"/>
        <v>1</v>
      </c>
      <c r="DE231">
        <f t="shared" si="430"/>
        <v>1</v>
      </c>
      <c r="DF231">
        <f t="shared" si="430"/>
        <v>1</v>
      </c>
      <c r="DG231">
        <f t="shared" ref="DG231:DP232" si="431">IF($C231&lt;&gt;"",IF(AR231&gt;0,1,0),0)</f>
        <v>1</v>
      </c>
      <c r="DH231">
        <f t="shared" si="431"/>
        <v>1</v>
      </c>
      <c r="DI231">
        <f t="shared" si="431"/>
        <v>1</v>
      </c>
      <c r="DJ231">
        <f t="shared" si="431"/>
        <v>1</v>
      </c>
      <c r="DK231">
        <f t="shared" si="431"/>
        <v>1</v>
      </c>
      <c r="DL231">
        <f t="shared" si="431"/>
        <v>1</v>
      </c>
      <c r="DM231">
        <f t="shared" si="431"/>
        <v>1</v>
      </c>
      <c r="DN231">
        <f t="shared" si="431"/>
        <v>1</v>
      </c>
      <c r="DO231">
        <f t="shared" si="431"/>
        <v>1</v>
      </c>
      <c r="DP231">
        <f t="shared" si="431"/>
        <v>1</v>
      </c>
      <c r="DQ231">
        <f t="shared" ref="DQ231:DZ232" si="432">IF($C231&lt;&gt;"",IF(BB231&gt;0,1,0),0)</f>
        <v>1</v>
      </c>
      <c r="DR231">
        <f t="shared" si="432"/>
        <v>0</v>
      </c>
      <c r="DS231">
        <f t="shared" si="432"/>
        <v>0</v>
      </c>
      <c r="DT231">
        <f t="shared" si="432"/>
        <v>0</v>
      </c>
      <c r="DU231">
        <f t="shared" si="432"/>
        <v>0</v>
      </c>
      <c r="DV231">
        <f t="shared" si="432"/>
        <v>0</v>
      </c>
      <c r="DW231">
        <f t="shared" si="432"/>
        <v>1</v>
      </c>
      <c r="DX231">
        <f t="shared" si="432"/>
        <v>0</v>
      </c>
      <c r="DY231">
        <f t="shared" si="432"/>
        <v>1</v>
      </c>
      <c r="DZ231">
        <f t="shared" si="432"/>
        <v>1</v>
      </c>
      <c r="EA231">
        <f t="shared" ref="EA231:EF232" si="433">IF($C231&lt;&gt;"",IF(BL231&gt;0,1,0),0)</f>
        <v>1</v>
      </c>
      <c r="EB231">
        <f t="shared" si="433"/>
        <v>1</v>
      </c>
      <c r="EC231">
        <f t="shared" si="433"/>
        <v>0</v>
      </c>
      <c r="ED231">
        <f t="shared" si="433"/>
        <v>0</v>
      </c>
      <c r="EE231">
        <f t="shared" si="433"/>
        <v>0</v>
      </c>
      <c r="EF231">
        <f t="shared" si="433"/>
        <v>0</v>
      </c>
    </row>
    <row r="232" spans="1:136" ht="15.5">
      <c r="A232" s="90"/>
      <c r="B232" s="19" t="s">
        <v>2</v>
      </c>
      <c r="C232" s="94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5">
        <v>0</v>
      </c>
      <c r="T232" s="25">
        <v>0</v>
      </c>
      <c r="U232" s="25">
        <v>0</v>
      </c>
      <c r="V232" s="25">
        <v>0</v>
      </c>
      <c r="W232" s="25">
        <v>0</v>
      </c>
      <c r="X232" s="25">
        <v>0</v>
      </c>
      <c r="Y232" s="25">
        <v>0</v>
      </c>
      <c r="Z232" s="25">
        <v>0</v>
      </c>
      <c r="AA232" s="25">
        <v>0</v>
      </c>
      <c r="AB232" s="25">
        <v>0</v>
      </c>
      <c r="AC232" s="25">
        <v>0</v>
      </c>
      <c r="AD232" s="25">
        <v>0</v>
      </c>
      <c r="AE232" s="25">
        <v>0</v>
      </c>
      <c r="AF232" s="25">
        <v>0</v>
      </c>
      <c r="AG232" s="25">
        <v>0</v>
      </c>
      <c r="AH232" s="25">
        <v>0</v>
      </c>
      <c r="AI232" s="25">
        <v>0</v>
      </c>
      <c r="AJ232" s="25">
        <v>0</v>
      </c>
      <c r="AK232" s="25">
        <v>0</v>
      </c>
      <c r="AL232" s="25">
        <v>0</v>
      </c>
      <c r="AM232" s="25">
        <v>0</v>
      </c>
      <c r="AN232" s="25">
        <v>0</v>
      </c>
      <c r="AO232" s="25">
        <v>0</v>
      </c>
      <c r="AP232" s="25">
        <v>0</v>
      </c>
      <c r="AQ232" s="25">
        <v>0</v>
      </c>
      <c r="AR232" s="25">
        <v>0</v>
      </c>
      <c r="AS232" s="25">
        <v>0</v>
      </c>
      <c r="AT232" s="25">
        <v>0</v>
      </c>
      <c r="AU232" s="25">
        <v>0</v>
      </c>
      <c r="AV232" s="25">
        <v>0</v>
      </c>
      <c r="AW232" s="25">
        <v>0</v>
      </c>
      <c r="AX232" s="25">
        <v>0</v>
      </c>
      <c r="AY232" s="18">
        <v>0</v>
      </c>
      <c r="AZ232" s="25">
        <v>0</v>
      </c>
      <c r="BA232" s="25">
        <v>0</v>
      </c>
      <c r="BB232" s="18">
        <v>0</v>
      </c>
      <c r="BC232" s="25">
        <v>0</v>
      </c>
      <c r="BD232" s="25">
        <v>0</v>
      </c>
      <c r="BE232" s="25">
        <v>0</v>
      </c>
      <c r="BF232" s="18">
        <v>0</v>
      </c>
      <c r="BG232" s="18">
        <v>0</v>
      </c>
      <c r="BH232" s="18">
        <v>0</v>
      </c>
      <c r="BI232" s="18">
        <v>0</v>
      </c>
      <c r="BJ232" s="18">
        <v>0</v>
      </c>
      <c r="BK232" s="18">
        <v>0</v>
      </c>
      <c r="BL232" s="18">
        <v>22</v>
      </c>
      <c r="BM232" s="18">
        <v>10</v>
      </c>
      <c r="BN232" s="18">
        <v>0</v>
      </c>
      <c r="BO232" s="18">
        <v>0</v>
      </c>
      <c r="BP232" s="18">
        <v>0</v>
      </c>
      <c r="BQ232" s="18">
        <v>0</v>
      </c>
      <c r="BR232" s="101"/>
      <c r="BS232">
        <f t="shared" si="427"/>
        <v>0</v>
      </c>
      <c r="BT232">
        <f t="shared" si="427"/>
        <v>0</v>
      </c>
      <c r="BU232">
        <f t="shared" si="427"/>
        <v>0</v>
      </c>
      <c r="BV232">
        <f t="shared" si="427"/>
        <v>0</v>
      </c>
      <c r="BW232">
        <f t="shared" si="427"/>
        <v>0</v>
      </c>
      <c r="BX232">
        <f t="shared" si="427"/>
        <v>0</v>
      </c>
      <c r="BY232">
        <f t="shared" si="427"/>
        <v>0</v>
      </c>
      <c r="BZ232">
        <f t="shared" si="427"/>
        <v>0</v>
      </c>
      <c r="CA232">
        <f t="shared" si="427"/>
        <v>0</v>
      </c>
      <c r="CB232">
        <f t="shared" si="427"/>
        <v>0</v>
      </c>
      <c r="CC232">
        <f t="shared" si="428"/>
        <v>0</v>
      </c>
      <c r="CD232">
        <f t="shared" si="428"/>
        <v>0</v>
      </c>
      <c r="CE232">
        <f t="shared" si="428"/>
        <v>0</v>
      </c>
      <c r="CF232">
        <f t="shared" si="428"/>
        <v>0</v>
      </c>
      <c r="CG232">
        <f t="shared" si="428"/>
        <v>0</v>
      </c>
      <c r="CH232">
        <f t="shared" si="428"/>
        <v>0</v>
      </c>
      <c r="CI232">
        <f t="shared" si="428"/>
        <v>0</v>
      </c>
      <c r="CJ232">
        <f t="shared" si="428"/>
        <v>0</v>
      </c>
      <c r="CK232">
        <f t="shared" si="428"/>
        <v>0</v>
      </c>
      <c r="CL232">
        <f t="shared" si="428"/>
        <v>0</v>
      </c>
      <c r="CM232">
        <f t="shared" si="429"/>
        <v>0</v>
      </c>
      <c r="CN232">
        <f t="shared" si="429"/>
        <v>0</v>
      </c>
      <c r="CO232">
        <f t="shared" si="429"/>
        <v>0</v>
      </c>
      <c r="CP232">
        <f t="shared" si="429"/>
        <v>0</v>
      </c>
      <c r="CQ232">
        <f t="shared" si="429"/>
        <v>0</v>
      </c>
      <c r="CR232">
        <f t="shared" si="429"/>
        <v>0</v>
      </c>
      <c r="CS232">
        <f t="shared" si="429"/>
        <v>0</v>
      </c>
      <c r="CT232">
        <f t="shared" si="429"/>
        <v>0</v>
      </c>
      <c r="CU232">
        <f t="shared" si="429"/>
        <v>0</v>
      </c>
      <c r="CV232">
        <f t="shared" si="429"/>
        <v>0</v>
      </c>
      <c r="CW232">
        <f t="shared" si="430"/>
        <v>0</v>
      </c>
      <c r="CX232">
        <f t="shared" si="430"/>
        <v>0</v>
      </c>
      <c r="CY232">
        <f t="shared" si="430"/>
        <v>0</v>
      </c>
      <c r="CZ232">
        <f t="shared" si="430"/>
        <v>0</v>
      </c>
      <c r="DA232">
        <f t="shared" si="430"/>
        <v>0</v>
      </c>
      <c r="DB232">
        <f t="shared" si="430"/>
        <v>0</v>
      </c>
      <c r="DC232">
        <f t="shared" si="430"/>
        <v>0</v>
      </c>
      <c r="DD232">
        <f t="shared" si="430"/>
        <v>0</v>
      </c>
      <c r="DE232">
        <f t="shared" si="430"/>
        <v>0</v>
      </c>
      <c r="DF232">
        <f t="shared" si="430"/>
        <v>0</v>
      </c>
      <c r="DG232">
        <f t="shared" si="431"/>
        <v>0</v>
      </c>
      <c r="DH232">
        <f t="shared" si="431"/>
        <v>0</v>
      </c>
      <c r="DI232">
        <f t="shared" si="431"/>
        <v>0</v>
      </c>
      <c r="DJ232">
        <f t="shared" si="431"/>
        <v>0</v>
      </c>
      <c r="DK232">
        <f t="shared" si="431"/>
        <v>0</v>
      </c>
      <c r="DL232">
        <f t="shared" si="431"/>
        <v>0</v>
      </c>
      <c r="DM232">
        <f t="shared" si="431"/>
        <v>0</v>
      </c>
      <c r="DN232">
        <f t="shared" si="431"/>
        <v>0</v>
      </c>
      <c r="DO232">
        <f t="shared" si="431"/>
        <v>0</v>
      </c>
      <c r="DP232">
        <f t="shared" si="431"/>
        <v>0</v>
      </c>
      <c r="DQ232">
        <f t="shared" si="432"/>
        <v>0</v>
      </c>
      <c r="DR232">
        <f t="shared" si="432"/>
        <v>0</v>
      </c>
      <c r="DS232">
        <f t="shared" si="432"/>
        <v>0</v>
      </c>
      <c r="DT232">
        <f t="shared" si="432"/>
        <v>0</v>
      </c>
      <c r="DU232">
        <f t="shared" si="432"/>
        <v>0</v>
      </c>
      <c r="DV232">
        <f t="shared" si="432"/>
        <v>0</v>
      </c>
      <c r="DW232">
        <f t="shared" si="432"/>
        <v>0</v>
      </c>
      <c r="DX232">
        <f t="shared" si="432"/>
        <v>0</v>
      </c>
      <c r="DY232">
        <f t="shared" si="432"/>
        <v>0</v>
      </c>
      <c r="DZ232">
        <f t="shared" si="432"/>
        <v>0</v>
      </c>
      <c r="EA232">
        <f t="shared" si="433"/>
        <v>0</v>
      </c>
      <c r="EB232">
        <f t="shared" si="433"/>
        <v>0</v>
      </c>
      <c r="EC232">
        <f t="shared" si="433"/>
        <v>0</v>
      </c>
      <c r="ED232">
        <f t="shared" si="433"/>
        <v>0</v>
      </c>
      <c r="EE232">
        <f t="shared" si="433"/>
        <v>0</v>
      </c>
      <c r="EF232">
        <f t="shared" si="433"/>
        <v>0</v>
      </c>
    </row>
    <row r="233" spans="1:136" ht="15.5">
      <c r="A233" s="90"/>
      <c r="B233" s="19" t="s">
        <v>205</v>
      </c>
      <c r="C233" s="94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152">
        <v>0</v>
      </c>
      <c r="T233" s="152">
        <v>0</v>
      </c>
      <c r="U233" s="152">
        <v>0</v>
      </c>
      <c r="V233" s="152">
        <v>0</v>
      </c>
      <c r="W233" s="152">
        <v>0</v>
      </c>
      <c r="X233" s="152">
        <v>0</v>
      </c>
      <c r="Y233" s="152">
        <v>0</v>
      </c>
      <c r="Z233" s="152">
        <v>0</v>
      </c>
      <c r="AA233" s="152">
        <v>0</v>
      </c>
      <c r="AB233" s="152">
        <v>0</v>
      </c>
      <c r="AC233" s="152">
        <v>0</v>
      </c>
      <c r="AD233" s="152">
        <v>0</v>
      </c>
      <c r="AE233" s="152">
        <v>0</v>
      </c>
      <c r="AF233" s="152">
        <v>0</v>
      </c>
      <c r="AG233" s="152">
        <v>0</v>
      </c>
      <c r="AH233" s="152">
        <v>0</v>
      </c>
      <c r="AI233" s="152">
        <v>0</v>
      </c>
      <c r="AJ233" s="152">
        <v>0</v>
      </c>
      <c r="AK233" s="152">
        <v>0</v>
      </c>
      <c r="AL233" s="152">
        <v>0</v>
      </c>
      <c r="AM233" s="152">
        <v>0</v>
      </c>
      <c r="AN233" s="152">
        <v>0</v>
      </c>
      <c r="AO233" s="152">
        <v>0</v>
      </c>
      <c r="AP233" s="152">
        <v>0</v>
      </c>
      <c r="AQ233" s="152">
        <v>0</v>
      </c>
      <c r="AR233" s="152">
        <v>0</v>
      </c>
      <c r="AS233" s="168">
        <f>6004629.8/1000000</f>
        <v>6.0046298</v>
      </c>
      <c r="AT233" s="152">
        <v>0</v>
      </c>
      <c r="AU233" s="152">
        <v>0</v>
      </c>
      <c r="AV233" s="152">
        <v>0</v>
      </c>
      <c r="AW233" s="152">
        <v>0</v>
      </c>
      <c r="AX233" s="152">
        <v>0</v>
      </c>
      <c r="AY233" s="147">
        <v>2.4</v>
      </c>
      <c r="AZ233" s="152">
        <v>0</v>
      </c>
      <c r="BA233" s="152">
        <v>0</v>
      </c>
      <c r="BB233" s="169">
        <f>30/6.6</f>
        <v>4.5454545454545459</v>
      </c>
      <c r="BC233" s="152">
        <v>0</v>
      </c>
      <c r="BD233" s="152">
        <v>0</v>
      </c>
      <c r="BE233" s="152">
        <v>0</v>
      </c>
      <c r="BF233" s="147">
        <v>0</v>
      </c>
      <c r="BG233" s="147">
        <v>0</v>
      </c>
      <c r="BH233" s="147">
        <v>1.54</v>
      </c>
      <c r="BI233" s="18">
        <v>0</v>
      </c>
      <c r="BJ233" s="18">
        <v>0</v>
      </c>
      <c r="BK233" s="18">
        <v>0</v>
      </c>
      <c r="BL233" s="113">
        <v>1.2</v>
      </c>
      <c r="BM233" s="113">
        <v>2.907</v>
      </c>
      <c r="BN233" s="18">
        <v>0</v>
      </c>
      <c r="BO233" s="18">
        <v>0</v>
      </c>
      <c r="BP233" s="18">
        <v>0</v>
      </c>
      <c r="BQ233" s="18">
        <v>0</v>
      </c>
      <c r="BR233" s="101"/>
      <c r="BS233">
        <f t="shared" ref="BS233:CB238" si="434">IF($C233&lt;&gt;"",IF(D233&gt;0,1,0),0)</f>
        <v>0</v>
      </c>
      <c r="BT233">
        <f t="shared" si="434"/>
        <v>0</v>
      </c>
      <c r="BU233">
        <f t="shared" si="434"/>
        <v>0</v>
      </c>
      <c r="BV233">
        <f t="shared" si="434"/>
        <v>0</v>
      </c>
      <c r="BW233">
        <f t="shared" si="434"/>
        <v>0</v>
      </c>
      <c r="BX233">
        <f t="shared" si="434"/>
        <v>0</v>
      </c>
      <c r="BY233">
        <f t="shared" si="434"/>
        <v>0</v>
      </c>
      <c r="BZ233">
        <f t="shared" si="434"/>
        <v>0</v>
      </c>
      <c r="CA233">
        <f t="shared" si="434"/>
        <v>0</v>
      </c>
      <c r="CB233">
        <f t="shared" si="434"/>
        <v>0</v>
      </c>
      <c r="CC233">
        <f t="shared" ref="CC233:CL238" si="435">IF($C233&lt;&gt;"",IF(N233&gt;0,1,0),0)</f>
        <v>0</v>
      </c>
      <c r="CD233">
        <f t="shared" si="435"/>
        <v>0</v>
      </c>
      <c r="CE233">
        <f t="shared" si="435"/>
        <v>0</v>
      </c>
      <c r="CF233">
        <f t="shared" si="435"/>
        <v>0</v>
      </c>
      <c r="CG233">
        <f t="shared" si="435"/>
        <v>0</v>
      </c>
      <c r="CH233">
        <f t="shared" si="435"/>
        <v>0</v>
      </c>
      <c r="CI233">
        <f t="shared" si="435"/>
        <v>0</v>
      </c>
      <c r="CJ233">
        <f t="shared" si="435"/>
        <v>0</v>
      </c>
      <c r="CK233">
        <f t="shared" si="435"/>
        <v>0</v>
      </c>
      <c r="CL233">
        <f t="shared" si="435"/>
        <v>0</v>
      </c>
      <c r="CM233">
        <f t="shared" ref="CM233:CV238" si="436">IF($C233&lt;&gt;"",IF(X233&gt;0,1,0),0)</f>
        <v>0</v>
      </c>
      <c r="CN233">
        <f t="shared" si="436"/>
        <v>0</v>
      </c>
      <c r="CO233">
        <f t="shared" si="436"/>
        <v>0</v>
      </c>
      <c r="CP233">
        <f t="shared" si="436"/>
        <v>0</v>
      </c>
      <c r="CQ233">
        <f t="shared" si="436"/>
        <v>0</v>
      </c>
      <c r="CR233">
        <f t="shared" si="436"/>
        <v>0</v>
      </c>
      <c r="CS233">
        <f t="shared" si="436"/>
        <v>0</v>
      </c>
      <c r="CT233">
        <f t="shared" si="436"/>
        <v>0</v>
      </c>
      <c r="CU233">
        <f t="shared" si="436"/>
        <v>0</v>
      </c>
      <c r="CV233">
        <f t="shared" si="436"/>
        <v>0</v>
      </c>
      <c r="CW233">
        <f t="shared" ref="CW233:DF238" si="437">IF($C233&lt;&gt;"",IF(AH233&gt;0,1,0),0)</f>
        <v>0</v>
      </c>
      <c r="CX233">
        <f t="shared" si="437"/>
        <v>0</v>
      </c>
      <c r="CY233">
        <f t="shared" si="437"/>
        <v>0</v>
      </c>
      <c r="CZ233">
        <f t="shared" si="437"/>
        <v>0</v>
      </c>
      <c r="DA233">
        <f t="shared" si="437"/>
        <v>0</v>
      </c>
      <c r="DB233">
        <f t="shared" si="437"/>
        <v>0</v>
      </c>
      <c r="DC233">
        <f t="shared" si="437"/>
        <v>0</v>
      </c>
      <c r="DD233">
        <f t="shared" si="437"/>
        <v>0</v>
      </c>
      <c r="DE233">
        <f t="shared" si="437"/>
        <v>0</v>
      </c>
      <c r="DF233">
        <f t="shared" si="437"/>
        <v>0</v>
      </c>
      <c r="DG233">
        <f t="shared" ref="DG233:DP238" si="438">IF($C233&lt;&gt;"",IF(AR233&gt;0,1,0),0)</f>
        <v>0</v>
      </c>
      <c r="DH233">
        <f t="shared" si="438"/>
        <v>0</v>
      </c>
      <c r="DI233">
        <f t="shared" si="438"/>
        <v>0</v>
      </c>
      <c r="DJ233">
        <f t="shared" si="438"/>
        <v>0</v>
      </c>
      <c r="DK233">
        <f t="shared" si="438"/>
        <v>0</v>
      </c>
      <c r="DL233">
        <f t="shared" si="438"/>
        <v>0</v>
      </c>
      <c r="DM233">
        <f t="shared" si="438"/>
        <v>0</v>
      </c>
      <c r="DN233">
        <f t="shared" si="438"/>
        <v>0</v>
      </c>
      <c r="DO233">
        <f t="shared" si="438"/>
        <v>0</v>
      </c>
      <c r="DP233">
        <f t="shared" si="438"/>
        <v>0</v>
      </c>
      <c r="DQ233">
        <f t="shared" ref="DQ233:DZ238" si="439">IF($C233&lt;&gt;"",IF(BB233&gt;0,1,0),0)</f>
        <v>0</v>
      </c>
      <c r="DR233">
        <f t="shared" si="439"/>
        <v>0</v>
      </c>
      <c r="DS233">
        <f t="shared" si="439"/>
        <v>0</v>
      </c>
      <c r="DT233">
        <f t="shared" si="439"/>
        <v>0</v>
      </c>
      <c r="DU233">
        <f t="shared" si="439"/>
        <v>0</v>
      </c>
      <c r="DV233">
        <f t="shared" si="439"/>
        <v>0</v>
      </c>
      <c r="DW233">
        <f t="shared" si="439"/>
        <v>0</v>
      </c>
      <c r="DX233">
        <f t="shared" si="439"/>
        <v>0</v>
      </c>
      <c r="DY233">
        <f t="shared" si="439"/>
        <v>0</v>
      </c>
      <c r="DZ233">
        <f t="shared" si="439"/>
        <v>0</v>
      </c>
      <c r="EA233">
        <f t="shared" ref="EA233:EF233" si="440">IF($C233&lt;&gt;"",IF(BL231&gt;0,1,0),0)</f>
        <v>0</v>
      </c>
      <c r="EB233">
        <f t="shared" si="440"/>
        <v>0</v>
      </c>
      <c r="EC233">
        <f t="shared" si="440"/>
        <v>0</v>
      </c>
      <c r="ED233">
        <f t="shared" si="440"/>
        <v>0</v>
      </c>
      <c r="EE233">
        <f t="shared" si="440"/>
        <v>0</v>
      </c>
      <c r="EF233">
        <f t="shared" si="440"/>
        <v>0</v>
      </c>
    </row>
    <row r="234" spans="1:136" ht="15.5">
      <c r="A234" s="90"/>
      <c r="B234" s="57" t="s">
        <v>3</v>
      </c>
      <c r="C234" s="94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>
        <v>0</v>
      </c>
      <c r="T234" s="25">
        <v>0</v>
      </c>
      <c r="U234" s="25">
        <v>0</v>
      </c>
      <c r="V234" s="25">
        <v>0</v>
      </c>
      <c r="W234" s="25">
        <v>0</v>
      </c>
      <c r="X234" s="25">
        <v>0</v>
      </c>
      <c r="Y234" s="25">
        <v>6.0000000000000001E-3</v>
      </c>
      <c r="Z234" s="25">
        <v>1.9112000000000001E-2</v>
      </c>
      <c r="AA234" s="25">
        <v>1.7049000000000002E-2</v>
      </c>
      <c r="AB234" s="25">
        <v>9.3028E-2</v>
      </c>
      <c r="AC234" s="25">
        <v>0.38295600000000002</v>
      </c>
      <c r="AD234" s="25">
        <v>2.7472500000000002</v>
      </c>
      <c r="AE234" s="25">
        <v>4.4987149999999998</v>
      </c>
      <c r="AF234" s="25">
        <v>5.910336</v>
      </c>
      <c r="AG234" s="25">
        <v>9.1204099999999997</v>
      </c>
      <c r="AH234" s="25">
        <v>21.266539999999999</v>
      </c>
      <c r="AI234" s="25">
        <v>11.827719999999999</v>
      </c>
      <c r="AJ234" s="25">
        <v>11.302709999999999</v>
      </c>
      <c r="AK234" s="25">
        <v>15.69956</v>
      </c>
      <c r="AL234" s="25">
        <v>17.91525</v>
      </c>
      <c r="AM234" s="25">
        <v>21.98395</v>
      </c>
      <c r="AN234" s="25">
        <v>23.321179999999998</v>
      </c>
      <c r="AO234" s="25">
        <v>21.598469999999999</v>
      </c>
      <c r="AP234" s="25">
        <v>16.488189999999999</v>
      </c>
      <c r="AQ234" s="25">
        <v>24.040659999999999</v>
      </c>
      <c r="AR234" s="25">
        <v>34.875540000000001</v>
      </c>
      <c r="AS234" s="25">
        <f>35.68294-AS233</f>
        <v>29.678310200000002</v>
      </c>
      <c r="AT234" s="25">
        <v>22.18318</v>
      </c>
      <c r="AU234" s="25">
        <v>15.63438</v>
      </c>
      <c r="AV234" s="25">
        <v>3.6084179999999999</v>
      </c>
      <c r="AW234" s="25">
        <v>3.4506709999999998</v>
      </c>
      <c r="AX234" s="25">
        <v>3.157</v>
      </c>
      <c r="AY234" s="25">
        <v>3.7229999999999999</v>
      </c>
      <c r="AZ234" s="25">
        <v>3.8775402999999997</v>
      </c>
      <c r="BA234" s="25">
        <v>3.895</v>
      </c>
      <c r="BB234" s="25">
        <v>3.895</v>
      </c>
      <c r="BC234" s="25">
        <v>0</v>
      </c>
      <c r="BD234" s="25">
        <v>0</v>
      </c>
      <c r="BE234" s="25">
        <v>0</v>
      </c>
      <c r="BF234" s="18">
        <v>0</v>
      </c>
      <c r="BG234" s="18">
        <v>0</v>
      </c>
      <c r="BH234" s="18">
        <v>0</v>
      </c>
      <c r="BI234" s="18">
        <v>0</v>
      </c>
      <c r="BJ234" s="18">
        <v>0</v>
      </c>
      <c r="BK234" s="40">
        <v>5.5313000000000001E-2</v>
      </c>
      <c r="BL234" s="113">
        <f>31.2037951-BL233</f>
        <v>30.003795100000001</v>
      </c>
      <c r="BM234" s="113">
        <f>27.0043417-BM233</f>
        <v>24.097341700000001</v>
      </c>
      <c r="BN234" s="18">
        <v>0</v>
      </c>
      <c r="BO234" s="18">
        <v>0</v>
      </c>
      <c r="BP234" s="18">
        <v>0</v>
      </c>
      <c r="BQ234" s="18">
        <v>0</v>
      </c>
      <c r="BR234" s="101"/>
      <c r="BS234">
        <f t="shared" si="434"/>
        <v>0</v>
      </c>
      <c r="BT234">
        <f t="shared" si="434"/>
        <v>0</v>
      </c>
      <c r="BU234">
        <f t="shared" si="434"/>
        <v>0</v>
      </c>
      <c r="BV234">
        <f t="shared" si="434"/>
        <v>0</v>
      </c>
      <c r="BW234">
        <f t="shared" si="434"/>
        <v>0</v>
      </c>
      <c r="BX234">
        <f t="shared" si="434"/>
        <v>0</v>
      </c>
      <c r="BY234">
        <f t="shared" si="434"/>
        <v>0</v>
      </c>
      <c r="BZ234">
        <f t="shared" si="434"/>
        <v>0</v>
      </c>
      <c r="CA234">
        <f t="shared" si="434"/>
        <v>0</v>
      </c>
      <c r="CB234">
        <f t="shared" si="434"/>
        <v>0</v>
      </c>
      <c r="CC234">
        <f t="shared" si="435"/>
        <v>0</v>
      </c>
      <c r="CD234">
        <f t="shared" si="435"/>
        <v>0</v>
      </c>
      <c r="CE234">
        <f t="shared" si="435"/>
        <v>0</v>
      </c>
      <c r="CF234">
        <f t="shared" si="435"/>
        <v>0</v>
      </c>
      <c r="CG234">
        <f t="shared" si="435"/>
        <v>0</v>
      </c>
      <c r="CH234">
        <f t="shared" si="435"/>
        <v>0</v>
      </c>
      <c r="CI234">
        <f t="shared" si="435"/>
        <v>0</v>
      </c>
      <c r="CJ234">
        <f t="shared" si="435"/>
        <v>0</v>
      </c>
      <c r="CK234">
        <f t="shared" si="435"/>
        <v>0</v>
      </c>
      <c r="CL234">
        <f t="shared" si="435"/>
        <v>0</v>
      </c>
      <c r="CM234">
        <f t="shared" si="436"/>
        <v>0</v>
      </c>
      <c r="CN234">
        <f t="shared" si="436"/>
        <v>0</v>
      </c>
      <c r="CO234">
        <f t="shared" si="436"/>
        <v>0</v>
      </c>
      <c r="CP234">
        <f t="shared" si="436"/>
        <v>0</v>
      </c>
      <c r="CQ234">
        <f t="shared" si="436"/>
        <v>0</v>
      </c>
      <c r="CR234">
        <f t="shared" si="436"/>
        <v>0</v>
      </c>
      <c r="CS234">
        <f t="shared" si="436"/>
        <v>0</v>
      </c>
      <c r="CT234">
        <f t="shared" si="436"/>
        <v>0</v>
      </c>
      <c r="CU234">
        <f t="shared" si="436"/>
        <v>0</v>
      </c>
      <c r="CV234">
        <f t="shared" si="436"/>
        <v>0</v>
      </c>
      <c r="CW234">
        <f t="shared" si="437"/>
        <v>0</v>
      </c>
      <c r="CX234">
        <f t="shared" si="437"/>
        <v>0</v>
      </c>
      <c r="CY234">
        <f t="shared" si="437"/>
        <v>0</v>
      </c>
      <c r="CZ234">
        <f t="shared" si="437"/>
        <v>0</v>
      </c>
      <c r="DA234">
        <f t="shared" si="437"/>
        <v>0</v>
      </c>
      <c r="DB234">
        <f t="shared" si="437"/>
        <v>0</v>
      </c>
      <c r="DC234">
        <f t="shared" si="437"/>
        <v>0</v>
      </c>
      <c r="DD234">
        <f t="shared" si="437"/>
        <v>0</v>
      </c>
      <c r="DE234">
        <f t="shared" si="437"/>
        <v>0</v>
      </c>
      <c r="DF234">
        <f t="shared" si="437"/>
        <v>0</v>
      </c>
      <c r="DG234">
        <f t="shared" si="438"/>
        <v>0</v>
      </c>
      <c r="DH234">
        <f t="shared" si="438"/>
        <v>0</v>
      </c>
      <c r="DI234">
        <f t="shared" si="438"/>
        <v>0</v>
      </c>
      <c r="DJ234">
        <f t="shared" si="438"/>
        <v>0</v>
      </c>
      <c r="DK234">
        <f t="shared" si="438"/>
        <v>0</v>
      </c>
      <c r="DL234">
        <f t="shared" si="438"/>
        <v>0</v>
      </c>
      <c r="DM234">
        <f t="shared" si="438"/>
        <v>0</v>
      </c>
      <c r="DN234">
        <f t="shared" si="438"/>
        <v>0</v>
      </c>
      <c r="DO234">
        <f t="shared" si="438"/>
        <v>0</v>
      </c>
      <c r="DP234">
        <f t="shared" si="438"/>
        <v>0</v>
      </c>
      <c r="DQ234">
        <f t="shared" si="439"/>
        <v>0</v>
      </c>
      <c r="DR234">
        <f t="shared" si="439"/>
        <v>0</v>
      </c>
      <c r="DS234">
        <f t="shared" si="439"/>
        <v>0</v>
      </c>
      <c r="DT234">
        <f t="shared" si="439"/>
        <v>0</v>
      </c>
      <c r="DU234">
        <f t="shared" si="439"/>
        <v>0</v>
      </c>
      <c r="DV234">
        <f t="shared" si="439"/>
        <v>0</v>
      </c>
      <c r="DW234">
        <f t="shared" si="439"/>
        <v>0</v>
      </c>
      <c r="DX234">
        <f t="shared" si="439"/>
        <v>0</v>
      </c>
      <c r="DY234">
        <f t="shared" si="439"/>
        <v>0</v>
      </c>
      <c r="DZ234">
        <f t="shared" si="439"/>
        <v>0</v>
      </c>
      <c r="EA234">
        <f t="shared" ref="EA234:EF237" si="441">IF($C234&lt;&gt;"",IF(BL233&gt;0,1,0),0)</f>
        <v>0</v>
      </c>
      <c r="EB234">
        <f t="shared" si="441"/>
        <v>0</v>
      </c>
      <c r="EC234">
        <f t="shared" si="441"/>
        <v>0</v>
      </c>
      <c r="ED234">
        <f t="shared" si="441"/>
        <v>0</v>
      </c>
      <c r="EE234">
        <f t="shared" si="441"/>
        <v>0</v>
      </c>
      <c r="EF234">
        <f t="shared" si="441"/>
        <v>0</v>
      </c>
    </row>
    <row r="235" spans="1:136" ht="15.5">
      <c r="A235" s="90"/>
      <c r="B235" s="57" t="s">
        <v>18</v>
      </c>
      <c r="C235" s="94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>
        <v>0</v>
      </c>
      <c r="T235" s="18">
        <v>0</v>
      </c>
      <c r="U235" s="18">
        <v>0</v>
      </c>
      <c r="V235" s="18">
        <v>0</v>
      </c>
      <c r="W235" s="18">
        <v>0</v>
      </c>
      <c r="X235" s="18">
        <v>0</v>
      </c>
      <c r="Y235" s="18">
        <v>0</v>
      </c>
      <c r="Z235" s="18">
        <v>0</v>
      </c>
      <c r="AA235" s="18">
        <v>0</v>
      </c>
      <c r="AB235" s="18">
        <v>0</v>
      </c>
      <c r="AC235" s="18">
        <v>37.176997609631876</v>
      </c>
      <c r="AD235" s="18">
        <v>40.262688411231323</v>
      </c>
      <c r="AE235" s="18">
        <v>43.725279614597213</v>
      </c>
      <c r="AF235" s="18">
        <v>47.835455898369347</v>
      </c>
      <c r="AG235" s="18">
        <v>52.906014223596493</v>
      </c>
      <c r="AH235" s="18">
        <v>58.037897603285352</v>
      </c>
      <c r="AI235" s="18">
        <v>56.295897603285347</v>
      </c>
      <c r="AJ235" s="18">
        <v>54.037897603285352</v>
      </c>
      <c r="AK235" s="18">
        <v>51.56589760328535</v>
      </c>
      <c r="AL235" s="18">
        <v>49.061897603285345</v>
      </c>
      <c r="AM235" s="18">
        <v>46.436897603285352</v>
      </c>
      <c r="AN235" s="18">
        <v>2</v>
      </c>
      <c r="AO235" s="18">
        <v>0</v>
      </c>
      <c r="AP235" s="18">
        <v>0</v>
      </c>
      <c r="AQ235" s="18">
        <v>0</v>
      </c>
      <c r="AR235" s="18">
        <v>0</v>
      </c>
      <c r="AS235" s="18">
        <v>0</v>
      </c>
      <c r="AT235" s="18">
        <v>0</v>
      </c>
      <c r="AU235" s="18">
        <v>0</v>
      </c>
      <c r="AV235" s="18">
        <v>0</v>
      </c>
      <c r="AW235" s="18">
        <v>0</v>
      </c>
      <c r="AX235" s="18">
        <v>0</v>
      </c>
      <c r="AY235" s="18">
        <v>0</v>
      </c>
      <c r="AZ235" s="18">
        <v>0</v>
      </c>
      <c r="BA235" s="18">
        <v>0</v>
      </c>
      <c r="BB235" s="18">
        <v>0</v>
      </c>
      <c r="BC235" s="18">
        <v>0</v>
      </c>
      <c r="BD235" s="18">
        <v>0</v>
      </c>
      <c r="BE235" s="25">
        <v>0</v>
      </c>
      <c r="BF235" s="18">
        <v>0</v>
      </c>
      <c r="BG235" s="18">
        <v>0</v>
      </c>
      <c r="BH235" s="18">
        <v>0</v>
      </c>
      <c r="BI235" s="18">
        <v>0</v>
      </c>
      <c r="BJ235" s="113">
        <v>0</v>
      </c>
      <c r="BK235" s="113">
        <v>0</v>
      </c>
      <c r="BL235" s="113">
        <v>0</v>
      </c>
      <c r="BM235" s="18">
        <v>0</v>
      </c>
      <c r="BN235" s="18">
        <v>0</v>
      </c>
      <c r="BO235" s="18">
        <v>0</v>
      </c>
      <c r="BP235" s="18">
        <v>0</v>
      </c>
      <c r="BQ235" s="18">
        <v>0</v>
      </c>
      <c r="BR235" s="101"/>
      <c r="BS235">
        <f t="shared" si="434"/>
        <v>0</v>
      </c>
      <c r="BT235">
        <f t="shared" si="434"/>
        <v>0</v>
      </c>
      <c r="BU235">
        <f t="shared" si="434"/>
        <v>0</v>
      </c>
      <c r="BV235">
        <f t="shared" si="434"/>
        <v>0</v>
      </c>
      <c r="BW235">
        <f t="shared" si="434"/>
        <v>0</v>
      </c>
      <c r="BX235">
        <f t="shared" si="434"/>
        <v>0</v>
      </c>
      <c r="BY235">
        <f t="shared" si="434"/>
        <v>0</v>
      </c>
      <c r="BZ235">
        <f t="shared" si="434"/>
        <v>0</v>
      </c>
      <c r="CA235">
        <f t="shared" si="434"/>
        <v>0</v>
      </c>
      <c r="CB235">
        <f t="shared" si="434"/>
        <v>0</v>
      </c>
      <c r="CC235">
        <f t="shared" si="435"/>
        <v>0</v>
      </c>
      <c r="CD235">
        <f t="shared" si="435"/>
        <v>0</v>
      </c>
      <c r="CE235">
        <f t="shared" si="435"/>
        <v>0</v>
      </c>
      <c r="CF235">
        <f t="shared" si="435"/>
        <v>0</v>
      </c>
      <c r="CG235">
        <f t="shared" si="435"/>
        <v>0</v>
      </c>
      <c r="CH235">
        <f t="shared" si="435"/>
        <v>0</v>
      </c>
      <c r="CI235">
        <f t="shared" si="435"/>
        <v>0</v>
      </c>
      <c r="CJ235">
        <f t="shared" si="435"/>
        <v>0</v>
      </c>
      <c r="CK235">
        <f t="shared" si="435"/>
        <v>0</v>
      </c>
      <c r="CL235">
        <f t="shared" si="435"/>
        <v>0</v>
      </c>
      <c r="CM235">
        <f t="shared" si="436"/>
        <v>0</v>
      </c>
      <c r="CN235">
        <f t="shared" si="436"/>
        <v>0</v>
      </c>
      <c r="CO235">
        <f t="shared" si="436"/>
        <v>0</v>
      </c>
      <c r="CP235">
        <f t="shared" si="436"/>
        <v>0</v>
      </c>
      <c r="CQ235">
        <f t="shared" si="436"/>
        <v>0</v>
      </c>
      <c r="CR235">
        <f t="shared" si="436"/>
        <v>0</v>
      </c>
      <c r="CS235">
        <f t="shared" si="436"/>
        <v>0</v>
      </c>
      <c r="CT235">
        <f t="shared" si="436"/>
        <v>0</v>
      </c>
      <c r="CU235">
        <f t="shared" si="436"/>
        <v>0</v>
      </c>
      <c r="CV235">
        <f t="shared" si="436"/>
        <v>0</v>
      </c>
      <c r="CW235">
        <f t="shared" si="437"/>
        <v>0</v>
      </c>
      <c r="CX235">
        <f t="shared" si="437"/>
        <v>0</v>
      </c>
      <c r="CY235">
        <f t="shared" si="437"/>
        <v>0</v>
      </c>
      <c r="CZ235">
        <f t="shared" si="437"/>
        <v>0</v>
      </c>
      <c r="DA235">
        <f t="shared" si="437"/>
        <v>0</v>
      </c>
      <c r="DB235">
        <f t="shared" si="437"/>
        <v>0</v>
      </c>
      <c r="DC235">
        <f t="shared" si="437"/>
        <v>0</v>
      </c>
      <c r="DD235">
        <f t="shared" si="437"/>
        <v>0</v>
      </c>
      <c r="DE235">
        <f t="shared" si="437"/>
        <v>0</v>
      </c>
      <c r="DF235">
        <f t="shared" si="437"/>
        <v>0</v>
      </c>
      <c r="DG235">
        <f t="shared" si="438"/>
        <v>0</v>
      </c>
      <c r="DH235">
        <f t="shared" si="438"/>
        <v>0</v>
      </c>
      <c r="DI235">
        <f t="shared" si="438"/>
        <v>0</v>
      </c>
      <c r="DJ235">
        <f t="shared" si="438"/>
        <v>0</v>
      </c>
      <c r="DK235">
        <f t="shared" si="438"/>
        <v>0</v>
      </c>
      <c r="DL235">
        <f t="shared" si="438"/>
        <v>0</v>
      </c>
      <c r="DM235">
        <f t="shared" si="438"/>
        <v>0</v>
      </c>
      <c r="DN235">
        <f t="shared" si="438"/>
        <v>0</v>
      </c>
      <c r="DO235">
        <f t="shared" si="438"/>
        <v>0</v>
      </c>
      <c r="DP235">
        <f t="shared" si="438"/>
        <v>0</v>
      </c>
      <c r="DQ235">
        <f t="shared" si="439"/>
        <v>0</v>
      </c>
      <c r="DR235">
        <f t="shared" si="439"/>
        <v>0</v>
      </c>
      <c r="DS235">
        <f t="shared" si="439"/>
        <v>0</v>
      </c>
      <c r="DT235">
        <f t="shared" si="439"/>
        <v>0</v>
      </c>
      <c r="DU235">
        <f t="shared" si="439"/>
        <v>0</v>
      </c>
      <c r="DV235">
        <f t="shared" si="439"/>
        <v>0</v>
      </c>
      <c r="DW235">
        <f t="shared" si="439"/>
        <v>0</v>
      </c>
      <c r="DX235">
        <f t="shared" si="439"/>
        <v>0</v>
      </c>
      <c r="DY235">
        <f t="shared" si="439"/>
        <v>0</v>
      </c>
      <c r="DZ235">
        <f t="shared" si="439"/>
        <v>0</v>
      </c>
      <c r="EA235">
        <f t="shared" si="441"/>
        <v>0</v>
      </c>
      <c r="EB235">
        <f t="shared" si="441"/>
        <v>0</v>
      </c>
      <c r="EC235">
        <f t="shared" si="441"/>
        <v>0</v>
      </c>
      <c r="ED235">
        <f t="shared" si="441"/>
        <v>0</v>
      </c>
      <c r="EE235">
        <f t="shared" si="441"/>
        <v>0</v>
      </c>
      <c r="EF235">
        <f t="shared" si="441"/>
        <v>0</v>
      </c>
    </row>
    <row r="236" spans="1:136" ht="15.5">
      <c r="A236" s="90"/>
      <c r="B236" s="19" t="s">
        <v>208</v>
      </c>
      <c r="C236" s="94"/>
      <c r="D236" s="18" t="s">
        <v>24</v>
      </c>
      <c r="E236" s="18" t="s">
        <v>24</v>
      </c>
      <c r="F236" s="18" t="s">
        <v>24</v>
      </c>
      <c r="G236" s="18" t="s">
        <v>24</v>
      </c>
      <c r="H236" s="18" t="s">
        <v>24</v>
      </c>
      <c r="I236" s="18" t="s">
        <v>24</v>
      </c>
      <c r="J236" s="18" t="s">
        <v>24</v>
      </c>
      <c r="K236" s="18" t="s">
        <v>24</v>
      </c>
      <c r="L236" s="18" t="s">
        <v>24</v>
      </c>
      <c r="M236" s="18" t="s">
        <v>24</v>
      </c>
      <c r="N236" s="18" t="s">
        <v>24</v>
      </c>
      <c r="O236" s="18" t="s">
        <v>24</v>
      </c>
      <c r="P236" s="18" t="s">
        <v>24</v>
      </c>
      <c r="Q236" s="18" t="s">
        <v>24</v>
      </c>
      <c r="R236" s="18" t="s">
        <v>24</v>
      </c>
      <c r="S236" s="18" t="s">
        <v>24</v>
      </c>
      <c r="T236" s="18"/>
      <c r="U236" s="18"/>
      <c r="V236" s="18"/>
      <c r="W236" s="18"/>
      <c r="X236" s="18"/>
      <c r="Y236" s="18">
        <v>0</v>
      </c>
      <c r="Z236" s="18">
        <v>0</v>
      </c>
      <c r="AA236" s="18">
        <v>0</v>
      </c>
      <c r="AB236" s="18">
        <v>0</v>
      </c>
      <c r="AC236" s="58">
        <v>0</v>
      </c>
      <c r="AD236" s="58">
        <v>0.30000000000000004</v>
      </c>
      <c r="AE236" s="58">
        <v>0.60000000000000009</v>
      </c>
      <c r="AF236" s="58">
        <v>0.8</v>
      </c>
      <c r="AG236" s="58">
        <v>1</v>
      </c>
      <c r="AH236" s="58">
        <v>1.1000000000000001</v>
      </c>
      <c r="AI236" s="58">
        <v>0.9</v>
      </c>
      <c r="AJ236" s="58">
        <v>1.2000000000000002</v>
      </c>
      <c r="AK236" s="58">
        <v>1.5</v>
      </c>
      <c r="AL236" s="58">
        <v>1.8</v>
      </c>
      <c r="AM236" s="58">
        <v>2.2999999999999998</v>
      </c>
      <c r="AN236" s="58">
        <v>2.6</v>
      </c>
      <c r="AO236" s="18">
        <v>2.7</v>
      </c>
      <c r="AP236" s="18">
        <v>0</v>
      </c>
      <c r="AQ236" s="18">
        <v>1.9000000000000001</v>
      </c>
      <c r="AR236" s="18">
        <v>1.2</v>
      </c>
      <c r="AS236" s="18">
        <v>0.89999999999999991</v>
      </c>
      <c r="AT236" s="18">
        <v>0.30000000000000004</v>
      </c>
      <c r="AU236" s="18">
        <v>0</v>
      </c>
      <c r="AV236" s="18">
        <v>0</v>
      </c>
      <c r="AW236" s="18">
        <v>0.6</v>
      </c>
      <c r="AX236" s="18">
        <v>0</v>
      </c>
      <c r="AY236" s="18">
        <v>0</v>
      </c>
      <c r="AZ236" s="18">
        <v>0</v>
      </c>
      <c r="BA236" s="18">
        <v>0</v>
      </c>
      <c r="BB236" s="18">
        <v>0</v>
      </c>
      <c r="BC236" s="18">
        <v>0</v>
      </c>
      <c r="BD236" s="18">
        <v>0</v>
      </c>
      <c r="BE236" s="25">
        <v>0</v>
      </c>
      <c r="BF236" s="34">
        <v>0</v>
      </c>
      <c r="BG236" s="34">
        <v>0</v>
      </c>
      <c r="BH236" s="34">
        <v>0</v>
      </c>
      <c r="BI236" s="34">
        <v>0</v>
      </c>
      <c r="BJ236" s="34">
        <v>0</v>
      </c>
      <c r="BK236" s="34">
        <v>0</v>
      </c>
      <c r="BL236" s="34">
        <v>1.5626734</v>
      </c>
      <c r="BM236" s="18">
        <v>3.2385663999999998</v>
      </c>
      <c r="BN236" s="18">
        <v>0</v>
      </c>
      <c r="BO236" s="18">
        <v>0</v>
      </c>
      <c r="BP236" s="18">
        <v>0</v>
      </c>
      <c r="BQ236" s="18">
        <v>0</v>
      </c>
      <c r="BR236" s="101"/>
      <c r="BS236">
        <f t="shared" si="434"/>
        <v>0</v>
      </c>
      <c r="BT236">
        <f t="shared" si="434"/>
        <v>0</v>
      </c>
      <c r="BU236">
        <f t="shared" si="434"/>
        <v>0</v>
      </c>
      <c r="BV236">
        <f t="shared" si="434"/>
        <v>0</v>
      </c>
      <c r="BW236">
        <f t="shared" si="434"/>
        <v>0</v>
      </c>
      <c r="BX236">
        <f t="shared" si="434"/>
        <v>0</v>
      </c>
      <c r="BY236">
        <f t="shared" si="434"/>
        <v>0</v>
      </c>
      <c r="BZ236">
        <f t="shared" si="434"/>
        <v>0</v>
      </c>
      <c r="CA236">
        <f t="shared" si="434"/>
        <v>0</v>
      </c>
      <c r="CB236">
        <f t="shared" si="434"/>
        <v>0</v>
      </c>
      <c r="CC236">
        <f t="shared" si="435"/>
        <v>0</v>
      </c>
      <c r="CD236">
        <f t="shared" si="435"/>
        <v>0</v>
      </c>
      <c r="CE236">
        <f t="shared" si="435"/>
        <v>0</v>
      </c>
      <c r="CF236">
        <f t="shared" si="435"/>
        <v>0</v>
      </c>
      <c r="CG236">
        <f t="shared" si="435"/>
        <v>0</v>
      </c>
      <c r="CH236">
        <f t="shared" si="435"/>
        <v>0</v>
      </c>
      <c r="CI236">
        <f t="shared" si="435"/>
        <v>0</v>
      </c>
      <c r="CJ236">
        <f t="shared" si="435"/>
        <v>0</v>
      </c>
      <c r="CK236">
        <f t="shared" si="435"/>
        <v>0</v>
      </c>
      <c r="CL236">
        <f t="shared" si="435"/>
        <v>0</v>
      </c>
      <c r="CM236">
        <f t="shared" si="436"/>
        <v>0</v>
      </c>
      <c r="CN236">
        <f t="shared" si="436"/>
        <v>0</v>
      </c>
      <c r="CO236">
        <f t="shared" si="436"/>
        <v>0</v>
      </c>
      <c r="CP236">
        <f t="shared" si="436"/>
        <v>0</v>
      </c>
      <c r="CQ236">
        <f t="shared" si="436"/>
        <v>0</v>
      </c>
      <c r="CR236">
        <f t="shared" si="436"/>
        <v>0</v>
      </c>
      <c r="CS236">
        <f t="shared" si="436"/>
        <v>0</v>
      </c>
      <c r="CT236">
        <f t="shared" si="436"/>
        <v>0</v>
      </c>
      <c r="CU236">
        <f t="shared" si="436"/>
        <v>0</v>
      </c>
      <c r="CV236">
        <f t="shared" si="436"/>
        <v>0</v>
      </c>
      <c r="CW236">
        <f t="shared" si="437"/>
        <v>0</v>
      </c>
      <c r="CX236">
        <f t="shared" si="437"/>
        <v>0</v>
      </c>
      <c r="CY236">
        <f t="shared" si="437"/>
        <v>0</v>
      </c>
      <c r="CZ236">
        <f t="shared" si="437"/>
        <v>0</v>
      </c>
      <c r="DA236">
        <f t="shared" si="437"/>
        <v>0</v>
      </c>
      <c r="DB236">
        <f t="shared" si="437"/>
        <v>0</v>
      </c>
      <c r="DC236">
        <f t="shared" si="437"/>
        <v>0</v>
      </c>
      <c r="DD236">
        <f t="shared" si="437"/>
        <v>0</v>
      </c>
      <c r="DE236">
        <f t="shared" si="437"/>
        <v>0</v>
      </c>
      <c r="DF236">
        <f t="shared" si="437"/>
        <v>0</v>
      </c>
      <c r="DG236">
        <f t="shared" si="438"/>
        <v>0</v>
      </c>
      <c r="DH236">
        <f t="shared" si="438"/>
        <v>0</v>
      </c>
      <c r="DI236">
        <f t="shared" si="438"/>
        <v>0</v>
      </c>
      <c r="DJ236">
        <f t="shared" si="438"/>
        <v>0</v>
      </c>
      <c r="DK236">
        <f t="shared" si="438"/>
        <v>0</v>
      </c>
      <c r="DL236">
        <f t="shared" si="438"/>
        <v>0</v>
      </c>
      <c r="DM236">
        <f t="shared" si="438"/>
        <v>0</v>
      </c>
      <c r="DN236">
        <f t="shared" si="438"/>
        <v>0</v>
      </c>
      <c r="DO236">
        <f t="shared" si="438"/>
        <v>0</v>
      </c>
      <c r="DP236">
        <f t="shared" si="438"/>
        <v>0</v>
      </c>
      <c r="DQ236">
        <f t="shared" si="439"/>
        <v>0</v>
      </c>
      <c r="DR236">
        <f t="shared" si="439"/>
        <v>0</v>
      </c>
      <c r="DS236">
        <f t="shared" si="439"/>
        <v>0</v>
      </c>
      <c r="DT236">
        <f t="shared" si="439"/>
        <v>0</v>
      </c>
      <c r="DU236">
        <f t="shared" si="439"/>
        <v>0</v>
      </c>
      <c r="DV236">
        <f t="shared" si="439"/>
        <v>0</v>
      </c>
      <c r="DW236">
        <f t="shared" si="439"/>
        <v>0</v>
      </c>
      <c r="DX236">
        <f t="shared" si="439"/>
        <v>0</v>
      </c>
      <c r="DY236">
        <f t="shared" si="439"/>
        <v>0</v>
      </c>
      <c r="DZ236">
        <f t="shared" si="439"/>
        <v>0</v>
      </c>
      <c r="EA236">
        <f t="shared" si="441"/>
        <v>0</v>
      </c>
      <c r="EB236">
        <f t="shared" si="441"/>
        <v>0</v>
      </c>
      <c r="EC236">
        <f t="shared" si="441"/>
        <v>0</v>
      </c>
      <c r="ED236">
        <f t="shared" si="441"/>
        <v>0</v>
      </c>
      <c r="EE236">
        <f t="shared" si="441"/>
        <v>0</v>
      </c>
      <c r="EF236">
        <f t="shared" si="441"/>
        <v>0</v>
      </c>
    </row>
    <row r="237" spans="1:136" ht="15.5">
      <c r="A237" s="90"/>
      <c r="B237" s="57" t="s">
        <v>21</v>
      </c>
      <c r="C237" s="94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>
        <v>0</v>
      </c>
      <c r="AI237" s="18">
        <v>0</v>
      </c>
      <c r="AJ237" s="18">
        <v>0</v>
      </c>
      <c r="AK237" s="18">
        <v>0</v>
      </c>
      <c r="AL237" s="18">
        <v>0</v>
      </c>
      <c r="AM237" s="18">
        <v>0</v>
      </c>
      <c r="AN237" s="18">
        <v>0</v>
      </c>
      <c r="AO237" s="18">
        <v>0</v>
      </c>
      <c r="AP237" s="18">
        <f>6700/98.16</f>
        <v>68.255908720456404</v>
      </c>
      <c r="AQ237" s="18">
        <v>180</v>
      </c>
      <c r="AR237" s="113">
        <v>171</v>
      </c>
      <c r="AS237" s="113">
        <v>70</v>
      </c>
      <c r="AT237" s="113">
        <v>9</v>
      </c>
      <c r="AU237" s="18">
        <v>9</v>
      </c>
      <c r="AV237" s="18">
        <v>9</v>
      </c>
      <c r="AW237" s="18">
        <v>0</v>
      </c>
      <c r="AX237" s="18">
        <v>0</v>
      </c>
      <c r="AY237" s="18">
        <v>0</v>
      </c>
      <c r="AZ237" s="18">
        <v>0</v>
      </c>
      <c r="BA237" s="18">
        <v>0</v>
      </c>
      <c r="BB237" s="18">
        <v>0</v>
      </c>
      <c r="BC237" s="18">
        <v>0</v>
      </c>
      <c r="BD237" s="18">
        <v>0</v>
      </c>
      <c r="BE237" s="18">
        <v>0</v>
      </c>
      <c r="BF237" s="18">
        <v>0</v>
      </c>
      <c r="BG237" s="18">
        <v>0</v>
      </c>
      <c r="BH237" s="18">
        <v>0</v>
      </c>
      <c r="BI237" s="18">
        <v>0</v>
      </c>
      <c r="BJ237" s="147">
        <f>11070/93.41</f>
        <v>118.50979552510438</v>
      </c>
      <c r="BK237" s="18">
        <v>115</v>
      </c>
      <c r="BL237" s="18">
        <v>115</v>
      </c>
      <c r="BM237" s="18">
        <v>115</v>
      </c>
      <c r="BN237" s="18">
        <v>0</v>
      </c>
      <c r="BO237" s="18">
        <v>0</v>
      </c>
      <c r="BP237" s="18">
        <v>0</v>
      </c>
      <c r="BQ237" s="18">
        <v>0</v>
      </c>
      <c r="BR237" s="101"/>
      <c r="BS237">
        <f t="shared" si="434"/>
        <v>0</v>
      </c>
      <c r="BT237">
        <f t="shared" si="434"/>
        <v>0</v>
      </c>
      <c r="BU237">
        <f t="shared" si="434"/>
        <v>0</v>
      </c>
      <c r="BV237">
        <f t="shared" si="434"/>
        <v>0</v>
      </c>
      <c r="BW237">
        <f t="shared" si="434"/>
        <v>0</v>
      </c>
      <c r="BX237">
        <f t="shared" si="434"/>
        <v>0</v>
      </c>
      <c r="BY237">
        <f t="shared" si="434"/>
        <v>0</v>
      </c>
      <c r="BZ237">
        <f t="shared" si="434"/>
        <v>0</v>
      </c>
      <c r="CA237">
        <f t="shared" si="434"/>
        <v>0</v>
      </c>
      <c r="CB237">
        <f t="shared" si="434"/>
        <v>0</v>
      </c>
      <c r="CC237">
        <f t="shared" si="435"/>
        <v>0</v>
      </c>
      <c r="CD237">
        <f t="shared" si="435"/>
        <v>0</v>
      </c>
      <c r="CE237">
        <f t="shared" si="435"/>
        <v>0</v>
      </c>
      <c r="CF237">
        <f t="shared" si="435"/>
        <v>0</v>
      </c>
      <c r="CG237">
        <f t="shared" si="435"/>
        <v>0</v>
      </c>
      <c r="CH237">
        <f t="shared" si="435"/>
        <v>0</v>
      </c>
      <c r="CI237">
        <f t="shared" si="435"/>
        <v>0</v>
      </c>
      <c r="CJ237">
        <f t="shared" si="435"/>
        <v>0</v>
      </c>
      <c r="CK237">
        <f t="shared" si="435"/>
        <v>0</v>
      </c>
      <c r="CL237">
        <f t="shared" si="435"/>
        <v>0</v>
      </c>
      <c r="CM237">
        <f t="shared" si="436"/>
        <v>0</v>
      </c>
      <c r="CN237">
        <f t="shared" si="436"/>
        <v>0</v>
      </c>
      <c r="CO237">
        <f t="shared" si="436"/>
        <v>0</v>
      </c>
      <c r="CP237">
        <f t="shared" si="436"/>
        <v>0</v>
      </c>
      <c r="CQ237">
        <f t="shared" si="436"/>
        <v>0</v>
      </c>
      <c r="CR237">
        <f t="shared" si="436"/>
        <v>0</v>
      </c>
      <c r="CS237">
        <f t="shared" si="436"/>
        <v>0</v>
      </c>
      <c r="CT237">
        <f t="shared" si="436"/>
        <v>0</v>
      </c>
      <c r="CU237">
        <f t="shared" si="436"/>
        <v>0</v>
      </c>
      <c r="CV237">
        <f t="shared" si="436"/>
        <v>0</v>
      </c>
      <c r="CW237">
        <f t="shared" si="437"/>
        <v>0</v>
      </c>
      <c r="CX237">
        <f t="shared" si="437"/>
        <v>0</v>
      </c>
      <c r="CY237">
        <f t="shared" si="437"/>
        <v>0</v>
      </c>
      <c r="CZ237">
        <f t="shared" si="437"/>
        <v>0</v>
      </c>
      <c r="DA237">
        <f t="shared" si="437"/>
        <v>0</v>
      </c>
      <c r="DB237">
        <f t="shared" si="437"/>
        <v>0</v>
      </c>
      <c r="DC237">
        <f t="shared" si="437"/>
        <v>0</v>
      </c>
      <c r="DD237">
        <f t="shared" si="437"/>
        <v>0</v>
      </c>
      <c r="DE237">
        <f t="shared" si="437"/>
        <v>0</v>
      </c>
      <c r="DF237">
        <f t="shared" si="437"/>
        <v>0</v>
      </c>
      <c r="DG237">
        <f t="shared" si="438"/>
        <v>0</v>
      </c>
      <c r="DH237">
        <f t="shared" si="438"/>
        <v>0</v>
      </c>
      <c r="DI237">
        <f t="shared" si="438"/>
        <v>0</v>
      </c>
      <c r="DJ237">
        <f t="shared" si="438"/>
        <v>0</v>
      </c>
      <c r="DK237">
        <f t="shared" si="438"/>
        <v>0</v>
      </c>
      <c r="DL237">
        <f t="shared" si="438"/>
        <v>0</v>
      </c>
      <c r="DM237">
        <f t="shared" si="438"/>
        <v>0</v>
      </c>
      <c r="DN237">
        <f t="shared" si="438"/>
        <v>0</v>
      </c>
      <c r="DO237">
        <f t="shared" si="438"/>
        <v>0</v>
      </c>
      <c r="DP237">
        <f t="shared" si="438"/>
        <v>0</v>
      </c>
      <c r="DQ237">
        <f t="shared" si="439"/>
        <v>0</v>
      </c>
      <c r="DR237">
        <f t="shared" si="439"/>
        <v>0</v>
      </c>
      <c r="DS237">
        <f t="shared" si="439"/>
        <v>0</v>
      </c>
      <c r="DT237">
        <f t="shared" si="439"/>
        <v>0</v>
      </c>
      <c r="DU237">
        <f t="shared" si="439"/>
        <v>0</v>
      </c>
      <c r="DV237">
        <f t="shared" si="439"/>
        <v>0</v>
      </c>
      <c r="DW237">
        <f t="shared" si="439"/>
        <v>0</v>
      </c>
      <c r="DX237">
        <f t="shared" si="439"/>
        <v>0</v>
      </c>
      <c r="DY237">
        <f t="shared" si="439"/>
        <v>0</v>
      </c>
      <c r="DZ237">
        <f t="shared" si="439"/>
        <v>0</v>
      </c>
      <c r="EA237">
        <f t="shared" si="441"/>
        <v>0</v>
      </c>
      <c r="EB237">
        <f t="shared" si="441"/>
        <v>0</v>
      </c>
      <c r="EC237">
        <f t="shared" si="441"/>
        <v>0</v>
      </c>
      <c r="ED237">
        <f t="shared" si="441"/>
        <v>0</v>
      </c>
      <c r="EE237">
        <f t="shared" si="441"/>
        <v>0</v>
      </c>
      <c r="EF237">
        <f t="shared" si="441"/>
        <v>0</v>
      </c>
    </row>
    <row r="238" spans="1:136" ht="15.5">
      <c r="A238" s="90"/>
      <c r="B238" s="19" t="s">
        <v>212</v>
      </c>
      <c r="C238" s="94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>
        <v>0</v>
      </c>
      <c r="AI238" s="18">
        <v>0</v>
      </c>
      <c r="AJ238" s="18">
        <v>1.9264705882352942</v>
      </c>
      <c r="AK238" s="18">
        <v>3.3706467661691542</v>
      </c>
      <c r="AL238" s="18">
        <v>3.443223443223443</v>
      </c>
      <c r="AM238" s="18">
        <v>0</v>
      </c>
      <c r="AN238" s="18">
        <v>0</v>
      </c>
      <c r="AO238" s="18">
        <v>0</v>
      </c>
      <c r="AP238" s="18">
        <v>101.87449062754686</v>
      </c>
      <c r="AQ238" s="147">
        <v>105.16066212268744</v>
      </c>
      <c r="AR238" s="147">
        <v>110.45909561615464</v>
      </c>
      <c r="AS238" s="147">
        <v>99.829559289018761</v>
      </c>
      <c r="AT238" s="147">
        <v>71.635681391778945</v>
      </c>
      <c r="AU238" s="147">
        <v>73.772817554147352</v>
      </c>
      <c r="AV238" s="147">
        <v>84.054698281269609</v>
      </c>
      <c r="AW238" s="147">
        <v>69.390039171796317</v>
      </c>
      <c r="AX238" s="147">
        <v>60.831781502172568</v>
      </c>
      <c r="AY238" s="147">
        <v>44.943820224719097</v>
      </c>
      <c r="AZ238" s="147">
        <v>23.005206441457801</v>
      </c>
      <c r="BA238" s="147">
        <v>2.7552004408320703</v>
      </c>
      <c r="BB238" s="147">
        <v>0</v>
      </c>
      <c r="BC238" s="147">
        <v>0</v>
      </c>
      <c r="BD238" s="147">
        <v>0</v>
      </c>
      <c r="BE238" s="152">
        <v>0</v>
      </c>
      <c r="BF238" s="147">
        <v>0</v>
      </c>
      <c r="BG238" s="147">
        <v>9.5820000000000007</v>
      </c>
      <c r="BH238" s="147">
        <v>0</v>
      </c>
      <c r="BI238" s="147">
        <v>0</v>
      </c>
      <c r="BJ238" s="147">
        <v>0</v>
      </c>
      <c r="BK238" s="147">
        <v>0</v>
      </c>
      <c r="BL238" s="147">
        <v>0</v>
      </c>
      <c r="BM238" s="147">
        <v>0</v>
      </c>
      <c r="BN238" s="154">
        <v>0</v>
      </c>
      <c r="BO238" s="154">
        <v>0</v>
      </c>
      <c r="BP238" s="200">
        <v>0</v>
      </c>
      <c r="BQ238" s="200">
        <v>0</v>
      </c>
      <c r="BR238" s="101"/>
      <c r="BS238">
        <f t="shared" si="434"/>
        <v>0</v>
      </c>
      <c r="BT238">
        <f t="shared" si="434"/>
        <v>0</v>
      </c>
      <c r="BU238">
        <f t="shared" si="434"/>
        <v>0</v>
      </c>
      <c r="BV238">
        <f t="shared" si="434"/>
        <v>0</v>
      </c>
      <c r="BW238">
        <f t="shared" si="434"/>
        <v>0</v>
      </c>
      <c r="BX238">
        <f t="shared" si="434"/>
        <v>0</v>
      </c>
      <c r="BY238">
        <f t="shared" si="434"/>
        <v>0</v>
      </c>
      <c r="BZ238">
        <f t="shared" si="434"/>
        <v>0</v>
      </c>
      <c r="CA238">
        <f t="shared" si="434"/>
        <v>0</v>
      </c>
      <c r="CB238">
        <f t="shared" si="434"/>
        <v>0</v>
      </c>
      <c r="CC238">
        <f t="shared" si="435"/>
        <v>0</v>
      </c>
      <c r="CD238">
        <f t="shared" si="435"/>
        <v>0</v>
      </c>
      <c r="CE238">
        <f t="shared" si="435"/>
        <v>0</v>
      </c>
      <c r="CF238">
        <f t="shared" si="435"/>
        <v>0</v>
      </c>
      <c r="CG238">
        <f t="shared" si="435"/>
        <v>0</v>
      </c>
      <c r="CH238">
        <f t="shared" si="435"/>
        <v>0</v>
      </c>
      <c r="CI238">
        <f t="shared" si="435"/>
        <v>0</v>
      </c>
      <c r="CJ238">
        <f t="shared" si="435"/>
        <v>0</v>
      </c>
      <c r="CK238">
        <f t="shared" si="435"/>
        <v>0</v>
      </c>
      <c r="CL238">
        <f t="shared" si="435"/>
        <v>0</v>
      </c>
      <c r="CM238">
        <f t="shared" si="436"/>
        <v>0</v>
      </c>
      <c r="CN238">
        <f t="shared" si="436"/>
        <v>0</v>
      </c>
      <c r="CO238">
        <f t="shared" si="436"/>
        <v>0</v>
      </c>
      <c r="CP238">
        <f t="shared" si="436"/>
        <v>0</v>
      </c>
      <c r="CQ238">
        <f t="shared" si="436"/>
        <v>0</v>
      </c>
      <c r="CR238">
        <f t="shared" si="436"/>
        <v>0</v>
      </c>
      <c r="CS238">
        <f t="shared" si="436"/>
        <v>0</v>
      </c>
      <c r="CT238">
        <f t="shared" si="436"/>
        <v>0</v>
      </c>
      <c r="CU238">
        <f t="shared" si="436"/>
        <v>0</v>
      </c>
      <c r="CV238">
        <f t="shared" si="436"/>
        <v>0</v>
      </c>
      <c r="CW238">
        <f t="shared" si="437"/>
        <v>0</v>
      </c>
      <c r="CX238">
        <f t="shared" si="437"/>
        <v>0</v>
      </c>
      <c r="CY238">
        <f t="shared" si="437"/>
        <v>0</v>
      </c>
      <c r="CZ238">
        <f t="shared" si="437"/>
        <v>0</v>
      </c>
      <c r="DA238">
        <f t="shared" si="437"/>
        <v>0</v>
      </c>
      <c r="DB238">
        <f t="shared" si="437"/>
        <v>0</v>
      </c>
      <c r="DC238">
        <f t="shared" si="437"/>
        <v>0</v>
      </c>
      <c r="DD238">
        <f t="shared" si="437"/>
        <v>0</v>
      </c>
      <c r="DE238">
        <f t="shared" si="437"/>
        <v>0</v>
      </c>
      <c r="DF238">
        <f t="shared" si="437"/>
        <v>0</v>
      </c>
      <c r="DG238">
        <f t="shared" si="438"/>
        <v>0</v>
      </c>
      <c r="DH238">
        <f t="shared" si="438"/>
        <v>0</v>
      </c>
      <c r="DI238">
        <f t="shared" si="438"/>
        <v>0</v>
      </c>
      <c r="DJ238">
        <f t="shared" si="438"/>
        <v>0</v>
      </c>
      <c r="DK238">
        <f t="shared" si="438"/>
        <v>0</v>
      </c>
      <c r="DL238">
        <f t="shared" si="438"/>
        <v>0</v>
      </c>
      <c r="DM238">
        <f t="shared" si="438"/>
        <v>0</v>
      </c>
      <c r="DN238">
        <f t="shared" si="438"/>
        <v>0</v>
      </c>
      <c r="DO238">
        <f t="shared" si="438"/>
        <v>0</v>
      </c>
      <c r="DP238">
        <f t="shared" si="438"/>
        <v>0</v>
      </c>
      <c r="DQ238">
        <f t="shared" si="439"/>
        <v>0</v>
      </c>
      <c r="DR238">
        <f t="shared" si="439"/>
        <v>0</v>
      </c>
      <c r="DS238">
        <f t="shared" si="439"/>
        <v>0</v>
      </c>
      <c r="DT238">
        <f t="shared" si="439"/>
        <v>0</v>
      </c>
      <c r="DU238">
        <f t="shared" si="439"/>
        <v>0</v>
      </c>
      <c r="DV238">
        <f t="shared" si="439"/>
        <v>0</v>
      </c>
      <c r="DW238">
        <f t="shared" si="439"/>
        <v>0</v>
      </c>
      <c r="DX238">
        <f t="shared" si="439"/>
        <v>0</v>
      </c>
      <c r="DY238">
        <f t="shared" si="439"/>
        <v>0</v>
      </c>
      <c r="DZ238">
        <f t="shared" si="439"/>
        <v>0</v>
      </c>
      <c r="EA238">
        <f t="shared" ref="EA238:EF238" si="442">IF($C238&lt;&gt;"",IF(BL238&gt;0,1,0),0)</f>
        <v>0</v>
      </c>
      <c r="EB238">
        <f t="shared" si="442"/>
        <v>0</v>
      </c>
      <c r="EC238">
        <f t="shared" si="442"/>
        <v>0</v>
      </c>
      <c r="ED238">
        <f t="shared" si="442"/>
        <v>0</v>
      </c>
      <c r="EE238">
        <f t="shared" si="442"/>
        <v>0</v>
      </c>
      <c r="EF238">
        <f t="shared" si="442"/>
        <v>0</v>
      </c>
    </row>
    <row r="239" spans="1:136" ht="15.5">
      <c r="A239" s="90"/>
      <c r="B239" s="57"/>
      <c r="C239" s="94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113"/>
      <c r="AX239" s="113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2"/>
      <c r="BM239" s="2"/>
      <c r="BN239" s="2"/>
      <c r="BO239" s="2"/>
      <c r="BP239" s="2"/>
      <c r="BQ239" s="2"/>
      <c r="BR239" s="101"/>
    </row>
    <row r="240" spans="1:136" ht="15.5">
      <c r="A240" s="93">
        <v>26</v>
      </c>
      <c r="B240" s="54" t="s">
        <v>41</v>
      </c>
      <c r="C240" s="94">
        <v>3</v>
      </c>
      <c r="D240" s="22">
        <f t="shared" ref="D240:AI240" si="443">SUM(D241:D246)</f>
        <v>0</v>
      </c>
      <c r="E240" s="22">
        <f t="shared" si="443"/>
        <v>0</v>
      </c>
      <c r="F240" s="22">
        <f t="shared" si="443"/>
        <v>0</v>
      </c>
      <c r="G240" s="22">
        <f t="shared" si="443"/>
        <v>0</v>
      </c>
      <c r="H240" s="22">
        <f t="shared" si="443"/>
        <v>0</v>
      </c>
      <c r="I240" s="22">
        <f t="shared" si="443"/>
        <v>0</v>
      </c>
      <c r="J240" s="22">
        <f t="shared" si="443"/>
        <v>0</v>
      </c>
      <c r="K240" s="22">
        <f t="shared" si="443"/>
        <v>0</v>
      </c>
      <c r="L240" s="22">
        <f t="shared" si="443"/>
        <v>0</v>
      </c>
      <c r="M240" s="22">
        <f t="shared" si="443"/>
        <v>0</v>
      </c>
      <c r="N240" s="22">
        <f t="shared" si="443"/>
        <v>0</v>
      </c>
      <c r="O240" s="22">
        <f t="shared" si="443"/>
        <v>10</v>
      </c>
      <c r="P240" s="22">
        <f t="shared" si="443"/>
        <v>17</v>
      </c>
      <c r="Q240" s="22">
        <f t="shared" si="443"/>
        <v>11</v>
      </c>
      <c r="R240" s="22">
        <f t="shared" si="443"/>
        <v>16</v>
      </c>
      <c r="S240" s="22">
        <f t="shared" si="443"/>
        <v>380</v>
      </c>
      <c r="T240" s="22">
        <f t="shared" si="443"/>
        <v>294</v>
      </c>
      <c r="U240" s="22">
        <f t="shared" si="443"/>
        <v>298</v>
      </c>
      <c r="V240" s="22">
        <f t="shared" si="443"/>
        <v>304.49092079169247</v>
      </c>
      <c r="W240" s="22">
        <f t="shared" si="443"/>
        <v>310.0260162570903</v>
      </c>
      <c r="X240" s="22">
        <f t="shared" si="443"/>
        <v>314.96283306295118</v>
      </c>
      <c r="Y240" s="22">
        <f t="shared" si="443"/>
        <v>319.94089902369171</v>
      </c>
      <c r="Z240" s="22">
        <f t="shared" si="443"/>
        <v>325.80869706466189</v>
      </c>
      <c r="AA240" s="22">
        <f t="shared" si="443"/>
        <v>331.66107110672914</v>
      </c>
      <c r="AB240" s="22">
        <f t="shared" si="443"/>
        <v>337.28793085532072</v>
      </c>
      <c r="AC240" s="22">
        <f t="shared" si="443"/>
        <v>347.72479964195543</v>
      </c>
      <c r="AD240" s="22">
        <f t="shared" si="443"/>
        <v>1033.5785505784575</v>
      </c>
      <c r="AE240" s="22">
        <f t="shared" si="443"/>
        <v>1134.324242883439</v>
      </c>
      <c r="AF240" s="22">
        <f t="shared" si="443"/>
        <v>1227.2958313097392</v>
      </c>
      <c r="AG240" s="22">
        <f t="shared" si="443"/>
        <v>1322.2947024215712</v>
      </c>
      <c r="AH240" s="22">
        <f t="shared" si="443"/>
        <v>1362.8037952079449</v>
      </c>
      <c r="AI240" s="22">
        <f t="shared" si="443"/>
        <v>2006.8024887195331</v>
      </c>
      <c r="AJ240" s="22">
        <f t="shared" ref="AJ240:BP240" si="444">SUM(AJ241:AJ246)</f>
        <v>752.08780097522799</v>
      </c>
      <c r="AK240" s="22">
        <f t="shared" si="444"/>
        <v>849.76771514625955</v>
      </c>
      <c r="AL240" s="22">
        <f t="shared" si="444"/>
        <v>927.31999999999994</v>
      </c>
      <c r="AM240" s="22">
        <f t="shared" si="444"/>
        <v>1225.7210000000002</v>
      </c>
      <c r="AN240" s="22">
        <f t="shared" si="444"/>
        <v>883.89</v>
      </c>
      <c r="AO240" s="22">
        <f t="shared" si="444"/>
        <v>1010.87</v>
      </c>
      <c r="AP240" s="22">
        <f t="shared" si="444"/>
        <v>940</v>
      </c>
      <c r="AQ240" s="22">
        <f t="shared" si="444"/>
        <v>1265.5999999999999</v>
      </c>
      <c r="AR240" s="22">
        <f t="shared" si="444"/>
        <v>1408.3</v>
      </c>
      <c r="AS240" s="22">
        <f t="shared" si="444"/>
        <v>1463.6999999999998</v>
      </c>
      <c r="AT240" s="22">
        <f t="shared" si="444"/>
        <v>1551.4</v>
      </c>
      <c r="AU240" s="22">
        <f t="shared" si="444"/>
        <v>1609.39</v>
      </c>
      <c r="AV240" s="22">
        <f t="shared" si="444"/>
        <v>1672</v>
      </c>
      <c r="AW240" s="22">
        <f t="shared" si="444"/>
        <v>1729.2000000000003</v>
      </c>
      <c r="AX240" s="22">
        <f t="shared" si="444"/>
        <v>1787.11</v>
      </c>
      <c r="AY240" s="22">
        <f t="shared" si="444"/>
        <v>1774.06</v>
      </c>
      <c r="AZ240" s="22">
        <f t="shared" si="444"/>
        <v>1949.3056495266001</v>
      </c>
      <c r="BA240" s="22">
        <f t="shared" si="444"/>
        <v>1956.09016483445</v>
      </c>
      <c r="BB240" s="22">
        <f t="shared" si="444"/>
        <v>1767.3371263234499</v>
      </c>
      <c r="BC240" s="22">
        <f t="shared" si="444"/>
        <v>1969.96808093093</v>
      </c>
      <c r="BD240" s="22">
        <f t="shared" si="444"/>
        <v>1982.67099675299</v>
      </c>
      <c r="BE240" s="22">
        <f t="shared" si="444"/>
        <v>1990.8682743971799</v>
      </c>
      <c r="BF240" s="22">
        <f t="shared" si="444"/>
        <v>1998.18072534058</v>
      </c>
      <c r="BG240" s="22">
        <f t="shared" si="444"/>
        <v>1999.00359429322</v>
      </c>
      <c r="BH240" s="22">
        <f t="shared" si="444"/>
        <v>2006.5385485670499</v>
      </c>
      <c r="BI240" s="22">
        <f t="shared" si="444"/>
        <v>2014.18728065041</v>
      </c>
      <c r="BJ240" s="22">
        <f t="shared" si="444"/>
        <v>2025</v>
      </c>
      <c r="BK240" s="22">
        <f t="shared" si="444"/>
        <v>633</v>
      </c>
      <c r="BL240" s="22">
        <f t="shared" si="444"/>
        <v>633</v>
      </c>
      <c r="BM240" s="22">
        <f t="shared" si="444"/>
        <v>629</v>
      </c>
      <c r="BN240" s="22">
        <f t="shared" si="444"/>
        <v>631</v>
      </c>
      <c r="BO240" s="22">
        <f t="shared" si="444"/>
        <v>633</v>
      </c>
      <c r="BP240" s="22">
        <f t="shared" si="444"/>
        <v>635</v>
      </c>
      <c r="BQ240" s="22">
        <f>SUM(BQ241:BQ246)</f>
        <v>638</v>
      </c>
      <c r="BR240" s="101"/>
      <c r="BS240">
        <f t="shared" ref="BS240:CX240" si="445">IF($C240&lt;&gt;"",IF(D240&gt;0,1,0),0)</f>
        <v>0</v>
      </c>
      <c r="BT240">
        <f t="shared" si="445"/>
        <v>0</v>
      </c>
      <c r="BU240">
        <f t="shared" si="445"/>
        <v>0</v>
      </c>
      <c r="BV240">
        <f t="shared" si="445"/>
        <v>0</v>
      </c>
      <c r="BW240">
        <f t="shared" si="445"/>
        <v>0</v>
      </c>
      <c r="BX240">
        <f t="shared" si="445"/>
        <v>0</v>
      </c>
      <c r="BY240">
        <f t="shared" si="445"/>
        <v>0</v>
      </c>
      <c r="BZ240">
        <f t="shared" si="445"/>
        <v>0</v>
      </c>
      <c r="CA240">
        <f t="shared" si="445"/>
        <v>0</v>
      </c>
      <c r="CB240">
        <f t="shared" si="445"/>
        <v>0</v>
      </c>
      <c r="CC240">
        <f t="shared" si="445"/>
        <v>0</v>
      </c>
      <c r="CD240">
        <f t="shared" si="445"/>
        <v>1</v>
      </c>
      <c r="CE240">
        <f t="shared" si="445"/>
        <v>1</v>
      </c>
      <c r="CF240">
        <f t="shared" si="445"/>
        <v>1</v>
      </c>
      <c r="CG240">
        <f t="shared" si="445"/>
        <v>1</v>
      </c>
      <c r="CH240">
        <f t="shared" si="445"/>
        <v>1</v>
      </c>
      <c r="CI240">
        <f t="shared" si="445"/>
        <v>1</v>
      </c>
      <c r="CJ240">
        <f t="shared" si="445"/>
        <v>1</v>
      </c>
      <c r="CK240">
        <f t="shared" si="445"/>
        <v>1</v>
      </c>
      <c r="CL240">
        <f t="shared" si="445"/>
        <v>1</v>
      </c>
      <c r="CM240">
        <f t="shared" si="445"/>
        <v>1</v>
      </c>
      <c r="CN240">
        <f t="shared" si="445"/>
        <v>1</v>
      </c>
      <c r="CO240">
        <f t="shared" si="445"/>
        <v>1</v>
      </c>
      <c r="CP240">
        <f t="shared" si="445"/>
        <v>1</v>
      </c>
      <c r="CQ240">
        <f t="shared" si="445"/>
        <v>1</v>
      </c>
      <c r="CR240">
        <f t="shared" si="445"/>
        <v>1</v>
      </c>
      <c r="CS240">
        <f t="shared" si="445"/>
        <v>1</v>
      </c>
      <c r="CT240">
        <f t="shared" si="445"/>
        <v>1</v>
      </c>
      <c r="CU240">
        <f t="shared" si="445"/>
        <v>1</v>
      </c>
      <c r="CV240">
        <f t="shared" si="445"/>
        <v>1</v>
      </c>
      <c r="CW240">
        <f t="shared" si="445"/>
        <v>1</v>
      </c>
      <c r="CX240">
        <f t="shared" si="445"/>
        <v>1</v>
      </c>
      <c r="CY240">
        <f t="shared" ref="CY240:ED240" si="446">IF($C240&lt;&gt;"",IF(AJ240&gt;0,1,0),0)</f>
        <v>1</v>
      </c>
      <c r="CZ240">
        <f t="shared" si="446"/>
        <v>1</v>
      </c>
      <c r="DA240">
        <f t="shared" si="446"/>
        <v>1</v>
      </c>
      <c r="DB240">
        <f t="shared" si="446"/>
        <v>1</v>
      </c>
      <c r="DC240">
        <f t="shared" si="446"/>
        <v>1</v>
      </c>
      <c r="DD240">
        <f t="shared" si="446"/>
        <v>1</v>
      </c>
      <c r="DE240">
        <f t="shared" si="446"/>
        <v>1</v>
      </c>
      <c r="DF240">
        <f t="shared" si="446"/>
        <v>1</v>
      </c>
      <c r="DG240">
        <f t="shared" si="446"/>
        <v>1</v>
      </c>
      <c r="DH240">
        <f t="shared" si="446"/>
        <v>1</v>
      </c>
      <c r="DI240">
        <f t="shared" si="446"/>
        <v>1</v>
      </c>
      <c r="DJ240">
        <f t="shared" si="446"/>
        <v>1</v>
      </c>
      <c r="DK240">
        <f t="shared" si="446"/>
        <v>1</v>
      </c>
      <c r="DL240">
        <f t="shared" si="446"/>
        <v>1</v>
      </c>
      <c r="DM240">
        <f t="shared" si="446"/>
        <v>1</v>
      </c>
      <c r="DN240">
        <f t="shared" si="446"/>
        <v>1</v>
      </c>
      <c r="DO240">
        <f t="shared" si="446"/>
        <v>1</v>
      </c>
      <c r="DP240">
        <f t="shared" si="446"/>
        <v>1</v>
      </c>
      <c r="DQ240">
        <f t="shared" si="446"/>
        <v>1</v>
      </c>
      <c r="DR240">
        <f t="shared" si="446"/>
        <v>1</v>
      </c>
      <c r="DS240">
        <f t="shared" si="446"/>
        <v>1</v>
      </c>
      <c r="DT240">
        <f t="shared" si="446"/>
        <v>1</v>
      </c>
      <c r="DU240">
        <f t="shared" si="446"/>
        <v>1</v>
      </c>
      <c r="DV240">
        <f t="shared" si="446"/>
        <v>1</v>
      </c>
      <c r="DW240">
        <f t="shared" si="446"/>
        <v>1</v>
      </c>
      <c r="DX240">
        <f t="shared" si="446"/>
        <v>1</v>
      </c>
      <c r="DY240">
        <f t="shared" si="446"/>
        <v>1</v>
      </c>
      <c r="DZ240">
        <f t="shared" si="446"/>
        <v>1</v>
      </c>
      <c r="EA240">
        <f t="shared" si="446"/>
        <v>1</v>
      </c>
      <c r="EB240">
        <f t="shared" si="446"/>
        <v>1</v>
      </c>
      <c r="EC240">
        <f t="shared" si="446"/>
        <v>1</v>
      </c>
      <c r="ED240">
        <f t="shared" si="446"/>
        <v>1</v>
      </c>
      <c r="EE240">
        <f t="shared" ref="EE240:EF240" si="447">IF($C240&lt;&gt;"",IF(BP240&gt;0,1,0),0)</f>
        <v>1</v>
      </c>
      <c r="EF240">
        <f t="shared" si="447"/>
        <v>1</v>
      </c>
    </row>
    <row r="241" spans="1:136" ht="15.5">
      <c r="A241" s="90"/>
      <c r="B241" s="19" t="s">
        <v>15</v>
      </c>
      <c r="C241" s="94"/>
      <c r="D241" s="18">
        <v>0</v>
      </c>
      <c r="E241" s="18">
        <v>0</v>
      </c>
      <c r="F241" s="18">
        <v>0</v>
      </c>
      <c r="G241" s="18">
        <v>0</v>
      </c>
      <c r="H241" s="18">
        <v>0</v>
      </c>
      <c r="I241" s="18">
        <v>0</v>
      </c>
      <c r="J241" s="18">
        <v>0</v>
      </c>
      <c r="K241" s="18">
        <v>0</v>
      </c>
      <c r="L241" s="18">
        <v>0</v>
      </c>
      <c r="M241" s="18">
        <v>0</v>
      </c>
      <c r="N241" s="18">
        <v>0</v>
      </c>
      <c r="O241" s="18">
        <v>0</v>
      </c>
      <c r="P241" s="18">
        <v>0</v>
      </c>
      <c r="Q241" s="18">
        <v>0</v>
      </c>
      <c r="R241" s="18">
        <v>0</v>
      </c>
      <c r="S241" s="34">
        <v>15</v>
      </c>
      <c r="T241" s="34">
        <v>16</v>
      </c>
      <c r="U241" s="34">
        <v>16</v>
      </c>
      <c r="V241" s="18">
        <v>17.490920791692499</v>
      </c>
      <c r="W241" s="18">
        <v>19.026016257090312</v>
      </c>
      <c r="X241" s="18">
        <v>19.962833062951191</v>
      </c>
      <c r="Y241" s="18">
        <v>20.160295585397055</v>
      </c>
      <c r="Z241" s="18">
        <v>21.501406514449044</v>
      </c>
      <c r="AA241" s="18">
        <v>22.758740469208139</v>
      </c>
      <c r="AB241" s="18">
        <v>23.721175025173178</v>
      </c>
      <c r="AC241" s="18">
        <v>29.423185798772714</v>
      </c>
      <c r="AD241" s="18">
        <v>35.578550578457524</v>
      </c>
      <c r="AE241" s="18">
        <v>44.324242883439005</v>
      </c>
      <c r="AF241" s="18">
        <v>45.295831309739135</v>
      </c>
      <c r="AG241" s="18">
        <v>47.794702421571266</v>
      </c>
      <c r="AH241" s="18">
        <v>56.203795207944857</v>
      </c>
      <c r="AI241" s="18">
        <v>61.462488719533148</v>
      </c>
      <c r="AJ241" s="18">
        <v>54.907800975228064</v>
      </c>
      <c r="AK241" s="18">
        <v>57.647715146259465</v>
      </c>
      <c r="AL241" s="18">
        <v>0</v>
      </c>
      <c r="AM241" s="18">
        <v>0</v>
      </c>
      <c r="AN241" s="18">
        <v>0</v>
      </c>
      <c r="AO241" s="18">
        <v>0</v>
      </c>
      <c r="AP241" s="18">
        <v>0</v>
      </c>
      <c r="AQ241" s="18">
        <v>0</v>
      </c>
      <c r="AR241" s="18">
        <v>0</v>
      </c>
      <c r="AS241" s="18">
        <v>0</v>
      </c>
      <c r="AT241" s="18">
        <v>0</v>
      </c>
      <c r="AU241" s="18">
        <v>0</v>
      </c>
      <c r="AV241" s="18">
        <v>0</v>
      </c>
      <c r="AW241" s="18">
        <v>0</v>
      </c>
      <c r="AX241" s="18">
        <v>0</v>
      </c>
      <c r="AY241" s="18">
        <v>0</v>
      </c>
      <c r="AZ241" s="18">
        <v>0</v>
      </c>
      <c r="BA241" s="18">
        <v>0</v>
      </c>
      <c r="BB241" s="18">
        <v>0</v>
      </c>
      <c r="BC241" s="18">
        <v>0</v>
      </c>
      <c r="BD241" s="18">
        <v>0</v>
      </c>
      <c r="BE241" s="25">
        <v>0</v>
      </c>
      <c r="BF241" s="18">
        <v>0</v>
      </c>
      <c r="BG241" s="18">
        <v>0</v>
      </c>
      <c r="BH241" s="113">
        <v>0</v>
      </c>
      <c r="BI241" s="113">
        <v>0</v>
      </c>
      <c r="BJ241" s="113">
        <v>0</v>
      </c>
      <c r="BK241" s="113">
        <v>0</v>
      </c>
      <c r="BL241" s="113">
        <v>0</v>
      </c>
      <c r="BM241" s="113">
        <v>0</v>
      </c>
      <c r="BN241" s="113">
        <v>0</v>
      </c>
      <c r="BO241" s="113">
        <v>0</v>
      </c>
      <c r="BP241" s="113">
        <v>0</v>
      </c>
      <c r="BQ241" s="113">
        <v>0</v>
      </c>
      <c r="BR241" s="101"/>
      <c r="BS241">
        <f t="shared" ref="BS241:CB242" si="448">IF($C241&lt;&gt;"",IF(D241&gt;0,1,0),0)</f>
        <v>0</v>
      </c>
      <c r="BT241">
        <f t="shared" si="448"/>
        <v>0</v>
      </c>
      <c r="BU241">
        <f t="shared" si="448"/>
        <v>0</v>
      </c>
      <c r="BV241">
        <f t="shared" si="448"/>
        <v>0</v>
      </c>
      <c r="BW241">
        <f t="shared" si="448"/>
        <v>0</v>
      </c>
      <c r="BX241">
        <f t="shared" si="448"/>
        <v>0</v>
      </c>
      <c r="BY241">
        <f t="shared" si="448"/>
        <v>0</v>
      </c>
      <c r="BZ241">
        <f t="shared" si="448"/>
        <v>0</v>
      </c>
      <c r="CA241">
        <f t="shared" si="448"/>
        <v>0</v>
      </c>
      <c r="CB241">
        <f t="shared" si="448"/>
        <v>0</v>
      </c>
      <c r="CC241">
        <f t="shared" ref="CC241:CL242" si="449">IF($C241&lt;&gt;"",IF(N241&gt;0,1,0),0)</f>
        <v>0</v>
      </c>
      <c r="CD241">
        <f t="shared" si="449"/>
        <v>0</v>
      </c>
      <c r="CE241">
        <f t="shared" si="449"/>
        <v>0</v>
      </c>
      <c r="CF241">
        <f t="shared" si="449"/>
        <v>0</v>
      </c>
      <c r="CG241">
        <f t="shared" si="449"/>
        <v>0</v>
      </c>
      <c r="CH241">
        <f t="shared" si="449"/>
        <v>0</v>
      </c>
      <c r="CI241">
        <f t="shared" si="449"/>
        <v>0</v>
      </c>
      <c r="CJ241">
        <f t="shared" si="449"/>
        <v>0</v>
      </c>
      <c r="CK241">
        <f t="shared" si="449"/>
        <v>0</v>
      </c>
      <c r="CL241">
        <f t="shared" si="449"/>
        <v>0</v>
      </c>
      <c r="CM241">
        <f t="shared" ref="CM241:CV242" si="450">IF($C241&lt;&gt;"",IF(X241&gt;0,1,0),0)</f>
        <v>0</v>
      </c>
      <c r="CN241">
        <f t="shared" si="450"/>
        <v>0</v>
      </c>
      <c r="CO241">
        <f t="shared" si="450"/>
        <v>0</v>
      </c>
      <c r="CP241">
        <f t="shared" si="450"/>
        <v>0</v>
      </c>
      <c r="CQ241">
        <f t="shared" si="450"/>
        <v>0</v>
      </c>
      <c r="CR241">
        <f t="shared" si="450"/>
        <v>0</v>
      </c>
      <c r="CS241">
        <f t="shared" si="450"/>
        <v>0</v>
      </c>
      <c r="CT241">
        <f t="shared" si="450"/>
        <v>0</v>
      </c>
      <c r="CU241">
        <f t="shared" si="450"/>
        <v>0</v>
      </c>
      <c r="CV241">
        <f t="shared" si="450"/>
        <v>0</v>
      </c>
      <c r="CW241">
        <f t="shared" ref="CW241:DF242" si="451">IF($C241&lt;&gt;"",IF(AH241&gt;0,1,0),0)</f>
        <v>0</v>
      </c>
      <c r="CX241">
        <f t="shared" si="451"/>
        <v>0</v>
      </c>
      <c r="CY241">
        <f t="shared" si="451"/>
        <v>0</v>
      </c>
      <c r="CZ241">
        <f t="shared" si="451"/>
        <v>0</v>
      </c>
      <c r="DA241">
        <f t="shared" si="451"/>
        <v>0</v>
      </c>
      <c r="DB241">
        <f t="shared" si="451"/>
        <v>0</v>
      </c>
      <c r="DC241">
        <f t="shared" si="451"/>
        <v>0</v>
      </c>
      <c r="DD241">
        <f t="shared" si="451"/>
        <v>0</v>
      </c>
      <c r="DE241">
        <f t="shared" si="451"/>
        <v>0</v>
      </c>
      <c r="DF241">
        <f t="shared" si="451"/>
        <v>0</v>
      </c>
      <c r="DG241">
        <f t="shared" ref="DG241:DP242" si="452">IF($C241&lt;&gt;"",IF(AR241&gt;0,1,0),0)</f>
        <v>0</v>
      </c>
      <c r="DH241">
        <f t="shared" si="452"/>
        <v>0</v>
      </c>
      <c r="DI241">
        <f t="shared" si="452"/>
        <v>0</v>
      </c>
      <c r="DJ241">
        <f t="shared" si="452"/>
        <v>0</v>
      </c>
      <c r="DK241">
        <f t="shared" si="452"/>
        <v>0</v>
      </c>
      <c r="DL241">
        <f t="shared" si="452"/>
        <v>0</v>
      </c>
      <c r="DM241">
        <f t="shared" si="452"/>
        <v>0</v>
      </c>
      <c r="DN241">
        <f t="shared" si="452"/>
        <v>0</v>
      </c>
      <c r="DO241">
        <f t="shared" si="452"/>
        <v>0</v>
      </c>
      <c r="DP241">
        <f t="shared" si="452"/>
        <v>0</v>
      </c>
      <c r="DQ241">
        <f t="shared" ref="DQ241:DZ242" si="453">IF($C241&lt;&gt;"",IF(BB241&gt;0,1,0),0)</f>
        <v>0</v>
      </c>
      <c r="DR241">
        <f t="shared" si="453"/>
        <v>0</v>
      </c>
      <c r="DS241">
        <f t="shared" si="453"/>
        <v>0</v>
      </c>
      <c r="DT241">
        <f t="shared" si="453"/>
        <v>0</v>
      </c>
      <c r="DU241">
        <f t="shared" si="453"/>
        <v>0</v>
      </c>
      <c r="DV241">
        <f t="shared" si="453"/>
        <v>0</v>
      </c>
      <c r="DW241">
        <f t="shared" si="453"/>
        <v>0</v>
      </c>
      <c r="DX241">
        <f t="shared" si="453"/>
        <v>0</v>
      </c>
      <c r="DY241">
        <f t="shared" si="453"/>
        <v>0</v>
      </c>
      <c r="DZ241">
        <f t="shared" si="453"/>
        <v>0</v>
      </c>
      <c r="EA241">
        <f t="shared" ref="EA241:EF246" si="454">IF($C241&lt;&gt;"",IF(BL240&gt;0,1,0),0)</f>
        <v>0</v>
      </c>
      <c r="EB241">
        <f t="shared" si="454"/>
        <v>0</v>
      </c>
      <c r="EC241">
        <f t="shared" si="454"/>
        <v>0</v>
      </c>
      <c r="ED241">
        <f t="shared" si="454"/>
        <v>0</v>
      </c>
      <c r="EE241">
        <f t="shared" si="454"/>
        <v>0</v>
      </c>
      <c r="EF241">
        <f t="shared" si="454"/>
        <v>0</v>
      </c>
    </row>
    <row r="242" spans="1:136" ht="15.5">
      <c r="A242" s="90"/>
      <c r="B242" s="19" t="s">
        <v>2</v>
      </c>
      <c r="C242" s="94"/>
      <c r="D242" s="18">
        <v>0</v>
      </c>
      <c r="E242" s="18">
        <v>0</v>
      </c>
      <c r="F242" s="18">
        <v>0</v>
      </c>
      <c r="G242" s="18">
        <v>0</v>
      </c>
      <c r="H242" s="18">
        <v>0</v>
      </c>
      <c r="I242" s="18">
        <v>0</v>
      </c>
      <c r="J242" s="18">
        <v>0</v>
      </c>
      <c r="K242" s="18">
        <v>0</v>
      </c>
      <c r="L242" s="18">
        <v>0</v>
      </c>
      <c r="M242" s="18">
        <v>0</v>
      </c>
      <c r="N242" s="18">
        <v>0</v>
      </c>
      <c r="O242" s="40" t="s">
        <v>16</v>
      </c>
      <c r="P242" s="18">
        <v>7</v>
      </c>
      <c r="Q242" s="18">
        <v>3</v>
      </c>
      <c r="R242" s="18">
        <v>4</v>
      </c>
      <c r="S242" s="40" t="s">
        <v>16</v>
      </c>
      <c r="T242" s="40" t="s">
        <v>16</v>
      </c>
      <c r="U242" s="40" t="s">
        <v>16</v>
      </c>
      <c r="V242" s="40" t="s">
        <v>16</v>
      </c>
      <c r="W242" s="40" t="s">
        <v>16</v>
      </c>
      <c r="X242" s="40" t="s">
        <v>16</v>
      </c>
      <c r="Y242" s="40" t="s">
        <v>16</v>
      </c>
      <c r="Z242" s="40" t="s">
        <v>16</v>
      </c>
      <c r="AA242" s="40" t="s">
        <v>16</v>
      </c>
      <c r="AB242" s="40" t="s">
        <v>16</v>
      </c>
      <c r="AC242" s="40" t="s">
        <v>16</v>
      </c>
      <c r="AD242" s="40" t="s">
        <v>16</v>
      </c>
      <c r="AE242" s="40" t="s">
        <v>16</v>
      </c>
      <c r="AF242" s="40" t="s">
        <v>16</v>
      </c>
      <c r="AG242" s="40" t="s">
        <v>16</v>
      </c>
      <c r="AH242" s="40" t="s">
        <v>16</v>
      </c>
      <c r="AI242" s="71">
        <v>250</v>
      </c>
      <c r="AJ242" s="71">
        <v>250</v>
      </c>
      <c r="AK242" s="71">
        <v>250</v>
      </c>
      <c r="AL242" s="71">
        <v>250</v>
      </c>
      <c r="AM242" s="60">
        <v>258</v>
      </c>
      <c r="AN242" s="60">
        <v>0</v>
      </c>
      <c r="AO242" s="60">
        <v>0</v>
      </c>
      <c r="AP242" s="60">
        <v>0</v>
      </c>
      <c r="AQ242" s="60">
        <v>0</v>
      </c>
      <c r="AR242" s="60">
        <v>0</v>
      </c>
      <c r="AS242" s="60">
        <v>0</v>
      </c>
      <c r="AT242" s="60">
        <v>0</v>
      </c>
      <c r="AU242" s="60">
        <v>0</v>
      </c>
      <c r="AV242" s="60">
        <v>0</v>
      </c>
      <c r="AW242" s="60">
        <v>0</v>
      </c>
      <c r="AX242" s="60">
        <v>0</v>
      </c>
      <c r="AY242" s="60">
        <v>0</v>
      </c>
      <c r="AZ242" s="60">
        <v>0</v>
      </c>
      <c r="BA242" s="60">
        <v>0</v>
      </c>
      <c r="BB242" s="60">
        <v>0</v>
      </c>
      <c r="BC242" s="60">
        <v>0</v>
      </c>
      <c r="BD242" s="60">
        <v>0</v>
      </c>
      <c r="BE242" s="60">
        <v>0</v>
      </c>
      <c r="BF242" s="60">
        <v>0</v>
      </c>
      <c r="BG242" s="60">
        <v>0</v>
      </c>
      <c r="BH242" s="113">
        <v>0</v>
      </c>
      <c r="BI242" s="113">
        <v>0</v>
      </c>
      <c r="BJ242" s="113">
        <v>0</v>
      </c>
      <c r="BK242" s="113">
        <v>0</v>
      </c>
      <c r="BL242" s="113">
        <v>0</v>
      </c>
      <c r="BM242" s="113">
        <v>0</v>
      </c>
      <c r="BN242" s="113">
        <v>0</v>
      </c>
      <c r="BO242" s="113">
        <v>0</v>
      </c>
      <c r="BP242" s="113">
        <v>0</v>
      </c>
      <c r="BQ242" s="113">
        <v>0</v>
      </c>
      <c r="BR242" s="101"/>
      <c r="BS242">
        <f t="shared" si="448"/>
        <v>0</v>
      </c>
      <c r="BT242">
        <f t="shared" si="448"/>
        <v>0</v>
      </c>
      <c r="BU242">
        <f t="shared" si="448"/>
        <v>0</v>
      </c>
      <c r="BV242">
        <f t="shared" si="448"/>
        <v>0</v>
      </c>
      <c r="BW242">
        <f t="shared" si="448"/>
        <v>0</v>
      </c>
      <c r="BX242">
        <f t="shared" si="448"/>
        <v>0</v>
      </c>
      <c r="BY242">
        <f t="shared" si="448"/>
        <v>0</v>
      </c>
      <c r="BZ242">
        <f t="shared" si="448"/>
        <v>0</v>
      </c>
      <c r="CA242">
        <f t="shared" si="448"/>
        <v>0</v>
      </c>
      <c r="CB242">
        <f t="shared" si="448"/>
        <v>0</v>
      </c>
      <c r="CC242">
        <f t="shared" si="449"/>
        <v>0</v>
      </c>
      <c r="CD242">
        <f t="shared" si="449"/>
        <v>0</v>
      </c>
      <c r="CE242">
        <f t="shared" si="449"/>
        <v>0</v>
      </c>
      <c r="CF242">
        <f t="shared" si="449"/>
        <v>0</v>
      </c>
      <c r="CG242">
        <f t="shared" si="449"/>
        <v>0</v>
      </c>
      <c r="CH242">
        <f t="shared" si="449"/>
        <v>0</v>
      </c>
      <c r="CI242">
        <f t="shared" si="449"/>
        <v>0</v>
      </c>
      <c r="CJ242">
        <f t="shared" si="449"/>
        <v>0</v>
      </c>
      <c r="CK242">
        <f t="shared" si="449"/>
        <v>0</v>
      </c>
      <c r="CL242">
        <f t="shared" si="449"/>
        <v>0</v>
      </c>
      <c r="CM242">
        <f t="shared" si="450"/>
        <v>0</v>
      </c>
      <c r="CN242">
        <f t="shared" si="450"/>
        <v>0</v>
      </c>
      <c r="CO242">
        <f t="shared" si="450"/>
        <v>0</v>
      </c>
      <c r="CP242">
        <f t="shared" si="450"/>
        <v>0</v>
      </c>
      <c r="CQ242">
        <f t="shared" si="450"/>
        <v>0</v>
      </c>
      <c r="CR242">
        <f t="shared" si="450"/>
        <v>0</v>
      </c>
      <c r="CS242">
        <f t="shared" si="450"/>
        <v>0</v>
      </c>
      <c r="CT242">
        <f t="shared" si="450"/>
        <v>0</v>
      </c>
      <c r="CU242">
        <f t="shared" si="450"/>
        <v>0</v>
      </c>
      <c r="CV242">
        <f t="shared" si="450"/>
        <v>0</v>
      </c>
      <c r="CW242">
        <f t="shared" si="451"/>
        <v>0</v>
      </c>
      <c r="CX242">
        <f t="shared" si="451"/>
        <v>0</v>
      </c>
      <c r="CY242">
        <f t="shared" si="451"/>
        <v>0</v>
      </c>
      <c r="CZ242">
        <f t="shared" si="451"/>
        <v>0</v>
      </c>
      <c r="DA242">
        <f t="shared" si="451"/>
        <v>0</v>
      </c>
      <c r="DB242">
        <f t="shared" si="451"/>
        <v>0</v>
      </c>
      <c r="DC242">
        <f t="shared" si="451"/>
        <v>0</v>
      </c>
      <c r="DD242">
        <f t="shared" si="451"/>
        <v>0</v>
      </c>
      <c r="DE242">
        <f t="shared" si="451"/>
        <v>0</v>
      </c>
      <c r="DF242">
        <f t="shared" si="451"/>
        <v>0</v>
      </c>
      <c r="DG242">
        <f t="shared" si="452"/>
        <v>0</v>
      </c>
      <c r="DH242">
        <f t="shared" si="452"/>
        <v>0</v>
      </c>
      <c r="DI242">
        <f t="shared" si="452"/>
        <v>0</v>
      </c>
      <c r="DJ242">
        <f t="shared" si="452"/>
        <v>0</v>
      </c>
      <c r="DK242">
        <f t="shared" si="452"/>
        <v>0</v>
      </c>
      <c r="DL242">
        <f t="shared" si="452"/>
        <v>0</v>
      </c>
      <c r="DM242">
        <f t="shared" si="452"/>
        <v>0</v>
      </c>
      <c r="DN242">
        <f t="shared" si="452"/>
        <v>0</v>
      </c>
      <c r="DO242">
        <f t="shared" si="452"/>
        <v>0</v>
      </c>
      <c r="DP242">
        <f t="shared" si="452"/>
        <v>0</v>
      </c>
      <c r="DQ242">
        <f t="shared" si="453"/>
        <v>0</v>
      </c>
      <c r="DR242">
        <f t="shared" si="453"/>
        <v>0</v>
      </c>
      <c r="DS242">
        <f t="shared" si="453"/>
        <v>0</v>
      </c>
      <c r="DT242">
        <f t="shared" si="453"/>
        <v>0</v>
      </c>
      <c r="DU242">
        <f t="shared" si="453"/>
        <v>0</v>
      </c>
      <c r="DV242">
        <f t="shared" si="453"/>
        <v>0</v>
      </c>
      <c r="DW242">
        <f t="shared" si="453"/>
        <v>0</v>
      </c>
      <c r="DX242">
        <f t="shared" si="453"/>
        <v>0</v>
      </c>
      <c r="DY242">
        <f t="shared" si="453"/>
        <v>0</v>
      </c>
      <c r="DZ242">
        <f t="shared" si="453"/>
        <v>0</v>
      </c>
      <c r="EA242">
        <f t="shared" si="454"/>
        <v>0</v>
      </c>
      <c r="EB242">
        <f t="shared" si="454"/>
        <v>0</v>
      </c>
      <c r="EC242">
        <f t="shared" si="454"/>
        <v>0</v>
      </c>
      <c r="ED242">
        <f t="shared" si="454"/>
        <v>0</v>
      </c>
      <c r="EE242">
        <f t="shared" si="454"/>
        <v>0</v>
      </c>
      <c r="EF242">
        <f t="shared" si="454"/>
        <v>0</v>
      </c>
    </row>
    <row r="243" spans="1:136" ht="15.5">
      <c r="A243" s="90"/>
      <c r="B243" s="19" t="s">
        <v>205</v>
      </c>
      <c r="C243" s="94"/>
      <c r="D243" s="34">
        <v>0</v>
      </c>
      <c r="E243" s="34">
        <v>0</v>
      </c>
      <c r="F243" s="34">
        <v>0</v>
      </c>
      <c r="G243" s="34">
        <v>0</v>
      </c>
      <c r="H243" s="34">
        <v>0</v>
      </c>
      <c r="I243" s="34">
        <v>0</v>
      </c>
      <c r="J243" s="34">
        <v>0</v>
      </c>
      <c r="K243" s="34">
        <v>0</v>
      </c>
      <c r="L243" s="34">
        <v>0</v>
      </c>
      <c r="M243" s="34">
        <v>0</v>
      </c>
      <c r="N243" s="34">
        <v>0</v>
      </c>
      <c r="O243" s="34">
        <v>0</v>
      </c>
      <c r="P243" s="34">
        <v>0</v>
      </c>
      <c r="Q243" s="34">
        <v>0</v>
      </c>
      <c r="R243" s="34">
        <v>0</v>
      </c>
      <c r="S243" s="34">
        <v>0</v>
      </c>
      <c r="T243" s="34">
        <v>0</v>
      </c>
      <c r="U243" s="34">
        <v>0</v>
      </c>
      <c r="V243" s="34">
        <v>0</v>
      </c>
      <c r="W243" s="34">
        <v>0</v>
      </c>
      <c r="X243" s="34">
        <v>0</v>
      </c>
      <c r="Y243" s="34">
        <v>0</v>
      </c>
      <c r="Z243" s="34">
        <v>0</v>
      </c>
      <c r="AA243" s="34">
        <v>0</v>
      </c>
      <c r="AB243" s="34">
        <v>0</v>
      </c>
      <c r="AC243" s="34">
        <v>0</v>
      </c>
      <c r="AD243" s="34">
        <v>0</v>
      </c>
      <c r="AE243" s="34">
        <v>0</v>
      </c>
      <c r="AF243" s="34">
        <v>0</v>
      </c>
      <c r="AG243" s="34">
        <v>0</v>
      </c>
      <c r="AH243" s="34">
        <v>0</v>
      </c>
      <c r="AI243" s="34">
        <v>0</v>
      </c>
      <c r="AJ243" s="34">
        <v>0</v>
      </c>
      <c r="AK243" s="34">
        <v>0</v>
      </c>
      <c r="AL243" s="34">
        <v>0</v>
      </c>
      <c r="AM243" s="34">
        <v>0</v>
      </c>
      <c r="AN243" s="34">
        <v>0</v>
      </c>
      <c r="AO243" s="60">
        <v>1</v>
      </c>
      <c r="AP243" s="60">
        <v>1.5880000000000001</v>
      </c>
      <c r="AQ243" s="60">
        <v>1.5</v>
      </c>
      <c r="AR243" s="60">
        <v>1.5</v>
      </c>
      <c r="AS243" s="60">
        <v>1.5</v>
      </c>
      <c r="AT243" s="60">
        <v>200</v>
      </c>
      <c r="AU243" s="60">
        <v>0.9</v>
      </c>
      <c r="AV243" s="60">
        <v>0.4</v>
      </c>
      <c r="AW243" s="60">
        <v>0.4</v>
      </c>
      <c r="AX243" s="60">
        <v>0</v>
      </c>
      <c r="AY243" s="60">
        <v>0</v>
      </c>
      <c r="AZ243" s="60">
        <v>0</v>
      </c>
      <c r="BA243" s="60">
        <v>0</v>
      </c>
      <c r="BB243" s="149">
        <v>4.3600000000000003</v>
      </c>
      <c r="BC243" s="60">
        <v>0</v>
      </c>
      <c r="BD243" s="149">
        <v>5.6063977999999999</v>
      </c>
      <c r="BE243" s="61">
        <v>6.6</v>
      </c>
      <c r="BF243" s="147">
        <v>6.6</v>
      </c>
      <c r="BG243" s="60">
        <v>0</v>
      </c>
      <c r="BH243" s="113">
        <v>94.488832200000004</v>
      </c>
      <c r="BI243" s="113">
        <v>0</v>
      </c>
      <c r="BJ243" s="124">
        <v>0</v>
      </c>
      <c r="BK243" s="113">
        <v>0</v>
      </c>
      <c r="BL243" s="113">
        <v>0</v>
      </c>
      <c r="BM243" s="113">
        <v>0</v>
      </c>
      <c r="BN243" s="113">
        <v>0</v>
      </c>
      <c r="BO243" s="113">
        <v>0</v>
      </c>
      <c r="BP243" s="113">
        <v>0</v>
      </c>
      <c r="BQ243" s="113">
        <v>0</v>
      </c>
      <c r="BR243" s="101"/>
      <c r="BS243">
        <f t="shared" ref="BS243:CB247" si="455">IF($C243&lt;&gt;"",IF(D243&gt;0,1,0),0)</f>
        <v>0</v>
      </c>
      <c r="BT243">
        <f t="shared" si="455"/>
        <v>0</v>
      </c>
      <c r="BU243">
        <f t="shared" si="455"/>
        <v>0</v>
      </c>
      <c r="BV243">
        <f t="shared" si="455"/>
        <v>0</v>
      </c>
      <c r="BW243">
        <f t="shared" si="455"/>
        <v>0</v>
      </c>
      <c r="BX243">
        <f t="shared" si="455"/>
        <v>0</v>
      </c>
      <c r="BY243">
        <f t="shared" si="455"/>
        <v>0</v>
      </c>
      <c r="BZ243">
        <f t="shared" si="455"/>
        <v>0</v>
      </c>
      <c r="CA243">
        <f t="shared" si="455"/>
        <v>0</v>
      </c>
      <c r="CB243">
        <f t="shared" si="455"/>
        <v>0</v>
      </c>
      <c r="CC243">
        <f t="shared" ref="CC243:CL247" si="456">IF($C243&lt;&gt;"",IF(N243&gt;0,1,0),0)</f>
        <v>0</v>
      </c>
      <c r="CD243">
        <f t="shared" si="456"/>
        <v>0</v>
      </c>
      <c r="CE243">
        <f t="shared" si="456"/>
        <v>0</v>
      </c>
      <c r="CF243">
        <f t="shared" si="456"/>
        <v>0</v>
      </c>
      <c r="CG243">
        <f t="shared" si="456"/>
        <v>0</v>
      </c>
      <c r="CH243">
        <f t="shared" si="456"/>
        <v>0</v>
      </c>
      <c r="CI243">
        <f t="shared" si="456"/>
        <v>0</v>
      </c>
      <c r="CJ243">
        <f t="shared" si="456"/>
        <v>0</v>
      </c>
      <c r="CK243">
        <f t="shared" si="456"/>
        <v>0</v>
      </c>
      <c r="CL243">
        <f t="shared" si="456"/>
        <v>0</v>
      </c>
      <c r="CM243">
        <f t="shared" ref="CM243:CV247" si="457">IF($C243&lt;&gt;"",IF(X243&gt;0,1,0),0)</f>
        <v>0</v>
      </c>
      <c r="CN243">
        <f t="shared" si="457"/>
        <v>0</v>
      </c>
      <c r="CO243">
        <f t="shared" si="457"/>
        <v>0</v>
      </c>
      <c r="CP243">
        <f t="shared" si="457"/>
        <v>0</v>
      </c>
      <c r="CQ243">
        <f t="shared" si="457"/>
        <v>0</v>
      </c>
      <c r="CR243">
        <f t="shared" si="457"/>
        <v>0</v>
      </c>
      <c r="CS243">
        <f t="shared" si="457"/>
        <v>0</v>
      </c>
      <c r="CT243">
        <f t="shared" si="457"/>
        <v>0</v>
      </c>
      <c r="CU243">
        <f t="shared" si="457"/>
        <v>0</v>
      </c>
      <c r="CV243">
        <f t="shared" si="457"/>
        <v>0</v>
      </c>
      <c r="CW243">
        <f t="shared" ref="CW243:DF247" si="458">IF($C243&lt;&gt;"",IF(AH243&gt;0,1,0),0)</f>
        <v>0</v>
      </c>
      <c r="CX243">
        <f t="shared" si="458"/>
        <v>0</v>
      </c>
      <c r="CY243">
        <f t="shared" si="458"/>
        <v>0</v>
      </c>
      <c r="CZ243">
        <f t="shared" si="458"/>
        <v>0</v>
      </c>
      <c r="DA243">
        <f t="shared" si="458"/>
        <v>0</v>
      </c>
      <c r="DB243">
        <f t="shared" si="458"/>
        <v>0</v>
      </c>
      <c r="DC243">
        <f t="shared" si="458"/>
        <v>0</v>
      </c>
      <c r="DD243">
        <f t="shared" si="458"/>
        <v>0</v>
      </c>
      <c r="DE243">
        <f t="shared" si="458"/>
        <v>0</v>
      </c>
      <c r="DF243">
        <f t="shared" si="458"/>
        <v>0</v>
      </c>
      <c r="DG243">
        <f t="shared" ref="DG243:DP247" si="459">IF($C243&lt;&gt;"",IF(AR243&gt;0,1,0),0)</f>
        <v>0</v>
      </c>
      <c r="DH243">
        <f t="shared" si="459"/>
        <v>0</v>
      </c>
      <c r="DI243">
        <f t="shared" si="459"/>
        <v>0</v>
      </c>
      <c r="DJ243">
        <f t="shared" si="459"/>
        <v>0</v>
      </c>
      <c r="DK243">
        <f t="shared" si="459"/>
        <v>0</v>
      </c>
      <c r="DL243">
        <f t="shared" si="459"/>
        <v>0</v>
      </c>
      <c r="DM243">
        <f t="shared" si="459"/>
        <v>0</v>
      </c>
      <c r="DN243">
        <f t="shared" si="459"/>
        <v>0</v>
      </c>
      <c r="DO243">
        <f t="shared" si="459"/>
        <v>0</v>
      </c>
      <c r="DP243">
        <f t="shared" si="459"/>
        <v>0</v>
      </c>
      <c r="DQ243">
        <f t="shared" ref="DQ243:DT247" si="460">IF($C243&lt;&gt;"",IF(BB243&gt;0,1,0),0)</f>
        <v>0</v>
      </c>
      <c r="DR243">
        <f t="shared" si="460"/>
        <v>0</v>
      </c>
      <c r="DS243">
        <f t="shared" si="460"/>
        <v>0</v>
      </c>
      <c r="DT243">
        <f t="shared" si="460"/>
        <v>0</v>
      </c>
      <c r="DU243">
        <f>IF($C243&lt;&gt;"",IF(#REF!&gt;0,1,0),0)</f>
        <v>0</v>
      </c>
      <c r="DV243">
        <f t="shared" ref="DV243:DZ247" si="461">IF($C243&lt;&gt;"",IF(BG243&gt;0,1,0),0)</f>
        <v>0</v>
      </c>
      <c r="DW243">
        <f t="shared" si="461"/>
        <v>0</v>
      </c>
      <c r="DX243">
        <f t="shared" si="461"/>
        <v>0</v>
      </c>
      <c r="DY243">
        <f t="shared" si="461"/>
        <v>0</v>
      </c>
      <c r="DZ243">
        <f t="shared" si="461"/>
        <v>0</v>
      </c>
      <c r="EA243">
        <f t="shared" si="454"/>
        <v>0</v>
      </c>
      <c r="EB243">
        <f t="shared" si="454"/>
        <v>0</v>
      </c>
      <c r="EC243">
        <f t="shared" si="454"/>
        <v>0</v>
      </c>
      <c r="ED243">
        <f t="shared" si="454"/>
        <v>0</v>
      </c>
      <c r="EE243">
        <f t="shared" si="454"/>
        <v>0</v>
      </c>
      <c r="EF243">
        <f t="shared" si="454"/>
        <v>0</v>
      </c>
    </row>
    <row r="244" spans="1:136" ht="15.5">
      <c r="A244" s="90"/>
      <c r="B244" s="57" t="s">
        <v>3</v>
      </c>
      <c r="C244" s="94"/>
      <c r="D244" s="34">
        <v>0</v>
      </c>
      <c r="E244" s="34">
        <v>0</v>
      </c>
      <c r="F244" s="34">
        <v>0</v>
      </c>
      <c r="G244" s="34">
        <v>0</v>
      </c>
      <c r="H244" s="34">
        <v>0</v>
      </c>
      <c r="I244" s="34">
        <v>0</v>
      </c>
      <c r="J244" s="34">
        <v>0</v>
      </c>
      <c r="K244" s="34">
        <v>0</v>
      </c>
      <c r="L244" s="34">
        <v>0</v>
      </c>
      <c r="M244" s="34">
        <v>0</v>
      </c>
      <c r="N244" s="34">
        <v>0</v>
      </c>
      <c r="O244" s="34">
        <v>10</v>
      </c>
      <c r="P244" s="71">
        <v>10</v>
      </c>
      <c r="Q244" s="34">
        <v>8</v>
      </c>
      <c r="R244" s="34">
        <v>12</v>
      </c>
      <c r="S244" s="18">
        <v>274</v>
      </c>
      <c r="T244" s="18">
        <v>278</v>
      </c>
      <c r="U244" s="18">
        <v>282</v>
      </c>
      <c r="V244" s="18">
        <v>287</v>
      </c>
      <c r="W244" s="18">
        <v>291</v>
      </c>
      <c r="X244" s="18">
        <v>295</v>
      </c>
      <c r="Y244" s="71">
        <v>299.78060343829463</v>
      </c>
      <c r="Z244" s="71">
        <v>304.30729055021283</v>
      </c>
      <c r="AA244" s="71">
        <v>308.902330637521</v>
      </c>
      <c r="AB244" s="71">
        <v>313.56675583014754</v>
      </c>
      <c r="AC244" s="71">
        <v>318.30161384318274</v>
      </c>
      <c r="AD244" s="18">
        <f>675+323</f>
        <v>998</v>
      </c>
      <c r="AE244" s="147">
        <f>762+328</f>
        <v>1090</v>
      </c>
      <c r="AF244" s="18">
        <f>849+333</f>
        <v>1182</v>
      </c>
      <c r="AG244" s="18">
        <f>936+338</f>
        <v>1274</v>
      </c>
      <c r="AH244" s="34">
        <f>494.9+811.1</f>
        <v>1306</v>
      </c>
      <c r="AI244" s="34">
        <v>1694.74</v>
      </c>
      <c r="AJ244" s="34">
        <v>446.78</v>
      </c>
      <c r="AK244" s="34">
        <v>541.72</v>
      </c>
      <c r="AL244" s="34">
        <v>676.92</v>
      </c>
      <c r="AM244" s="34">
        <v>967.30000000000007</v>
      </c>
      <c r="AN244" s="34">
        <v>883.89</v>
      </c>
      <c r="AO244" s="34">
        <f>1010.87-AO243</f>
        <v>1009.87</v>
      </c>
      <c r="AP244" s="34">
        <f>940-AP243</f>
        <v>938.41200000000003</v>
      </c>
      <c r="AQ244" s="34">
        <f>1265.6-AQ243</f>
        <v>1264.0999999999999</v>
      </c>
      <c r="AR244" s="149">
        <v>1406.8</v>
      </c>
      <c r="AS244" s="149">
        <v>1462.1999999999998</v>
      </c>
      <c r="AT244" s="149">
        <v>1351.4</v>
      </c>
      <c r="AU244" s="149">
        <v>1608.49</v>
      </c>
      <c r="AV244" s="149">
        <v>1671.6</v>
      </c>
      <c r="AW244" s="149">
        <v>1728.8000000000002</v>
      </c>
      <c r="AX244" s="149">
        <v>1787.11</v>
      </c>
      <c r="AY244" s="149">
        <v>1774.06</v>
      </c>
      <c r="AZ244" s="149">
        <v>1949.3056495266001</v>
      </c>
      <c r="BA244" s="149">
        <v>1956.09016483445</v>
      </c>
      <c r="BB244" s="149">
        <v>1762.97712632345</v>
      </c>
      <c r="BC244" s="149">
        <v>1969.96808093093</v>
      </c>
      <c r="BD244" s="149">
        <v>1977.0645989529901</v>
      </c>
      <c r="BE244" s="159">
        <v>1984.26827439718</v>
      </c>
      <c r="BF244" s="147">
        <v>1991.5807253405801</v>
      </c>
      <c r="BG244" s="147">
        <v>1999.00359429322</v>
      </c>
      <c r="BH244" s="147">
        <v>1912.04971636705</v>
      </c>
      <c r="BI244" s="154">
        <v>2014.18728065041</v>
      </c>
      <c r="BJ244" s="18">
        <f>1500+525</f>
        <v>2025</v>
      </c>
      <c r="BK244" s="147">
        <v>633</v>
      </c>
      <c r="BL244" s="147">
        <v>633</v>
      </c>
      <c r="BM244" s="147">
        <v>629</v>
      </c>
      <c r="BN244" s="147">
        <v>631</v>
      </c>
      <c r="BO244" s="147">
        <v>633</v>
      </c>
      <c r="BP244" s="113">
        <v>635</v>
      </c>
      <c r="BQ244" s="113">
        <v>638</v>
      </c>
      <c r="BR244" s="101"/>
      <c r="BS244">
        <f t="shared" si="455"/>
        <v>0</v>
      </c>
      <c r="BT244">
        <f t="shared" si="455"/>
        <v>0</v>
      </c>
      <c r="BU244">
        <f t="shared" si="455"/>
        <v>0</v>
      </c>
      <c r="BV244">
        <f t="shared" si="455"/>
        <v>0</v>
      </c>
      <c r="BW244">
        <f t="shared" si="455"/>
        <v>0</v>
      </c>
      <c r="BX244">
        <f t="shared" si="455"/>
        <v>0</v>
      </c>
      <c r="BY244">
        <f t="shared" si="455"/>
        <v>0</v>
      </c>
      <c r="BZ244">
        <f t="shared" si="455"/>
        <v>0</v>
      </c>
      <c r="CA244">
        <f t="shared" si="455"/>
        <v>0</v>
      </c>
      <c r="CB244">
        <f t="shared" si="455"/>
        <v>0</v>
      </c>
      <c r="CC244">
        <f t="shared" si="456"/>
        <v>0</v>
      </c>
      <c r="CD244">
        <f t="shared" si="456"/>
        <v>0</v>
      </c>
      <c r="CE244">
        <f t="shared" si="456"/>
        <v>0</v>
      </c>
      <c r="CF244">
        <f t="shared" si="456"/>
        <v>0</v>
      </c>
      <c r="CG244">
        <f t="shared" si="456"/>
        <v>0</v>
      </c>
      <c r="CH244">
        <f t="shared" si="456"/>
        <v>0</v>
      </c>
      <c r="CI244">
        <f t="shared" si="456"/>
        <v>0</v>
      </c>
      <c r="CJ244">
        <f t="shared" si="456"/>
        <v>0</v>
      </c>
      <c r="CK244">
        <f t="shared" si="456"/>
        <v>0</v>
      </c>
      <c r="CL244">
        <f t="shared" si="456"/>
        <v>0</v>
      </c>
      <c r="CM244">
        <f t="shared" si="457"/>
        <v>0</v>
      </c>
      <c r="CN244">
        <f t="shared" si="457"/>
        <v>0</v>
      </c>
      <c r="CO244">
        <f t="shared" si="457"/>
        <v>0</v>
      </c>
      <c r="CP244">
        <f t="shared" si="457"/>
        <v>0</v>
      </c>
      <c r="CQ244">
        <f t="shared" si="457"/>
        <v>0</v>
      </c>
      <c r="CR244">
        <f t="shared" si="457"/>
        <v>0</v>
      </c>
      <c r="CS244">
        <f t="shared" si="457"/>
        <v>0</v>
      </c>
      <c r="CT244">
        <f t="shared" si="457"/>
        <v>0</v>
      </c>
      <c r="CU244">
        <f t="shared" si="457"/>
        <v>0</v>
      </c>
      <c r="CV244">
        <f t="shared" si="457"/>
        <v>0</v>
      </c>
      <c r="CW244">
        <f t="shared" si="458"/>
        <v>0</v>
      </c>
      <c r="CX244">
        <f t="shared" si="458"/>
        <v>0</v>
      </c>
      <c r="CY244">
        <f t="shared" si="458"/>
        <v>0</v>
      </c>
      <c r="CZ244">
        <f t="shared" si="458"/>
        <v>0</v>
      </c>
      <c r="DA244">
        <f t="shared" si="458"/>
        <v>0</v>
      </c>
      <c r="DB244">
        <f t="shared" si="458"/>
        <v>0</v>
      </c>
      <c r="DC244">
        <f t="shared" si="458"/>
        <v>0</v>
      </c>
      <c r="DD244">
        <f t="shared" si="458"/>
        <v>0</v>
      </c>
      <c r="DE244">
        <f t="shared" si="458"/>
        <v>0</v>
      </c>
      <c r="DF244">
        <f t="shared" si="458"/>
        <v>0</v>
      </c>
      <c r="DG244">
        <f t="shared" si="459"/>
        <v>0</v>
      </c>
      <c r="DH244">
        <f t="shared" si="459"/>
        <v>0</v>
      </c>
      <c r="DI244">
        <f t="shared" si="459"/>
        <v>0</v>
      </c>
      <c r="DJ244">
        <f t="shared" si="459"/>
        <v>0</v>
      </c>
      <c r="DK244">
        <f t="shared" si="459"/>
        <v>0</v>
      </c>
      <c r="DL244">
        <f t="shared" si="459"/>
        <v>0</v>
      </c>
      <c r="DM244">
        <f t="shared" si="459"/>
        <v>0</v>
      </c>
      <c r="DN244">
        <f t="shared" si="459"/>
        <v>0</v>
      </c>
      <c r="DO244">
        <f t="shared" si="459"/>
        <v>0</v>
      </c>
      <c r="DP244">
        <f t="shared" si="459"/>
        <v>0</v>
      </c>
      <c r="DQ244">
        <f t="shared" si="460"/>
        <v>0</v>
      </c>
      <c r="DR244">
        <f t="shared" si="460"/>
        <v>0</v>
      </c>
      <c r="DS244">
        <f t="shared" si="460"/>
        <v>0</v>
      </c>
      <c r="DT244">
        <f t="shared" si="460"/>
        <v>0</v>
      </c>
      <c r="DU244">
        <f>IF($C244&lt;&gt;"",IF(BF243&gt;0,1,0),0)</f>
        <v>0</v>
      </c>
      <c r="DV244">
        <f t="shared" si="461"/>
        <v>0</v>
      </c>
      <c r="DW244">
        <f t="shared" si="461"/>
        <v>0</v>
      </c>
      <c r="DX244">
        <f t="shared" si="461"/>
        <v>0</v>
      </c>
      <c r="DY244">
        <f t="shared" si="461"/>
        <v>0</v>
      </c>
      <c r="DZ244">
        <f t="shared" si="461"/>
        <v>0</v>
      </c>
      <c r="EA244">
        <f t="shared" si="454"/>
        <v>0</v>
      </c>
      <c r="EB244">
        <f t="shared" si="454"/>
        <v>0</v>
      </c>
      <c r="EC244">
        <f t="shared" si="454"/>
        <v>0</v>
      </c>
      <c r="ED244">
        <f t="shared" si="454"/>
        <v>0</v>
      </c>
      <c r="EE244">
        <f t="shared" si="454"/>
        <v>0</v>
      </c>
      <c r="EF244">
        <f t="shared" si="454"/>
        <v>0</v>
      </c>
    </row>
    <row r="245" spans="1:136" ht="15.5">
      <c r="A245" s="90"/>
      <c r="B245" s="19" t="s">
        <v>208</v>
      </c>
      <c r="C245" s="94"/>
      <c r="D245" s="34">
        <v>0</v>
      </c>
      <c r="E245" s="34">
        <v>0</v>
      </c>
      <c r="F245" s="34">
        <v>0</v>
      </c>
      <c r="G245" s="34">
        <v>0</v>
      </c>
      <c r="H245" s="34">
        <v>0</v>
      </c>
      <c r="I245" s="34">
        <v>0</v>
      </c>
      <c r="J245" s="34">
        <v>0</v>
      </c>
      <c r="K245" s="34">
        <v>0</v>
      </c>
      <c r="L245" s="34">
        <v>0</v>
      </c>
      <c r="M245" s="34">
        <v>0</v>
      </c>
      <c r="N245" s="34">
        <v>0</v>
      </c>
      <c r="O245" s="34">
        <v>0</v>
      </c>
      <c r="P245" s="34">
        <v>0</v>
      </c>
      <c r="Q245" s="34">
        <v>0</v>
      </c>
      <c r="R245" s="34">
        <v>0</v>
      </c>
      <c r="S245" s="34">
        <v>0</v>
      </c>
      <c r="T245" s="34">
        <v>0</v>
      </c>
      <c r="U245" s="34">
        <v>0</v>
      </c>
      <c r="V245" s="34">
        <v>0</v>
      </c>
      <c r="W245" s="34">
        <v>0</v>
      </c>
      <c r="X245" s="34">
        <v>0</v>
      </c>
      <c r="Y245" s="34">
        <v>0</v>
      </c>
      <c r="Z245" s="34">
        <v>0</v>
      </c>
      <c r="AA245" s="34">
        <v>0</v>
      </c>
      <c r="AB245" s="34">
        <v>0</v>
      </c>
      <c r="AC245" s="34">
        <v>0</v>
      </c>
      <c r="AD245" s="34">
        <v>0</v>
      </c>
      <c r="AE245" s="34">
        <v>0</v>
      </c>
      <c r="AF245" s="34">
        <v>0</v>
      </c>
      <c r="AG245" s="34">
        <v>0.5</v>
      </c>
      <c r="AH245" s="34">
        <v>0.6</v>
      </c>
      <c r="AI245" s="34">
        <v>0.6</v>
      </c>
      <c r="AJ245" s="34">
        <v>0.4</v>
      </c>
      <c r="AK245" s="34">
        <v>0.4</v>
      </c>
      <c r="AL245" s="34">
        <v>0.4</v>
      </c>
      <c r="AM245" s="34">
        <v>0.42100000000000004</v>
      </c>
      <c r="AN245" s="34">
        <v>0</v>
      </c>
      <c r="AO245" s="34">
        <v>0</v>
      </c>
      <c r="AP245" s="34">
        <v>0</v>
      </c>
      <c r="AQ245" s="34">
        <v>0</v>
      </c>
      <c r="AR245" s="34">
        <v>0</v>
      </c>
      <c r="AS245" s="34">
        <v>0</v>
      </c>
      <c r="AT245" s="34">
        <v>0</v>
      </c>
      <c r="AU245" s="34">
        <v>0</v>
      </c>
      <c r="AV245" s="34">
        <v>0</v>
      </c>
      <c r="AW245" s="34">
        <v>0</v>
      </c>
      <c r="AX245" s="34">
        <v>0</v>
      </c>
      <c r="AY245" s="34">
        <v>0</v>
      </c>
      <c r="AZ245" s="34">
        <v>0</v>
      </c>
      <c r="BA245" s="34">
        <v>0</v>
      </c>
      <c r="BB245" s="34">
        <v>0</v>
      </c>
      <c r="BC245" s="34">
        <v>0</v>
      </c>
      <c r="BD245" s="18">
        <v>0</v>
      </c>
      <c r="BE245" s="25">
        <v>0</v>
      </c>
      <c r="BF245" s="18">
        <v>0</v>
      </c>
      <c r="BG245" s="18">
        <v>0</v>
      </c>
      <c r="BH245" s="18">
        <v>0</v>
      </c>
      <c r="BI245" s="18">
        <v>0</v>
      </c>
      <c r="BJ245" s="113">
        <v>0</v>
      </c>
      <c r="BK245" s="113">
        <v>0</v>
      </c>
      <c r="BL245" s="113">
        <v>0</v>
      </c>
      <c r="BM245" s="113">
        <v>0</v>
      </c>
      <c r="BN245" s="113">
        <v>0</v>
      </c>
      <c r="BO245" s="113">
        <v>0</v>
      </c>
      <c r="BP245" s="113">
        <v>0</v>
      </c>
      <c r="BQ245" s="113">
        <v>0</v>
      </c>
      <c r="BR245" s="101"/>
      <c r="BS245">
        <f t="shared" si="455"/>
        <v>0</v>
      </c>
      <c r="BT245">
        <f t="shared" si="455"/>
        <v>0</v>
      </c>
      <c r="BU245">
        <f t="shared" si="455"/>
        <v>0</v>
      </c>
      <c r="BV245">
        <f t="shared" si="455"/>
        <v>0</v>
      </c>
      <c r="BW245">
        <f t="shared" si="455"/>
        <v>0</v>
      </c>
      <c r="BX245">
        <f t="shared" si="455"/>
        <v>0</v>
      </c>
      <c r="BY245">
        <f t="shared" si="455"/>
        <v>0</v>
      </c>
      <c r="BZ245">
        <f t="shared" si="455"/>
        <v>0</v>
      </c>
      <c r="CA245">
        <f t="shared" si="455"/>
        <v>0</v>
      </c>
      <c r="CB245">
        <f t="shared" si="455"/>
        <v>0</v>
      </c>
      <c r="CC245">
        <f t="shared" si="456"/>
        <v>0</v>
      </c>
      <c r="CD245">
        <f t="shared" si="456"/>
        <v>0</v>
      </c>
      <c r="CE245">
        <f t="shared" si="456"/>
        <v>0</v>
      </c>
      <c r="CF245">
        <f t="shared" si="456"/>
        <v>0</v>
      </c>
      <c r="CG245">
        <f t="shared" si="456"/>
        <v>0</v>
      </c>
      <c r="CH245">
        <f t="shared" si="456"/>
        <v>0</v>
      </c>
      <c r="CI245">
        <f t="shared" si="456"/>
        <v>0</v>
      </c>
      <c r="CJ245">
        <f t="shared" si="456"/>
        <v>0</v>
      </c>
      <c r="CK245">
        <f t="shared" si="456"/>
        <v>0</v>
      </c>
      <c r="CL245">
        <f t="shared" si="456"/>
        <v>0</v>
      </c>
      <c r="CM245">
        <f t="shared" si="457"/>
        <v>0</v>
      </c>
      <c r="CN245">
        <f t="shared" si="457"/>
        <v>0</v>
      </c>
      <c r="CO245">
        <f t="shared" si="457"/>
        <v>0</v>
      </c>
      <c r="CP245">
        <f t="shared" si="457"/>
        <v>0</v>
      </c>
      <c r="CQ245">
        <f t="shared" si="457"/>
        <v>0</v>
      </c>
      <c r="CR245">
        <f t="shared" si="457"/>
        <v>0</v>
      </c>
      <c r="CS245">
        <f t="shared" si="457"/>
        <v>0</v>
      </c>
      <c r="CT245">
        <f t="shared" si="457"/>
        <v>0</v>
      </c>
      <c r="CU245">
        <f t="shared" si="457"/>
        <v>0</v>
      </c>
      <c r="CV245">
        <f t="shared" si="457"/>
        <v>0</v>
      </c>
      <c r="CW245">
        <f t="shared" si="458"/>
        <v>0</v>
      </c>
      <c r="CX245">
        <f t="shared" si="458"/>
        <v>0</v>
      </c>
      <c r="CY245">
        <f t="shared" si="458"/>
        <v>0</v>
      </c>
      <c r="CZ245">
        <f t="shared" si="458"/>
        <v>0</v>
      </c>
      <c r="DA245">
        <f t="shared" si="458"/>
        <v>0</v>
      </c>
      <c r="DB245">
        <f t="shared" si="458"/>
        <v>0</v>
      </c>
      <c r="DC245">
        <f t="shared" si="458"/>
        <v>0</v>
      </c>
      <c r="DD245">
        <f t="shared" si="458"/>
        <v>0</v>
      </c>
      <c r="DE245">
        <f t="shared" si="458"/>
        <v>0</v>
      </c>
      <c r="DF245">
        <f t="shared" si="458"/>
        <v>0</v>
      </c>
      <c r="DG245">
        <f t="shared" si="459"/>
        <v>0</v>
      </c>
      <c r="DH245">
        <f t="shared" si="459"/>
        <v>0</v>
      </c>
      <c r="DI245">
        <f t="shared" si="459"/>
        <v>0</v>
      </c>
      <c r="DJ245">
        <f t="shared" si="459"/>
        <v>0</v>
      </c>
      <c r="DK245">
        <f t="shared" si="459"/>
        <v>0</v>
      </c>
      <c r="DL245">
        <f t="shared" si="459"/>
        <v>0</v>
      </c>
      <c r="DM245">
        <f t="shared" si="459"/>
        <v>0</v>
      </c>
      <c r="DN245">
        <f t="shared" si="459"/>
        <v>0</v>
      </c>
      <c r="DO245">
        <f t="shared" si="459"/>
        <v>0</v>
      </c>
      <c r="DP245">
        <f t="shared" si="459"/>
        <v>0</v>
      </c>
      <c r="DQ245">
        <f t="shared" si="460"/>
        <v>0</v>
      </c>
      <c r="DR245">
        <f t="shared" si="460"/>
        <v>0</v>
      </c>
      <c r="DS245">
        <f t="shared" si="460"/>
        <v>0</v>
      </c>
      <c r="DT245">
        <f t="shared" si="460"/>
        <v>0</v>
      </c>
      <c r="DU245">
        <f>IF($C245&lt;&gt;"",IF(BF245&gt;0,1,0),0)</f>
        <v>0</v>
      </c>
      <c r="DV245">
        <f t="shared" si="461"/>
        <v>0</v>
      </c>
      <c r="DW245">
        <f t="shared" si="461"/>
        <v>0</v>
      </c>
      <c r="DX245">
        <f t="shared" si="461"/>
        <v>0</v>
      </c>
      <c r="DY245">
        <f t="shared" si="461"/>
        <v>0</v>
      </c>
      <c r="DZ245">
        <f t="shared" si="461"/>
        <v>0</v>
      </c>
      <c r="EA245">
        <f t="shared" si="454"/>
        <v>0</v>
      </c>
      <c r="EB245">
        <f t="shared" si="454"/>
        <v>0</v>
      </c>
      <c r="EC245">
        <f t="shared" si="454"/>
        <v>0</v>
      </c>
      <c r="ED245">
        <f t="shared" si="454"/>
        <v>0</v>
      </c>
      <c r="EE245">
        <f t="shared" si="454"/>
        <v>0</v>
      </c>
      <c r="EF245">
        <f t="shared" si="454"/>
        <v>0</v>
      </c>
    </row>
    <row r="246" spans="1:136" ht="15.5">
      <c r="A246" s="90"/>
      <c r="B246" s="57" t="s">
        <v>21</v>
      </c>
      <c r="C246" s="94"/>
      <c r="D246" s="34">
        <v>0</v>
      </c>
      <c r="E246" s="34">
        <v>0</v>
      </c>
      <c r="F246" s="34">
        <v>0</v>
      </c>
      <c r="G246" s="34">
        <v>0</v>
      </c>
      <c r="H246" s="34">
        <v>0</v>
      </c>
      <c r="I246" s="34">
        <v>0</v>
      </c>
      <c r="J246" s="34">
        <v>0</v>
      </c>
      <c r="K246" s="34">
        <v>0</v>
      </c>
      <c r="L246" s="34">
        <v>0</v>
      </c>
      <c r="M246" s="34">
        <v>0</v>
      </c>
      <c r="N246" s="34">
        <v>0</v>
      </c>
      <c r="O246" s="34">
        <v>0</v>
      </c>
      <c r="P246" s="34">
        <v>0</v>
      </c>
      <c r="Q246" s="34">
        <v>0</v>
      </c>
      <c r="R246" s="34">
        <v>0</v>
      </c>
      <c r="S246" s="18">
        <v>91</v>
      </c>
      <c r="T246" s="34">
        <v>0</v>
      </c>
      <c r="U246" s="34">
        <v>0</v>
      </c>
      <c r="V246" s="34">
        <v>0</v>
      </c>
      <c r="W246" s="34">
        <v>0</v>
      </c>
      <c r="X246" s="34">
        <v>0</v>
      </c>
      <c r="Y246" s="34">
        <v>0</v>
      </c>
      <c r="Z246" s="34">
        <v>0</v>
      </c>
      <c r="AA246" s="34">
        <v>0</v>
      </c>
      <c r="AB246" s="34">
        <v>0</v>
      </c>
      <c r="AC246" s="34">
        <v>0</v>
      </c>
      <c r="AD246" s="34">
        <v>0</v>
      </c>
      <c r="AE246" s="34">
        <v>0</v>
      </c>
      <c r="AF246" s="34">
        <v>0</v>
      </c>
      <c r="AG246" s="34">
        <v>0</v>
      </c>
      <c r="AH246" s="34">
        <v>0</v>
      </c>
      <c r="AI246" s="34">
        <v>0</v>
      </c>
      <c r="AJ246" s="34">
        <v>0</v>
      </c>
      <c r="AK246" s="34">
        <v>0</v>
      </c>
      <c r="AL246" s="34">
        <v>0</v>
      </c>
      <c r="AM246" s="34">
        <v>0</v>
      </c>
      <c r="AN246" s="34">
        <v>0</v>
      </c>
      <c r="AO246" s="34">
        <v>0</v>
      </c>
      <c r="AP246" s="34">
        <v>0</v>
      </c>
      <c r="AQ246" s="34">
        <v>0</v>
      </c>
      <c r="AR246" s="34">
        <v>0</v>
      </c>
      <c r="AS246" s="34">
        <v>0</v>
      </c>
      <c r="AT246" s="34">
        <v>0</v>
      </c>
      <c r="AU246" s="34">
        <v>0</v>
      </c>
      <c r="AV246" s="34">
        <v>0</v>
      </c>
      <c r="AW246" s="34">
        <v>0</v>
      </c>
      <c r="AX246" s="34">
        <v>0</v>
      </c>
      <c r="AY246" s="34">
        <v>0</v>
      </c>
      <c r="AZ246" s="34">
        <v>0</v>
      </c>
      <c r="BA246" s="34">
        <v>0</v>
      </c>
      <c r="BB246" s="34">
        <v>0</v>
      </c>
      <c r="BC246" s="34">
        <v>0</v>
      </c>
      <c r="BD246" s="34">
        <v>0</v>
      </c>
      <c r="BE246" s="34">
        <v>0</v>
      </c>
      <c r="BF246" s="34">
        <v>0</v>
      </c>
      <c r="BG246" s="34">
        <v>0</v>
      </c>
      <c r="BH246" s="34">
        <v>0</v>
      </c>
      <c r="BI246" s="34">
        <v>0</v>
      </c>
      <c r="BJ246" s="113">
        <v>0</v>
      </c>
      <c r="BK246" s="113">
        <v>0</v>
      </c>
      <c r="BL246" s="113">
        <v>0</v>
      </c>
      <c r="BM246" s="113">
        <v>0</v>
      </c>
      <c r="BN246" s="113">
        <v>0</v>
      </c>
      <c r="BO246" s="113">
        <v>0</v>
      </c>
      <c r="BP246" s="113">
        <v>0</v>
      </c>
      <c r="BQ246" s="113">
        <v>0</v>
      </c>
      <c r="BR246" s="101"/>
      <c r="BS246">
        <f t="shared" si="455"/>
        <v>0</v>
      </c>
      <c r="BT246">
        <f t="shared" si="455"/>
        <v>0</v>
      </c>
      <c r="BU246">
        <f t="shared" si="455"/>
        <v>0</v>
      </c>
      <c r="BV246">
        <f t="shared" si="455"/>
        <v>0</v>
      </c>
      <c r="BW246">
        <f t="shared" si="455"/>
        <v>0</v>
      </c>
      <c r="BX246">
        <f t="shared" si="455"/>
        <v>0</v>
      </c>
      <c r="BY246">
        <f t="shared" si="455"/>
        <v>0</v>
      </c>
      <c r="BZ246">
        <f t="shared" si="455"/>
        <v>0</v>
      </c>
      <c r="CA246">
        <f t="shared" si="455"/>
        <v>0</v>
      </c>
      <c r="CB246">
        <f t="shared" si="455"/>
        <v>0</v>
      </c>
      <c r="CC246">
        <f t="shared" si="456"/>
        <v>0</v>
      </c>
      <c r="CD246">
        <f t="shared" si="456"/>
        <v>0</v>
      </c>
      <c r="CE246">
        <f t="shared" si="456"/>
        <v>0</v>
      </c>
      <c r="CF246">
        <f t="shared" si="456"/>
        <v>0</v>
      </c>
      <c r="CG246">
        <f t="shared" si="456"/>
        <v>0</v>
      </c>
      <c r="CH246">
        <f t="shared" si="456"/>
        <v>0</v>
      </c>
      <c r="CI246">
        <f t="shared" si="456"/>
        <v>0</v>
      </c>
      <c r="CJ246">
        <f t="shared" si="456"/>
        <v>0</v>
      </c>
      <c r="CK246">
        <f t="shared" si="456"/>
        <v>0</v>
      </c>
      <c r="CL246">
        <f t="shared" si="456"/>
        <v>0</v>
      </c>
      <c r="CM246">
        <f t="shared" si="457"/>
        <v>0</v>
      </c>
      <c r="CN246">
        <f t="shared" si="457"/>
        <v>0</v>
      </c>
      <c r="CO246">
        <f t="shared" si="457"/>
        <v>0</v>
      </c>
      <c r="CP246">
        <f t="shared" si="457"/>
        <v>0</v>
      </c>
      <c r="CQ246">
        <f t="shared" si="457"/>
        <v>0</v>
      </c>
      <c r="CR246">
        <f t="shared" si="457"/>
        <v>0</v>
      </c>
      <c r="CS246">
        <f t="shared" si="457"/>
        <v>0</v>
      </c>
      <c r="CT246">
        <f t="shared" si="457"/>
        <v>0</v>
      </c>
      <c r="CU246">
        <f t="shared" si="457"/>
        <v>0</v>
      </c>
      <c r="CV246">
        <f t="shared" si="457"/>
        <v>0</v>
      </c>
      <c r="CW246">
        <f t="shared" si="458"/>
        <v>0</v>
      </c>
      <c r="CX246">
        <f t="shared" si="458"/>
        <v>0</v>
      </c>
      <c r="CY246">
        <f t="shared" si="458"/>
        <v>0</v>
      </c>
      <c r="CZ246">
        <f t="shared" si="458"/>
        <v>0</v>
      </c>
      <c r="DA246">
        <f t="shared" si="458"/>
        <v>0</v>
      </c>
      <c r="DB246">
        <f t="shared" si="458"/>
        <v>0</v>
      </c>
      <c r="DC246">
        <f t="shared" si="458"/>
        <v>0</v>
      </c>
      <c r="DD246">
        <f t="shared" si="458"/>
        <v>0</v>
      </c>
      <c r="DE246">
        <f t="shared" si="458"/>
        <v>0</v>
      </c>
      <c r="DF246">
        <f t="shared" si="458"/>
        <v>0</v>
      </c>
      <c r="DG246">
        <f t="shared" si="459"/>
        <v>0</v>
      </c>
      <c r="DH246">
        <f t="shared" si="459"/>
        <v>0</v>
      </c>
      <c r="DI246">
        <f t="shared" si="459"/>
        <v>0</v>
      </c>
      <c r="DJ246">
        <f t="shared" si="459"/>
        <v>0</v>
      </c>
      <c r="DK246">
        <f t="shared" si="459"/>
        <v>0</v>
      </c>
      <c r="DL246">
        <f t="shared" si="459"/>
        <v>0</v>
      </c>
      <c r="DM246">
        <f t="shared" si="459"/>
        <v>0</v>
      </c>
      <c r="DN246">
        <f t="shared" si="459"/>
        <v>0</v>
      </c>
      <c r="DO246">
        <f t="shared" si="459"/>
        <v>0</v>
      </c>
      <c r="DP246">
        <f t="shared" si="459"/>
        <v>0</v>
      </c>
      <c r="DQ246">
        <f t="shared" si="460"/>
        <v>0</v>
      </c>
      <c r="DR246">
        <f t="shared" si="460"/>
        <v>0</v>
      </c>
      <c r="DS246">
        <f t="shared" si="460"/>
        <v>0</v>
      </c>
      <c r="DT246">
        <f t="shared" si="460"/>
        <v>0</v>
      </c>
      <c r="DU246">
        <f>IF($C246&lt;&gt;"",IF(BF246&gt;0,1,0),0)</f>
        <v>0</v>
      </c>
      <c r="DV246">
        <f t="shared" si="461"/>
        <v>0</v>
      </c>
      <c r="DW246">
        <f t="shared" si="461"/>
        <v>0</v>
      </c>
      <c r="DX246">
        <f t="shared" si="461"/>
        <v>0</v>
      </c>
      <c r="DY246">
        <f t="shared" si="461"/>
        <v>0</v>
      </c>
      <c r="DZ246">
        <f t="shared" si="461"/>
        <v>0</v>
      </c>
      <c r="EA246">
        <f t="shared" si="454"/>
        <v>0</v>
      </c>
      <c r="EB246">
        <f t="shared" si="454"/>
        <v>0</v>
      </c>
      <c r="EC246">
        <f t="shared" si="454"/>
        <v>0</v>
      </c>
      <c r="ED246">
        <f t="shared" si="454"/>
        <v>0</v>
      </c>
      <c r="EE246">
        <f t="shared" si="454"/>
        <v>0</v>
      </c>
      <c r="EF246">
        <f t="shared" si="454"/>
        <v>0</v>
      </c>
    </row>
    <row r="247" spans="1:136" ht="15.5">
      <c r="A247" s="90"/>
      <c r="B247" s="19" t="s">
        <v>212</v>
      </c>
      <c r="C247" s="9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18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>
        <v>0</v>
      </c>
      <c r="AI247" s="34">
        <v>11.761904761904763</v>
      </c>
      <c r="AJ247" s="34">
        <v>0</v>
      </c>
      <c r="AK247" s="34">
        <v>0</v>
      </c>
      <c r="AL247" s="34">
        <v>0</v>
      </c>
      <c r="AM247" s="34">
        <v>0</v>
      </c>
      <c r="AN247" s="34">
        <v>0</v>
      </c>
      <c r="AO247" s="34">
        <v>0</v>
      </c>
      <c r="AP247" s="34">
        <v>0</v>
      </c>
      <c r="AQ247" s="34">
        <v>0</v>
      </c>
      <c r="AR247" s="34">
        <v>0</v>
      </c>
      <c r="AS247" s="34">
        <v>0</v>
      </c>
      <c r="AT247" s="34">
        <v>0</v>
      </c>
      <c r="AU247" s="34">
        <f>492750/3973</f>
        <v>124.02466649886736</v>
      </c>
      <c r="AV247" s="34">
        <f>265500/4016</f>
        <v>66.110557768924309</v>
      </c>
      <c r="AW247" s="34">
        <f>38250/4093</f>
        <v>9.3452235524065479</v>
      </c>
      <c r="AX247" s="34">
        <v>3.0286343612334803</v>
      </c>
      <c r="AY247" s="34">
        <v>0</v>
      </c>
      <c r="AZ247" s="34">
        <v>0</v>
      </c>
      <c r="BA247" s="34">
        <v>0</v>
      </c>
      <c r="BB247" s="34">
        <v>0</v>
      </c>
      <c r="BC247" s="34">
        <v>0</v>
      </c>
      <c r="BD247" s="34">
        <v>0</v>
      </c>
      <c r="BE247" s="34">
        <v>0</v>
      </c>
      <c r="BF247" s="34">
        <v>0</v>
      </c>
      <c r="BG247" s="34">
        <v>0</v>
      </c>
      <c r="BH247" s="34">
        <v>0</v>
      </c>
      <c r="BI247" s="34">
        <v>0</v>
      </c>
      <c r="BJ247" s="113">
        <v>0</v>
      </c>
      <c r="BK247" s="113">
        <v>0</v>
      </c>
      <c r="BL247" s="113">
        <v>0</v>
      </c>
      <c r="BM247" s="113">
        <v>0</v>
      </c>
      <c r="BN247" s="113">
        <v>0</v>
      </c>
      <c r="BO247" s="113">
        <v>0</v>
      </c>
      <c r="BP247" s="113">
        <v>0</v>
      </c>
      <c r="BQ247" s="113">
        <v>0</v>
      </c>
      <c r="BR247" s="101"/>
      <c r="BS247">
        <f t="shared" si="455"/>
        <v>0</v>
      </c>
      <c r="BT247">
        <f t="shared" si="455"/>
        <v>0</v>
      </c>
      <c r="BU247">
        <f t="shared" si="455"/>
        <v>0</v>
      </c>
      <c r="BV247">
        <f t="shared" si="455"/>
        <v>0</v>
      </c>
      <c r="BW247">
        <f t="shared" si="455"/>
        <v>0</v>
      </c>
      <c r="BX247">
        <f t="shared" si="455"/>
        <v>0</v>
      </c>
      <c r="BY247">
        <f t="shared" si="455"/>
        <v>0</v>
      </c>
      <c r="BZ247">
        <f t="shared" si="455"/>
        <v>0</v>
      </c>
      <c r="CA247">
        <f t="shared" si="455"/>
        <v>0</v>
      </c>
      <c r="CB247">
        <f t="shared" si="455"/>
        <v>0</v>
      </c>
      <c r="CC247">
        <f t="shared" si="456"/>
        <v>0</v>
      </c>
      <c r="CD247">
        <f t="shared" si="456"/>
        <v>0</v>
      </c>
      <c r="CE247">
        <f t="shared" si="456"/>
        <v>0</v>
      </c>
      <c r="CF247">
        <f t="shared" si="456"/>
        <v>0</v>
      </c>
      <c r="CG247">
        <f t="shared" si="456"/>
        <v>0</v>
      </c>
      <c r="CH247">
        <f t="shared" si="456"/>
        <v>0</v>
      </c>
      <c r="CI247">
        <f t="shared" si="456"/>
        <v>0</v>
      </c>
      <c r="CJ247">
        <f t="shared" si="456"/>
        <v>0</v>
      </c>
      <c r="CK247">
        <f t="shared" si="456"/>
        <v>0</v>
      </c>
      <c r="CL247">
        <f t="shared" si="456"/>
        <v>0</v>
      </c>
      <c r="CM247">
        <f t="shared" si="457"/>
        <v>0</v>
      </c>
      <c r="CN247">
        <f t="shared" si="457"/>
        <v>0</v>
      </c>
      <c r="CO247">
        <f t="shared" si="457"/>
        <v>0</v>
      </c>
      <c r="CP247">
        <f t="shared" si="457"/>
        <v>0</v>
      </c>
      <c r="CQ247">
        <f t="shared" si="457"/>
        <v>0</v>
      </c>
      <c r="CR247">
        <f t="shared" si="457"/>
        <v>0</v>
      </c>
      <c r="CS247">
        <f t="shared" si="457"/>
        <v>0</v>
      </c>
      <c r="CT247">
        <f t="shared" si="457"/>
        <v>0</v>
      </c>
      <c r="CU247">
        <f t="shared" si="457"/>
        <v>0</v>
      </c>
      <c r="CV247">
        <f t="shared" si="457"/>
        <v>0</v>
      </c>
      <c r="CW247">
        <f t="shared" si="458"/>
        <v>0</v>
      </c>
      <c r="CX247">
        <f t="shared" si="458"/>
        <v>0</v>
      </c>
      <c r="CY247">
        <f t="shared" si="458"/>
        <v>0</v>
      </c>
      <c r="CZ247">
        <f t="shared" si="458"/>
        <v>0</v>
      </c>
      <c r="DA247">
        <f t="shared" si="458"/>
        <v>0</v>
      </c>
      <c r="DB247">
        <f t="shared" si="458"/>
        <v>0</v>
      </c>
      <c r="DC247">
        <f t="shared" si="458"/>
        <v>0</v>
      </c>
      <c r="DD247">
        <f t="shared" si="458"/>
        <v>0</v>
      </c>
      <c r="DE247">
        <f t="shared" si="458"/>
        <v>0</v>
      </c>
      <c r="DF247">
        <f t="shared" si="458"/>
        <v>0</v>
      </c>
      <c r="DG247">
        <f t="shared" si="459"/>
        <v>0</v>
      </c>
      <c r="DH247">
        <f t="shared" si="459"/>
        <v>0</v>
      </c>
      <c r="DI247">
        <f t="shared" si="459"/>
        <v>0</v>
      </c>
      <c r="DJ247">
        <f t="shared" si="459"/>
        <v>0</v>
      </c>
      <c r="DK247">
        <f t="shared" si="459"/>
        <v>0</v>
      </c>
      <c r="DL247">
        <f t="shared" si="459"/>
        <v>0</v>
      </c>
      <c r="DM247">
        <f t="shared" si="459"/>
        <v>0</v>
      </c>
      <c r="DN247">
        <f t="shared" si="459"/>
        <v>0</v>
      </c>
      <c r="DO247">
        <f t="shared" si="459"/>
        <v>0</v>
      </c>
      <c r="DP247">
        <f t="shared" si="459"/>
        <v>0</v>
      </c>
      <c r="DQ247">
        <f t="shared" si="460"/>
        <v>0</v>
      </c>
      <c r="DR247">
        <f t="shared" si="460"/>
        <v>0</v>
      </c>
      <c r="DS247">
        <f t="shared" si="460"/>
        <v>0</v>
      </c>
      <c r="DT247">
        <f t="shared" si="460"/>
        <v>0</v>
      </c>
      <c r="DU247">
        <f>IF($C247&lt;&gt;"",IF(BF247&gt;0,1,0),0)</f>
        <v>0</v>
      </c>
      <c r="DV247">
        <f t="shared" si="461"/>
        <v>0</v>
      </c>
      <c r="DW247">
        <f t="shared" si="461"/>
        <v>0</v>
      </c>
      <c r="DX247">
        <f t="shared" si="461"/>
        <v>0</v>
      </c>
      <c r="DY247">
        <f t="shared" si="461"/>
        <v>0</v>
      </c>
      <c r="DZ247">
        <f t="shared" si="461"/>
        <v>0</v>
      </c>
      <c r="EA247">
        <f t="shared" ref="EA247:EF247" si="462">IF($C247&lt;&gt;"",IF(BL247&gt;0,1,0),0)</f>
        <v>0</v>
      </c>
      <c r="EB247">
        <f t="shared" si="462"/>
        <v>0</v>
      </c>
      <c r="EC247">
        <f t="shared" si="462"/>
        <v>0</v>
      </c>
      <c r="ED247">
        <f t="shared" si="462"/>
        <v>0</v>
      </c>
      <c r="EE247">
        <f t="shared" si="462"/>
        <v>0</v>
      </c>
      <c r="EF247">
        <f t="shared" si="462"/>
        <v>0</v>
      </c>
    </row>
    <row r="248" spans="1:136" ht="15.5">
      <c r="A248" s="90"/>
      <c r="B248" s="57"/>
      <c r="C248" s="94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  <c r="BA248" s="18"/>
      <c r="BB248" s="18"/>
      <c r="BC248" s="18"/>
      <c r="BD248" s="18"/>
      <c r="BE248" s="18"/>
      <c r="BF248" s="18"/>
      <c r="BG248" s="18"/>
      <c r="BH248" s="2"/>
      <c r="BI248" s="2"/>
      <c r="BJ248" s="2"/>
      <c r="BK248" s="2"/>
      <c r="BL248" s="22"/>
      <c r="BM248" s="2"/>
      <c r="BN248" s="2"/>
      <c r="BO248" s="2"/>
      <c r="BP248" s="2"/>
      <c r="BQ248" s="2"/>
      <c r="BR248" s="101"/>
    </row>
    <row r="249" spans="1:136" ht="15.5">
      <c r="A249" s="93">
        <v>27</v>
      </c>
      <c r="B249" s="32" t="s">
        <v>42</v>
      </c>
      <c r="C249" s="94">
        <v>3</v>
      </c>
      <c r="D249" s="22">
        <f t="shared" ref="D249:AI249" si="463">SUM(D250:D255)</f>
        <v>0</v>
      </c>
      <c r="E249" s="22">
        <f t="shared" si="463"/>
        <v>0</v>
      </c>
      <c r="F249" s="22">
        <f t="shared" si="463"/>
        <v>0</v>
      </c>
      <c r="G249" s="22">
        <f t="shared" si="463"/>
        <v>0</v>
      </c>
      <c r="H249" s="22">
        <f t="shared" si="463"/>
        <v>0</v>
      </c>
      <c r="I249" s="22">
        <f t="shared" si="463"/>
        <v>0</v>
      </c>
      <c r="J249" s="22">
        <f t="shared" si="463"/>
        <v>0</v>
      </c>
      <c r="K249" s="22">
        <f t="shared" si="463"/>
        <v>0</v>
      </c>
      <c r="L249" s="22">
        <f t="shared" si="463"/>
        <v>0</v>
      </c>
      <c r="M249" s="22">
        <f t="shared" si="463"/>
        <v>0</v>
      </c>
      <c r="N249" s="22">
        <f t="shared" si="463"/>
        <v>0</v>
      </c>
      <c r="O249" s="22">
        <f t="shared" si="463"/>
        <v>0</v>
      </c>
      <c r="P249" s="22">
        <f t="shared" si="463"/>
        <v>1.218E-2</v>
      </c>
      <c r="Q249" s="22">
        <f t="shared" si="463"/>
        <v>5.1054000000000002E-2</v>
      </c>
      <c r="R249" s="22">
        <f t="shared" si="463"/>
        <v>2.9614780000000001</v>
      </c>
      <c r="S249" s="22">
        <f t="shared" si="463"/>
        <v>1.611226</v>
      </c>
      <c r="T249" s="22">
        <f t="shared" si="463"/>
        <v>0</v>
      </c>
      <c r="U249" s="22">
        <f t="shared" si="463"/>
        <v>1.3219989999999999</v>
      </c>
      <c r="V249" s="22">
        <f t="shared" si="463"/>
        <v>0.86885500000000004</v>
      </c>
      <c r="W249" s="22">
        <f t="shared" si="463"/>
        <v>19.138695000000002</v>
      </c>
      <c r="X249" s="22">
        <f t="shared" si="463"/>
        <v>16.133272999999999</v>
      </c>
      <c r="Y249" s="22">
        <f t="shared" si="463"/>
        <v>22.181074000000002</v>
      </c>
      <c r="Z249" s="22">
        <f t="shared" si="463"/>
        <v>28.799838000000001</v>
      </c>
      <c r="AA249" s="22">
        <f t="shared" si="463"/>
        <v>32.798014999999999</v>
      </c>
      <c r="AB249" s="22">
        <f t="shared" si="463"/>
        <v>36.687588999999996</v>
      </c>
      <c r="AC249" s="22">
        <f t="shared" si="463"/>
        <v>405.89555200000001</v>
      </c>
      <c r="AD249" s="22">
        <f t="shared" si="463"/>
        <v>444.03194999999999</v>
      </c>
      <c r="AE249" s="22">
        <f t="shared" si="463"/>
        <v>515.8385722999999</v>
      </c>
      <c r="AF249" s="22">
        <f t="shared" si="463"/>
        <v>645.48902149999981</v>
      </c>
      <c r="AG249" s="22">
        <f t="shared" si="463"/>
        <v>1110.0854842127997</v>
      </c>
      <c r="AH249" s="22">
        <f t="shared" si="463"/>
        <v>837.4911640072412</v>
      </c>
      <c r="AI249" s="22">
        <f t="shared" si="463"/>
        <v>1107.0632983072412</v>
      </c>
      <c r="AJ249" s="22">
        <f t="shared" ref="AJ249:BP249" si="464">SUM(AJ250:AJ255)</f>
        <v>1762.3318539072411</v>
      </c>
      <c r="AK249" s="22">
        <f t="shared" si="464"/>
        <v>1289.0394022072412</v>
      </c>
      <c r="AL249" s="22">
        <f t="shared" si="464"/>
        <v>3419.2999415072413</v>
      </c>
      <c r="AM249" s="22">
        <f t="shared" si="464"/>
        <v>2040.4949598072412</v>
      </c>
      <c r="AN249" s="22">
        <f t="shared" si="464"/>
        <v>1921.2548914072413</v>
      </c>
      <c r="AO249" s="22">
        <f t="shared" si="464"/>
        <v>2264.6018968890594</v>
      </c>
      <c r="AP249" s="22">
        <f t="shared" si="464"/>
        <v>1041.5399396072412</v>
      </c>
      <c r="AQ249" s="22">
        <f t="shared" si="464"/>
        <v>1064.1112396072413</v>
      </c>
      <c r="AR249" s="22">
        <f t="shared" si="464"/>
        <v>984.32533960724118</v>
      </c>
      <c r="AS249" s="22">
        <f t="shared" si="464"/>
        <v>2016.2542396072413</v>
      </c>
      <c r="AT249" s="22">
        <f t="shared" si="464"/>
        <v>1076.5197396072413</v>
      </c>
      <c r="AU249" s="22">
        <f t="shared" si="464"/>
        <v>1280.7662</v>
      </c>
      <c r="AV249" s="22">
        <f t="shared" si="464"/>
        <v>2189.4544000000001</v>
      </c>
      <c r="AW249" s="22">
        <f t="shared" si="464"/>
        <v>5536.5039999999999</v>
      </c>
      <c r="AX249" s="22">
        <f t="shared" si="464"/>
        <v>6278.8854456999998</v>
      </c>
      <c r="AY249" s="22">
        <f t="shared" si="464"/>
        <v>364.50486109999997</v>
      </c>
      <c r="AZ249" s="22">
        <f t="shared" si="464"/>
        <v>92.548988600000001</v>
      </c>
      <c r="BA249" s="22">
        <f t="shared" si="464"/>
        <v>79.465765400000009</v>
      </c>
      <c r="BB249" s="22">
        <f t="shared" si="464"/>
        <v>145.58723600000002</v>
      </c>
      <c r="BC249" s="22">
        <f t="shared" si="464"/>
        <v>3.0704999999999999E-3</v>
      </c>
      <c r="BD249" s="22">
        <f t="shared" si="464"/>
        <v>64.023782400000002</v>
      </c>
      <c r="BE249" s="22">
        <f t="shared" si="464"/>
        <v>178.7807244</v>
      </c>
      <c r="BF249" s="22">
        <f t="shared" si="464"/>
        <v>26.989043200000005</v>
      </c>
      <c r="BG249" s="22">
        <f t="shared" si="464"/>
        <v>16.027000000000001</v>
      </c>
      <c r="BH249" s="22">
        <f t="shared" si="464"/>
        <v>0</v>
      </c>
      <c r="BI249" s="22">
        <f t="shared" si="464"/>
        <v>30.007999999999999</v>
      </c>
      <c r="BJ249" s="22">
        <f t="shared" si="464"/>
        <v>17.553999999999998</v>
      </c>
      <c r="BK249" s="22">
        <f t="shared" si="464"/>
        <v>104.1246536</v>
      </c>
      <c r="BL249" s="22">
        <f t="shared" si="464"/>
        <v>303.12198589999997</v>
      </c>
      <c r="BM249" s="22">
        <f t="shared" si="464"/>
        <v>407.26450519999997</v>
      </c>
      <c r="BN249" s="22">
        <f t="shared" si="464"/>
        <v>102.1835327</v>
      </c>
      <c r="BO249" s="22">
        <f t="shared" si="464"/>
        <v>60</v>
      </c>
      <c r="BP249" s="22">
        <f t="shared" si="464"/>
        <v>0</v>
      </c>
      <c r="BQ249" s="22">
        <f>SUM(BQ250:BQ255)</f>
        <v>0</v>
      </c>
      <c r="BR249" s="101"/>
      <c r="BS249">
        <f t="shared" ref="BS249:CX249" si="465">IF($C249&lt;&gt;"",IF(D249&gt;0,1,0),0)</f>
        <v>0</v>
      </c>
      <c r="BT249">
        <f t="shared" si="465"/>
        <v>0</v>
      </c>
      <c r="BU249">
        <f t="shared" si="465"/>
        <v>0</v>
      </c>
      <c r="BV249">
        <f t="shared" si="465"/>
        <v>0</v>
      </c>
      <c r="BW249">
        <f t="shared" si="465"/>
        <v>0</v>
      </c>
      <c r="BX249">
        <f t="shared" si="465"/>
        <v>0</v>
      </c>
      <c r="BY249">
        <f t="shared" si="465"/>
        <v>0</v>
      </c>
      <c r="BZ249">
        <f t="shared" si="465"/>
        <v>0</v>
      </c>
      <c r="CA249">
        <f t="shared" si="465"/>
        <v>0</v>
      </c>
      <c r="CB249">
        <f t="shared" si="465"/>
        <v>0</v>
      </c>
      <c r="CC249">
        <f t="shared" si="465"/>
        <v>0</v>
      </c>
      <c r="CD249">
        <f t="shared" si="465"/>
        <v>0</v>
      </c>
      <c r="CE249">
        <f t="shared" si="465"/>
        <v>1</v>
      </c>
      <c r="CF249">
        <f t="shared" si="465"/>
        <v>1</v>
      </c>
      <c r="CG249">
        <f t="shared" si="465"/>
        <v>1</v>
      </c>
      <c r="CH249">
        <f t="shared" si="465"/>
        <v>1</v>
      </c>
      <c r="CI249">
        <f t="shared" si="465"/>
        <v>0</v>
      </c>
      <c r="CJ249">
        <f t="shared" si="465"/>
        <v>1</v>
      </c>
      <c r="CK249">
        <f t="shared" si="465"/>
        <v>1</v>
      </c>
      <c r="CL249">
        <f t="shared" si="465"/>
        <v>1</v>
      </c>
      <c r="CM249">
        <f t="shared" si="465"/>
        <v>1</v>
      </c>
      <c r="CN249">
        <f t="shared" si="465"/>
        <v>1</v>
      </c>
      <c r="CO249">
        <f t="shared" si="465"/>
        <v>1</v>
      </c>
      <c r="CP249">
        <f t="shared" si="465"/>
        <v>1</v>
      </c>
      <c r="CQ249">
        <f t="shared" si="465"/>
        <v>1</v>
      </c>
      <c r="CR249">
        <f t="shared" si="465"/>
        <v>1</v>
      </c>
      <c r="CS249">
        <f t="shared" si="465"/>
        <v>1</v>
      </c>
      <c r="CT249">
        <f t="shared" si="465"/>
        <v>1</v>
      </c>
      <c r="CU249">
        <f t="shared" si="465"/>
        <v>1</v>
      </c>
      <c r="CV249">
        <f t="shared" si="465"/>
        <v>1</v>
      </c>
      <c r="CW249">
        <f t="shared" si="465"/>
        <v>1</v>
      </c>
      <c r="CX249">
        <f t="shared" si="465"/>
        <v>1</v>
      </c>
      <c r="CY249">
        <f t="shared" ref="CY249:ED249" si="466">IF($C249&lt;&gt;"",IF(AJ249&gt;0,1,0),0)</f>
        <v>1</v>
      </c>
      <c r="CZ249">
        <f t="shared" si="466"/>
        <v>1</v>
      </c>
      <c r="DA249">
        <f t="shared" si="466"/>
        <v>1</v>
      </c>
      <c r="DB249">
        <f t="shared" si="466"/>
        <v>1</v>
      </c>
      <c r="DC249">
        <f t="shared" si="466"/>
        <v>1</v>
      </c>
      <c r="DD249">
        <f t="shared" si="466"/>
        <v>1</v>
      </c>
      <c r="DE249">
        <f t="shared" si="466"/>
        <v>1</v>
      </c>
      <c r="DF249">
        <f t="shared" si="466"/>
        <v>1</v>
      </c>
      <c r="DG249">
        <f t="shared" si="466"/>
        <v>1</v>
      </c>
      <c r="DH249">
        <f t="shared" si="466"/>
        <v>1</v>
      </c>
      <c r="DI249">
        <f t="shared" si="466"/>
        <v>1</v>
      </c>
      <c r="DJ249">
        <f t="shared" si="466"/>
        <v>1</v>
      </c>
      <c r="DK249">
        <f t="shared" si="466"/>
        <v>1</v>
      </c>
      <c r="DL249">
        <f t="shared" si="466"/>
        <v>1</v>
      </c>
      <c r="DM249">
        <f t="shared" si="466"/>
        <v>1</v>
      </c>
      <c r="DN249">
        <f t="shared" si="466"/>
        <v>1</v>
      </c>
      <c r="DO249">
        <f t="shared" si="466"/>
        <v>1</v>
      </c>
      <c r="DP249">
        <f t="shared" si="466"/>
        <v>1</v>
      </c>
      <c r="DQ249">
        <f t="shared" si="466"/>
        <v>1</v>
      </c>
      <c r="DR249">
        <f t="shared" si="466"/>
        <v>1</v>
      </c>
      <c r="DS249">
        <f t="shared" si="466"/>
        <v>1</v>
      </c>
      <c r="DT249">
        <f t="shared" si="466"/>
        <v>1</v>
      </c>
      <c r="DU249">
        <f t="shared" si="466"/>
        <v>1</v>
      </c>
      <c r="DV249">
        <f t="shared" si="466"/>
        <v>1</v>
      </c>
      <c r="DW249">
        <f t="shared" si="466"/>
        <v>0</v>
      </c>
      <c r="DX249">
        <f t="shared" si="466"/>
        <v>1</v>
      </c>
      <c r="DY249">
        <f t="shared" si="466"/>
        <v>1</v>
      </c>
      <c r="DZ249">
        <f t="shared" si="466"/>
        <v>1</v>
      </c>
      <c r="EA249">
        <f t="shared" si="466"/>
        <v>1</v>
      </c>
      <c r="EB249">
        <f t="shared" si="466"/>
        <v>1</v>
      </c>
      <c r="EC249">
        <f t="shared" si="466"/>
        <v>1</v>
      </c>
      <c r="ED249">
        <f t="shared" si="466"/>
        <v>1</v>
      </c>
      <c r="EE249">
        <f t="shared" ref="EE249:EF249" si="467">IF($C249&lt;&gt;"",IF(BP249&gt;0,1,0),0)</f>
        <v>0</v>
      </c>
      <c r="EF249">
        <f t="shared" si="467"/>
        <v>0</v>
      </c>
    </row>
    <row r="250" spans="1:136" ht="15.5">
      <c r="A250" s="90"/>
      <c r="B250" s="19" t="s">
        <v>2</v>
      </c>
      <c r="C250" s="94"/>
      <c r="D250" s="34">
        <v>0</v>
      </c>
      <c r="E250" s="34">
        <v>0</v>
      </c>
      <c r="F250" s="34">
        <v>0</v>
      </c>
      <c r="G250" s="34">
        <v>0</v>
      </c>
      <c r="H250" s="34">
        <v>0</v>
      </c>
      <c r="I250" s="34">
        <v>0</v>
      </c>
      <c r="J250" s="34">
        <v>0</v>
      </c>
      <c r="K250" s="34">
        <v>0</v>
      </c>
      <c r="L250" s="34">
        <v>0</v>
      </c>
      <c r="M250" s="34">
        <v>0</v>
      </c>
      <c r="N250" s="34">
        <v>0</v>
      </c>
      <c r="O250" s="34">
        <v>0</v>
      </c>
      <c r="P250" s="34">
        <v>0</v>
      </c>
      <c r="Q250" s="34">
        <v>0</v>
      </c>
      <c r="R250" s="34">
        <v>0</v>
      </c>
      <c r="S250" s="34">
        <v>0</v>
      </c>
      <c r="T250" s="35">
        <v>0</v>
      </c>
      <c r="U250" s="35">
        <v>0</v>
      </c>
      <c r="V250" s="35">
        <v>0</v>
      </c>
      <c r="W250" s="35">
        <v>0</v>
      </c>
      <c r="X250" s="35">
        <v>0</v>
      </c>
      <c r="Y250" s="35">
        <v>0</v>
      </c>
      <c r="Z250" s="35">
        <v>0</v>
      </c>
      <c r="AA250" s="35">
        <v>0</v>
      </c>
      <c r="AB250" s="35">
        <v>0</v>
      </c>
      <c r="AC250" s="35">
        <v>0</v>
      </c>
      <c r="AD250" s="35">
        <v>0</v>
      </c>
      <c r="AE250" s="35">
        <v>0</v>
      </c>
      <c r="AF250" s="35">
        <v>0</v>
      </c>
      <c r="AG250" s="60">
        <v>535</v>
      </c>
      <c r="AH250" s="60">
        <v>0</v>
      </c>
      <c r="AI250" s="60">
        <v>0</v>
      </c>
      <c r="AJ250" s="60">
        <v>960</v>
      </c>
      <c r="AK250" s="40" t="s">
        <v>16</v>
      </c>
      <c r="AL250" s="60">
        <v>1258</v>
      </c>
      <c r="AM250" s="60">
        <v>1348</v>
      </c>
      <c r="AN250" s="40" t="s">
        <v>16</v>
      </c>
      <c r="AO250" s="60">
        <v>1270</v>
      </c>
      <c r="AP250" s="60">
        <v>0</v>
      </c>
      <c r="AQ250" s="60">
        <v>0</v>
      </c>
      <c r="AR250" s="40" t="s">
        <v>16</v>
      </c>
      <c r="AS250" s="60">
        <v>1300</v>
      </c>
      <c r="AT250" s="71">
        <v>6</v>
      </c>
      <c r="AU250" s="40" t="s">
        <v>16</v>
      </c>
      <c r="AV250" s="40" t="s">
        <v>16</v>
      </c>
      <c r="AW250" s="18">
        <v>4123</v>
      </c>
      <c r="AX250" s="60">
        <v>1505</v>
      </c>
      <c r="AY250" s="40" t="s">
        <v>22</v>
      </c>
      <c r="AZ250" s="60">
        <v>0</v>
      </c>
      <c r="BA250" s="60">
        <v>0</v>
      </c>
      <c r="BB250" s="60">
        <v>0</v>
      </c>
      <c r="BC250" s="60">
        <v>0</v>
      </c>
      <c r="BD250" s="60">
        <v>0</v>
      </c>
      <c r="BE250" s="58">
        <v>0</v>
      </c>
      <c r="BF250" s="58">
        <v>0</v>
      </c>
      <c r="BG250" s="58">
        <v>0</v>
      </c>
      <c r="BH250" s="18">
        <v>0</v>
      </c>
      <c r="BI250" s="18">
        <v>0</v>
      </c>
      <c r="BJ250" s="113">
        <v>0</v>
      </c>
      <c r="BK250" s="113">
        <v>5.4</v>
      </c>
      <c r="BL250" s="142">
        <v>158</v>
      </c>
      <c r="BM250" s="113">
        <v>211</v>
      </c>
      <c r="BN250" s="113">
        <v>0</v>
      </c>
      <c r="BO250" s="113">
        <v>0</v>
      </c>
      <c r="BP250" s="113">
        <v>0</v>
      </c>
      <c r="BQ250" s="113">
        <v>0</v>
      </c>
      <c r="BR250" s="101"/>
      <c r="BS250">
        <f t="shared" ref="BS250:CB256" si="468">IF($C250&lt;&gt;"",IF(D250&gt;0,1,0),0)</f>
        <v>0</v>
      </c>
      <c r="BT250">
        <f t="shared" si="468"/>
        <v>0</v>
      </c>
      <c r="BU250">
        <f t="shared" si="468"/>
        <v>0</v>
      </c>
      <c r="BV250">
        <f t="shared" si="468"/>
        <v>0</v>
      </c>
      <c r="BW250">
        <f t="shared" si="468"/>
        <v>0</v>
      </c>
      <c r="BX250">
        <f t="shared" si="468"/>
        <v>0</v>
      </c>
      <c r="BY250">
        <f t="shared" si="468"/>
        <v>0</v>
      </c>
      <c r="BZ250">
        <f t="shared" si="468"/>
        <v>0</v>
      </c>
      <c r="CA250">
        <f t="shared" si="468"/>
        <v>0</v>
      </c>
      <c r="CB250">
        <f t="shared" si="468"/>
        <v>0</v>
      </c>
      <c r="CC250">
        <f t="shared" ref="CC250:CL256" si="469">IF($C250&lt;&gt;"",IF(N250&gt;0,1,0),0)</f>
        <v>0</v>
      </c>
      <c r="CD250">
        <f t="shared" si="469"/>
        <v>0</v>
      </c>
      <c r="CE250">
        <f t="shared" si="469"/>
        <v>0</v>
      </c>
      <c r="CF250">
        <f t="shared" si="469"/>
        <v>0</v>
      </c>
      <c r="CG250">
        <f t="shared" si="469"/>
        <v>0</v>
      </c>
      <c r="CH250">
        <f t="shared" si="469"/>
        <v>0</v>
      </c>
      <c r="CI250">
        <f t="shared" si="469"/>
        <v>0</v>
      </c>
      <c r="CJ250">
        <f t="shared" si="469"/>
        <v>0</v>
      </c>
      <c r="CK250">
        <f t="shared" si="469"/>
        <v>0</v>
      </c>
      <c r="CL250">
        <f t="shared" si="469"/>
        <v>0</v>
      </c>
      <c r="CM250">
        <f t="shared" ref="CM250:CV256" si="470">IF($C250&lt;&gt;"",IF(X250&gt;0,1,0),0)</f>
        <v>0</v>
      </c>
      <c r="CN250">
        <f t="shared" si="470"/>
        <v>0</v>
      </c>
      <c r="CO250">
        <f t="shared" si="470"/>
        <v>0</v>
      </c>
      <c r="CP250">
        <f t="shared" si="470"/>
        <v>0</v>
      </c>
      <c r="CQ250">
        <f t="shared" si="470"/>
        <v>0</v>
      </c>
      <c r="CR250">
        <f t="shared" si="470"/>
        <v>0</v>
      </c>
      <c r="CS250">
        <f t="shared" si="470"/>
        <v>0</v>
      </c>
      <c r="CT250">
        <f t="shared" si="470"/>
        <v>0</v>
      </c>
      <c r="CU250">
        <f t="shared" si="470"/>
        <v>0</v>
      </c>
      <c r="CV250">
        <f t="shared" si="470"/>
        <v>0</v>
      </c>
      <c r="CW250">
        <f t="shared" ref="CW250:DF256" si="471">IF($C250&lt;&gt;"",IF(AH250&gt;0,1,0),0)</f>
        <v>0</v>
      </c>
      <c r="CX250">
        <f t="shared" si="471"/>
        <v>0</v>
      </c>
      <c r="CY250">
        <f t="shared" si="471"/>
        <v>0</v>
      </c>
      <c r="CZ250">
        <f t="shared" si="471"/>
        <v>0</v>
      </c>
      <c r="DA250">
        <f t="shared" si="471"/>
        <v>0</v>
      </c>
      <c r="DB250">
        <f t="shared" si="471"/>
        <v>0</v>
      </c>
      <c r="DC250">
        <f t="shared" si="471"/>
        <v>0</v>
      </c>
      <c r="DD250">
        <f t="shared" si="471"/>
        <v>0</v>
      </c>
      <c r="DE250">
        <f t="shared" si="471"/>
        <v>0</v>
      </c>
      <c r="DF250">
        <f t="shared" si="471"/>
        <v>0</v>
      </c>
      <c r="DG250">
        <f t="shared" ref="DG250:DP256" si="472">IF($C250&lt;&gt;"",IF(AR250&gt;0,1,0),0)</f>
        <v>0</v>
      </c>
      <c r="DH250">
        <f t="shared" si="472"/>
        <v>0</v>
      </c>
      <c r="DI250">
        <f t="shared" si="472"/>
        <v>0</v>
      </c>
      <c r="DJ250">
        <f t="shared" si="472"/>
        <v>0</v>
      </c>
      <c r="DK250">
        <f t="shared" si="472"/>
        <v>0</v>
      </c>
      <c r="DL250">
        <f t="shared" si="472"/>
        <v>0</v>
      </c>
      <c r="DM250">
        <f t="shared" si="472"/>
        <v>0</v>
      </c>
      <c r="DN250">
        <f t="shared" si="472"/>
        <v>0</v>
      </c>
      <c r="DO250">
        <f t="shared" si="472"/>
        <v>0</v>
      </c>
      <c r="DP250">
        <f t="shared" si="472"/>
        <v>0</v>
      </c>
      <c r="DQ250">
        <f t="shared" ref="DQ250:DZ256" si="473">IF($C250&lt;&gt;"",IF(BB250&gt;0,1,0),0)</f>
        <v>0</v>
      </c>
      <c r="DR250">
        <f t="shared" si="473"/>
        <v>0</v>
      </c>
      <c r="DS250">
        <f t="shared" si="473"/>
        <v>0</v>
      </c>
      <c r="DT250">
        <f t="shared" si="473"/>
        <v>0</v>
      </c>
      <c r="DU250">
        <f t="shared" si="473"/>
        <v>0</v>
      </c>
      <c r="DV250">
        <f t="shared" si="473"/>
        <v>0</v>
      </c>
      <c r="DW250">
        <f t="shared" si="473"/>
        <v>0</v>
      </c>
      <c r="DX250">
        <f t="shared" si="473"/>
        <v>0</v>
      </c>
      <c r="DY250">
        <f t="shared" si="473"/>
        <v>0</v>
      </c>
      <c r="DZ250">
        <f t="shared" si="473"/>
        <v>0</v>
      </c>
      <c r="EA250">
        <f t="shared" ref="EA250:EF254" si="474">IF($C250&lt;&gt;"",IF(BL249&gt;0,1,0),0)</f>
        <v>0</v>
      </c>
      <c r="EB250">
        <f t="shared" si="474"/>
        <v>0</v>
      </c>
      <c r="EC250">
        <f t="shared" si="474"/>
        <v>0</v>
      </c>
      <c r="ED250">
        <f t="shared" si="474"/>
        <v>0</v>
      </c>
      <c r="EE250">
        <f t="shared" si="474"/>
        <v>0</v>
      </c>
      <c r="EF250">
        <f t="shared" si="474"/>
        <v>0</v>
      </c>
    </row>
    <row r="251" spans="1:136" ht="15.5">
      <c r="A251" s="90"/>
      <c r="B251" s="19" t="s">
        <v>205</v>
      </c>
      <c r="C251" s="94"/>
      <c r="D251" s="34">
        <v>0</v>
      </c>
      <c r="E251" s="34">
        <v>0</v>
      </c>
      <c r="F251" s="34">
        <v>0</v>
      </c>
      <c r="G251" s="34">
        <v>0</v>
      </c>
      <c r="H251" s="34">
        <v>0</v>
      </c>
      <c r="I251" s="34">
        <v>0</v>
      </c>
      <c r="J251" s="34">
        <v>0</v>
      </c>
      <c r="K251" s="34">
        <v>0</v>
      </c>
      <c r="L251" s="34">
        <v>0</v>
      </c>
      <c r="M251" s="34">
        <v>0</v>
      </c>
      <c r="N251" s="34">
        <v>0</v>
      </c>
      <c r="O251" s="34">
        <v>0</v>
      </c>
      <c r="P251" s="34">
        <v>0</v>
      </c>
      <c r="Q251" s="34">
        <v>0</v>
      </c>
      <c r="R251" s="34">
        <v>0</v>
      </c>
      <c r="S251" s="34">
        <v>0</v>
      </c>
      <c r="T251" s="34">
        <v>0</v>
      </c>
      <c r="U251" s="34">
        <v>0</v>
      </c>
      <c r="V251" s="34">
        <v>0</v>
      </c>
      <c r="W251" s="34">
        <v>0</v>
      </c>
      <c r="X251" s="34">
        <v>0</v>
      </c>
      <c r="Y251" s="34">
        <v>0</v>
      </c>
      <c r="Z251" s="34">
        <v>0</v>
      </c>
      <c r="AA251" s="34">
        <v>0</v>
      </c>
      <c r="AB251" s="34">
        <v>0</v>
      </c>
      <c r="AC251" s="34">
        <v>0</v>
      </c>
      <c r="AD251" s="34">
        <v>0</v>
      </c>
      <c r="AE251" s="35">
        <v>5.7572222999999996</v>
      </c>
      <c r="AF251" s="35">
        <v>13.2113327</v>
      </c>
      <c r="AG251" s="60">
        <v>5.8516285999999997</v>
      </c>
      <c r="AH251" s="60">
        <v>3.6284244000000001</v>
      </c>
      <c r="AI251" s="60">
        <v>13.8500587</v>
      </c>
      <c r="AJ251" s="60">
        <v>22.876314300000001</v>
      </c>
      <c r="AK251" s="219">
        <v>32.395862600000001</v>
      </c>
      <c r="AL251" s="60">
        <v>22.994001899999997</v>
      </c>
      <c r="AM251" s="60">
        <v>23.8055202</v>
      </c>
      <c r="AN251" s="219">
        <v>24.583651800000002</v>
      </c>
      <c r="AO251" s="60">
        <v>25.362939100000002</v>
      </c>
      <c r="AP251" s="60">
        <v>0</v>
      </c>
      <c r="AQ251" s="60">
        <v>0</v>
      </c>
      <c r="AR251" s="219">
        <v>55</v>
      </c>
      <c r="AS251" s="18">
        <v>23</v>
      </c>
      <c r="AT251" s="60">
        <f>71+5-6</f>
        <v>70</v>
      </c>
      <c r="AU251" s="60">
        <v>0</v>
      </c>
      <c r="AV251" s="60">
        <v>0</v>
      </c>
      <c r="AW251" s="60">
        <v>0</v>
      </c>
      <c r="AX251" s="60">
        <v>0</v>
      </c>
      <c r="AY251" s="60">
        <v>32</v>
      </c>
      <c r="AZ251" s="60">
        <v>0</v>
      </c>
      <c r="BA251" s="60">
        <v>0</v>
      </c>
      <c r="BB251" s="60">
        <v>4</v>
      </c>
      <c r="BC251" s="60">
        <v>0</v>
      </c>
      <c r="BD251" s="60">
        <v>0</v>
      </c>
      <c r="BE251" s="59">
        <v>0</v>
      </c>
      <c r="BF251" s="58">
        <v>0</v>
      </c>
      <c r="BG251" s="58">
        <f>0.027</f>
        <v>2.7E-2</v>
      </c>
      <c r="BH251" s="18">
        <v>0</v>
      </c>
      <c r="BI251" s="18">
        <v>23</v>
      </c>
      <c r="BJ251" s="113">
        <v>0</v>
      </c>
      <c r="BK251" s="113">
        <v>0</v>
      </c>
      <c r="BL251" s="142">
        <v>128</v>
      </c>
      <c r="BM251" s="113">
        <v>145</v>
      </c>
      <c r="BN251" s="113">
        <v>0</v>
      </c>
      <c r="BO251" s="113">
        <v>0</v>
      </c>
      <c r="BP251" s="113">
        <v>0</v>
      </c>
      <c r="BQ251" s="113">
        <v>0</v>
      </c>
      <c r="BR251" s="101"/>
      <c r="BS251">
        <f t="shared" si="468"/>
        <v>0</v>
      </c>
      <c r="BT251">
        <f t="shared" si="468"/>
        <v>0</v>
      </c>
      <c r="BU251">
        <f t="shared" si="468"/>
        <v>0</v>
      </c>
      <c r="BV251">
        <f t="shared" si="468"/>
        <v>0</v>
      </c>
      <c r="BW251">
        <f t="shared" si="468"/>
        <v>0</v>
      </c>
      <c r="BX251">
        <f t="shared" si="468"/>
        <v>0</v>
      </c>
      <c r="BY251">
        <f t="shared" si="468"/>
        <v>0</v>
      </c>
      <c r="BZ251">
        <f t="shared" si="468"/>
        <v>0</v>
      </c>
      <c r="CA251">
        <f t="shared" si="468"/>
        <v>0</v>
      </c>
      <c r="CB251">
        <f t="shared" si="468"/>
        <v>0</v>
      </c>
      <c r="CC251">
        <f t="shared" si="469"/>
        <v>0</v>
      </c>
      <c r="CD251">
        <f t="shared" si="469"/>
        <v>0</v>
      </c>
      <c r="CE251">
        <f t="shared" si="469"/>
        <v>0</v>
      </c>
      <c r="CF251">
        <f t="shared" si="469"/>
        <v>0</v>
      </c>
      <c r="CG251">
        <f t="shared" si="469"/>
        <v>0</v>
      </c>
      <c r="CH251">
        <f t="shared" si="469"/>
        <v>0</v>
      </c>
      <c r="CI251">
        <f t="shared" si="469"/>
        <v>0</v>
      </c>
      <c r="CJ251">
        <f t="shared" si="469"/>
        <v>0</v>
      </c>
      <c r="CK251">
        <f t="shared" si="469"/>
        <v>0</v>
      </c>
      <c r="CL251">
        <f t="shared" si="469"/>
        <v>0</v>
      </c>
      <c r="CM251">
        <f t="shared" si="470"/>
        <v>0</v>
      </c>
      <c r="CN251">
        <f t="shared" si="470"/>
        <v>0</v>
      </c>
      <c r="CO251">
        <f t="shared" si="470"/>
        <v>0</v>
      </c>
      <c r="CP251">
        <f t="shared" si="470"/>
        <v>0</v>
      </c>
      <c r="CQ251">
        <f t="shared" si="470"/>
        <v>0</v>
      </c>
      <c r="CR251">
        <f t="shared" si="470"/>
        <v>0</v>
      </c>
      <c r="CS251">
        <f t="shared" si="470"/>
        <v>0</v>
      </c>
      <c r="CT251">
        <f t="shared" si="470"/>
        <v>0</v>
      </c>
      <c r="CU251">
        <f t="shared" si="470"/>
        <v>0</v>
      </c>
      <c r="CV251">
        <f t="shared" si="470"/>
        <v>0</v>
      </c>
      <c r="CW251">
        <f t="shared" si="471"/>
        <v>0</v>
      </c>
      <c r="CX251">
        <f t="shared" si="471"/>
        <v>0</v>
      </c>
      <c r="CY251">
        <f t="shared" si="471"/>
        <v>0</v>
      </c>
      <c r="CZ251">
        <f t="shared" si="471"/>
        <v>0</v>
      </c>
      <c r="DA251">
        <f t="shared" si="471"/>
        <v>0</v>
      </c>
      <c r="DB251">
        <f t="shared" si="471"/>
        <v>0</v>
      </c>
      <c r="DC251">
        <f t="shared" si="471"/>
        <v>0</v>
      </c>
      <c r="DD251">
        <f t="shared" si="471"/>
        <v>0</v>
      </c>
      <c r="DE251">
        <f t="shared" si="471"/>
        <v>0</v>
      </c>
      <c r="DF251">
        <f t="shared" si="471"/>
        <v>0</v>
      </c>
      <c r="DG251">
        <f t="shared" si="472"/>
        <v>0</v>
      </c>
      <c r="DH251">
        <f t="shared" si="472"/>
        <v>0</v>
      </c>
      <c r="DI251">
        <f t="shared" si="472"/>
        <v>0</v>
      </c>
      <c r="DJ251">
        <f t="shared" si="472"/>
        <v>0</v>
      </c>
      <c r="DK251">
        <f t="shared" si="472"/>
        <v>0</v>
      </c>
      <c r="DL251">
        <f t="shared" si="472"/>
        <v>0</v>
      </c>
      <c r="DM251">
        <f t="shared" si="472"/>
        <v>0</v>
      </c>
      <c r="DN251">
        <f t="shared" si="472"/>
        <v>0</v>
      </c>
      <c r="DO251">
        <f t="shared" si="472"/>
        <v>0</v>
      </c>
      <c r="DP251">
        <f t="shared" si="472"/>
        <v>0</v>
      </c>
      <c r="DQ251">
        <f t="shared" si="473"/>
        <v>0</v>
      </c>
      <c r="DR251">
        <f t="shared" si="473"/>
        <v>0</v>
      </c>
      <c r="DS251">
        <f t="shared" si="473"/>
        <v>0</v>
      </c>
      <c r="DT251">
        <f t="shared" si="473"/>
        <v>0</v>
      </c>
      <c r="DU251">
        <f t="shared" si="473"/>
        <v>0</v>
      </c>
      <c r="DV251">
        <f t="shared" si="473"/>
        <v>0</v>
      </c>
      <c r="DW251">
        <f t="shared" si="473"/>
        <v>0</v>
      </c>
      <c r="DX251">
        <f t="shared" si="473"/>
        <v>0</v>
      </c>
      <c r="DY251">
        <f t="shared" si="473"/>
        <v>0</v>
      </c>
      <c r="DZ251">
        <f t="shared" si="473"/>
        <v>0</v>
      </c>
      <c r="EA251">
        <f t="shared" si="474"/>
        <v>0</v>
      </c>
      <c r="EB251">
        <f t="shared" si="474"/>
        <v>0</v>
      </c>
      <c r="EC251">
        <f t="shared" si="474"/>
        <v>0</v>
      </c>
      <c r="ED251">
        <f t="shared" si="474"/>
        <v>0</v>
      </c>
      <c r="EE251">
        <f t="shared" si="474"/>
        <v>0</v>
      </c>
      <c r="EF251">
        <f t="shared" si="474"/>
        <v>0</v>
      </c>
    </row>
    <row r="252" spans="1:136" ht="15.5">
      <c r="A252" s="90"/>
      <c r="B252" s="57" t="s">
        <v>3</v>
      </c>
      <c r="C252" s="94"/>
      <c r="D252" s="34">
        <v>0</v>
      </c>
      <c r="E252" s="34">
        <v>0</v>
      </c>
      <c r="F252" s="34">
        <v>0</v>
      </c>
      <c r="G252" s="34">
        <v>0</v>
      </c>
      <c r="H252" s="34">
        <v>0</v>
      </c>
      <c r="I252" s="34">
        <v>0</v>
      </c>
      <c r="J252" s="34">
        <v>0</v>
      </c>
      <c r="K252" s="34">
        <v>0</v>
      </c>
      <c r="L252" s="34">
        <v>0</v>
      </c>
      <c r="M252" s="34">
        <v>0</v>
      </c>
      <c r="N252" s="34">
        <v>0</v>
      </c>
      <c r="O252" s="34">
        <v>0</v>
      </c>
      <c r="P252" s="34">
        <v>1.218E-2</v>
      </c>
      <c r="Q252" s="34">
        <v>5.1054000000000002E-2</v>
      </c>
      <c r="R252" s="34">
        <v>2.9614780000000001</v>
      </c>
      <c r="S252" s="34">
        <v>1.611226</v>
      </c>
      <c r="T252" s="35">
        <v>0</v>
      </c>
      <c r="U252" s="35">
        <v>1.3219989999999999</v>
      </c>
      <c r="V252" s="35">
        <v>0.86885500000000004</v>
      </c>
      <c r="W252" s="35">
        <v>1.0314650000000001</v>
      </c>
      <c r="X252" s="35">
        <v>5.0070030000000001</v>
      </c>
      <c r="Y252" s="35">
        <v>3.2511939999999999</v>
      </c>
      <c r="Z252" s="35">
        <v>5.4835180000000001</v>
      </c>
      <c r="AA252" s="35">
        <v>4.3183850000000001</v>
      </c>
      <c r="AB252" s="18">
        <v>4.7655289999999999</v>
      </c>
      <c r="AC252" s="35">
        <v>5.8955520000000003</v>
      </c>
      <c r="AD252" s="35">
        <v>10.831950000000001</v>
      </c>
      <c r="AE252" s="18">
        <v>39.626150000000003</v>
      </c>
      <c r="AF252" s="18">
        <v>117.5997</v>
      </c>
      <c r="AG252" s="40" t="s">
        <v>16</v>
      </c>
      <c r="AH252" s="35">
        <v>209.41319999999999</v>
      </c>
      <c r="AI252" s="35">
        <v>455.47789999999998</v>
      </c>
      <c r="AJ252" s="40" t="s">
        <v>16</v>
      </c>
      <c r="AK252" s="35">
        <v>607.28319999999997</v>
      </c>
      <c r="AL252" s="35">
        <v>1480.704</v>
      </c>
      <c r="AM252" s="40" t="s">
        <v>16</v>
      </c>
      <c r="AN252" s="35">
        <v>1219.018</v>
      </c>
      <c r="AO252" s="40" t="s">
        <v>16</v>
      </c>
      <c r="AP252" s="35">
        <v>365.0136</v>
      </c>
      <c r="AQ252" s="35">
        <v>383.18049999999999</v>
      </c>
      <c r="AR252" s="35">
        <v>236.4</v>
      </c>
      <c r="AS252" s="40" t="s">
        <v>16</v>
      </c>
      <c r="AT252" s="35">
        <f>363.3017-AT251</f>
        <v>293.30169999999998</v>
      </c>
      <c r="AU252" s="35">
        <v>474.76620000000003</v>
      </c>
      <c r="AV252" s="35">
        <v>337.96170000000001</v>
      </c>
      <c r="AW252" s="40" t="s">
        <v>16</v>
      </c>
      <c r="AX252" s="169">
        <v>4292.154458</v>
      </c>
      <c r="AY252" s="227">
        <v>293.85755119999999</v>
      </c>
      <c r="AZ252" s="227">
        <v>33.632528399999998</v>
      </c>
      <c r="BA252" s="227">
        <v>33.598691600000002</v>
      </c>
      <c r="BB252" s="227">
        <v>95.559663300000011</v>
      </c>
      <c r="BC252" s="227">
        <v>3.0704999999999999E-3</v>
      </c>
      <c r="BD252" s="227">
        <v>63.665226700000005</v>
      </c>
      <c r="BE252" s="227">
        <v>176.94704809999999</v>
      </c>
      <c r="BF252" s="169">
        <v>26.989043200000005</v>
      </c>
      <c r="BG252" s="169">
        <v>16</v>
      </c>
      <c r="BH252" s="169">
        <v>0</v>
      </c>
      <c r="BI252" s="169">
        <v>0</v>
      </c>
      <c r="BJ252" s="169">
        <v>0</v>
      </c>
      <c r="BK252" s="228">
        <v>0</v>
      </c>
      <c r="BL252" s="228">
        <f>302.9802175-BL251-BL250</f>
        <v>16.980217499999981</v>
      </c>
      <c r="BM252" s="169">
        <f>404.9899398-BM251-BM250</f>
        <v>48.989939800000002</v>
      </c>
      <c r="BN252" s="228">
        <v>55.882532700000006</v>
      </c>
      <c r="BO252" s="113">
        <v>0</v>
      </c>
      <c r="BP252" s="113">
        <v>0</v>
      </c>
      <c r="BQ252" s="197">
        <v>0</v>
      </c>
      <c r="BR252" s="101"/>
      <c r="BS252">
        <f t="shared" si="468"/>
        <v>0</v>
      </c>
      <c r="BT252">
        <f t="shared" si="468"/>
        <v>0</v>
      </c>
      <c r="BU252">
        <f t="shared" si="468"/>
        <v>0</v>
      </c>
      <c r="BV252">
        <f t="shared" si="468"/>
        <v>0</v>
      </c>
      <c r="BW252">
        <f t="shared" si="468"/>
        <v>0</v>
      </c>
      <c r="BX252">
        <f t="shared" si="468"/>
        <v>0</v>
      </c>
      <c r="BY252">
        <f t="shared" si="468"/>
        <v>0</v>
      </c>
      <c r="BZ252">
        <f t="shared" si="468"/>
        <v>0</v>
      </c>
      <c r="CA252">
        <f t="shared" si="468"/>
        <v>0</v>
      </c>
      <c r="CB252">
        <f t="shared" si="468"/>
        <v>0</v>
      </c>
      <c r="CC252">
        <f t="shared" si="469"/>
        <v>0</v>
      </c>
      <c r="CD252">
        <f t="shared" si="469"/>
        <v>0</v>
      </c>
      <c r="CE252">
        <f t="shared" si="469"/>
        <v>0</v>
      </c>
      <c r="CF252">
        <f t="shared" si="469"/>
        <v>0</v>
      </c>
      <c r="CG252">
        <f t="shared" si="469"/>
        <v>0</v>
      </c>
      <c r="CH252">
        <f t="shared" si="469"/>
        <v>0</v>
      </c>
      <c r="CI252">
        <f t="shared" si="469"/>
        <v>0</v>
      </c>
      <c r="CJ252">
        <f t="shared" si="469"/>
        <v>0</v>
      </c>
      <c r="CK252">
        <f t="shared" si="469"/>
        <v>0</v>
      </c>
      <c r="CL252">
        <f t="shared" si="469"/>
        <v>0</v>
      </c>
      <c r="CM252">
        <f t="shared" si="470"/>
        <v>0</v>
      </c>
      <c r="CN252">
        <f t="shared" si="470"/>
        <v>0</v>
      </c>
      <c r="CO252">
        <f t="shared" si="470"/>
        <v>0</v>
      </c>
      <c r="CP252">
        <f t="shared" si="470"/>
        <v>0</v>
      </c>
      <c r="CQ252">
        <f t="shared" si="470"/>
        <v>0</v>
      </c>
      <c r="CR252">
        <f t="shared" si="470"/>
        <v>0</v>
      </c>
      <c r="CS252">
        <f t="shared" si="470"/>
        <v>0</v>
      </c>
      <c r="CT252">
        <f t="shared" si="470"/>
        <v>0</v>
      </c>
      <c r="CU252">
        <f t="shared" si="470"/>
        <v>0</v>
      </c>
      <c r="CV252">
        <f t="shared" si="470"/>
        <v>0</v>
      </c>
      <c r="CW252">
        <f t="shared" si="471"/>
        <v>0</v>
      </c>
      <c r="CX252">
        <f t="shared" si="471"/>
        <v>0</v>
      </c>
      <c r="CY252">
        <f t="shared" si="471"/>
        <v>0</v>
      </c>
      <c r="CZ252">
        <f t="shared" si="471"/>
        <v>0</v>
      </c>
      <c r="DA252">
        <f t="shared" si="471"/>
        <v>0</v>
      </c>
      <c r="DB252">
        <f t="shared" si="471"/>
        <v>0</v>
      </c>
      <c r="DC252">
        <f t="shared" si="471"/>
        <v>0</v>
      </c>
      <c r="DD252">
        <f t="shared" si="471"/>
        <v>0</v>
      </c>
      <c r="DE252">
        <f t="shared" si="471"/>
        <v>0</v>
      </c>
      <c r="DF252">
        <f t="shared" si="471"/>
        <v>0</v>
      </c>
      <c r="DG252">
        <f t="shared" si="472"/>
        <v>0</v>
      </c>
      <c r="DH252">
        <f t="shared" si="472"/>
        <v>0</v>
      </c>
      <c r="DI252">
        <f t="shared" si="472"/>
        <v>0</v>
      </c>
      <c r="DJ252">
        <f t="shared" si="472"/>
        <v>0</v>
      </c>
      <c r="DK252">
        <f t="shared" si="472"/>
        <v>0</v>
      </c>
      <c r="DL252">
        <f t="shared" si="472"/>
        <v>0</v>
      </c>
      <c r="DM252">
        <f t="shared" si="472"/>
        <v>0</v>
      </c>
      <c r="DN252">
        <f t="shared" si="472"/>
        <v>0</v>
      </c>
      <c r="DO252">
        <f t="shared" si="472"/>
        <v>0</v>
      </c>
      <c r="DP252">
        <f t="shared" si="472"/>
        <v>0</v>
      </c>
      <c r="DQ252">
        <f t="shared" si="473"/>
        <v>0</v>
      </c>
      <c r="DR252">
        <f t="shared" si="473"/>
        <v>0</v>
      </c>
      <c r="DS252">
        <f t="shared" si="473"/>
        <v>0</v>
      </c>
      <c r="DT252">
        <f t="shared" si="473"/>
        <v>0</v>
      </c>
      <c r="DU252">
        <f t="shared" si="473"/>
        <v>0</v>
      </c>
      <c r="DV252">
        <f t="shared" si="473"/>
        <v>0</v>
      </c>
      <c r="DW252">
        <f t="shared" si="473"/>
        <v>0</v>
      </c>
      <c r="DX252">
        <f t="shared" si="473"/>
        <v>0</v>
      </c>
      <c r="DY252">
        <f t="shared" si="473"/>
        <v>0</v>
      </c>
      <c r="DZ252">
        <f t="shared" si="473"/>
        <v>0</v>
      </c>
      <c r="EA252">
        <f t="shared" si="474"/>
        <v>0</v>
      </c>
      <c r="EB252">
        <f t="shared" si="474"/>
        <v>0</v>
      </c>
      <c r="EC252">
        <f t="shared" si="474"/>
        <v>0</v>
      </c>
      <c r="ED252">
        <f t="shared" si="474"/>
        <v>0</v>
      </c>
      <c r="EE252">
        <f t="shared" si="474"/>
        <v>0</v>
      </c>
      <c r="EF252">
        <f t="shared" si="474"/>
        <v>0</v>
      </c>
    </row>
    <row r="253" spans="1:136" ht="15.5">
      <c r="A253" s="90"/>
      <c r="B253" s="57" t="s">
        <v>18</v>
      </c>
      <c r="C253" s="94"/>
      <c r="D253" s="34">
        <v>0</v>
      </c>
      <c r="E253" s="34">
        <v>0</v>
      </c>
      <c r="F253" s="34">
        <v>0</v>
      </c>
      <c r="G253" s="34">
        <v>0</v>
      </c>
      <c r="H253" s="34">
        <v>0</v>
      </c>
      <c r="I253" s="34">
        <v>0</v>
      </c>
      <c r="J253" s="34">
        <v>0</v>
      </c>
      <c r="K253" s="34">
        <v>0</v>
      </c>
      <c r="L253" s="34">
        <v>0</v>
      </c>
      <c r="M253" s="34">
        <v>0</v>
      </c>
      <c r="N253" s="34">
        <v>0</v>
      </c>
      <c r="O253" s="34">
        <v>0</v>
      </c>
      <c r="P253" s="34">
        <v>0</v>
      </c>
      <c r="Q253" s="34">
        <v>0</v>
      </c>
      <c r="R253" s="34">
        <v>0</v>
      </c>
      <c r="S253" s="34">
        <v>0</v>
      </c>
      <c r="T253" s="34">
        <v>0</v>
      </c>
      <c r="U253" s="34">
        <v>0</v>
      </c>
      <c r="V253" s="34">
        <v>0</v>
      </c>
      <c r="W253" s="34">
        <v>0</v>
      </c>
      <c r="X253" s="34">
        <v>0</v>
      </c>
      <c r="Y253" s="34">
        <v>0</v>
      </c>
      <c r="Z253" s="34">
        <v>0</v>
      </c>
      <c r="AA253" s="34">
        <v>0</v>
      </c>
      <c r="AB253" s="34">
        <v>0</v>
      </c>
      <c r="AC253" s="34">
        <v>400</v>
      </c>
      <c r="AD253" s="34">
        <v>433.2</v>
      </c>
      <c r="AE253" s="34">
        <v>470.45519999999993</v>
      </c>
      <c r="AF253" s="34">
        <v>514.67798879999987</v>
      </c>
      <c r="AG253" s="34">
        <v>569.23385561279974</v>
      </c>
      <c r="AH253" s="34">
        <v>624.44953960724126</v>
      </c>
      <c r="AI253" s="34">
        <v>637.73533960724126</v>
      </c>
      <c r="AJ253" s="34">
        <v>644.45553960724123</v>
      </c>
      <c r="AK253" s="34">
        <v>649.36033960724126</v>
      </c>
      <c r="AL253" s="34">
        <v>657.60193960724121</v>
      </c>
      <c r="AM253" s="34">
        <v>668.68943960724118</v>
      </c>
      <c r="AN253" s="34">
        <v>677.65323960724118</v>
      </c>
      <c r="AO253" s="34">
        <v>671.0571396072412</v>
      </c>
      <c r="AP253" s="34">
        <v>676.5263396072412</v>
      </c>
      <c r="AQ253" s="34">
        <v>680.93073960724132</v>
      </c>
      <c r="AR253" s="34">
        <v>692.9253396072412</v>
      </c>
      <c r="AS253" s="34">
        <v>693.25423960724117</v>
      </c>
      <c r="AT253" s="34">
        <v>702.21803960724117</v>
      </c>
      <c r="AU253" s="34">
        <v>796</v>
      </c>
      <c r="AV253" s="34">
        <v>613</v>
      </c>
      <c r="AW253" s="34">
        <v>0</v>
      </c>
      <c r="AX253" s="34">
        <v>0</v>
      </c>
      <c r="AY253" s="34">
        <v>0</v>
      </c>
      <c r="AZ253" s="34">
        <v>0</v>
      </c>
      <c r="BA253" s="34">
        <v>0</v>
      </c>
      <c r="BB253" s="34">
        <v>0</v>
      </c>
      <c r="BC253" s="34">
        <v>0</v>
      </c>
      <c r="BD253" s="20">
        <v>0</v>
      </c>
      <c r="BE253" s="25">
        <v>0</v>
      </c>
      <c r="BF253" s="18">
        <v>0</v>
      </c>
      <c r="BG253" s="18">
        <v>0</v>
      </c>
      <c r="BH253" s="18">
        <v>0</v>
      </c>
      <c r="BI253" s="113">
        <v>0</v>
      </c>
      <c r="BJ253" s="113">
        <v>0</v>
      </c>
      <c r="BK253" s="113">
        <v>0.1358268</v>
      </c>
      <c r="BL253" s="113">
        <v>0</v>
      </c>
      <c r="BM253" s="113">
        <v>0</v>
      </c>
      <c r="BN253" s="113">
        <f>44342*0.001</f>
        <v>44.341999999999999</v>
      </c>
      <c r="BO253" s="113">
        <v>44</v>
      </c>
      <c r="BP253" s="113">
        <v>0</v>
      </c>
      <c r="BQ253" s="113">
        <v>0</v>
      </c>
      <c r="BR253" s="101"/>
      <c r="BS253">
        <f t="shared" si="468"/>
        <v>0</v>
      </c>
      <c r="BT253">
        <f t="shared" si="468"/>
        <v>0</v>
      </c>
      <c r="BU253">
        <f t="shared" si="468"/>
        <v>0</v>
      </c>
      <c r="BV253">
        <f t="shared" si="468"/>
        <v>0</v>
      </c>
      <c r="BW253">
        <f t="shared" si="468"/>
        <v>0</v>
      </c>
      <c r="BX253">
        <f t="shared" si="468"/>
        <v>0</v>
      </c>
      <c r="BY253">
        <f t="shared" si="468"/>
        <v>0</v>
      </c>
      <c r="BZ253">
        <f t="shared" si="468"/>
        <v>0</v>
      </c>
      <c r="CA253">
        <f t="shared" si="468"/>
        <v>0</v>
      </c>
      <c r="CB253">
        <f t="shared" si="468"/>
        <v>0</v>
      </c>
      <c r="CC253">
        <f t="shared" si="469"/>
        <v>0</v>
      </c>
      <c r="CD253">
        <f t="shared" si="469"/>
        <v>0</v>
      </c>
      <c r="CE253">
        <f t="shared" si="469"/>
        <v>0</v>
      </c>
      <c r="CF253">
        <f t="shared" si="469"/>
        <v>0</v>
      </c>
      <c r="CG253">
        <f t="shared" si="469"/>
        <v>0</v>
      </c>
      <c r="CH253">
        <f t="shared" si="469"/>
        <v>0</v>
      </c>
      <c r="CI253">
        <f t="shared" si="469"/>
        <v>0</v>
      </c>
      <c r="CJ253">
        <f t="shared" si="469"/>
        <v>0</v>
      </c>
      <c r="CK253">
        <f t="shared" si="469"/>
        <v>0</v>
      </c>
      <c r="CL253">
        <f t="shared" si="469"/>
        <v>0</v>
      </c>
      <c r="CM253">
        <f t="shared" si="470"/>
        <v>0</v>
      </c>
      <c r="CN253">
        <f t="shared" si="470"/>
        <v>0</v>
      </c>
      <c r="CO253">
        <f t="shared" si="470"/>
        <v>0</v>
      </c>
      <c r="CP253">
        <f t="shared" si="470"/>
        <v>0</v>
      </c>
      <c r="CQ253">
        <f t="shared" si="470"/>
        <v>0</v>
      </c>
      <c r="CR253">
        <f t="shared" si="470"/>
        <v>0</v>
      </c>
      <c r="CS253">
        <f t="shared" si="470"/>
        <v>0</v>
      </c>
      <c r="CT253">
        <f t="shared" si="470"/>
        <v>0</v>
      </c>
      <c r="CU253">
        <f t="shared" si="470"/>
        <v>0</v>
      </c>
      <c r="CV253">
        <f t="shared" si="470"/>
        <v>0</v>
      </c>
      <c r="CW253">
        <f t="shared" si="471"/>
        <v>0</v>
      </c>
      <c r="CX253">
        <f t="shared" si="471"/>
        <v>0</v>
      </c>
      <c r="CY253">
        <f t="shared" si="471"/>
        <v>0</v>
      </c>
      <c r="CZ253">
        <f t="shared" si="471"/>
        <v>0</v>
      </c>
      <c r="DA253">
        <f t="shared" si="471"/>
        <v>0</v>
      </c>
      <c r="DB253">
        <f t="shared" si="471"/>
        <v>0</v>
      </c>
      <c r="DC253">
        <f t="shared" si="471"/>
        <v>0</v>
      </c>
      <c r="DD253">
        <f t="shared" si="471"/>
        <v>0</v>
      </c>
      <c r="DE253">
        <f t="shared" si="471"/>
        <v>0</v>
      </c>
      <c r="DF253">
        <f t="shared" si="471"/>
        <v>0</v>
      </c>
      <c r="DG253">
        <f t="shared" si="472"/>
        <v>0</v>
      </c>
      <c r="DH253">
        <f t="shared" si="472"/>
        <v>0</v>
      </c>
      <c r="DI253">
        <f t="shared" si="472"/>
        <v>0</v>
      </c>
      <c r="DJ253">
        <f t="shared" si="472"/>
        <v>0</v>
      </c>
      <c r="DK253">
        <f t="shared" si="472"/>
        <v>0</v>
      </c>
      <c r="DL253">
        <f t="shared" si="472"/>
        <v>0</v>
      </c>
      <c r="DM253">
        <f t="shared" si="472"/>
        <v>0</v>
      </c>
      <c r="DN253">
        <f t="shared" si="472"/>
        <v>0</v>
      </c>
      <c r="DO253">
        <f t="shared" si="472"/>
        <v>0</v>
      </c>
      <c r="DP253">
        <f t="shared" si="472"/>
        <v>0</v>
      </c>
      <c r="DQ253">
        <f t="shared" si="473"/>
        <v>0</v>
      </c>
      <c r="DR253">
        <f t="shared" si="473"/>
        <v>0</v>
      </c>
      <c r="DS253">
        <f t="shared" si="473"/>
        <v>0</v>
      </c>
      <c r="DT253">
        <f t="shared" si="473"/>
        <v>0</v>
      </c>
      <c r="DU253">
        <f t="shared" si="473"/>
        <v>0</v>
      </c>
      <c r="DV253">
        <f t="shared" si="473"/>
        <v>0</v>
      </c>
      <c r="DW253">
        <f t="shared" si="473"/>
        <v>0</v>
      </c>
      <c r="DX253">
        <f t="shared" si="473"/>
        <v>0</v>
      </c>
      <c r="DY253">
        <f t="shared" si="473"/>
        <v>0</v>
      </c>
      <c r="DZ253">
        <f t="shared" si="473"/>
        <v>0</v>
      </c>
      <c r="EA253">
        <f t="shared" si="474"/>
        <v>0</v>
      </c>
      <c r="EB253">
        <f t="shared" si="474"/>
        <v>0</v>
      </c>
      <c r="EC253">
        <f t="shared" si="474"/>
        <v>0</v>
      </c>
      <c r="ED253">
        <f t="shared" si="474"/>
        <v>0</v>
      </c>
      <c r="EE253">
        <f t="shared" si="474"/>
        <v>0</v>
      </c>
      <c r="EF253">
        <f t="shared" si="474"/>
        <v>0</v>
      </c>
    </row>
    <row r="254" spans="1:136" ht="15.5">
      <c r="A254" s="90"/>
      <c r="B254" s="57" t="s">
        <v>25</v>
      </c>
      <c r="C254" s="94"/>
      <c r="D254" s="34">
        <v>0</v>
      </c>
      <c r="E254" s="34">
        <v>0</v>
      </c>
      <c r="F254" s="34">
        <v>0</v>
      </c>
      <c r="G254" s="34">
        <v>0</v>
      </c>
      <c r="H254" s="34">
        <v>0</v>
      </c>
      <c r="I254" s="34">
        <v>0</v>
      </c>
      <c r="J254" s="34">
        <v>0</v>
      </c>
      <c r="K254" s="34">
        <v>0</v>
      </c>
      <c r="L254" s="34">
        <v>0</v>
      </c>
      <c r="M254" s="34">
        <v>0</v>
      </c>
      <c r="N254" s="34">
        <v>0</v>
      </c>
      <c r="O254" s="34">
        <v>0</v>
      </c>
      <c r="P254" s="34">
        <v>0</v>
      </c>
      <c r="Q254" s="34">
        <v>0</v>
      </c>
      <c r="R254" s="34">
        <v>0</v>
      </c>
      <c r="S254" s="34">
        <v>0</v>
      </c>
      <c r="T254" s="34">
        <v>0</v>
      </c>
      <c r="U254" s="34">
        <v>0</v>
      </c>
      <c r="V254" s="34">
        <v>0</v>
      </c>
      <c r="W254" s="34">
        <v>0</v>
      </c>
      <c r="X254" s="34">
        <v>0</v>
      </c>
      <c r="Y254" s="34">
        <v>0</v>
      </c>
      <c r="Z254" s="34">
        <v>0</v>
      </c>
      <c r="AA254" s="34">
        <v>0</v>
      </c>
      <c r="AB254" s="34">
        <v>0</v>
      </c>
      <c r="AC254" s="34">
        <v>0</v>
      </c>
      <c r="AD254" s="34">
        <v>0</v>
      </c>
      <c r="AE254" s="34">
        <v>0</v>
      </c>
      <c r="AF254" s="34">
        <v>0</v>
      </c>
      <c r="AG254" s="34">
        <v>0</v>
      </c>
      <c r="AH254" s="34">
        <v>0</v>
      </c>
      <c r="AI254" s="34">
        <v>0</v>
      </c>
      <c r="AJ254" s="34">
        <v>0</v>
      </c>
      <c r="AK254" s="34">
        <v>0</v>
      </c>
      <c r="AL254" s="34">
        <v>0</v>
      </c>
      <c r="AM254" s="34">
        <v>0</v>
      </c>
      <c r="AN254" s="34">
        <v>0</v>
      </c>
      <c r="AO254" s="18">
        <f>164000/550</f>
        <v>298.18181818181819</v>
      </c>
      <c r="AP254" s="34">
        <v>0</v>
      </c>
      <c r="AQ254" s="34">
        <v>0</v>
      </c>
      <c r="AR254" s="34">
        <v>0</v>
      </c>
      <c r="AS254" s="40" t="s">
        <v>16</v>
      </c>
      <c r="AT254" s="34">
        <v>5</v>
      </c>
      <c r="AU254" s="18">
        <v>10</v>
      </c>
      <c r="AV254" s="34">
        <v>1017</v>
      </c>
      <c r="AW254" s="34">
        <v>1083</v>
      </c>
      <c r="AX254" s="34">
        <v>0</v>
      </c>
      <c r="AY254" s="34">
        <v>0</v>
      </c>
      <c r="AZ254" s="34">
        <v>0</v>
      </c>
      <c r="BA254" s="34">
        <v>0</v>
      </c>
      <c r="BB254" s="34">
        <v>0</v>
      </c>
      <c r="BC254" s="34">
        <v>0</v>
      </c>
      <c r="BD254" s="20">
        <v>0</v>
      </c>
      <c r="BE254" s="25">
        <v>0</v>
      </c>
      <c r="BF254" s="18">
        <v>0</v>
      </c>
      <c r="BG254" s="18">
        <v>0</v>
      </c>
      <c r="BH254" s="18">
        <v>0</v>
      </c>
      <c r="BI254" s="113">
        <v>0</v>
      </c>
      <c r="BJ254" s="113">
        <v>0</v>
      </c>
      <c r="BK254" s="113">
        <v>0.1358268</v>
      </c>
      <c r="BL254" s="113">
        <v>0</v>
      </c>
      <c r="BM254" s="113">
        <v>0</v>
      </c>
      <c r="BN254" s="113">
        <v>0</v>
      </c>
      <c r="BO254" s="113">
        <v>0</v>
      </c>
      <c r="BP254" s="113">
        <v>0</v>
      </c>
      <c r="BQ254" s="113">
        <v>0</v>
      </c>
      <c r="BR254" s="101"/>
      <c r="BS254">
        <f t="shared" si="468"/>
        <v>0</v>
      </c>
      <c r="BT254">
        <f t="shared" si="468"/>
        <v>0</v>
      </c>
      <c r="BU254">
        <f t="shared" si="468"/>
        <v>0</v>
      </c>
      <c r="BV254">
        <f t="shared" si="468"/>
        <v>0</v>
      </c>
      <c r="BW254">
        <f t="shared" si="468"/>
        <v>0</v>
      </c>
      <c r="BX254">
        <f t="shared" si="468"/>
        <v>0</v>
      </c>
      <c r="BY254">
        <f t="shared" si="468"/>
        <v>0</v>
      </c>
      <c r="BZ254">
        <f t="shared" si="468"/>
        <v>0</v>
      </c>
      <c r="CA254">
        <f t="shared" si="468"/>
        <v>0</v>
      </c>
      <c r="CB254">
        <f t="shared" si="468"/>
        <v>0</v>
      </c>
      <c r="CC254">
        <f t="shared" si="469"/>
        <v>0</v>
      </c>
      <c r="CD254">
        <f t="shared" si="469"/>
        <v>0</v>
      </c>
      <c r="CE254">
        <f t="shared" si="469"/>
        <v>0</v>
      </c>
      <c r="CF254">
        <f t="shared" si="469"/>
        <v>0</v>
      </c>
      <c r="CG254">
        <f t="shared" si="469"/>
        <v>0</v>
      </c>
      <c r="CH254">
        <f t="shared" si="469"/>
        <v>0</v>
      </c>
      <c r="CI254">
        <f t="shared" si="469"/>
        <v>0</v>
      </c>
      <c r="CJ254">
        <f t="shared" si="469"/>
        <v>0</v>
      </c>
      <c r="CK254">
        <f t="shared" si="469"/>
        <v>0</v>
      </c>
      <c r="CL254">
        <f t="shared" si="469"/>
        <v>0</v>
      </c>
      <c r="CM254">
        <f t="shared" si="470"/>
        <v>0</v>
      </c>
      <c r="CN254">
        <f t="shared" si="470"/>
        <v>0</v>
      </c>
      <c r="CO254">
        <f t="shared" si="470"/>
        <v>0</v>
      </c>
      <c r="CP254">
        <f t="shared" si="470"/>
        <v>0</v>
      </c>
      <c r="CQ254">
        <f t="shared" si="470"/>
        <v>0</v>
      </c>
      <c r="CR254">
        <f t="shared" si="470"/>
        <v>0</v>
      </c>
      <c r="CS254">
        <f t="shared" si="470"/>
        <v>0</v>
      </c>
      <c r="CT254">
        <f t="shared" si="470"/>
        <v>0</v>
      </c>
      <c r="CU254">
        <f t="shared" si="470"/>
        <v>0</v>
      </c>
      <c r="CV254">
        <f t="shared" si="470"/>
        <v>0</v>
      </c>
      <c r="CW254">
        <f t="shared" si="471"/>
        <v>0</v>
      </c>
      <c r="CX254">
        <f t="shared" si="471"/>
        <v>0</v>
      </c>
      <c r="CY254">
        <f t="shared" si="471"/>
        <v>0</v>
      </c>
      <c r="CZ254">
        <f t="shared" si="471"/>
        <v>0</v>
      </c>
      <c r="DA254">
        <f t="shared" si="471"/>
        <v>0</v>
      </c>
      <c r="DB254">
        <f t="shared" si="471"/>
        <v>0</v>
      </c>
      <c r="DC254">
        <f t="shared" si="471"/>
        <v>0</v>
      </c>
      <c r="DD254">
        <f t="shared" si="471"/>
        <v>0</v>
      </c>
      <c r="DE254">
        <f t="shared" si="471"/>
        <v>0</v>
      </c>
      <c r="DF254">
        <f t="shared" si="471"/>
        <v>0</v>
      </c>
      <c r="DG254">
        <f t="shared" si="472"/>
        <v>0</v>
      </c>
      <c r="DH254">
        <f t="shared" si="472"/>
        <v>0</v>
      </c>
      <c r="DI254">
        <f t="shared" si="472"/>
        <v>0</v>
      </c>
      <c r="DJ254">
        <f t="shared" si="472"/>
        <v>0</v>
      </c>
      <c r="DK254">
        <f t="shared" si="472"/>
        <v>0</v>
      </c>
      <c r="DL254">
        <f t="shared" si="472"/>
        <v>0</v>
      </c>
      <c r="DM254">
        <f t="shared" si="472"/>
        <v>0</v>
      </c>
      <c r="DN254">
        <f t="shared" si="472"/>
        <v>0</v>
      </c>
      <c r="DO254">
        <f t="shared" si="472"/>
        <v>0</v>
      </c>
      <c r="DP254">
        <f t="shared" si="472"/>
        <v>0</v>
      </c>
      <c r="DQ254">
        <f t="shared" si="473"/>
        <v>0</v>
      </c>
      <c r="DR254">
        <f t="shared" si="473"/>
        <v>0</v>
      </c>
      <c r="DS254">
        <f t="shared" si="473"/>
        <v>0</v>
      </c>
      <c r="DT254">
        <f t="shared" si="473"/>
        <v>0</v>
      </c>
      <c r="DU254">
        <f t="shared" si="473"/>
        <v>0</v>
      </c>
      <c r="DV254">
        <f t="shared" si="473"/>
        <v>0</v>
      </c>
      <c r="DW254">
        <f t="shared" si="473"/>
        <v>0</v>
      </c>
      <c r="DX254">
        <f t="shared" si="473"/>
        <v>0</v>
      </c>
      <c r="DY254">
        <f t="shared" si="473"/>
        <v>0</v>
      </c>
      <c r="DZ254">
        <f t="shared" si="473"/>
        <v>0</v>
      </c>
      <c r="EA254">
        <f t="shared" si="474"/>
        <v>0</v>
      </c>
      <c r="EB254">
        <f t="shared" si="474"/>
        <v>0</v>
      </c>
      <c r="EC254">
        <f t="shared" si="474"/>
        <v>0</v>
      </c>
      <c r="ED254">
        <f t="shared" si="474"/>
        <v>0</v>
      </c>
      <c r="EE254">
        <f t="shared" si="474"/>
        <v>0</v>
      </c>
      <c r="EF254">
        <f t="shared" si="474"/>
        <v>0</v>
      </c>
    </row>
    <row r="255" spans="1:136" ht="15.5">
      <c r="A255" s="90"/>
      <c r="B255" s="19" t="s">
        <v>208</v>
      </c>
      <c r="C255" s="94"/>
      <c r="D255" s="34">
        <v>0</v>
      </c>
      <c r="E255" s="34">
        <v>0</v>
      </c>
      <c r="F255" s="34">
        <v>0</v>
      </c>
      <c r="G255" s="34">
        <v>0</v>
      </c>
      <c r="H255" s="34">
        <v>0</v>
      </c>
      <c r="I255" s="34">
        <v>0</v>
      </c>
      <c r="J255" s="34">
        <v>0</v>
      </c>
      <c r="K255" s="34">
        <v>0</v>
      </c>
      <c r="L255" s="34">
        <v>0</v>
      </c>
      <c r="M255" s="34">
        <v>0</v>
      </c>
      <c r="N255" s="34">
        <v>0</v>
      </c>
      <c r="O255" s="34">
        <v>0</v>
      </c>
      <c r="P255" s="34">
        <v>0</v>
      </c>
      <c r="Q255" s="34">
        <v>0</v>
      </c>
      <c r="R255" s="34">
        <v>0</v>
      </c>
      <c r="S255" s="34">
        <v>0</v>
      </c>
      <c r="T255" s="34">
        <v>0</v>
      </c>
      <c r="U255" s="34">
        <v>0</v>
      </c>
      <c r="V255" s="34">
        <v>0</v>
      </c>
      <c r="W255" s="34">
        <v>18.107230000000001</v>
      </c>
      <c r="X255" s="34">
        <v>11.12627</v>
      </c>
      <c r="Y255" s="34">
        <v>18.929880000000001</v>
      </c>
      <c r="Z255" s="34">
        <v>23.316320000000001</v>
      </c>
      <c r="AA255" s="34">
        <v>28.47963</v>
      </c>
      <c r="AB255" s="34">
        <v>31.922059999999998</v>
      </c>
      <c r="AC255" s="40" t="s">
        <v>16</v>
      </c>
      <c r="AD255" s="40" t="s">
        <v>16</v>
      </c>
      <c r="AE255" s="40" t="s">
        <v>16</v>
      </c>
      <c r="AF255" s="40" t="s">
        <v>16</v>
      </c>
      <c r="AG255" s="40" t="s">
        <v>16</v>
      </c>
      <c r="AH255" s="40" t="s">
        <v>16</v>
      </c>
      <c r="AI255" s="40" t="s">
        <v>16</v>
      </c>
      <c r="AJ255" s="18">
        <v>135</v>
      </c>
      <c r="AK255" s="40" t="s">
        <v>16</v>
      </c>
      <c r="AL255" s="40" t="s">
        <v>16</v>
      </c>
      <c r="AM255" s="40" t="s">
        <v>16</v>
      </c>
      <c r="AN255" s="40" t="s">
        <v>16</v>
      </c>
      <c r="AO255" s="40" t="s">
        <v>16</v>
      </c>
      <c r="AP255" s="40" t="s">
        <v>16</v>
      </c>
      <c r="AQ255" s="40" t="s">
        <v>16</v>
      </c>
      <c r="AR255" s="40" t="s">
        <v>16</v>
      </c>
      <c r="AS255" s="40" t="s">
        <v>16</v>
      </c>
      <c r="AT255" s="40" t="s">
        <v>16</v>
      </c>
      <c r="AU255" s="40" t="s">
        <v>16</v>
      </c>
      <c r="AV255" s="34">
        <v>221.49270000000001</v>
      </c>
      <c r="AW255" s="34">
        <v>330.50400000000002</v>
      </c>
      <c r="AX255" s="34">
        <v>481.73098770000001</v>
      </c>
      <c r="AY255" s="34">
        <v>38.647309899999996</v>
      </c>
      <c r="AZ255" s="34">
        <v>58.916460200000003</v>
      </c>
      <c r="BA255" s="34">
        <v>45.8670738</v>
      </c>
      <c r="BB255" s="34">
        <v>46.0275727</v>
      </c>
      <c r="BC255" s="34">
        <v>0</v>
      </c>
      <c r="BD255" s="34">
        <v>0.35855570000000003</v>
      </c>
      <c r="BE255" s="25">
        <v>1.8336762999999998</v>
      </c>
      <c r="BF255" s="18">
        <v>0</v>
      </c>
      <c r="BG255" s="18">
        <v>0</v>
      </c>
      <c r="BH255" s="113">
        <v>0</v>
      </c>
      <c r="BI255" s="113">
        <v>7.008</v>
      </c>
      <c r="BJ255" s="18">
        <v>17.553999999999998</v>
      </c>
      <c r="BK255" s="113">
        <v>98.453000000000003</v>
      </c>
      <c r="BL255" s="177">
        <v>0.14176839999999999</v>
      </c>
      <c r="BM255" s="113">
        <v>2.2745653999999997</v>
      </c>
      <c r="BN255" s="113">
        <v>1.9590000000000001</v>
      </c>
      <c r="BO255" s="113">
        <v>16</v>
      </c>
      <c r="BP255" s="113">
        <v>0</v>
      </c>
      <c r="BQ255" s="113">
        <v>0</v>
      </c>
      <c r="BR255" s="101"/>
      <c r="BS255">
        <f t="shared" si="468"/>
        <v>0</v>
      </c>
      <c r="BT255">
        <f t="shared" si="468"/>
        <v>0</v>
      </c>
      <c r="BU255">
        <f t="shared" si="468"/>
        <v>0</v>
      </c>
      <c r="BV255">
        <f t="shared" si="468"/>
        <v>0</v>
      </c>
      <c r="BW255">
        <f t="shared" si="468"/>
        <v>0</v>
      </c>
      <c r="BX255">
        <f t="shared" si="468"/>
        <v>0</v>
      </c>
      <c r="BY255">
        <f t="shared" si="468"/>
        <v>0</v>
      </c>
      <c r="BZ255">
        <f t="shared" si="468"/>
        <v>0</v>
      </c>
      <c r="CA255">
        <f t="shared" si="468"/>
        <v>0</v>
      </c>
      <c r="CB255">
        <f t="shared" si="468"/>
        <v>0</v>
      </c>
      <c r="CC255">
        <f t="shared" si="469"/>
        <v>0</v>
      </c>
      <c r="CD255">
        <f t="shared" si="469"/>
        <v>0</v>
      </c>
      <c r="CE255">
        <f t="shared" si="469"/>
        <v>0</v>
      </c>
      <c r="CF255">
        <f t="shared" si="469"/>
        <v>0</v>
      </c>
      <c r="CG255">
        <f t="shared" si="469"/>
        <v>0</v>
      </c>
      <c r="CH255">
        <f t="shared" si="469"/>
        <v>0</v>
      </c>
      <c r="CI255">
        <f t="shared" si="469"/>
        <v>0</v>
      </c>
      <c r="CJ255">
        <f t="shared" si="469"/>
        <v>0</v>
      </c>
      <c r="CK255">
        <f t="shared" si="469"/>
        <v>0</v>
      </c>
      <c r="CL255">
        <f t="shared" si="469"/>
        <v>0</v>
      </c>
      <c r="CM255">
        <f t="shared" si="470"/>
        <v>0</v>
      </c>
      <c r="CN255">
        <f t="shared" si="470"/>
        <v>0</v>
      </c>
      <c r="CO255">
        <f t="shared" si="470"/>
        <v>0</v>
      </c>
      <c r="CP255">
        <f t="shared" si="470"/>
        <v>0</v>
      </c>
      <c r="CQ255">
        <f t="shared" si="470"/>
        <v>0</v>
      </c>
      <c r="CR255">
        <f t="shared" si="470"/>
        <v>0</v>
      </c>
      <c r="CS255">
        <f t="shared" si="470"/>
        <v>0</v>
      </c>
      <c r="CT255">
        <f t="shared" si="470"/>
        <v>0</v>
      </c>
      <c r="CU255">
        <f t="shared" si="470"/>
        <v>0</v>
      </c>
      <c r="CV255">
        <f t="shared" si="470"/>
        <v>0</v>
      </c>
      <c r="CW255">
        <f t="shared" si="471"/>
        <v>0</v>
      </c>
      <c r="CX255">
        <f t="shared" si="471"/>
        <v>0</v>
      </c>
      <c r="CY255">
        <f t="shared" si="471"/>
        <v>0</v>
      </c>
      <c r="CZ255">
        <f t="shared" si="471"/>
        <v>0</v>
      </c>
      <c r="DA255">
        <f t="shared" si="471"/>
        <v>0</v>
      </c>
      <c r="DB255">
        <f t="shared" si="471"/>
        <v>0</v>
      </c>
      <c r="DC255">
        <f t="shared" si="471"/>
        <v>0</v>
      </c>
      <c r="DD255">
        <f t="shared" si="471"/>
        <v>0</v>
      </c>
      <c r="DE255">
        <f t="shared" si="471"/>
        <v>0</v>
      </c>
      <c r="DF255">
        <f t="shared" si="471"/>
        <v>0</v>
      </c>
      <c r="DG255">
        <f t="shared" si="472"/>
        <v>0</v>
      </c>
      <c r="DH255">
        <f t="shared" si="472"/>
        <v>0</v>
      </c>
      <c r="DI255">
        <f t="shared" si="472"/>
        <v>0</v>
      </c>
      <c r="DJ255">
        <f t="shared" si="472"/>
        <v>0</v>
      </c>
      <c r="DK255">
        <f t="shared" si="472"/>
        <v>0</v>
      </c>
      <c r="DL255">
        <f t="shared" si="472"/>
        <v>0</v>
      </c>
      <c r="DM255">
        <f t="shared" si="472"/>
        <v>0</v>
      </c>
      <c r="DN255">
        <f t="shared" si="472"/>
        <v>0</v>
      </c>
      <c r="DO255">
        <f t="shared" si="472"/>
        <v>0</v>
      </c>
      <c r="DP255">
        <f t="shared" si="472"/>
        <v>0</v>
      </c>
      <c r="DQ255">
        <f t="shared" si="473"/>
        <v>0</v>
      </c>
      <c r="DR255">
        <f t="shared" si="473"/>
        <v>0</v>
      </c>
      <c r="DS255">
        <f t="shared" si="473"/>
        <v>0</v>
      </c>
      <c r="DT255">
        <f t="shared" si="473"/>
        <v>0</v>
      </c>
      <c r="DU255">
        <f t="shared" si="473"/>
        <v>0</v>
      </c>
      <c r="DV255">
        <f t="shared" si="473"/>
        <v>0</v>
      </c>
      <c r="DW255">
        <f t="shared" si="473"/>
        <v>0</v>
      </c>
      <c r="DX255">
        <f t="shared" si="473"/>
        <v>0</v>
      </c>
      <c r="DY255">
        <f t="shared" si="473"/>
        <v>0</v>
      </c>
      <c r="DZ255">
        <f t="shared" si="473"/>
        <v>0</v>
      </c>
      <c r="EA255">
        <f t="shared" ref="EA255:EF256" si="475">IF($C255&lt;&gt;"",IF(BL255&gt;0,1,0),0)</f>
        <v>0</v>
      </c>
      <c r="EB255">
        <f t="shared" si="475"/>
        <v>0</v>
      </c>
      <c r="EC255">
        <f t="shared" si="475"/>
        <v>0</v>
      </c>
      <c r="ED255">
        <f t="shared" si="475"/>
        <v>0</v>
      </c>
      <c r="EE255">
        <f t="shared" si="475"/>
        <v>0</v>
      </c>
      <c r="EF255">
        <f t="shared" si="475"/>
        <v>0</v>
      </c>
    </row>
    <row r="256" spans="1:136" ht="15.5">
      <c r="A256" s="90"/>
      <c r="B256" s="19" t="s">
        <v>212</v>
      </c>
      <c r="C256" s="94"/>
      <c r="D256" s="34"/>
      <c r="E256" s="34"/>
      <c r="F256" s="34"/>
      <c r="G256" s="34"/>
      <c r="H256" s="34"/>
      <c r="I256" s="34"/>
      <c r="J256" s="40" t="s">
        <v>16</v>
      </c>
      <c r="K256" s="40" t="s">
        <v>16</v>
      </c>
      <c r="L256" s="40" t="s">
        <v>16</v>
      </c>
      <c r="M256" s="40" t="s">
        <v>16</v>
      </c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>
        <v>1682.4644549763034</v>
      </c>
      <c r="Y256" s="34">
        <v>1343.24513303647</v>
      </c>
      <c r="Z256" s="34">
        <v>1141.1703843461853</v>
      </c>
      <c r="AA256" s="34">
        <v>931.75853018372709</v>
      </c>
      <c r="AB256" s="34">
        <v>858.12356979405035</v>
      </c>
      <c r="AC256" s="71">
        <v>790.64587973273944</v>
      </c>
      <c r="AD256" s="71">
        <v>1746.4853785976154</v>
      </c>
      <c r="AE256" s="71">
        <v>2312.5041591801423</v>
      </c>
      <c r="AF256" s="71">
        <v>1913.714957193218</v>
      </c>
      <c r="AG256" s="71">
        <v>1786.8338557993729</v>
      </c>
      <c r="AH256" s="71">
        <v>2235.294117647059</v>
      </c>
      <c r="AI256" s="18">
        <v>1901.0873377762186</v>
      </c>
      <c r="AJ256" s="18">
        <v>2224.3418542541012</v>
      </c>
      <c r="AK256" s="18">
        <v>1903.2485875706216</v>
      </c>
      <c r="AL256" s="18">
        <v>614.45341159207624</v>
      </c>
      <c r="AM256" s="18">
        <v>600.53289608526336</v>
      </c>
      <c r="AN256" s="18">
        <v>1682.5990675990677</v>
      </c>
      <c r="AO256" s="18">
        <v>1227.6400000000001</v>
      </c>
      <c r="AP256" s="18">
        <v>1001.1928632115548</v>
      </c>
      <c r="AQ256" s="18">
        <v>746.28076572470366</v>
      </c>
      <c r="AR256" s="34">
        <v>374.17888365837257</v>
      </c>
      <c r="AS256" s="18">
        <v>239.67441860465115</v>
      </c>
      <c r="AT256" s="18">
        <v>228.56609731591789</v>
      </c>
      <c r="AU256" s="18">
        <v>361.31947315574979</v>
      </c>
      <c r="AV256" s="34">
        <v>376.64475061769758</v>
      </c>
      <c r="AW256" s="34">
        <v>693.29140461215923</v>
      </c>
      <c r="AX256" s="34">
        <v>463.73535720178188</v>
      </c>
      <c r="AY256" s="34">
        <v>1073.3719892952722</v>
      </c>
      <c r="AZ256" s="34">
        <v>969.1562690864672</v>
      </c>
      <c r="BA256" s="34">
        <v>957.34193664022951</v>
      </c>
      <c r="BB256" s="34">
        <v>1218.2730547400422</v>
      </c>
      <c r="BC256" s="34">
        <v>942.77597402597405</v>
      </c>
      <c r="BD256" s="34">
        <v>1202.5570923126406</v>
      </c>
      <c r="BE256" s="25">
        <v>1443.4155947542633</v>
      </c>
      <c r="BF256" s="18">
        <v>1306.2889268588438</v>
      </c>
      <c r="BG256" s="18">
        <v>981.82300650126035</v>
      </c>
      <c r="BH256" s="113">
        <v>1276.3516420478988</v>
      </c>
      <c r="BI256" s="113">
        <v>1762.3805863621392</v>
      </c>
      <c r="BJ256" s="113">
        <v>1001.3745704467354</v>
      </c>
      <c r="BK256" s="113">
        <v>1170.9401709401709</v>
      </c>
      <c r="BL256" s="142">
        <v>1016</v>
      </c>
      <c r="BM256" s="178">
        <v>782</v>
      </c>
      <c r="BN256" s="113">
        <v>1093</v>
      </c>
      <c r="BO256" s="113">
        <v>1236</v>
      </c>
      <c r="BP256" s="113">
        <v>1018</v>
      </c>
      <c r="BQ256" s="113">
        <f>464</f>
        <v>464</v>
      </c>
      <c r="BR256" s="101"/>
      <c r="BS256">
        <f t="shared" si="468"/>
        <v>0</v>
      </c>
      <c r="BT256">
        <f t="shared" si="468"/>
        <v>0</v>
      </c>
      <c r="BU256">
        <f t="shared" si="468"/>
        <v>0</v>
      </c>
      <c r="BV256">
        <f t="shared" si="468"/>
        <v>0</v>
      </c>
      <c r="BW256">
        <f t="shared" si="468"/>
        <v>0</v>
      </c>
      <c r="BX256">
        <f t="shared" si="468"/>
        <v>0</v>
      </c>
      <c r="BY256">
        <f t="shared" si="468"/>
        <v>0</v>
      </c>
      <c r="BZ256">
        <f t="shared" si="468"/>
        <v>0</v>
      </c>
      <c r="CA256">
        <f t="shared" si="468"/>
        <v>0</v>
      </c>
      <c r="CB256">
        <f t="shared" si="468"/>
        <v>0</v>
      </c>
      <c r="CC256">
        <f t="shared" si="469"/>
        <v>0</v>
      </c>
      <c r="CD256">
        <f t="shared" si="469"/>
        <v>0</v>
      </c>
      <c r="CE256">
        <f t="shared" si="469"/>
        <v>0</v>
      </c>
      <c r="CF256">
        <f t="shared" si="469"/>
        <v>0</v>
      </c>
      <c r="CG256">
        <f t="shared" si="469"/>
        <v>0</v>
      </c>
      <c r="CH256">
        <f t="shared" si="469"/>
        <v>0</v>
      </c>
      <c r="CI256">
        <f t="shared" si="469"/>
        <v>0</v>
      </c>
      <c r="CJ256">
        <f t="shared" si="469"/>
        <v>0</v>
      </c>
      <c r="CK256">
        <f t="shared" si="469"/>
        <v>0</v>
      </c>
      <c r="CL256">
        <f t="shared" si="469"/>
        <v>0</v>
      </c>
      <c r="CM256">
        <f t="shared" si="470"/>
        <v>0</v>
      </c>
      <c r="CN256">
        <f t="shared" si="470"/>
        <v>0</v>
      </c>
      <c r="CO256">
        <f t="shared" si="470"/>
        <v>0</v>
      </c>
      <c r="CP256">
        <f t="shared" si="470"/>
        <v>0</v>
      </c>
      <c r="CQ256">
        <f t="shared" si="470"/>
        <v>0</v>
      </c>
      <c r="CR256">
        <f t="shared" si="470"/>
        <v>0</v>
      </c>
      <c r="CS256">
        <f t="shared" si="470"/>
        <v>0</v>
      </c>
      <c r="CT256">
        <f t="shared" si="470"/>
        <v>0</v>
      </c>
      <c r="CU256">
        <f t="shared" si="470"/>
        <v>0</v>
      </c>
      <c r="CV256">
        <f t="shared" si="470"/>
        <v>0</v>
      </c>
      <c r="CW256">
        <f t="shared" si="471"/>
        <v>0</v>
      </c>
      <c r="CX256">
        <f t="shared" si="471"/>
        <v>0</v>
      </c>
      <c r="CY256">
        <f t="shared" si="471"/>
        <v>0</v>
      </c>
      <c r="CZ256">
        <f t="shared" si="471"/>
        <v>0</v>
      </c>
      <c r="DA256">
        <f t="shared" si="471"/>
        <v>0</v>
      </c>
      <c r="DB256">
        <f t="shared" si="471"/>
        <v>0</v>
      </c>
      <c r="DC256">
        <f t="shared" si="471"/>
        <v>0</v>
      </c>
      <c r="DD256">
        <f t="shared" si="471"/>
        <v>0</v>
      </c>
      <c r="DE256">
        <f t="shared" si="471"/>
        <v>0</v>
      </c>
      <c r="DF256">
        <f t="shared" si="471"/>
        <v>0</v>
      </c>
      <c r="DG256">
        <f t="shared" si="472"/>
        <v>0</v>
      </c>
      <c r="DH256">
        <f t="shared" si="472"/>
        <v>0</v>
      </c>
      <c r="DI256">
        <f t="shared" si="472"/>
        <v>0</v>
      </c>
      <c r="DJ256">
        <f t="shared" si="472"/>
        <v>0</v>
      </c>
      <c r="DK256">
        <f t="shared" si="472"/>
        <v>0</v>
      </c>
      <c r="DL256">
        <f t="shared" si="472"/>
        <v>0</v>
      </c>
      <c r="DM256">
        <f t="shared" si="472"/>
        <v>0</v>
      </c>
      <c r="DN256">
        <f t="shared" si="472"/>
        <v>0</v>
      </c>
      <c r="DO256">
        <f t="shared" si="472"/>
        <v>0</v>
      </c>
      <c r="DP256">
        <f t="shared" si="472"/>
        <v>0</v>
      </c>
      <c r="DQ256">
        <f t="shared" si="473"/>
        <v>0</v>
      </c>
      <c r="DR256">
        <f t="shared" si="473"/>
        <v>0</v>
      </c>
      <c r="DS256">
        <f t="shared" si="473"/>
        <v>0</v>
      </c>
      <c r="DT256">
        <f t="shared" si="473"/>
        <v>0</v>
      </c>
      <c r="DU256">
        <f t="shared" si="473"/>
        <v>0</v>
      </c>
      <c r="DV256">
        <f t="shared" si="473"/>
        <v>0</v>
      </c>
      <c r="DW256">
        <f t="shared" si="473"/>
        <v>0</v>
      </c>
      <c r="DX256">
        <f t="shared" si="473"/>
        <v>0</v>
      </c>
      <c r="DY256">
        <f t="shared" si="473"/>
        <v>0</v>
      </c>
      <c r="DZ256">
        <f t="shared" si="473"/>
        <v>0</v>
      </c>
      <c r="EA256">
        <f t="shared" si="475"/>
        <v>0</v>
      </c>
      <c r="EB256">
        <f t="shared" si="475"/>
        <v>0</v>
      </c>
      <c r="EC256">
        <f t="shared" si="475"/>
        <v>0</v>
      </c>
      <c r="ED256">
        <f t="shared" si="475"/>
        <v>0</v>
      </c>
      <c r="EE256">
        <f t="shared" si="475"/>
        <v>0</v>
      </c>
      <c r="EF256">
        <f t="shared" si="475"/>
        <v>0</v>
      </c>
    </row>
    <row r="257" spans="1:136" ht="15.5">
      <c r="A257" s="90"/>
      <c r="B257" s="57"/>
      <c r="C257" s="94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120"/>
      <c r="BA257" s="120"/>
      <c r="BB257" s="120"/>
      <c r="BC257" s="120"/>
      <c r="BD257" s="120"/>
      <c r="BE257" s="120"/>
      <c r="BF257" s="120"/>
      <c r="BG257" s="120"/>
      <c r="BH257" s="120"/>
      <c r="BI257" s="120"/>
      <c r="BJ257" s="120"/>
      <c r="BK257" s="120"/>
      <c r="BL257" s="76"/>
      <c r="BM257" s="120"/>
      <c r="BN257" s="2"/>
      <c r="BO257" s="2"/>
      <c r="BP257" s="2"/>
      <c r="BQ257" s="2"/>
      <c r="BR257" s="101"/>
    </row>
    <row r="258" spans="1:136" ht="15.5">
      <c r="A258" s="93">
        <v>28</v>
      </c>
      <c r="B258" s="32" t="s">
        <v>43</v>
      </c>
      <c r="C258" s="94">
        <v>4</v>
      </c>
      <c r="D258" s="22">
        <f t="shared" ref="D258:AI258" si="476">SUM(D259:D265)</f>
        <v>0</v>
      </c>
      <c r="E258" s="22">
        <f t="shared" si="476"/>
        <v>0</v>
      </c>
      <c r="F258" s="22">
        <f t="shared" si="476"/>
        <v>0</v>
      </c>
      <c r="G258" s="22">
        <f t="shared" si="476"/>
        <v>0</v>
      </c>
      <c r="H258" s="22">
        <f t="shared" si="476"/>
        <v>0</v>
      </c>
      <c r="I258" s="22">
        <f t="shared" si="476"/>
        <v>0</v>
      </c>
      <c r="J258" s="22">
        <f t="shared" si="476"/>
        <v>0</v>
      </c>
      <c r="K258" s="22">
        <f t="shared" si="476"/>
        <v>0</v>
      </c>
      <c r="L258" s="22">
        <f t="shared" si="476"/>
        <v>0</v>
      </c>
      <c r="M258" s="22">
        <f t="shared" si="476"/>
        <v>0</v>
      </c>
      <c r="N258" s="22">
        <f t="shared" si="476"/>
        <v>0.39025900000000002</v>
      </c>
      <c r="O258" s="22">
        <f t="shared" si="476"/>
        <v>1.4317150000000001</v>
      </c>
      <c r="P258" s="22">
        <f t="shared" si="476"/>
        <v>2.8572319999999998</v>
      </c>
      <c r="Q258" s="22">
        <f t="shared" si="476"/>
        <v>5.044441</v>
      </c>
      <c r="R258" s="22">
        <f t="shared" si="476"/>
        <v>7.8798890000000004</v>
      </c>
      <c r="S258" s="22">
        <f t="shared" si="476"/>
        <v>13.445459</v>
      </c>
      <c r="T258" s="22">
        <f t="shared" si="476"/>
        <v>21.878594</v>
      </c>
      <c r="U258" s="22">
        <f t="shared" si="476"/>
        <v>29.237698999999999</v>
      </c>
      <c r="V258" s="22">
        <f t="shared" si="476"/>
        <v>30.716725999999998</v>
      </c>
      <c r="W258" s="22">
        <f t="shared" si="476"/>
        <v>38.329799999999999</v>
      </c>
      <c r="X258" s="22">
        <f t="shared" si="476"/>
        <v>54.12997</v>
      </c>
      <c r="Y258" s="22">
        <f t="shared" si="476"/>
        <v>37.600023999999998</v>
      </c>
      <c r="Z258" s="22">
        <f t="shared" si="476"/>
        <v>33.721519999999998</v>
      </c>
      <c r="AA258" s="22">
        <f t="shared" si="476"/>
        <v>18.619143000000001</v>
      </c>
      <c r="AB258" s="22">
        <f t="shared" si="476"/>
        <v>7.5788620000000009</v>
      </c>
      <c r="AC258" s="22">
        <f t="shared" si="476"/>
        <v>31.567211</v>
      </c>
      <c r="AD258" s="22">
        <f t="shared" si="476"/>
        <v>3.8015030000000003</v>
      </c>
      <c r="AE258" s="22">
        <f t="shared" si="476"/>
        <v>14.433297</v>
      </c>
      <c r="AF258" s="22">
        <f t="shared" si="476"/>
        <v>60.368181999999997</v>
      </c>
      <c r="AG258" s="22">
        <f t="shared" si="476"/>
        <v>57.701529999999998</v>
      </c>
      <c r="AH258" s="22">
        <f t="shared" si="476"/>
        <v>203.51985099999999</v>
      </c>
      <c r="AI258" s="22">
        <f t="shared" si="476"/>
        <v>58.807614999999998</v>
      </c>
      <c r="AJ258" s="22">
        <f t="shared" ref="AJ258:BO258" si="477">SUM(AJ259:AJ265)</f>
        <v>78.938130000000001</v>
      </c>
      <c r="AK258" s="22">
        <f t="shared" si="477"/>
        <v>112.02189</v>
      </c>
      <c r="AL258" s="22">
        <f t="shared" si="477"/>
        <v>179.07563880000001</v>
      </c>
      <c r="AM258" s="22">
        <f t="shared" si="477"/>
        <v>118.71618000000001</v>
      </c>
      <c r="AN258" s="22">
        <f t="shared" si="477"/>
        <v>135.09844000000001</v>
      </c>
      <c r="AO258" s="22">
        <f t="shared" si="477"/>
        <v>142.72384</v>
      </c>
      <c r="AP258" s="22">
        <f t="shared" si="477"/>
        <v>210.44956999999999</v>
      </c>
      <c r="AQ258" s="22">
        <f t="shared" si="477"/>
        <v>187.89130999999998</v>
      </c>
      <c r="AR258" s="22">
        <f t="shared" si="477"/>
        <v>175.44083000000001</v>
      </c>
      <c r="AS258" s="22">
        <f t="shared" si="477"/>
        <v>172.97106999999997</v>
      </c>
      <c r="AT258" s="22">
        <f t="shared" si="477"/>
        <v>235.79487</v>
      </c>
      <c r="AU258" s="22">
        <f t="shared" si="477"/>
        <v>335.79988000000003</v>
      </c>
      <c r="AV258" s="22">
        <f t="shared" si="477"/>
        <v>395.38390000000004</v>
      </c>
      <c r="AW258" s="22">
        <f t="shared" si="477"/>
        <v>434.53701999999998</v>
      </c>
      <c r="AX258" s="22">
        <f t="shared" si="477"/>
        <v>434.86835000000002</v>
      </c>
      <c r="AY258" s="22">
        <f t="shared" si="477"/>
        <v>357.55430480000001</v>
      </c>
      <c r="AZ258" s="22">
        <f t="shared" si="477"/>
        <v>319.59596220000003</v>
      </c>
      <c r="BA258" s="22">
        <f t="shared" si="477"/>
        <v>873.23682710000003</v>
      </c>
      <c r="BB258" s="22">
        <f t="shared" si="477"/>
        <v>307.56551930000001</v>
      </c>
      <c r="BC258" s="22">
        <f t="shared" si="477"/>
        <v>241.80892839999999</v>
      </c>
      <c r="BD258" s="22">
        <f t="shared" si="477"/>
        <v>247.17911839999999</v>
      </c>
      <c r="BE258" s="22">
        <f t="shared" si="477"/>
        <v>262.20133450000003</v>
      </c>
      <c r="BF258" s="22">
        <f t="shared" si="477"/>
        <v>260.22909989999999</v>
      </c>
      <c r="BG258" s="22">
        <f t="shared" si="477"/>
        <v>274.07911519999999</v>
      </c>
      <c r="BH258" s="22">
        <f t="shared" si="477"/>
        <v>282.54028840000001</v>
      </c>
      <c r="BI258" s="22">
        <f t="shared" si="477"/>
        <v>280.75015719999999</v>
      </c>
      <c r="BJ258" s="22">
        <f t="shared" si="477"/>
        <v>252.07132179999999</v>
      </c>
      <c r="BK258" s="22">
        <f t="shared" si="477"/>
        <v>256.95242159999998</v>
      </c>
      <c r="BL258" s="22">
        <f t="shared" si="477"/>
        <v>238.09999150000002</v>
      </c>
      <c r="BM258" s="22">
        <f t="shared" si="477"/>
        <v>220.79188500000001</v>
      </c>
      <c r="BN258" s="22">
        <f t="shared" si="477"/>
        <v>216.63265859999998</v>
      </c>
      <c r="BO258" s="22">
        <f t="shared" si="477"/>
        <v>230</v>
      </c>
      <c r="BP258" s="22">
        <f>SUM(BP259:BP265)</f>
        <v>236</v>
      </c>
      <c r="BQ258" s="22">
        <f>SUM(BQ259:BQ265)</f>
        <v>249</v>
      </c>
      <c r="BR258" s="101"/>
      <c r="BS258">
        <f t="shared" ref="BS258:CX258" si="478">IF($C258&lt;&gt;"",IF(D258&gt;0,1,0),0)</f>
        <v>0</v>
      </c>
      <c r="BT258">
        <f t="shared" si="478"/>
        <v>0</v>
      </c>
      <c r="BU258">
        <f t="shared" si="478"/>
        <v>0</v>
      </c>
      <c r="BV258">
        <f t="shared" si="478"/>
        <v>0</v>
      </c>
      <c r="BW258">
        <f t="shared" si="478"/>
        <v>0</v>
      </c>
      <c r="BX258">
        <f t="shared" si="478"/>
        <v>0</v>
      </c>
      <c r="BY258">
        <f t="shared" si="478"/>
        <v>0</v>
      </c>
      <c r="BZ258">
        <f t="shared" si="478"/>
        <v>0</v>
      </c>
      <c r="CA258">
        <f t="shared" si="478"/>
        <v>0</v>
      </c>
      <c r="CB258">
        <f t="shared" si="478"/>
        <v>0</v>
      </c>
      <c r="CC258">
        <f t="shared" si="478"/>
        <v>1</v>
      </c>
      <c r="CD258">
        <f t="shared" si="478"/>
        <v>1</v>
      </c>
      <c r="CE258">
        <f t="shared" si="478"/>
        <v>1</v>
      </c>
      <c r="CF258">
        <f t="shared" si="478"/>
        <v>1</v>
      </c>
      <c r="CG258">
        <f t="shared" si="478"/>
        <v>1</v>
      </c>
      <c r="CH258">
        <f t="shared" si="478"/>
        <v>1</v>
      </c>
      <c r="CI258">
        <f t="shared" si="478"/>
        <v>1</v>
      </c>
      <c r="CJ258">
        <f t="shared" si="478"/>
        <v>1</v>
      </c>
      <c r="CK258">
        <f t="shared" si="478"/>
        <v>1</v>
      </c>
      <c r="CL258">
        <f t="shared" si="478"/>
        <v>1</v>
      </c>
      <c r="CM258">
        <f t="shared" si="478"/>
        <v>1</v>
      </c>
      <c r="CN258">
        <f t="shared" si="478"/>
        <v>1</v>
      </c>
      <c r="CO258">
        <f t="shared" si="478"/>
        <v>1</v>
      </c>
      <c r="CP258">
        <f t="shared" si="478"/>
        <v>1</v>
      </c>
      <c r="CQ258">
        <f t="shared" si="478"/>
        <v>1</v>
      </c>
      <c r="CR258">
        <f t="shared" si="478"/>
        <v>1</v>
      </c>
      <c r="CS258">
        <f t="shared" si="478"/>
        <v>1</v>
      </c>
      <c r="CT258">
        <f t="shared" si="478"/>
        <v>1</v>
      </c>
      <c r="CU258">
        <f t="shared" si="478"/>
        <v>1</v>
      </c>
      <c r="CV258">
        <f t="shared" si="478"/>
        <v>1</v>
      </c>
      <c r="CW258">
        <f t="shared" si="478"/>
        <v>1</v>
      </c>
      <c r="CX258">
        <f t="shared" si="478"/>
        <v>1</v>
      </c>
      <c r="CY258">
        <f t="shared" ref="CY258:ED258" si="479">IF($C258&lt;&gt;"",IF(AJ258&gt;0,1,0),0)</f>
        <v>1</v>
      </c>
      <c r="CZ258">
        <f t="shared" si="479"/>
        <v>1</v>
      </c>
      <c r="DA258">
        <f t="shared" si="479"/>
        <v>1</v>
      </c>
      <c r="DB258">
        <f t="shared" si="479"/>
        <v>1</v>
      </c>
      <c r="DC258">
        <f t="shared" si="479"/>
        <v>1</v>
      </c>
      <c r="DD258">
        <f t="shared" si="479"/>
        <v>1</v>
      </c>
      <c r="DE258">
        <f t="shared" si="479"/>
        <v>1</v>
      </c>
      <c r="DF258">
        <f t="shared" si="479"/>
        <v>1</v>
      </c>
      <c r="DG258">
        <f t="shared" si="479"/>
        <v>1</v>
      </c>
      <c r="DH258">
        <f t="shared" si="479"/>
        <v>1</v>
      </c>
      <c r="DI258">
        <f t="shared" si="479"/>
        <v>1</v>
      </c>
      <c r="DJ258">
        <f t="shared" si="479"/>
        <v>1</v>
      </c>
      <c r="DK258">
        <f t="shared" si="479"/>
        <v>1</v>
      </c>
      <c r="DL258">
        <f t="shared" si="479"/>
        <v>1</v>
      </c>
      <c r="DM258">
        <f t="shared" si="479"/>
        <v>1</v>
      </c>
      <c r="DN258">
        <f t="shared" si="479"/>
        <v>1</v>
      </c>
      <c r="DO258">
        <f t="shared" si="479"/>
        <v>1</v>
      </c>
      <c r="DP258">
        <f t="shared" si="479"/>
        <v>1</v>
      </c>
      <c r="DQ258">
        <f t="shared" si="479"/>
        <v>1</v>
      </c>
      <c r="DR258">
        <f t="shared" si="479"/>
        <v>1</v>
      </c>
      <c r="DS258">
        <f t="shared" si="479"/>
        <v>1</v>
      </c>
      <c r="DT258">
        <f t="shared" si="479"/>
        <v>1</v>
      </c>
      <c r="DU258">
        <f t="shared" si="479"/>
        <v>1</v>
      </c>
      <c r="DV258">
        <f t="shared" si="479"/>
        <v>1</v>
      </c>
      <c r="DW258">
        <f t="shared" si="479"/>
        <v>1</v>
      </c>
      <c r="DX258">
        <f t="shared" si="479"/>
        <v>1</v>
      </c>
      <c r="DY258">
        <f t="shared" si="479"/>
        <v>1</v>
      </c>
      <c r="DZ258">
        <f t="shared" si="479"/>
        <v>1</v>
      </c>
      <c r="EA258">
        <f t="shared" si="479"/>
        <v>1</v>
      </c>
      <c r="EB258">
        <f t="shared" si="479"/>
        <v>1</v>
      </c>
      <c r="EC258">
        <f t="shared" si="479"/>
        <v>1</v>
      </c>
      <c r="ED258">
        <f t="shared" si="479"/>
        <v>1</v>
      </c>
      <c r="EE258">
        <f t="shared" ref="EE258:EF258" si="480">IF($C258&lt;&gt;"",IF(BP258&gt;0,1,0),0)</f>
        <v>1</v>
      </c>
      <c r="EF258">
        <f t="shared" si="480"/>
        <v>1</v>
      </c>
    </row>
    <row r="259" spans="1:136" ht="15.5">
      <c r="A259" s="90"/>
      <c r="B259" s="24" t="s">
        <v>15</v>
      </c>
      <c r="C259" s="94"/>
      <c r="D259" s="18">
        <v>0</v>
      </c>
      <c r="E259" s="18">
        <v>0</v>
      </c>
      <c r="F259" s="18">
        <v>0</v>
      </c>
      <c r="G259" s="18">
        <v>0</v>
      </c>
      <c r="H259" s="18">
        <v>0</v>
      </c>
      <c r="I259" s="18">
        <v>0</v>
      </c>
      <c r="J259" s="18">
        <v>0</v>
      </c>
      <c r="K259" s="18">
        <v>0</v>
      </c>
      <c r="L259" s="18">
        <v>0</v>
      </c>
      <c r="M259" s="18">
        <v>0</v>
      </c>
      <c r="N259" s="18">
        <v>0</v>
      </c>
      <c r="O259" s="18">
        <v>0</v>
      </c>
      <c r="P259" s="18">
        <v>0</v>
      </c>
      <c r="Q259" s="18">
        <v>0</v>
      </c>
      <c r="R259" s="18">
        <v>0</v>
      </c>
      <c r="S259" s="18">
        <v>0</v>
      </c>
      <c r="T259" s="60">
        <v>0</v>
      </c>
      <c r="U259" s="60">
        <v>0</v>
      </c>
      <c r="V259" s="60">
        <v>0</v>
      </c>
      <c r="W259" s="60">
        <v>2.2400000000000002</v>
      </c>
      <c r="X259" s="18">
        <v>0</v>
      </c>
      <c r="Y259" s="60">
        <v>0</v>
      </c>
      <c r="Z259" s="18">
        <v>0</v>
      </c>
      <c r="AA259" s="60">
        <v>0</v>
      </c>
      <c r="AB259" s="60">
        <v>0</v>
      </c>
      <c r="AC259" s="60">
        <v>0</v>
      </c>
      <c r="AD259" s="60">
        <v>0</v>
      </c>
      <c r="AE259" s="60">
        <v>0</v>
      </c>
      <c r="AF259" s="60">
        <v>0</v>
      </c>
      <c r="AG259" s="60">
        <v>2</v>
      </c>
      <c r="AH259" s="60">
        <v>0</v>
      </c>
      <c r="AI259" s="60">
        <v>0.25</v>
      </c>
      <c r="AJ259" s="60">
        <v>0.3</v>
      </c>
      <c r="AK259" s="60">
        <v>2</v>
      </c>
      <c r="AL259" s="60">
        <v>2</v>
      </c>
      <c r="AM259" s="60">
        <v>2</v>
      </c>
      <c r="AN259" s="60">
        <v>1</v>
      </c>
      <c r="AO259" s="60">
        <v>3</v>
      </c>
      <c r="AP259" s="60">
        <v>3</v>
      </c>
      <c r="AQ259" s="60">
        <v>0</v>
      </c>
      <c r="AR259" s="60">
        <v>0</v>
      </c>
      <c r="AS259" s="60">
        <v>0</v>
      </c>
      <c r="AT259" s="60">
        <v>0</v>
      </c>
      <c r="AU259" s="60">
        <v>0</v>
      </c>
      <c r="AV259" s="60">
        <v>0</v>
      </c>
      <c r="AW259" s="60">
        <v>0</v>
      </c>
      <c r="AX259" s="18">
        <v>0</v>
      </c>
      <c r="AY259" s="60">
        <v>0</v>
      </c>
      <c r="AZ259" s="18">
        <v>0</v>
      </c>
      <c r="BA259" s="60">
        <v>0</v>
      </c>
      <c r="BB259" s="60">
        <v>0</v>
      </c>
      <c r="BC259" s="60">
        <v>0</v>
      </c>
      <c r="BD259" s="60">
        <v>0</v>
      </c>
      <c r="BE259" s="61">
        <v>0</v>
      </c>
      <c r="BF259" s="18">
        <v>0</v>
      </c>
      <c r="BG259" s="18">
        <v>0</v>
      </c>
      <c r="BH259" s="18">
        <v>0</v>
      </c>
      <c r="BI259" s="113">
        <v>0</v>
      </c>
      <c r="BJ259" s="113">
        <v>0</v>
      </c>
      <c r="BK259" s="113">
        <v>0</v>
      </c>
      <c r="BL259" s="113">
        <v>0</v>
      </c>
      <c r="BM259" s="113">
        <v>0</v>
      </c>
      <c r="BN259" s="113">
        <v>0</v>
      </c>
      <c r="BO259" s="113">
        <v>0</v>
      </c>
      <c r="BP259" s="113">
        <v>0</v>
      </c>
      <c r="BQ259" s="113">
        <v>0</v>
      </c>
      <c r="BR259" s="101"/>
      <c r="BS259">
        <f t="shared" ref="BS259:CB266" si="481">IF($C259&lt;&gt;"",IF(D259&gt;0,1,0),0)</f>
        <v>0</v>
      </c>
      <c r="BT259">
        <f t="shared" si="481"/>
        <v>0</v>
      </c>
      <c r="BU259">
        <f t="shared" si="481"/>
        <v>0</v>
      </c>
      <c r="BV259">
        <f t="shared" si="481"/>
        <v>0</v>
      </c>
      <c r="BW259">
        <f t="shared" si="481"/>
        <v>0</v>
      </c>
      <c r="BX259">
        <f t="shared" si="481"/>
        <v>0</v>
      </c>
      <c r="BY259">
        <f t="shared" si="481"/>
        <v>0</v>
      </c>
      <c r="BZ259">
        <f t="shared" si="481"/>
        <v>0</v>
      </c>
      <c r="CA259">
        <f t="shared" si="481"/>
        <v>0</v>
      </c>
      <c r="CB259">
        <f t="shared" si="481"/>
        <v>0</v>
      </c>
      <c r="CC259">
        <f t="shared" ref="CC259:CL266" si="482">IF($C259&lt;&gt;"",IF(N259&gt;0,1,0),0)</f>
        <v>0</v>
      </c>
      <c r="CD259">
        <f t="shared" si="482"/>
        <v>0</v>
      </c>
      <c r="CE259">
        <f t="shared" si="482"/>
        <v>0</v>
      </c>
      <c r="CF259">
        <f t="shared" si="482"/>
        <v>0</v>
      </c>
      <c r="CG259">
        <f t="shared" si="482"/>
        <v>0</v>
      </c>
      <c r="CH259">
        <f t="shared" si="482"/>
        <v>0</v>
      </c>
      <c r="CI259">
        <f t="shared" si="482"/>
        <v>0</v>
      </c>
      <c r="CJ259">
        <f t="shared" si="482"/>
        <v>0</v>
      </c>
      <c r="CK259">
        <f t="shared" si="482"/>
        <v>0</v>
      </c>
      <c r="CL259">
        <f t="shared" si="482"/>
        <v>0</v>
      </c>
      <c r="CM259">
        <f t="shared" ref="CM259:CV266" si="483">IF($C259&lt;&gt;"",IF(X259&gt;0,1,0),0)</f>
        <v>0</v>
      </c>
      <c r="CN259">
        <f t="shared" si="483"/>
        <v>0</v>
      </c>
      <c r="CO259">
        <f t="shared" si="483"/>
        <v>0</v>
      </c>
      <c r="CP259">
        <f t="shared" si="483"/>
        <v>0</v>
      </c>
      <c r="CQ259">
        <f t="shared" si="483"/>
        <v>0</v>
      </c>
      <c r="CR259">
        <f t="shared" si="483"/>
        <v>0</v>
      </c>
      <c r="CS259">
        <f t="shared" si="483"/>
        <v>0</v>
      </c>
      <c r="CT259">
        <f t="shared" si="483"/>
        <v>0</v>
      </c>
      <c r="CU259">
        <f t="shared" si="483"/>
        <v>0</v>
      </c>
      <c r="CV259">
        <f t="shared" si="483"/>
        <v>0</v>
      </c>
      <c r="CW259">
        <f t="shared" ref="CW259:DF266" si="484">IF($C259&lt;&gt;"",IF(AH259&gt;0,1,0),0)</f>
        <v>0</v>
      </c>
      <c r="CX259">
        <f t="shared" si="484"/>
        <v>0</v>
      </c>
      <c r="CY259">
        <f t="shared" si="484"/>
        <v>0</v>
      </c>
      <c r="CZ259">
        <f t="shared" si="484"/>
        <v>0</v>
      </c>
      <c r="DA259">
        <f t="shared" si="484"/>
        <v>0</v>
      </c>
      <c r="DB259">
        <f t="shared" si="484"/>
        <v>0</v>
      </c>
      <c r="DC259">
        <f t="shared" si="484"/>
        <v>0</v>
      </c>
      <c r="DD259">
        <f t="shared" si="484"/>
        <v>0</v>
      </c>
      <c r="DE259">
        <f t="shared" si="484"/>
        <v>0</v>
      </c>
      <c r="DF259">
        <f t="shared" si="484"/>
        <v>0</v>
      </c>
      <c r="DG259">
        <f t="shared" ref="DG259:DP266" si="485">IF($C259&lt;&gt;"",IF(AR259&gt;0,1,0),0)</f>
        <v>0</v>
      </c>
      <c r="DH259">
        <f t="shared" si="485"/>
        <v>0</v>
      </c>
      <c r="DI259">
        <f t="shared" si="485"/>
        <v>0</v>
      </c>
      <c r="DJ259">
        <f t="shared" si="485"/>
        <v>0</v>
      </c>
      <c r="DK259">
        <f t="shared" si="485"/>
        <v>0</v>
      </c>
      <c r="DL259">
        <f t="shared" si="485"/>
        <v>0</v>
      </c>
      <c r="DM259">
        <f t="shared" si="485"/>
        <v>0</v>
      </c>
      <c r="DN259">
        <f t="shared" si="485"/>
        <v>0</v>
      </c>
      <c r="DO259">
        <f t="shared" si="485"/>
        <v>0</v>
      </c>
      <c r="DP259">
        <f t="shared" si="485"/>
        <v>0</v>
      </c>
      <c r="DQ259">
        <f t="shared" ref="DQ259:DZ266" si="486">IF($C259&lt;&gt;"",IF(BB259&gt;0,1,0),0)</f>
        <v>0</v>
      </c>
      <c r="DR259">
        <f t="shared" si="486"/>
        <v>0</v>
      </c>
      <c r="DS259">
        <f t="shared" si="486"/>
        <v>0</v>
      </c>
      <c r="DT259">
        <f t="shared" si="486"/>
        <v>0</v>
      </c>
      <c r="DU259">
        <f t="shared" si="486"/>
        <v>0</v>
      </c>
      <c r="DV259">
        <f t="shared" si="486"/>
        <v>0</v>
      </c>
      <c r="DW259">
        <f t="shared" si="486"/>
        <v>0</v>
      </c>
      <c r="DX259">
        <f t="shared" si="486"/>
        <v>0</v>
      </c>
      <c r="DY259">
        <f t="shared" si="486"/>
        <v>0</v>
      </c>
      <c r="DZ259">
        <f t="shared" si="486"/>
        <v>0</v>
      </c>
      <c r="EA259">
        <f t="shared" ref="EA259:EF263" si="487">IF($C259&lt;&gt;"",IF(BL258&gt;0,1,0),0)</f>
        <v>0</v>
      </c>
      <c r="EB259">
        <f t="shared" si="487"/>
        <v>0</v>
      </c>
      <c r="EC259">
        <f t="shared" si="487"/>
        <v>0</v>
      </c>
      <c r="ED259">
        <f t="shared" si="487"/>
        <v>0</v>
      </c>
      <c r="EE259">
        <f t="shared" si="487"/>
        <v>0</v>
      </c>
      <c r="EF259">
        <f t="shared" si="487"/>
        <v>0</v>
      </c>
    </row>
    <row r="260" spans="1:136" ht="15.5">
      <c r="A260" s="90"/>
      <c r="B260" s="24" t="s">
        <v>202</v>
      </c>
      <c r="C260" s="94"/>
      <c r="D260" s="18">
        <v>0</v>
      </c>
      <c r="E260" s="18">
        <v>0</v>
      </c>
      <c r="F260" s="18">
        <v>0</v>
      </c>
      <c r="G260" s="18">
        <v>0</v>
      </c>
      <c r="H260" s="18">
        <v>0</v>
      </c>
      <c r="I260" s="18">
        <v>0</v>
      </c>
      <c r="J260" s="18">
        <v>0</v>
      </c>
      <c r="K260" s="18">
        <v>0</v>
      </c>
      <c r="L260" s="18">
        <v>0</v>
      </c>
      <c r="M260" s="18">
        <v>0</v>
      </c>
      <c r="N260" s="18">
        <v>0</v>
      </c>
      <c r="O260" s="18">
        <v>0</v>
      </c>
      <c r="P260" s="18">
        <v>0</v>
      </c>
      <c r="Q260" s="18">
        <v>0</v>
      </c>
      <c r="R260" s="18">
        <v>0</v>
      </c>
      <c r="S260" s="18">
        <v>0</v>
      </c>
      <c r="T260" s="18">
        <v>0</v>
      </c>
      <c r="U260" s="18">
        <v>0</v>
      </c>
      <c r="V260" s="18">
        <v>0</v>
      </c>
      <c r="W260" s="60">
        <v>0</v>
      </c>
      <c r="X260" s="18">
        <v>0</v>
      </c>
      <c r="Y260" s="60">
        <v>0</v>
      </c>
      <c r="Z260" s="18">
        <v>0</v>
      </c>
      <c r="AA260" s="60">
        <v>0</v>
      </c>
      <c r="AB260" s="60">
        <v>0</v>
      </c>
      <c r="AC260" s="60">
        <v>0</v>
      </c>
      <c r="AD260" s="60">
        <v>0</v>
      </c>
      <c r="AE260" s="60">
        <v>0</v>
      </c>
      <c r="AF260" s="60">
        <v>0</v>
      </c>
      <c r="AG260" s="60">
        <v>0</v>
      </c>
      <c r="AH260" s="60">
        <v>0</v>
      </c>
      <c r="AI260" s="60">
        <v>0</v>
      </c>
      <c r="AJ260" s="60">
        <v>0</v>
      </c>
      <c r="AK260" s="60">
        <v>0</v>
      </c>
      <c r="AL260" s="60">
        <v>0</v>
      </c>
      <c r="AM260" s="60">
        <v>0</v>
      </c>
      <c r="AN260" s="60">
        <v>0</v>
      </c>
      <c r="AO260" s="60">
        <v>0</v>
      </c>
      <c r="AP260" s="60">
        <v>4</v>
      </c>
      <c r="AQ260" s="60">
        <v>0</v>
      </c>
      <c r="AR260" s="60">
        <v>0</v>
      </c>
      <c r="AS260" s="60">
        <v>0</v>
      </c>
      <c r="AT260" s="60">
        <v>6</v>
      </c>
      <c r="AU260" s="60">
        <v>18</v>
      </c>
      <c r="AV260" s="60">
        <v>31</v>
      </c>
      <c r="AW260" s="60">
        <v>43</v>
      </c>
      <c r="AX260" s="60">
        <v>56</v>
      </c>
      <c r="AY260" s="60">
        <v>0</v>
      </c>
      <c r="AZ260" s="60">
        <v>0</v>
      </c>
      <c r="BA260" s="60">
        <v>0</v>
      </c>
      <c r="BB260" s="60">
        <v>0</v>
      </c>
      <c r="BC260" s="60">
        <v>0</v>
      </c>
      <c r="BD260" s="60">
        <v>0</v>
      </c>
      <c r="BE260" s="60">
        <v>0</v>
      </c>
      <c r="BF260" s="60">
        <v>0</v>
      </c>
      <c r="BG260" s="60">
        <v>0</v>
      </c>
      <c r="BH260" s="60">
        <v>0</v>
      </c>
      <c r="BI260" s="60">
        <v>0</v>
      </c>
      <c r="BJ260" s="60">
        <v>0</v>
      </c>
      <c r="BK260" s="60">
        <v>0</v>
      </c>
      <c r="BL260" s="60">
        <v>0</v>
      </c>
      <c r="BM260" s="60">
        <v>0</v>
      </c>
      <c r="BN260" s="113">
        <v>0</v>
      </c>
      <c r="BO260" s="113">
        <v>0</v>
      </c>
      <c r="BP260" s="113">
        <v>0</v>
      </c>
      <c r="BQ260" s="113">
        <v>0</v>
      </c>
      <c r="BR260" s="101"/>
      <c r="BS260">
        <f t="shared" si="481"/>
        <v>0</v>
      </c>
      <c r="BT260">
        <f t="shared" si="481"/>
        <v>0</v>
      </c>
      <c r="BU260">
        <f t="shared" si="481"/>
        <v>0</v>
      </c>
      <c r="BV260">
        <f t="shared" si="481"/>
        <v>0</v>
      </c>
      <c r="BW260">
        <f t="shared" si="481"/>
        <v>0</v>
      </c>
      <c r="BX260">
        <f t="shared" si="481"/>
        <v>0</v>
      </c>
      <c r="BY260">
        <f t="shared" si="481"/>
        <v>0</v>
      </c>
      <c r="BZ260">
        <f t="shared" si="481"/>
        <v>0</v>
      </c>
      <c r="CA260">
        <f t="shared" si="481"/>
        <v>0</v>
      </c>
      <c r="CB260">
        <f t="shared" si="481"/>
        <v>0</v>
      </c>
      <c r="CC260">
        <f t="shared" si="482"/>
        <v>0</v>
      </c>
      <c r="CD260">
        <f t="shared" si="482"/>
        <v>0</v>
      </c>
      <c r="CE260">
        <f t="shared" si="482"/>
        <v>0</v>
      </c>
      <c r="CF260">
        <f t="shared" si="482"/>
        <v>0</v>
      </c>
      <c r="CG260">
        <f t="shared" si="482"/>
        <v>0</v>
      </c>
      <c r="CH260">
        <f t="shared" si="482"/>
        <v>0</v>
      </c>
      <c r="CI260">
        <f t="shared" si="482"/>
        <v>0</v>
      </c>
      <c r="CJ260">
        <f t="shared" si="482"/>
        <v>0</v>
      </c>
      <c r="CK260">
        <f t="shared" si="482"/>
        <v>0</v>
      </c>
      <c r="CL260">
        <f t="shared" si="482"/>
        <v>0</v>
      </c>
      <c r="CM260">
        <f t="shared" si="483"/>
        <v>0</v>
      </c>
      <c r="CN260">
        <f t="shared" si="483"/>
        <v>0</v>
      </c>
      <c r="CO260">
        <f t="shared" si="483"/>
        <v>0</v>
      </c>
      <c r="CP260">
        <f t="shared" si="483"/>
        <v>0</v>
      </c>
      <c r="CQ260">
        <f t="shared" si="483"/>
        <v>0</v>
      </c>
      <c r="CR260">
        <f t="shared" si="483"/>
        <v>0</v>
      </c>
      <c r="CS260">
        <f t="shared" si="483"/>
        <v>0</v>
      </c>
      <c r="CT260">
        <f t="shared" si="483"/>
        <v>0</v>
      </c>
      <c r="CU260">
        <f t="shared" si="483"/>
        <v>0</v>
      </c>
      <c r="CV260">
        <f t="shared" si="483"/>
        <v>0</v>
      </c>
      <c r="CW260">
        <f t="shared" si="484"/>
        <v>0</v>
      </c>
      <c r="CX260">
        <f t="shared" si="484"/>
        <v>0</v>
      </c>
      <c r="CY260">
        <f t="shared" si="484"/>
        <v>0</v>
      </c>
      <c r="CZ260">
        <f t="shared" si="484"/>
        <v>0</v>
      </c>
      <c r="DA260">
        <f t="shared" si="484"/>
        <v>0</v>
      </c>
      <c r="DB260">
        <f t="shared" si="484"/>
        <v>0</v>
      </c>
      <c r="DC260">
        <f t="shared" si="484"/>
        <v>0</v>
      </c>
      <c r="DD260">
        <f t="shared" si="484"/>
        <v>0</v>
      </c>
      <c r="DE260">
        <f t="shared" si="484"/>
        <v>0</v>
      </c>
      <c r="DF260">
        <f t="shared" si="484"/>
        <v>0</v>
      </c>
      <c r="DG260">
        <f t="shared" si="485"/>
        <v>0</v>
      </c>
      <c r="DH260">
        <f t="shared" si="485"/>
        <v>0</v>
      </c>
      <c r="DI260">
        <f t="shared" si="485"/>
        <v>0</v>
      </c>
      <c r="DJ260">
        <f t="shared" si="485"/>
        <v>0</v>
      </c>
      <c r="DK260">
        <f t="shared" si="485"/>
        <v>0</v>
      </c>
      <c r="DL260">
        <f t="shared" si="485"/>
        <v>0</v>
      </c>
      <c r="DM260">
        <f t="shared" si="485"/>
        <v>0</v>
      </c>
      <c r="DN260">
        <f t="shared" si="485"/>
        <v>0</v>
      </c>
      <c r="DO260">
        <f t="shared" si="485"/>
        <v>0</v>
      </c>
      <c r="DP260">
        <f t="shared" si="485"/>
        <v>0</v>
      </c>
      <c r="DQ260">
        <f t="shared" si="486"/>
        <v>0</v>
      </c>
      <c r="DR260">
        <f t="shared" si="486"/>
        <v>0</v>
      </c>
      <c r="DS260">
        <f t="shared" si="486"/>
        <v>0</v>
      </c>
      <c r="DT260">
        <f t="shared" si="486"/>
        <v>0</v>
      </c>
      <c r="DU260">
        <f t="shared" si="486"/>
        <v>0</v>
      </c>
      <c r="DV260">
        <f t="shared" si="486"/>
        <v>0</v>
      </c>
      <c r="DW260">
        <f t="shared" si="486"/>
        <v>0</v>
      </c>
      <c r="DX260">
        <f t="shared" si="486"/>
        <v>0</v>
      </c>
      <c r="DY260">
        <f t="shared" si="486"/>
        <v>0</v>
      </c>
      <c r="DZ260">
        <f t="shared" si="486"/>
        <v>0</v>
      </c>
      <c r="EA260">
        <f t="shared" si="487"/>
        <v>0</v>
      </c>
      <c r="EB260">
        <f t="shared" si="487"/>
        <v>0</v>
      </c>
      <c r="EC260">
        <f t="shared" si="487"/>
        <v>0</v>
      </c>
      <c r="ED260">
        <f t="shared" si="487"/>
        <v>0</v>
      </c>
      <c r="EE260">
        <f t="shared" si="487"/>
        <v>0</v>
      </c>
      <c r="EF260">
        <f t="shared" si="487"/>
        <v>0</v>
      </c>
    </row>
    <row r="261" spans="1:136" ht="15.5">
      <c r="A261" s="90"/>
      <c r="B261" s="19" t="s">
        <v>2</v>
      </c>
      <c r="C261" s="94"/>
      <c r="D261" s="18">
        <v>0</v>
      </c>
      <c r="E261" s="18">
        <v>0</v>
      </c>
      <c r="F261" s="18">
        <v>0</v>
      </c>
      <c r="G261" s="18">
        <v>0</v>
      </c>
      <c r="H261" s="18">
        <v>0</v>
      </c>
      <c r="I261" s="18">
        <v>0</v>
      </c>
      <c r="J261" s="18">
        <v>0</v>
      </c>
      <c r="K261" s="18">
        <v>0</v>
      </c>
      <c r="L261" s="18">
        <v>0</v>
      </c>
      <c r="M261" s="18">
        <v>0</v>
      </c>
      <c r="N261" s="18">
        <v>0</v>
      </c>
      <c r="O261" s="18">
        <v>0</v>
      </c>
      <c r="P261" s="18">
        <v>0</v>
      </c>
      <c r="Q261" s="18">
        <v>0</v>
      </c>
      <c r="R261" s="18">
        <v>0</v>
      </c>
      <c r="S261" s="18">
        <v>0</v>
      </c>
      <c r="T261" s="60">
        <v>0</v>
      </c>
      <c r="U261" s="60">
        <v>0</v>
      </c>
      <c r="V261" s="60">
        <v>0</v>
      </c>
      <c r="W261" s="40" t="s">
        <v>16</v>
      </c>
      <c r="X261" s="40" t="s">
        <v>16</v>
      </c>
      <c r="Y261" s="60">
        <v>28</v>
      </c>
      <c r="Z261" s="40" t="s">
        <v>16</v>
      </c>
      <c r="AA261" s="60">
        <v>11</v>
      </c>
      <c r="AB261" s="40" t="s">
        <v>16</v>
      </c>
      <c r="AC261" s="60">
        <v>28</v>
      </c>
      <c r="AD261" s="40" t="s">
        <v>16</v>
      </c>
      <c r="AE261" s="40" t="s">
        <v>16</v>
      </c>
      <c r="AF261" s="60">
        <v>57</v>
      </c>
      <c r="AG261" s="40" t="s">
        <v>16</v>
      </c>
      <c r="AH261" s="60">
        <v>6</v>
      </c>
      <c r="AI261" s="60"/>
      <c r="AJ261" s="60"/>
      <c r="AK261" s="40" t="s">
        <v>16</v>
      </c>
      <c r="AL261" s="60">
        <v>47</v>
      </c>
      <c r="AM261" s="60">
        <v>0</v>
      </c>
      <c r="AN261" s="60">
        <v>0</v>
      </c>
      <c r="AO261" s="40" t="s">
        <v>16</v>
      </c>
      <c r="AP261" s="60">
        <v>23</v>
      </c>
      <c r="AQ261" s="60"/>
      <c r="AR261" s="60"/>
      <c r="AS261" s="60"/>
      <c r="AT261" s="60"/>
      <c r="AU261" s="60"/>
      <c r="AV261" s="60"/>
      <c r="AW261" s="60"/>
      <c r="AX261" s="40" t="s">
        <v>16</v>
      </c>
      <c r="AY261" s="60">
        <v>42</v>
      </c>
      <c r="AZ261" s="40" t="s">
        <v>16</v>
      </c>
      <c r="BA261" s="60">
        <v>49</v>
      </c>
      <c r="BB261" s="60">
        <v>0</v>
      </c>
      <c r="BC261" s="60">
        <v>0</v>
      </c>
      <c r="BD261" s="60">
        <v>0</v>
      </c>
      <c r="BE261" s="60">
        <v>0</v>
      </c>
      <c r="BF261" s="60">
        <v>0</v>
      </c>
      <c r="BG261" s="60">
        <v>0</v>
      </c>
      <c r="BH261" s="60">
        <v>0</v>
      </c>
      <c r="BI261" s="60">
        <v>0</v>
      </c>
      <c r="BJ261" s="60">
        <v>0</v>
      </c>
      <c r="BK261" s="60">
        <v>0</v>
      </c>
      <c r="BL261" s="60">
        <v>0</v>
      </c>
      <c r="BM261" s="60">
        <v>0</v>
      </c>
      <c r="BN261" s="113">
        <v>0</v>
      </c>
      <c r="BO261" s="113">
        <v>0</v>
      </c>
      <c r="BP261" s="113">
        <v>0</v>
      </c>
      <c r="BQ261" s="113">
        <v>0</v>
      </c>
      <c r="BR261" s="101"/>
      <c r="BS261">
        <f t="shared" si="481"/>
        <v>0</v>
      </c>
      <c r="BT261">
        <f t="shared" si="481"/>
        <v>0</v>
      </c>
      <c r="BU261">
        <f t="shared" si="481"/>
        <v>0</v>
      </c>
      <c r="BV261">
        <f t="shared" si="481"/>
        <v>0</v>
      </c>
      <c r="BW261">
        <f t="shared" si="481"/>
        <v>0</v>
      </c>
      <c r="BX261">
        <f t="shared" si="481"/>
        <v>0</v>
      </c>
      <c r="BY261">
        <f t="shared" si="481"/>
        <v>0</v>
      </c>
      <c r="BZ261">
        <f t="shared" si="481"/>
        <v>0</v>
      </c>
      <c r="CA261">
        <f t="shared" si="481"/>
        <v>0</v>
      </c>
      <c r="CB261">
        <f t="shared" si="481"/>
        <v>0</v>
      </c>
      <c r="CC261">
        <f t="shared" si="482"/>
        <v>0</v>
      </c>
      <c r="CD261">
        <f t="shared" si="482"/>
        <v>0</v>
      </c>
      <c r="CE261">
        <f t="shared" si="482"/>
        <v>0</v>
      </c>
      <c r="CF261">
        <f t="shared" si="482"/>
        <v>0</v>
      </c>
      <c r="CG261">
        <f t="shared" si="482"/>
        <v>0</v>
      </c>
      <c r="CH261">
        <f t="shared" si="482"/>
        <v>0</v>
      </c>
      <c r="CI261">
        <f t="shared" si="482"/>
        <v>0</v>
      </c>
      <c r="CJ261">
        <f t="shared" si="482"/>
        <v>0</v>
      </c>
      <c r="CK261">
        <f t="shared" si="482"/>
        <v>0</v>
      </c>
      <c r="CL261">
        <f t="shared" si="482"/>
        <v>0</v>
      </c>
      <c r="CM261">
        <f t="shared" si="483"/>
        <v>0</v>
      </c>
      <c r="CN261">
        <f t="shared" si="483"/>
        <v>0</v>
      </c>
      <c r="CO261">
        <f t="shared" si="483"/>
        <v>0</v>
      </c>
      <c r="CP261">
        <f t="shared" si="483"/>
        <v>0</v>
      </c>
      <c r="CQ261">
        <f t="shared" si="483"/>
        <v>0</v>
      </c>
      <c r="CR261">
        <f t="shared" si="483"/>
        <v>0</v>
      </c>
      <c r="CS261">
        <f t="shared" si="483"/>
        <v>0</v>
      </c>
      <c r="CT261">
        <f t="shared" si="483"/>
        <v>0</v>
      </c>
      <c r="CU261">
        <f t="shared" si="483"/>
        <v>0</v>
      </c>
      <c r="CV261">
        <f t="shared" si="483"/>
        <v>0</v>
      </c>
      <c r="CW261">
        <f t="shared" si="484"/>
        <v>0</v>
      </c>
      <c r="CX261">
        <f t="shared" si="484"/>
        <v>0</v>
      </c>
      <c r="CY261">
        <f t="shared" si="484"/>
        <v>0</v>
      </c>
      <c r="CZ261">
        <f t="shared" si="484"/>
        <v>0</v>
      </c>
      <c r="DA261">
        <f t="shared" si="484"/>
        <v>0</v>
      </c>
      <c r="DB261">
        <f t="shared" si="484"/>
        <v>0</v>
      </c>
      <c r="DC261">
        <f t="shared" si="484"/>
        <v>0</v>
      </c>
      <c r="DD261">
        <f t="shared" si="484"/>
        <v>0</v>
      </c>
      <c r="DE261">
        <f t="shared" si="484"/>
        <v>0</v>
      </c>
      <c r="DF261">
        <f t="shared" si="484"/>
        <v>0</v>
      </c>
      <c r="DG261">
        <f t="shared" si="485"/>
        <v>0</v>
      </c>
      <c r="DH261">
        <f t="shared" si="485"/>
        <v>0</v>
      </c>
      <c r="DI261">
        <f t="shared" si="485"/>
        <v>0</v>
      </c>
      <c r="DJ261">
        <f t="shared" si="485"/>
        <v>0</v>
      </c>
      <c r="DK261">
        <f t="shared" si="485"/>
        <v>0</v>
      </c>
      <c r="DL261">
        <f t="shared" si="485"/>
        <v>0</v>
      </c>
      <c r="DM261">
        <f t="shared" si="485"/>
        <v>0</v>
      </c>
      <c r="DN261">
        <f t="shared" si="485"/>
        <v>0</v>
      </c>
      <c r="DO261">
        <f t="shared" si="485"/>
        <v>0</v>
      </c>
      <c r="DP261">
        <f t="shared" si="485"/>
        <v>0</v>
      </c>
      <c r="DQ261">
        <f t="shared" si="486"/>
        <v>0</v>
      </c>
      <c r="DR261">
        <f t="shared" si="486"/>
        <v>0</v>
      </c>
      <c r="DS261">
        <f t="shared" si="486"/>
        <v>0</v>
      </c>
      <c r="DT261">
        <f t="shared" si="486"/>
        <v>0</v>
      </c>
      <c r="DU261">
        <f t="shared" si="486"/>
        <v>0</v>
      </c>
      <c r="DV261">
        <f t="shared" si="486"/>
        <v>0</v>
      </c>
      <c r="DW261">
        <f t="shared" si="486"/>
        <v>0</v>
      </c>
      <c r="DX261">
        <f t="shared" si="486"/>
        <v>0</v>
      </c>
      <c r="DY261">
        <f t="shared" si="486"/>
        <v>0</v>
      </c>
      <c r="DZ261">
        <f t="shared" si="486"/>
        <v>0</v>
      </c>
      <c r="EA261">
        <f t="shared" si="487"/>
        <v>0</v>
      </c>
      <c r="EB261">
        <f t="shared" si="487"/>
        <v>0</v>
      </c>
      <c r="EC261">
        <f t="shared" si="487"/>
        <v>0</v>
      </c>
      <c r="ED261">
        <f t="shared" si="487"/>
        <v>0</v>
      </c>
      <c r="EE261">
        <f t="shared" si="487"/>
        <v>0</v>
      </c>
      <c r="EF261">
        <f t="shared" si="487"/>
        <v>0</v>
      </c>
    </row>
    <row r="262" spans="1:136" ht="15.5">
      <c r="A262" s="90"/>
      <c r="B262" s="19" t="s">
        <v>205</v>
      </c>
      <c r="C262" s="94"/>
      <c r="D262" s="18">
        <v>0</v>
      </c>
      <c r="E262" s="18">
        <v>0</v>
      </c>
      <c r="F262" s="18">
        <v>0</v>
      </c>
      <c r="G262" s="18">
        <v>0</v>
      </c>
      <c r="H262" s="18">
        <v>0</v>
      </c>
      <c r="I262" s="18">
        <v>0</v>
      </c>
      <c r="J262" s="18">
        <v>0</v>
      </c>
      <c r="K262" s="18">
        <v>0</v>
      </c>
      <c r="L262" s="18">
        <v>0</v>
      </c>
      <c r="M262" s="18">
        <v>0</v>
      </c>
      <c r="N262" s="18">
        <v>0</v>
      </c>
      <c r="O262" s="18">
        <v>0</v>
      </c>
      <c r="P262" s="18">
        <v>0</v>
      </c>
      <c r="Q262" s="18">
        <v>0</v>
      </c>
      <c r="R262" s="18">
        <v>0</v>
      </c>
      <c r="S262" s="18">
        <v>0</v>
      </c>
      <c r="T262" s="18">
        <v>0</v>
      </c>
      <c r="U262" s="18">
        <v>0</v>
      </c>
      <c r="V262" s="18">
        <v>0</v>
      </c>
      <c r="W262" s="18">
        <v>0</v>
      </c>
      <c r="X262" s="18">
        <v>0</v>
      </c>
      <c r="Y262" s="18">
        <v>0</v>
      </c>
      <c r="Z262" s="18">
        <v>0</v>
      </c>
      <c r="AA262" s="18">
        <v>0</v>
      </c>
      <c r="AB262" s="18">
        <v>0</v>
      </c>
      <c r="AC262" s="168">
        <f>AC269/1000000</f>
        <v>0</v>
      </c>
      <c r="AD262" s="168">
        <f t="shared" ref="AD262:AJ262" si="488">AD269/1000000</f>
        <v>0</v>
      </c>
      <c r="AE262" s="168">
        <f t="shared" si="488"/>
        <v>0</v>
      </c>
      <c r="AF262" s="168">
        <f t="shared" si="488"/>
        <v>0</v>
      </c>
      <c r="AG262" s="168">
        <f t="shared" si="488"/>
        <v>0</v>
      </c>
      <c r="AH262" s="168">
        <f t="shared" si="488"/>
        <v>0</v>
      </c>
      <c r="AI262" s="168">
        <f t="shared" si="488"/>
        <v>0</v>
      </c>
      <c r="AJ262" s="168">
        <f t="shared" si="488"/>
        <v>0</v>
      </c>
      <c r="AK262" s="168">
        <v>0</v>
      </c>
      <c r="AL262" s="168">
        <v>0.78934880000000007</v>
      </c>
      <c r="AM262" s="168">
        <v>1.6030253000000001</v>
      </c>
      <c r="AN262" s="168">
        <v>2.4055344999999999</v>
      </c>
      <c r="AO262" s="168">
        <v>0.80521290000000001</v>
      </c>
      <c r="AP262" s="161">
        <v>1.6106392</v>
      </c>
      <c r="AQ262" s="161">
        <v>2.4157248</v>
      </c>
      <c r="AR262" s="60">
        <v>4.2964069</v>
      </c>
      <c r="AS262" s="60">
        <v>4.8604019000000003</v>
      </c>
      <c r="AT262" s="60">
        <v>6.2906145000000002</v>
      </c>
      <c r="AU262" s="60">
        <v>3.8993500000000001</v>
      </c>
      <c r="AV262" s="60">
        <v>5.4320757000000004</v>
      </c>
      <c r="AW262" s="60">
        <v>7.0363129999999998</v>
      </c>
      <c r="AX262" s="60">
        <v>15.061391</v>
      </c>
      <c r="AY262" s="60">
        <v>10</v>
      </c>
      <c r="AZ262" s="60">
        <v>9.4318614000000007</v>
      </c>
      <c r="BA262" s="60">
        <v>9.4408483000000007</v>
      </c>
      <c r="BB262" s="60">
        <v>9.7335004000000005</v>
      </c>
      <c r="BC262" s="60">
        <v>0</v>
      </c>
      <c r="BD262" s="60">
        <v>0</v>
      </c>
      <c r="BE262" s="61">
        <v>5.4037442999999996</v>
      </c>
      <c r="BF262" s="31">
        <v>6.2763524000000004</v>
      </c>
      <c r="BG262" s="31">
        <v>16.634984199999998</v>
      </c>
      <c r="BH262" s="113">
        <v>21.069153100000001</v>
      </c>
      <c r="BI262" s="113">
        <v>23.7</v>
      </c>
      <c r="BJ262" s="113">
        <v>43.166603000000002</v>
      </c>
      <c r="BK262" s="113">
        <v>17.9182174</v>
      </c>
      <c r="BL262" s="113">
        <v>35.498368299999996</v>
      </c>
      <c r="BM262" s="113">
        <v>21.657850800000002</v>
      </c>
      <c r="BN262" s="113">
        <v>25.741896699999998</v>
      </c>
      <c r="BO262" s="113">
        <v>29</v>
      </c>
      <c r="BP262" s="113">
        <v>25</v>
      </c>
      <c r="BQ262" s="113">
        <v>10</v>
      </c>
      <c r="BR262" s="101"/>
      <c r="BS262">
        <f t="shared" si="481"/>
        <v>0</v>
      </c>
      <c r="BT262">
        <f t="shared" si="481"/>
        <v>0</v>
      </c>
      <c r="BU262">
        <f t="shared" si="481"/>
        <v>0</v>
      </c>
      <c r="BV262">
        <f t="shared" si="481"/>
        <v>0</v>
      </c>
      <c r="BW262">
        <f t="shared" si="481"/>
        <v>0</v>
      </c>
      <c r="BX262">
        <f t="shared" si="481"/>
        <v>0</v>
      </c>
      <c r="BY262">
        <f t="shared" si="481"/>
        <v>0</v>
      </c>
      <c r="BZ262">
        <f t="shared" si="481"/>
        <v>0</v>
      </c>
      <c r="CA262">
        <f t="shared" si="481"/>
        <v>0</v>
      </c>
      <c r="CB262">
        <f t="shared" si="481"/>
        <v>0</v>
      </c>
      <c r="CC262">
        <f t="shared" si="482"/>
        <v>0</v>
      </c>
      <c r="CD262">
        <f t="shared" si="482"/>
        <v>0</v>
      </c>
      <c r="CE262">
        <f t="shared" si="482"/>
        <v>0</v>
      </c>
      <c r="CF262">
        <f t="shared" si="482"/>
        <v>0</v>
      </c>
      <c r="CG262">
        <f t="shared" si="482"/>
        <v>0</v>
      </c>
      <c r="CH262">
        <f t="shared" si="482"/>
        <v>0</v>
      </c>
      <c r="CI262">
        <f t="shared" si="482"/>
        <v>0</v>
      </c>
      <c r="CJ262">
        <f t="shared" si="482"/>
        <v>0</v>
      </c>
      <c r="CK262">
        <f t="shared" si="482"/>
        <v>0</v>
      </c>
      <c r="CL262">
        <f t="shared" si="482"/>
        <v>0</v>
      </c>
      <c r="CM262">
        <f t="shared" si="483"/>
        <v>0</v>
      </c>
      <c r="CN262">
        <f t="shared" si="483"/>
        <v>0</v>
      </c>
      <c r="CO262">
        <f t="shared" si="483"/>
        <v>0</v>
      </c>
      <c r="CP262">
        <f t="shared" si="483"/>
        <v>0</v>
      </c>
      <c r="CQ262">
        <f t="shared" si="483"/>
        <v>0</v>
      </c>
      <c r="CR262">
        <f t="shared" si="483"/>
        <v>0</v>
      </c>
      <c r="CS262">
        <f t="shared" si="483"/>
        <v>0</v>
      </c>
      <c r="CT262">
        <f t="shared" si="483"/>
        <v>0</v>
      </c>
      <c r="CU262">
        <f t="shared" si="483"/>
        <v>0</v>
      </c>
      <c r="CV262">
        <f t="shared" si="483"/>
        <v>0</v>
      </c>
      <c r="CW262">
        <f t="shared" si="484"/>
        <v>0</v>
      </c>
      <c r="CX262">
        <f t="shared" si="484"/>
        <v>0</v>
      </c>
      <c r="CY262">
        <f t="shared" si="484"/>
        <v>0</v>
      </c>
      <c r="CZ262">
        <f t="shared" si="484"/>
        <v>0</v>
      </c>
      <c r="DA262">
        <f t="shared" si="484"/>
        <v>0</v>
      </c>
      <c r="DB262">
        <f t="shared" si="484"/>
        <v>0</v>
      </c>
      <c r="DC262">
        <f t="shared" si="484"/>
        <v>0</v>
      </c>
      <c r="DD262">
        <f t="shared" si="484"/>
        <v>0</v>
      </c>
      <c r="DE262">
        <f t="shared" si="484"/>
        <v>0</v>
      </c>
      <c r="DF262">
        <f t="shared" si="484"/>
        <v>0</v>
      </c>
      <c r="DG262">
        <f t="shared" si="485"/>
        <v>0</v>
      </c>
      <c r="DH262">
        <f t="shared" si="485"/>
        <v>0</v>
      </c>
      <c r="DI262">
        <f t="shared" si="485"/>
        <v>0</v>
      </c>
      <c r="DJ262">
        <f t="shared" si="485"/>
        <v>0</v>
      </c>
      <c r="DK262">
        <f t="shared" si="485"/>
        <v>0</v>
      </c>
      <c r="DL262">
        <f t="shared" si="485"/>
        <v>0</v>
      </c>
      <c r="DM262">
        <f t="shared" si="485"/>
        <v>0</v>
      </c>
      <c r="DN262">
        <f t="shared" si="485"/>
        <v>0</v>
      </c>
      <c r="DO262">
        <f t="shared" si="485"/>
        <v>0</v>
      </c>
      <c r="DP262">
        <f t="shared" si="485"/>
        <v>0</v>
      </c>
      <c r="DQ262">
        <f t="shared" si="486"/>
        <v>0</v>
      </c>
      <c r="DR262">
        <f t="shared" si="486"/>
        <v>0</v>
      </c>
      <c r="DS262">
        <f t="shared" si="486"/>
        <v>0</v>
      </c>
      <c r="DT262">
        <f t="shared" si="486"/>
        <v>0</v>
      </c>
      <c r="DU262">
        <f t="shared" si="486"/>
        <v>0</v>
      </c>
      <c r="DV262">
        <f t="shared" si="486"/>
        <v>0</v>
      </c>
      <c r="DW262">
        <f t="shared" si="486"/>
        <v>0</v>
      </c>
      <c r="DX262">
        <f t="shared" si="486"/>
        <v>0</v>
      </c>
      <c r="DY262">
        <f t="shared" si="486"/>
        <v>0</v>
      </c>
      <c r="DZ262">
        <f t="shared" si="486"/>
        <v>0</v>
      </c>
      <c r="EA262">
        <f t="shared" si="487"/>
        <v>0</v>
      </c>
      <c r="EB262">
        <f t="shared" si="487"/>
        <v>0</v>
      </c>
      <c r="EC262">
        <f t="shared" si="487"/>
        <v>0</v>
      </c>
      <c r="ED262">
        <f t="shared" si="487"/>
        <v>0</v>
      </c>
      <c r="EE262">
        <f t="shared" si="487"/>
        <v>0</v>
      </c>
      <c r="EF262">
        <f t="shared" si="487"/>
        <v>0</v>
      </c>
    </row>
    <row r="263" spans="1:136" ht="15.5">
      <c r="A263" s="90"/>
      <c r="B263" s="57" t="s">
        <v>3</v>
      </c>
      <c r="C263" s="94"/>
      <c r="D263" s="34">
        <v>0</v>
      </c>
      <c r="E263" s="34">
        <v>0</v>
      </c>
      <c r="F263" s="34">
        <v>0</v>
      </c>
      <c r="G263" s="34">
        <v>0</v>
      </c>
      <c r="H263" s="34">
        <v>0</v>
      </c>
      <c r="I263" s="34">
        <v>0</v>
      </c>
      <c r="J263" s="34">
        <v>0</v>
      </c>
      <c r="K263" s="34">
        <v>0</v>
      </c>
      <c r="L263" s="34">
        <v>0</v>
      </c>
      <c r="M263" s="34">
        <v>0</v>
      </c>
      <c r="N263" s="40">
        <v>0.23918800000000001</v>
      </c>
      <c r="O263" s="18">
        <v>0.982819</v>
      </c>
      <c r="P263" s="18">
        <v>1.275188</v>
      </c>
      <c r="Q263" s="18">
        <v>1.4825999999999999</v>
      </c>
      <c r="R263" s="18">
        <v>1.648258</v>
      </c>
      <c r="S263" s="18">
        <v>2.5866389999999999</v>
      </c>
      <c r="T263" s="60">
        <v>5.2267039999999998</v>
      </c>
      <c r="U263" s="60">
        <v>7.093979</v>
      </c>
      <c r="V263" s="60">
        <v>4.7118960000000003</v>
      </c>
      <c r="W263" s="60">
        <v>5.0775899999999998</v>
      </c>
      <c r="X263" s="60">
        <v>18.611249999999998</v>
      </c>
      <c r="Y263" s="40" t="s">
        <v>16</v>
      </c>
      <c r="Z263" s="60">
        <v>20.52646</v>
      </c>
      <c r="AA263" s="40" t="s">
        <v>16</v>
      </c>
      <c r="AB263" s="60">
        <v>3.1373190000000002</v>
      </c>
      <c r="AC263" s="60">
        <v>0.450492</v>
      </c>
      <c r="AD263" s="60">
        <v>0.70586800000000005</v>
      </c>
      <c r="AE263" s="60">
        <v>12.72296</v>
      </c>
      <c r="AF263" s="40" t="s">
        <v>16</v>
      </c>
      <c r="AG263" s="60">
        <v>51.790410000000001</v>
      </c>
      <c r="AH263" s="60">
        <v>192</v>
      </c>
      <c r="AI263" s="60">
        <v>50.969450000000002</v>
      </c>
      <c r="AJ263" s="60">
        <v>68.044849999999997</v>
      </c>
      <c r="AK263" s="60">
        <v>95.564539999999994</v>
      </c>
      <c r="AL263" s="60">
        <v>111</v>
      </c>
      <c r="AM263" s="60">
        <f>99.0875-AM262</f>
        <v>97.484474700000007</v>
      </c>
      <c r="AN263" s="60">
        <f>118.6563-AN262</f>
        <v>116.2507655</v>
      </c>
      <c r="AO263" s="60">
        <f>124.8825-AO262</f>
        <v>124.07728709999999</v>
      </c>
      <c r="AP263" s="60">
        <f>121-AP262</f>
        <v>119.38936080000001</v>
      </c>
      <c r="AQ263" s="60">
        <f>125.9432-AQ262</f>
        <v>123.5274752</v>
      </c>
      <c r="AR263" s="60">
        <f>113.5496-AR262</f>
        <v>109.2531931</v>
      </c>
      <c r="AS263" s="60">
        <f>111.1176-AS262</f>
        <v>106.2571981</v>
      </c>
      <c r="AT263" s="60">
        <f>153.255-AT262</f>
        <v>146.96438549999999</v>
      </c>
      <c r="AU263" s="60">
        <f>232.7829-AU262</f>
        <v>228.88355000000001</v>
      </c>
      <c r="AV263" s="60">
        <f>274.8985-AV262</f>
        <v>269.46642430000003</v>
      </c>
      <c r="AW263" s="60">
        <f>302.4656-AW262</f>
        <v>295.42928699999999</v>
      </c>
      <c r="AX263" s="60">
        <f>289.4833995-AX262</f>
        <v>274.4220085</v>
      </c>
      <c r="AY263" s="60">
        <f>257.817117-AY261</f>
        <v>215.817117</v>
      </c>
      <c r="AZ263" s="60">
        <f>230.0413654-AZ262</f>
        <v>220.60950399999999</v>
      </c>
      <c r="BA263" s="60">
        <f>734.7820103-BA262</f>
        <v>725.34116200000005</v>
      </c>
      <c r="BB263" s="60">
        <f>218.3530209-BB262</f>
        <v>208.61952049999999</v>
      </c>
      <c r="BC263" s="60">
        <v>149.08533069999999</v>
      </c>
      <c r="BD263" s="60">
        <v>153.48603</v>
      </c>
      <c r="BE263" s="60">
        <f>169.3518134-BE262</f>
        <v>163.9480691</v>
      </c>
      <c r="BF263" s="18">
        <f>170.1859775-BF262</f>
        <v>163.9096251</v>
      </c>
      <c r="BG263" s="18">
        <f>184.3131917-BG262</f>
        <v>167.67820750000001</v>
      </c>
      <c r="BH263" s="18">
        <f>192.8945175-BH262</f>
        <v>171.82536440000001</v>
      </c>
      <c r="BI263" s="18">
        <f>186.2997891-BI262</f>
        <v>162.59978910000001</v>
      </c>
      <c r="BJ263" s="71">
        <f>205.750534-BJ262</f>
        <v>162.58393099999998</v>
      </c>
      <c r="BK263" s="113">
        <f>210.3202868-BK262</f>
        <v>192.40206939999999</v>
      </c>
      <c r="BL263" s="113">
        <f>231.0932836-BL262</f>
        <v>195.59491530000003</v>
      </c>
      <c r="BM263" s="113">
        <f>218.1459299-BM262</f>
        <v>196.48807909999999</v>
      </c>
      <c r="BN263" s="113">
        <f>214.0436269-BN262</f>
        <v>188.30173020000001</v>
      </c>
      <c r="BO263" s="113">
        <v>200</v>
      </c>
      <c r="BP263" s="113">
        <v>210</v>
      </c>
      <c r="BQ263" s="113">
        <v>239</v>
      </c>
      <c r="BR263" s="101"/>
      <c r="BS263">
        <f t="shared" si="481"/>
        <v>0</v>
      </c>
      <c r="BT263">
        <f t="shared" si="481"/>
        <v>0</v>
      </c>
      <c r="BU263">
        <f t="shared" si="481"/>
        <v>0</v>
      </c>
      <c r="BV263">
        <f t="shared" si="481"/>
        <v>0</v>
      </c>
      <c r="BW263">
        <f t="shared" si="481"/>
        <v>0</v>
      </c>
      <c r="BX263">
        <f t="shared" si="481"/>
        <v>0</v>
      </c>
      <c r="BY263">
        <f t="shared" si="481"/>
        <v>0</v>
      </c>
      <c r="BZ263">
        <f t="shared" si="481"/>
        <v>0</v>
      </c>
      <c r="CA263">
        <f t="shared" si="481"/>
        <v>0</v>
      </c>
      <c r="CB263">
        <f t="shared" si="481"/>
        <v>0</v>
      </c>
      <c r="CC263">
        <f t="shared" si="482"/>
        <v>0</v>
      </c>
      <c r="CD263">
        <f t="shared" si="482"/>
        <v>0</v>
      </c>
      <c r="CE263">
        <f t="shared" si="482"/>
        <v>0</v>
      </c>
      <c r="CF263">
        <f t="shared" si="482"/>
        <v>0</v>
      </c>
      <c r="CG263">
        <f t="shared" si="482"/>
        <v>0</v>
      </c>
      <c r="CH263">
        <f t="shared" si="482"/>
        <v>0</v>
      </c>
      <c r="CI263">
        <f t="shared" si="482"/>
        <v>0</v>
      </c>
      <c r="CJ263">
        <f t="shared" si="482"/>
        <v>0</v>
      </c>
      <c r="CK263">
        <f t="shared" si="482"/>
        <v>0</v>
      </c>
      <c r="CL263">
        <f t="shared" si="482"/>
        <v>0</v>
      </c>
      <c r="CM263">
        <f t="shared" si="483"/>
        <v>0</v>
      </c>
      <c r="CN263">
        <f t="shared" si="483"/>
        <v>0</v>
      </c>
      <c r="CO263">
        <f t="shared" si="483"/>
        <v>0</v>
      </c>
      <c r="CP263">
        <f t="shared" si="483"/>
        <v>0</v>
      </c>
      <c r="CQ263">
        <f t="shared" si="483"/>
        <v>0</v>
      </c>
      <c r="CR263">
        <f t="shared" si="483"/>
        <v>0</v>
      </c>
      <c r="CS263">
        <f t="shared" si="483"/>
        <v>0</v>
      </c>
      <c r="CT263">
        <f t="shared" si="483"/>
        <v>0</v>
      </c>
      <c r="CU263">
        <f t="shared" si="483"/>
        <v>0</v>
      </c>
      <c r="CV263">
        <f t="shared" si="483"/>
        <v>0</v>
      </c>
      <c r="CW263">
        <f t="shared" si="484"/>
        <v>0</v>
      </c>
      <c r="CX263">
        <f t="shared" si="484"/>
        <v>0</v>
      </c>
      <c r="CY263">
        <f t="shared" si="484"/>
        <v>0</v>
      </c>
      <c r="CZ263">
        <f t="shared" si="484"/>
        <v>0</v>
      </c>
      <c r="DA263">
        <f t="shared" si="484"/>
        <v>0</v>
      </c>
      <c r="DB263">
        <f t="shared" si="484"/>
        <v>0</v>
      </c>
      <c r="DC263">
        <f t="shared" si="484"/>
        <v>0</v>
      </c>
      <c r="DD263">
        <f t="shared" si="484"/>
        <v>0</v>
      </c>
      <c r="DE263">
        <f t="shared" si="484"/>
        <v>0</v>
      </c>
      <c r="DF263">
        <f t="shared" si="484"/>
        <v>0</v>
      </c>
      <c r="DG263">
        <f t="shared" si="485"/>
        <v>0</v>
      </c>
      <c r="DH263">
        <f t="shared" si="485"/>
        <v>0</v>
      </c>
      <c r="DI263">
        <f t="shared" si="485"/>
        <v>0</v>
      </c>
      <c r="DJ263">
        <f t="shared" si="485"/>
        <v>0</v>
      </c>
      <c r="DK263">
        <f t="shared" si="485"/>
        <v>0</v>
      </c>
      <c r="DL263">
        <f t="shared" si="485"/>
        <v>0</v>
      </c>
      <c r="DM263">
        <f t="shared" si="485"/>
        <v>0</v>
      </c>
      <c r="DN263">
        <f t="shared" si="485"/>
        <v>0</v>
      </c>
      <c r="DO263">
        <f t="shared" si="485"/>
        <v>0</v>
      </c>
      <c r="DP263">
        <f t="shared" si="485"/>
        <v>0</v>
      </c>
      <c r="DQ263">
        <f t="shared" si="486"/>
        <v>0</v>
      </c>
      <c r="DR263">
        <f t="shared" si="486"/>
        <v>0</v>
      </c>
      <c r="DS263">
        <f t="shared" si="486"/>
        <v>0</v>
      </c>
      <c r="DT263">
        <f t="shared" si="486"/>
        <v>0</v>
      </c>
      <c r="DU263">
        <f t="shared" si="486"/>
        <v>0</v>
      </c>
      <c r="DV263">
        <f t="shared" si="486"/>
        <v>0</v>
      </c>
      <c r="DW263">
        <f t="shared" si="486"/>
        <v>0</v>
      </c>
      <c r="DX263">
        <f t="shared" si="486"/>
        <v>0</v>
      </c>
      <c r="DY263">
        <f t="shared" si="486"/>
        <v>0</v>
      </c>
      <c r="DZ263">
        <f t="shared" si="486"/>
        <v>0</v>
      </c>
      <c r="EA263">
        <f t="shared" si="487"/>
        <v>0</v>
      </c>
      <c r="EB263">
        <f t="shared" si="487"/>
        <v>0</v>
      </c>
      <c r="EC263">
        <f t="shared" si="487"/>
        <v>0</v>
      </c>
      <c r="ED263">
        <f t="shared" si="487"/>
        <v>0</v>
      </c>
      <c r="EE263">
        <f t="shared" si="487"/>
        <v>0</v>
      </c>
      <c r="EF263">
        <f t="shared" si="487"/>
        <v>0</v>
      </c>
    </row>
    <row r="264" spans="1:136" ht="15.5">
      <c r="A264" s="90"/>
      <c r="B264" s="57" t="s">
        <v>18</v>
      </c>
      <c r="C264" s="9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40"/>
      <c r="O264" s="18"/>
      <c r="P264" s="18"/>
      <c r="Q264" s="18"/>
      <c r="R264" s="18"/>
      <c r="S264" s="18"/>
      <c r="T264" s="60"/>
      <c r="U264" s="60"/>
      <c r="V264" s="60"/>
      <c r="W264" s="60"/>
      <c r="X264" s="60"/>
      <c r="Y264" s="40"/>
      <c r="Z264" s="60"/>
      <c r="AA264" s="40"/>
      <c r="AB264" s="60"/>
      <c r="AC264" s="60"/>
      <c r="AD264" s="60"/>
      <c r="AE264" s="60"/>
      <c r="AF264" s="40"/>
      <c r="AG264" s="60"/>
      <c r="AH264" s="60"/>
      <c r="AI264" s="60"/>
      <c r="AJ264" s="60"/>
      <c r="AK264" s="60"/>
      <c r="AL264" s="60"/>
      <c r="AM264" s="60"/>
      <c r="AN264" s="60"/>
      <c r="AO264" s="60"/>
      <c r="AP264" s="60">
        <v>48</v>
      </c>
      <c r="AQ264" s="60">
        <v>48</v>
      </c>
      <c r="AR264" s="60">
        <v>48</v>
      </c>
      <c r="AS264" s="60">
        <v>48</v>
      </c>
      <c r="AT264" s="60">
        <v>48</v>
      </c>
      <c r="AU264" s="60">
        <v>48</v>
      </c>
      <c r="AV264" s="60">
        <v>48</v>
      </c>
      <c r="AW264" s="60">
        <v>48</v>
      </c>
      <c r="AX264" s="60">
        <v>48</v>
      </c>
      <c r="AY264" s="60">
        <v>48</v>
      </c>
      <c r="AZ264" s="60">
        <v>48</v>
      </c>
      <c r="BA264" s="60">
        <v>48</v>
      </c>
      <c r="BB264" s="60">
        <v>48</v>
      </c>
      <c r="BC264" s="60">
        <v>48</v>
      </c>
      <c r="BD264" s="60">
        <v>48</v>
      </c>
      <c r="BE264" s="61">
        <v>48</v>
      </c>
      <c r="BF264" s="18">
        <v>48</v>
      </c>
      <c r="BG264" s="18">
        <v>48</v>
      </c>
      <c r="BH264" s="18">
        <v>48</v>
      </c>
      <c r="BI264" s="18">
        <v>48</v>
      </c>
      <c r="BJ264" s="113">
        <v>0</v>
      </c>
      <c r="BK264" s="113">
        <v>0</v>
      </c>
      <c r="BL264" s="113">
        <v>0</v>
      </c>
      <c r="BM264" s="113">
        <v>0</v>
      </c>
      <c r="BN264" s="113">
        <v>0</v>
      </c>
      <c r="BO264" s="113">
        <v>0</v>
      </c>
      <c r="BP264" s="113">
        <v>0</v>
      </c>
      <c r="BQ264" s="113">
        <v>0</v>
      </c>
      <c r="BR264" s="101"/>
      <c r="BS264">
        <f t="shared" si="481"/>
        <v>0</v>
      </c>
      <c r="BT264">
        <f t="shared" si="481"/>
        <v>0</v>
      </c>
      <c r="BU264">
        <f t="shared" si="481"/>
        <v>0</v>
      </c>
      <c r="BV264">
        <f t="shared" si="481"/>
        <v>0</v>
      </c>
      <c r="BW264">
        <f t="shared" si="481"/>
        <v>0</v>
      </c>
      <c r="BX264">
        <f t="shared" si="481"/>
        <v>0</v>
      </c>
      <c r="BY264">
        <f t="shared" si="481"/>
        <v>0</v>
      </c>
      <c r="BZ264">
        <f t="shared" si="481"/>
        <v>0</v>
      </c>
      <c r="CA264">
        <f t="shared" si="481"/>
        <v>0</v>
      </c>
      <c r="CB264">
        <f t="shared" si="481"/>
        <v>0</v>
      </c>
      <c r="CC264">
        <f t="shared" si="482"/>
        <v>0</v>
      </c>
      <c r="CD264">
        <f t="shared" si="482"/>
        <v>0</v>
      </c>
      <c r="CE264">
        <f t="shared" si="482"/>
        <v>0</v>
      </c>
      <c r="CF264">
        <f t="shared" si="482"/>
        <v>0</v>
      </c>
      <c r="CG264">
        <f t="shared" si="482"/>
        <v>0</v>
      </c>
      <c r="CH264">
        <f t="shared" si="482"/>
        <v>0</v>
      </c>
      <c r="CI264">
        <f t="shared" si="482"/>
        <v>0</v>
      </c>
      <c r="CJ264">
        <f t="shared" si="482"/>
        <v>0</v>
      </c>
      <c r="CK264">
        <f t="shared" si="482"/>
        <v>0</v>
      </c>
      <c r="CL264">
        <f t="shared" si="482"/>
        <v>0</v>
      </c>
      <c r="CM264">
        <f t="shared" si="483"/>
        <v>0</v>
      </c>
      <c r="CN264">
        <f t="shared" si="483"/>
        <v>0</v>
      </c>
      <c r="CO264">
        <f t="shared" si="483"/>
        <v>0</v>
      </c>
      <c r="CP264">
        <f t="shared" si="483"/>
        <v>0</v>
      </c>
      <c r="CQ264">
        <f t="shared" si="483"/>
        <v>0</v>
      </c>
      <c r="CR264">
        <f t="shared" si="483"/>
        <v>0</v>
      </c>
      <c r="CS264">
        <f t="shared" si="483"/>
        <v>0</v>
      </c>
      <c r="CT264">
        <f t="shared" si="483"/>
        <v>0</v>
      </c>
      <c r="CU264">
        <f t="shared" si="483"/>
        <v>0</v>
      </c>
      <c r="CV264">
        <f t="shared" si="483"/>
        <v>0</v>
      </c>
      <c r="CW264">
        <f t="shared" si="484"/>
        <v>0</v>
      </c>
      <c r="CX264">
        <f t="shared" si="484"/>
        <v>0</v>
      </c>
      <c r="CY264">
        <f t="shared" si="484"/>
        <v>0</v>
      </c>
      <c r="CZ264">
        <f t="shared" si="484"/>
        <v>0</v>
      </c>
      <c r="DA264">
        <f t="shared" si="484"/>
        <v>0</v>
      </c>
      <c r="DB264">
        <f t="shared" si="484"/>
        <v>0</v>
      </c>
      <c r="DC264">
        <f t="shared" si="484"/>
        <v>0</v>
      </c>
      <c r="DD264">
        <f t="shared" si="484"/>
        <v>0</v>
      </c>
      <c r="DE264">
        <f t="shared" si="484"/>
        <v>0</v>
      </c>
      <c r="DF264">
        <f t="shared" si="484"/>
        <v>0</v>
      </c>
      <c r="DG264">
        <f t="shared" si="485"/>
        <v>0</v>
      </c>
      <c r="DH264">
        <f t="shared" si="485"/>
        <v>0</v>
      </c>
      <c r="DI264">
        <f t="shared" si="485"/>
        <v>0</v>
      </c>
      <c r="DJ264">
        <f t="shared" si="485"/>
        <v>0</v>
      </c>
      <c r="DK264">
        <f t="shared" si="485"/>
        <v>0</v>
      </c>
      <c r="DL264">
        <f t="shared" si="485"/>
        <v>0</v>
      </c>
      <c r="DM264">
        <f t="shared" si="485"/>
        <v>0</v>
      </c>
      <c r="DN264">
        <f t="shared" si="485"/>
        <v>0</v>
      </c>
      <c r="DO264">
        <f t="shared" si="485"/>
        <v>0</v>
      </c>
      <c r="DP264">
        <f t="shared" si="485"/>
        <v>0</v>
      </c>
      <c r="DQ264">
        <f t="shared" si="486"/>
        <v>0</v>
      </c>
      <c r="DR264">
        <f t="shared" si="486"/>
        <v>0</v>
      </c>
      <c r="DS264">
        <f t="shared" si="486"/>
        <v>0</v>
      </c>
      <c r="DT264">
        <f t="shared" si="486"/>
        <v>0</v>
      </c>
      <c r="DU264">
        <f t="shared" si="486"/>
        <v>0</v>
      </c>
      <c r="DV264">
        <f t="shared" si="486"/>
        <v>0</v>
      </c>
      <c r="DW264">
        <f t="shared" si="486"/>
        <v>0</v>
      </c>
      <c r="DX264">
        <f t="shared" si="486"/>
        <v>0</v>
      </c>
      <c r="DY264">
        <f t="shared" si="486"/>
        <v>0</v>
      </c>
      <c r="DZ264">
        <f t="shared" si="486"/>
        <v>0</v>
      </c>
      <c r="EA264">
        <f t="shared" ref="EA264:EF266" si="489">IF($C264&lt;&gt;"",IF(BL264&gt;0,1,0),0)</f>
        <v>0</v>
      </c>
      <c r="EB264">
        <f t="shared" si="489"/>
        <v>0</v>
      </c>
      <c r="EC264">
        <f t="shared" si="489"/>
        <v>0</v>
      </c>
      <c r="ED264">
        <f t="shared" si="489"/>
        <v>0</v>
      </c>
      <c r="EE264">
        <f t="shared" si="489"/>
        <v>0</v>
      </c>
      <c r="EF264">
        <f t="shared" si="489"/>
        <v>0</v>
      </c>
    </row>
    <row r="265" spans="1:136" ht="15.5">
      <c r="A265" s="90"/>
      <c r="B265" s="19" t="s">
        <v>208</v>
      </c>
      <c r="C265" s="9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18">
        <v>0.15107100000000001</v>
      </c>
      <c r="O265" s="18">
        <v>0.44889600000000002</v>
      </c>
      <c r="P265" s="18">
        <v>1.582044</v>
      </c>
      <c r="Q265" s="18">
        <v>3.5618409999999998</v>
      </c>
      <c r="R265" s="18">
        <v>6.2316310000000001</v>
      </c>
      <c r="S265" s="18">
        <v>10.85882</v>
      </c>
      <c r="T265" s="18">
        <v>16.651890000000002</v>
      </c>
      <c r="U265" s="18">
        <v>22.143719999999998</v>
      </c>
      <c r="V265" s="18">
        <v>26.004829999999998</v>
      </c>
      <c r="W265" s="18">
        <v>31.01221</v>
      </c>
      <c r="X265" s="18">
        <v>35.518720000000002</v>
      </c>
      <c r="Y265" s="18">
        <v>9.6000239999999994</v>
      </c>
      <c r="Z265" s="18">
        <v>13.19506</v>
      </c>
      <c r="AA265" s="18">
        <v>7.6191430000000002</v>
      </c>
      <c r="AB265" s="18">
        <v>4.4415430000000002</v>
      </c>
      <c r="AC265" s="18">
        <v>3.1167189999999998</v>
      </c>
      <c r="AD265" s="18">
        <v>3.0956350000000001</v>
      </c>
      <c r="AE265" s="18">
        <v>1.710337</v>
      </c>
      <c r="AF265" s="18">
        <v>3.368182</v>
      </c>
      <c r="AG265" s="18">
        <v>3.9111199999999999</v>
      </c>
      <c r="AH265" s="18">
        <v>5.5198510000000001</v>
      </c>
      <c r="AI265" s="18">
        <v>7.588165</v>
      </c>
      <c r="AJ265" s="18">
        <v>10.59328</v>
      </c>
      <c r="AK265" s="18">
        <v>14.45735</v>
      </c>
      <c r="AL265" s="18">
        <v>18.286290000000001</v>
      </c>
      <c r="AM265" s="18">
        <v>17.628679999999999</v>
      </c>
      <c r="AN265" s="18">
        <v>15.44214</v>
      </c>
      <c r="AO265" s="18">
        <v>14.841340000000001</v>
      </c>
      <c r="AP265" s="18">
        <v>11.44957</v>
      </c>
      <c r="AQ265" s="18">
        <v>13.94811</v>
      </c>
      <c r="AR265" s="18">
        <v>13.89123</v>
      </c>
      <c r="AS265" s="18">
        <v>13.85347</v>
      </c>
      <c r="AT265" s="18">
        <v>28.539870000000001</v>
      </c>
      <c r="AU265" s="18">
        <v>37.016979999999997</v>
      </c>
      <c r="AV265" s="18">
        <v>41.485399999999998</v>
      </c>
      <c r="AW265" s="18">
        <v>41.071420000000003</v>
      </c>
      <c r="AX265" s="18">
        <v>41.384950500000002</v>
      </c>
      <c r="AY265" s="18">
        <v>41.737187799999994</v>
      </c>
      <c r="AZ265" s="18">
        <v>41.554596799999999</v>
      </c>
      <c r="BA265" s="18">
        <v>41.454816799999996</v>
      </c>
      <c r="BB265" s="18">
        <v>41.212498400000001</v>
      </c>
      <c r="BC265" s="18">
        <v>44.723597700000006</v>
      </c>
      <c r="BD265" s="18">
        <v>45.693088400000001</v>
      </c>
      <c r="BE265" s="25">
        <v>44.849521100000004</v>
      </c>
      <c r="BF265" s="18">
        <v>42.043122400000001</v>
      </c>
      <c r="BG265" s="18">
        <v>41.7659235</v>
      </c>
      <c r="BH265" s="18">
        <v>41.645770899999995</v>
      </c>
      <c r="BI265" s="18">
        <v>46.450368099999999</v>
      </c>
      <c r="BJ265" s="71">
        <v>46.320787799999998</v>
      </c>
      <c r="BK265" s="113">
        <v>46.632134799999996</v>
      </c>
      <c r="BL265" s="113">
        <v>7.0067079000000003</v>
      </c>
      <c r="BM265" s="113">
        <v>2.6459551000000001</v>
      </c>
      <c r="BN265" s="113">
        <v>2.5890316999999996</v>
      </c>
      <c r="BO265" s="113">
        <v>1</v>
      </c>
      <c r="BP265" s="113">
        <v>1</v>
      </c>
      <c r="BQ265" s="113">
        <v>0</v>
      </c>
      <c r="BR265" s="101"/>
      <c r="BS265">
        <f t="shared" si="481"/>
        <v>0</v>
      </c>
      <c r="BT265">
        <f t="shared" si="481"/>
        <v>0</v>
      </c>
      <c r="BU265">
        <f t="shared" si="481"/>
        <v>0</v>
      </c>
      <c r="BV265">
        <f t="shared" si="481"/>
        <v>0</v>
      </c>
      <c r="BW265">
        <f t="shared" si="481"/>
        <v>0</v>
      </c>
      <c r="BX265">
        <f t="shared" si="481"/>
        <v>0</v>
      </c>
      <c r="BY265">
        <f t="shared" si="481"/>
        <v>0</v>
      </c>
      <c r="BZ265">
        <f t="shared" si="481"/>
        <v>0</v>
      </c>
      <c r="CA265">
        <f t="shared" si="481"/>
        <v>0</v>
      </c>
      <c r="CB265">
        <f t="shared" si="481"/>
        <v>0</v>
      </c>
      <c r="CC265">
        <f t="shared" si="482"/>
        <v>0</v>
      </c>
      <c r="CD265">
        <f t="shared" si="482"/>
        <v>0</v>
      </c>
      <c r="CE265">
        <f t="shared" si="482"/>
        <v>0</v>
      </c>
      <c r="CF265">
        <f t="shared" si="482"/>
        <v>0</v>
      </c>
      <c r="CG265">
        <f t="shared" si="482"/>
        <v>0</v>
      </c>
      <c r="CH265">
        <f t="shared" si="482"/>
        <v>0</v>
      </c>
      <c r="CI265">
        <f t="shared" si="482"/>
        <v>0</v>
      </c>
      <c r="CJ265">
        <f t="shared" si="482"/>
        <v>0</v>
      </c>
      <c r="CK265">
        <f t="shared" si="482"/>
        <v>0</v>
      </c>
      <c r="CL265">
        <f t="shared" si="482"/>
        <v>0</v>
      </c>
      <c r="CM265">
        <f t="shared" si="483"/>
        <v>0</v>
      </c>
      <c r="CN265">
        <f t="shared" si="483"/>
        <v>0</v>
      </c>
      <c r="CO265">
        <f t="shared" si="483"/>
        <v>0</v>
      </c>
      <c r="CP265">
        <f t="shared" si="483"/>
        <v>0</v>
      </c>
      <c r="CQ265">
        <f t="shared" si="483"/>
        <v>0</v>
      </c>
      <c r="CR265">
        <f t="shared" si="483"/>
        <v>0</v>
      </c>
      <c r="CS265">
        <f t="shared" si="483"/>
        <v>0</v>
      </c>
      <c r="CT265">
        <f t="shared" si="483"/>
        <v>0</v>
      </c>
      <c r="CU265">
        <f t="shared" si="483"/>
        <v>0</v>
      </c>
      <c r="CV265">
        <f t="shared" si="483"/>
        <v>0</v>
      </c>
      <c r="CW265">
        <f t="shared" si="484"/>
        <v>0</v>
      </c>
      <c r="CX265">
        <f t="shared" si="484"/>
        <v>0</v>
      </c>
      <c r="CY265">
        <f t="shared" si="484"/>
        <v>0</v>
      </c>
      <c r="CZ265">
        <f t="shared" si="484"/>
        <v>0</v>
      </c>
      <c r="DA265">
        <f t="shared" si="484"/>
        <v>0</v>
      </c>
      <c r="DB265">
        <f t="shared" si="484"/>
        <v>0</v>
      </c>
      <c r="DC265">
        <f t="shared" si="484"/>
        <v>0</v>
      </c>
      <c r="DD265">
        <f t="shared" si="484"/>
        <v>0</v>
      </c>
      <c r="DE265">
        <f t="shared" si="484"/>
        <v>0</v>
      </c>
      <c r="DF265">
        <f t="shared" si="484"/>
        <v>0</v>
      </c>
      <c r="DG265">
        <f t="shared" si="485"/>
        <v>0</v>
      </c>
      <c r="DH265">
        <f t="shared" si="485"/>
        <v>0</v>
      </c>
      <c r="DI265">
        <f t="shared" si="485"/>
        <v>0</v>
      </c>
      <c r="DJ265">
        <f t="shared" si="485"/>
        <v>0</v>
      </c>
      <c r="DK265">
        <f t="shared" si="485"/>
        <v>0</v>
      </c>
      <c r="DL265">
        <f t="shared" si="485"/>
        <v>0</v>
      </c>
      <c r="DM265">
        <f t="shared" si="485"/>
        <v>0</v>
      </c>
      <c r="DN265">
        <f t="shared" si="485"/>
        <v>0</v>
      </c>
      <c r="DO265">
        <f t="shared" si="485"/>
        <v>0</v>
      </c>
      <c r="DP265">
        <f t="shared" si="485"/>
        <v>0</v>
      </c>
      <c r="DQ265">
        <f t="shared" si="486"/>
        <v>0</v>
      </c>
      <c r="DR265">
        <f t="shared" si="486"/>
        <v>0</v>
      </c>
      <c r="DS265">
        <f t="shared" si="486"/>
        <v>0</v>
      </c>
      <c r="DT265">
        <f t="shared" si="486"/>
        <v>0</v>
      </c>
      <c r="DU265">
        <f t="shared" si="486"/>
        <v>0</v>
      </c>
      <c r="DV265">
        <f t="shared" si="486"/>
        <v>0</v>
      </c>
      <c r="DW265">
        <f t="shared" si="486"/>
        <v>0</v>
      </c>
      <c r="DX265">
        <f t="shared" si="486"/>
        <v>0</v>
      </c>
      <c r="DY265">
        <f t="shared" si="486"/>
        <v>0</v>
      </c>
      <c r="DZ265">
        <f t="shared" si="486"/>
        <v>0</v>
      </c>
      <c r="EA265">
        <f t="shared" si="489"/>
        <v>0</v>
      </c>
      <c r="EB265">
        <f t="shared" si="489"/>
        <v>0</v>
      </c>
      <c r="EC265">
        <f t="shared" si="489"/>
        <v>0</v>
      </c>
      <c r="ED265">
        <f t="shared" si="489"/>
        <v>0</v>
      </c>
      <c r="EE265">
        <f t="shared" si="489"/>
        <v>0</v>
      </c>
      <c r="EF265">
        <f t="shared" si="489"/>
        <v>0</v>
      </c>
    </row>
    <row r="266" spans="1:136" ht="15.5">
      <c r="A266" s="90"/>
      <c r="B266" s="19" t="s">
        <v>212</v>
      </c>
      <c r="C266" s="9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18"/>
      <c r="O266" s="18"/>
      <c r="P266" s="18"/>
      <c r="Q266" s="18"/>
      <c r="R266" s="18"/>
      <c r="S266" s="18"/>
      <c r="T266" s="18"/>
      <c r="U266" s="18"/>
      <c r="V266" s="18"/>
      <c r="W266" s="18">
        <v>173.18540804813838</v>
      </c>
      <c r="X266" s="18">
        <v>172.22748815165878</v>
      </c>
      <c r="Y266" s="18">
        <v>133.36768115408677</v>
      </c>
      <c r="Z266" s="18">
        <v>107.23958491829219</v>
      </c>
      <c r="AA266" s="18">
        <v>97.480314960629926</v>
      </c>
      <c r="AB266" s="18">
        <v>78.5812356979405</v>
      </c>
      <c r="AC266" s="18">
        <v>74.253897550111361</v>
      </c>
      <c r="AD266" s="18">
        <v>97.543373459195749</v>
      </c>
      <c r="AE266" s="18">
        <v>108.5712384374792</v>
      </c>
      <c r="AF266" s="18">
        <v>103.10559006211179</v>
      </c>
      <c r="AG266" s="18">
        <v>91.849529780564268</v>
      </c>
      <c r="AH266" s="18">
        <v>111.02941176470588</v>
      </c>
      <c r="AI266" s="18">
        <v>114.34584356366186</v>
      </c>
      <c r="AJ266" s="18">
        <v>159.48111407859594</v>
      </c>
      <c r="AK266" s="18">
        <v>271.89265536723167</v>
      </c>
      <c r="AL266" s="18">
        <v>273.6625514403292</v>
      </c>
      <c r="AM266" s="18">
        <v>327.75510204081633</v>
      </c>
      <c r="AN266" s="18">
        <v>234.22399090392267</v>
      </c>
      <c r="AO266" s="18">
        <v>219.62057767902922</v>
      </c>
      <c r="AP266" s="18">
        <v>224.11953041622198</v>
      </c>
      <c r="AQ266" s="18">
        <v>185.05013673655424</v>
      </c>
      <c r="AR266" s="18">
        <v>152.11835911230665</v>
      </c>
      <c r="AS266" s="18">
        <v>134.06292749658002</v>
      </c>
      <c r="AT266" s="18">
        <v>133.91703746232236</v>
      </c>
      <c r="AU266" s="18">
        <v>191.75870690843226</v>
      </c>
      <c r="AV266" s="18">
        <v>210.01716989823694</v>
      </c>
      <c r="AW266" s="18">
        <v>198.25778934432154</v>
      </c>
      <c r="AX266" s="18">
        <v>226.24154429962053</v>
      </c>
      <c r="AY266" s="18">
        <v>255.79839429081179</v>
      </c>
      <c r="AZ266" s="18">
        <v>238.19911002530321</v>
      </c>
      <c r="BA266" s="18">
        <v>402.38383295245779</v>
      </c>
      <c r="BB266" s="18">
        <v>358.34010036021408</v>
      </c>
      <c r="BC266" s="18">
        <v>341.11201298701297</v>
      </c>
      <c r="BD266" s="18">
        <v>329.88903184303632</v>
      </c>
      <c r="BE266" s="25">
        <v>380.23211966313323</v>
      </c>
      <c r="BF266" s="18">
        <v>95.133109188116634</v>
      </c>
      <c r="BG266" s="18">
        <v>195.36951041528459</v>
      </c>
      <c r="BH266" s="18">
        <v>383.70221648581031</v>
      </c>
      <c r="BI266" s="18">
        <v>424.39881409904473</v>
      </c>
      <c r="BJ266" s="71">
        <v>347.42268041237111</v>
      </c>
      <c r="BK266" s="113">
        <v>293.15466144602715</v>
      </c>
      <c r="BL266" s="113">
        <v>296.34452609059628</v>
      </c>
      <c r="BM266" s="113">
        <v>255.18919198716287</v>
      </c>
      <c r="BN266" s="113">
        <v>228.31120716270456</v>
      </c>
      <c r="BO266" s="113">
        <v>245.27363184079601</v>
      </c>
      <c r="BP266" s="113">
        <v>235</v>
      </c>
      <c r="BQ266" s="113">
        <v>260</v>
      </c>
      <c r="BR266" s="101"/>
      <c r="BS266">
        <f t="shared" si="481"/>
        <v>0</v>
      </c>
      <c r="BT266">
        <f t="shared" si="481"/>
        <v>0</v>
      </c>
      <c r="BU266">
        <f t="shared" si="481"/>
        <v>0</v>
      </c>
      <c r="BV266">
        <f t="shared" si="481"/>
        <v>0</v>
      </c>
      <c r="BW266">
        <f t="shared" si="481"/>
        <v>0</v>
      </c>
      <c r="BX266">
        <f t="shared" si="481"/>
        <v>0</v>
      </c>
      <c r="BY266">
        <f t="shared" si="481"/>
        <v>0</v>
      </c>
      <c r="BZ266">
        <f t="shared" si="481"/>
        <v>0</v>
      </c>
      <c r="CA266">
        <f t="shared" si="481"/>
        <v>0</v>
      </c>
      <c r="CB266">
        <f t="shared" si="481"/>
        <v>0</v>
      </c>
      <c r="CC266">
        <f t="shared" si="482"/>
        <v>0</v>
      </c>
      <c r="CD266">
        <f t="shared" si="482"/>
        <v>0</v>
      </c>
      <c r="CE266">
        <f t="shared" si="482"/>
        <v>0</v>
      </c>
      <c r="CF266">
        <f t="shared" si="482"/>
        <v>0</v>
      </c>
      <c r="CG266">
        <f t="shared" si="482"/>
        <v>0</v>
      </c>
      <c r="CH266">
        <f t="shared" si="482"/>
        <v>0</v>
      </c>
      <c r="CI266">
        <f t="shared" si="482"/>
        <v>0</v>
      </c>
      <c r="CJ266">
        <f t="shared" si="482"/>
        <v>0</v>
      </c>
      <c r="CK266">
        <f t="shared" si="482"/>
        <v>0</v>
      </c>
      <c r="CL266">
        <f t="shared" si="482"/>
        <v>0</v>
      </c>
      <c r="CM266">
        <f t="shared" si="483"/>
        <v>0</v>
      </c>
      <c r="CN266">
        <f t="shared" si="483"/>
        <v>0</v>
      </c>
      <c r="CO266">
        <f t="shared" si="483"/>
        <v>0</v>
      </c>
      <c r="CP266">
        <f t="shared" si="483"/>
        <v>0</v>
      </c>
      <c r="CQ266">
        <f t="shared" si="483"/>
        <v>0</v>
      </c>
      <c r="CR266">
        <f t="shared" si="483"/>
        <v>0</v>
      </c>
      <c r="CS266">
        <f t="shared" si="483"/>
        <v>0</v>
      </c>
      <c r="CT266">
        <f t="shared" si="483"/>
        <v>0</v>
      </c>
      <c r="CU266">
        <f t="shared" si="483"/>
        <v>0</v>
      </c>
      <c r="CV266">
        <f t="shared" si="483"/>
        <v>0</v>
      </c>
      <c r="CW266">
        <f t="shared" si="484"/>
        <v>0</v>
      </c>
      <c r="CX266">
        <f t="shared" si="484"/>
        <v>0</v>
      </c>
      <c r="CY266">
        <f t="shared" si="484"/>
        <v>0</v>
      </c>
      <c r="CZ266">
        <f t="shared" si="484"/>
        <v>0</v>
      </c>
      <c r="DA266">
        <f t="shared" si="484"/>
        <v>0</v>
      </c>
      <c r="DB266">
        <f t="shared" si="484"/>
        <v>0</v>
      </c>
      <c r="DC266">
        <f t="shared" si="484"/>
        <v>0</v>
      </c>
      <c r="DD266">
        <f t="shared" si="484"/>
        <v>0</v>
      </c>
      <c r="DE266">
        <f t="shared" si="484"/>
        <v>0</v>
      </c>
      <c r="DF266">
        <f t="shared" si="484"/>
        <v>0</v>
      </c>
      <c r="DG266">
        <f t="shared" si="485"/>
        <v>0</v>
      </c>
      <c r="DH266">
        <f t="shared" si="485"/>
        <v>0</v>
      </c>
      <c r="DI266">
        <f t="shared" si="485"/>
        <v>0</v>
      </c>
      <c r="DJ266">
        <f t="shared" si="485"/>
        <v>0</v>
      </c>
      <c r="DK266">
        <f t="shared" si="485"/>
        <v>0</v>
      </c>
      <c r="DL266">
        <f t="shared" si="485"/>
        <v>0</v>
      </c>
      <c r="DM266">
        <f t="shared" si="485"/>
        <v>0</v>
      </c>
      <c r="DN266">
        <f t="shared" si="485"/>
        <v>0</v>
      </c>
      <c r="DO266">
        <f t="shared" si="485"/>
        <v>0</v>
      </c>
      <c r="DP266">
        <f t="shared" si="485"/>
        <v>0</v>
      </c>
      <c r="DQ266">
        <f t="shared" si="486"/>
        <v>0</v>
      </c>
      <c r="DR266">
        <f t="shared" si="486"/>
        <v>0</v>
      </c>
      <c r="DS266">
        <f t="shared" si="486"/>
        <v>0</v>
      </c>
      <c r="DT266">
        <f t="shared" si="486"/>
        <v>0</v>
      </c>
      <c r="DU266">
        <f t="shared" si="486"/>
        <v>0</v>
      </c>
      <c r="DV266">
        <f t="shared" si="486"/>
        <v>0</v>
      </c>
      <c r="DW266">
        <f t="shared" si="486"/>
        <v>0</v>
      </c>
      <c r="DX266">
        <f t="shared" si="486"/>
        <v>0</v>
      </c>
      <c r="DY266">
        <f t="shared" si="486"/>
        <v>0</v>
      </c>
      <c r="DZ266">
        <f t="shared" si="486"/>
        <v>0</v>
      </c>
      <c r="EA266">
        <f t="shared" si="489"/>
        <v>0</v>
      </c>
      <c r="EB266">
        <f t="shared" si="489"/>
        <v>0</v>
      </c>
      <c r="EC266">
        <f t="shared" si="489"/>
        <v>0</v>
      </c>
      <c r="ED266">
        <f t="shared" si="489"/>
        <v>0</v>
      </c>
      <c r="EE266">
        <f t="shared" si="489"/>
        <v>0</v>
      </c>
      <c r="EF266">
        <f t="shared" si="489"/>
        <v>0</v>
      </c>
    </row>
    <row r="267" spans="1:136" ht="15.5">
      <c r="A267" s="90"/>
      <c r="B267" s="19"/>
      <c r="C267" s="94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39"/>
      <c r="BM267" s="2"/>
      <c r="BN267" s="2"/>
      <c r="BO267" s="2"/>
      <c r="BP267" s="2"/>
      <c r="BQ267" s="2"/>
      <c r="BR267" s="101"/>
    </row>
    <row r="268" spans="1:136" ht="15.5">
      <c r="A268" s="93">
        <v>29</v>
      </c>
      <c r="B268" s="54" t="s">
        <v>44</v>
      </c>
      <c r="C268" s="94">
        <v>4</v>
      </c>
      <c r="D268" s="39">
        <f t="shared" ref="D268:AI268" si="490">SUM(D269:D275)</f>
        <v>0</v>
      </c>
      <c r="E268" s="39">
        <f t="shared" si="490"/>
        <v>0</v>
      </c>
      <c r="F268" s="39">
        <f t="shared" si="490"/>
        <v>0</v>
      </c>
      <c r="G268" s="39">
        <f t="shared" si="490"/>
        <v>0</v>
      </c>
      <c r="H268" s="39">
        <f t="shared" si="490"/>
        <v>0</v>
      </c>
      <c r="I268" s="39">
        <f t="shared" si="490"/>
        <v>0</v>
      </c>
      <c r="J268" s="39">
        <f t="shared" si="490"/>
        <v>0</v>
      </c>
      <c r="K268" s="39">
        <f t="shared" si="490"/>
        <v>0</v>
      </c>
      <c r="L268" s="39">
        <f t="shared" si="490"/>
        <v>0</v>
      </c>
      <c r="M268" s="39">
        <f t="shared" si="490"/>
        <v>0</v>
      </c>
      <c r="N268" s="39">
        <f t="shared" si="490"/>
        <v>1.836463</v>
      </c>
      <c r="O268" s="39">
        <f t="shared" si="490"/>
        <v>2.1449349999999998</v>
      </c>
      <c r="P268" s="39">
        <f t="shared" si="490"/>
        <v>3.2643710000000001</v>
      </c>
      <c r="Q268" s="39">
        <f t="shared" si="490"/>
        <v>5.6391819999999999</v>
      </c>
      <c r="R268" s="39">
        <f t="shared" si="490"/>
        <v>7.5346510000000002</v>
      </c>
      <c r="S268" s="39">
        <f t="shared" si="490"/>
        <v>9.3260710000000007</v>
      </c>
      <c r="T268" s="39">
        <f t="shared" si="490"/>
        <v>12.035570999999999</v>
      </c>
      <c r="U268" s="39">
        <f t="shared" si="490"/>
        <v>15.675979999999999</v>
      </c>
      <c r="V268" s="39">
        <f t="shared" si="490"/>
        <v>22.529149</v>
      </c>
      <c r="W268" s="39">
        <f t="shared" si="490"/>
        <v>32.275760000000005</v>
      </c>
      <c r="X268" s="39">
        <f t="shared" si="490"/>
        <v>37.694429999999997</v>
      </c>
      <c r="Y268" s="39">
        <f t="shared" si="490"/>
        <v>35.871980000000001</v>
      </c>
      <c r="Z268" s="39">
        <f t="shared" si="490"/>
        <v>29.911902999999999</v>
      </c>
      <c r="AA268" s="39">
        <f t="shared" si="490"/>
        <v>30.449832000000001</v>
      </c>
      <c r="AB268" s="39">
        <f t="shared" si="490"/>
        <v>42.767254446230368</v>
      </c>
      <c r="AC268" s="39">
        <f t="shared" si="490"/>
        <v>59.648579999999995</v>
      </c>
      <c r="AD268" s="39">
        <f t="shared" si="490"/>
        <v>74.893330000000006</v>
      </c>
      <c r="AE268" s="39">
        <f t="shared" si="490"/>
        <v>93.917320000000004</v>
      </c>
      <c r="AF268" s="39">
        <f t="shared" si="490"/>
        <v>86.26652</v>
      </c>
      <c r="AG268" s="39">
        <f t="shared" si="490"/>
        <v>113.42953</v>
      </c>
      <c r="AH268" s="39">
        <f t="shared" si="490"/>
        <v>39.258706000000004</v>
      </c>
      <c r="AI268" s="39">
        <f t="shared" si="490"/>
        <v>30.529977000000002</v>
      </c>
      <c r="AJ268" s="39">
        <f t="shared" ref="AJ268:BQ268" si="491">SUM(AJ269:AJ275)</f>
        <v>39.396821000000003</v>
      </c>
      <c r="AK268" s="39">
        <f t="shared" si="491"/>
        <v>43.515519999999995</v>
      </c>
      <c r="AL268" s="39">
        <f t="shared" si="491"/>
        <v>52.052177</v>
      </c>
      <c r="AM268" s="39">
        <f t="shared" si="491"/>
        <v>115.142444</v>
      </c>
      <c r="AN268" s="39">
        <f t="shared" si="491"/>
        <v>60.284650999999997</v>
      </c>
      <c r="AO268" s="39">
        <f t="shared" si="491"/>
        <v>49.115653999999999</v>
      </c>
      <c r="AP268" s="39">
        <f t="shared" si="491"/>
        <v>54.517111</v>
      </c>
      <c r="AQ268" s="39">
        <f t="shared" si="491"/>
        <v>55.110028</v>
      </c>
      <c r="AR268" s="39">
        <f t="shared" si="491"/>
        <v>62.434062000000004</v>
      </c>
      <c r="AS268" s="39">
        <f t="shared" si="491"/>
        <v>78.346097999999998</v>
      </c>
      <c r="AT268" s="39">
        <f t="shared" si="491"/>
        <v>75.283878000000001</v>
      </c>
      <c r="AU268" s="39">
        <f t="shared" si="491"/>
        <v>73.09111</v>
      </c>
      <c r="AV268" s="39">
        <f t="shared" si="491"/>
        <v>46.560815000000005</v>
      </c>
      <c r="AW268" s="39">
        <f t="shared" si="491"/>
        <v>49.775116000000004</v>
      </c>
      <c r="AX268" s="39">
        <f t="shared" si="491"/>
        <v>53.779680800000001</v>
      </c>
      <c r="AY268" s="39">
        <f t="shared" si="491"/>
        <v>31.941676700000002</v>
      </c>
      <c r="AZ268" s="39">
        <f t="shared" si="491"/>
        <v>35.270841000000004</v>
      </c>
      <c r="BA268" s="39">
        <f t="shared" si="491"/>
        <v>37.205670300000001</v>
      </c>
      <c r="BB268" s="39">
        <f t="shared" si="491"/>
        <v>51.106598200000001</v>
      </c>
      <c r="BC268" s="39">
        <f t="shared" si="491"/>
        <v>48.914660299999994</v>
      </c>
      <c r="BD268" s="39">
        <f t="shared" si="491"/>
        <v>39.660168499999997</v>
      </c>
      <c r="BE268" s="39">
        <f t="shared" si="491"/>
        <v>39.615564200000001</v>
      </c>
      <c r="BF268" s="39">
        <f t="shared" si="491"/>
        <v>1519.9753211</v>
      </c>
      <c r="BG268" s="39">
        <f t="shared" si="491"/>
        <v>2544.7431296999998</v>
      </c>
      <c r="BH268" s="39">
        <f t="shared" si="491"/>
        <v>96.717755199999999</v>
      </c>
      <c r="BI268" s="39">
        <f t="shared" si="491"/>
        <v>141.91190469999998</v>
      </c>
      <c r="BJ268" s="39">
        <f t="shared" si="491"/>
        <v>1560.4039559</v>
      </c>
      <c r="BK268" s="39">
        <f t="shared" si="491"/>
        <v>154.4039559</v>
      </c>
      <c r="BL268" s="39">
        <f t="shared" si="491"/>
        <v>146.4039559</v>
      </c>
      <c r="BM268" s="39">
        <f t="shared" si="491"/>
        <v>1273</v>
      </c>
      <c r="BN268" s="39">
        <f t="shared" si="491"/>
        <v>1436</v>
      </c>
      <c r="BO268" s="39">
        <f t="shared" si="491"/>
        <v>889</v>
      </c>
      <c r="BP268" s="39">
        <f t="shared" si="491"/>
        <v>78</v>
      </c>
      <c r="BQ268" s="39">
        <f t="shared" si="491"/>
        <v>75</v>
      </c>
      <c r="BR268" s="101"/>
      <c r="BS268">
        <f t="shared" ref="BS268:CX268" si="492">IF($C268&lt;&gt;"",IF(D268&gt;0,1,0),0)</f>
        <v>0</v>
      </c>
      <c r="BT268">
        <f t="shared" si="492"/>
        <v>0</v>
      </c>
      <c r="BU268">
        <f t="shared" si="492"/>
        <v>0</v>
      </c>
      <c r="BV268">
        <f t="shared" si="492"/>
        <v>0</v>
      </c>
      <c r="BW268">
        <f t="shared" si="492"/>
        <v>0</v>
      </c>
      <c r="BX268">
        <f t="shared" si="492"/>
        <v>0</v>
      </c>
      <c r="BY268">
        <f t="shared" si="492"/>
        <v>0</v>
      </c>
      <c r="BZ268">
        <f t="shared" si="492"/>
        <v>0</v>
      </c>
      <c r="CA268">
        <f t="shared" si="492"/>
        <v>0</v>
      </c>
      <c r="CB268">
        <f t="shared" si="492"/>
        <v>0</v>
      </c>
      <c r="CC268">
        <f t="shared" si="492"/>
        <v>1</v>
      </c>
      <c r="CD268">
        <f t="shared" si="492"/>
        <v>1</v>
      </c>
      <c r="CE268">
        <f t="shared" si="492"/>
        <v>1</v>
      </c>
      <c r="CF268">
        <f t="shared" si="492"/>
        <v>1</v>
      </c>
      <c r="CG268">
        <f t="shared" si="492"/>
        <v>1</v>
      </c>
      <c r="CH268">
        <f t="shared" si="492"/>
        <v>1</v>
      </c>
      <c r="CI268">
        <f t="shared" si="492"/>
        <v>1</v>
      </c>
      <c r="CJ268">
        <f t="shared" si="492"/>
        <v>1</v>
      </c>
      <c r="CK268">
        <f t="shared" si="492"/>
        <v>1</v>
      </c>
      <c r="CL268">
        <f t="shared" si="492"/>
        <v>1</v>
      </c>
      <c r="CM268">
        <f t="shared" si="492"/>
        <v>1</v>
      </c>
      <c r="CN268">
        <f t="shared" si="492"/>
        <v>1</v>
      </c>
      <c r="CO268">
        <f t="shared" si="492"/>
        <v>1</v>
      </c>
      <c r="CP268">
        <f t="shared" si="492"/>
        <v>1</v>
      </c>
      <c r="CQ268">
        <f t="shared" si="492"/>
        <v>1</v>
      </c>
      <c r="CR268">
        <f t="shared" si="492"/>
        <v>1</v>
      </c>
      <c r="CS268">
        <f t="shared" si="492"/>
        <v>1</v>
      </c>
      <c r="CT268">
        <f t="shared" si="492"/>
        <v>1</v>
      </c>
      <c r="CU268">
        <f t="shared" si="492"/>
        <v>1</v>
      </c>
      <c r="CV268">
        <f t="shared" si="492"/>
        <v>1</v>
      </c>
      <c r="CW268">
        <f t="shared" si="492"/>
        <v>1</v>
      </c>
      <c r="CX268">
        <f t="shared" si="492"/>
        <v>1</v>
      </c>
      <c r="CY268">
        <f t="shared" ref="CY268:ED268" si="493">IF($C268&lt;&gt;"",IF(AJ268&gt;0,1,0),0)</f>
        <v>1</v>
      </c>
      <c r="CZ268">
        <f t="shared" si="493"/>
        <v>1</v>
      </c>
      <c r="DA268">
        <f t="shared" si="493"/>
        <v>1</v>
      </c>
      <c r="DB268">
        <f t="shared" si="493"/>
        <v>1</v>
      </c>
      <c r="DC268">
        <f t="shared" si="493"/>
        <v>1</v>
      </c>
      <c r="DD268">
        <f t="shared" si="493"/>
        <v>1</v>
      </c>
      <c r="DE268">
        <f t="shared" si="493"/>
        <v>1</v>
      </c>
      <c r="DF268">
        <f t="shared" si="493"/>
        <v>1</v>
      </c>
      <c r="DG268">
        <f t="shared" si="493"/>
        <v>1</v>
      </c>
      <c r="DH268">
        <f t="shared" si="493"/>
        <v>1</v>
      </c>
      <c r="DI268">
        <f t="shared" si="493"/>
        <v>1</v>
      </c>
      <c r="DJ268">
        <f t="shared" si="493"/>
        <v>1</v>
      </c>
      <c r="DK268">
        <f t="shared" si="493"/>
        <v>1</v>
      </c>
      <c r="DL268">
        <f t="shared" si="493"/>
        <v>1</v>
      </c>
      <c r="DM268">
        <f t="shared" si="493"/>
        <v>1</v>
      </c>
      <c r="DN268">
        <f t="shared" si="493"/>
        <v>1</v>
      </c>
      <c r="DO268">
        <f t="shared" si="493"/>
        <v>1</v>
      </c>
      <c r="DP268">
        <f t="shared" si="493"/>
        <v>1</v>
      </c>
      <c r="DQ268">
        <f t="shared" si="493"/>
        <v>1</v>
      </c>
      <c r="DR268">
        <f t="shared" si="493"/>
        <v>1</v>
      </c>
      <c r="DS268">
        <f t="shared" si="493"/>
        <v>1</v>
      </c>
      <c r="DT268">
        <f t="shared" si="493"/>
        <v>1</v>
      </c>
      <c r="DU268">
        <f t="shared" si="493"/>
        <v>1</v>
      </c>
      <c r="DV268">
        <f t="shared" si="493"/>
        <v>1</v>
      </c>
      <c r="DW268">
        <f t="shared" si="493"/>
        <v>1</v>
      </c>
      <c r="DX268">
        <f t="shared" si="493"/>
        <v>1</v>
      </c>
      <c r="DY268">
        <f t="shared" si="493"/>
        <v>1</v>
      </c>
      <c r="DZ268">
        <f t="shared" si="493"/>
        <v>1</v>
      </c>
      <c r="EA268">
        <f t="shared" si="493"/>
        <v>1</v>
      </c>
      <c r="EB268">
        <f t="shared" si="493"/>
        <v>1</v>
      </c>
      <c r="EC268">
        <f t="shared" si="493"/>
        <v>1</v>
      </c>
      <c r="ED268">
        <f t="shared" si="493"/>
        <v>1</v>
      </c>
      <c r="EE268">
        <f t="shared" ref="EE268:EF268" si="494">IF($C268&lt;&gt;"",IF(BP268&gt;0,1,0),0)</f>
        <v>1</v>
      </c>
      <c r="EF268">
        <f t="shared" si="494"/>
        <v>1</v>
      </c>
    </row>
    <row r="269" spans="1:136" ht="15.5">
      <c r="A269" s="90"/>
      <c r="B269" s="24" t="s">
        <v>15</v>
      </c>
      <c r="C269" s="95"/>
      <c r="D269" s="18">
        <v>0</v>
      </c>
      <c r="E269" s="18">
        <v>0</v>
      </c>
      <c r="F269" s="18">
        <v>0</v>
      </c>
      <c r="G269" s="18">
        <v>0</v>
      </c>
      <c r="H269" s="18">
        <v>0</v>
      </c>
      <c r="I269" s="18">
        <v>0</v>
      </c>
      <c r="J269" s="18">
        <v>0</v>
      </c>
      <c r="K269" s="18">
        <v>0</v>
      </c>
      <c r="L269" s="18">
        <v>0</v>
      </c>
      <c r="M269" s="18">
        <v>0</v>
      </c>
      <c r="N269" s="18">
        <v>0</v>
      </c>
      <c r="O269" s="18">
        <v>0</v>
      </c>
      <c r="P269" s="18">
        <v>0</v>
      </c>
      <c r="Q269" s="18">
        <v>0</v>
      </c>
      <c r="R269" s="18">
        <v>0</v>
      </c>
      <c r="S269" s="18">
        <v>0</v>
      </c>
      <c r="T269" s="18">
        <v>0</v>
      </c>
      <c r="U269" s="18">
        <v>0</v>
      </c>
      <c r="V269" s="18">
        <v>0</v>
      </c>
      <c r="W269" s="18">
        <v>0</v>
      </c>
      <c r="X269" s="18">
        <v>0</v>
      </c>
      <c r="Y269" s="18">
        <v>0</v>
      </c>
      <c r="Z269" s="18">
        <v>0</v>
      </c>
      <c r="AA269" s="18">
        <v>0</v>
      </c>
      <c r="AB269" s="18">
        <v>13.378406446230365</v>
      </c>
      <c r="AC269" s="18">
        <v>0</v>
      </c>
      <c r="AD269" s="18">
        <v>0</v>
      </c>
      <c r="AE269" s="18">
        <v>0</v>
      </c>
      <c r="AF269" s="18">
        <v>0</v>
      </c>
      <c r="AG269" s="18">
        <v>0</v>
      </c>
      <c r="AH269" s="18">
        <v>0</v>
      </c>
      <c r="AI269" s="18">
        <v>0</v>
      </c>
      <c r="AJ269" s="18">
        <v>0</v>
      </c>
      <c r="AK269" s="18">
        <v>0</v>
      </c>
      <c r="AL269" s="18">
        <v>0</v>
      </c>
      <c r="AM269" s="18">
        <v>0</v>
      </c>
      <c r="AN269" s="18">
        <v>0</v>
      </c>
      <c r="AO269" s="18">
        <v>0</v>
      </c>
      <c r="AP269" s="18">
        <v>0</v>
      </c>
      <c r="AQ269" s="18">
        <v>0</v>
      </c>
      <c r="AR269" s="18">
        <v>0</v>
      </c>
      <c r="AS269" s="18">
        <v>0</v>
      </c>
      <c r="AT269" s="18">
        <v>0</v>
      </c>
      <c r="AU269" s="18">
        <v>0</v>
      </c>
      <c r="AV269" s="18">
        <v>0</v>
      </c>
      <c r="AW269" s="18">
        <v>0</v>
      </c>
      <c r="AX269" s="18">
        <v>0</v>
      </c>
      <c r="AY269" s="18">
        <v>0</v>
      </c>
      <c r="AZ269" s="18">
        <v>0</v>
      </c>
      <c r="BA269" s="18">
        <v>0</v>
      </c>
      <c r="BB269" s="18">
        <v>0</v>
      </c>
      <c r="BC269" s="18">
        <v>0</v>
      </c>
      <c r="BD269" s="18">
        <v>0</v>
      </c>
      <c r="BE269" s="25">
        <v>0</v>
      </c>
      <c r="BF269" s="18">
        <v>0</v>
      </c>
      <c r="BG269" s="18">
        <v>0</v>
      </c>
      <c r="BH269" s="18">
        <v>0</v>
      </c>
      <c r="BI269" s="18">
        <v>0</v>
      </c>
      <c r="BJ269" s="113">
        <v>0</v>
      </c>
      <c r="BK269" s="113">
        <v>0</v>
      </c>
      <c r="BL269" s="113">
        <v>0</v>
      </c>
      <c r="BM269" s="113">
        <v>0</v>
      </c>
      <c r="BN269" s="113">
        <v>0</v>
      </c>
      <c r="BO269" s="113">
        <v>0</v>
      </c>
      <c r="BP269" s="113">
        <v>0</v>
      </c>
      <c r="BQ269" s="113">
        <v>0</v>
      </c>
      <c r="BR269" s="101"/>
      <c r="BS269">
        <f t="shared" ref="BS269:CB276" si="495">IF($C269&lt;&gt;"",IF(D269&gt;0,1,0),0)</f>
        <v>0</v>
      </c>
      <c r="BT269">
        <f t="shared" si="495"/>
        <v>0</v>
      </c>
      <c r="BU269">
        <f t="shared" si="495"/>
        <v>0</v>
      </c>
      <c r="BV269">
        <f t="shared" si="495"/>
        <v>0</v>
      </c>
      <c r="BW269">
        <f t="shared" si="495"/>
        <v>0</v>
      </c>
      <c r="BX269">
        <f t="shared" si="495"/>
        <v>0</v>
      </c>
      <c r="BY269">
        <f t="shared" si="495"/>
        <v>0</v>
      </c>
      <c r="BZ269">
        <f t="shared" si="495"/>
        <v>0</v>
      </c>
      <c r="CA269">
        <f t="shared" si="495"/>
        <v>0</v>
      </c>
      <c r="CB269">
        <f t="shared" si="495"/>
        <v>0</v>
      </c>
      <c r="CC269">
        <f t="shared" ref="CC269:CL276" si="496">IF($C269&lt;&gt;"",IF(N269&gt;0,1,0),0)</f>
        <v>0</v>
      </c>
      <c r="CD269">
        <f t="shared" si="496"/>
        <v>0</v>
      </c>
      <c r="CE269">
        <f t="shared" si="496"/>
        <v>0</v>
      </c>
      <c r="CF269">
        <f t="shared" si="496"/>
        <v>0</v>
      </c>
      <c r="CG269">
        <f t="shared" si="496"/>
        <v>0</v>
      </c>
      <c r="CH269">
        <f t="shared" si="496"/>
        <v>0</v>
      </c>
      <c r="CI269">
        <f t="shared" si="496"/>
        <v>0</v>
      </c>
      <c r="CJ269">
        <f t="shared" si="496"/>
        <v>0</v>
      </c>
      <c r="CK269">
        <f t="shared" si="496"/>
        <v>0</v>
      </c>
      <c r="CL269">
        <f t="shared" si="496"/>
        <v>0</v>
      </c>
      <c r="CM269">
        <f t="shared" ref="CM269:CV276" si="497">IF($C269&lt;&gt;"",IF(X269&gt;0,1,0),0)</f>
        <v>0</v>
      </c>
      <c r="CN269">
        <f t="shared" si="497"/>
        <v>0</v>
      </c>
      <c r="CO269">
        <f t="shared" si="497"/>
        <v>0</v>
      </c>
      <c r="CP269">
        <f t="shared" si="497"/>
        <v>0</v>
      </c>
      <c r="CQ269">
        <f t="shared" si="497"/>
        <v>0</v>
      </c>
      <c r="CR269">
        <f t="shared" si="497"/>
        <v>0</v>
      </c>
      <c r="CS269">
        <f t="shared" si="497"/>
        <v>0</v>
      </c>
      <c r="CT269">
        <f t="shared" si="497"/>
        <v>0</v>
      </c>
      <c r="CU269">
        <f t="shared" si="497"/>
        <v>0</v>
      </c>
      <c r="CV269">
        <f t="shared" si="497"/>
        <v>0</v>
      </c>
      <c r="CW269">
        <f t="shared" ref="CW269:DF276" si="498">IF($C269&lt;&gt;"",IF(AH269&gt;0,1,0),0)</f>
        <v>0</v>
      </c>
      <c r="CX269">
        <f t="shared" si="498"/>
        <v>0</v>
      </c>
      <c r="CY269">
        <f t="shared" si="498"/>
        <v>0</v>
      </c>
      <c r="CZ269">
        <f t="shared" si="498"/>
        <v>0</v>
      </c>
      <c r="DA269">
        <f t="shared" si="498"/>
        <v>0</v>
      </c>
      <c r="DB269">
        <f t="shared" si="498"/>
        <v>0</v>
      </c>
      <c r="DC269">
        <f t="shared" si="498"/>
        <v>0</v>
      </c>
      <c r="DD269">
        <f t="shared" si="498"/>
        <v>0</v>
      </c>
      <c r="DE269">
        <f t="shared" si="498"/>
        <v>0</v>
      </c>
      <c r="DF269">
        <f t="shared" si="498"/>
        <v>0</v>
      </c>
      <c r="DG269">
        <f t="shared" ref="DG269:DP276" si="499">IF($C269&lt;&gt;"",IF(AR269&gt;0,1,0),0)</f>
        <v>0</v>
      </c>
      <c r="DH269">
        <f t="shared" si="499"/>
        <v>0</v>
      </c>
      <c r="DI269">
        <f t="shared" si="499"/>
        <v>0</v>
      </c>
      <c r="DJ269">
        <f t="shared" si="499"/>
        <v>0</v>
      </c>
      <c r="DK269">
        <f t="shared" si="499"/>
        <v>0</v>
      </c>
      <c r="DL269">
        <f t="shared" si="499"/>
        <v>0</v>
      </c>
      <c r="DM269">
        <f t="shared" si="499"/>
        <v>0</v>
      </c>
      <c r="DN269">
        <f t="shared" si="499"/>
        <v>0</v>
      </c>
      <c r="DO269">
        <f t="shared" si="499"/>
        <v>0</v>
      </c>
      <c r="DP269">
        <f t="shared" si="499"/>
        <v>0</v>
      </c>
      <c r="DQ269">
        <f t="shared" ref="DQ269:DZ276" si="500">IF($C269&lt;&gt;"",IF(BB269&gt;0,1,0),0)</f>
        <v>0</v>
      </c>
      <c r="DR269">
        <f t="shared" si="500"/>
        <v>0</v>
      </c>
      <c r="DS269">
        <f t="shared" si="500"/>
        <v>0</v>
      </c>
      <c r="DT269">
        <f t="shared" si="500"/>
        <v>0</v>
      </c>
      <c r="DU269">
        <f t="shared" si="500"/>
        <v>0</v>
      </c>
      <c r="DV269">
        <f t="shared" si="500"/>
        <v>0</v>
      </c>
      <c r="DW269">
        <f t="shared" si="500"/>
        <v>0</v>
      </c>
      <c r="DX269">
        <f t="shared" si="500"/>
        <v>0</v>
      </c>
      <c r="DY269">
        <f t="shared" si="500"/>
        <v>0</v>
      </c>
      <c r="DZ269">
        <f t="shared" si="500"/>
        <v>0</v>
      </c>
      <c r="EA269">
        <f t="shared" ref="EA269:EF275" si="501">IF($C269&lt;&gt;"",IF(BL268&gt;0,1,0),0)</f>
        <v>0</v>
      </c>
      <c r="EB269">
        <f t="shared" si="501"/>
        <v>0</v>
      </c>
      <c r="EC269">
        <f t="shared" si="501"/>
        <v>0</v>
      </c>
      <c r="ED269">
        <f t="shared" si="501"/>
        <v>0</v>
      </c>
      <c r="EE269">
        <f t="shared" si="501"/>
        <v>0</v>
      </c>
      <c r="EF269">
        <f t="shared" si="501"/>
        <v>0</v>
      </c>
    </row>
    <row r="270" spans="1:136" ht="15.5">
      <c r="A270" s="90"/>
      <c r="B270" s="24" t="s">
        <v>202</v>
      </c>
      <c r="C270" s="95"/>
      <c r="D270" s="34">
        <v>0</v>
      </c>
      <c r="E270" s="34">
        <v>0</v>
      </c>
      <c r="F270" s="34">
        <v>0</v>
      </c>
      <c r="G270" s="34">
        <v>0</v>
      </c>
      <c r="H270" s="34">
        <v>0</v>
      </c>
      <c r="I270" s="34">
        <v>0</v>
      </c>
      <c r="J270" s="34">
        <v>0</v>
      </c>
      <c r="K270" s="34">
        <v>0</v>
      </c>
      <c r="L270" s="34">
        <v>0</v>
      </c>
      <c r="M270" s="34">
        <v>0</v>
      </c>
      <c r="N270" s="34">
        <v>0</v>
      </c>
      <c r="O270" s="34">
        <v>0</v>
      </c>
      <c r="P270" s="34">
        <v>0</v>
      </c>
      <c r="Q270" s="34">
        <v>0</v>
      </c>
      <c r="R270" s="34">
        <v>0</v>
      </c>
      <c r="S270" s="34">
        <v>0</v>
      </c>
      <c r="T270" s="34">
        <v>0</v>
      </c>
      <c r="U270" s="34">
        <v>0</v>
      </c>
      <c r="V270" s="34">
        <v>0</v>
      </c>
      <c r="W270" s="60">
        <v>0</v>
      </c>
      <c r="X270" s="60">
        <v>0</v>
      </c>
      <c r="Y270" s="60">
        <v>1</v>
      </c>
      <c r="Z270" s="60">
        <v>1</v>
      </c>
      <c r="AA270" s="60">
        <v>1</v>
      </c>
      <c r="AB270" s="60">
        <v>2</v>
      </c>
      <c r="AC270" s="60">
        <v>0</v>
      </c>
      <c r="AD270" s="60">
        <v>0</v>
      </c>
      <c r="AE270" s="60">
        <v>0</v>
      </c>
      <c r="AF270" s="60">
        <v>0</v>
      </c>
      <c r="AG270" s="60">
        <v>0</v>
      </c>
      <c r="AH270" s="60">
        <v>0</v>
      </c>
      <c r="AI270" s="60">
        <v>0</v>
      </c>
      <c r="AJ270" s="60">
        <v>0</v>
      </c>
      <c r="AK270" s="60">
        <v>0</v>
      </c>
      <c r="AL270" s="60">
        <v>0</v>
      </c>
      <c r="AM270" s="60">
        <v>0</v>
      </c>
      <c r="AN270" s="60">
        <v>0</v>
      </c>
      <c r="AO270" s="60">
        <v>0</v>
      </c>
      <c r="AP270" s="60">
        <v>0</v>
      </c>
      <c r="AQ270" s="60">
        <v>0</v>
      </c>
      <c r="AR270" s="60">
        <v>0</v>
      </c>
      <c r="AS270" s="60">
        <v>0</v>
      </c>
      <c r="AT270" s="60">
        <v>0</v>
      </c>
      <c r="AU270" s="60">
        <v>0</v>
      </c>
      <c r="AV270" s="60">
        <v>0</v>
      </c>
      <c r="AW270" s="60">
        <v>0</v>
      </c>
      <c r="AX270" s="60">
        <v>0</v>
      </c>
      <c r="AY270" s="60">
        <v>0</v>
      </c>
      <c r="AZ270" s="60">
        <v>0</v>
      </c>
      <c r="BA270" s="60">
        <v>0</v>
      </c>
      <c r="BB270" s="60">
        <v>0</v>
      </c>
      <c r="BC270" s="60">
        <v>0</v>
      </c>
      <c r="BD270" s="60">
        <v>0</v>
      </c>
      <c r="BE270" s="60">
        <v>0</v>
      </c>
      <c r="BF270" s="60">
        <v>0</v>
      </c>
      <c r="BG270" s="60">
        <v>0</v>
      </c>
      <c r="BH270" s="60">
        <v>0</v>
      </c>
      <c r="BI270" s="60">
        <v>0</v>
      </c>
      <c r="BJ270" s="60">
        <v>0</v>
      </c>
      <c r="BK270" s="60">
        <v>0</v>
      </c>
      <c r="BL270" s="60">
        <v>0</v>
      </c>
      <c r="BM270" s="60">
        <v>0</v>
      </c>
      <c r="BN270" s="60">
        <v>0</v>
      </c>
      <c r="BO270" s="60">
        <v>0</v>
      </c>
      <c r="BP270" s="113">
        <v>0</v>
      </c>
      <c r="BQ270" s="113">
        <v>0</v>
      </c>
      <c r="BR270" s="101"/>
      <c r="BS270">
        <f t="shared" si="495"/>
        <v>0</v>
      </c>
      <c r="BT270">
        <f t="shared" si="495"/>
        <v>0</v>
      </c>
      <c r="BU270">
        <f t="shared" si="495"/>
        <v>0</v>
      </c>
      <c r="BV270">
        <f t="shared" si="495"/>
        <v>0</v>
      </c>
      <c r="BW270">
        <f t="shared" si="495"/>
        <v>0</v>
      </c>
      <c r="BX270">
        <f t="shared" si="495"/>
        <v>0</v>
      </c>
      <c r="BY270">
        <f t="shared" si="495"/>
        <v>0</v>
      </c>
      <c r="BZ270">
        <f t="shared" si="495"/>
        <v>0</v>
      </c>
      <c r="CA270">
        <f t="shared" si="495"/>
        <v>0</v>
      </c>
      <c r="CB270">
        <f t="shared" si="495"/>
        <v>0</v>
      </c>
      <c r="CC270">
        <f t="shared" si="496"/>
        <v>0</v>
      </c>
      <c r="CD270">
        <f t="shared" si="496"/>
        <v>0</v>
      </c>
      <c r="CE270">
        <f t="shared" si="496"/>
        <v>0</v>
      </c>
      <c r="CF270">
        <f t="shared" si="496"/>
        <v>0</v>
      </c>
      <c r="CG270">
        <f t="shared" si="496"/>
        <v>0</v>
      </c>
      <c r="CH270">
        <f t="shared" si="496"/>
        <v>0</v>
      </c>
      <c r="CI270">
        <f t="shared" si="496"/>
        <v>0</v>
      </c>
      <c r="CJ270">
        <f t="shared" si="496"/>
        <v>0</v>
      </c>
      <c r="CK270">
        <f t="shared" si="496"/>
        <v>0</v>
      </c>
      <c r="CL270">
        <f t="shared" si="496"/>
        <v>0</v>
      </c>
      <c r="CM270">
        <f t="shared" si="497"/>
        <v>0</v>
      </c>
      <c r="CN270">
        <f t="shared" si="497"/>
        <v>0</v>
      </c>
      <c r="CO270">
        <f t="shared" si="497"/>
        <v>0</v>
      </c>
      <c r="CP270">
        <f t="shared" si="497"/>
        <v>0</v>
      </c>
      <c r="CQ270">
        <f t="shared" si="497"/>
        <v>0</v>
      </c>
      <c r="CR270">
        <f t="shared" si="497"/>
        <v>0</v>
      </c>
      <c r="CS270">
        <f t="shared" si="497"/>
        <v>0</v>
      </c>
      <c r="CT270">
        <f t="shared" si="497"/>
        <v>0</v>
      </c>
      <c r="CU270">
        <f t="shared" si="497"/>
        <v>0</v>
      </c>
      <c r="CV270">
        <f t="shared" si="497"/>
        <v>0</v>
      </c>
      <c r="CW270">
        <f t="shared" si="498"/>
        <v>0</v>
      </c>
      <c r="CX270">
        <f t="shared" si="498"/>
        <v>0</v>
      </c>
      <c r="CY270">
        <f t="shared" si="498"/>
        <v>0</v>
      </c>
      <c r="CZ270">
        <f t="shared" si="498"/>
        <v>0</v>
      </c>
      <c r="DA270">
        <f t="shared" si="498"/>
        <v>0</v>
      </c>
      <c r="DB270">
        <f t="shared" si="498"/>
        <v>0</v>
      </c>
      <c r="DC270">
        <f t="shared" si="498"/>
        <v>0</v>
      </c>
      <c r="DD270">
        <f t="shared" si="498"/>
        <v>0</v>
      </c>
      <c r="DE270">
        <f t="shared" si="498"/>
        <v>0</v>
      </c>
      <c r="DF270">
        <f t="shared" si="498"/>
        <v>0</v>
      </c>
      <c r="DG270">
        <f t="shared" si="499"/>
        <v>0</v>
      </c>
      <c r="DH270">
        <f t="shared" si="499"/>
        <v>0</v>
      </c>
      <c r="DI270">
        <f t="shared" si="499"/>
        <v>0</v>
      </c>
      <c r="DJ270">
        <f t="shared" si="499"/>
        <v>0</v>
      </c>
      <c r="DK270">
        <f t="shared" si="499"/>
        <v>0</v>
      </c>
      <c r="DL270">
        <f t="shared" si="499"/>
        <v>0</v>
      </c>
      <c r="DM270">
        <f t="shared" si="499"/>
        <v>0</v>
      </c>
      <c r="DN270">
        <f t="shared" si="499"/>
        <v>0</v>
      </c>
      <c r="DO270">
        <f t="shared" si="499"/>
        <v>0</v>
      </c>
      <c r="DP270">
        <f t="shared" si="499"/>
        <v>0</v>
      </c>
      <c r="DQ270">
        <f t="shared" si="500"/>
        <v>0</v>
      </c>
      <c r="DR270">
        <f t="shared" si="500"/>
        <v>0</v>
      </c>
      <c r="DS270">
        <f t="shared" si="500"/>
        <v>0</v>
      </c>
      <c r="DT270">
        <f t="shared" si="500"/>
        <v>0</v>
      </c>
      <c r="DU270">
        <f t="shared" si="500"/>
        <v>0</v>
      </c>
      <c r="DV270">
        <f t="shared" si="500"/>
        <v>0</v>
      </c>
      <c r="DW270">
        <f t="shared" si="500"/>
        <v>0</v>
      </c>
      <c r="DX270">
        <f t="shared" si="500"/>
        <v>0</v>
      </c>
      <c r="DY270">
        <f t="shared" si="500"/>
        <v>0</v>
      </c>
      <c r="DZ270">
        <f t="shared" si="500"/>
        <v>0</v>
      </c>
      <c r="EA270">
        <f t="shared" si="501"/>
        <v>0</v>
      </c>
      <c r="EB270">
        <f t="shared" si="501"/>
        <v>0</v>
      </c>
      <c r="EC270">
        <f t="shared" si="501"/>
        <v>0</v>
      </c>
      <c r="ED270">
        <f t="shared" si="501"/>
        <v>0</v>
      </c>
      <c r="EE270">
        <f t="shared" si="501"/>
        <v>0</v>
      </c>
      <c r="EF270">
        <f t="shared" si="501"/>
        <v>0</v>
      </c>
    </row>
    <row r="271" spans="1:136" ht="15.5">
      <c r="A271" s="90"/>
      <c r="B271" s="19" t="s">
        <v>2</v>
      </c>
      <c r="C271" s="95"/>
      <c r="D271" s="18">
        <v>0</v>
      </c>
      <c r="E271" s="18">
        <v>0</v>
      </c>
      <c r="F271" s="18">
        <v>0</v>
      </c>
      <c r="G271" s="18">
        <v>0</v>
      </c>
      <c r="H271" s="18">
        <v>0</v>
      </c>
      <c r="I271" s="18">
        <v>0</v>
      </c>
      <c r="J271" s="18">
        <v>0</v>
      </c>
      <c r="K271" s="18">
        <v>0</v>
      </c>
      <c r="L271" s="18">
        <v>0</v>
      </c>
      <c r="M271" s="18">
        <v>0</v>
      </c>
      <c r="N271" s="18">
        <v>0</v>
      </c>
      <c r="O271" s="18">
        <v>0</v>
      </c>
      <c r="P271" s="18">
        <v>0</v>
      </c>
      <c r="Q271" s="18">
        <v>0</v>
      </c>
      <c r="R271" s="18">
        <v>0</v>
      </c>
      <c r="S271" s="18">
        <v>0</v>
      </c>
      <c r="T271" s="18">
        <v>0</v>
      </c>
      <c r="U271" s="18">
        <v>0</v>
      </c>
      <c r="V271" s="18">
        <v>0</v>
      </c>
      <c r="W271" s="18">
        <v>0</v>
      </c>
      <c r="X271" s="18">
        <v>0</v>
      </c>
      <c r="Y271" s="18">
        <v>0</v>
      </c>
      <c r="Z271" s="18">
        <v>0</v>
      </c>
      <c r="AA271" s="18">
        <v>0</v>
      </c>
      <c r="AB271" s="18">
        <v>0</v>
      </c>
      <c r="AC271" s="18">
        <v>0</v>
      </c>
      <c r="AD271" s="18">
        <v>0</v>
      </c>
      <c r="AE271" s="18">
        <v>0</v>
      </c>
      <c r="AF271" s="18">
        <v>0</v>
      </c>
      <c r="AG271" s="60">
        <v>33</v>
      </c>
      <c r="AH271" s="18">
        <v>0</v>
      </c>
      <c r="AI271" s="18">
        <v>0</v>
      </c>
      <c r="AJ271" s="18">
        <v>0</v>
      </c>
      <c r="AK271" s="18">
        <v>0</v>
      </c>
      <c r="AL271" s="18">
        <v>0</v>
      </c>
      <c r="AM271" s="60">
        <v>24</v>
      </c>
      <c r="AN271" s="60">
        <v>12</v>
      </c>
      <c r="AO271" s="18">
        <v>0</v>
      </c>
      <c r="AP271" s="18">
        <v>0</v>
      </c>
      <c r="AQ271" s="18">
        <v>0</v>
      </c>
      <c r="AR271" s="40" t="s">
        <v>16</v>
      </c>
      <c r="AS271" s="60">
        <v>15</v>
      </c>
      <c r="AT271" s="18">
        <v>0</v>
      </c>
      <c r="AU271" s="18">
        <v>0</v>
      </c>
      <c r="AV271" s="18">
        <v>0</v>
      </c>
      <c r="AW271" s="18">
        <v>0</v>
      </c>
      <c r="AX271" s="18">
        <v>0</v>
      </c>
      <c r="AY271" s="18">
        <v>0</v>
      </c>
      <c r="AZ271" s="18">
        <v>0</v>
      </c>
      <c r="BA271" s="18">
        <v>0</v>
      </c>
      <c r="BB271" s="18">
        <v>0</v>
      </c>
      <c r="BC271" s="18">
        <v>0</v>
      </c>
      <c r="BD271" s="18">
        <v>0</v>
      </c>
      <c r="BE271" s="18">
        <v>0</v>
      </c>
      <c r="BF271" s="40" t="s">
        <v>16</v>
      </c>
      <c r="BG271" s="18">
        <v>63</v>
      </c>
      <c r="BH271" s="18">
        <v>0</v>
      </c>
      <c r="BI271" s="18">
        <v>0</v>
      </c>
      <c r="BJ271" s="60">
        <v>0</v>
      </c>
      <c r="BK271" s="60">
        <v>0</v>
      </c>
      <c r="BL271" s="60">
        <v>1</v>
      </c>
      <c r="BM271" s="113">
        <v>1</v>
      </c>
      <c r="BN271" s="113">
        <v>113</v>
      </c>
      <c r="BO271" s="113">
        <v>115</v>
      </c>
      <c r="BP271" s="113">
        <v>0</v>
      </c>
      <c r="BQ271" s="113">
        <v>0</v>
      </c>
      <c r="BR271" s="101"/>
      <c r="BS271">
        <f t="shared" si="495"/>
        <v>0</v>
      </c>
      <c r="BT271">
        <f t="shared" si="495"/>
        <v>0</v>
      </c>
      <c r="BU271">
        <f t="shared" si="495"/>
        <v>0</v>
      </c>
      <c r="BV271">
        <f t="shared" si="495"/>
        <v>0</v>
      </c>
      <c r="BW271">
        <f t="shared" si="495"/>
        <v>0</v>
      </c>
      <c r="BX271">
        <f t="shared" si="495"/>
        <v>0</v>
      </c>
      <c r="BY271">
        <f t="shared" si="495"/>
        <v>0</v>
      </c>
      <c r="BZ271">
        <f t="shared" si="495"/>
        <v>0</v>
      </c>
      <c r="CA271">
        <f t="shared" si="495"/>
        <v>0</v>
      </c>
      <c r="CB271">
        <f t="shared" si="495"/>
        <v>0</v>
      </c>
      <c r="CC271">
        <f t="shared" si="496"/>
        <v>0</v>
      </c>
      <c r="CD271">
        <f t="shared" si="496"/>
        <v>0</v>
      </c>
      <c r="CE271">
        <f t="shared" si="496"/>
        <v>0</v>
      </c>
      <c r="CF271">
        <f t="shared" si="496"/>
        <v>0</v>
      </c>
      <c r="CG271">
        <f t="shared" si="496"/>
        <v>0</v>
      </c>
      <c r="CH271">
        <f t="shared" si="496"/>
        <v>0</v>
      </c>
      <c r="CI271">
        <f t="shared" si="496"/>
        <v>0</v>
      </c>
      <c r="CJ271">
        <f t="shared" si="496"/>
        <v>0</v>
      </c>
      <c r="CK271">
        <f t="shared" si="496"/>
        <v>0</v>
      </c>
      <c r="CL271">
        <f t="shared" si="496"/>
        <v>0</v>
      </c>
      <c r="CM271">
        <f t="shared" si="497"/>
        <v>0</v>
      </c>
      <c r="CN271">
        <f t="shared" si="497"/>
        <v>0</v>
      </c>
      <c r="CO271">
        <f t="shared" si="497"/>
        <v>0</v>
      </c>
      <c r="CP271">
        <f t="shared" si="497"/>
        <v>0</v>
      </c>
      <c r="CQ271">
        <f t="shared" si="497"/>
        <v>0</v>
      </c>
      <c r="CR271">
        <f t="shared" si="497"/>
        <v>0</v>
      </c>
      <c r="CS271">
        <f t="shared" si="497"/>
        <v>0</v>
      </c>
      <c r="CT271">
        <f t="shared" si="497"/>
        <v>0</v>
      </c>
      <c r="CU271">
        <f t="shared" si="497"/>
        <v>0</v>
      </c>
      <c r="CV271">
        <f t="shared" si="497"/>
        <v>0</v>
      </c>
      <c r="CW271">
        <f t="shared" si="498"/>
        <v>0</v>
      </c>
      <c r="CX271">
        <f t="shared" si="498"/>
        <v>0</v>
      </c>
      <c r="CY271">
        <f t="shared" si="498"/>
        <v>0</v>
      </c>
      <c r="CZ271">
        <f t="shared" si="498"/>
        <v>0</v>
      </c>
      <c r="DA271">
        <f t="shared" si="498"/>
        <v>0</v>
      </c>
      <c r="DB271">
        <f t="shared" si="498"/>
        <v>0</v>
      </c>
      <c r="DC271">
        <f t="shared" si="498"/>
        <v>0</v>
      </c>
      <c r="DD271">
        <f t="shared" si="498"/>
        <v>0</v>
      </c>
      <c r="DE271">
        <f t="shared" si="498"/>
        <v>0</v>
      </c>
      <c r="DF271">
        <f t="shared" si="498"/>
        <v>0</v>
      </c>
      <c r="DG271">
        <f t="shared" si="499"/>
        <v>0</v>
      </c>
      <c r="DH271">
        <f t="shared" si="499"/>
        <v>0</v>
      </c>
      <c r="DI271">
        <f t="shared" si="499"/>
        <v>0</v>
      </c>
      <c r="DJ271">
        <f t="shared" si="499"/>
        <v>0</v>
      </c>
      <c r="DK271">
        <f t="shared" si="499"/>
        <v>0</v>
      </c>
      <c r="DL271">
        <f t="shared" si="499"/>
        <v>0</v>
      </c>
      <c r="DM271">
        <f t="shared" si="499"/>
        <v>0</v>
      </c>
      <c r="DN271">
        <f t="shared" si="499"/>
        <v>0</v>
      </c>
      <c r="DO271">
        <f t="shared" si="499"/>
        <v>0</v>
      </c>
      <c r="DP271">
        <f t="shared" si="499"/>
        <v>0</v>
      </c>
      <c r="DQ271">
        <f t="shared" si="500"/>
        <v>0</v>
      </c>
      <c r="DR271">
        <f t="shared" si="500"/>
        <v>0</v>
      </c>
      <c r="DS271">
        <f t="shared" si="500"/>
        <v>0</v>
      </c>
      <c r="DT271">
        <f t="shared" si="500"/>
        <v>0</v>
      </c>
      <c r="DU271">
        <f t="shared" si="500"/>
        <v>0</v>
      </c>
      <c r="DV271">
        <f t="shared" si="500"/>
        <v>0</v>
      </c>
      <c r="DW271">
        <f t="shared" si="500"/>
        <v>0</v>
      </c>
      <c r="DX271">
        <f t="shared" si="500"/>
        <v>0</v>
      </c>
      <c r="DY271">
        <f t="shared" si="500"/>
        <v>0</v>
      </c>
      <c r="DZ271">
        <f t="shared" si="500"/>
        <v>0</v>
      </c>
      <c r="EA271">
        <f t="shared" si="501"/>
        <v>0</v>
      </c>
      <c r="EB271">
        <f t="shared" si="501"/>
        <v>0</v>
      </c>
      <c r="EC271">
        <f t="shared" si="501"/>
        <v>0</v>
      </c>
      <c r="ED271">
        <f t="shared" si="501"/>
        <v>0</v>
      </c>
      <c r="EE271">
        <f t="shared" si="501"/>
        <v>0</v>
      </c>
      <c r="EF271">
        <f t="shared" si="501"/>
        <v>0</v>
      </c>
    </row>
    <row r="272" spans="1:136" ht="15.5">
      <c r="A272" s="90"/>
      <c r="B272" s="19" t="s">
        <v>205</v>
      </c>
      <c r="C272" s="95"/>
      <c r="D272" s="18">
        <v>0</v>
      </c>
      <c r="E272" s="18">
        <v>0</v>
      </c>
      <c r="F272" s="18">
        <v>0</v>
      </c>
      <c r="G272" s="18">
        <v>0</v>
      </c>
      <c r="H272" s="18">
        <v>0</v>
      </c>
      <c r="I272" s="18">
        <v>0</v>
      </c>
      <c r="J272" s="18">
        <v>0</v>
      </c>
      <c r="K272" s="18">
        <v>0</v>
      </c>
      <c r="L272" s="18">
        <v>0</v>
      </c>
      <c r="M272" s="18">
        <v>0</v>
      </c>
      <c r="N272" s="18">
        <v>0</v>
      </c>
      <c r="O272" s="18">
        <v>0</v>
      </c>
      <c r="P272" s="18">
        <v>0</v>
      </c>
      <c r="Q272" s="18">
        <v>0</v>
      </c>
      <c r="R272" s="18">
        <v>0</v>
      </c>
      <c r="S272" s="18">
        <v>0</v>
      </c>
      <c r="T272" s="60">
        <v>0</v>
      </c>
      <c r="U272" s="60">
        <v>0</v>
      </c>
      <c r="V272" s="60">
        <v>0</v>
      </c>
      <c r="W272" s="60">
        <v>0</v>
      </c>
      <c r="X272" s="60">
        <v>0</v>
      </c>
      <c r="Y272" s="60">
        <v>0</v>
      </c>
      <c r="Z272" s="60">
        <v>0</v>
      </c>
      <c r="AA272" s="60">
        <v>0</v>
      </c>
      <c r="AB272" s="60">
        <v>0</v>
      </c>
      <c r="AC272" s="60">
        <v>0</v>
      </c>
      <c r="AD272" s="60">
        <v>0</v>
      </c>
      <c r="AE272" s="60">
        <v>0</v>
      </c>
      <c r="AF272" s="60">
        <v>0.2923075</v>
      </c>
      <c r="AG272" s="60">
        <v>0.46081149999999999</v>
      </c>
      <c r="AH272" s="60">
        <v>0.45211679999999999</v>
      </c>
      <c r="AI272" s="60">
        <v>0.55169109999999999</v>
      </c>
      <c r="AJ272" s="60">
        <v>0.34702179999999999</v>
      </c>
      <c r="AK272" s="60">
        <v>0</v>
      </c>
      <c r="AL272" s="60">
        <v>0.78934880000000007</v>
      </c>
      <c r="AM272" s="60">
        <v>1.6030253000000001</v>
      </c>
      <c r="AN272" s="60">
        <v>2.4055344999999999</v>
      </c>
      <c r="AO272" s="60">
        <v>0.80521290000000001</v>
      </c>
      <c r="AP272" s="60">
        <v>1.6106392</v>
      </c>
      <c r="AQ272" s="60">
        <v>2.4157248</v>
      </c>
      <c r="AR272" s="219">
        <v>4.2964069</v>
      </c>
      <c r="AS272" s="60">
        <v>4.8604019000000003</v>
      </c>
      <c r="AT272" s="60">
        <v>6.2906145000000002</v>
      </c>
      <c r="AU272" s="60">
        <v>3.8993500000000001</v>
      </c>
      <c r="AV272" s="60">
        <v>5.4320757000000004</v>
      </c>
      <c r="AW272" s="60">
        <v>7.0363129999999998</v>
      </c>
      <c r="AX272" s="60">
        <v>15.061391</v>
      </c>
      <c r="AY272" s="60">
        <v>0</v>
      </c>
      <c r="AZ272" s="60">
        <v>0</v>
      </c>
      <c r="BA272" s="60">
        <v>0</v>
      </c>
      <c r="BB272" s="60">
        <v>0</v>
      </c>
      <c r="BC272" s="60">
        <v>0</v>
      </c>
      <c r="BD272" s="60">
        <v>0</v>
      </c>
      <c r="BE272" s="61">
        <v>0</v>
      </c>
      <c r="BF272" s="18">
        <v>0</v>
      </c>
      <c r="BG272" s="18">
        <v>0</v>
      </c>
      <c r="BH272" s="18">
        <v>2.5635379999999999</v>
      </c>
      <c r="BI272" s="18">
        <v>29.390149099999999</v>
      </c>
      <c r="BJ272" s="60">
        <v>39.616049500000003</v>
      </c>
      <c r="BK272" s="113">
        <v>37.265809099999998</v>
      </c>
      <c r="BL272" s="113">
        <v>31.387102199999998</v>
      </c>
      <c r="BM272" s="113">
        <v>32.492800000000003</v>
      </c>
      <c r="BN272" s="113">
        <v>31.307026699999998</v>
      </c>
      <c r="BO272" s="113">
        <v>31</v>
      </c>
      <c r="BP272" s="154">
        <v>26</v>
      </c>
      <c r="BQ272" s="154">
        <v>25</v>
      </c>
      <c r="BR272" s="101"/>
      <c r="BS272">
        <f t="shared" si="495"/>
        <v>0</v>
      </c>
      <c r="BT272">
        <f t="shared" si="495"/>
        <v>0</v>
      </c>
      <c r="BU272">
        <f t="shared" si="495"/>
        <v>0</v>
      </c>
      <c r="BV272">
        <f t="shared" si="495"/>
        <v>0</v>
      </c>
      <c r="BW272">
        <f t="shared" si="495"/>
        <v>0</v>
      </c>
      <c r="BX272">
        <f t="shared" si="495"/>
        <v>0</v>
      </c>
      <c r="BY272">
        <f t="shared" si="495"/>
        <v>0</v>
      </c>
      <c r="BZ272">
        <f t="shared" si="495"/>
        <v>0</v>
      </c>
      <c r="CA272">
        <f t="shared" si="495"/>
        <v>0</v>
      </c>
      <c r="CB272">
        <f t="shared" si="495"/>
        <v>0</v>
      </c>
      <c r="CC272">
        <f t="shared" si="496"/>
        <v>0</v>
      </c>
      <c r="CD272">
        <f t="shared" si="496"/>
        <v>0</v>
      </c>
      <c r="CE272">
        <f t="shared" si="496"/>
        <v>0</v>
      </c>
      <c r="CF272">
        <f t="shared" si="496"/>
        <v>0</v>
      </c>
      <c r="CG272">
        <f t="shared" si="496"/>
        <v>0</v>
      </c>
      <c r="CH272">
        <f t="shared" si="496"/>
        <v>0</v>
      </c>
      <c r="CI272">
        <f t="shared" si="496"/>
        <v>0</v>
      </c>
      <c r="CJ272">
        <f t="shared" si="496"/>
        <v>0</v>
      </c>
      <c r="CK272">
        <f t="shared" si="496"/>
        <v>0</v>
      </c>
      <c r="CL272">
        <f t="shared" si="496"/>
        <v>0</v>
      </c>
      <c r="CM272">
        <f t="shared" si="497"/>
        <v>0</v>
      </c>
      <c r="CN272">
        <f t="shared" si="497"/>
        <v>0</v>
      </c>
      <c r="CO272">
        <f t="shared" si="497"/>
        <v>0</v>
      </c>
      <c r="CP272">
        <f t="shared" si="497"/>
        <v>0</v>
      </c>
      <c r="CQ272">
        <f t="shared" si="497"/>
        <v>0</v>
      </c>
      <c r="CR272">
        <f t="shared" si="497"/>
        <v>0</v>
      </c>
      <c r="CS272">
        <f t="shared" si="497"/>
        <v>0</v>
      </c>
      <c r="CT272">
        <f t="shared" si="497"/>
        <v>0</v>
      </c>
      <c r="CU272">
        <f t="shared" si="497"/>
        <v>0</v>
      </c>
      <c r="CV272">
        <f t="shared" si="497"/>
        <v>0</v>
      </c>
      <c r="CW272">
        <f t="shared" si="498"/>
        <v>0</v>
      </c>
      <c r="CX272">
        <f t="shared" si="498"/>
        <v>0</v>
      </c>
      <c r="CY272">
        <f t="shared" si="498"/>
        <v>0</v>
      </c>
      <c r="CZ272">
        <f t="shared" si="498"/>
        <v>0</v>
      </c>
      <c r="DA272">
        <f t="shared" si="498"/>
        <v>0</v>
      </c>
      <c r="DB272">
        <f t="shared" si="498"/>
        <v>0</v>
      </c>
      <c r="DC272">
        <f t="shared" si="498"/>
        <v>0</v>
      </c>
      <c r="DD272">
        <f t="shared" si="498"/>
        <v>0</v>
      </c>
      <c r="DE272">
        <f t="shared" si="498"/>
        <v>0</v>
      </c>
      <c r="DF272">
        <f t="shared" si="498"/>
        <v>0</v>
      </c>
      <c r="DG272">
        <f t="shared" si="499"/>
        <v>0</v>
      </c>
      <c r="DH272">
        <f t="shared" si="499"/>
        <v>0</v>
      </c>
      <c r="DI272">
        <f t="shared" si="499"/>
        <v>0</v>
      </c>
      <c r="DJ272">
        <f t="shared" si="499"/>
        <v>0</v>
      </c>
      <c r="DK272">
        <f t="shared" si="499"/>
        <v>0</v>
      </c>
      <c r="DL272">
        <f t="shared" si="499"/>
        <v>0</v>
      </c>
      <c r="DM272">
        <f t="shared" si="499"/>
        <v>0</v>
      </c>
      <c r="DN272">
        <f t="shared" si="499"/>
        <v>0</v>
      </c>
      <c r="DO272">
        <f t="shared" si="499"/>
        <v>0</v>
      </c>
      <c r="DP272">
        <f t="shared" si="499"/>
        <v>0</v>
      </c>
      <c r="DQ272">
        <f t="shared" si="500"/>
        <v>0</v>
      </c>
      <c r="DR272">
        <f t="shared" si="500"/>
        <v>0</v>
      </c>
      <c r="DS272">
        <f t="shared" si="500"/>
        <v>0</v>
      </c>
      <c r="DT272">
        <f t="shared" si="500"/>
        <v>0</v>
      </c>
      <c r="DU272">
        <f t="shared" si="500"/>
        <v>0</v>
      </c>
      <c r="DV272">
        <f t="shared" si="500"/>
        <v>0</v>
      </c>
      <c r="DW272">
        <f t="shared" si="500"/>
        <v>0</v>
      </c>
      <c r="DX272">
        <f t="shared" si="500"/>
        <v>0</v>
      </c>
      <c r="DY272">
        <f t="shared" si="500"/>
        <v>0</v>
      </c>
      <c r="DZ272">
        <f t="shared" si="500"/>
        <v>0</v>
      </c>
      <c r="EA272">
        <f t="shared" si="501"/>
        <v>0</v>
      </c>
      <c r="EB272">
        <f t="shared" si="501"/>
        <v>0</v>
      </c>
      <c r="EC272">
        <f t="shared" si="501"/>
        <v>0</v>
      </c>
      <c r="ED272">
        <f t="shared" si="501"/>
        <v>0</v>
      </c>
      <c r="EE272">
        <f t="shared" si="501"/>
        <v>0</v>
      </c>
      <c r="EF272">
        <f t="shared" si="501"/>
        <v>0</v>
      </c>
    </row>
    <row r="273" spans="1:136" ht="15.5">
      <c r="A273" s="90"/>
      <c r="B273" s="57" t="s">
        <v>3</v>
      </c>
      <c r="C273" s="95"/>
      <c r="D273" s="34">
        <v>0</v>
      </c>
      <c r="E273" s="34">
        <v>0</v>
      </c>
      <c r="F273" s="34">
        <v>0</v>
      </c>
      <c r="G273" s="34">
        <v>0</v>
      </c>
      <c r="H273" s="34">
        <v>0</v>
      </c>
      <c r="I273" s="34">
        <v>0</v>
      </c>
      <c r="J273" s="34">
        <v>0</v>
      </c>
      <c r="K273" s="34">
        <v>0</v>
      </c>
      <c r="L273" s="34">
        <v>0</v>
      </c>
      <c r="M273" s="34">
        <v>0</v>
      </c>
      <c r="N273" s="34">
        <v>9.5662999999999998E-2</v>
      </c>
      <c r="O273" s="18">
        <v>0</v>
      </c>
      <c r="P273" s="18">
        <v>0.37156499999999998</v>
      </c>
      <c r="Q273" s="18">
        <v>0.82332799999999995</v>
      </c>
      <c r="R273" s="18">
        <v>2.1246909999999999</v>
      </c>
      <c r="S273" s="18">
        <v>3.1618650000000001</v>
      </c>
      <c r="T273" s="60">
        <v>3.5957919999999999</v>
      </c>
      <c r="U273" s="60">
        <v>5.1554200000000003</v>
      </c>
      <c r="V273" s="60">
        <v>9.0546690000000005</v>
      </c>
      <c r="W273" s="60">
        <v>13.70889</v>
      </c>
      <c r="X273" s="60">
        <v>15.963329999999999</v>
      </c>
      <c r="Y273" s="60">
        <v>12.70318</v>
      </c>
      <c r="Z273" s="60">
        <v>7.608193</v>
      </c>
      <c r="AA273" s="60">
        <v>7.7710520000000001</v>
      </c>
      <c r="AB273" s="60">
        <v>6.4295179999999998</v>
      </c>
      <c r="AC273" s="60">
        <v>31.32845</v>
      </c>
      <c r="AD273" s="60">
        <v>35.360930000000003</v>
      </c>
      <c r="AE273" s="60">
        <v>41.61504</v>
      </c>
      <c r="AF273" s="60">
        <f>39.63575-AF272</f>
        <v>39.343442500000002</v>
      </c>
      <c r="AG273" s="60">
        <f>81-AG272-AG271</f>
        <v>47.539188499999995</v>
      </c>
      <c r="AH273" s="60">
        <f>34.04375-AH272</f>
        <v>33.591633200000004</v>
      </c>
      <c r="AI273" s="60">
        <f>25.69142-AI272</f>
        <v>25.139728900000001</v>
      </c>
      <c r="AJ273" s="60">
        <f>34.24593-AJ272</f>
        <v>33.898908200000001</v>
      </c>
      <c r="AK273" s="60">
        <f>39.1249-AK272</f>
        <v>39.124899999999997</v>
      </c>
      <c r="AL273" s="60">
        <f>46.95249-AL272</f>
        <v>46.163141199999998</v>
      </c>
      <c r="AM273" s="60">
        <f>89-AM272</f>
        <v>87.396974700000001</v>
      </c>
      <c r="AN273" s="60">
        <f>48-AN272</f>
        <v>45.594465499999998</v>
      </c>
      <c r="AO273" s="60">
        <f>48.85598-AO272</f>
        <v>48.050767100000002</v>
      </c>
      <c r="AP273" s="60">
        <f>52.45207-AP272</f>
        <v>50.841430799999998</v>
      </c>
      <c r="AQ273" s="60">
        <f>52.88264-AQ272</f>
        <v>50.466915200000003</v>
      </c>
      <c r="AR273" s="60">
        <f>59.38739-AR272</f>
        <v>55.090983100000003</v>
      </c>
      <c r="AS273" s="60">
        <f>60-AS272</f>
        <v>55.139598100000001</v>
      </c>
      <c r="AT273" s="60">
        <f>71.64524-AT272</f>
        <v>65.354625499999997</v>
      </c>
      <c r="AU273" s="60">
        <f>69.50102-AU272</f>
        <v>65.601669999999999</v>
      </c>
      <c r="AV273" s="60">
        <f>40.8811-AV272</f>
        <v>35.449024300000005</v>
      </c>
      <c r="AW273" s="60">
        <f>44.0433-AW272</f>
        <v>37.006987000000002</v>
      </c>
      <c r="AX273" s="60">
        <f>53.2770468-AX272</f>
        <v>38.2156558</v>
      </c>
      <c r="AY273" s="60">
        <v>29.4387325</v>
      </c>
      <c r="AZ273" s="60">
        <v>31.270841000000001</v>
      </c>
      <c r="BA273" s="60">
        <v>32.330670300000001</v>
      </c>
      <c r="BB273" s="60">
        <v>46.231598200000001</v>
      </c>
      <c r="BC273" s="60">
        <v>46.414660299999994</v>
      </c>
      <c r="BD273" s="60">
        <v>36.660168499999997</v>
      </c>
      <c r="BE273" s="60">
        <v>37.115564200000001</v>
      </c>
      <c r="BF273" s="18">
        <v>31.975321100000002</v>
      </c>
      <c r="BG273" s="18">
        <v>993.74312969999994</v>
      </c>
      <c r="BH273" s="18">
        <v>94.154217200000005</v>
      </c>
      <c r="BI273" s="18">
        <v>112.52175559999999</v>
      </c>
      <c r="BJ273" s="18">
        <f>154.4039559-BJ272</f>
        <v>114.7879064</v>
      </c>
      <c r="BK273" s="18">
        <f>154.4039559-BK272</f>
        <v>117.1381468</v>
      </c>
      <c r="BL273" s="18">
        <f>145.4039559-BL272</f>
        <v>114.0168537</v>
      </c>
      <c r="BM273" s="18">
        <f>199-BM272</f>
        <v>166.50720000000001</v>
      </c>
      <c r="BN273" s="18">
        <f>203-BN272</f>
        <v>171.69297330000001</v>
      </c>
      <c r="BO273" s="18">
        <f>199-BO272</f>
        <v>168</v>
      </c>
      <c r="BP273" s="113">
        <v>52</v>
      </c>
      <c r="BQ273" s="154">
        <v>50</v>
      </c>
      <c r="BR273" s="101"/>
      <c r="BS273">
        <f t="shared" si="495"/>
        <v>0</v>
      </c>
      <c r="BT273">
        <f t="shared" si="495"/>
        <v>0</v>
      </c>
      <c r="BU273">
        <f t="shared" si="495"/>
        <v>0</v>
      </c>
      <c r="BV273">
        <f t="shared" si="495"/>
        <v>0</v>
      </c>
      <c r="BW273">
        <f t="shared" si="495"/>
        <v>0</v>
      </c>
      <c r="BX273">
        <f t="shared" si="495"/>
        <v>0</v>
      </c>
      <c r="BY273">
        <f t="shared" si="495"/>
        <v>0</v>
      </c>
      <c r="BZ273">
        <f t="shared" si="495"/>
        <v>0</v>
      </c>
      <c r="CA273">
        <f t="shared" si="495"/>
        <v>0</v>
      </c>
      <c r="CB273">
        <f t="shared" si="495"/>
        <v>0</v>
      </c>
      <c r="CC273">
        <f t="shared" si="496"/>
        <v>0</v>
      </c>
      <c r="CD273">
        <f t="shared" si="496"/>
        <v>0</v>
      </c>
      <c r="CE273">
        <f t="shared" si="496"/>
        <v>0</v>
      </c>
      <c r="CF273">
        <f t="shared" si="496"/>
        <v>0</v>
      </c>
      <c r="CG273">
        <f t="shared" si="496"/>
        <v>0</v>
      </c>
      <c r="CH273">
        <f t="shared" si="496"/>
        <v>0</v>
      </c>
      <c r="CI273">
        <f t="shared" si="496"/>
        <v>0</v>
      </c>
      <c r="CJ273">
        <f t="shared" si="496"/>
        <v>0</v>
      </c>
      <c r="CK273">
        <f t="shared" si="496"/>
        <v>0</v>
      </c>
      <c r="CL273">
        <f t="shared" si="496"/>
        <v>0</v>
      </c>
      <c r="CM273">
        <f t="shared" si="497"/>
        <v>0</v>
      </c>
      <c r="CN273">
        <f t="shared" si="497"/>
        <v>0</v>
      </c>
      <c r="CO273">
        <f t="shared" si="497"/>
        <v>0</v>
      </c>
      <c r="CP273">
        <f t="shared" si="497"/>
        <v>0</v>
      </c>
      <c r="CQ273">
        <f t="shared" si="497"/>
        <v>0</v>
      </c>
      <c r="CR273">
        <f t="shared" si="497"/>
        <v>0</v>
      </c>
      <c r="CS273">
        <f t="shared" si="497"/>
        <v>0</v>
      </c>
      <c r="CT273">
        <f t="shared" si="497"/>
        <v>0</v>
      </c>
      <c r="CU273">
        <f t="shared" si="497"/>
        <v>0</v>
      </c>
      <c r="CV273">
        <f t="shared" si="497"/>
        <v>0</v>
      </c>
      <c r="CW273">
        <f t="shared" si="498"/>
        <v>0</v>
      </c>
      <c r="CX273">
        <f t="shared" si="498"/>
        <v>0</v>
      </c>
      <c r="CY273">
        <f t="shared" si="498"/>
        <v>0</v>
      </c>
      <c r="CZ273">
        <f t="shared" si="498"/>
        <v>0</v>
      </c>
      <c r="DA273">
        <f t="shared" si="498"/>
        <v>0</v>
      </c>
      <c r="DB273">
        <f t="shared" si="498"/>
        <v>0</v>
      </c>
      <c r="DC273">
        <f t="shared" si="498"/>
        <v>0</v>
      </c>
      <c r="DD273">
        <f t="shared" si="498"/>
        <v>0</v>
      </c>
      <c r="DE273">
        <f t="shared" si="498"/>
        <v>0</v>
      </c>
      <c r="DF273">
        <f t="shared" si="498"/>
        <v>0</v>
      </c>
      <c r="DG273">
        <f t="shared" si="499"/>
        <v>0</v>
      </c>
      <c r="DH273">
        <f t="shared" si="499"/>
        <v>0</v>
      </c>
      <c r="DI273">
        <f t="shared" si="499"/>
        <v>0</v>
      </c>
      <c r="DJ273">
        <f t="shared" si="499"/>
        <v>0</v>
      </c>
      <c r="DK273">
        <f t="shared" si="499"/>
        <v>0</v>
      </c>
      <c r="DL273">
        <f t="shared" si="499"/>
        <v>0</v>
      </c>
      <c r="DM273">
        <f t="shared" si="499"/>
        <v>0</v>
      </c>
      <c r="DN273">
        <f t="shared" si="499"/>
        <v>0</v>
      </c>
      <c r="DO273">
        <f t="shared" si="499"/>
        <v>0</v>
      </c>
      <c r="DP273">
        <f t="shared" si="499"/>
        <v>0</v>
      </c>
      <c r="DQ273">
        <f t="shared" si="500"/>
        <v>0</v>
      </c>
      <c r="DR273">
        <f t="shared" si="500"/>
        <v>0</v>
      </c>
      <c r="DS273">
        <f t="shared" si="500"/>
        <v>0</v>
      </c>
      <c r="DT273">
        <f t="shared" si="500"/>
        <v>0</v>
      </c>
      <c r="DU273">
        <f t="shared" si="500"/>
        <v>0</v>
      </c>
      <c r="DV273">
        <f t="shared" si="500"/>
        <v>0</v>
      </c>
      <c r="DW273">
        <f t="shared" si="500"/>
        <v>0</v>
      </c>
      <c r="DX273">
        <f t="shared" si="500"/>
        <v>0</v>
      </c>
      <c r="DY273">
        <f t="shared" si="500"/>
        <v>0</v>
      </c>
      <c r="DZ273">
        <f t="shared" si="500"/>
        <v>0</v>
      </c>
      <c r="EA273">
        <f t="shared" si="501"/>
        <v>0</v>
      </c>
      <c r="EB273">
        <f t="shared" si="501"/>
        <v>0</v>
      </c>
      <c r="EC273">
        <f t="shared" si="501"/>
        <v>0</v>
      </c>
      <c r="ED273">
        <f t="shared" si="501"/>
        <v>0</v>
      </c>
      <c r="EE273">
        <f t="shared" si="501"/>
        <v>0</v>
      </c>
      <c r="EF273">
        <f t="shared" si="501"/>
        <v>0</v>
      </c>
    </row>
    <row r="274" spans="1:136" ht="15.5">
      <c r="A274" s="90"/>
      <c r="B274" s="57" t="s">
        <v>18</v>
      </c>
      <c r="C274" s="95"/>
      <c r="D274" s="34">
        <v>0</v>
      </c>
      <c r="E274" s="34">
        <v>0</v>
      </c>
      <c r="F274" s="34">
        <v>0</v>
      </c>
      <c r="G274" s="34">
        <v>0</v>
      </c>
      <c r="H274" s="34">
        <v>0</v>
      </c>
      <c r="I274" s="34">
        <v>0</v>
      </c>
      <c r="J274" s="34">
        <v>0</v>
      </c>
      <c r="K274" s="34">
        <v>0</v>
      </c>
      <c r="L274" s="34">
        <v>0</v>
      </c>
      <c r="M274" s="34">
        <v>0</v>
      </c>
      <c r="N274" s="34">
        <v>0</v>
      </c>
      <c r="O274" s="34">
        <v>0</v>
      </c>
      <c r="P274" s="34">
        <v>0</v>
      </c>
      <c r="Q274" s="34">
        <v>0</v>
      </c>
      <c r="R274" s="34">
        <v>0</v>
      </c>
      <c r="S274" s="34">
        <v>0</v>
      </c>
      <c r="T274" s="34">
        <v>0</v>
      </c>
      <c r="U274" s="34">
        <v>0</v>
      </c>
      <c r="V274" s="34">
        <v>0</v>
      </c>
      <c r="W274" s="34">
        <v>0</v>
      </c>
      <c r="X274" s="34">
        <v>0</v>
      </c>
      <c r="Y274" s="34">
        <v>0</v>
      </c>
      <c r="Z274" s="34">
        <v>0</v>
      </c>
      <c r="AA274" s="34">
        <v>0</v>
      </c>
      <c r="AB274" s="34">
        <v>0</v>
      </c>
      <c r="AC274" s="34">
        <v>0</v>
      </c>
      <c r="AD274" s="34">
        <v>0</v>
      </c>
      <c r="AE274" s="34">
        <v>0</v>
      </c>
      <c r="AF274" s="34">
        <v>0</v>
      </c>
      <c r="AG274" s="34">
        <v>0</v>
      </c>
      <c r="AH274" s="34">
        <v>0</v>
      </c>
      <c r="AI274" s="34">
        <v>0</v>
      </c>
      <c r="AJ274" s="34">
        <v>0</v>
      </c>
      <c r="AK274" s="34">
        <v>0</v>
      </c>
      <c r="AL274" s="34">
        <v>0</v>
      </c>
      <c r="AM274" s="34">
        <v>0</v>
      </c>
      <c r="AN274" s="34">
        <v>0</v>
      </c>
      <c r="AO274" s="34">
        <v>0</v>
      </c>
      <c r="AP274" s="34">
        <v>0</v>
      </c>
      <c r="AQ274" s="34">
        <v>0</v>
      </c>
      <c r="AR274" s="34">
        <v>0</v>
      </c>
      <c r="AS274" s="34">
        <v>0</v>
      </c>
      <c r="AT274" s="34">
        <v>0</v>
      </c>
      <c r="AU274" s="34">
        <v>0</v>
      </c>
      <c r="AV274" s="34">
        <v>0</v>
      </c>
      <c r="AW274" s="34">
        <v>0</v>
      </c>
      <c r="AX274" s="34">
        <v>0</v>
      </c>
      <c r="AY274" s="34">
        <v>0</v>
      </c>
      <c r="AZ274" s="34">
        <v>0</v>
      </c>
      <c r="BA274" s="34">
        <v>0</v>
      </c>
      <c r="BB274" s="34">
        <v>0</v>
      </c>
      <c r="BC274" s="34">
        <v>0</v>
      </c>
      <c r="BD274" s="34">
        <v>0</v>
      </c>
      <c r="BE274" s="34">
        <v>0</v>
      </c>
      <c r="BF274" s="18">
        <v>1488</v>
      </c>
      <c r="BG274" s="18">
        <v>1488</v>
      </c>
      <c r="BH274" s="18">
        <v>0</v>
      </c>
      <c r="BI274" s="113">
        <v>0</v>
      </c>
      <c r="BJ274" s="113">
        <v>1406</v>
      </c>
      <c r="BK274" s="113">
        <v>0</v>
      </c>
      <c r="BL274" s="113">
        <v>0</v>
      </c>
      <c r="BM274" s="113">
        <v>1073</v>
      </c>
      <c r="BN274" s="113">
        <v>1120</v>
      </c>
      <c r="BO274" s="113">
        <v>375</v>
      </c>
      <c r="BP274" s="113">
        <v>0</v>
      </c>
      <c r="BQ274" s="154">
        <v>0</v>
      </c>
      <c r="BR274" s="101"/>
      <c r="BS274">
        <f t="shared" si="495"/>
        <v>0</v>
      </c>
      <c r="BT274">
        <f t="shared" si="495"/>
        <v>0</v>
      </c>
      <c r="BU274">
        <f t="shared" si="495"/>
        <v>0</v>
      </c>
      <c r="BV274">
        <f t="shared" si="495"/>
        <v>0</v>
      </c>
      <c r="BW274">
        <f t="shared" si="495"/>
        <v>0</v>
      </c>
      <c r="BX274">
        <f t="shared" si="495"/>
        <v>0</v>
      </c>
      <c r="BY274">
        <f t="shared" si="495"/>
        <v>0</v>
      </c>
      <c r="BZ274">
        <f t="shared" si="495"/>
        <v>0</v>
      </c>
      <c r="CA274">
        <f t="shared" si="495"/>
        <v>0</v>
      </c>
      <c r="CB274">
        <f t="shared" si="495"/>
        <v>0</v>
      </c>
      <c r="CC274">
        <f t="shared" si="496"/>
        <v>0</v>
      </c>
      <c r="CD274">
        <f t="shared" si="496"/>
        <v>0</v>
      </c>
      <c r="CE274">
        <f t="shared" si="496"/>
        <v>0</v>
      </c>
      <c r="CF274">
        <f t="shared" si="496"/>
        <v>0</v>
      </c>
      <c r="CG274">
        <f t="shared" si="496"/>
        <v>0</v>
      </c>
      <c r="CH274">
        <f t="shared" si="496"/>
        <v>0</v>
      </c>
      <c r="CI274">
        <f t="shared" si="496"/>
        <v>0</v>
      </c>
      <c r="CJ274">
        <f t="shared" si="496"/>
        <v>0</v>
      </c>
      <c r="CK274">
        <f t="shared" si="496"/>
        <v>0</v>
      </c>
      <c r="CL274">
        <f t="shared" si="496"/>
        <v>0</v>
      </c>
      <c r="CM274">
        <f t="shared" si="497"/>
        <v>0</v>
      </c>
      <c r="CN274">
        <f t="shared" si="497"/>
        <v>0</v>
      </c>
      <c r="CO274">
        <f t="shared" si="497"/>
        <v>0</v>
      </c>
      <c r="CP274">
        <f t="shared" si="497"/>
        <v>0</v>
      </c>
      <c r="CQ274">
        <f t="shared" si="497"/>
        <v>0</v>
      </c>
      <c r="CR274">
        <f t="shared" si="497"/>
        <v>0</v>
      </c>
      <c r="CS274">
        <f t="shared" si="497"/>
        <v>0</v>
      </c>
      <c r="CT274">
        <f t="shared" si="497"/>
        <v>0</v>
      </c>
      <c r="CU274">
        <f t="shared" si="497"/>
        <v>0</v>
      </c>
      <c r="CV274">
        <f t="shared" si="497"/>
        <v>0</v>
      </c>
      <c r="CW274">
        <f t="shared" si="498"/>
        <v>0</v>
      </c>
      <c r="CX274">
        <f t="shared" si="498"/>
        <v>0</v>
      </c>
      <c r="CY274">
        <f t="shared" si="498"/>
        <v>0</v>
      </c>
      <c r="CZ274">
        <f t="shared" si="498"/>
        <v>0</v>
      </c>
      <c r="DA274">
        <f t="shared" si="498"/>
        <v>0</v>
      </c>
      <c r="DB274">
        <f t="shared" si="498"/>
        <v>0</v>
      </c>
      <c r="DC274">
        <f t="shared" si="498"/>
        <v>0</v>
      </c>
      <c r="DD274">
        <f t="shared" si="498"/>
        <v>0</v>
      </c>
      <c r="DE274">
        <f t="shared" si="498"/>
        <v>0</v>
      </c>
      <c r="DF274">
        <f t="shared" si="498"/>
        <v>0</v>
      </c>
      <c r="DG274">
        <f t="shared" si="499"/>
        <v>0</v>
      </c>
      <c r="DH274">
        <f t="shared" si="499"/>
        <v>0</v>
      </c>
      <c r="DI274">
        <f t="shared" si="499"/>
        <v>0</v>
      </c>
      <c r="DJ274">
        <f t="shared" si="499"/>
        <v>0</v>
      </c>
      <c r="DK274">
        <f t="shared" si="499"/>
        <v>0</v>
      </c>
      <c r="DL274">
        <f t="shared" si="499"/>
        <v>0</v>
      </c>
      <c r="DM274">
        <f t="shared" si="499"/>
        <v>0</v>
      </c>
      <c r="DN274">
        <f t="shared" si="499"/>
        <v>0</v>
      </c>
      <c r="DO274">
        <f t="shared" si="499"/>
        <v>0</v>
      </c>
      <c r="DP274">
        <f t="shared" si="499"/>
        <v>0</v>
      </c>
      <c r="DQ274">
        <f t="shared" si="500"/>
        <v>0</v>
      </c>
      <c r="DR274">
        <f t="shared" si="500"/>
        <v>0</v>
      </c>
      <c r="DS274">
        <f t="shared" si="500"/>
        <v>0</v>
      </c>
      <c r="DT274">
        <f t="shared" si="500"/>
        <v>0</v>
      </c>
      <c r="DU274">
        <f t="shared" si="500"/>
        <v>0</v>
      </c>
      <c r="DV274">
        <f t="shared" si="500"/>
        <v>0</v>
      </c>
      <c r="DW274">
        <f t="shared" si="500"/>
        <v>0</v>
      </c>
      <c r="DX274">
        <f t="shared" si="500"/>
        <v>0</v>
      </c>
      <c r="DY274">
        <f t="shared" si="500"/>
        <v>0</v>
      </c>
      <c r="DZ274">
        <f t="shared" si="500"/>
        <v>0</v>
      </c>
      <c r="EA274">
        <f t="shared" si="501"/>
        <v>0</v>
      </c>
      <c r="EB274">
        <f t="shared" si="501"/>
        <v>0</v>
      </c>
      <c r="EC274">
        <f t="shared" si="501"/>
        <v>0</v>
      </c>
      <c r="ED274">
        <f t="shared" si="501"/>
        <v>0</v>
      </c>
      <c r="EE274">
        <f t="shared" si="501"/>
        <v>0</v>
      </c>
      <c r="EF274">
        <f t="shared" si="501"/>
        <v>0</v>
      </c>
    </row>
    <row r="275" spans="1:136" ht="15.5">
      <c r="A275" s="90"/>
      <c r="B275" s="19" t="s">
        <v>208</v>
      </c>
      <c r="C275" s="95"/>
      <c r="D275" s="34">
        <v>0</v>
      </c>
      <c r="E275" s="34">
        <v>0</v>
      </c>
      <c r="F275" s="34">
        <v>0</v>
      </c>
      <c r="G275" s="34">
        <v>0</v>
      </c>
      <c r="H275" s="34">
        <v>0</v>
      </c>
      <c r="I275" s="34">
        <v>0</v>
      </c>
      <c r="J275" s="34">
        <v>0</v>
      </c>
      <c r="K275" s="34">
        <v>0</v>
      </c>
      <c r="L275" s="34">
        <v>0</v>
      </c>
      <c r="M275" s="34">
        <v>0</v>
      </c>
      <c r="N275" s="34">
        <v>1.7407999999999999</v>
      </c>
      <c r="O275" s="18">
        <v>2.1449349999999998</v>
      </c>
      <c r="P275" s="18">
        <v>2.8928060000000002</v>
      </c>
      <c r="Q275" s="18">
        <v>4.8158539999999999</v>
      </c>
      <c r="R275" s="18">
        <v>5.4099599999999999</v>
      </c>
      <c r="S275" s="18">
        <v>6.1642060000000001</v>
      </c>
      <c r="T275" s="18">
        <v>8.4397789999999997</v>
      </c>
      <c r="U275" s="18">
        <v>10.52056</v>
      </c>
      <c r="V275" s="18">
        <v>13.47448</v>
      </c>
      <c r="W275" s="18">
        <v>18.566870000000002</v>
      </c>
      <c r="X275" s="18">
        <v>21.731100000000001</v>
      </c>
      <c r="Y275" s="18">
        <v>22.168800000000001</v>
      </c>
      <c r="Z275" s="18">
        <v>21.303709999999999</v>
      </c>
      <c r="AA275" s="18">
        <v>21.67878</v>
      </c>
      <c r="AB275" s="18">
        <v>20.959330000000001</v>
      </c>
      <c r="AC275" s="18">
        <v>28.320129999999999</v>
      </c>
      <c r="AD275" s="18">
        <v>39.532400000000003</v>
      </c>
      <c r="AE275" s="18">
        <v>52.302280000000003</v>
      </c>
      <c r="AF275" s="18">
        <v>46.630769999999998</v>
      </c>
      <c r="AG275" s="18">
        <v>32.42953</v>
      </c>
      <c r="AH275" s="18">
        <v>5.2149559999999999</v>
      </c>
      <c r="AI275" s="18">
        <v>4.8385569999999998</v>
      </c>
      <c r="AJ275" s="18">
        <v>5.1508909999999997</v>
      </c>
      <c r="AK275" s="18">
        <v>4.3906200000000002</v>
      </c>
      <c r="AL275" s="18">
        <v>5.0996870000000003</v>
      </c>
      <c r="AM275" s="18">
        <v>2.1424439999999998</v>
      </c>
      <c r="AN275" s="18">
        <v>0.28465099999999999</v>
      </c>
      <c r="AO275" s="18">
        <v>0.25967400000000002</v>
      </c>
      <c r="AP275" s="18">
        <v>2.0650409999999999</v>
      </c>
      <c r="AQ275" s="18">
        <v>2.2273879999999999</v>
      </c>
      <c r="AR275" s="18">
        <v>3.046672</v>
      </c>
      <c r="AS275" s="18">
        <v>3.346098</v>
      </c>
      <c r="AT275" s="18">
        <v>3.6386379999999998</v>
      </c>
      <c r="AU275" s="18">
        <v>3.59009</v>
      </c>
      <c r="AV275" s="18">
        <v>5.6797149999999998</v>
      </c>
      <c r="AW275" s="18">
        <v>5.7318160000000002</v>
      </c>
      <c r="AX275" s="18">
        <v>0.50263400000000003</v>
      </c>
      <c r="AY275" s="18">
        <v>2.5029442000000004</v>
      </c>
      <c r="AZ275" s="18">
        <v>4</v>
      </c>
      <c r="BA275" s="18">
        <v>4.875</v>
      </c>
      <c r="BB275" s="18">
        <v>4.875</v>
      </c>
      <c r="BC275" s="18">
        <v>2.5</v>
      </c>
      <c r="BD275" s="18">
        <v>3</v>
      </c>
      <c r="BE275" s="25">
        <v>2.5</v>
      </c>
      <c r="BF275" s="40">
        <v>0</v>
      </c>
      <c r="BG275" s="40">
        <v>0</v>
      </c>
      <c r="BH275" s="18">
        <v>0</v>
      </c>
      <c r="BI275" s="18">
        <v>0</v>
      </c>
      <c r="BJ275" s="18">
        <v>0</v>
      </c>
      <c r="BK275" s="113">
        <v>0</v>
      </c>
      <c r="BL275" s="113">
        <v>0</v>
      </c>
      <c r="BM275" s="113">
        <v>0</v>
      </c>
      <c r="BN275" s="60">
        <v>0</v>
      </c>
      <c r="BO275" s="60">
        <v>200</v>
      </c>
      <c r="BP275" s="113">
        <v>0</v>
      </c>
      <c r="BQ275" s="154">
        <v>0</v>
      </c>
      <c r="BR275" s="101"/>
      <c r="BS275">
        <f t="shared" si="495"/>
        <v>0</v>
      </c>
      <c r="BT275">
        <f t="shared" si="495"/>
        <v>0</v>
      </c>
      <c r="BU275">
        <f t="shared" si="495"/>
        <v>0</v>
      </c>
      <c r="BV275">
        <f t="shared" si="495"/>
        <v>0</v>
      </c>
      <c r="BW275">
        <f t="shared" si="495"/>
        <v>0</v>
      </c>
      <c r="BX275">
        <f t="shared" si="495"/>
        <v>0</v>
      </c>
      <c r="BY275">
        <f t="shared" si="495"/>
        <v>0</v>
      </c>
      <c r="BZ275">
        <f t="shared" si="495"/>
        <v>0</v>
      </c>
      <c r="CA275">
        <f t="shared" si="495"/>
        <v>0</v>
      </c>
      <c r="CB275">
        <f t="shared" si="495"/>
        <v>0</v>
      </c>
      <c r="CC275">
        <f t="shared" si="496"/>
        <v>0</v>
      </c>
      <c r="CD275">
        <f t="shared" si="496"/>
        <v>0</v>
      </c>
      <c r="CE275">
        <f t="shared" si="496"/>
        <v>0</v>
      </c>
      <c r="CF275">
        <f t="shared" si="496"/>
        <v>0</v>
      </c>
      <c r="CG275">
        <f t="shared" si="496"/>
        <v>0</v>
      </c>
      <c r="CH275">
        <f t="shared" si="496"/>
        <v>0</v>
      </c>
      <c r="CI275">
        <f t="shared" si="496"/>
        <v>0</v>
      </c>
      <c r="CJ275">
        <f t="shared" si="496"/>
        <v>0</v>
      </c>
      <c r="CK275">
        <f t="shared" si="496"/>
        <v>0</v>
      </c>
      <c r="CL275">
        <f t="shared" si="496"/>
        <v>0</v>
      </c>
      <c r="CM275">
        <f t="shared" si="497"/>
        <v>0</v>
      </c>
      <c r="CN275">
        <f t="shared" si="497"/>
        <v>0</v>
      </c>
      <c r="CO275">
        <f t="shared" si="497"/>
        <v>0</v>
      </c>
      <c r="CP275">
        <f t="shared" si="497"/>
        <v>0</v>
      </c>
      <c r="CQ275">
        <f t="shared" si="497"/>
        <v>0</v>
      </c>
      <c r="CR275">
        <f t="shared" si="497"/>
        <v>0</v>
      </c>
      <c r="CS275">
        <f t="shared" si="497"/>
        <v>0</v>
      </c>
      <c r="CT275">
        <f t="shared" si="497"/>
        <v>0</v>
      </c>
      <c r="CU275">
        <f t="shared" si="497"/>
        <v>0</v>
      </c>
      <c r="CV275">
        <f t="shared" si="497"/>
        <v>0</v>
      </c>
      <c r="CW275">
        <f t="shared" si="498"/>
        <v>0</v>
      </c>
      <c r="CX275">
        <f t="shared" si="498"/>
        <v>0</v>
      </c>
      <c r="CY275">
        <f t="shared" si="498"/>
        <v>0</v>
      </c>
      <c r="CZ275">
        <f t="shared" si="498"/>
        <v>0</v>
      </c>
      <c r="DA275">
        <f t="shared" si="498"/>
        <v>0</v>
      </c>
      <c r="DB275">
        <f t="shared" si="498"/>
        <v>0</v>
      </c>
      <c r="DC275">
        <f t="shared" si="498"/>
        <v>0</v>
      </c>
      <c r="DD275">
        <f t="shared" si="498"/>
        <v>0</v>
      </c>
      <c r="DE275">
        <f t="shared" si="498"/>
        <v>0</v>
      </c>
      <c r="DF275">
        <f t="shared" si="498"/>
        <v>0</v>
      </c>
      <c r="DG275">
        <f t="shared" si="499"/>
        <v>0</v>
      </c>
      <c r="DH275">
        <f t="shared" si="499"/>
        <v>0</v>
      </c>
      <c r="DI275">
        <f t="shared" si="499"/>
        <v>0</v>
      </c>
      <c r="DJ275">
        <f t="shared" si="499"/>
        <v>0</v>
      </c>
      <c r="DK275">
        <f t="shared" si="499"/>
        <v>0</v>
      </c>
      <c r="DL275">
        <f t="shared" si="499"/>
        <v>0</v>
      </c>
      <c r="DM275">
        <f t="shared" si="499"/>
        <v>0</v>
      </c>
      <c r="DN275">
        <f t="shared" si="499"/>
        <v>0</v>
      </c>
      <c r="DO275">
        <f t="shared" si="499"/>
        <v>0</v>
      </c>
      <c r="DP275">
        <f t="shared" si="499"/>
        <v>0</v>
      </c>
      <c r="DQ275">
        <f t="shared" si="500"/>
        <v>0</v>
      </c>
      <c r="DR275">
        <f t="shared" si="500"/>
        <v>0</v>
      </c>
      <c r="DS275">
        <f t="shared" si="500"/>
        <v>0</v>
      </c>
      <c r="DT275">
        <f t="shared" si="500"/>
        <v>0</v>
      </c>
      <c r="DU275">
        <f t="shared" si="500"/>
        <v>0</v>
      </c>
      <c r="DV275">
        <f t="shared" si="500"/>
        <v>0</v>
      </c>
      <c r="DW275">
        <f t="shared" si="500"/>
        <v>0</v>
      </c>
      <c r="DX275">
        <f t="shared" si="500"/>
        <v>0</v>
      </c>
      <c r="DY275">
        <f t="shared" si="500"/>
        <v>0</v>
      </c>
      <c r="DZ275">
        <f t="shared" si="500"/>
        <v>0</v>
      </c>
      <c r="EA275">
        <f t="shared" si="501"/>
        <v>0</v>
      </c>
      <c r="EB275">
        <f t="shared" si="501"/>
        <v>0</v>
      </c>
      <c r="EC275">
        <f t="shared" si="501"/>
        <v>0</v>
      </c>
      <c r="ED275">
        <f t="shared" si="501"/>
        <v>0</v>
      </c>
      <c r="EE275">
        <f t="shared" si="501"/>
        <v>0</v>
      </c>
      <c r="EF275">
        <f t="shared" si="501"/>
        <v>0</v>
      </c>
    </row>
    <row r="276" spans="1:136" ht="15.5">
      <c r="A276" s="90"/>
      <c r="B276" s="19" t="s">
        <v>212</v>
      </c>
      <c r="C276" s="95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>
        <v>317.36404856821156</v>
      </c>
      <c r="AA276" s="18">
        <v>279.28871391076115</v>
      </c>
      <c r="AB276" s="18">
        <v>244.1395881006865</v>
      </c>
      <c r="AC276" s="18">
        <v>239.85968819599108</v>
      </c>
      <c r="AD276" s="18">
        <v>313.08564995236856</v>
      </c>
      <c r="AE276" s="18">
        <v>314.62562444053015</v>
      </c>
      <c r="AF276" s="18">
        <v>361.19187510491855</v>
      </c>
      <c r="AG276" s="18">
        <v>317.54231974921629</v>
      </c>
      <c r="AH276" s="18">
        <v>378.6985294117647</v>
      </c>
      <c r="AI276" s="18">
        <v>387.69203788144506</v>
      </c>
      <c r="AJ276" s="18">
        <v>456.79893170545591</v>
      </c>
      <c r="AK276" s="18">
        <v>453.71024734982331</v>
      </c>
      <c r="AL276" s="18">
        <v>237.65765765765767</v>
      </c>
      <c r="AM276" s="18">
        <v>284.7695390781563</v>
      </c>
      <c r="AN276" s="18">
        <v>258.7890625</v>
      </c>
      <c r="AO276" s="18">
        <v>207.87671232876713</v>
      </c>
      <c r="AP276" s="18">
        <v>199.66101694915255</v>
      </c>
      <c r="AQ276" s="18">
        <v>183.57723577235771</v>
      </c>
      <c r="AR276" s="18">
        <v>153.80281690140845</v>
      </c>
      <c r="AS276" s="18">
        <v>163.11475409836066</v>
      </c>
      <c r="AT276" s="18">
        <v>162.10374639769452</v>
      </c>
      <c r="AU276" s="18">
        <v>201.0344827586207</v>
      </c>
      <c r="AV276" s="18">
        <v>260.34155597722958</v>
      </c>
      <c r="AW276" s="18">
        <v>269.44971537001896</v>
      </c>
      <c r="AX276" s="18">
        <v>1719.9655172413793</v>
      </c>
      <c r="AY276" s="18">
        <v>1836.1628392484342</v>
      </c>
      <c r="AZ276" s="18">
        <v>1767.3139013452915</v>
      </c>
      <c r="BA276" s="18">
        <v>1500.4723404255319</v>
      </c>
      <c r="BB276" s="18">
        <v>1103.4787878787879</v>
      </c>
      <c r="BC276" s="18">
        <v>807.26539278131634</v>
      </c>
      <c r="BD276" s="18">
        <v>530.76712328767121</v>
      </c>
      <c r="BE276" s="25">
        <v>81.421052631578945</v>
      </c>
      <c r="BF276" s="18">
        <v>105.71255060728745</v>
      </c>
      <c r="BG276" s="18">
        <v>338.78510998307951</v>
      </c>
      <c r="BH276" s="18">
        <v>319.93591905564926</v>
      </c>
      <c r="BI276" s="18">
        <v>335.89672977624787</v>
      </c>
      <c r="BJ276" s="18">
        <v>988.83285302593652</v>
      </c>
      <c r="BK276" s="113">
        <v>824.26920462270573</v>
      </c>
      <c r="BL276" s="113">
        <v>672.25325884543759</v>
      </c>
      <c r="BM276" s="113">
        <v>460.66252587991715</v>
      </c>
      <c r="BN276" s="113">
        <v>443.2610926832171</v>
      </c>
      <c r="BO276" s="113">
        <v>277</v>
      </c>
      <c r="BP276" s="113">
        <v>181</v>
      </c>
      <c r="BQ276" s="113">
        <v>63</v>
      </c>
      <c r="BR276" s="101"/>
      <c r="BS276">
        <f t="shared" si="495"/>
        <v>0</v>
      </c>
      <c r="BT276">
        <f t="shared" si="495"/>
        <v>0</v>
      </c>
      <c r="BU276">
        <f t="shared" si="495"/>
        <v>0</v>
      </c>
      <c r="BV276">
        <f t="shared" si="495"/>
        <v>0</v>
      </c>
      <c r="BW276">
        <f t="shared" si="495"/>
        <v>0</v>
      </c>
      <c r="BX276">
        <f t="shared" si="495"/>
        <v>0</v>
      </c>
      <c r="BY276">
        <f t="shared" si="495"/>
        <v>0</v>
      </c>
      <c r="BZ276">
        <f t="shared" si="495"/>
        <v>0</v>
      </c>
      <c r="CA276">
        <f t="shared" si="495"/>
        <v>0</v>
      </c>
      <c r="CB276">
        <f t="shared" si="495"/>
        <v>0</v>
      </c>
      <c r="CC276">
        <f t="shared" si="496"/>
        <v>0</v>
      </c>
      <c r="CD276">
        <f t="shared" si="496"/>
        <v>0</v>
      </c>
      <c r="CE276">
        <f t="shared" si="496"/>
        <v>0</v>
      </c>
      <c r="CF276">
        <f t="shared" si="496"/>
        <v>0</v>
      </c>
      <c r="CG276">
        <f t="shared" si="496"/>
        <v>0</v>
      </c>
      <c r="CH276">
        <f t="shared" si="496"/>
        <v>0</v>
      </c>
      <c r="CI276">
        <f t="shared" si="496"/>
        <v>0</v>
      </c>
      <c r="CJ276">
        <f t="shared" si="496"/>
        <v>0</v>
      </c>
      <c r="CK276">
        <f t="shared" si="496"/>
        <v>0</v>
      </c>
      <c r="CL276">
        <f t="shared" si="496"/>
        <v>0</v>
      </c>
      <c r="CM276">
        <f t="shared" si="497"/>
        <v>0</v>
      </c>
      <c r="CN276">
        <f t="shared" si="497"/>
        <v>0</v>
      </c>
      <c r="CO276">
        <f t="shared" si="497"/>
        <v>0</v>
      </c>
      <c r="CP276">
        <f t="shared" si="497"/>
        <v>0</v>
      </c>
      <c r="CQ276">
        <f t="shared" si="497"/>
        <v>0</v>
      </c>
      <c r="CR276">
        <f t="shared" si="497"/>
        <v>0</v>
      </c>
      <c r="CS276">
        <f t="shared" si="497"/>
        <v>0</v>
      </c>
      <c r="CT276">
        <f t="shared" si="497"/>
        <v>0</v>
      </c>
      <c r="CU276">
        <f t="shared" si="497"/>
        <v>0</v>
      </c>
      <c r="CV276">
        <f t="shared" si="497"/>
        <v>0</v>
      </c>
      <c r="CW276">
        <f t="shared" si="498"/>
        <v>0</v>
      </c>
      <c r="CX276">
        <f t="shared" si="498"/>
        <v>0</v>
      </c>
      <c r="CY276">
        <f t="shared" si="498"/>
        <v>0</v>
      </c>
      <c r="CZ276">
        <f t="shared" si="498"/>
        <v>0</v>
      </c>
      <c r="DA276">
        <f t="shared" si="498"/>
        <v>0</v>
      </c>
      <c r="DB276">
        <f t="shared" si="498"/>
        <v>0</v>
      </c>
      <c r="DC276">
        <f t="shared" si="498"/>
        <v>0</v>
      </c>
      <c r="DD276">
        <f t="shared" si="498"/>
        <v>0</v>
      </c>
      <c r="DE276">
        <f t="shared" si="498"/>
        <v>0</v>
      </c>
      <c r="DF276">
        <f t="shared" si="498"/>
        <v>0</v>
      </c>
      <c r="DG276">
        <f t="shared" si="499"/>
        <v>0</v>
      </c>
      <c r="DH276">
        <f t="shared" si="499"/>
        <v>0</v>
      </c>
      <c r="DI276">
        <f t="shared" si="499"/>
        <v>0</v>
      </c>
      <c r="DJ276">
        <f t="shared" si="499"/>
        <v>0</v>
      </c>
      <c r="DK276">
        <f t="shared" si="499"/>
        <v>0</v>
      </c>
      <c r="DL276">
        <f t="shared" si="499"/>
        <v>0</v>
      </c>
      <c r="DM276">
        <f t="shared" si="499"/>
        <v>0</v>
      </c>
      <c r="DN276">
        <f t="shared" si="499"/>
        <v>0</v>
      </c>
      <c r="DO276">
        <f t="shared" si="499"/>
        <v>0</v>
      </c>
      <c r="DP276">
        <f t="shared" si="499"/>
        <v>0</v>
      </c>
      <c r="DQ276">
        <f t="shared" si="500"/>
        <v>0</v>
      </c>
      <c r="DR276">
        <f t="shared" si="500"/>
        <v>0</v>
      </c>
      <c r="DS276">
        <f t="shared" si="500"/>
        <v>0</v>
      </c>
      <c r="DT276">
        <f t="shared" si="500"/>
        <v>0</v>
      </c>
      <c r="DU276">
        <f t="shared" si="500"/>
        <v>0</v>
      </c>
      <c r="DV276">
        <f t="shared" si="500"/>
        <v>0</v>
      </c>
      <c r="DW276">
        <f t="shared" si="500"/>
        <v>0</v>
      </c>
      <c r="DX276">
        <f t="shared" si="500"/>
        <v>0</v>
      </c>
      <c r="DY276">
        <f t="shared" si="500"/>
        <v>0</v>
      </c>
      <c r="DZ276">
        <f t="shared" si="500"/>
        <v>0</v>
      </c>
      <c r="EA276">
        <f t="shared" ref="EA276:EF276" si="502">IF($C276&lt;&gt;"",IF(BL276&gt;0,1,0),0)</f>
        <v>0</v>
      </c>
      <c r="EB276">
        <f t="shared" si="502"/>
        <v>0</v>
      </c>
      <c r="EC276">
        <f t="shared" si="502"/>
        <v>0</v>
      </c>
      <c r="ED276">
        <f t="shared" si="502"/>
        <v>0</v>
      </c>
      <c r="EE276">
        <f t="shared" si="502"/>
        <v>0</v>
      </c>
      <c r="EF276">
        <f t="shared" si="502"/>
        <v>0</v>
      </c>
    </row>
    <row r="277" spans="1:136" ht="15.5">
      <c r="A277" s="90"/>
      <c r="B277" s="19"/>
      <c r="C277" s="95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  <c r="BA277" s="18"/>
      <c r="BB277" s="18"/>
      <c r="BC277" s="18"/>
      <c r="BD277" s="18"/>
      <c r="BE277" s="25"/>
      <c r="BF277" s="18"/>
      <c r="BG277" s="18"/>
      <c r="BH277" s="18"/>
      <c r="BI277" s="18"/>
      <c r="BJ277" s="18"/>
      <c r="BK277" s="2"/>
      <c r="BL277" s="2"/>
      <c r="BM277" s="2"/>
      <c r="BN277" s="2"/>
      <c r="BO277" s="2"/>
      <c r="BP277" s="2"/>
      <c r="BQ277" s="2"/>
      <c r="BR277" s="101"/>
    </row>
    <row r="278" spans="1:136" ht="15.5">
      <c r="A278" s="93">
        <v>30</v>
      </c>
      <c r="B278" s="32" t="s">
        <v>45</v>
      </c>
      <c r="C278" s="95">
        <v>2</v>
      </c>
      <c r="D278" s="22">
        <f t="shared" ref="D278:AI278" si="503">SUM(D279:D283)</f>
        <v>0</v>
      </c>
      <c r="E278" s="22">
        <f t="shared" si="503"/>
        <v>17.8</v>
      </c>
      <c r="F278" s="22">
        <f t="shared" si="503"/>
        <v>0</v>
      </c>
      <c r="G278" s="22">
        <f t="shared" si="503"/>
        <v>15</v>
      </c>
      <c r="H278" s="22">
        <f t="shared" si="503"/>
        <v>109</v>
      </c>
      <c r="I278" s="22">
        <f t="shared" si="503"/>
        <v>90</v>
      </c>
      <c r="J278" s="22">
        <f t="shared" si="503"/>
        <v>66</v>
      </c>
      <c r="K278" s="22">
        <f t="shared" si="503"/>
        <v>0</v>
      </c>
      <c r="L278" s="22">
        <f t="shared" si="503"/>
        <v>0</v>
      </c>
      <c r="M278" s="22">
        <f t="shared" si="503"/>
        <v>0</v>
      </c>
      <c r="N278" s="22">
        <f t="shared" si="503"/>
        <v>0</v>
      </c>
      <c r="O278" s="22">
        <f t="shared" si="503"/>
        <v>53.5</v>
      </c>
      <c r="P278" s="22">
        <f t="shared" si="503"/>
        <v>562.6</v>
      </c>
      <c r="Q278" s="22">
        <f t="shared" si="503"/>
        <v>399</v>
      </c>
      <c r="R278" s="22">
        <f t="shared" si="503"/>
        <v>560.29999999999995</v>
      </c>
      <c r="S278" s="22">
        <f t="shared" si="503"/>
        <v>281</v>
      </c>
      <c r="T278" s="22">
        <f t="shared" si="503"/>
        <v>0</v>
      </c>
      <c r="U278" s="22">
        <f t="shared" si="503"/>
        <v>0</v>
      </c>
      <c r="V278" s="22">
        <f t="shared" si="503"/>
        <v>0</v>
      </c>
      <c r="W278" s="22">
        <f t="shared" si="503"/>
        <v>0</v>
      </c>
      <c r="X278" s="22">
        <f t="shared" si="503"/>
        <v>0</v>
      </c>
      <c r="Y278" s="22">
        <f t="shared" si="503"/>
        <v>0</v>
      </c>
      <c r="Z278" s="22">
        <f t="shared" si="503"/>
        <v>0</v>
      </c>
      <c r="AA278" s="22">
        <f t="shared" si="503"/>
        <v>2850</v>
      </c>
      <c r="AB278" s="22">
        <f t="shared" si="503"/>
        <v>4317</v>
      </c>
      <c r="AC278" s="22">
        <f t="shared" si="503"/>
        <v>8764</v>
      </c>
      <c r="AD278" s="22">
        <f t="shared" si="503"/>
        <v>7602</v>
      </c>
      <c r="AE278" s="22">
        <f t="shared" si="503"/>
        <v>7767.2</v>
      </c>
      <c r="AF278" s="22">
        <f t="shared" si="503"/>
        <v>7303</v>
      </c>
      <c r="AG278" s="22">
        <f t="shared" si="503"/>
        <v>7020</v>
      </c>
      <c r="AH278" s="22">
        <f t="shared" si="503"/>
        <v>6494</v>
      </c>
      <c r="AI278" s="22">
        <f t="shared" si="503"/>
        <v>0</v>
      </c>
      <c r="AJ278" s="22">
        <f t="shared" ref="AJ278:BO278" si="504">SUM(AJ279:AJ283)</f>
        <v>0</v>
      </c>
      <c r="AK278" s="22">
        <f t="shared" si="504"/>
        <v>0</v>
      </c>
      <c r="AL278" s="22">
        <f t="shared" si="504"/>
        <v>0</v>
      </c>
      <c r="AM278" s="22">
        <f t="shared" si="504"/>
        <v>0</v>
      </c>
      <c r="AN278" s="22">
        <f t="shared" si="504"/>
        <v>0</v>
      </c>
      <c r="AO278" s="22">
        <f t="shared" si="504"/>
        <v>0</v>
      </c>
      <c r="AP278" s="22">
        <f t="shared" si="504"/>
        <v>0</v>
      </c>
      <c r="AQ278" s="22">
        <f t="shared" si="504"/>
        <v>0</v>
      </c>
      <c r="AR278" s="22">
        <f t="shared" si="504"/>
        <v>0</v>
      </c>
      <c r="AS278" s="22">
        <f t="shared" si="504"/>
        <v>0</v>
      </c>
      <c r="AT278" s="22">
        <f t="shared" si="504"/>
        <v>0</v>
      </c>
      <c r="AU278" s="22">
        <f t="shared" si="504"/>
        <v>0</v>
      </c>
      <c r="AV278" s="22">
        <f t="shared" si="504"/>
        <v>0</v>
      </c>
      <c r="AW278" s="22">
        <f t="shared" si="504"/>
        <v>0</v>
      </c>
      <c r="AX278" s="22">
        <f t="shared" si="504"/>
        <v>0</v>
      </c>
      <c r="AY278" s="22">
        <f t="shared" si="504"/>
        <v>0</v>
      </c>
      <c r="AZ278" s="22">
        <f t="shared" si="504"/>
        <v>0</v>
      </c>
      <c r="BA278" s="22">
        <f t="shared" si="504"/>
        <v>0</v>
      </c>
      <c r="BB278" s="22">
        <f t="shared" si="504"/>
        <v>0</v>
      </c>
      <c r="BC278" s="22">
        <f t="shared" si="504"/>
        <v>0</v>
      </c>
      <c r="BD278" s="22">
        <f t="shared" si="504"/>
        <v>0</v>
      </c>
      <c r="BE278" s="22">
        <f t="shared" si="504"/>
        <v>0</v>
      </c>
      <c r="BF278" s="22">
        <f t="shared" si="504"/>
        <v>0</v>
      </c>
      <c r="BG278" s="22">
        <f t="shared" si="504"/>
        <v>0</v>
      </c>
      <c r="BH278" s="22">
        <f t="shared" si="504"/>
        <v>0</v>
      </c>
      <c r="BI278" s="22">
        <f t="shared" si="504"/>
        <v>0</v>
      </c>
      <c r="BJ278" s="22">
        <f t="shared" si="504"/>
        <v>0</v>
      </c>
      <c r="BK278" s="22">
        <f t="shared" si="504"/>
        <v>0</v>
      </c>
      <c r="BL278" s="22">
        <f t="shared" si="504"/>
        <v>0</v>
      </c>
      <c r="BM278" s="22">
        <f t="shared" si="504"/>
        <v>0</v>
      </c>
      <c r="BN278" s="22">
        <f t="shared" si="504"/>
        <v>0</v>
      </c>
      <c r="BO278" s="22">
        <f t="shared" si="504"/>
        <v>0</v>
      </c>
      <c r="BP278" s="22">
        <f>SUM(BP279:BP283)</f>
        <v>0</v>
      </c>
      <c r="BQ278" s="22">
        <f>SUM(BQ279:BQ283)</f>
        <v>0</v>
      </c>
      <c r="BR278" s="101"/>
      <c r="BS278">
        <f t="shared" ref="BS278:CB283" si="505">IF($C278&lt;&gt;"",IF(D278&gt;0,1,0),0)</f>
        <v>0</v>
      </c>
      <c r="BT278">
        <f t="shared" si="505"/>
        <v>1</v>
      </c>
      <c r="BU278">
        <f t="shared" si="505"/>
        <v>0</v>
      </c>
      <c r="BV278">
        <f t="shared" si="505"/>
        <v>1</v>
      </c>
      <c r="BW278">
        <f t="shared" si="505"/>
        <v>1</v>
      </c>
      <c r="BX278">
        <f t="shared" si="505"/>
        <v>1</v>
      </c>
      <c r="BY278">
        <f t="shared" si="505"/>
        <v>1</v>
      </c>
      <c r="BZ278">
        <f t="shared" si="505"/>
        <v>0</v>
      </c>
      <c r="CA278">
        <f t="shared" si="505"/>
        <v>0</v>
      </c>
      <c r="CB278">
        <f t="shared" si="505"/>
        <v>0</v>
      </c>
      <c r="CC278">
        <f t="shared" ref="CC278:CL283" si="506">IF($C278&lt;&gt;"",IF(N278&gt;0,1,0),0)</f>
        <v>0</v>
      </c>
      <c r="CD278">
        <f t="shared" si="506"/>
        <v>1</v>
      </c>
      <c r="CE278">
        <f t="shared" si="506"/>
        <v>1</v>
      </c>
      <c r="CF278">
        <f t="shared" si="506"/>
        <v>1</v>
      </c>
      <c r="CG278">
        <f t="shared" si="506"/>
        <v>1</v>
      </c>
      <c r="CH278">
        <f t="shared" si="506"/>
        <v>1</v>
      </c>
      <c r="CI278">
        <f t="shared" si="506"/>
        <v>0</v>
      </c>
      <c r="CJ278">
        <f t="shared" si="506"/>
        <v>0</v>
      </c>
      <c r="CK278">
        <f t="shared" si="506"/>
        <v>0</v>
      </c>
      <c r="CL278">
        <f t="shared" si="506"/>
        <v>0</v>
      </c>
      <c r="CM278">
        <f t="shared" ref="CM278:CV283" si="507">IF($C278&lt;&gt;"",IF(X278&gt;0,1,0),0)</f>
        <v>0</v>
      </c>
      <c r="CN278">
        <f t="shared" si="507"/>
        <v>0</v>
      </c>
      <c r="CO278">
        <f t="shared" si="507"/>
        <v>0</v>
      </c>
      <c r="CP278">
        <f t="shared" si="507"/>
        <v>1</v>
      </c>
      <c r="CQ278">
        <f t="shared" si="507"/>
        <v>1</v>
      </c>
      <c r="CR278">
        <f t="shared" si="507"/>
        <v>1</v>
      </c>
      <c r="CS278">
        <f t="shared" si="507"/>
        <v>1</v>
      </c>
      <c r="CT278">
        <f t="shared" si="507"/>
        <v>1</v>
      </c>
      <c r="CU278">
        <f t="shared" si="507"/>
        <v>1</v>
      </c>
      <c r="CV278">
        <f t="shared" si="507"/>
        <v>1</v>
      </c>
      <c r="CW278">
        <f t="shared" ref="CW278:DF283" si="508">IF($C278&lt;&gt;"",IF(AH278&gt;0,1,0),0)</f>
        <v>1</v>
      </c>
      <c r="CX278">
        <f t="shared" si="508"/>
        <v>0</v>
      </c>
      <c r="CY278">
        <f t="shared" si="508"/>
        <v>0</v>
      </c>
      <c r="CZ278">
        <f t="shared" si="508"/>
        <v>0</v>
      </c>
      <c r="DA278">
        <f t="shared" si="508"/>
        <v>0</v>
      </c>
      <c r="DB278">
        <f t="shared" si="508"/>
        <v>0</v>
      </c>
      <c r="DC278">
        <f t="shared" si="508"/>
        <v>0</v>
      </c>
      <c r="DD278">
        <f t="shared" si="508"/>
        <v>0</v>
      </c>
      <c r="DE278">
        <f t="shared" si="508"/>
        <v>0</v>
      </c>
      <c r="DF278">
        <f t="shared" si="508"/>
        <v>0</v>
      </c>
      <c r="DG278">
        <f t="shared" ref="DG278:DP283" si="509">IF($C278&lt;&gt;"",IF(AR278&gt;0,1,0),0)</f>
        <v>0</v>
      </c>
      <c r="DH278">
        <f t="shared" si="509"/>
        <v>0</v>
      </c>
      <c r="DI278">
        <f t="shared" si="509"/>
        <v>0</v>
      </c>
      <c r="DJ278">
        <f t="shared" si="509"/>
        <v>0</v>
      </c>
      <c r="DK278">
        <f t="shared" si="509"/>
        <v>0</v>
      </c>
      <c r="DL278">
        <f t="shared" si="509"/>
        <v>0</v>
      </c>
      <c r="DM278">
        <f t="shared" si="509"/>
        <v>0</v>
      </c>
      <c r="DN278">
        <f t="shared" si="509"/>
        <v>0</v>
      </c>
      <c r="DO278">
        <f t="shared" si="509"/>
        <v>0</v>
      </c>
      <c r="DP278">
        <f t="shared" si="509"/>
        <v>0</v>
      </c>
      <c r="DQ278">
        <f t="shared" ref="DQ278:DZ283" si="510">IF($C278&lt;&gt;"",IF(BB278&gt;0,1,0),0)</f>
        <v>0</v>
      </c>
      <c r="DR278">
        <f t="shared" si="510"/>
        <v>0</v>
      </c>
      <c r="DS278">
        <f t="shared" si="510"/>
        <v>0</v>
      </c>
      <c r="DT278">
        <f t="shared" si="510"/>
        <v>0</v>
      </c>
      <c r="DU278">
        <f t="shared" si="510"/>
        <v>0</v>
      </c>
      <c r="DV278">
        <f t="shared" si="510"/>
        <v>0</v>
      </c>
      <c r="DW278">
        <f t="shared" si="510"/>
        <v>0</v>
      </c>
      <c r="DX278">
        <f t="shared" si="510"/>
        <v>0</v>
      </c>
      <c r="DY278">
        <f t="shared" si="510"/>
        <v>0</v>
      </c>
      <c r="DZ278">
        <f t="shared" si="510"/>
        <v>0</v>
      </c>
      <c r="EA278">
        <f t="shared" ref="EA278:EF283" si="511">IF($C278&lt;&gt;"",IF(BL278&gt;0,1,0),0)</f>
        <v>0</v>
      </c>
      <c r="EB278">
        <f t="shared" si="511"/>
        <v>0</v>
      </c>
      <c r="EC278">
        <f t="shared" si="511"/>
        <v>0</v>
      </c>
      <c r="ED278">
        <f t="shared" si="511"/>
        <v>0</v>
      </c>
      <c r="EE278">
        <f t="shared" si="511"/>
        <v>0</v>
      </c>
      <c r="EF278">
        <f t="shared" si="511"/>
        <v>0</v>
      </c>
    </row>
    <row r="279" spans="1:136" ht="15.5">
      <c r="A279" s="93"/>
      <c r="B279" s="24" t="s">
        <v>15</v>
      </c>
      <c r="C279" s="95"/>
      <c r="D279" s="18">
        <v>0</v>
      </c>
      <c r="E279" s="18">
        <v>0</v>
      </c>
      <c r="F279" s="18">
        <v>0</v>
      </c>
      <c r="G279" s="18">
        <v>0</v>
      </c>
      <c r="H279" s="18">
        <v>64</v>
      </c>
      <c r="I279" s="18">
        <v>0</v>
      </c>
      <c r="J279" s="18">
        <v>66</v>
      </c>
      <c r="K279" s="18">
        <v>0</v>
      </c>
      <c r="L279" s="18">
        <v>0</v>
      </c>
      <c r="M279" s="18">
        <v>0</v>
      </c>
      <c r="N279" s="18">
        <v>0</v>
      </c>
      <c r="O279" s="18">
        <v>0</v>
      </c>
      <c r="P279" s="18">
        <v>0</v>
      </c>
      <c r="Q279" s="18">
        <v>0</v>
      </c>
      <c r="R279" s="18">
        <v>0</v>
      </c>
      <c r="S279" s="18">
        <v>0</v>
      </c>
      <c r="T279" s="18">
        <v>0</v>
      </c>
      <c r="U279" s="18">
        <v>0</v>
      </c>
      <c r="V279" s="18">
        <v>0</v>
      </c>
      <c r="W279" s="18">
        <v>0</v>
      </c>
      <c r="X279" s="18">
        <v>0</v>
      </c>
      <c r="Y279" s="18">
        <v>0</v>
      </c>
      <c r="Z279" s="18">
        <v>0</v>
      </c>
      <c r="AA279" s="18">
        <v>0</v>
      </c>
      <c r="AB279" s="18">
        <v>0</v>
      </c>
      <c r="AC279" s="18">
        <v>0</v>
      </c>
      <c r="AD279" s="18">
        <v>0</v>
      </c>
      <c r="AE279" s="18">
        <v>0</v>
      </c>
      <c r="AF279" s="18">
        <v>0</v>
      </c>
      <c r="AG279" s="18">
        <v>0</v>
      </c>
      <c r="AH279" s="18">
        <v>0</v>
      </c>
      <c r="AI279" s="18">
        <v>0</v>
      </c>
      <c r="AJ279" s="18">
        <v>0</v>
      </c>
      <c r="AK279" s="18">
        <v>0</v>
      </c>
      <c r="AL279" s="18">
        <v>0</v>
      </c>
      <c r="AM279" s="18">
        <v>0</v>
      </c>
      <c r="AN279" s="18">
        <v>0</v>
      </c>
      <c r="AO279" s="18">
        <v>0</v>
      </c>
      <c r="AP279" s="18">
        <v>0</v>
      </c>
      <c r="AQ279" s="18">
        <v>0</v>
      </c>
      <c r="AR279" s="18">
        <v>0</v>
      </c>
      <c r="AS279" s="18">
        <v>0</v>
      </c>
      <c r="AT279" s="18">
        <v>0</v>
      </c>
      <c r="AU279" s="18">
        <v>0</v>
      </c>
      <c r="AV279" s="18">
        <v>0</v>
      </c>
      <c r="AW279" s="18">
        <v>0</v>
      </c>
      <c r="AX279" s="18">
        <v>0</v>
      </c>
      <c r="AY279" s="18">
        <v>0</v>
      </c>
      <c r="AZ279" s="18">
        <v>0</v>
      </c>
      <c r="BA279" s="18">
        <v>0</v>
      </c>
      <c r="BB279" s="18">
        <v>0</v>
      </c>
      <c r="BC279" s="18">
        <v>0</v>
      </c>
      <c r="BD279" s="18">
        <v>0</v>
      </c>
      <c r="BE279" s="18">
        <v>0</v>
      </c>
      <c r="BF279" s="18">
        <v>0</v>
      </c>
      <c r="BG279" s="60">
        <v>0</v>
      </c>
      <c r="BH279" s="60">
        <v>0</v>
      </c>
      <c r="BI279" s="60">
        <v>0</v>
      </c>
      <c r="BJ279" s="113">
        <v>0</v>
      </c>
      <c r="BK279" s="113">
        <v>0</v>
      </c>
      <c r="BL279" s="113">
        <v>0</v>
      </c>
      <c r="BM279" s="113">
        <v>0</v>
      </c>
      <c r="BN279" s="113">
        <v>0</v>
      </c>
      <c r="BO279" s="113">
        <v>0</v>
      </c>
      <c r="BP279" s="113">
        <v>0</v>
      </c>
      <c r="BQ279" s="113">
        <v>0</v>
      </c>
      <c r="BR279" s="101"/>
      <c r="BS279">
        <f t="shared" si="505"/>
        <v>0</v>
      </c>
      <c r="BT279">
        <f t="shared" si="505"/>
        <v>0</v>
      </c>
      <c r="BU279">
        <f t="shared" si="505"/>
        <v>0</v>
      </c>
      <c r="BV279">
        <f t="shared" si="505"/>
        <v>0</v>
      </c>
      <c r="BW279">
        <f t="shared" si="505"/>
        <v>0</v>
      </c>
      <c r="BX279">
        <f t="shared" si="505"/>
        <v>0</v>
      </c>
      <c r="BY279">
        <f t="shared" si="505"/>
        <v>0</v>
      </c>
      <c r="BZ279">
        <f t="shared" si="505"/>
        <v>0</v>
      </c>
      <c r="CA279">
        <f t="shared" si="505"/>
        <v>0</v>
      </c>
      <c r="CB279">
        <f t="shared" si="505"/>
        <v>0</v>
      </c>
      <c r="CC279">
        <f t="shared" si="506"/>
        <v>0</v>
      </c>
      <c r="CD279">
        <f t="shared" si="506"/>
        <v>0</v>
      </c>
      <c r="CE279">
        <f t="shared" si="506"/>
        <v>0</v>
      </c>
      <c r="CF279">
        <f t="shared" si="506"/>
        <v>0</v>
      </c>
      <c r="CG279">
        <f t="shared" si="506"/>
        <v>0</v>
      </c>
      <c r="CH279">
        <f t="shared" si="506"/>
        <v>0</v>
      </c>
      <c r="CI279">
        <f t="shared" si="506"/>
        <v>0</v>
      </c>
      <c r="CJ279">
        <f t="shared" si="506"/>
        <v>0</v>
      </c>
      <c r="CK279">
        <f t="shared" si="506"/>
        <v>0</v>
      </c>
      <c r="CL279">
        <f t="shared" si="506"/>
        <v>0</v>
      </c>
      <c r="CM279">
        <f t="shared" si="507"/>
        <v>0</v>
      </c>
      <c r="CN279">
        <f t="shared" si="507"/>
        <v>0</v>
      </c>
      <c r="CO279">
        <f t="shared" si="507"/>
        <v>0</v>
      </c>
      <c r="CP279">
        <f t="shared" si="507"/>
        <v>0</v>
      </c>
      <c r="CQ279">
        <f t="shared" si="507"/>
        <v>0</v>
      </c>
      <c r="CR279">
        <f t="shared" si="507"/>
        <v>0</v>
      </c>
      <c r="CS279">
        <f t="shared" si="507"/>
        <v>0</v>
      </c>
      <c r="CT279">
        <f t="shared" si="507"/>
        <v>0</v>
      </c>
      <c r="CU279">
        <f t="shared" si="507"/>
        <v>0</v>
      </c>
      <c r="CV279">
        <f t="shared" si="507"/>
        <v>0</v>
      </c>
      <c r="CW279">
        <f t="shared" si="508"/>
        <v>0</v>
      </c>
      <c r="CX279">
        <f t="shared" si="508"/>
        <v>0</v>
      </c>
      <c r="CY279">
        <f t="shared" si="508"/>
        <v>0</v>
      </c>
      <c r="CZ279">
        <f t="shared" si="508"/>
        <v>0</v>
      </c>
      <c r="DA279">
        <f t="shared" si="508"/>
        <v>0</v>
      </c>
      <c r="DB279">
        <f t="shared" si="508"/>
        <v>0</v>
      </c>
      <c r="DC279">
        <f t="shared" si="508"/>
        <v>0</v>
      </c>
      <c r="DD279">
        <f t="shared" si="508"/>
        <v>0</v>
      </c>
      <c r="DE279">
        <f t="shared" si="508"/>
        <v>0</v>
      </c>
      <c r="DF279">
        <f t="shared" si="508"/>
        <v>0</v>
      </c>
      <c r="DG279">
        <f t="shared" si="509"/>
        <v>0</v>
      </c>
      <c r="DH279">
        <f t="shared" si="509"/>
        <v>0</v>
      </c>
      <c r="DI279">
        <f t="shared" si="509"/>
        <v>0</v>
      </c>
      <c r="DJ279">
        <f t="shared" si="509"/>
        <v>0</v>
      </c>
      <c r="DK279">
        <f t="shared" si="509"/>
        <v>0</v>
      </c>
      <c r="DL279">
        <f t="shared" si="509"/>
        <v>0</v>
      </c>
      <c r="DM279">
        <f t="shared" si="509"/>
        <v>0</v>
      </c>
      <c r="DN279">
        <f t="shared" si="509"/>
        <v>0</v>
      </c>
      <c r="DO279">
        <f t="shared" si="509"/>
        <v>0</v>
      </c>
      <c r="DP279">
        <f t="shared" si="509"/>
        <v>0</v>
      </c>
      <c r="DQ279">
        <f t="shared" si="510"/>
        <v>0</v>
      </c>
      <c r="DR279">
        <f t="shared" si="510"/>
        <v>0</v>
      </c>
      <c r="DS279">
        <f t="shared" si="510"/>
        <v>0</v>
      </c>
      <c r="DT279">
        <f t="shared" si="510"/>
        <v>0</v>
      </c>
      <c r="DU279">
        <f t="shared" si="510"/>
        <v>0</v>
      </c>
      <c r="DV279">
        <f t="shared" si="510"/>
        <v>0</v>
      </c>
      <c r="DW279">
        <f t="shared" si="510"/>
        <v>0</v>
      </c>
      <c r="DX279">
        <f t="shared" si="510"/>
        <v>0</v>
      </c>
      <c r="DY279">
        <f t="shared" si="510"/>
        <v>0</v>
      </c>
      <c r="DZ279">
        <f t="shared" si="510"/>
        <v>0</v>
      </c>
      <c r="EA279">
        <f t="shared" si="511"/>
        <v>0</v>
      </c>
      <c r="EB279">
        <f t="shared" si="511"/>
        <v>0</v>
      </c>
      <c r="EC279">
        <f t="shared" si="511"/>
        <v>0</v>
      </c>
      <c r="ED279">
        <f t="shared" si="511"/>
        <v>0</v>
      </c>
      <c r="EE279">
        <f t="shared" si="511"/>
        <v>0</v>
      </c>
      <c r="EF279">
        <f t="shared" si="511"/>
        <v>0</v>
      </c>
    </row>
    <row r="280" spans="1:136" ht="15.5">
      <c r="A280" s="93"/>
      <c r="B280" s="19" t="s">
        <v>2</v>
      </c>
      <c r="C280" s="95"/>
      <c r="D280" s="18">
        <v>0</v>
      </c>
      <c r="E280" s="18">
        <v>0</v>
      </c>
      <c r="F280" s="18">
        <v>0</v>
      </c>
      <c r="G280" s="18">
        <v>0</v>
      </c>
      <c r="H280" s="18">
        <v>0</v>
      </c>
      <c r="I280" s="18">
        <v>90</v>
      </c>
      <c r="J280" s="18">
        <v>0</v>
      </c>
      <c r="K280" s="18">
        <v>0</v>
      </c>
      <c r="L280" s="18">
        <v>0</v>
      </c>
      <c r="M280" s="18">
        <v>0</v>
      </c>
      <c r="N280" s="18">
        <v>0</v>
      </c>
      <c r="O280" s="18">
        <v>0</v>
      </c>
      <c r="P280" s="18">
        <v>258</v>
      </c>
      <c r="Q280" s="71">
        <v>236</v>
      </c>
      <c r="R280" s="18">
        <v>460</v>
      </c>
      <c r="S280" s="18">
        <v>230</v>
      </c>
      <c r="T280" s="18">
        <v>0</v>
      </c>
      <c r="U280" s="18">
        <v>0</v>
      </c>
      <c r="V280" s="18">
        <v>0</v>
      </c>
      <c r="W280" s="18">
        <v>0</v>
      </c>
      <c r="X280" s="18">
        <v>0</v>
      </c>
      <c r="Y280" s="18">
        <v>0</v>
      </c>
      <c r="Z280" s="18">
        <v>0</v>
      </c>
      <c r="AA280" s="18">
        <v>0</v>
      </c>
      <c r="AB280" s="18">
        <v>0</v>
      </c>
      <c r="AC280" s="18">
        <v>179</v>
      </c>
      <c r="AD280" s="18">
        <v>0</v>
      </c>
      <c r="AE280" s="18">
        <v>165.2</v>
      </c>
      <c r="AF280" s="18">
        <v>0</v>
      </c>
      <c r="AG280" s="18">
        <v>0</v>
      </c>
      <c r="AH280" s="18">
        <v>0</v>
      </c>
      <c r="AI280" s="18">
        <v>0</v>
      </c>
      <c r="AJ280" s="18">
        <v>0</v>
      </c>
      <c r="AK280" s="18">
        <v>0</v>
      </c>
      <c r="AL280" s="18">
        <v>0</v>
      </c>
      <c r="AM280" s="18">
        <v>0</v>
      </c>
      <c r="AN280" s="18">
        <v>0</v>
      </c>
      <c r="AO280" s="18">
        <v>0</v>
      </c>
      <c r="AP280" s="18">
        <v>0</v>
      </c>
      <c r="AQ280" s="18">
        <v>0</v>
      </c>
      <c r="AR280" s="18">
        <v>0</v>
      </c>
      <c r="AS280" s="18">
        <v>0</v>
      </c>
      <c r="AT280" s="18">
        <v>0</v>
      </c>
      <c r="AU280" s="18">
        <v>0</v>
      </c>
      <c r="AV280" s="18">
        <v>0</v>
      </c>
      <c r="AW280" s="18">
        <v>0</v>
      </c>
      <c r="AX280" s="18">
        <v>0</v>
      </c>
      <c r="AY280" s="18">
        <v>0</v>
      </c>
      <c r="AZ280" s="18">
        <v>0</v>
      </c>
      <c r="BA280" s="18">
        <v>0</v>
      </c>
      <c r="BB280" s="18">
        <v>0</v>
      </c>
      <c r="BC280" s="18">
        <v>0</v>
      </c>
      <c r="BD280" s="18">
        <v>0</v>
      </c>
      <c r="BE280" s="18">
        <v>0</v>
      </c>
      <c r="BF280" s="18">
        <v>0</v>
      </c>
      <c r="BG280" s="18">
        <v>0</v>
      </c>
      <c r="BH280" s="18">
        <v>0</v>
      </c>
      <c r="BI280" s="18">
        <v>0</v>
      </c>
      <c r="BJ280" s="113">
        <v>0</v>
      </c>
      <c r="BK280" s="113">
        <v>0</v>
      </c>
      <c r="BL280" s="113">
        <v>0</v>
      </c>
      <c r="BM280" s="113">
        <v>0</v>
      </c>
      <c r="BN280" s="113">
        <v>0</v>
      </c>
      <c r="BO280" s="113">
        <v>0</v>
      </c>
      <c r="BP280" s="113">
        <v>0</v>
      </c>
      <c r="BQ280" s="113">
        <v>0</v>
      </c>
      <c r="BR280" s="101"/>
      <c r="BS280">
        <f t="shared" si="505"/>
        <v>0</v>
      </c>
      <c r="BT280">
        <f t="shared" si="505"/>
        <v>0</v>
      </c>
      <c r="BU280">
        <f t="shared" si="505"/>
        <v>0</v>
      </c>
      <c r="BV280">
        <f t="shared" si="505"/>
        <v>0</v>
      </c>
      <c r="BW280">
        <f t="shared" si="505"/>
        <v>0</v>
      </c>
      <c r="BX280">
        <f t="shared" si="505"/>
        <v>0</v>
      </c>
      <c r="BY280">
        <f t="shared" si="505"/>
        <v>0</v>
      </c>
      <c r="BZ280">
        <f t="shared" si="505"/>
        <v>0</v>
      </c>
      <c r="CA280">
        <f t="shared" si="505"/>
        <v>0</v>
      </c>
      <c r="CB280">
        <f t="shared" si="505"/>
        <v>0</v>
      </c>
      <c r="CC280">
        <f t="shared" si="506"/>
        <v>0</v>
      </c>
      <c r="CD280">
        <f t="shared" si="506"/>
        <v>0</v>
      </c>
      <c r="CE280">
        <f t="shared" si="506"/>
        <v>0</v>
      </c>
      <c r="CF280">
        <f t="shared" si="506"/>
        <v>0</v>
      </c>
      <c r="CG280">
        <f t="shared" si="506"/>
        <v>0</v>
      </c>
      <c r="CH280">
        <f t="shared" si="506"/>
        <v>0</v>
      </c>
      <c r="CI280">
        <f t="shared" si="506"/>
        <v>0</v>
      </c>
      <c r="CJ280">
        <f t="shared" si="506"/>
        <v>0</v>
      </c>
      <c r="CK280">
        <f t="shared" si="506"/>
        <v>0</v>
      </c>
      <c r="CL280">
        <f t="shared" si="506"/>
        <v>0</v>
      </c>
      <c r="CM280">
        <f t="shared" si="507"/>
        <v>0</v>
      </c>
      <c r="CN280">
        <f t="shared" si="507"/>
        <v>0</v>
      </c>
      <c r="CO280">
        <f t="shared" si="507"/>
        <v>0</v>
      </c>
      <c r="CP280">
        <f t="shared" si="507"/>
        <v>0</v>
      </c>
      <c r="CQ280">
        <f t="shared" si="507"/>
        <v>0</v>
      </c>
      <c r="CR280">
        <f t="shared" si="507"/>
        <v>0</v>
      </c>
      <c r="CS280">
        <f t="shared" si="507"/>
        <v>0</v>
      </c>
      <c r="CT280">
        <f t="shared" si="507"/>
        <v>0</v>
      </c>
      <c r="CU280">
        <f t="shared" si="507"/>
        <v>0</v>
      </c>
      <c r="CV280">
        <f t="shared" si="507"/>
        <v>0</v>
      </c>
      <c r="CW280">
        <f t="shared" si="508"/>
        <v>0</v>
      </c>
      <c r="CX280">
        <f t="shared" si="508"/>
        <v>0</v>
      </c>
      <c r="CY280">
        <f t="shared" si="508"/>
        <v>0</v>
      </c>
      <c r="CZ280">
        <f t="shared" si="508"/>
        <v>0</v>
      </c>
      <c r="DA280">
        <f t="shared" si="508"/>
        <v>0</v>
      </c>
      <c r="DB280">
        <f t="shared" si="508"/>
        <v>0</v>
      </c>
      <c r="DC280">
        <f t="shared" si="508"/>
        <v>0</v>
      </c>
      <c r="DD280">
        <f t="shared" si="508"/>
        <v>0</v>
      </c>
      <c r="DE280">
        <f t="shared" si="508"/>
        <v>0</v>
      </c>
      <c r="DF280">
        <f t="shared" si="508"/>
        <v>0</v>
      </c>
      <c r="DG280">
        <f t="shared" si="509"/>
        <v>0</v>
      </c>
      <c r="DH280">
        <f t="shared" si="509"/>
        <v>0</v>
      </c>
      <c r="DI280">
        <f t="shared" si="509"/>
        <v>0</v>
      </c>
      <c r="DJ280">
        <f t="shared" si="509"/>
        <v>0</v>
      </c>
      <c r="DK280">
        <f t="shared" si="509"/>
        <v>0</v>
      </c>
      <c r="DL280">
        <f t="shared" si="509"/>
        <v>0</v>
      </c>
      <c r="DM280">
        <f t="shared" si="509"/>
        <v>0</v>
      </c>
      <c r="DN280">
        <f t="shared" si="509"/>
        <v>0</v>
      </c>
      <c r="DO280">
        <f t="shared" si="509"/>
        <v>0</v>
      </c>
      <c r="DP280">
        <f t="shared" si="509"/>
        <v>0</v>
      </c>
      <c r="DQ280">
        <f t="shared" si="510"/>
        <v>0</v>
      </c>
      <c r="DR280">
        <f t="shared" si="510"/>
        <v>0</v>
      </c>
      <c r="DS280">
        <f t="shared" si="510"/>
        <v>0</v>
      </c>
      <c r="DT280">
        <f t="shared" si="510"/>
        <v>0</v>
      </c>
      <c r="DU280">
        <f t="shared" si="510"/>
        <v>0</v>
      </c>
      <c r="DV280">
        <f t="shared" si="510"/>
        <v>0</v>
      </c>
      <c r="DW280">
        <f t="shared" si="510"/>
        <v>0</v>
      </c>
      <c r="DX280">
        <f t="shared" si="510"/>
        <v>0</v>
      </c>
      <c r="DY280">
        <f t="shared" si="510"/>
        <v>0</v>
      </c>
      <c r="DZ280">
        <f t="shared" si="510"/>
        <v>0</v>
      </c>
      <c r="EA280">
        <f t="shared" si="511"/>
        <v>0</v>
      </c>
      <c r="EB280">
        <f t="shared" si="511"/>
        <v>0</v>
      </c>
      <c r="EC280">
        <f t="shared" si="511"/>
        <v>0</v>
      </c>
      <c r="ED280">
        <f t="shared" si="511"/>
        <v>0</v>
      </c>
      <c r="EE280">
        <f t="shared" si="511"/>
        <v>0</v>
      </c>
      <c r="EF280">
        <f t="shared" si="511"/>
        <v>0</v>
      </c>
    </row>
    <row r="281" spans="1:136" ht="15.5">
      <c r="A281" s="93"/>
      <c r="B281" s="57" t="s">
        <v>3</v>
      </c>
      <c r="C281" s="95"/>
      <c r="D281" s="18">
        <v>0</v>
      </c>
      <c r="E281" s="18">
        <v>17.8</v>
      </c>
      <c r="F281" s="18">
        <v>0</v>
      </c>
      <c r="G281" s="18">
        <v>15</v>
      </c>
      <c r="H281" s="18">
        <v>0</v>
      </c>
      <c r="I281" s="18">
        <v>0</v>
      </c>
      <c r="J281" s="18">
        <v>0</v>
      </c>
      <c r="K281" s="18">
        <v>0</v>
      </c>
      <c r="L281" s="18">
        <v>0</v>
      </c>
      <c r="M281" s="18">
        <v>0</v>
      </c>
      <c r="N281" s="18">
        <v>0</v>
      </c>
      <c r="O281" s="18">
        <v>21</v>
      </c>
      <c r="P281" s="18">
        <v>128</v>
      </c>
      <c r="Q281" s="71">
        <v>26</v>
      </c>
      <c r="R281" s="18">
        <v>55</v>
      </c>
      <c r="S281" s="18">
        <v>9</v>
      </c>
      <c r="T281" s="18">
        <v>0</v>
      </c>
      <c r="U281" s="18">
        <v>0</v>
      </c>
      <c r="V281" s="18">
        <v>0</v>
      </c>
      <c r="W281" s="18">
        <v>0</v>
      </c>
      <c r="X281" s="18">
        <v>0</v>
      </c>
      <c r="Y281" s="18">
        <v>0</v>
      </c>
      <c r="Z281" s="18">
        <v>0</v>
      </c>
      <c r="AA281" s="18">
        <v>0</v>
      </c>
      <c r="AB281" s="18">
        <v>0</v>
      </c>
      <c r="AC281" s="18">
        <v>0</v>
      </c>
      <c r="AD281" s="18">
        <v>0</v>
      </c>
      <c r="AE281" s="18">
        <v>0</v>
      </c>
      <c r="AF281" s="18">
        <v>0</v>
      </c>
      <c r="AG281" s="18">
        <v>0</v>
      </c>
      <c r="AH281" s="18">
        <v>0</v>
      </c>
      <c r="AI281" s="18">
        <v>0</v>
      </c>
      <c r="AJ281" s="18">
        <v>0</v>
      </c>
      <c r="AK281" s="18">
        <v>0</v>
      </c>
      <c r="AL281" s="18">
        <v>0</v>
      </c>
      <c r="AM281" s="18">
        <v>0</v>
      </c>
      <c r="AN281" s="18">
        <v>0</v>
      </c>
      <c r="AO281" s="18">
        <v>0</v>
      </c>
      <c r="AP281" s="18">
        <v>0</v>
      </c>
      <c r="AQ281" s="18">
        <v>0</v>
      </c>
      <c r="AR281" s="18">
        <v>0</v>
      </c>
      <c r="AS281" s="18">
        <v>0</v>
      </c>
      <c r="AT281" s="18">
        <v>0</v>
      </c>
      <c r="AU281" s="18">
        <v>0</v>
      </c>
      <c r="AV281" s="18">
        <v>0</v>
      </c>
      <c r="AW281" s="18">
        <v>0</v>
      </c>
      <c r="AX281" s="18">
        <v>0</v>
      </c>
      <c r="AY281" s="18">
        <v>0</v>
      </c>
      <c r="AZ281" s="18">
        <v>0</v>
      </c>
      <c r="BA281" s="18">
        <v>0</v>
      </c>
      <c r="BB281" s="18">
        <v>0</v>
      </c>
      <c r="BC281" s="18">
        <v>0</v>
      </c>
      <c r="BD281" s="18">
        <v>0</v>
      </c>
      <c r="BE281" s="25">
        <v>0</v>
      </c>
      <c r="BF281" s="18">
        <v>0</v>
      </c>
      <c r="BG281" s="18">
        <v>0</v>
      </c>
      <c r="BH281" s="18">
        <v>0</v>
      </c>
      <c r="BI281" s="18">
        <v>0</v>
      </c>
      <c r="BJ281" s="113">
        <v>0</v>
      </c>
      <c r="BK281" s="113">
        <v>0</v>
      </c>
      <c r="BL281" s="113">
        <v>0</v>
      </c>
      <c r="BM281" s="113">
        <v>0</v>
      </c>
      <c r="BN281" s="113">
        <v>0</v>
      </c>
      <c r="BO281" s="113">
        <v>0</v>
      </c>
      <c r="BP281" s="113">
        <v>0</v>
      </c>
      <c r="BQ281" s="113">
        <v>0</v>
      </c>
      <c r="BR281" s="101"/>
      <c r="BS281">
        <f t="shared" si="505"/>
        <v>0</v>
      </c>
      <c r="BT281">
        <f t="shared" si="505"/>
        <v>0</v>
      </c>
      <c r="BU281">
        <f t="shared" si="505"/>
        <v>0</v>
      </c>
      <c r="BV281">
        <f t="shared" si="505"/>
        <v>0</v>
      </c>
      <c r="BW281">
        <f t="shared" si="505"/>
        <v>0</v>
      </c>
      <c r="BX281">
        <f t="shared" si="505"/>
        <v>0</v>
      </c>
      <c r="BY281">
        <f t="shared" si="505"/>
        <v>0</v>
      </c>
      <c r="BZ281">
        <f t="shared" si="505"/>
        <v>0</v>
      </c>
      <c r="CA281">
        <f t="shared" si="505"/>
        <v>0</v>
      </c>
      <c r="CB281">
        <f t="shared" si="505"/>
        <v>0</v>
      </c>
      <c r="CC281">
        <f t="shared" si="506"/>
        <v>0</v>
      </c>
      <c r="CD281">
        <f t="shared" si="506"/>
        <v>0</v>
      </c>
      <c r="CE281">
        <f t="shared" si="506"/>
        <v>0</v>
      </c>
      <c r="CF281">
        <f t="shared" si="506"/>
        <v>0</v>
      </c>
      <c r="CG281">
        <f t="shared" si="506"/>
        <v>0</v>
      </c>
      <c r="CH281">
        <f t="shared" si="506"/>
        <v>0</v>
      </c>
      <c r="CI281">
        <f t="shared" si="506"/>
        <v>0</v>
      </c>
      <c r="CJ281">
        <f t="shared" si="506"/>
        <v>0</v>
      </c>
      <c r="CK281">
        <f t="shared" si="506"/>
        <v>0</v>
      </c>
      <c r="CL281">
        <f t="shared" si="506"/>
        <v>0</v>
      </c>
      <c r="CM281">
        <f t="shared" si="507"/>
        <v>0</v>
      </c>
      <c r="CN281">
        <f t="shared" si="507"/>
        <v>0</v>
      </c>
      <c r="CO281">
        <f t="shared" si="507"/>
        <v>0</v>
      </c>
      <c r="CP281">
        <f t="shared" si="507"/>
        <v>0</v>
      </c>
      <c r="CQ281">
        <f t="shared" si="507"/>
        <v>0</v>
      </c>
      <c r="CR281">
        <f t="shared" si="507"/>
        <v>0</v>
      </c>
      <c r="CS281">
        <f t="shared" si="507"/>
        <v>0</v>
      </c>
      <c r="CT281">
        <f t="shared" si="507"/>
        <v>0</v>
      </c>
      <c r="CU281">
        <f t="shared" si="507"/>
        <v>0</v>
      </c>
      <c r="CV281">
        <f t="shared" si="507"/>
        <v>0</v>
      </c>
      <c r="CW281">
        <f t="shared" si="508"/>
        <v>0</v>
      </c>
      <c r="CX281">
        <f t="shared" si="508"/>
        <v>0</v>
      </c>
      <c r="CY281">
        <f t="shared" si="508"/>
        <v>0</v>
      </c>
      <c r="CZ281">
        <f t="shared" si="508"/>
        <v>0</v>
      </c>
      <c r="DA281">
        <f t="shared" si="508"/>
        <v>0</v>
      </c>
      <c r="DB281">
        <f t="shared" si="508"/>
        <v>0</v>
      </c>
      <c r="DC281">
        <f t="shared" si="508"/>
        <v>0</v>
      </c>
      <c r="DD281">
        <f t="shared" si="508"/>
        <v>0</v>
      </c>
      <c r="DE281">
        <f t="shared" si="508"/>
        <v>0</v>
      </c>
      <c r="DF281">
        <f t="shared" si="508"/>
        <v>0</v>
      </c>
      <c r="DG281">
        <f t="shared" si="509"/>
        <v>0</v>
      </c>
      <c r="DH281">
        <f t="shared" si="509"/>
        <v>0</v>
      </c>
      <c r="DI281">
        <f t="shared" si="509"/>
        <v>0</v>
      </c>
      <c r="DJ281">
        <f t="shared" si="509"/>
        <v>0</v>
      </c>
      <c r="DK281">
        <f t="shared" si="509"/>
        <v>0</v>
      </c>
      <c r="DL281">
        <f t="shared" si="509"/>
        <v>0</v>
      </c>
      <c r="DM281">
        <f t="shared" si="509"/>
        <v>0</v>
      </c>
      <c r="DN281">
        <f t="shared" si="509"/>
        <v>0</v>
      </c>
      <c r="DO281">
        <f t="shared" si="509"/>
        <v>0</v>
      </c>
      <c r="DP281">
        <f t="shared" si="509"/>
        <v>0</v>
      </c>
      <c r="DQ281">
        <f t="shared" si="510"/>
        <v>0</v>
      </c>
      <c r="DR281">
        <f t="shared" si="510"/>
        <v>0</v>
      </c>
      <c r="DS281">
        <f t="shared" si="510"/>
        <v>0</v>
      </c>
      <c r="DT281">
        <f t="shared" si="510"/>
        <v>0</v>
      </c>
      <c r="DU281">
        <f t="shared" si="510"/>
        <v>0</v>
      </c>
      <c r="DV281">
        <f t="shared" si="510"/>
        <v>0</v>
      </c>
      <c r="DW281">
        <f t="shared" si="510"/>
        <v>0</v>
      </c>
      <c r="DX281">
        <f t="shared" si="510"/>
        <v>0</v>
      </c>
      <c r="DY281">
        <f t="shared" si="510"/>
        <v>0</v>
      </c>
      <c r="DZ281">
        <f t="shared" si="510"/>
        <v>0</v>
      </c>
      <c r="EA281">
        <f t="shared" si="511"/>
        <v>0</v>
      </c>
      <c r="EB281">
        <f t="shared" si="511"/>
        <v>0</v>
      </c>
      <c r="EC281">
        <f t="shared" si="511"/>
        <v>0</v>
      </c>
      <c r="ED281">
        <f t="shared" si="511"/>
        <v>0</v>
      </c>
      <c r="EE281">
        <f t="shared" si="511"/>
        <v>0</v>
      </c>
      <c r="EF281">
        <f t="shared" si="511"/>
        <v>0</v>
      </c>
    </row>
    <row r="282" spans="1:136" ht="15.5">
      <c r="A282" s="93"/>
      <c r="B282" s="57" t="s">
        <v>18</v>
      </c>
      <c r="C282" s="94"/>
      <c r="D282" s="18">
        <v>0</v>
      </c>
      <c r="E282" s="18">
        <v>0</v>
      </c>
      <c r="F282" s="18">
        <v>0</v>
      </c>
      <c r="G282" s="18">
        <v>0</v>
      </c>
      <c r="H282" s="18">
        <v>45</v>
      </c>
      <c r="I282" s="18">
        <v>0</v>
      </c>
      <c r="J282" s="18">
        <v>0</v>
      </c>
      <c r="K282" s="18">
        <v>0</v>
      </c>
      <c r="L282" s="18">
        <v>0</v>
      </c>
      <c r="M282" s="18">
        <v>0</v>
      </c>
      <c r="N282" s="18">
        <v>0</v>
      </c>
      <c r="O282" s="18">
        <v>0</v>
      </c>
      <c r="P282" s="18">
        <v>160</v>
      </c>
      <c r="Q282" s="18">
        <v>30</v>
      </c>
      <c r="R282" s="18">
        <v>0</v>
      </c>
      <c r="S282" s="18">
        <v>0</v>
      </c>
      <c r="T282" s="18">
        <v>0</v>
      </c>
      <c r="U282" s="18">
        <v>0</v>
      </c>
      <c r="V282" s="18">
        <v>0</v>
      </c>
      <c r="W282" s="18">
        <v>0</v>
      </c>
      <c r="X282" s="18">
        <v>0</v>
      </c>
      <c r="Y282" s="18">
        <v>0</v>
      </c>
      <c r="Z282" s="18">
        <v>0</v>
      </c>
      <c r="AA282" s="18">
        <v>2850</v>
      </c>
      <c r="AB282" s="18">
        <v>4317</v>
      </c>
      <c r="AC282" s="18">
        <v>8585</v>
      </c>
      <c r="AD282" s="18">
        <v>7602</v>
      </c>
      <c r="AE282" s="18">
        <v>7602</v>
      </c>
      <c r="AF282" s="18">
        <f>7602-299</f>
        <v>7303</v>
      </c>
      <c r="AG282" s="18">
        <f>7303-283</f>
        <v>7020</v>
      </c>
      <c r="AH282" s="18">
        <v>6494</v>
      </c>
      <c r="AI282" s="18">
        <v>0</v>
      </c>
      <c r="AJ282" s="18">
        <v>0</v>
      </c>
      <c r="AK282" s="18">
        <v>0</v>
      </c>
      <c r="AL282" s="18">
        <v>0</v>
      </c>
      <c r="AM282" s="18">
        <v>0</v>
      </c>
      <c r="AN282" s="18">
        <v>0</v>
      </c>
      <c r="AO282" s="18">
        <v>0</v>
      </c>
      <c r="AP282" s="18">
        <v>0</v>
      </c>
      <c r="AQ282" s="18">
        <v>0</v>
      </c>
      <c r="AR282" s="18">
        <v>0</v>
      </c>
      <c r="AS282" s="18">
        <v>0</v>
      </c>
      <c r="AT282" s="18">
        <v>0</v>
      </c>
      <c r="AU282" s="18">
        <v>0</v>
      </c>
      <c r="AV282" s="18">
        <v>0</v>
      </c>
      <c r="AW282" s="18">
        <v>0</v>
      </c>
      <c r="AX282" s="18">
        <v>0</v>
      </c>
      <c r="AY282" s="18">
        <v>0</v>
      </c>
      <c r="AZ282" s="18">
        <v>0</v>
      </c>
      <c r="BA282" s="18">
        <v>0</v>
      </c>
      <c r="BB282" s="18">
        <v>0</v>
      </c>
      <c r="BC282" s="18">
        <v>0</v>
      </c>
      <c r="BD282" s="18">
        <v>0</v>
      </c>
      <c r="BE282" s="25">
        <v>0</v>
      </c>
      <c r="BF282" s="18">
        <v>0</v>
      </c>
      <c r="BG282" s="18">
        <v>0</v>
      </c>
      <c r="BH282" s="18">
        <v>0</v>
      </c>
      <c r="BI282" s="18">
        <v>0</v>
      </c>
      <c r="BJ282" s="113">
        <v>0</v>
      </c>
      <c r="BK282" s="113">
        <v>0</v>
      </c>
      <c r="BL282" s="113">
        <v>0</v>
      </c>
      <c r="BM282" s="113">
        <v>0</v>
      </c>
      <c r="BN282" s="113">
        <v>0</v>
      </c>
      <c r="BO282" s="113">
        <v>0</v>
      </c>
      <c r="BP282" s="113">
        <v>0</v>
      </c>
      <c r="BQ282" s="113">
        <v>0</v>
      </c>
      <c r="BR282" s="101"/>
      <c r="BS282">
        <f t="shared" si="505"/>
        <v>0</v>
      </c>
      <c r="BT282">
        <f t="shared" si="505"/>
        <v>0</v>
      </c>
      <c r="BU282">
        <f t="shared" si="505"/>
        <v>0</v>
      </c>
      <c r="BV282">
        <f t="shared" si="505"/>
        <v>0</v>
      </c>
      <c r="BW282">
        <f t="shared" si="505"/>
        <v>0</v>
      </c>
      <c r="BX282">
        <f t="shared" si="505"/>
        <v>0</v>
      </c>
      <c r="BY282">
        <f t="shared" si="505"/>
        <v>0</v>
      </c>
      <c r="BZ282">
        <f t="shared" si="505"/>
        <v>0</v>
      </c>
      <c r="CA282">
        <f t="shared" si="505"/>
        <v>0</v>
      </c>
      <c r="CB282">
        <f t="shared" si="505"/>
        <v>0</v>
      </c>
      <c r="CC282">
        <f t="shared" si="506"/>
        <v>0</v>
      </c>
      <c r="CD282">
        <f t="shared" si="506"/>
        <v>0</v>
      </c>
      <c r="CE282">
        <f t="shared" si="506"/>
        <v>0</v>
      </c>
      <c r="CF282">
        <f t="shared" si="506"/>
        <v>0</v>
      </c>
      <c r="CG282">
        <f t="shared" si="506"/>
        <v>0</v>
      </c>
      <c r="CH282">
        <f t="shared" si="506"/>
        <v>0</v>
      </c>
      <c r="CI282">
        <f t="shared" si="506"/>
        <v>0</v>
      </c>
      <c r="CJ282">
        <f t="shared" si="506"/>
        <v>0</v>
      </c>
      <c r="CK282">
        <f t="shared" si="506"/>
        <v>0</v>
      </c>
      <c r="CL282">
        <f t="shared" si="506"/>
        <v>0</v>
      </c>
      <c r="CM282">
        <f t="shared" si="507"/>
        <v>0</v>
      </c>
      <c r="CN282">
        <f t="shared" si="507"/>
        <v>0</v>
      </c>
      <c r="CO282">
        <f t="shared" si="507"/>
        <v>0</v>
      </c>
      <c r="CP282">
        <f t="shared" si="507"/>
        <v>0</v>
      </c>
      <c r="CQ282">
        <f t="shared" si="507"/>
        <v>0</v>
      </c>
      <c r="CR282">
        <f t="shared" si="507"/>
        <v>0</v>
      </c>
      <c r="CS282">
        <f t="shared" si="507"/>
        <v>0</v>
      </c>
      <c r="CT282">
        <f t="shared" si="507"/>
        <v>0</v>
      </c>
      <c r="CU282">
        <f t="shared" si="507"/>
        <v>0</v>
      </c>
      <c r="CV282">
        <f t="shared" si="507"/>
        <v>0</v>
      </c>
      <c r="CW282">
        <f t="shared" si="508"/>
        <v>0</v>
      </c>
      <c r="CX282">
        <f t="shared" si="508"/>
        <v>0</v>
      </c>
      <c r="CY282">
        <f t="shared" si="508"/>
        <v>0</v>
      </c>
      <c r="CZ282">
        <f t="shared" si="508"/>
        <v>0</v>
      </c>
      <c r="DA282">
        <f t="shared" si="508"/>
        <v>0</v>
      </c>
      <c r="DB282">
        <f t="shared" si="508"/>
        <v>0</v>
      </c>
      <c r="DC282">
        <f t="shared" si="508"/>
        <v>0</v>
      </c>
      <c r="DD282">
        <f t="shared" si="508"/>
        <v>0</v>
      </c>
      <c r="DE282">
        <f t="shared" si="508"/>
        <v>0</v>
      </c>
      <c r="DF282">
        <f t="shared" si="508"/>
        <v>0</v>
      </c>
      <c r="DG282">
        <f t="shared" si="509"/>
        <v>0</v>
      </c>
      <c r="DH282">
        <f t="shared" si="509"/>
        <v>0</v>
      </c>
      <c r="DI282">
        <f t="shared" si="509"/>
        <v>0</v>
      </c>
      <c r="DJ282">
        <f t="shared" si="509"/>
        <v>0</v>
      </c>
      <c r="DK282">
        <f t="shared" si="509"/>
        <v>0</v>
      </c>
      <c r="DL282">
        <f t="shared" si="509"/>
        <v>0</v>
      </c>
      <c r="DM282">
        <f t="shared" si="509"/>
        <v>0</v>
      </c>
      <c r="DN282">
        <f t="shared" si="509"/>
        <v>0</v>
      </c>
      <c r="DO282">
        <f t="shared" si="509"/>
        <v>0</v>
      </c>
      <c r="DP282">
        <f t="shared" si="509"/>
        <v>0</v>
      </c>
      <c r="DQ282">
        <f t="shared" si="510"/>
        <v>0</v>
      </c>
      <c r="DR282">
        <f t="shared" si="510"/>
        <v>0</v>
      </c>
      <c r="DS282">
        <f t="shared" si="510"/>
        <v>0</v>
      </c>
      <c r="DT282">
        <f t="shared" si="510"/>
        <v>0</v>
      </c>
      <c r="DU282">
        <f t="shared" si="510"/>
        <v>0</v>
      </c>
      <c r="DV282">
        <f t="shared" si="510"/>
        <v>0</v>
      </c>
      <c r="DW282">
        <f t="shared" si="510"/>
        <v>0</v>
      </c>
      <c r="DX282">
        <f t="shared" si="510"/>
        <v>0</v>
      </c>
      <c r="DY282">
        <f t="shared" si="510"/>
        <v>0</v>
      </c>
      <c r="DZ282">
        <f t="shared" si="510"/>
        <v>0</v>
      </c>
      <c r="EA282">
        <f t="shared" si="511"/>
        <v>0</v>
      </c>
      <c r="EB282">
        <f t="shared" si="511"/>
        <v>0</v>
      </c>
      <c r="EC282">
        <f t="shared" si="511"/>
        <v>0</v>
      </c>
      <c r="ED282">
        <f t="shared" si="511"/>
        <v>0</v>
      </c>
      <c r="EE282">
        <f t="shared" si="511"/>
        <v>0</v>
      </c>
      <c r="EF282">
        <f t="shared" si="511"/>
        <v>0</v>
      </c>
    </row>
    <row r="283" spans="1:136" ht="15.5">
      <c r="A283" s="93"/>
      <c r="B283" s="19" t="s">
        <v>208</v>
      </c>
      <c r="C283" s="95"/>
      <c r="D283" s="18">
        <v>0</v>
      </c>
      <c r="E283" s="18">
        <v>0</v>
      </c>
      <c r="F283" s="18">
        <v>0</v>
      </c>
      <c r="G283" s="18">
        <v>0</v>
      </c>
      <c r="H283" s="18">
        <v>0</v>
      </c>
      <c r="I283" s="18">
        <v>0</v>
      </c>
      <c r="J283" s="18">
        <v>0</v>
      </c>
      <c r="K283" s="18">
        <v>0</v>
      </c>
      <c r="L283" s="18">
        <v>0</v>
      </c>
      <c r="M283" s="18">
        <v>0</v>
      </c>
      <c r="N283" s="18">
        <v>0</v>
      </c>
      <c r="O283" s="18">
        <v>32.5</v>
      </c>
      <c r="P283" s="18">
        <v>16.600000000000001</v>
      </c>
      <c r="Q283" s="18">
        <v>107</v>
      </c>
      <c r="R283" s="18">
        <v>45.300000000000004</v>
      </c>
      <c r="S283" s="18">
        <v>42</v>
      </c>
      <c r="T283" s="18">
        <v>0</v>
      </c>
      <c r="U283" s="18">
        <v>0</v>
      </c>
      <c r="V283" s="18">
        <v>0</v>
      </c>
      <c r="W283" s="18">
        <v>0</v>
      </c>
      <c r="X283" s="18">
        <v>0</v>
      </c>
      <c r="Y283" s="18">
        <v>0</v>
      </c>
      <c r="Z283" s="18">
        <v>0</v>
      </c>
      <c r="AA283" s="18">
        <v>0</v>
      </c>
      <c r="AB283" s="18">
        <v>0</v>
      </c>
      <c r="AC283" s="18">
        <v>0</v>
      </c>
      <c r="AD283" s="18">
        <v>0</v>
      </c>
      <c r="AE283" s="18">
        <v>0</v>
      </c>
      <c r="AF283" s="18">
        <v>0</v>
      </c>
      <c r="AG283" s="18">
        <v>0</v>
      </c>
      <c r="AH283" s="18">
        <v>0</v>
      </c>
      <c r="AI283" s="18">
        <v>0</v>
      </c>
      <c r="AJ283" s="18">
        <v>0</v>
      </c>
      <c r="AK283" s="18">
        <v>0</v>
      </c>
      <c r="AL283" s="18">
        <v>0</v>
      </c>
      <c r="AM283" s="18">
        <v>0</v>
      </c>
      <c r="AN283" s="18">
        <v>0</v>
      </c>
      <c r="AO283" s="18">
        <v>0</v>
      </c>
      <c r="AP283" s="18">
        <v>0</v>
      </c>
      <c r="AQ283" s="18">
        <v>0</v>
      </c>
      <c r="AR283" s="18">
        <v>0</v>
      </c>
      <c r="AS283" s="18">
        <v>0</v>
      </c>
      <c r="AT283" s="18">
        <v>0</v>
      </c>
      <c r="AU283" s="18">
        <v>0</v>
      </c>
      <c r="AV283" s="18">
        <v>0</v>
      </c>
      <c r="AW283" s="18">
        <v>0</v>
      </c>
      <c r="AX283" s="18">
        <v>0</v>
      </c>
      <c r="AY283" s="18">
        <v>0</v>
      </c>
      <c r="AZ283" s="18">
        <v>0</v>
      </c>
      <c r="BA283" s="18">
        <v>0</v>
      </c>
      <c r="BB283" s="18">
        <v>0</v>
      </c>
      <c r="BC283" s="18">
        <v>0</v>
      </c>
      <c r="BD283" s="18">
        <v>0</v>
      </c>
      <c r="BE283" s="25">
        <v>0</v>
      </c>
      <c r="BF283" s="18">
        <v>0</v>
      </c>
      <c r="BG283" s="18">
        <v>0</v>
      </c>
      <c r="BH283" s="18">
        <v>0</v>
      </c>
      <c r="BI283" s="18">
        <v>0</v>
      </c>
      <c r="BJ283" s="113">
        <v>0</v>
      </c>
      <c r="BK283" s="113">
        <v>0</v>
      </c>
      <c r="BL283" s="113">
        <v>0</v>
      </c>
      <c r="BM283" s="113">
        <v>0</v>
      </c>
      <c r="BN283" s="113">
        <v>0</v>
      </c>
      <c r="BO283" s="113">
        <v>0</v>
      </c>
      <c r="BP283" s="113">
        <v>0</v>
      </c>
      <c r="BQ283" s="113">
        <v>0</v>
      </c>
      <c r="BR283" s="101"/>
      <c r="BS283">
        <f t="shared" si="505"/>
        <v>0</v>
      </c>
      <c r="BT283">
        <f t="shared" si="505"/>
        <v>0</v>
      </c>
      <c r="BU283">
        <f t="shared" si="505"/>
        <v>0</v>
      </c>
      <c r="BV283">
        <f t="shared" si="505"/>
        <v>0</v>
      </c>
      <c r="BW283">
        <f t="shared" si="505"/>
        <v>0</v>
      </c>
      <c r="BX283">
        <f t="shared" si="505"/>
        <v>0</v>
      </c>
      <c r="BY283">
        <f t="shared" si="505"/>
        <v>0</v>
      </c>
      <c r="BZ283">
        <f t="shared" si="505"/>
        <v>0</v>
      </c>
      <c r="CA283">
        <f t="shared" si="505"/>
        <v>0</v>
      </c>
      <c r="CB283">
        <f t="shared" si="505"/>
        <v>0</v>
      </c>
      <c r="CC283">
        <f t="shared" si="506"/>
        <v>0</v>
      </c>
      <c r="CD283">
        <f t="shared" si="506"/>
        <v>0</v>
      </c>
      <c r="CE283">
        <f t="shared" si="506"/>
        <v>0</v>
      </c>
      <c r="CF283">
        <f t="shared" si="506"/>
        <v>0</v>
      </c>
      <c r="CG283">
        <f t="shared" si="506"/>
        <v>0</v>
      </c>
      <c r="CH283">
        <f t="shared" si="506"/>
        <v>0</v>
      </c>
      <c r="CI283">
        <f t="shared" si="506"/>
        <v>0</v>
      </c>
      <c r="CJ283">
        <f t="shared" si="506"/>
        <v>0</v>
      </c>
      <c r="CK283">
        <f t="shared" si="506"/>
        <v>0</v>
      </c>
      <c r="CL283">
        <f t="shared" si="506"/>
        <v>0</v>
      </c>
      <c r="CM283">
        <f t="shared" si="507"/>
        <v>0</v>
      </c>
      <c r="CN283">
        <f t="shared" si="507"/>
        <v>0</v>
      </c>
      <c r="CO283">
        <f t="shared" si="507"/>
        <v>0</v>
      </c>
      <c r="CP283">
        <f t="shared" si="507"/>
        <v>0</v>
      </c>
      <c r="CQ283">
        <f t="shared" si="507"/>
        <v>0</v>
      </c>
      <c r="CR283">
        <f t="shared" si="507"/>
        <v>0</v>
      </c>
      <c r="CS283">
        <f t="shared" si="507"/>
        <v>0</v>
      </c>
      <c r="CT283">
        <f t="shared" si="507"/>
        <v>0</v>
      </c>
      <c r="CU283">
        <f t="shared" si="507"/>
        <v>0</v>
      </c>
      <c r="CV283">
        <f t="shared" si="507"/>
        <v>0</v>
      </c>
      <c r="CW283">
        <f t="shared" si="508"/>
        <v>0</v>
      </c>
      <c r="CX283">
        <f t="shared" si="508"/>
        <v>0</v>
      </c>
      <c r="CY283">
        <f t="shared" si="508"/>
        <v>0</v>
      </c>
      <c r="CZ283">
        <f t="shared" si="508"/>
        <v>0</v>
      </c>
      <c r="DA283">
        <f t="shared" si="508"/>
        <v>0</v>
      </c>
      <c r="DB283">
        <f t="shared" si="508"/>
        <v>0</v>
      </c>
      <c r="DC283">
        <f t="shared" si="508"/>
        <v>0</v>
      </c>
      <c r="DD283">
        <f t="shared" si="508"/>
        <v>0</v>
      </c>
      <c r="DE283">
        <f t="shared" si="508"/>
        <v>0</v>
      </c>
      <c r="DF283">
        <f t="shared" si="508"/>
        <v>0</v>
      </c>
      <c r="DG283">
        <f t="shared" si="509"/>
        <v>0</v>
      </c>
      <c r="DH283">
        <f t="shared" si="509"/>
        <v>0</v>
      </c>
      <c r="DI283">
        <f t="shared" si="509"/>
        <v>0</v>
      </c>
      <c r="DJ283">
        <f t="shared" si="509"/>
        <v>0</v>
      </c>
      <c r="DK283">
        <f t="shared" si="509"/>
        <v>0</v>
      </c>
      <c r="DL283">
        <f t="shared" si="509"/>
        <v>0</v>
      </c>
      <c r="DM283">
        <f t="shared" si="509"/>
        <v>0</v>
      </c>
      <c r="DN283">
        <f t="shared" si="509"/>
        <v>0</v>
      </c>
      <c r="DO283">
        <f t="shared" si="509"/>
        <v>0</v>
      </c>
      <c r="DP283">
        <f t="shared" si="509"/>
        <v>0</v>
      </c>
      <c r="DQ283">
        <f t="shared" si="510"/>
        <v>0</v>
      </c>
      <c r="DR283">
        <f t="shared" si="510"/>
        <v>0</v>
      </c>
      <c r="DS283">
        <f t="shared" si="510"/>
        <v>0</v>
      </c>
      <c r="DT283">
        <f t="shared" si="510"/>
        <v>0</v>
      </c>
      <c r="DU283">
        <f t="shared" si="510"/>
        <v>0</v>
      </c>
      <c r="DV283">
        <f t="shared" si="510"/>
        <v>0</v>
      </c>
      <c r="DW283">
        <f t="shared" si="510"/>
        <v>0</v>
      </c>
      <c r="DX283">
        <f t="shared" si="510"/>
        <v>0</v>
      </c>
      <c r="DY283">
        <f t="shared" si="510"/>
        <v>0</v>
      </c>
      <c r="DZ283">
        <f t="shared" si="510"/>
        <v>0</v>
      </c>
      <c r="EA283">
        <f t="shared" si="511"/>
        <v>0</v>
      </c>
      <c r="EB283">
        <f t="shared" si="511"/>
        <v>0</v>
      </c>
      <c r="EC283">
        <f t="shared" si="511"/>
        <v>0</v>
      </c>
      <c r="ED283">
        <f t="shared" si="511"/>
        <v>0</v>
      </c>
      <c r="EE283">
        <f t="shared" si="511"/>
        <v>0</v>
      </c>
      <c r="EF283">
        <f t="shared" si="511"/>
        <v>0</v>
      </c>
    </row>
    <row r="284" spans="1:136" ht="15.5">
      <c r="A284" s="93"/>
      <c r="B284" s="19"/>
      <c r="C284" s="95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  <c r="BA284" s="18"/>
      <c r="BB284" s="18"/>
      <c r="BC284" s="18"/>
      <c r="BD284" s="18"/>
      <c r="BE284" s="25"/>
      <c r="BF284" s="18"/>
      <c r="BG284" s="18"/>
      <c r="BH284" s="18"/>
      <c r="BI284" s="18"/>
      <c r="BJ284" s="113"/>
      <c r="BK284" s="113"/>
      <c r="BL284" s="113"/>
      <c r="BM284" s="113"/>
      <c r="BN284" s="113"/>
      <c r="BO284" s="2"/>
      <c r="BP284" s="2"/>
      <c r="BQ284" s="2"/>
      <c r="BR284" s="101"/>
    </row>
    <row r="285" spans="1:136" ht="15.5">
      <c r="A285" s="93">
        <v>31</v>
      </c>
      <c r="B285" s="32" t="s">
        <v>244</v>
      </c>
      <c r="C285" s="95">
        <v>3</v>
      </c>
      <c r="D285" s="22">
        <f t="shared" ref="D285:AI285" si="512">SUM(D286:D288)</f>
        <v>476</v>
      </c>
      <c r="E285" s="22">
        <f t="shared" si="512"/>
        <v>500</v>
      </c>
      <c r="F285" s="22">
        <f t="shared" si="512"/>
        <v>525</v>
      </c>
      <c r="G285" s="22">
        <f t="shared" si="512"/>
        <v>551</v>
      </c>
      <c r="H285" s="22">
        <f t="shared" si="512"/>
        <v>578</v>
      </c>
      <c r="I285" s="22">
        <f t="shared" si="512"/>
        <v>607</v>
      </c>
      <c r="J285" s="22">
        <f t="shared" si="512"/>
        <v>638</v>
      </c>
      <c r="K285" s="22">
        <f t="shared" si="512"/>
        <v>574</v>
      </c>
      <c r="L285" s="22">
        <f t="shared" si="512"/>
        <v>603</v>
      </c>
      <c r="M285" s="22">
        <f t="shared" si="512"/>
        <v>633</v>
      </c>
      <c r="N285" s="22">
        <f t="shared" si="512"/>
        <v>664</v>
      </c>
      <c r="O285" s="22">
        <f t="shared" si="512"/>
        <v>741</v>
      </c>
      <c r="P285" s="22">
        <f t="shared" si="512"/>
        <v>739</v>
      </c>
      <c r="Q285" s="22">
        <f t="shared" si="512"/>
        <v>747</v>
      </c>
      <c r="R285" s="22">
        <f t="shared" si="512"/>
        <v>781</v>
      </c>
      <c r="S285" s="22">
        <f t="shared" si="512"/>
        <v>714</v>
      </c>
      <c r="T285" s="22">
        <f t="shared" si="512"/>
        <v>675</v>
      </c>
      <c r="U285" s="22">
        <f t="shared" si="512"/>
        <v>795</v>
      </c>
      <c r="V285" s="22">
        <f t="shared" si="512"/>
        <v>911</v>
      </c>
      <c r="W285" s="22">
        <f t="shared" si="512"/>
        <v>957</v>
      </c>
      <c r="X285" s="22">
        <f t="shared" si="512"/>
        <v>1078</v>
      </c>
      <c r="Y285" s="22">
        <f t="shared" si="512"/>
        <v>895</v>
      </c>
      <c r="Z285" s="22">
        <f t="shared" si="512"/>
        <v>790</v>
      </c>
      <c r="AA285" s="22">
        <f t="shared" si="512"/>
        <v>746</v>
      </c>
      <c r="AB285" s="22">
        <f t="shared" si="512"/>
        <v>641</v>
      </c>
      <c r="AC285" s="22">
        <f t="shared" si="512"/>
        <v>823</v>
      </c>
      <c r="AD285" s="22">
        <f t="shared" si="512"/>
        <v>894</v>
      </c>
      <c r="AE285" s="22">
        <f t="shared" si="512"/>
        <v>1197</v>
      </c>
      <c r="AF285" s="22">
        <f t="shared" si="512"/>
        <v>0</v>
      </c>
      <c r="AG285" s="22">
        <f t="shared" si="512"/>
        <v>0</v>
      </c>
      <c r="AH285" s="22">
        <f t="shared" si="512"/>
        <v>0</v>
      </c>
      <c r="AI285" s="22">
        <f t="shared" si="512"/>
        <v>0</v>
      </c>
      <c r="AJ285" s="22">
        <f t="shared" ref="AJ285:BP285" si="513">SUM(AJ286:AJ288)</f>
        <v>0</v>
      </c>
      <c r="AK285" s="22">
        <f t="shared" si="513"/>
        <v>0</v>
      </c>
      <c r="AL285" s="22">
        <f t="shared" si="513"/>
        <v>0</v>
      </c>
      <c r="AM285" s="22">
        <f t="shared" si="513"/>
        <v>1.6675700000000002E-2</v>
      </c>
      <c r="AN285" s="22">
        <f t="shared" si="513"/>
        <v>0</v>
      </c>
      <c r="AO285" s="22">
        <f t="shared" si="513"/>
        <v>0</v>
      </c>
      <c r="AP285" s="22">
        <f t="shared" si="513"/>
        <v>0</v>
      </c>
      <c r="AQ285" s="22">
        <f t="shared" si="513"/>
        <v>0</v>
      </c>
      <c r="AR285" s="22">
        <f t="shared" si="513"/>
        <v>0</v>
      </c>
      <c r="AS285" s="22">
        <f t="shared" si="513"/>
        <v>0</v>
      </c>
      <c r="AT285" s="22">
        <f t="shared" si="513"/>
        <v>0</v>
      </c>
      <c r="AU285" s="22">
        <f t="shared" si="513"/>
        <v>0</v>
      </c>
      <c r="AV285" s="22">
        <f t="shared" si="513"/>
        <v>0</v>
      </c>
      <c r="AW285" s="22">
        <f t="shared" si="513"/>
        <v>0</v>
      </c>
      <c r="AX285" s="22">
        <f t="shared" si="513"/>
        <v>0</v>
      </c>
      <c r="AY285" s="22">
        <f t="shared" si="513"/>
        <v>0</v>
      </c>
      <c r="AZ285" s="22">
        <f t="shared" si="513"/>
        <v>0</v>
      </c>
      <c r="BA285" s="22">
        <f t="shared" si="513"/>
        <v>2.1110000000000004E-4</v>
      </c>
      <c r="BB285" s="22">
        <f t="shared" si="513"/>
        <v>2339.0671323999995</v>
      </c>
      <c r="BC285" s="115">
        <f t="shared" si="513"/>
        <v>1.282E-4</v>
      </c>
      <c r="BD285" s="22">
        <f t="shared" si="513"/>
        <v>1.3080000000000001E-4</v>
      </c>
      <c r="BE285" s="22">
        <f t="shared" si="513"/>
        <v>1.3680000000000002E-4</v>
      </c>
      <c r="BF285" s="22">
        <f t="shared" si="513"/>
        <v>1.204E-4</v>
      </c>
      <c r="BG285" s="22">
        <f t="shared" si="513"/>
        <v>1.08E-4</v>
      </c>
      <c r="BH285" s="22">
        <f t="shared" si="513"/>
        <v>0</v>
      </c>
      <c r="BI285" s="22">
        <f t="shared" si="513"/>
        <v>0.42</v>
      </c>
      <c r="BJ285" s="22">
        <f t="shared" si="513"/>
        <v>0.42299999999999999</v>
      </c>
      <c r="BK285" s="22">
        <f t="shared" si="513"/>
        <v>0.42</v>
      </c>
      <c r="BL285" s="22">
        <f t="shared" si="513"/>
        <v>0.434</v>
      </c>
      <c r="BM285" s="22">
        <f t="shared" si="513"/>
        <v>0.42199999999999999</v>
      </c>
      <c r="BN285" s="22">
        <f t="shared" si="513"/>
        <v>0.41399999999999998</v>
      </c>
      <c r="BO285" s="22">
        <f t="shared" si="513"/>
        <v>0.41799999999999998</v>
      </c>
      <c r="BP285" s="22">
        <f t="shared" si="513"/>
        <v>0.41799999999999998</v>
      </c>
      <c r="BQ285" s="22">
        <f>SUM(BQ286:BQ288)</f>
        <v>0.41799999999999998</v>
      </c>
      <c r="BR285" s="101"/>
      <c r="BS285">
        <f t="shared" ref="BS285:CB288" si="514">IF($C285&lt;&gt;"",IF(D285&gt;0,1,0),0)</f>
        <v>1</v>
      </c>
      <c r="BT285">
        <f t="shared" si="514"/>
        <v>1</v>
      </c>
      <c r="BU285">
        <f t="shared" si="514"/>
        <v>1</v>
      </c>
      <c r="BV285">
        <f t="shared" si="514"/>
        <v>1</v>
      </c>
      <c r="BW285">
        <f t="shared" si="514"/>
        <v>1</v>
      </c>
      <c r="BX285">
        <f t="shared" si="514"/>
        <v>1</v>
      </c>
      <c r="BY285">
        <f t="shared" si="514"/>
        <v>1</v>
      </c>
      <c r="BZ285">
        <f t="shared" si="514"/>
        <v>1</v>
      </c>
      <c r="CA285">
        <f t="shared" si="514"/>
        <v>1</v>
      </c>
      <c r="CB285">
        <f t="shared" si="514"/>
        <v>1</v>
      </c>
      <c r="CC285">
        <f t="shared" ref="CC285:CL288" si="515">IF($C285&lt;&gt;"",IF(N285&gt;0,1,0),0)</f>
        <v>1</v>
      </c>
      <c r="CD285">
        <f t="shared" si="515"/>
        <v>1</v>
      </c>
      <c r="CE285">
        <f t="shared" si="515"/>
        <v>1</v>
      </c>
      <c r="CF285">
        <f t="shared" si="515"/>
        <v>1</v>
      </c>
      <c r="CG285">
        <f t="shared" si="515"/>
        <v>1</v>
      </c>
      <c r="CH285">
        <f t="shared" si="515"/>
        <v>1</v>
      </c>
      <c r="CI285">
        <f t="shared" si="515"/>
        <v>1</v>
      </c>
      <c r="CJ285">
        <f t="shared" si="515"/>
        <v>1</v>
      </c>
      <c r="CK285">
        <f t="shared" si="515"/>
        <v>1</v>
      </c>
      <c r="CL285">
        <f t="shared" si="515"/>
        <v>1</v>
      </c>
      <c r="CM285">
        <f t="shared" ref="CM285:CV288" si="516">IF($C285&lt;&gt;"",IF(X285&gt;0,1,0),0)</f>
        <v>1</v>
      </c>
      <c r="CN285">
        <f t="shared" si="516"/>
        <v>1</v>
      </c>
      <c r="CO285">
        <f t="shared" si="516"/>
        <v>1</v>
      </c>
      <c r="CP285">
        <f t="shared" si="516"/>
        <v>1</v>
      </c>
      <c r="CQ285">
        <f t="shared" si="516"/>
        <v>1</v>
      </c>
      <c r="CR285">
        <f t="shared" si="516"/>
        <v>1</v>
      </c>
      <c r="CS285">
        <f t="shared" si="516"/>
        <v>1</v>
      </c>
      <c r="CT285">
        <f t="shared" si="516"/>
        <v>1</v>
      </c>
      <c r="CU285">
        <f t="shared" si="516"/>
        <v>0</v>
      </c>
      <c r="CV285">
        <f t="shared" si="516"/>
        <v>0</v>
      </c>
      <c r="CW285">
        <f t="shared" ref="CW285:DF288" si="517">IF($C285&lt;&gt;"",IF(AH285&gt;0,1,0),0)</f>
        <v>0</v>
      </c>
      <c r="CX285">
        <f t="shared" si="517"/>
        <v>0</v>
      </c>
      <c r="CY285">
        <f t="shared" si="517"/>
        <v>0</v>
      </c>
      <c r="CZ285">
        <f t="shared" si="517"/>
        <v>0</v>
      </c>
      <c r="DA285">
        <f t="shared" si="517"/>
        <v>0</v>
      </c>
      <c r="DB285">
        <f t="shared" si="517"/>
        <v>1</v>
      </c>
      <c r="DC285">
        <f t="shared" si="517"/>
        <v>0</v>
      </c>
      <c r="DD285">
        <f t="shared" si="517"/>
        <v>0</v>
      </c>
      <c r="DE285">
        <f t="shared" si="517"/>
        <v>0</v>
      </c>
      <c r="DF285">
        <f t="shared" si="517"/>
        <v>0</v>
      </c>
      <c r="DG285">
        <f t="shared" ref="DG285:DP288" si="518">IF($C285&lt;&gt;"",IF(AR285&gt;0,1,0),0)</f>
        <v>0</v>
      </c>
      <c r="DH285">
        <f t="shared" si="518"/>
        <v>0</v>
      </c>
      <c r="DI285">
        <f t="shared" si="518"/>
        <v>0</v>
      </c>
      <c r="DJ285">
        <f t="shared" si="518"/>
        <v>0</v>
      </c>
      <c r="DK285">
        <f t="shared" si="518"/>
        <v>0</v>
      </c>
      <c r="DL285">
        <f t="shared" si="518"/>
        <v>0</v>
      </c>
      <c r="DM285">
        <f t="shared" si="518"/>
        <v>0</v>
      </c>
      <c r="DN285">
        <f t="shared" si="518"/>
        <v>0</v>
      </c>
      <c r="DO285">
        <f t="shared" si="518"/>
        <v>0</v>
      </c>
      <c r="DP285">
        <f t="shared" si="518"/>
        <v>1</v>
      </c>
      <c r="DQ285">
        <f t="shared" ref="DQ285:DZ288" si="519">IF($C285&lt;&gt;"",IF(BB285&gt;0,1,0),0)</f>
        <v>1</v>
      </c>
      <c r="DR285">
        <f t="shared" si="519"/>
        <v>1</v>
      </c>
      <c r="DS285">
        <f t="shared" si="519"/>
        <v>1</v>
      </c>
      <c r="DT285">
        <f t="shared" si="519"/>
        <v>1</v>
      </c>
      <c r="DU285">
        <f t="shared" si="519"/>
        <v>1</v>
      </c>
      <c r="DV285">
        <f t="shared" si="519"/>
        <v>1</v>
      </c>
      <c r="DW285">
        <f t="shared" si="519"/>
        <v>0</v>
      </c>
      <c r="DX285">
        <f t="shared" si="519"/>
        <v>1</v>
      </c>
      <c r="DY285">
        <f t="shared" si="519"/>
        <v>1</v>
      </c>
      <c r="DZ285">
        <f t="shared" si="519"/>
        <v>1</v>
      </c>
      <c r="EA285">
        <f t="shared" ref="EA285:EF288" si="520">IF($C285&lt;&gt;"",IF(BL285&gt;0,1,0),0)</f>
        <v>1</v>
      </c>
      <c r="EB285">
        <f t="shared" si="520"/>
        <v>1</v>
      </c>
      <c r="EC285">
        <f t="shared" si="520"/>
        <v>1</v>
      </c>
      <c r="ED285">
        <f t="shared" si="520"/>
        <v>1</v>
      </c>
      <c r="EE285">
        <f t="shared" si="520"/>
        <v>1</v>
      </c>
      <c r="EF285">
        <f t="shared" si="520"/>
        <v>1</v>
      </c>
    </row>
    <row r="286" spans="1:136" ht="15.5">
      <c r="A286" s="90"/>
      <c r="B286" s="57" t="s">
        <v>3</v>
      </c>
      <c r="C286" s="95"/>
      <c r="D286" s="18">
        <v>0</v>
      </c>
      <c r="E286" s="18">
        <v>0</v>
      </c>
      <c r="F286" s="18">
        <v>0</v>
      </c>
      <c r="G286" s="18">
        <v>0</v>
      </c>
      <c r="H286" s="18">
        <v>0</v>
      </c>
      <c r="I286" s="18">
        <v>0</v>
      </c>
      <c r="J286" s="18">
        <v>0</v>
      </c>
      <c r="K286" s="18">
        <v>0</v>
      </c>
      <c r="L286" s="18">
        <v>0</v>
      </c>
      <c r="M286" s="18">
        <v>0</v>
      </c>
      <c r="N286" s="18">
        <v>0</v>
      </c>
      <c r="O286" s="18">
        <v>0</v>
      </c>
      <c r="P286" s="18">
        <v>0</v>
      </c>
      <c r="Q286" s="18">
        <v>0</v>
      </c>
      <c r="R286" s="18">
        <v>0</v>
      </c>
      <c r="S286" s="18">
        <v>0</v>
      </c>
      <c r="T286" s="18">
        <v>0</v>
      </c>
      <c r="U286" s="18">
        <v>0</v>
      </c>
      <c r="V286" s="18">
        <v>0</v>
      </c>
      <c r="W286" s="18">
        <v>0</v>
      </c>
      <c r="X286" s="18">
        <v>0</v>
      </c>
      <c r="Y286" s="18">
        <v>0</v>
      </c>
      <c r="Z286" s="18">
        <v>0</v>
      </c>
      <c r="AA286" s="18">
        <v>0</v>
      </c>
      <c r="AB286" s="18">
        <v>0</v>
      </c>
      <c r="AC286" s="18">
        <v>0</v>
      </c>
      <c r="AD286" s="18">
        <v>0</v>
      </c>
      <c r="AE286" s="18">
        <v>0</v>
      </c>
      <c r="AF286" s="18">
        <v>0</v>
      </c>
      <c r="AG286" s="18">
        <v>0</v>
      </c>
      <c r="AH286" s="18">
        <v>0</v>
      </c>
      <c r="AI286" s="18">
        <v>0</v>
      </c>
      <c r="AJ286" s="18">
        <v>0</v>
      </c>
      <c r="AK286" s="18">
        <v>0</v>
      </c>
      <c r="AL286" s="18">
        <v>0</v>
      </c>
      <c r="AM286" s="18">
        <f>16675.7/1000000</f>
        <v>1.6675700000000002E-2</v>
      </c>
      <c r="AN286" s="18">
        <v>0</v>
      </c>
      <c r="AO286" s="18">
        <v>0</v>
      </c>
      <c r="AP286" s="18">
        <v>0</v>
      </c>
      <c r="AQ286" s="18">
        <v>0</v>
      </c>
      <c r="AR286" s="18">
        <v>0</v>
      </c>
      <c r="AS286" s="18">
        <v>0</v>
      </c>
      <c r="AT286" s="18">
        <v>0</v>
      </c>
      <c r="AU286" s="18">
        <v>0</v>
      </c>
      <c r="AV286" s="18">
        <v>0</v>
      </c>
      <c r="AW286" s="18">
        <v>0</v>
      </c>
      <c r="AX286" s="18">
        <v>0</v>
      </c>
      <c r="AY286" s="18">
        <v>0</v>
      </c>
      <c r="AZ286" s="18">
        <v>0</v>
      </c>
      <c r="BA286" s="18">
        <v>2.1110000000000004E-4</v>
      </c>
      <c r="BB286" s="168">
        <v>2339.0671323999995</v>
      </c>
      <c r="BC286" s="40">
        <v>1.282E-4</v>
      </c>
      <c r="BD286" s="40">
        <v>1.3080000000000001E-4</v>
      </c>
      <c r="BE286" s="40">
        <v>1.3680000000000002E-4</v>
      </c>
      <c r="BF286" s="40">
        <v>1.204E-4</v>
      </c>
      <c r="BG286" s="226">
        <v>1.08E-4</v>
      </c>
      <c r="BH286" s="18">
        <v>0</v>
      </c>
      <c r="BI286" s="18">
        <v>0</v>
      </c>
      <c r="BJ286" s="18">
        <v>0</v>
      </c>
      <c r="BK286" s="18">
        <v>0</v>
      </c>
      <c r="BL286" s="18">
        <v>0</v>
      </c>
      <c r="BM286" s="18">
        <v>0</v>
      </c>
      <c r="BN286" s="18">
        <v>0</v>
      </c>
      <c r="BO286" s="18">
        <v>0</v>
      </c>
      <c r="BP286" s="18">
        <v>0</v>
      </c>
      <c r="BQ286" s="18">
        <v>0</v>
      </c>
      <c r="BR286" s="101"/>
      <c r="BS286">
        <f t="shared" si="514"/>
        <v>0</v>
      </c>
      <c r="BT286">
        <f t="shared" si="514"/>
        <v>0</v>
      </c>
      <c r="BU286">
        <f t="shared" si="514"/>
        <v>0</v>
      </c>
      <c r="BV286">
        <f t="shared" si="514"/>
        <v>0</v>
      </c>
      <c r="BW286">
        <f t="shared" si="514"/>
        <v>0</v>
      </c>
      <c r="BX286">
        <f t="shared" si="514"/>
        <v>0</v>
      </c>
      <c r="BY286">
        <f t="shared" si="514"/>
        <v>0</v>
      </c>
      <c r="BZ286">
        <f t="shared" si="514"/>
        <v>0</v>
      </c>
      <c r="CA286">
        <f t="shared" si="514"/>
        <v>0</v>
      </c>
      <c r="CB286">
        <f t="shared" si="514"/>
        <v>0</v>
      </c>
      <c r="CC286">
        <f t="shared" si="515"/>
        <v>0</v>
      </c>
      <c r="CD286">
        <f t="shared" si="515"/>
        <v>0</v>
      </c>
      <c r="CE286">
        <f t="shared" si="515"/>
        <v>0</v>
      </c>
      <c r="CF286">
        <f t="shared" si="515"/>
        <v>0</v>
      </c>
      <c r="CG286">
        <f t="shared" si="515"/>
        <v>0</v>
      </c>
      <c r="CH286">
        <f t="shared" si="515"/>
        <v>0</v>
      </c>
      <c r="CI286">
        <f t="shared" si="515"/>
        <v>0</v>
      </c>
      <c r="CJ286">
        <f t="shared" si="515"/>
        <v>0</v>
      </c>
      <c r="CK286">
        <f t="shared" si="515"/>
        <v>0</v>
      </c>
      <c r="CL286">
        <f t="shared" si="515"/>
        <v>0</v>
      </c>
      <c r="CM286">
        <f t="shared" si="516"/>
        <v>0</v>
      </c>
      <c r="CN286">
        <f t="shared" si="516"/>
        <v>0</v>
      </c>
      <c r="CO286">
        <f t="shared" si="516"/>
        <v>0</v>
      </c>
      <c r="CP286">
        <f t="shared" si="516"/>
        <v>0</v>
      </c>
      <c r="CQ286">
        <f t="shared" si="516"/>
        <v>0</v>
      </c>
      <c r="CR286">
        <f t="shared" si="516"/>
        <v>0</v>
      </c>
      <c r="CS286">
        <f t="shared" si="516"/>
        <v>0</v>
      </c>
      <c r="CT286">
        <f t="shared" si="516"/>
        <v>0</v>
      </c>
      <c r="CU286">
        <f t="shared" si="516"/>
        <v>0</v>
      </c>
      <c r="CV286">
        <f t="shared" si="516"/>
        <v>0</v>
      </c>
      <c r="CW286">
        <f t="shared" si="517"/>
        <v>0</v>
      </c>
      <c r="CX286">
        <f t="shared" si="517"/>
        <v>0</v>
      </c>
      <c r="CY286">
        <f t="shared" si="517"/>
        <v>0</v>
      </c>
      <c r="CZ286">
        <f t="shared" si="517"/>
        <v>0</v>
      </c>
      <c r="DA286">
        <f t="shared" si="517"/>
        <v>0</v>
      </c>
      <c r="DB286">
        <f t="shared" si="517"/>
        <v>0</v>
      </c>
      <c r="DC286">
        <f t="shared" si="517"/>
        <v>0</v>
      </c>
      <c r="DD286">
        <f t="shared" si="517"/>
        <v>0</v>
      </c>
      <c r="DE286">
        <f t="shared" si="517"/>
        <v>0</v>
      </c>
      <c r="DF286">
        <f t="shared" si="517"/>
        <v>0</v>
      </c>
      <c r="DG286">
        <f t="shared" si="518"/>
        <v>0</v>
      </c>
      <c r="DH286">
        <f t="shared" si="518"/>
        <v>0</v>
      </c>
      <c r="DI286">
        <f t="shared" si="518"/>
        <v>0</v>
      </c>
      <c r="DJ286">
        <f t="shared" si="518"/>
        <v>0</v>
      </c>
      <c r="DK286">
        <f t="shared" si="518"/>
        <v>0</v>
      </c>
      <c r="DL286">
        <f t="shared" si="518"/>
        <v>0</v>
      </c>
      <c r="DM286">
        <f t="shared" si="518"/>
        <v>0</v>
      </c>
      <c r="DN286">
        <f t="shared" si="518"/>
        <v>0</v>
      </c>
      <c r="DO286">
        <f t="shared" si="518"/>
        <v>0</v>
      </c>
      <c r="DP286">
        <f t="shared" si="518"/>
        <v>0</v>
      </c>
      <c r="DQ286">
        <f t="shared" si="519"/>
        <v>0</v>
      </c>
      <c r="DR286">
        <f t="shared" si="519"/>
        <v>0</v>
      </c>
      <c r="DS286">
        <f t="shared" si="519"/>
        <v>0</v>
      </c>
      <c r="DT286">
        <f t="shared" si="519"/>
        <v>0</v>
      </c>
      <c r="DU286">
        <f t="shared" si="519"/>
        <v>0</v>
      </c>
      <c r="DV286">
        <f t="shared" si="519"/>
        <v>0</v>
      </c>
      <c r="DW286">
        <f t="shared" si="519"/>
        <v>0</v>
      </c>
      <c r="DX286">
        <f t="shared" si="519"/>
        <v>0</v>
      </c>
      <c r="DY286">
        <f t="shared" si="519"/>
        <v>0</v>
      </c>
      <c r="DZ286">
        <f t="shared" si="519"/>
        <v>0</v>
      </c>
      <c r="EA286">
        <f t="shared" si="520"/>
        <v>0</v>
      </c>
      <c r="EB286">
        <f t="shared" si="520"/>
        <v>0</v>
      </c>
      <c r="EC286">
        <f t="shared" si="520"/>
        <v>0</v>
      </c>
      <c r="ED286">
        <f t="shared" si="520"/>
        <v>0</v>
      </c>
      <c r="EE286">
        <f t="shared" si="520"/>
        <v>0</v>
      </c>
      <c r="EF286">
        <f t="shared" si="520"/>
        <v>0</v>
      </c>
    </row>
    <row r="287" spans="1:136" ht="15.5">
      <c r="A287" s="90"/>
      <c r="B287" s="57" t="s">
        <v>25</v>
      </c>
      <c r="C287" s="95"/>
      <c r="D287" s="18">
        <v>476</v>
      </c>
      <c r="E287" s="18">
        <v>500</v>
      </c>
      <c r="F287" s="18">
        <v>525</v>
      </c>
      <c r="G287" s="18">
        <v>551</v>
      </c>
      <c r="H287" s="18">
        <v>578</v>
      </c>
      <c r="I287" s="18">
        <v>607</v>
      </c>
      <c r="J287" s="18">
        <v>638</v>
      </c>
      <c r="K287" s="18">
        <v>574</v>
      </c>
      <c r="L287" s="18">
        <v>603</v>
      </c>
      <c r="M287" s="18">
        <v>633</v>
      </c>
      <c r="N287" s="18">
        <v>664</v>
      </c>
      <c r="O287" s="18">
        <v>741</v>
      </c>
      <c r="P287" s="18">
        <v>739</v>
      </c>
      <c r="Q287" s="18">
        <v>747</v>
      </c>
      <c r="R287" s="18">
        <v>781</v>
      </c>
      <c r="S287" s="18">
        <v>714</v>
      </c>
      <c r="T287" s="18">
        <v>675</v>
      </c>
      <c r="U287" s="18">
        <v>795</v>
      </c>
      <c r="V287" s="18">
        <v>911</v>
      </c>
      <c r="W287" s="18">
        <v>957</v>
      </c>
      <c r="X287" s="18">
        <v>1078</v>
      </c>
      <c r="Y287" s="18">
        <v>895</v>
      </c>
      <c r="Z287" s="18">
        <v>790</v>
      </c>
      <c r="AA287" s="18">
        <v>746</v>
      </c>
      <c r="AB287" s="18">
        <v>641</v>
      </c>
      <c r="AC287" s="18">
        <v>823</v>
      </c>
      <c r="AD287" s="18">
        <v>894</v>
      </c>
      <c r="AE287" s="18">
        <v>1197</v>
      </c>
      <c r="AF287" s="18">
        <v>0</v>
      </c>
      <c r="AG287" s="18">
        <v>0</v>
      </c>
      <c r="AH287" s="18">
        <v>0</v>
      </c>
      <c r="AI287" s="18">
        <v>0</v>
      </c>
      <c r="AJ287" s="18">
        <v>0</v>
      </c>
      <c r="AK287" s="18">
        <v>0</v>
      </c>
      <c r="AL287" s="18">
        <v>0</v>
      </c>
      <c r="AM287" s="18">
        <v>0</v>
      </c>
      <c r="AN287" s="18">
        <v>0</v>
      </c>
      <c r="AO287" s="18">
        <v>0</v>
      </c>
      <c r="AP287" s="18">
        <v>0</v>
      </c>
      <c r="AQ287" s="18">
        <v>0</v>
      </c>
      <c r="AR287" s="18">
        <v>0</v>
      </c>
      <c r="AS287" s="18">
        <v>0</v>
      </c>
      <c r="AT287" s="18">
        <v>0</v>
      </c>
      <c r="AU287" s="18">
        <v>0</v>
      </c>
      <c r="AV287" s="18">
        <v>0</v>
      </c>
      <c r="AW287" s="18">
        <v>0</v>
      </c>
      <c r="AX287" s="18">
        <v>0</v>
      </c>
      <c r="AY287" s="18">
        <v>0</v>
      </c>
      <c r="AZ287" s="18">
        <v>0</v>
      </c>
      <c r="BA287" s="18">
        <v>0</v>
      </c>
      <c r="BB287" s="18">
        <v>0</v>
      </c>
      <c r="BC287" s="18">
        <v>0</v>
      </c>
      <c r="BD287" s="18">
        <v>0</v>
      </c>
      <c r="BE287" s="25">
        <v>0</v>
      </c>
      <c r="BF287" s="18">
        <v>0</v>
      </c>
      <c r="BG287" s="241">
        <v>0</v>
      </c>
      <c r="BH287" s="18">
        <v>0</v>
      </c>
      <c r="BI287" s="18">
        <v>0</v>
      </c>
      <c r="BJ287" s="113">
        <v>0</v>
      </c>
      <c r="BK287" s="113">
        <v>0</v>
      </c>
      <c r="BL287" s="113">
        <v>0</v>
      </c>
      <c r="BM287" s="113">
        <v>0</v>
      </c>
      <c r="BN287" s="113">
        <v>0</v>
      </c>
      <c r="BO287" s="113">
        <v>0</v>
      </c>
      <c r="BP287" s="113">
        <v>0</v>
      </c>
      <c r="BQ287" s="113">
        <v>0</v>
      </c>
      <c r="BR287" s="101"/>
      <c r="BS287">
        <f t="shared" si="514"/>
        <v>0</v>
      </c>
      <c r="BT287">
        <f t="shared" si="514"/>
        <v>0</v>
      </c>
      <c r="BU287">
        <f t="shared" si="514"/>
        <v>0</v>
      </c>
      <c r="BV287">
        <f t="shared" si="514"/>
        <v>0</v>
      </c>
      <c r="BW287">
        <f t="shared" si="514"/>
        <v>0</v>
      </c>
      <c r="BX287">
        <f t="shared" si="514"/>
        <v>0</v>
      </c>
      <c r="BY287">
        <f t="shared" si="514"/>
        <v>0</v>
      </c>
      <c r="BZ287">
        <f t="shared" si="514"/>
        <v>0</v>
      </c>
      <c r="CA287">
        <f t="shared" si="514"/>
        <v>0</v>
      </c>
      <c r="CB287">
        <f t="shared" si="514"/>
        <v>0</v>
      </c>
      <c r="CC287">
        <f t="shared" si="515"/>
        <v>0</v>
      </c>
      <c r="CD287">
        <f t="shared" si="515"/>
        <v>0</v>
      </c>
      <c r="CE287">
        <f t="shared" si="515"/>
        <v>0</v>
      </c>
      <c r="CF287">
        <f t="shared" si="515"/>
        <v>0</v>
      </c>
      <c r="CG287">
        <f t="shared" si="515"/>
        <v>0</v>
      </c>
      <c r="CH287">
        <f t="shared" si="515"/>
        <v>0</v>
      </c>
      <c r="CI287">
        <f t="shared" si="515"/>
        <v>0</v>
      </c>
      <c r="CJ287">
        <f t="shared" si="515"/>
        <v>0</v>
      </c>
      <c r="CK287">
        <f t="shared" si="515"/>
        <v>0</v>
      </c>
      <c r="CL287">
        <f t="shared" si="515"/>
        <v>0</v>
      </c>
      <c r="CM287">
        <f t="shared" si="516"/>
        <v>0</v>
      </c>
      <c r="CN287">
        <f t="shared" si="516"/>
        <v>0</v>
      </c>
      <c r="CO287">
        <f t="shared" si="516"/>
        <v>0</v>
      </c>
      <c r="CP287">
        <f t="shared" si="516"/>
        <v>0</v>
      </c>
      <c r="CQ287">
        <f t="shared" si="516"/>
        <v>0</v>
      </c>
      <c r="CR287">
        <f t="shared" si="516"/>
        <v>0</v>
      </c>
      <c r="CS287">
        <f t="shared" si="516"/>
        <v>0</v>
      </c>
      <c r="CT287">
        <f t="shared" si="516"/>
        <v>0</v>
      </c>
      <c r="CU287">
        <f t="shared" si="516"/>
        <v>0</v>
      </c>
      <c r="CV287">
        <f t="shared" si="516"/>
        <v>0</v>
      </c>
      <c r="CW287">
        <f t="shared" si="517"/>
        <v>0</v>
      </c>
      <c r="CX287">
        <f t="shared" si="517"/>
        <v>0</v>
      </c>
      <c r="CY287">
        <f t="shared" si="517"/>
        <v>0</v>
      </c>
      <c r="CZ287">
        <f t="shared" si="517"/>
        <v>0</v>
      </c>
      <c r="DA287">
        <f t="shared" si="517"/>
        <v>0</v>
      </c>
      <c r="DB287">
        <f t="shared" si="517"/>
        <v>0</v>
      </c>
      <c r="DC287">
        <f t="shared" si="517"/>
        <v>0</v>
      </c>
      <c r="DD287">
        <f t="shared" si="517"/>
        <v>0</v>
      </c>
      <c r="DE287">
        <f t="shared" si="517"/>
        <v>0</v>
      </c>
      <c r="DF287">
        <f t="shared" si="517"/>
        <v>0</v>
      </c>
      <c r="DG287">
        <f t="shared" si="518"/>
        <v>0</v>
      </c>
      <c r="DH287">
        <f t="shared" si="518"/>
        <v>0</v>
      </c>
      <c r="DI287">
        <f t="shared" si="518"/>
        <v>0</v>
      </c>
      <c r="DJ287">
        <f t="shared" si="518"/>
        <v>0</v>
      </c>
      <c r="DK287">
        <f t="shared" si="518"/>
        <v>0</v>
      </c>
      <c r="DL287">
        <f t="shared" si="518"/>
        <v>0</v>
      </c>
      <c r="DM287">
        <f t="shared" si="518"/>
        <v>0</v>
      </c>
      <c r="DN287">
        <f t="shared" si="518"/>
        <v>0</v>
      </c>
      <c r="DO287">
        <f t="shared" si="518"/>
        <v>0</v>
      </c>
      <c r="DP287">
        <f t="shared" si="518"/>
        <v>0</v>
      </c>
      <c r="DQ287">
        <f t="shared" si="519"/>
        <v>0</v>
      </c>
      <c r="DR287">
        <f t="shared" si="519"/>
        <v>0</v>
      </c>
      <c r="DS287">
        <f t="shared" si="519"/>
        <v>0</v>
      </c>
      <c r="DT287">
        <f t="shared" si="519"/>
        <v>0</v>
      </c>
      <c r="DU287">
        <f t="shared" si="519"/>
        <v>0</v>
      </c>
      <c r="DV287">
        <f t="shared" si="519"/>
        <v>0</v>
      </c>
      <c r="DW287">
        <f t="shared" si="519"/>
        <v>0</v>
      </c>
      <c r="DX287">
        <f t="shared" si="519"/>
        <v>0</v>
      </c>
      <c r="DY287">
        <f t="shared" si="519"/>
        <v>0</v>
      </c>
      <c r="DZ287">
        <f t="shared" si="519"/>
        <v>0</v>
      </c>
      <c r="EA287">
        <f t="shared" si="520"/>
        <v>0</v>
      </c>
      <c r="EB287">
        <f t="shared" si="520"/>
        <v>0</v>
      </c>
      <c r="EC287">
        <f t="shared" si="520"/>
        <v>0</v>
      </c>
      <c r="ED287">
        <f t="shared" si="520"/>
        <v>0</v>
      </c>
      <c r="EE287">
        <f t="shared" si="520"/>
        <v>0</v>
      </c>
      <c r="EF287">
        <f t="shared" si="520"/>
        <v>0</v>
      </c>
    </row>
    <row r="288" spans="1:136" ht="15.75" customHeight="1">
      <c r="A288" s="90"/>
      <c r="B288" s="19" t="s">
        <v>208</v>
      </c>
      <c r="C288" s="95"/>
      <c r="D288" s="18">
        <v>0</v>
      </c>
      <c r="E288" s="18">
        <v>0</v>
      </c>
      <c r="F288" s="18">
        <v>0</v>
      </c>
      <c r="G288" s="18">
        <v>0</v>
      </c>
      <c r="H288" s="18">
        <v>0</v>
      </c>
      <c r="I288" s="18">
        <v>0</v>
      </c>
      <c r="J288" s="18">
        <v>0</v>
      </c>
      <c r="K288" s="18">
        <v>0</v>
      </c>
      <c r="L288" s="18">
        <v>0</v>
      </c>
      <c r="M288" s="18">
        <v>0</v>
      </c>
      <c r="N288" s="18">
        <v>0</v>
      </c>
      <c r="O288" s="18">
        <v>0</v>
      </c>
      <c r="P288" s="18">
        <v>0</v>
      </c>
      <c r="Q288" s="18">
        <v>0</v>
      </c>
      <c r="R288" s="18">
        <v>0</v>
      </c>
      <c r="S288" s="18">
        <v>0</v>
      </c>
      <c r="T288" s="18">
        <v>0</v>
      </c>
      <c r="U288" s="18">
        <v>0</v>
      </c>
      <c r="V288" s="18">
        <v>0</v>
      </c>
      <c r="W288" s="18">
        <v>0</v>
      </c>
      <c r="X288" s="18">
        <v>0</v>
      </c>
      <c r="Y288" s="18">
        <v>0</v>
      </c>
      <c r="Z288" s="18">
        <v>0</v>
      </c>
      <c r="AA288" s="18">
        <v>0</v>
      </c>
      <c r="AB288" s="18">
        <v>0</v>
      </c>
      <c r="AC288" s="18">
        <v>0</v>
      </c>
      <c r="AD288" s="18">
        <v>0</v>
      </c>
      <c r="AE288" s="18">
        <v>0</v>
      </c>
      <c r="AF288" s="18">
        <v>0</v>
      </c>
      <c r="AG288" s="18">
        <v>0</v>
      </c>
      <c r="AH288" s="18">
        <v>0</v>
      </c>
      <c r="AI288" s="18">
        <v>0</v>
      </c>
      <c r="AJ288" s="18">
        <v>0</v>
      </c>
      <c r="AK288" s="18">
        <v>0</v>
      </c>
      <c r="AL288" s="18">
        <v>0</v>
      </c>
      <c r="AM288" s="18">
        <v>0</v>
      </c>
      <c r="AN288" s="18">
        <v>0</v>
      </c>
      <c r="AO288" s="18">
        <v>0</v>
      </c>
      <c r="AP288" s="18">
        <v>0</v>
      </c>
      <c r="AQ288" s="18">
        <v>0</v>
      </c>
      <c r="AR288" s="18">
        <v>0</v>
      </c>
      <c r="AS288" s="18">
        <v>0</v>
      </c>
      <c r="AT288" s="18">
        <v>0</v>
      </c>
      <c r="AU288" s="18">
        <v>0</v>
      </c>
      <c r="AV288" s="18">
        <v>0</v>
      </c>
      <c r="AW288" s="18">
        <v>0</v>
      </c>
      <c r="AX288" s="18">
        <v>0</v>
      </c>
      <c r="AY288" s="18">
        <v>0</v>
      </c>
      <c r="AZ288" s="18">
        <v>0</v>
      </c>
      <c r="BA288" s="18">
        <v>0</v>
      </c>
      <c r="BB288" s="18">
        <v>0</v>
      </c>
      <c r="BC288" s="18">
        <v>0</v>
      </c>
      <c r="BD288" s="18">
        <v>0</v>
      </c>
      <c r="BE288" s="18">
        <v>0</v>
      </c>
      <c r="BF288" s="18">
        <v>0</v>
      </c>
      <c r="BG288" s="18">
        <v>0</v>
      </c>
      <c r="BH288" s="18">
        <v>0</v>
      </c>
      <c r="BI288" s="103">
        <v>0.42</v>
      </c>
      <c r="BJ288" s="103">
        <v>0.42299999999999999</v>
      </c>
      <c r="BK288" s="103">
        <v>0.42</v>
      </c>
      <c r="BL288" s="103">
        <v>0.434</v>
      </c>
      <c r="BM288" s="103">
        <v>0.42199999999999999</v>
      </c>
      <c r="BN288" s="103">
        <v>0.41399999999999998</v>
      </c>
      <c r="BO288" s="103">
        <v>0.41799999999999998</v>
      </c>
      <c r="BP288" s="103">
        <v>0.41799999999999998</v>
      </c>
      <c r="BQ288" s="103">
        <v>0.41799999999999998</v>
      </c>
      <c r="BR288" s="101"/>
      <c r="BS288">
        <f t="shared" si="514"/>
        <v>0</v>
      </c>
      <c r="BT288">
        <f t="shared" si="514"/>
        <v>0</v>
      </c>
      <c r="BU288">
        <f t="shared" si="514"/>
        <v>0</v>
      </c>
      <c r="BV288">
        <f t="shared" si="514"/>
        <v>0</v>
      </c>
      <c r="BW288">
        <f t="shared" si="514"/>
        <v>0</v>
      </c>
      <c r="BX288">
        <f t="shared" si="514"/>
        <v>0</v>
      </c>
      <c r="BY288">
        <f t="shared" si="514"/>
        <v>0</v>
      </c>
      <c r="BZ288">
        <f t="shared" si="514"/>
        <v>0</v>
      </c>
      <c r="CA288">
        <f t="shared" si="514"/>
        <v>0</v>
      </c>
      <c r="CB288">
        <f t="shared" si="514"/>
        <v>0</v>
      </c>
      <c r="CC288">
        <f t="shared" si="515"/>
        <v>0</v>
      </c>
      <c r="CD288">
        <f t="shared" si="515"/>
        <v>0</v>
      </c>
      <c r="CE288">
        <f t="shared" si="515"/>
        <v>0</v>
      </c>
      <c r="CF288">
        <f t="shared" si="515"/>
        <v>0</v>
      </c>
      <c r="CG288">
        <f t="shared" si="515"/>
        <v>0</v>
      </c>
      <c r="CH288">
        <f t="shared" si="515"/>
        <v>0</v>
      </c>
      <c r="CI288">
        <f t="shared" si="515"/>
        <v>0</v>
      </c>
      <c r="CJ288">
        <f t="shared" si="515"/>
        <v>0</v>
      </c>
      <c r="CK288">
        <f t="shared" si="515"/>
        <v>0</v>
      </c>
      <c r="CL288">
        <f t="shared" si="515"/>
        <v>0</v>
      </c>
      <c r="CM288">
        <f t="shared" si="516"/>
        <v>0</v>
      </c>
      <c r="CN288">
        <f t="shared" si="516"/>
        <v>0</v>
      </c>
      <c r="CO288">
        <f t="shared" si="516"/>
        <v>0</v>
      </c>
      <c r="CP288">
        <f t="shared" si="516"/>
        <v>0</v>
      </c>
      <c r="CQ288">
        <f t="shared" si="516"/>
        <v>0</v>
      </c>
      <c r="CR288">
        <f t="shared" si="516"/>
        <v>0</v>
      </c>
      <c r="CS288">
        <f t="shared" si="516"/>
        <v>0</v>
      </c>
      <c r="CT288">
        <f t="shared" si="516"/>
        <v>0</v>
      </c>
      <c r="CU288">
        <f t="shared" si="516"/>
        <v>0</v>
      </c>
      <c r="CV288">
        <f t="shared" si="516"/>
        <v>0</v>
      </c>
      <c r="CW288">
        <f t="shared" si="517"/>
        <v>0</v>
      </c>
      <c r="CX288">
        <f t="shared" si="517"/>
        <v>0</v>
      </c>
      <c r="CY288">
        <f t="shared" si="517"/>
        <v>0</v>
      </c>
      <c r="CZ288">
        <f t="shared" si="517"/>
        <v>0</v>
      </c>
      <c r="DA288">
        <f t="shared" si="517"/>
        <v>0</v>
      </c>
      <c r="DB288">
        <f t="shared" si="517"/>
        <v>0</v>
      </c>
      <c r="DC288">
        <f t="shared" si="517"/>
        <v>0</v>
      </c>
      <c r="DD288">
        <f t="shared" si="517"/>
        <v>0</v>
      </c>
      <c r="DE288">
        <f t="shared" si="517"/>
        <v>0</v>
      </c>
      <c r="DF288">
        <f t="shared" si="517"/>
        <v>0</v>
      </c>
      <c r="DG288">
        <f t="shared" si="518"/>
        <v>0</v>
      </c>
      <c r="DH288">
        <f t="shared" si="518"/>
        <v>0</v>
      </c>
      <c r="DI288">
        <f t="shared" si="518"/>
        <v>0</v>
      </c>
      <c r="DJ288">
        <f t="shared" si="518"/>
        <v>0</v>
      </c>
      <c r="DK288">
        <f t="shared" si="518"/>
        <v>0</v>
      </c>
      <c r="DL288">
        <f t="shared" si="518"/>
        <v>0</v>
      </c>
      <c r="DM288">
        <f t="shared" si="518"/>
        <v>0</v>
      </c>
      <c r="DN288">
        <f t="shared" si="518"/>
        <v>0</v>
      </c>
      <c r="DO288">
        <f t="shared" si="518"/>
        <v>0</v>
      </c>
      <c r="DP288">
        <f t="shared" si="518"/>
        <v>0</v>
      </c>
      <c r="DQ288">
        <f t="shared" si="519"/>
        <v>0</v>
      </c>
      <c r="DR288">
        <f t="shared" si="519"/>
        <v>0</v>
      </c>
      <c r="DS288">
        <f t="shared" si="519"/>
        <v>0</v>
      </c>
      <c r="DT288">
        <f t="shared" si="519"/>
        <v>0</v>
      </c>
      <c r="DU288">
        <f t="shared" si="519"/>
        <v>0</v>
      </c>
      <c r="DV288">
        <f t="shared" si="519"/>
        <v>0</v>
      </c>
      <c r="DW288">
        <f t="shared" si="519"/>
        <v>0</v>
      </c>
      <c r="DX288">
        <f t="shared" si="519"/>
        <v>0</v>
      </c>
      <c r="DY288">
        <f t="shared" si="519"/>
        <v>0</v>
      </c>
      <c r="DZ288">
        <f t="shared" si="519"/>
        <v>0</v>
      </c>
      <c r="EA288">
        <f t="shared" si="520"/>
        <v>0</v>
      </c>
      <c r="EB288">
        <f t="shared" si="520"/>
        <v>0</v>
      </c>
      <c r="EC288">
        <f t="shared" si="520"/>
        <v>0</v>
      </c>
      <c r="ED288">
        <f t="shared" si="520"/>
        <v>0</v>
      </c>
      <c r="EE288">
        <f t="shared" si="520"/>
        <v>0</v>
      </c>
      <c r="EF288">
        <f t="shared" si="520"/>
        <v>0</v>
      </c>
    </row>
    <row r="289" spans="1:136" ht="15.5">
      <c r="A289" s="90"/>
      <c r="B289" s="19" t="s">
        <v>212</v>
      </c>
      <c r="C289" s="95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  <c r="BA289" s="18"/>
      <c r="BB289" s="18"/>
      <c r="BC289" s="18"/>
      <c r="BD289" s="18"/>
      <c r="BE289" s="25"/>
      <c r="BF289" s="25"/>
      <c r="BG289" s="191"/>
      <c r="BH289" s="18"/>
      <c r="BI289" s="18"/>
      <c r="BJ289" s="113"/>
      <c r="BK289" s="113"/>
      <c r="BL289" s="113"/>
      <c r="BM289" s="113"/>
      <c r="BN289" s="113"/>
      <c r="BO289" s="2"/>
      <c r="BP289" s="18"/>
      <c r="BQ289" s="113">
        <v>1390</v>
      </c>
      <c r="BR289" s="101"/>
    </row>
    <row r="290" spans="1:136" ht="15.5">
      <c r="A290" s="90"/>
      <c r="B290" s="19"/>
      <c r="C290" s="95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  <c r="BA290" s="18"/>
      <c r="BB290" s="18"/>
      <c r="BC290" s="18"/>
      <c r="BD290" s="18"/>
      <c r="BE290" s="25"/>
      <c r="BF290" s="25"/>
      <c r="BG290" s="191"/>
      <c r="BH290" s="18"/>
      <c r="BI290" s="18"/>
      <c r="BJ290" s="113"/>
      <c r="BK290" s="113"/>
      <c r="BL290" s="113"/>
      <c r="BM290" s="113"/>
      <c r="BN290" s="113"/>
      <c r="BO290" s="2"/>
      <c r="BP290" s="18"/>
      <c r="BQ290" s="2"/>
      <c r="BR290" s="101"/>
    </row>
    <row r="291" spans="1:136" ht="15.5">
      <c r="A291" s="93">
        <v>32</v>
      </c>
      <c r="B291" s="54" t="s">
        <v>46</v>
      </c>
      <c r="C291" s="94">
        <v>4</v>
      </c>
      <c r="D291" s="22">
        <f t="shared" ref="D291:AI291" si="521">SUM(D292:D293)</f>
        <v>0</v>
      </c>
      <c r="E291" s="22">
        <f t="shared" si="521"/>
        <v>0</v>
      </c>
      <c r="F291" s="22">
        <f t="shared" si="521"/>
        <v>0</v>
      </c>
      <c r="G291" s="22">
        <f t="shared" si="521"/>
        <v>0</v>
      </c>
      <c r="H291" s="22">
        <f t="shared" si="521"/>
        <v>0</v>
      </c>
      <c r="I291" s="22">
        <f t="shared" si="521"/>
        <v>0</v>
      </c>
      <c r="J291" s="22">
        <f t="shared" si="521"/>
        <v>0</v>
      </c>
      <c r="K291" s="22">
        <f t="shared" si="521"/>
        <v>0</v>
      </c>
      <c r="L291" s="22">
        <f t="shared" si="521"/>
        <v>0</v>
      </c>
      <c r="M291" s="22">
        <f t="shared" si="521"/>
        <v>0</v>
      </c>
      <c r="N291" s="22">
        <f t="shared" si="521"/>
        <v>0</v>
      </c>
      <c r="O291" s="22">
        <f t="shared" si="521"/>
        <v>0</v>
      </c>
      <c r="P291" s="22">
        <f t="shared" si="521"/>
        <v>0</v>
      </c>
      <c r="Q291" s="22">
        <f t="shared" si="521"/>
        <v>0</v>
      </c>
      <c r="R291" s="22">
        <f t="shared" si="521"/>
        <v>0</v>
      </c>
      <c r="S291" s="22">
        <f t="shared" si="521"/>
        <v>0</v>
      </c>
      <c r="T291" s="22">
        <f t="shared" si="521"/>
        <v>0</v>
      </c>
      <c r="U291" s="22">
        <f t="shared" si="521"/>
        <v>0</v>
      </c>
      <c r="V291" s="22">
        <f t="shared" si="521"/>
        <v>0</v>
      </c>
      <c r="W291" s="22">
        <f t="shared" si="521"/>
        <v>0</v>
      </c>
      <c r="X291" s="22">
        <f t="shared" si="521"/>
        <v>0.17799999999999999</v>
      </c>
      <c r="Y291" s="22">
        <f t="shared" si="521"/>
        <v>0.17799999999999999</v>
      </c>
      <c r="Z291" s="22">
        <f t="shared" si="521"/>
        <v>1.31</v>
      </c>
      <c r="AA291" s="22">
        <f t="shared" si="521"/>
        <v>4.6664171000000003</v>
      </c>
      <c r="AB291" s="22">
        <f t="shared" si="521"/>
        <v>8.7827262000000008</v>
      </c>
      <c r="AC291" s="22">
        <f t="shared" si="521"/>
        <v>15.833056599999999</v>
      </c>
      <c r="AD291" s="22">
        <f t="shared" si="521"/>
        <v>2.6275013000000005</v>
      </c>
      <c r="AE291" s="22">
        <f t="shared" si="521"/>
        <v>8.7667575000000006</v>
      </c>
      <c r="AF291" s="22">
        <f t="shared" si="521"/>
        <v>437.54088689999998</v>
      </c>
      <c r="AG291" s="22">
        <f t="shared" si="521"/>
        <v>338.00339480000002</v>
      </c>
      <c r="AH291" s="22">
        <f t="shared" si="521"/>
        <v>439.69981200000001</v>
      </c>
      <c r="AI291" s="22">
        <f t="shared" si="521"/>
        <v>273.19925440000003</v>
      </c>
      <c r="AJ291" s="22">
        <f t="shared" ref="AJ291:BO291" si="522">SUM(AJ292:AJ293)</f>
        <v>180.76073780000002</v>
      </c>
      <c r="AK291" s="22">
        <f t="shared" si="522"/>
        <v>550.35510209999995</v>
      </c>
      <c r="AL291" s="22">
        <f t="shared" si="522"/>
        <v>189.38739050000001</v>
      </c>
      <c r="AM291" s="22">
        <f t="shared" si="522"/>
        <v>179.0610959</v>
      </c>
      <c r="AN291" s="22">
        <f t="shared" si="522"/>
        <v>10.0059437</v>
      </c>
      <c r="AO291" s="22">
        <f t="shared" si="522"/>
        <v>8.7906452999999996</v>
      </c>
      <c r="AP291" s="22">
        <f t="shared" si="522"/>
        <v>9.3470952999999994</v>
      </c>
      <c r="AQ291" s="22">
        <f t="shared" si="522"/>
        <v>8.0046435999999996</v>
      </c>
      <c r="AR291" s="22">
        <f t="shared" si="522"/>
        <v>7.5327254999999997</v>
      </c>
      <c r="AS291" s="22">
        <f t="shared" si="522"/>
        <v>6.5960000000000001</v>
      </c>
      <c r="AT291" s="22">
        <f t="shared" si="522"/>
        <v>0.19400000000000001</v>
      </c>
      <c r="AU291" s="22">
        <f t="shared" si="522"/>
        <v>0.219</v>
      </c>
      <c r="AV291" s="22">
        <f t="shared" si="522"/>
        <v>0</v>
      </c>
      <c r="AW291" s="22">
        <f t="shared" si="522"/>
        <v>0</v>
      </c>
      <c r="AX291" s="22">
        <f t="shared" si="522"/>
        <v>0</v>
      </c>
      <c r="AY291" s="22">
        <f t="shared" si="522"/>
        <v>0</v>
      </c>
      <c r="AZ291" s="22">
        <f t="shared" si="522"/>
        <v>0</v>
      </c>
      <c r="BA291" s="22">
        <f t="shared" si="522"/>
        <v>0</v>
      </c>
      <c r="BB291" s="22">
        <f t="shared" si="522"/>
        <v>0</v>
      </c>
      <c r="BC291" s="22">
        <f t="shared" si="522"/>
        <v>0</v>
      </c>
      <c r="BD291" s="22">
        <f t="shared" si="522"/>
        <v>0</v>
      </c>
      <c r="BE291" s="22">
        <f t="shared" si="522"/>
        <v>0</v>
      </c>
      <c r="BF291" s="22">
        <f t="shared" si="522"/>
        <v>0</v>
      </c>
      <c r="BG291" s="22">
        <f t="shared" si="522"/>
        <v>0</v>
      </c>
      <c r="BH291" s="22">
        <f t="shared" si="522"/>
        <v>0</v>
      </c>
      <c r="BI291" s="22">
        <f t="shared" si="522"/>
        <v>2796.3110000000001</v>
      </c>
      <c r="BJ291" s="22">
        <f t="shared" si="522"/>
        <v>0</v>
      </c>
      <c r="BK291" s="22">
        <f t="shared" si="522"/>
        <v>0</v>
      </c>
      <c r="BL291" s="22">
        <f t="shared" si="522"/>
        <v>0</v>
      </c>
      <c r="BM291" s="22">
        <f t="shared" si="522"/>
        <v>0</v>
      </c>
      <c r="BN291" s="22">
        <f t="shared" si="522"/>
        <v>0</v>
      </c>
      <c r="BO291" s="22">
        <f t="shared" si="522"/>
        <v>0</v>
      </c>
      <c r="BP291" s="22">
        <f>SUM(BP292:BP293)</f>
        <v>0</v>
      </c>
      <c r="BQ291" s="22">
        <f>SUM(BQ292:BQ293)</f>
        <v>0</v>
      </c>
      <c r="BR291" s="101"/>
      <c r="BS291">
        <f t="shared" ref="BS291:CB294" si="523">IF($C291&lt;&gt;"",IF(D291&gt;0,1,0),0)</f>
        <v>0</v>
      </c>
      <c r="BT291">
        <f t="shared" si="523"/>
        <v>0</v>
      </c>
      <c r="BU291">
        <f t="shared" si="523"/>
        <v>0</v>
      </c>
      <c r="BV291">
        <f t="shared" si="523"/>
        <v>0</v>
      </c>
      <c r="BW291">
        <f t="shared" si="523"/>
        <v>0</v>
      </c>
      <c r="BX291">
        <f t="shared" si="523"/>
        <v>0</v>
      </c>
      <c r="BY291">
        <f t="shared" si="523"/>
        <v>0</v>
      </c>
      <c r="BZ291">
        <f t="shared" si="523"/>
        <v>0</v>
      </c>
      <c r="CA291">
        <f t="shared" si="523"/>
        <v>0</v>
      </c>
      <c r="CB291">
        <f t="shared" si="523"/>
        <v>0</v>
      </c>
      <c r="CC291">
        <f t="shared" ref="CC291:CL294" si="524">IF($C291&lt;&gt;"",IF(N291&gt;0,1,0),0)</f>
        <v>0</v>
      </c>
      <c r="CD291">
        <f t="shared" si="524"/>
        <v>0</v>
      </c>
      <c r="CE291">
        <f t="shared" si="524"/>
        <v>0</v>
      </c>
      <c r="CF291">
        <f t="shared" si="524"/>
        <v>0</v>
      </c>
      <c r="CG291">
        <f t="shared" si="524"/>
        <v>0</v>
      </c>
      <c r="CH291">
        <f t="shared" si="524"/>
        <v>0</v>
      </c>
      <c r="CI291">
        <f t="shared" si="524"/>
        <v>0</v>
      </c>
      <c r="CJ291">
        <f t="shared" si="524"/>
        <v>0</v>
      </c>
      <c r="CK291">
        <f t="shared" si="524"/>
        <v>0</v>
      </c>
      <c r="CL291">
        <f t="shared" si="524"/>
        <v>0</v>
      </c>
      <c r="CM291">
        <f t="shared" ref="CM291:CV294" si="525">IF($C291&lt;&gt;"",IF(X291&gt;0,1,0),0)</f>
        <v>1</v>
      </c>
      <c r="CN291">
        <f t="shared" si="525"/>
        <v>1</v>
      </c>
      <c r="CO291">
        <f t="shared" si="525"/>
        <v>1</v>
      </c>
      <c r="CP291">
        <f t="shared" si="525"/>
        <v>1</v>
      </c>
      <c r="CQ291">
        <f t="shared" si="525"/>
        <v>1</v>
      </c>
      <c r="CR291">
        <f t="shared" si="525"/>
        <v>1</v>
      </c>
      <c r="CS291">
        <f t="shared" si="525"/>
        <v>1</v>
      </c>
      <c r="CT291">
        <f t="shared" si="525"/>
        <v>1</v>
      </c>
      <c r="CU291">
        <f t="shared" si="525"/>
        <v>1</v>
      </c>
      <c r="CV291">
        <f t="shared" si="525"/>
        <v>1</v>
      </c>
      <c r="CW291">
        <f t="shared" ref="CW291:DF294" si="526">IF($C291&lt;&gt;"",IF(AH291&gt;0,1,0),0)</f>
        <v>1</v>
      </c>
      <c r="CX291">
        <f t="shared" si="526"/>
        <v>1</v>
      </c>
      <c r="CY291">
        <f t="shared" si="526"/>
        <v>1</v>
      </c>
      <c r="CZ291">
        <f t="shared" si="526"/>
        <v>1</v>
      </c>
      <c r="DA291">
        <f t="shared" si="526"/>
        <v>1</v>
      </c>
      <c r="DB291">
        <f t="shared" si="526"/>
        <v>1</v>
      </c>
      <c r="DC291">
        <f t="shared" si="526"/>
        <v>1</v>
      </c>
      <c r="DD291">
        <f t="shared" si="526"/>
        <v>1</v>
      </c>
      <c r="DE291">
        <f t="shared" si="526"/>
        <v>1</v>
      </c>
      <c r="DF291">
        <f t="shared" si="526"/>
        <v>1</v>
      </c>
      <c r="DG291">
        <f t="shared" ref="DG291:DP294" si="527">IF($C291&lt;&gt;"",IF(AR291&gt;0,1,0),0)</f>
        <v>1</v>
      </c>
      <c r="DH291">
        <f t="shared" si="527"/>
        <v>1</v>
      </c>
      <c r="DI291">
        <f t="shared" si="527"/>
        <v>1</v>
      </c>
      <c r="DJ291">
        <f t="shared" si="527"/>
        <v>1</v>
      </c>
      <c r="DK291">
        <f t="shared" si="527"/>
        <v>0</v>
      </c>
      <c r="DL291">
        <f t="shared" si="527"/>
        <v>0</v>
      </c>
      <c r="DM291">
        <f t="shared" si="527"/>
        <v>0</v>
      </c>
      <c r="DN291">
        <f t="shared" si="527"/>
        <v>0</v>
      </c>
      <c r="DO291">
        <f t="shared" si="527"/>
        <v>0</v>
      </c>
      <c r="DP291">
        <f t="shared" si="527"/>
        <v>0</v>
      </c>
      <c r="DQ291">
        <f t="shared" ref="DQ291:DZ294" si="528">IF($C291&lt;&gt;"",IF(BB291&gt;0,1,0),0)</f>
        <v>0</v>
      </c>
      <c r="DR291">
        <f t="shared" si="528"/>
        <v>0</v>
      </c>
      <c r="DS291">
        <f t="shared" si="528"/>
        <v>0</v>
      </c>
      <c r="DT291">
        <f t="shared" si="528"/>
        <v>0</v>
      </c>
      <c r="DU291">
        <f t="shared" si="528"/>
        <v>0</v>
      </c>
      <c r="DV291">
        <f t="shared" si="528"/>
        <v>0</v>
      </c>
      <c r="DW291">
        <f t="shared" si="528"/>
        <v>0</v>
      </c>
      <c r="DX291">
        <f t="shared" si="528"/>
        <v>1</v>
      </c>
      <c r="DY291">
        <f t="shared" si="528"/>
        <v>0</v>
      </c>
      <c r="DZ291">
        <f t="shared" si="528"/>
        <v>0</v>
      </c>
      <c r="EA291">
        <f t="shared" ref="EA291:EF294" si="529">IF($C291&lt;&gt;"",IF(BL291&gt;0,1,0),0)</f>
        <v>0</v>
      </c>
      <c r="EB291">
        <f t="shared" si="529"/>
        <v>0</v>
      </c>
      <c r="EC291">
        <f t="shared" si="529"/>
        <v>0</v>
      </c>
      <c r="ED291">
        <f t="shared" si="529"/>
        <v>0</v>
      </c>
      <c r="EE291">
        <f t="shared" si="529"/>
        <v>0</v>
      </c>
      <c r="EF291">
        <f t="shared" si="529"/>
        <v>0</v>
      </c>
    </row>
    <row r="292" spans="1:136" ht="15.5">
      <c r="A292" s="93"/>
      <c r="B292" s="57" t="s">
        <v>3</v>
      </c>
      <c r="C292" s="94"/>
      <c r="D292" s="18">
        <v>0</v>
      </c>
      <c r="E292" s="18">
        <v>0</v>
      </c>
      <c r="F292" s="18">
        <v>0</v>
      </c>
      <c r="G292" s="18">
        <v>0</v>
      </c>
      <c r="H292" s="18">
        <v>0</v>
      </c>
      <c r="I292" s="18">
        <v>0</v>
      </c>
      <c r="J292" s="18">
        <v>0</v>
      </c>
      <c r="K292" s="18">
        <v>0</v>
      </c>
      <c r="L292" s="18">
        <v>0</v>
      </c>
      <c r="M292" s="18">
        <v>0</v>
      </c>
      <c r="N292" s="18">
        <v>0</v>
      </c>
      <c r="O292" s="18">
        <v>0</v>
      </c>
      <c r="P292" s="18">
        <v>0</v>
      </c>
      <c r="Q292" s="18">
        <v>0</v>
      </c>
      <c r="R292" s="18">
        <v>0</v>
      </c>
      <c r="S292" s="18">
        <v>0</v>
      </c>
      <c r="T292" s="18">
        <v>0</v>
      </c>
      <c r="U292" s="18">
        <v>0</v>
      </c>
      <c r="V292" s="18">
        <v>0</v>
      </c>
      <c r="W292" s="18">
        <v>0</v>
      </c>
      <c r="X292" s="18">
        <v>0</v>
      </c>
      <c r="Y292" s="18">
        <v>0</v>
      </c>
      <c r="Z292" s="18">
        <v>0</v>
      </c>
      <c r="AA292" s="18">
        <v>0.84967599999999999</v>
      </c>
      <c r="AB292" s="18">
        <v>0.67938720000000008</v>
      </c>
      <c r="AC292" s="18">
        <v>0</v>
      </c>
      <c r="AD292" s="18">
        <v>0</v>
      </c>
      <c r="AE292" s="18">
        <v>3.5430000000000001</v>
      </c>
      <c r="AF292" s="18">
        <v>5.4627783000000001</v>
      </c>
      <c r="AG292" s="18">
        <v>1.1879044999999999</v>
      </c>
      <c r="AH292" s="18">
        <v>60.322572399999999</v>
      </c>
      <c r="AI292" s="18">
        <v>66.259900900000005</v>
      </c>
      <c r="AJ292" s="18">
        <v>124.7058363</v>
      </c>
      <c r="AK292" s="18">
        <v>474.6749451</v>
      </c>
      <c r="AL292" s="18">
        <v>95.323768300000012</v>
      </c>
      <c r="AM292" s="18">
        <v>85.193181699999997</v>
      </c>
      <c r="AN292" s="18">
        <v>6.0506600000000001E-2</v>
      </c>
      <c r="AO292" s="18">
        <v>1.17181E-2</v>
      </c>
      <c r="AP292" s="18">
        <v>1.2552299999999999E-2</v>
      </c>
      <c r="AQ292" s="18">
        <v>1.0786499999999999E-2</v>
      </c>
      <c r="AR292" s="18">
        <v>9.9909000000000005E-3</v>
      </c>
      <c r="AS292" s="18">
        <v>8.9999999999999993E-3</v>
      </c>
      <c r="AT292" s="18">
        <v>1.0999999999999999E-2</v>
      </c>
      <c r="AU292" s="18">
        <v>1.4E-2</v>
      </c>
      <c r="AV292" s="18">
        <v>0</v>
      </c>
      <c r="AW292" s="18">
        <v>0</v>
      </c>
      <c r="AX292" s="18">
        <v>0</v>
      </c>
      <c r="AY292" s="18">
        <v>0</v>
      </c>
      <c r="AZ292" s="18">
        <v>0</v>
      </c>
      <c r="BA292" s="18">
        <v>0</v>
      </c>
      <c r="BB292" s="18">
        <v>0</v>
      </c>
      <c r="BC292" s="18">
        <v>0</v>
      </c>
      <c r="BD292" s="18">
        <v>0</v>
      </c>
      <c r="BE292" s="18">
        <v>0</v>
      </c>
      <c r="BF292" s="18">
        <v>0</v>
      </c>
      <c r="BG292" s="18">
        <v>0</v>
      </c>
      <c r="BH292" s="18">
        <v>0</v>
      </c>
      <c r="BI292" s="168">
        <v>2796.3110000000001</v>
      </c>
      <c r="BJ292" s="113">
        <v>0</v>
      </c>
      <c r="BK292" s="113">
        <v>0</v>
      </c>
      <c r="BL292" s="113">
        <v>0</v>
      </c>
      <c r="BM292" s="113">
        <v>0</v>
      </c>
      <c r="BN292" s="113">
        <v>0</v>
      </c>
      <c r="BO292" s="113">
        <v>0</v>
      </c>
      <c r="BP292" s="113">
        <v>0</v>
      </c>
      <c r="BQ292" s="113">
        <v>0</v>
      </c>
      <c r="BR292" s="101"/>
      <c r="BS292">
        <f t="shared" si="523"/>
        <v>0</v>
      </c>
      <c r="BT292">
        <f t="shared" si="523"/>
        <v>0</v>
      </c>
      <c r="BU292">
        <f t="shared" si="523"/>
        <v>0</v>
      </c>
      <c r="BV292">
        <f t="shared" si="523"/>
        <v>0</v>
      </c>
      <c r="BW292">
        <f t="shared" si="523"/>
        <v>0</v>
      </c>
      <c r="BX292">
        <f t="shared" si="523"/>
        <v>0</v>
      </c>
      <c r="BY292">
        <f t="shared" si="523"/>
        <v>0</v>
      </c>
      <c r="BZ292">
        <f t="shared" si="523"/>
        <v>0</v>
      </c>
      <c r="CA292">
        <f t="shared" si="523"/>
        <v>0</v>
      </c>
      <c r="CB292">
        <f t="shared" si="523"/>
        <v>0</v>
      </c>
      <c r="CC292">
        <f t="shared" si="524"/>
        <v>0</v>
      </c>
      <c r="CD292">
        <f t="shared" si="524"/>
        <v>0</v>
      </c>
      <c r="CE292">
        <f t="shared" si="524"/>
        <v>0</v>
      </c>
      <c r="CF292">
        <f t="shared" si="524"/>
        <v>0</v>
      </c>
      <c r="CG292">
        <f t="shared" si="524"/>
        <v>0</v>
      </c>
      <c r="CH292">
        <f t="shared" si="524"/>
        <v>0</v>
      </c>
      <c r="CI292">
        <f t="shared" si="524"/>
        <v>0</v>
      </c>
      <c r="CJ292">
        <f t="shared" si="524"/>
        <v>0</v>
      </c>
      <c r="CK292">
        <f t="shared" si="524"/>
        <v>0</v>
      </c>
      <c r="CL292">
        <f t="shared" si="524"/>
        <v>0</v>
      </c>
      <c r="CM292">
        <f t="shared" si="525"/>
        <v>0</v>
      </c>
      <c r="CN292">
        <f t="shared" si="525"/>
        <v>0</v>
      </c>
      <c r="CO292">
        <f t="shared" si="525"/>
        <v>0</v>
      </c>
      <c r="CP292">
        <f t="shared" si="525"/>
        <v>0</v>
      </c>
      <c r="CQ292">
        <f t="shared" si="525"/>
        <v>0</v>
      </c>
      <c r="CR292">
        <f t="shared" si="525"/>
        <v>0</v>
      </c>
      <c r="CS292">
        <f t="shared" si="525"/>
        <v>0</v>
      </c>
      <c r="CT292">
        <f t="shared" si="525"/>
        <v>0</v>
      </c>
      <c r="CU292">
        <f t="shared" si="525"/>
        <v>0</v>
      </c>
      <c r="CV292">
        <f t="shared" si="525"/>
        <v>0</v>
      </c>
      <c r="CW292">
        <f t="shared" si="526"/>
        <v>0</v>
      </c>
      <c r="CX292">
        <f t="shared" si="526"/>
        <v>0</v>
      </c>
      <c r="CY292">
        <f t="shared" si="526"/>
        <v>0</v>
      </c>
      <c r="CZ292">
        <f t="shared" si="526"/>
        <v>0</v>
      </c>
      <c r="DA292">
        <f t="shared" si="526"/>
        <v>0</v>
      </c>
      <c r="DB292">
        <f t="shared" si="526"/>
        <v>0</v>
      </c>
      <c r="DC292">
        <f t="shared" si="526"/>
        <v>0</v>
      </c>
      <c r="DD292">
        <f t="shared" si="526"/>
        <v>0</v>
      </c>
      <c r="DE292">
        <f t="shared" si="526"/>
        <v>0</v>
      </c>
      <c r="DF292">
        <f t="shared" si="526"/>
        <v>0</v>
      </c>
      <c r="DG292">
        <f t="shared" si="527"/>
        <v>0</v>
      </c>
      <c r="DH292">
        <f t="shared" si="527"/>
        <v>0</v>
      </c>
      <c r="DI292">
        <f t="shared" si="527"/>
        <v>0</v>
      </c>
      <c r="DJ292">
        <f t="shared" si="527"/>
        <v>0</v>
      </c>
      <c r="DK292">
        <f t="shared" si="527"/>
        <v>0</v>
      </c>
      <c r="DL292">
        <f t="shared" si="527"/>
        <v>0</v>
      </c>
      <c r="DM292">
        <f t="shared" si="527"/>
        <v>0</v>
      </c>
      <c r="DN292">
        <f t="shared" si="527"/>
        <v>0</v>
      </c>
      <c r="DO292">
        <f t="shared" si="527"/>
        <v>0</v>
      </c>
      <c r="DP292">
        <f t="shared" si="527"/>
        <v>0</v>
      </c>
      <c r="DQ292">
        <f t="shared" si="528"/>
        <v>0</v>
      </c>
      <c r="DR292">
        <f t="shared" si="528"/>
        <v>0</v>
      </c>
      <c r="DS292">
        <f t="shared" si="528"/>
        <v>0</v>
      </c>
      <c r="DT292">
        <f t="shared" si="528"/>
        <v>0</v>
      </c>
      <c r="DU292">
        <f t="shared" si="528"/>
        <v>0</v>
      </c>
      <c r="DV292">
        <f t="shared" si="528"/>
        <v>0</v>
      </c>
      <c r="DW292">
        <f t="shared" si="528"/>
        <v>0</v>
      </c>
      <c r="DX292">
        <f t="shared" si="528"/>
        <v>0</v>
      </c>
      <c r="DY292">
        <f t="shared" si="528"/>
        <v>0</v>
      </c>
      <c r="DZ292">
        <f t="shared" si="528"/>
        <v>0</v>
      </c>
      <c r="EA292">
        <f t="shared" si="529"/>
        <v>0</v>
      </c>
      <c r="EB292">
        <f t="shared" si="529"/>
        <v>0</v>
      </c>
      <c r="EC292">
        <f t="shared" si="529"/>
        <v>0</v>
      </c>
      <c r="ED292">
        <f t="shared" si="529"/>
        <v>0</v>
      </c>
      <c r="EE292">
        <f t="shared" si="529"/>
        <v>0</v>
      </c>
      <c r="EF292">
        <f t="shared" si="529"/>
        <v>0</v>
      </c>
    </row>
    <row r="293" spans="1:136" ht="15.5">
      <c r="A293" s="93"/>
      <c r="B293" s="19" t="s">
        <v>208</v>
      </c>
      <c r="C293" s="94"/>
      <c r="D293" s="18">
        <v>0</v>
      </c>
      <c r="E293" s="18">
        <v>0</v>
      </c>
      <c r="F293" s="18">
        <v>0</v>
      </c>
      <c r="G293" s="18">
        <v>0</v>
      </c>
      <c r="H293" s="18">
        <v>0</v>
      </c>
      <c r="I293" s="18">
        <v>0</v>
      </c>
      <c r="J293" s="18">
        <v>0</v>
      </c>
      <c r="K293" s="18">
        <v>0</v>
      </c>
      <c r="L293" s="18">
        <v>0</v>
      </c>
      <c r="M293" s="18">
        <v>0</v>
      </c>
      <c r="N293" s="18">
        <v>0</v>
      </c>
      <c r="O293" s="18">
        <v>0</v>
      </c>
      <c r="P293" s="18">
        <v>0</v>
      </c>
      <c r="Q293" s="18">
        <v>0</v>
      </c>
      <c r="R293" s="18">
        <v>0</v>
      </c>
      <c r="S293" s="18">
        <v>0</v>
      </c>
      <c r="T293" s="18">
        <v>0</v>
      </c>
      <c r="U293" s="18">
        <v>0</v>
      </c>
      <c r="V293" s="18">
        <v>0</v>
      </c>
      <c r="W293" s="18">
        <v>0</v>
      </c>
      <c r="X293" s="18">
        <v>0.17799999999999999</v>
      </c>
      <c r="Y293" s="18">
        <v>0.17799999999999999</v>
      </c>
      <c r="Z293" s="18">
        <v>1.31</v>
      </c>
      <c r="AA293" s="18">
        <v>3.8167411000000002</v>
      </c>
      <c r="AB293" s="18">
        <v>8.1033390000000001</v>
      </c>
      <c r="AC293" s="18">
        <v>15.833056599999999</v>
      </c>
      <c r="AD293" s="18">
        <v>2.6275013000000005</v>
      </c>
      <c r="AE293" s="18">
        <v>5.2237574999999996</v>
      </c>
      <c r="AF293" s="18">
        <v>432.07810859999995</v>
      </c>
      <c r="AG293" s="18">
        <v>336.81549030000002</v>
      </c>
      <c r="AH293" s="18">
        <v>379.3772396</v>
      </c>
      <c r="AI293" s="18">
        <v>206.93935350000001</v>
      </c>
      <c r="AJ293" s="18">
        <v>56.0549015</v>
      </c>
      <c r="AK293" s="18">
        <v>75.680156999999994</v>
      </c>
      <c r="AL293" s="18">
        <v>94.063622199999998</v>
      </c>
      <c r="AM293" s="18">
        <v>93.867914200000001</v>
      </c>
      <c r="AN293" s="18">
        <v>9.9454370999999995</v>
      </c>
      <c r="AO293" s="18">
        <v>8.7789272</v>
      </c>
      <c r="AP293" s="18">
        <v>9.334543</v>
      </c>
      <c r="AQ293" s="18">
        <v>7.9938570999999996</v>
      </c>
      <c r="AR293" s="18">
        <v>7.5227345999999997</v>
      </c>
      <c r="AS293" s="18">
        <v>6.5869999999999997</v>
      </c>
      <c r="AT293" s="18">
        <v>0.183</v>
      </c>
      <c r="AU293" s="18">
        <v>0.20499999999999999</v>
      </c>
      <c r="AV293" s="18">
        <v>0</v>
      </c>
      <c r="AW293" s="18">
        <v>0</v>
      </c>
      <c r="AX293" s="18">
        <v>0</v>
      </c>
      <c r="AY293" s="18">
        <v>0</v>
      </c>
      <c r="AZ293" s="18">
        <v>0</v>
      </c>
      <c r="BA293" s="18">
        <v>0</v>
      </c>
      <c r="BB293" s="18">
        <v>0</v>
      </c>
      <c r="BC293" s="18">
        <v>0</v>
      </c>
      <c r="BD293" s="18">
        <v>0</v>
      </c>
      <c r="BE293" s="18">
        <v>0</v>
      </c>
      <c r="BF293" s="18">
        <v>0</v>
      </c>
      <c r="BG293" s="18">
        <v>0</v>
      </c>
      <c r="BH293" s="18">
        <v>0</v>
      </c>
      <c r="BI293" s="18">
        <v>0</v>
      </c>
      <c r="BJ293" s="113">
        <v>0</v>
      </c>
      <c r="BK293" s="113">
        <v>0</v>
      </c>
      <c r="BL293" s="113">
        <v>0</v>
      </c>
      <c r="BM293" s="113">
        <v>0</v>
      </c>
      <c r="BN293" s="113">
        <v>0</v>
      </c>
      <c r="BO293" s="113">
        <v>0</v>
      </c>
      <c r="BP293" s="113">
        <v>0</v>
      </c>
      <c r="BQ293" s="113">
        <v>0</v>
      </c>
      <c r="BR293" s="101"/>
      <c r="BS293">
        <f t="shared" si="523"/>
        <v>0</v>
      </c>
      <c r="BT293">
        <f t="shared" si="523"/>
        <v>0</v>
      </c>
      <c r="BU293">
        <f t="shared" si="523"/>
        <v>0</v>
      </c>
      <c r="BV293">
        <f t="shared" si="523"/>
        <v>0</v>
      </c>
      <c r="BW293">
        <f t="shared" si="523"/>
        <v>0</v>
      </c>
      <c r="BX293">
        <f t="shared" si="523"/>
        <v>0</v>
      </c>
      <c r="BY293">
        <f t="shared" si="523"/>
        <v>0</v>
      </c>
      <c r="BZ293">
        <f t="shared" si="523"/>
        <v>0</v>
      </c>
      <c r="CA293">
        <f t="shared" si="523"/>
        <v>0</v>
      </c>
      <c r="CB293">
        <f t="shared" si="523"/>
        <v>0</v>
      </c>
      <c r="CC293">
        <f t="shared" si="524"/>
        <v>0</v>
      </c>
      <c r="CD293">
        <f t="shared" si="524"/>
        <v>0</v>
      </c>
      <c r="CE293">
        <f t="shared" si="524"/>
        <v>0</v>
      </c>
      <c r="CF293">
        <f t="shared" si="524"/>
        <v>0</v>
      </c>
      <c r="CG293">
        <f t="shared" si="524"/>
        <v>0</v>
      </c>
      <c r="CH293">
        <f t="shared" si="524"/>
        <v>0</v>
      </c>
      <c r="CI293">
        <f t="shared" si="524"/>
        <v>0</v>
      </c>
      <c r="CJ293">
        <f t="shared" si="524"/>
        <v>0</v>
      </c>
      <c r="CK293">
        <f t="shared" si="524"/>
        <v>0</v>
      </c>
      <c r="CL293">
        <f t="shared" si="524"/>
        <v>0</v>
      </c>
      <c r="CM293">
        <f t="shared" si="525"/>
        <v>0</v>
      </c>
      <c r="CN293">
        <f t="shared" si="525"/>
        <v>0</v>
      </c>
      <c r="CO293">
        <f t="shared" si="525"/>
        <v>0</v>
      </c>
      <c r="CP293">
        <f t="shared" si="525"/>
        <v>0</v>
      </c>
      <c r="CQ293">
        <f t="shared" si="525"/>
        <v>0</v>
      </c>
      <c r="CR293">
        <f t="shared" si="525"/>
        <v>0</v>
      </c>
      <c r="CS293">
        <f t="shared" si="525"/>
        <v>0</v>
      </c>
      <c r="CT293">
        <f t="shared" si="525"/>
        <v>0</v>
      </c>
      <c r="CU293">
        <f t="shared" si="525"/>
        <v>0</v>
      </c>
      <c r="CV293">
        <f t="shared" si="525"/>
        <v>0</v>
      </c>
      <c r="CW293">
        <f t="shared" si="526"/>
        <v>0</v>
      </c>
      <c r="CX293">
        <f t="shared" si="526"/>
        <v>0</v>
      </c>
      <c r="CY293">
        <f t="shared" si="526"/>
        <v>0</v>
      </c>
      <c r="CZ293">
        <f t="shared" si="526"/>
        <v>0</v>
      </c>
      <c r="DA293">
        <f t="shared" si="526"/>
        <v>0</v>
      </c>
      <c r="DB293">
        <f t="shared" si="526"/>
        <v>0</v>
      </c>
      <c r="DC293">
        <f t="shared" si="526"/>
        <v>0</v>
      </c>
      <c r="DD293">
        <f t="shared" si="526"/>
        <v>0</v>
      </c>
      <c r="DE293">
        <f t="shared" si="526"/>
        <v>0</v>
      </c>
      <c r="DF293">
        <f t="shared" si="526"/>
        <v>0</v>
      </c>
      <c r="DG293">
        <f t="shared" si="527"/>
        <v>0</v>
      </c>
      <c r="DH293">
        <f t="shared" si="527"/>
        <v>0</v>
      </c>
      <c r="DI293">
        <f t="shared" si="527"/>
        <v>0</v>
      </c>
      <c r="DJ293">
        <f t="shared" si="527"/>
        <v>0</v>
      </c>
      <c r="DK293">
        <f t="shared" si="527"/>
        <v>0</v>
      </c>
      <c r="DL293">
        <f t="shared" si="527"/>
        <v>0</v>
      </c>
      <c r="DM293">
        <f t="shared" si="527"/>
        <v>0</v>
      </c>
      <c r="DN293">
        <f t="shared" si="527"/>
        <v>0</v>
      </c>
      <c r="DO293">
        <f t="shared" si="527"/>
        <v>0</v>
      </c>
      <c r="DP293">
        <f t="shared" si="527"/>
        <v>0</v>
      </c>
      <c r="DQ293">
        <f t="shared" si="528"/>
        <v>0</v>
      </c>
      <c r="DR293">
        <f t="shared" si="528"/>
        <v>0</v>
      </c>
      <c r="DS293">
        <f t="shared" si="528"/>
        <v>0</v>
      </c>
      <c r="DT293">
        <f t="shared" si="528"/>
        <v>0</v>
      </c>
      <c r="DU293">
        <f t="shared" si="528"/>
        <v>0</v>
      </c>
      <c r="DV293">
        <f t="shared" si="528"/>
        <v>0</v>
      </c>
      <c r="DW293">
        <f t="shared" si="528"/>
        <v>0</v>
      </c>
      <c r="DX293">
        <f t="shared" si="528"/>
        <v>0</v>
      </c>
      <c r="DY293">
        <f t="shared" si="528"/>
        <v>0</v>
      </c>
      <c r="DZ293">
        <f t="shared" si="528"/>
        <v>0</v>
      </c>
      <c r="EA293">
        <f t="shared" si="529"/>
        <v>0</v>
      </c>
      <c r="EB293">
        <f t="shared" si="529"/>
        <v>0</v>
      </c>
      <c r="EC293">
        <f t="shared" si="529"/>
        <v>0</v>
      </c>
      <c r="ED293">
        <f t="shared" si="529"/>
        <v>0</v>
      </c>
      <c r="EE293">
        <f t="shared" si="529"/>
        <v>0</v>
      </c>
      <c r="EF293">
        <f t="shared" si="529"/>
        <v>0</v>
      </c>
    </row>
    <row r="294" spans="1:136" ht="15.5">
      <c r="A294" s="93"/>
      <c r="B294" s="19" t="s">
        <v>212</v>
      </c>
      <c r="C294" s="94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>
        <v>820.33193936225814</v>
      </c>
      <c r="AH294" s="18">
        <v>628.59247461676284</v>
      </c>
      <c r="AI294" s="18">
        <v>501.6824644549763</v>
      </c>
      <c r="AJ294" s="18">
        <v>420.300811294911</v>
      </c>
      <c r="AK294" s="18">
        <v>452.05793742757822</v>
      </c>
      <c r="AL294" s="18">
        <v>638.01893491124258</v>
      </c>
      <c r="AM294" s="18">
        <v>1294.7710843373493</v>
      </c>
      <c r="AN294" s="18">
        <v>1556.5342333654773</v>
      </c>
      <c r="AO294" s="18">
        <v>1270.9255039439088</v>
      </c>
      <c r="AP294" s="18">
        <v>1374.2636746143057</v>
      </c>
      <c r="AQ294" s="18">
        <v>1585.5444191343963</v>
      </c>
      <c r="AR294" s="18">
        <v>830.86206896551721</v>
      </c>
      <c r="AS294" s="18">
        <v>180.40304347826088</v>
      </c>
      <c r="AT294" s="18">
        <v>1625.0079872204474</v>
      </c>
      <c r="AU294" s="18">
        <v>1238.8019457956914</v>
      </c>
      <c r="AV294" s="18">
        <v>2047.8235070368962</v>
      </c>
      <c r="AW294" s="18">
        <v>2122.560772268539</v>
      </c>
      <c r="AX294" s="18">
        <v>1985.6951048951048</v>
      </c>
      <c r="AY294" s="18">
        <v>2543.3748743718593</v>
      </c>
      <c r="AZ294" s="18">
        <v>1706.7705223880596</v>
      </c>
      <c r="BA294" s="18">
        <v>1203.2353525322742</v>
      </c>
      <c r="BB294" s="18">
        <v>723.92480417754564</v>
      </c>
      <c r="BC294" s="18">
        <v>0</v>
      </c>
      <c r="BD294" s="18">
        <v>0</v>
      </c>
      <c r="BE294" s="18">
        <v>0</v>
      </c>
      <c r="BF294" s="18">
        <v>0</v>
      </c>
      <c r="BG294" s="18">
        <v>0</v>
      </c>
      <c r="BH294" s="18">
        <v>0</v>
      </c>
      <c r="BI294" s="18">
        <v>0</v>
      </c>
      <c r="BJ294" s="113">
        <v>5792.9121725731893</v>
      </c>
      <c r="BK294" s="113">
        <v>4652.583745279253</v>
      </c>
      <c r="BL294" s="113">
        <v>793.28257311606058</v>
      </c>
      <c r="BM294" s="113">
        <v>0</v>
      </c>
      <c r="BN294" s="113">
        <v>0</v>
      </c>
      <c r="BO294" s="113">
        <v>0</v>
      </c>
      <c r="BP294" s="113">
        <v>0</v>
      </c>
      <c r="BQ294" s="113">
        <v>0</v>
      </c>
      <c r="BR294" s="101"/>
      <c r="BS294">
        <f t="shared" si="523"/>
        <v>0</v>
      </c>
      <c r="BT294">
        <f t="shared" si="523"/>
        <v>0</v>
      </c>
      <c r="BU294">
        <f t="shared" si="523"/>
        <v>0</v>
      </c>
      <c r="BV294">
        <f t="shared" si="523"/>
        <v>0</v>
      </c>
      <c r="BW294">
        <f t="shared" si="523"/>
        <v>0</v>
      </c>
      <c r="BX294">
        <f t="shared" si="523"/>
        <v>0</v>
      </c>
      <c r="BY294">
        <f t="shared" si="523"/>
        <v>0</v>
      </c>
      <c r="BZ294">
        <f t="shared" si="523"/>
        <v>0</v>
      </c>
      <c r="CA294">
        <f t="shared" si="523"/>
        <v>0</v>
      </c>
      <c r="CB294">
        <f t="shared" si="523"/>
        <v>0</v>
      </c>
      <c r="CC294">
        <f t="shared" si="524"/>
        <v>0</v>
      </c>
      <c r="CD294">
        <f t="shared" si="524"/>
        <v>0</v>
      </c>
      <c r="CE294">
        <f t="shared" si="524"/>
        <v>0</v>
      </c>
      <c r="CF294">
        <f t="shared" si="524"/>
        <v>0</v>
      </c>
      <c r="CG294">
        <f t="shared" si="524"/>
        <v>0</v>
      </c>
      <c r="CH294">
        <f t="shared" si="524"/>
        <v>0</v>
      </c>
      <c r="CI294">
        <f t="shared" si="524"/>
        <v>0</v>
      </c>
      <c r="CJ294">
        <f t="shared" si="524"/>
        <v>0</v>
      </c>
      <c r="CK294">
        <f t="shared" si="524"/>
        <v>0</v>
      </c>
      <c r="CL294">
        <f t="shared" si="524"/>
        <v>0</v>
      </c>
      <c r="CM294">
        <f t="shared" si="525"/>
        <v>0</v>
      </c>
      <c r="CN294">
        <f t="shared" si="525"/>
        <v>0</v>
      </c>
      <c r="CO294">
        <f t="shared" si="525"/>
        <v>0</v>
      </c>
      <c r="CP294">
        <f t="shared" si="525"/>
        <v>0</v>
      </c>
      <c r="CQ294">
        <f t="shared" si="525"/>
        <v>0</v>
      </c>
      <c r="CR294">
        <f t="shared" si="525"/>
        <v>0</v>
      </c>
      <c r="CS294">
        <f t="shared" si="525"/>
        <v>0</v>
      </c>
      <c r="CT294">
        <f t="shared" si="525"/>
        <v>0</v>
      </c>
      <c r="CU294">
        <f t="shared" si="525"/>
        <v>0</v>
      </c>
      <c r="CV294">
        <f t="shared" si="525"/>
        <v>0</v>
      </c>
      <c r="CW294">
        <f t="shared" si="526"/>
        <v>0</v>
      </c>
      <c r="CX294">
        <f t="shared" si="526"/>
        <v>0</v>
      </c>
      <c r="CY294">
        <f t="shared" si="526"/>
        <v>0</v>
      </c>
      <c r="CZ294">
        <f t="shared" si="526"/>
        <v>0</v>
      </c>
      <c r="DA294">
        <f t="shared" si="526"/>
        <v>0</v>
      </c>
      <c r="DB294">
        <f t="shared" si="526"/>
        <v>0</v>
      </c>
      <c r="DC294">
        <f t="shared" si="526"/>
        <v>0</v>
      </c>
      <c r="DD294">
        <f t="shared" si="526"/>
        <v>0</v>
      </c>
      <c r="DE294">
        <f t="shared" si="526"/>
        <v>0</v>
      </c>
      <c r="DF294">
        <f t="shared" si="526"/>
        <v>0</v>
      </c>
      <c r="DG294">
        <f t="shared" si="527"/>
        <v>0</v>
      </c>
      <c r="DH294">
        <f t="shared" si="527"/>
        <v>0</v>
      </c>
      <c r="DI294">
        <f t="shared" si="527"/>
        <v>0</v>
      </c>
      <c r="DJ294">
        <f t="shared" si="527"/>
        <v>0</v>
      </c>
      <c r="DK294">
        <f t="shared" si="527"/>
        <v>0</v>
      </c>
      <c r="DL294">
        <f t="shared" si="527"/>
        <v>0</v>
      </c>
      <c r="DM294">
        <f t="shared" si="527"/>
        <v>0</v>
      </c>
      <c r="DN294">
        <f t="shared" si="527"/>
        <v>0</v>
      </c>
      <c r="DO294">
        <f t="shared" si="527"/>
        <v>0</v>
      </c>
      <c r="DP294">
        <f t="shared" si="527"/>
        <v>0</v>
      </c>
      <c r="DQ294">
        <f t="shared" si="528"/>
        <v>0</v>
      </c>
      <c r="DR294">
        <f t="shared" si="528"/>
        <v>0</v>
      </c>
      <c r="DS294">
        <f t="shared" si="528"/>
        <v>0</v>
      </c>
      <c r="DT294">
        <f t="shared" si="528"/>
        <v>0</v>
      </c>
      <c r="DU294">
        <f t="shared" si="528"/>
        <v>0</v>
      </c>
      <c r="DV294">
        <f t="shared" si="528"/>
        <v>0</v>
      </c>
      <c r="DW294">
        <f t="shared" si="528"/>
        <v>0</v>
      </c>
      <c r="DX294">
        <f t="shared" si="528"/>
        <v>0</v>
      </c>
      <c r="DY294">
        <f t="shared" si="528"/>
        <v>0</v>
      </c>
      <c r="DZ294">
        <f t="shared" si="528"/>
        <v>0</v>
      </c>
      <c r="EA294">
        <f t="shared" si="529"/>
        <v>0</v>
      </c>
      <c r="EB294">
        <f t="shared" si="529"/>
        <v>0</v>
      </c>
      <c r="EC294">
        <f t="shared" si="529"/>
        <v>0</v>
      </c>
      <c r="ED294">
        <f t="shared" si="529"/>
        <v>0</v>
      </c>
      <c r="EE294">
        <f t="shared" si="529"/>
        <v>0</v>
      </c>
      <c r="EF294">
        <f t="shared" si="529"/>
        <v>0</v>
      </c>
    </row>
    <row r="295" spans="1:136" ht="15.5">
      <c r="A295" s="93"/>
      <c r="B295" s="57"/>
      <c r="C295" s="94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  <c r="BA295" s="18"/>
      <c r="BB295" s="18"/>
      <c r="BC295" s="18"/>
      <c r="BD295" s="18"/>
      <c r="BE295" s="18"/>
      <c r="BF295" s="18"/>
      <c r="BG295" s="18"/>
      <c r="BH295" s="2"/>
      <c r="BI295" s="2"/>
      <c r="BJ295" s="2"/>
      <c r="BK295" s="2"/>
      <c r="BL295" s="22"/>
      <c r="BM295" s="2"/>
      <c r="BN295" s="2"/>
      <c r="BO295" s="2"/>
      <c r="BP295" s="2"/>
      <c r="BQ295" s="2"/>
      <c r="BR295" s="101"/>
    </row>
    <row r="296" spans="1:136" ht="15.5">
      <c r="A296" s="93">
        <v>33</v>
      </c>
      <c r="B296" s="32" t="s">
        <v>47</v>
      </c>
      <c r="C296" s="94">
        <v>3</v>
      </c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>
        <f t="shared" ref="S296:AX296" si="530">SUM(S297:S302)</f>
        <v>0</v>
      </c>
      <c r="T296" s="22">
        <f t="shared" si="530"/>
        <v>3.5129000000000001E-2</v>
      </c>
      <c r="U296" s="22">
        <f t="shared" si="530"/>
        <v>0.389677</v>
      </c>
      <c r="V296" s="22">
        <f t="shared" si="530"/>
        <v>1.4791989999999999</v>
      </c>
      <c r="W296" s="22">
        <f t="shared" si="530"/>
        <v>2.552092</v>
      </c>
      <c r="X296" s="22">
        <f t="shared" si="530"/>
        <v>2E-3</v>
      </c>
      <c r="Y296" s="22">
        <f t="shared" si="530"/>
        <v>5.3999999999999999E-2</v>
      </c>
      <c r="Z296" s="22">
        <f t="shared" si="530"/>
        <v>0.28800000000000003</v>
      </c>
      <c r="AA296" s="22">
        <f t="shared" si="530"/>
        <v>0.41199999999999998</v>
      </c>
      <c r="AB296" s="22">
        <f t="shared" si="530"/>
        <v>1.8734329999999999</v>
      </c>
      <c r="AC296" s="22">
        <f t="shared" si="530"/>
        <v>2.2887700000000004</v>
      </c>
      <c r="AD296" s="22">
        <f t="shared" si="530"/>
        <v>7.1195649999999997</v>
      </c>
      <c r="AE296" s="22">
        <f t="shared" si="530"/>
        <v>14.510250000000001</v>
      </c>
      <c r="AF296" s="22">
        <f t="shared" si="530"/>
        <v>22.333320000000001</v>
      </c>
      <c r="AG296" s="22">
        <f t="shared" si="530"/>
        <v>55.142209999999992</v>
      </c>
      <c r="AH296" s="22">
        <f t="shared" si="530"/>
        <v>37.753390000000003</v>
      </c>
      <c r="AI296" s="22">
        <f t="shared" si="530"/>
        <v>34.065730000000002</v>
      </c>
      <c r="AJ296" s="22">
        <f t="shared" si="530"/>
        <v>30</v>
      </c>
      <c r="AK296" s="22">
        <f t="shared" si="530"/>
        <v>26</v>
      </c>
      <c r="AL296" s="22">
        <f t="shared" si="530"/>
        <v>28</v>
      </c>
      <c r="AM296" s="22">
        <f t="shared" si="530"/>
        <v>36</v>
      </c>
      <c r="AN296" s="22">
        <f t="shared" si="530"/>
        <v>43</v>
      </c>
      <c r="AO296" s="22">
        <f t="shared" si="530"/>
        <v>45</v>
      </c>
      <c r="AP296" s="22">
        <f t="shared" si="530"/>
        <v>51</v>
      </c>
      <c r="AQ296" s="22">
        <f t="shared" si="530"/>
        <v>57</v>
      </c>
      <c r="AR296" s="22">
        <f t="shared" si="530"/>
        <v>56</v>
      </c>
      <c r="AS296" s="22">
        <f t="shared" si="530"/>
        <v>81</v>
      </c>
      <c r="AT296" s="22">
        <f t="shared" si="530"/>
        <v>89.147769999999994</v>
      </c>
      <c r="AU296" s="22">
        <f t="shared" si="530"/>
        <v>92.301270000000002</v>
      </c>
      <c r="AV296" s="22">
        <f t="shared" si="530"/>
        <v>107.3117</v>
      </c>
      <c r="AW296" s="22">
        <f t="shared" si="530"/>
        <v>103.0752</v>
      </c>
      <c r="AX296" s="22">
        <f t="shared" si="530"/>
        <v>108.7713547</v>
      </c>
      <c r="AY296" s="22">
        <f t="shared" ref="AY296:BQ296" si="531">SUM(AY297:AY302)</f>
        <v>111.18156329999999</v>
      </c>
      <c r="AZ296" s="22">
        <f t="shared" si="531"/>
        <v>28.1669299</v>
      </c>
      <c r="BA296" s="22">
        <f t="shared" si="531"/>
        <v>38.906038099999996</v>
      </c>
      <c r="BB296" s="22">
        <f t="shared" si="531"/>
        <v>64.514688000000007</v>
      </c>
      <c r="BC296" s="22">
        <f t="shared" si="531"/>
        <v>23.3282639</v>
      </c>
      <c r="BD296" s="22">
        <f t="shared" si="531"/>
        <v>51.429270099999997</v>
      </c>
      <c r="BE296" s="22">
        <f t="shared" si="531"/>
        <v>156.8359548</v>
      </c>
      <c r="BF296" s="22">
        <f t="shared" si="531"/>
        <v>5.2630455999999999</v>
      </c>
      <c r="BG296" s="22">
        <f t="shared" si="531"/>
        <v>6.1812338000000011</v>
      </c>
      <c r="BH296" s="22">
        <f t="shared" si="531"/>
        <v>7.3369878000000011</v>
      </c>
      <c r="BI296" s="22">
        <f t="shared" si="531"/>
        <v>8.1578370000000007</v>
      </c>
      <c r="BJ296" s="22">
        <f t="shared" si="531"/>
        <v>9.4189805</v>
      </c>
      <c r="BK296" s="22">
        <f t="shared" si="531"/>
        <v>10.891731</v>
      </c>
      <c r="BL296" s="22">
        <f t="shared" si="531"/>
        <v>12.453321799999999</v>
      </c>
      <c r="BM296" s="22">
        <f t="shared" si="531"/>
        <v>15.4017021</v>
      </c>
      <c r="BN296" s="22">
        <f t="shared" si="531"/>
        <v>11.564496500000001</v>
      </c>
      <c r="BO296" s="22">
        <f t="shared" si="531"/>
        <v>8</v>
      </c>
      <c r="BP296" s="22">
        <f t="shared" si="531"/>
        <v>15</v>
      </c>
      <c r="BQ296" s="22">
        <f t="shared" si="531"/>
        <v>237</v>
      </c>
      <c r="BR296" s="101"/>
      <c r="BS296">
        <f t="shared" ref="BS296:CX296" si="532">IF($C296&lt;&gt;"",IF(D296&gt;0,1,0),0)</f>
        <v>0</v>
      </c>
      <c r="BT296">
        <f t="shared" si="532"/>
        <v>0</v>
      </c>
      <c r="BU296">
        <f t="shared" si="532"/>
        <v>0</v>
      </c>
      <c r="BV296">
        <f t="shared" si="532"/>
        <v>0</v>
      </c>
      <c r="BW296">
        <f t="shared" si="532"/>
        <v>0</v>
      </c>
      <c r="BX296">
        <f t="shared" si="532"/>
        <v>0</v>
      </c>
      <c r="BY296">
        <f t="shared" si="532"/>
        <v>0</v>
      </c>
      <c r="BZ296">
        <f t="shared" si="532"/>
        <v>0</v>
      </c>
      <c r="CA296">
        <f t="shared" si="532"/>
        <v>0</v>
      </c>
      <c r="CB296">
        <f t="shared" si="532"/>
        <v>0</v>
      </c>
      <c r="CC296">
        <f t="shared" si="532"/>
        <v>0</v>
      </c>
      <c r="CD296">
        <f t="shared" si="532"/>
        <v>0</v>
      </c>
      <c r="CE296">
        <f t="shared" si="532"/>
        <v>0</v>
      </c>
      <c r="CF296">
        <f t="shared" si="532"/>
        <v>0</v>
      </c>
      <c r="CG296">
        <f t="shared" si="532"/>
        <v>0</v>
      </c>
      <c r="CH296">
        <f t="shared" si="532"/>
        <v>0</v>
      </c>
      <c r="CI296">
        <f t="shared" si="532"/>
        <v>1</v>
      </c>
      <c r="CJ296">
        <f t="shared" si="532"/>
        <v>1</v>
      </c>
      <c r="CK296">
        <f t="shared" si="532"/>
        <v>1</v>
      </c>
      <c r="CL296">
        <f t="shared" si="532"/>
        <v>1</v>
      </c>
      <c r="CM296">
        <f t="shared" si="532"/>
        <v>1</v>
      </c>
      <c r="CN296">
        <f t="shared" si="532"/>
        <v>1</v>
      </c>
      <c r="CO296">
        <f t="shared" si="532"/>
        <v>1</v>
      </c>
      <c r="CP296">
        <f t="shared" si="532"/>
        <v>1</v>
      </c>
      <c r="CQ296">
        <f t="shared" si="532"/>
        <v>1</v>
      </c>
      <c r="CR296">
        <f t="shared" si="532"/>
        <v>1</v>
      </c>
      <c r="CS296">
        <f t="shared" si="532"/>
        <v>1</v>
      </c>
      <c r="CT296">
        <f t="shared" si="532"/>
        <v>1</v>
      </c>
      <c r="CU296">
        <f t="shared" si="532"/>
        <v>1</v>
      </c>
      <c r="CV296">
        <f t="shared" si="532"/>
        <v>1</v>
      </c>
      <c r="CW296">
        <f t="shared" si="532"/>
        <v>1</v>
      </c>
      <c r="CX296">
        <f t="shared" si="532"/>
        <v>1</v>
      </c>
      <c r="CY296">
        <f t="shared" ref="CY296:ED296" si="533">IF($C296&lt;&gt;"",IF(AJ296&gt;0,1,0),0)</f>
        <v>1</v>
      </c>
      <c r="CZ296">
        <f t="shared" si="533"/>
        <v>1</v>
      </c>
      <c r="DA296">
        <f t="shared" si="533"/>
        <v>1</v>
      </c>
      <c r="DB296">
        <f t="shared" si="533"/>
        <v>1</v>
      </c>
      <c r="DC296">
        <f t="shared" si="533"/>
        <v>1</v>
      </c>
      <c r="DD296">
        <f t="shared" si="533"/>
        <v>1</v>
      </c>
      <c r="DE296">
        <f t="shared" si="533"/>
        <v>1</v>
      </c>
      <c r="DF296">
        <f t="shared" si="533"/>
        <v>1</v>
      </c>
      <c r="DG296">
        <f t="shared" si="533"/>
        <v>1</v>
      </c>
      <c r="DH296">
        <f t="shared" si="533"/>
        <v>1</v>
      </c>
      <c r="DI296">
        <f t="shared" si="533"/>
        <v>1</v>
      </c>
      <c r="DJ296">
        <f t="shared" si="533"/>
        <v>1</v>
      </c>
      <c r="DK296">
        <f t="shared" si="533"/>
        <v>1</v>
      </c>
      <c r="DL296">
        <f t="shared" si="533"/>
        <v>1</v>
      </c>
      <c r="DM296">
        <f t="shared" si="533"/>
        <v>1</v>
      </c>
      <c r="DN296">
        <f t="shared" si="533"/>
        <v>1</v>
      </c>
      <c r="DO296">
        <f t="shared" si="533"/>
        <v>1</v>
      </c>
      <c r="DP296">
        <f t="shared" si="533"/>
        <v>1</v>
      </c>
      <c r="DQ296">
        <f t="shared" si="533"/>
        <v>1</v>
      </c>
      <c r="DR296">
        <f t="shared" si="533"/>
        <v>1</v>
      </c>
      <c r="DS296">
        <f t="shared" si="533"/>
        <v>1</v>
      </c>
      <c r="DT296">
        <f t="shared" si="533"/>
        <v>1</v>
      </c>
      <c r="DU296">
        <f t="shared" si="533"/>
        <v>1</v>
      </c>
      <c r="DV296">
        <f t="shared" si="533"/>
        <v>1</v>
      </c>
      <c r="DW296">
        <f t="shared" si="533"/>
        <v>1</v>
      </c>
      <c r="DX296">
        <f t="shared" si="533"/>
        <v>1</v>
      </c>
      <c r="DY296">
        <f t="shared" si="533"/>
        <v>1</v>
      </c>
      <c r="DZ296">
        <f t="shared" si="533"/>
        <v>1</v>
      </c>
      <c r="EA296">
        <f t="shared" si="533"/>
        <v>1</v>
      </c>
      <c r="EB296">
        <f t="shared" si="533"/>
        <v>1</v>
      </c>
      <c r="EC296">
        <f t="shared" si="533"/>
        <v>1</v>
      </c>
      <c r="ED296">
        <f t="shared" si="533"/>
        <v>1</v>
      </c>
      <c r="EE296">
        <f t="shared" ref="EE296:EF296" si="534">IF($C296&lt;&gt;"",IF(BP296&gt;0,1,0),0)</f>
        <v>1</v>
      </c>
      <c r="EF296">
        <f t="shared" si="534"/>
        <v>1</v>
      </c>
    </row>
    <row r="297" spans="1:136" ht="15.5">
      <c r="A297" s="90"/>
      <c r="B297" s="24" t="s">
        <v>15</v>
      </c>
      <c r="C297" s="94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18">
        <v>0</v>
      </c>
      <c r="T297" s="18">
        <v>0</v>
      </c>
      <c r="U297" s="18">
        <v>0</v>
      </c>
      <c r="V297" s="18">
        <v>0</v>
      </c>
      <c r="W297" s="18">
        <v>0</v>
      </c>
      <c r="X297" s="18">
        <v>0</v>
      </c>
      <c r="Y297" s="18">
        <v>0</v>
      </c>
      <c r="Z297" s="18">
        <v>0</v>
      </c>
      <c r="AA297" s="18">
        <v>0</v>
      </c>
      <c r="AB297" s="18">
        <v>1</v>
      </c>
      <c r="AC297" s="18">
        <v>0</v>
      </c>
      <c r="AD297" s="18">
        <v>0</v>
      </c>
      <c r="AE297" s="18">
        <v>0</v>
      </c>
      <c r="AF297" s="18">
        <v>0</v>
      </c>
      <c r="AG297" s="18">
        <v>0</v>
      </c>
      <c r="AH297" s="18">
        <v>0</v>
      </c>
      <c r="AI297" s="18">
        <v>0</v>
      </c>
      <c r="AJ297" s="18">
        <v>0</v>
      </c>
      <c r="AK297" s="18">
        <v>0</v>
      </c>
      <c r="AL297" s="18">
        <v>0</v>
      </c>
      <c r="AM297" s="18">
        <v>0</v>
      </c>
      <c r="AN297" s="18">
        <v>0</v>
      </c>
      <c r="AO297" s="18">
        <v>0</v>
      </c>
      <c r="AP297" s="18">
        <v>0</v>
      </c>
      <c r="AQ297" s="18">
        <v>0</v>
      </c>
      <c r="AR297" s="18">
        <v>0</v>
      </c>
      <c r="AS297" s="18">
        <v>0</v>
      </c>
      <c r="AT297" s="18">
        <v>0</v>
      </c>
      <c r="AU297" s="18">
        <v>0</v>
      </c>
      <c r="AV297" s="18">
        <v>0</v>
      </c>
      <c r="AW297" s="18">
        <v>0</v>
      </c>
      <c r="AX297" s="18">
        <v>0</v>
      </c>
      <c r="AY297" s="18">
        <v>0</v>
      </c>
      <c r="AZ297" s="18">
        <v>0</v>
      </c>
      <c r="BA297" s="18">
        <v>0</v>
      </c>
      <c r="BB297" s="18">
        <v>0</v>
      </c>
      <c r="BC297" s="18">
        <v>0</v>
      </c>
      <c r="BD297" s="18">
        <v>0</v>
      </c>
      <c r="BE297" s="18">
        <v>0</v>
      </c>
      <c r="BF297" s="18">
        <v>0</v>
      </c>
      <c r="BG297" s="18">
        <v>0</v>
      </c>
      <c r="BH297" s="18">
        <v>0</v>
      </c>
      <c r="BI297" s="113">
        <v>0</v>
      </c>
      <c r="BJ297" s="113">
        <v>0</v>
      </c>
      <c r="BK297" s="113">
        <v>0</v>
      </c>
      <c r="BL297" s="113">
        <v>0</v>
      </c>
      <c r="BM297" s="113">
        <v>0</v>
      </c>
      <c r="BN297" s="113">
        <v>0</v>
      </c>
      <c r="BO297" s="113">
        <v>0</v>
      </c>
      <c r="BP297" s="113">
        <v>0</v>
      </c>
      <c r="BQ297" s="113">
        <v>0</v>
      </c>
      <c r="BR297" s="101"/>
      <c r="BS297">
        <f t="shared" ref="BS297:CB303" si="535">IF($C297&lt;&gt;"",IF(D297&gt;0,1,0),0)</f>
        <v>0</v>
      </c>
      <c r="BT297">
        <f t="shared" si="535"/>
        <v>0</v>
      </c>
      <c r="BU297">
        <f t="shared" si="535"/>
        <v>0</v>
      </c>
      <c r="BV297">
        <f t="shared" si="535"/>
        <v>0</v>
      </c>
      <c r="BW297">
        <f t="shared" si="535"/>
        <v>0</v>
      </c>
      <c r="BX297">
        <f t="shared" si="535"/>
        <v>0</v>
      </c>
      <c r="BY297">
        <f t="shared" si="535"/>
        <v>0</v>
      </c>
      <c r="BZ297">
        <f t="shared" si="535"/>
        <v>0</v>
      </c>
      <c r="CA297">
        <f t="shared" si="535"/>
        <v>0</v>
      </c>
      <c r="CB297">
        <f t="shared" si="535"/>
        <v>0</v>
      </c>
      <c r="CC297">
        <f t="shared" ref="CC297:CL303" si="536">IF($C297&lt;&gt;"",IF(N297&gt;0,1,0),0)</f>
        <v>0</v>
      </c>
      <c r="CD297">
        <f t="shared" si="536"/>
        <v>0</v>
      </c>
      <c r="CE297">
        <f t="shared" si="536"/>
        <v>0</v>
      </c>
      <c r="CF297">
        <f t="shared" si="536"/>
        <v>0</v>
      </c>
      <c r="CG297">
        <f t="shared" si="536"/>
        <v>0</v>
      </c>
      <c r="CH297">
        <f t="shared" si="536"/>
        <v>0</v>
      </c>
      <c r="CI297">
        <f t="shared" si="536"/>
        <v>0</v>
      </c>
      <c r="CJ297">
        <f t="shared" si="536"/>
        <v>0</v>
      </c>
      <c r="CK297">
        <f t="shared" si="536"/>
        <v>0</v>
      </c>
      <c r="CL297">
        <f t="shared" si="536"/>
        <v>0</v>
      </c>
      <c r="CM297">
        <f t="shared" ref="CM297:CV303" si="537">IF($C297&lt;&gt;"",IF(X297&gt;0,1,0),0)</f>
        <v>0</v>
      </c>
      <c r="CN297">
        <f t="shared" si="537"/>
        <v>0</v>
      </c>
      <c r="CO297">
        <f t="shared" si="537"/>
        <v>0</v>
      </c>
      <c r="CP297">
        <f t="shared" si="537"/>
        <v>0</v>
      </c>
      <c r="CQ297">
        <f t="shared" si="537"/>
        <v>0</v>
      </c>
      <c r="CR297">
        <f t="shared" si="537"/>
        <v>0</v>
      </c>
      <c r="CS297">
        <f t="shared" si="537"/>
        <v>0</v>
      </c>
      <c r="CT297">
        <f t="shared" si="537"/>
        <v>0</v>
      </c>
      <c r="CU297">
        <f t="shared" si="537"/>
        <v>0</v>
      </c>
      <c r="CV297">
        <f t="shared" si="537"/>
        <v>0</v>
      </c>
      <c r="CW297">
        <f t="shared" ref="CW297:DF303" si="538">IF($C297&lt;&gt;"",IF(AH297&gt;0,1,0),0)</f>
        <v>0</v>
      </c>
      <c r="CX297">
        <f t="shared" si="538"/>
        <v>0</v>
      </c>
      <c r="CY297">
        <f t="shared" si="538"/>
        <v>0</v>
      </c>
      <c r="CZ297">
        <f t="shared" si="538"/>
        <v>0</v>
      </c>
      <c r="DA297">
        <f t="shared" si="538"/>
        <v>0</v>
      </c>
      <c r="DB297">
        <f t="shared" si="538"/>
        <v>0</v>
      </c>
      <c r="DC297">
        <f t="shared" si="538"/>
        <v>0</v>
      </c>
      <c r="DD297">
        <f t="shared" si="538"/>
        <v>0</v>
      </c>
      <c r="DE297">
        <f t="shared" si="538"/>
        <v>0</v>
      </c>
      <c r="DF297">
        <f t="shared" si="538"/>
        <v>0</v>
      </c>
      <c r="DG297">
        <f t="shared" ref="DG297:DP303" si="539">IF($C297&lt;&gt;"",IF(AR297&gt;0,1,0),0)</f>
        <v>0</v>
      </c>
      <c r="DH297">
        <f t="shared" si="539"/>
        <v>0</v>
      </c>
      <c r="DI297">
        <f t="shared" si="539"/>
        <v>0</v>
      </c>
      <c r="DJ297">
        <f t="shared" si="539"/>
        <v>0</v>
      </c>
      <c r="DK297">
        <f t="shared" si="539"/>
        <v>0</v>
      </c>
      <c r="DL297">
        <f t="shared" si="539"/>
        <v>0</v>
      </c>
      <c r="DM297">
        <f t="shared" si="539"/>
        <v>0</v>
      </c>
      <c r="DN297">
        <f t="shared" si="539"/>
        <v>0</v>
      </c>
      <c r="DO297">
        <f t="shared" si="539"/>
        <v>0</v>
      </c>
      <c r="DP297">
        <f t="shared" si="539"/>
        <v>0</v>
      </c>
      <c r="DQ297">
        <f t="shared" ref="DQ297:DZ303" si="540">IF($C297&lt;&gt;"",IF(BB297&gt;0,1,0),0)</f>
        <v>0</v>
      </c>
      <c r="DR297">
        <f t="shared" si="540"/>
        <v>0</v>
      </c>
      <c r="DS297">
        <f t="shared" si="540"/>
        <v>0</v>
      </c>
      <c r="DT297">
        <f t="shared" si="540"/>
        <v>0</v>
      </c>
      <c r="DU297">
        <f t="shared" si="540"/>
        <v>0</v>
      </c>
      <c r="DV297">
        <f t="shared" si="540"/>
        <v>0</v>
      </c>
      <c r="DW297">
        <f t="shared" si="540"/>
        <v>0</v>
      </c>
      <c r="DX297">
        <f t="shared" si="540"/>
        <v>0</v>
      </c>
      <c r="DY297">
        <f t="shared" si="540"/>
        <v>0</v>
      </c>
      <c r="DZ297">
        <f t="shared" si="540"/>
        <v>0</v>
      </c>
      <c r="EA297">
        <f t="shared" ref="EA297:EF302" si="541">IF($C297&lt;&gt;"",IF(BL296&gt;0,1,0),0)</f>
        <v>0</v>
      </c>
      <c r="EB297">
        <f t="shared" si="541"/>
        <v>0</v>
      </c>
      <c r="EC297">
        <f t="shared" si="541"/>
        <v>0</v>
      </c>
      <c r="ED297">
        <f t="shared" si="541"/>
        <v>0</v>
      </c>
      <c r="EE297">
        <f t="shared" si="541"/>
        <v>0</v>
      </c>
      <c r="EF297">
        <f t="shared" si="541"/>
        <v>0</v>
      </c>
    </row>
    <row r="298" spans="1:136" ht="15.5">
      <c r="A298" s="90"/>
      <c r="B298" s="19" t="s">
        <v>202</v>
      </c>
      <c r="C298" s="94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>
        <v>0</v>
      </c>
      <c r="T298" s="18">
        <v>0</v>
      </c>
      <c r="U298" s="18">
        <v>0</v>
      </c>
      <c r="V298" s="18">
        <v>0</v>
      </c>
      <c r="W298" s="18">
        <v>0</v>
      </c>
      <c r="X298" s="18">
        <v>0</v>
      </c>
      <c r="Y298" s="18">
        <v>0</v>
      </c>
      <c r="Z298" s="18">
        <v>0</v>
      </c>
      <c r="AA298" s="18">
        <v>0</v>
      </c>
      <c r="AB298" s="18">
        <v>0</v>
      </c>
      <c r="AC298" s="18">
        <v>0</v>
      </c>
      <c r="AD298" s="18">
        <v>0</v>
      </c>
      <c r="AE298" s="18">
        <v>0</v>
      </c>
      <c r="AF298" s="18">
        <v>0</v>
      </c>
      <c r="AG298" s="18">
        <v>0</v>
      </c>
      <c r="AH298" s="18">
        <v>0</v>
      </c>
      <c r="AI298" s="18">
        <v>0</v>
      </c>
      <c r="AJ298" s="18">
        <v>0</v>
      </c>
      <c r="AK298" s="18">
        <v>0</v>
      </c>
      <c r="AL298" s="18">
        <v>0</v>
      </c>
      <c r="AM298" s="40">
        <v>0</v>
      </c>
      <c r="AN298" s="40">
        <v>0</v>
      </c>
      <c r="AO298" s="40">
        <v>0</v>
      </c>
      <c r="AP298" s="40">
        <v>0</v>
      </c>
      <c r="AQ298" s="18">
        <v>1</v>
      </c>
      <c r="AR298" s="18">
        <v>0</v>
      </c>
      <c r="AS298" s="18">
        <v>0</v>
      </c>
      <c r="AT298" s="18">
        <v>0</v>
      </c>
      <c r="AU298" s="18">
        <v>0</v>
      </c>
      <c r="AV298" s="18">
        <v>0</v>
      </c>
      <c r="AW298" s="18">
        <v>0</v>
      </c>
      <c r="AX298" s="18">
        <v>0</v>
      </c>
      <c r="AY298" s="18">
        <v>0</v>
      </c>
      <c r="AZ298" s="18">
        <v>0</v>
      </c>
      <c r="BA298" s="18">
        <v>0</v>
      </c>
      <c r="BB298" s="18">
        <v>0</v>
      </c>
      <c r="BC298" s="18">
        <v>0</v>
      </c>
      <c r="BD298" s="18">
        <v>0</v>
      </c>
      <c r="BE298" s="25">
        <v>0</v>
      </c>
      <c r="BF298" s="18">
        <v>0</v>
      </c>
      <c r="BG298" s="18">
        <v>0</v>
      </c>
      <c r="BH298" s="18">
        <v>0</v>
      </c>
      <c r="BI298" s="113">
        <v>0</v>
      </c>
      <c r="BJ298" s="113">
        <v>0</v>
      </c>
      <c r="BK298" s="113">
        <v>0</v>
      </c>
      <c r="BL298" s="113">
        <v>0</v>
      </c>
      <c r="BM298" s="113">
        <v>0</v>
      </c>
      <c r="BN298" s="113">
        <v>0</v>
      </c>
      <c r="BO298" s="113">
        <v>0</v>
      </c>
      <c r="BP298" s="113">
        <v>0</v>
      </c>
      <c r="BQ298" s="113">
        <v>0</v>
      </c>
      <c r="BR298" s="101"/>
      <c r="BS298">
        <f t="shared" si="535"/>
        <v>0</v>
      </c>
      <c r="BT298">
        <f t="shared" si="535"/>
        <v>0</v>
      </c>
      <c r="BU298">
        <f t="shared" si="535"/>
        <v>0</v>
      </c>
      <c r="BV298">
        <f t="shared" si="535"/>
        <v>0</v>
      </c>
      <c r="BW298">
        <f t="shared" si="535"/>
        <v>0</v>
      </c>
      <c r="BX298">
        <f t="shared" si="535"/>
        <v>0</v>
      </c>
      <c r="BY298">
        <f t="shared" si="535"/>
        <v>0</v>
      </c>
      <c r="BZ298">
        <f t="shared" si="535"/>
        <v>0</v>
      </c>
      <c r="CA298">
        <f t="shared" si="535"/>
        <v>0</v>
      </c>
      <c r="CB298">
        <f t="shared" si="535"/>
        <v>0</v>
      </c>
      <c r="CC298">
        <f t="shared" si="536"/>
        <v>0</v>
      </c>
      <c r="CD298">
        <f t="shared" si="536"/>
        <v>0</v>
      </c>
      <c r="CE298">
        <f t="shared" si="536"/>
        <v>0</v>
      </c>
      <c r="CF298">
        <f t="shared" si="536"/>
        <v>0</v>
      </c>
      <c r="CG298">
        <f t="shared" si="536"/>
        <v>0</v>
      </c>
      <c r="CH298">
        <f t="shared" si="536"/>
        <v>0</v>
      </c>
      <c r="CI298">
        <f t="shared" si="536"/>
        <v>0</v>
      </c>
      <c r="CJ298">
        <f t="shared" si="536"/>
        <v>0</v>
      </c>
      <c r="CK298">
        <f t="shared" si="536"/>
        <v>0</v>
      </c>
      <c r="CL298">
        <f t="shared" si="536"/>
        <v>0</v>
      </c>
      <c r="CM298">
        <f t="shared" si="537"/>
        <v>0</v>
      </c>
      <c r="CN298">
        <f t="shared" si="537"/>
        <v>0</v>
      </c>
      <c r="CO298">
        <f t="shared" si="537"/>
        <v>0</v>
      </c>
      <c r="CP298">
        <f t="shared" si="537"/>
        <v>0</v>
      </c>
      <c r="CQ298">
        <f t="shared" si="537"/>
        <v>0</v>
      </c>
      <c r="CR298">
        <f t="shared" si="537"/>
        <v>0</v>
      </c>
      <c r="CS298">
        <f t="shared" si="537"/>
        <v>0</v>
      </c>
      <c r="CT298">
        <f t="shared" si="537"/>
        <v>0</v>
      </c>
      <c r="CU298">
        <f t="shared" si="537"/>
        <v>0</v>
      </c>
      <c r="CV298">
        <f t="shared" si="537"/>
        <v>0</v>
      </c>
      <c r="CW298">
        <f t="shared" si="538"/>
        <v>0</v>
      </c>
      <c r="CX298">
        <f t="shared" si="538"/>
        <v>0</v>
      </c>
      <c r="CY298">
        <f t="shared" si="538"/>
        <v>0</v>
      </c>
      <c r="CZ298">
        <f t="shared" si="538"/>
        <v>0</v>
      </c>
      <c r="DA298">
        <f t="shared" si="538"/>
        <v>0</v>
      </c>
      <c r="DB298">
        <f t="shared" si="538"/>
        <v>0</v>
      </c>
      <c r="DC298">
        <f t="shared" si="538"/>
        <v>0</v>
      </c>
      <c r="DD298">
        <f t="shared" si="538"/>
        <v>0</v>
      </c>
      <c r="DE298">
        <f t="shared" si="538"/>
        <v>0</v>
      </c>
      <c r="DF298">
        <f t="shared" si="538"/>
        <v>0</v>
      </c>
      <c r="DG298">
        <f t="shared" si="539"/>
        <v>0</v>
      </c>
      <c r="DH298">
        <f t="shared" si="539"/>
        <v>0</v>
      </c>
      <c r="DI298">
        <f t="shared" si="539"/>
        <v>0</v>
      </c>
      <c r="DJ298">
        <f t="shared" si="539"/>
        <v>0</v>
      </c>
      <c r="DK298">
        <f t="shared" si="539"/>
        <v>0</v>
      </c>
      <c r="DL298">
        <f t="shared" si="539"/>
        <v>0</v>
      </c>
      <c r="DM298">
        <f t="shared" si="539"/>
        <v>0</v>
      </c>
      <c r="DN298">
        <f t="shared" si="539"/>
        <v>0</v>
      </c>
      <c r="DO298">
        <f t="shared" si="539"/>
        <v>0</v>
      </c>
      <c r="DP298">
        <f t="shared" si="539"/>
        <v>0</v>
      </c>
      <c r="DQ298">
        <f t="shared" si="540"/>
        <v>0</v>
      </c>
      <c r="DR298">
        <f t="shared" si="540"/>
        <v>0</v>
      </c>
      <c r="DS298">
        <f t="shared" si="540"/>
        <v>0</v>
      </c>
      <c r="DT298">
        <f t="shared" si="540"/>
        <v>0</v>
      </c>
      <c r="DU298">
        <f t="shared" si="540"/>
        <v>0</v>
      </c>
      <c r="DV298">
        <f t="shared" si="540"/>
        <v>0</v>
      </c>
      <c r="DW298">
        <f t="shared" si="540"/>
        <v>0</v>
      </c>
      <c r="DX298">
        <f t="shared" si="540"/>
        <v>0</v>
      </c>
      <c r="DY298">
        <f t="shared" si="540"/>
        <v>0</v>
      </c>
      <c r="DZ298">
        <f t="shared" si="540"/>
        <v>0</v>
      </c>
      <c r="EA298">
        <f t="shared" si="541"/>
        <v>0</v>
      </c>
      <c r="EB298">
        <f t="shared" si="541"/>
        <v>0</v>
      </c>
      <c r="EC298">
        <f t="shared" si="541"/>
        <v>0</v>
      </c>
      <c r="ED298">
        <f t="shared" si="541"/>
        <v>0</v>
      </c>
      <c r="EE298">
        <f t="shared" si="541"/>
        <v>0</v>
      </c>
      <c r="EF298">
        <f t="shared" si="541"/>
        <v>0</v>
      </c>
    </row>
    <row r="299" spans="1:136" ht="15.5">
      <c r="A299" s="90"/>
      <c r="B299" s="19" t="s">
        <v>2</v>
      </c>
      <c r="C299" s="94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>
        <v>0</v>
      </c>
      <c r="T299" s="18">
        <v>0</v>
      </c>
      <c r="U299" s="18">
        <v>0</v>
      </c>
      <c r="V299" s="18">
        <v>0</v>
      </c>
      <c r="W299" s="18">
        <v>0</v>
      </c>
      <c r="X299" s="18">
        <v>0</v>
      </c>
      <c r="Y299" s="18">
        <v>0</v>
      </c>
      <c r="Z299" s="18">
        <v>0</v>
      </c>
      <c r="AA299" s="18">
        <v>0</v>
      </c>
      <c r="AB299" s="40" t="s">
        <v>16</v>
      </c>
      <c r="AC299" s="40" t="s">
        <v>16</v>
      </c>
      <c r="AD299" s="40" t="s">
        <v>16</v>
      </c>
      <c r="AE299" s="40" t="s">
        <v>16</v>
      </c>
      <c r="AF299" s="40" t="s">
        <v>16</v>
      </c>
      <c r="AG299" s="40" t="s">
        <v>16</v>
      </c>
      <c r="AH299" s="40" t="s">
        <v>16</v>
      </c>
      <c r="AI299" s="40" t="s">
        <v>16</v>
      </c>
      <c r="AJ299" s="18">
        <v>4</v>
      </c>
      <c r="AK299" s="18">
        <v>1</v>
      </c>
      <c r="AL299" s="18">
        <v>1</v>
      </c>
      <c r="AM299" s="18">
        <v>0</v>
      </c>
      <c r="AN299" s="18">
        <v>0</v>
      </c>
      <c r="AO299" s="18">
        <v>0</v>
      </c>
      <c r="AP299" s="18">
        <v>0</v>
      </c>
      <c r="AQ299" s="18">
        <v>0</v>
      </c>
      <c r="AR299" s="18">
        <v>0</v>
      </c>
      <c r="AS299" s="18">
        <v>1</v>
      </c>
      <c r="AT299" s="18">
        <v>0</v>
      </c>
      <c r="AU299" s="18">
        <v>0</v>
      </c>
      <c r="AV299" s="18">
        <v>0</v>
      </c>
      <c r="AW299" s="18">
        <v>0</v>
      </c>
      <c r="AX299" s="18">
        <v>0</v>
      </c>
      <c r="AY299" s="40" t="s">
        <v>16</v>
      </c>
      <c r="AZ299" s="40" t="s">
        <v>16</v>
      </c>
      <c r="BA299" s="18">
        <v>13</v>
      </c>
      <c r="BB299" s="18">
        <v>13</v>
      </c>
      <c r="BC299" s="18">
        <v>0</v>
      </c>
      <c r="BD299" s="18">
        <v>0</v>
      </c>
      <c r="BE299" s="25">
        <v>12</v>
      </c>
      <c r="BF299" s="18">
        <v>0</v>
      </c>
      <c r="BG299" s="18">
        <v>0</v>
      </c>
      <c r="BH299" s="18">
        <v>0</v>
      </c>
      <c r="BI299" s="113">
        <v>0</v>
      </c>
      <c r="BJ299" s="113">
        <v>0</v>
      </c>
      <c r="BK299" s="113">
        <v>0</v>
      </c>
      <c r="BL299" s="113">
        <v>2</v>
      </c>
      <c r="BM299" s="113">
        <v>0.2</v>
      </c>
      <c r="BN299" s="113">
        <v>0</v>
      </c>
      <c r="BO299" s="113">
        <v>0</v>
      </c>
      <c r="BP299" s="113">
        <v>0</v>
      </c>
      <c r="BQ299" s="113">
        <v>0</v>
      </c>
      <c r="BR299" s="101"/>
      <c r="BS299">
        <f t="shared" si="535"/>
        <v>0</v>
      </c>
      <c r="BT299">
        <f t="shared" si="535"/>
        <v>0</v>
      </c>
      <c r="BU299">
        <f t="shared" si="535"/>
        <v>0</v>
      </c>
      <c r="BV299">
        <f t="shared" si="535"/>
        <v>0</v>
      </c>
      <c r="BW299">
        <f t="shared" si="535"/>
        <v>0</v>
      </c>
      <c r="BX299">
        <f t="shared" si="535"/>
        <v>0</v>
      </c>
      <c r="BY299">
        <f t="shared" si="535"/>
        <v>0</v>
      </c>
      <c r="BZ299">
        <f t="shared" si="535"/>
        <v>0</v>
      </c>
      <c r="CA299">
        <f t="shared" si="535"/>
        <v>0</v>
      </c>
      <c r="CB299">
        <f t="shared" si="535"/>
        <v>0</v>
      </c>
      <c r="CC299">
        <f t="shared" si="536"/>
        <v>0</v>
      </c>
      <c r="CD299">
        <f t="shared" si="536"/>
        <v>0</v>
      </c>
      <c r="CE299">
        <f t="shared" si="536"/>
        <v>0</v>
      </c>
      <c r="CF299">
        <f t="shared" si="536"/>
        <v>0</v>
      </c>
      <c r="CG299">
        <f t="shared" si="536"/>
        <v>0</v>
      </c>
      <c r="CH299">
        <f t="shared" si="536"/>
        <v>0</v>
      </c>
      <c r="CI299">
        <f t="shared" si="536"/>
        <v>0</v>
      </c>
      <c r="CJ299">
        <f t="shared" si="536"/>
        <v>0</v>
      </c>
      <c r="CK299">
        <f t="shared" si="536"/>
        <v>0</v>
      </c>
      <c r="CL299">
        <f t="shared" si="536"/>
        <v>0</v>
      </c>
      <c r="CM299">
        <f t="shared" si="537"/>
        <v>0</v>
      </c>
      <c r="CN299">
        <f t="shared" si="537"/>
        <v>0</v>
      </c>
      <c r="CO299">
        <f t="shared" si="537"/>
        <v>0</v>
      </c>
      <c r="CP299">
        <f t="shared" si="537"/>
        <v>0</v>
      </c>
      <c r="CQ299">
        <f t="shared" si="537"/>
        <v>0</v>
      </c>
      <c r="CR299">
        <f t="shared" si="537"/>
        <v>0</v>
      </c>
      <c r="CS299">
        <f t="shared" si="537"/>
        <v>0</v>
      </c>
      <c r="CT299">
        <f t="shared" si="537"/>
        <v>0</v>
      </c>
      <c r="CU299">
        <f t="shared" si="537"/>
        <v>0</v>
      </c>
      <c r="CV299">
        <f t="shared" si="537"/>
        <v>0</v>
      </c>
      <c r="CW299">
        <f t="shared" si="538"/>
        <v>0</v>
      </c>
      <c r="CX299">
        <f t="shared" si="538"/>
        <v>0</v>
      </c>
      <c r="CY299">
        <f t="shared" si="538"/>
        <v>0</v>
      </c>
      <c r="CZ299">
        <f t="shared" si="538"/>
        <v>0</v>
      </c>
      <c r="DA299">
        <f t="shared" si="538"/>
        <v>0</v>
      </c>
      <c r="DB299">
        <f t="shared" si="538"/>
        <v>0</v>
      </c>
      <c r="DC299">
        <f t="shared" si="538"/>
        <v>0</v>
      </c>
      <c r="DD299">
        <f t="shared" si="538"/>
        <v>0</v>
      </c>
      <c r="DE299">
        <f t="shared" si="538"/>
        <v>0</v>
      </c>
      <c r="DF299">
        <f t="shared" si="538"/>
        <v>0</v>
      </c>
      <c r="DG299">
        <f t="shared" si="539"/>
        <v>0</v>
      </c>
      <c r="DH299">
        <f t="shared" si="539"/>
        <v>0</v>
      </c>
      <c r="DI299">
        <f t="shared" si="539"/>
        <v>0</v>
      </c>
      <c r="DJ299">
        <f t="shared" si="539"/>
        <v>0</v>
      </c>
      <c r="DK299">
        <f t="shared" si="539"/>
        <v>0</v>
      </c>
      <c r="DL299">
        <f t="shared" si="539"/>
        <v>0</v>
      </c>
      <c r="DM299">
        <f t="shared" si="539"/>
        <v>0</v>
      </c>
      <c r="DN299">
        <f t="shared" si="539"/>
        <v>0</v>
      </c>
      <c r="DO299">
        <f t="shared" si="539"/>
        <v>0</v>
      </c>
      <c r="DP299">
        <f t="shared" si="539"/>
        <v>0</v>
      </c>
      <c r="DQ299">
        <f t="shared" si="540"/>
        <v>0</v>
      </c>
      <c r="DR299">
        <f t="shared" si="540"/>
        <v>0</v>
      </c>
      <c r="DS299">
        <f t="shared" si="540"/>
        <v>0</v>
      </c>
      <c r="DT299">
        <f t="shared" si="540"/>
        <v>0</v>
      </c>
      <c r="DU299">
        <f t="shared" si="540"/>
        <v>0</v>
      </c>
      <c r="DV299">
        <f t="shared" si="540"/>
        <v>0</v>
      </c>
      <c r="DW299">
        <f t="shared" si="540"/>
        <v>0</v>
      </c>
      <c r="DX299">
        <f t="shared" si="540"/>
        <v>0</v>
      </c>
      <c r="DY299">
        <f t="shared" si="540"/>
        <v>0</v>
      </c>
      <c r="DZ299">
        <f t="shared" si="540"/>
        <v>0</v>
      </c>
      <c r="EA299">
        <f t="shared" si="541"/>
        <v>0</v>
      </c>
      <c r="EB299">
        <f t="shared" si="541"/>
        <v>0</v>
      </c>
      <c r="EC299">
        <f t="shared" si="541"/>
        <v>0</v>
      </c>
      <c r="ED299">
        <f t="shared" si="541"/>
        <v>0</v>
      </c>
      <c r="EE299">
        <f t="shared" si="541"/>
        <v>0</v>
      </c>
      <c r="EF299">
        <f t="shared" si="541"/>
        <v>0</v>
      </c>
    </row>
    <row r="300" spans="1:136" ht="15.5">
      <c r="A300" s="90"/>
      <c r="B300" s="19" t="s">
        <v>205</v>
      </c>
      <c r="C300" s="94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>
        <v>0</v>
      </c>
      <c r="T300" s="18">
        <v>0</v>
      </c>
      <c r="U300" s="18">
        <v>0</v>
      </c>
      <c r="V300" s="18">
        <v>0</v>
      </c>
      <c r="W300" s="18">
        <v>0</v>
      </c>
      <c r="X300" s="18">
        <v>0</v>
      </c>
      <c r="Y300" s="18">
        <v>0</v>
      </c>
      <c r="Z300" s="18">
        <v>0</v>
      </c>
      <c r="AA300" s="18">
        <v>0</v>
      </c>
      <c r="AB300" s="18">
        <v>0</v>
      </c>
      <c r="AC300" s="18">
        <v>0</v>
      </c>
      <c r="AD300" s="18">
        <v>0.53734000000000004</v>
      </c>
      <c r="AE300" s="18">
        <v>1.0746599999999999</v>
      </c>
      <c r="AF300" s="18">
        <v>1.61199</v>
      </c>
      <c r="AG300" s="18">
        <v>1.6941600000000001</v>
      </c>
      <c r="AH300" s="18">
        <v>1.9149379</v>
      </c>
      <c r="AI300" s="18">
        <v>2.2082364000000001</v>
      </c>
      <c r="AJ300" s="18">
        <v>2.4340204000000001</v>
      </c>
      <c r="AK300" s="18">
        <v>2.7586207000000003</v>
      </c>
      <c r="AL300" s="18">
        <v>0.94717119999999999</v>
      </c>
      <c r="AM300" s="18">
        <v>1.202299</v>
      </c>
      <c r="AN300" s="18">
        <v>1.2050810000000001</v>
      </c>
      <c r="AO300" s="18">
        <v>1.207759</v>
      </c>
      <c r="AP300" s="18">
        <v>1.207919</v>
      </c>
      <c r="AQ300" s="18">
        <v>1.207802</v>
      </c>
      <c r="AR300" s="18">
        <v>1.2081090000000001</v>
      </c>
      <c r="AS300" s="18">
        <v>5</v>
      </c>
      <c r="AT300" s="18">
        <v>1.2081233999999998</v>
      </c>
      <c r="AU300" s="18">
        <v>1.2082109999999999</v>
      </c>
      <c r="AV300" s="18">
        <v>1.2082401999999999</v>
      </c>
      <c r="AW300" s="18">
        <v>3</v>
      </c>
      <c r="AX300" s="18">
        <v>1.2806229</v>
      </c>
      <c r="AY300" s="18">
        <v>1.3690004</v>
      </c>
      <c r="AZ300" s="18">
        <v>0</v>
      </c>
      <c r="BA300" s="18">
        <v>0</v>
      </c>
      <c r="BB300" s="18">
        <v>0</v>
      </c>
      <c r="BC300" s="18">
        <v>0</v>
      </c>
      <c r="BD300" s="18">
        <v>0</v>
      </c>
      <c r="BE300" s="25">
        <v>0</v>
      </c>
      <c r="BF300" s="18">
        <v>0</v>
      </c>
      <c r="BG300" s="18">
        <v>0</v>
      </c>
      <c r="BH300" s="18">
        <v>0</v>
      </c>
      <c r="BI300" s="113">
        <v>0</v>
      </c>
      <c r="BJ300" s="113">
        <v>0</v>
      </c>
      <c r="BK300" s="113">
        <v>0</v>
      </c>
      <c r="BL300" s="113">
        <v>0</v>
      </c>
      <c r="BM300" s="113">
        <v>0</v>
      </c>
      <c r="BN300" s="113">
        <v>0</v>
      </c>
      <c r="BO300" s="113">
        <v>0</v>
      </c>
      <c r="BP300" s="113">
        <v>0</v>
      </c>
      <c r="BQ300" s="113">
        <v>0</v>
      </c>
      <c r="BR300" s="101"/>
      <c r="BS300">
        <f t="shared" si="535"/>
        <v>0</v>
      </c>
      <c r="BT300">
        <f t="shared" si="535"/>
        <v>0</v>
      </c>
      <c r="BU300">
        <f t="shared" si="535"/>
        <v>0</v>
      </c>
      <c r="BV300">
        <f t="shared" si="535"/>
        <v>0</v>
      </c>
      <c r="BW300">
        <f t="shared" si="535"/>
        <v>0</v>
      </c>
      <c r="BX300">
        <f t="shared" si="535"/>
        <v>0</v>
      </c>
      <c r="BY300">
        <f t="shared" si="535"/>
        <v>0</v>
      </c>
      <c r="BZ300">
        <f t="shared" si="535"/>
        <v>0</v>
      </c>
      <c r="CA300">
        <f t="shared" si="535"/>
        <v>0</v>
      </c>
      <c r="CB300">
        <f t="shared" si="535"/>
        <v>0</v>
      </c>
      <c r="CC300">
        <f t="shared" si="536"/>
        <v>0</v>
      </c>
      <c r="CD300">
        <f t="shared" si="536"/>
        <v>0</v>
      </c>
      <c r="CE300">
        <f t="shared" si="536"/>
        <v>0</v>
      </c>
      <c r="CF300">
        <f t="shared" si="536"/>
        <v>0</v>
      </c>
      <c r="CG300">
        <f t="shared" si="536"/>
        <v>0</v>
      </c>
      <c r="CH300">
        <f t="shared" si="536"/>
        <v>0</v>
      </c>
      <c r="CI300">
        <f t="shared" si="536"/>
        <v>0</v>
      </c>
      <c r="CJ300">
        <f t="shared" si="536"/>
        <v>0</v>
      </c>
      <c r="CK300">
        <f t="shared" si="536"/>
        <v>0</v>
      </c>
      <c r="CL300">
        <f t="shared" si="536"/>
        <v>0</v>
      </c>
      <c r="CM300">
        <f t="shared" si="537"/>
        <v>0</v>
      </c>
      <c r="CN300">
        <f t="shared" si="537"/>
        <v>0</v>
      </c>
      <c r="CO300">
        <f t="shared" si="537"/>
        <v>0</v>
      </c>
      <c r="CP300">
        <f t="shared" si="537"/>
        <v>0</v>
      </c>
      <c r="CQ300">
        <f t="shared" si="537"/>
        <v>0</v>
      </c>
      <c r="CR300">
        <f t="shared" si="537"/>
        <v>0</v>
      </c>
      <c r="CS300">
        <f t="shared" si="537"/>
        <v>0</v>
      </c>
      <c r="CT300">
        <f t="shared" si="537"/>
        <v>0</v>
      </c>
      <c r="CU300">
        <f t="shared" si="537"/>
        <v>0</v>
      </c>
      <c r="CV300">
        <f t="shared" si="537"/>
        <v>0</v>
      </c>
      <c r="CW300">
        <f t="shared" si="538"/>
        <v>0</v>
      </c>
      <c r="CX300">
        <f t="shared" si="538"/>
        <v>0</v>
      </c>
      <c r="CY300">
        <f t="shared" si="538"/>
        <v>0</v>
      </c>
      <c r="CZ300">
        <f t="shared" si="538"/>
        <v>0</v>
      </c>
      <c r="DA300">
        <f t="shared" si="538"/>
        <v>0</v>
      </c>
      <c r="DB300">
        <f t="shared" si="538"/>
        <v>0</v>
      </c>
      <c r="DC300">
        <f t="shared" si="538"/>
        <v>0</v>
      </c>
      <c r="DD300">
        <f t="shared" si="538"/>
        <v>0</v>
      </c>
      <c r="DE300">
        <f t="shared" si="538"/>
        <v>0</v>
      </c>
      <c r="DF300">
        <f t="shared" si="538"/>
        <v>0</v>
      </c>
      <c r="DG300">
        <f t="shared" si="539"/>
        <v>0</v>
      </c>
      <c r="DH300">
        <f t="shared" si="539"/>
        <v>0</v>
      </c>
      <c r="DI300">
        <f t="shared" si="539"/>
        <v>0</v>
      </c>
      <c r="DJ300">
        <f t="shared" si="539"/>
        <v>0</v>
      </c>
      <c r="DK300">
        <f t="shared" si="539"/>
        <v>0</v>
      </c>
      <c r="DL300">
        <f t="shared" si="539"/>
        <v>0</v>
      </c>
      <c r="DM300">
        <f t="shared" si="539"/>
        <v>0</v>
      </c>
      <c r="DN300">
        <f t="shared" si="539"/>
        <v>0</v>
      </c>
      <c r="DO300">
        <f t="shared" si="539"/>
        <v>0</v>
      </c>
      <c r="DP300">
        <f t="shared" si="539"/>
        <v>0</v>
      </c>
      <c r="DQ300">
        <f t="shared" si="540"/>
        <v>0</v>
      </c>
      <c r="DR300">
        <f t="shared" si="540"/>
        <v>0</v>
      </c>
      <c r="DS300">
        <f t="shared" si="540"/>
        <v>0</v>
      </c>
      <c r="DT300">
        <f t="shared" si="540"/>
        <v>0</v>
      </c>
      <c r="DU300">
        <f t="shared" si="540"/>
        <v>0</v>
      </c>
      <c r="DV300">
        <f t="shared" si="540"/>
        <v>0</v>
      </c>
      <c r="DW300">
        <f t="shared" si="540"/>
        <v>0</v>
      </c>
      <c r="DX300">
        <f t="shared" si="540"/>
        <v>0</v>
      </c>
      <c r="DY300">
        <f t="shared" si="540"/>
        <v>0</v>
      </c>
      <c r="DZ300">
        <f t="shared" si="540"/>
        <v>0</v>
      </c>
      <c r="EA300">
        <f t="shared" si="541"/>
        <v>0</v>
      </c>
      <c r="EB300">
        <f t="shared" si="541"/>
        <v>0</v>
      </c>
      <c r="EC300">
        <f t="shared" si="541"/>
        <v>0</v>
      </c>
      <c r="ED300">
        <f t="shared" si="541"/>
        <v>0</v>
      </c>
      <c r="EE300">
        <f t="shared" si="541"/>
        <v>0</v>
      </c>
      <c r="EF300">
        <f t="shared" si="541"/>
        <v>0</v>
      </c>
    </row>
    <row r="301" spans="1:136" ht="15.5">
      <c r="A301" s="90"/>
      <c r="B301" s="57" t="s">
        <v>3</v>
      </c>
      <c r="C301" s="94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>
        <v>0</v>
      </c>
      <c r="T301" s="18">
        <v>3.5129000000000001E-2</v>
      </c>
      <c r="U301" s="18">
        <v>0.389677</v>
      </c>
      <c r="V301" s="18">
        <v>1.4791989999999999</v>
      </c>
      <c r="W301" s="18">
        <v>2.552092</v>
      </c>
      <c r="X301" s="18">
        <v>2E-3</v>
      </c>
      <c r="Y301" s="18">
        <v>5.3999999999999999E-2</v>
      </c>
      <c r="Z301" s="18">
        <v>9.6000000000000002E-2</v>
      </c>
      <c r="AA301" s="18">
        <v>0.23899999999999999</v>
      </c>
      <c r="AB301" s="18">
        <v>0.69643299999999997</v>
      </c>
      <c r="AC301" s="18">
        <v>2.0647700000000002</v>
      </c>
      <c r="AD301" s="18">
        <f>6.857565-AD300</f>
        <v>6.3202249999999998</v>
      </c>
      <c r="AE301" s="18">
        <f>14.19325-AE300</f>
        <v>13.118590000000001</v>
      </c>
      <c r="AF301" s="18">
        <f>22.05432-AF300</f>
        <v>20.442330000000002</v>
      </c>
      <c r="AG301" s="18">
        <f>55.14221-AG300</f>
        <v>53.448049999999995</v>
      </c>
      <c r="AH301" s="18">
        <f>37.75339-AH300</f>
        <v>35.838452100000005</v>
      </c>
      <c r="AI301" s="18">
        <f>34.06573-AI300</f>
        <v>31.857493600000002</v>
      </c>
      <c r="AJ301" s="18">
        <f>26-AJ300</f>
        <v>23.565979599999999</v>
      </c>
      <c r="AK301" s="18">
        <f>25-AK300</f>
        <v>22.241379299999998</v>
      </c>
      <c r="AL301" s="18">
        <f>27-AL300</f>
        <v>26.0528288</v>
      </c>
      <c r="AM301" s="18">
        <f>36-AM300</f>
        <v>34.797701000000004</v>
      </c>
      <c r="AN301" s="18">
        <f>43-AN300</f>
        <v>41.794919</v>
      </c>
      <c r="AO301" s="18">
        <f>45-AO300</f>
        <v>43.792240999999997</v>
      </c>
      <c r="AP301" s="18">
        <f>51-AP300</f>
        <v>49.792081000000003</v>
      </c>
      <c r="AQ301" s="18">
        <f>56-AQ300</f>
        <v>54.792197999999999</v>
      </c>
      <c r="AR301" s="18">
        <f>56-AR300</f>
        <v>54.791891</v>
      </c>
      <c r="AS301" s="18">
        <f>80-AS300</f>
        <v>75</v>
      </c>
      <c r="AT301" s="18">
        <f>89.14777-AT300</f>
        <v>87.939646599999989</v>
      </c>
      <c r="AU301" s="18">
        <f>92.30127-AU300</f>
        <v>91.093058999999997</v>
      </c>
      <c r="AV301" s="18">
        <f>107.3117-AV300</f>
        <v>106.1034598</v>
      </c>
      <c r="AW301" s="18">
        <f>103.0752-AW300</f>
        <v>100.0752</v>
      </c>
      <c r="AX301" s="18">
        <f>108.7713547-AX300</f>
        <v>107.49073180000001</v>
      </c>
      <c r="AY301" s="18">
        <f>111.1815633-AY300</f>
        <v>109.81256289999999</v>
      </c>
      <c r="AZ301" s="18">
        <f>28.1669299-AZ300</f>
        <v>28.1669299</v>
      </c>
      <c r="BA301" s="18">
        <v>25.906038099999996</v>
      </c>
      <c r="BB301" s="18">
        <v>51.514688</v>
      </c>
      <c r="BC301" s="18">
        <v>23.3282639</v>
      </c>
      <c r="BD301" s="18">
        <v>51.429270099999997</v>
      </c>
      <c r="BE301" s="18">
        <v>144.8359548</v>
      </c>
      <c r="BF301" s="18">
        <v>5.2630455999999999</v>
      </c>
      <c r="BG301" s="18">
        <v>6.1812338000000011</v>
      </c>
      <c r="BH301" s="18">
        <v>7.3369878000000011</v>
      </c>
      <c r="BI301" s="18">
        <f>8.157837-BI300</f>
        <v>8.1578370000000007</v>
      </c>
      <c r="BJ301" s="18">
        <v>9.4189805</v>
      </c>
      <c r="BK301" s="18">
        <v>10.891731</v>
      </c>
      <c r="BL301" s="113">
        <f>12.4533218-BL299</f>
        <v>10.453321799999999</v>
      </c>
      <c r="BM301" s="113">
        <f>15.2017021-BM300</f>
        <v>15.2017021</v>
      </c>
      <c r="BN301" s="113">
        <v>11.564496500000001</v>
      </c>
      <c r="BO301" s="113">
        <v>8</v>
      </c>
      <c r="BP301" s="254">
        <v>15</v>
      </c>
      <c r="BQ301" s="113">
        <v>237</v>
      </c>
      <c r="BR301" s="101"/>
      <c r="BS301">
        <f t="shared" si="535"/>
        <v>0</v>
      </c>
      <c r="BT301">
        <f t="shared" si="535"/>
        <v>0</v>
      </c>
      <c r="BU301">
        <f t="shared" si="535"/>
        <v>0</v>
      </c>
      <c r="BV301">
        <f t="shared" si="535"/>
        <v>0</v>
      </c>
      <c r="BW301">
        <f t="shared" si="535"/>
        <v>0</v>
      </c>
      <c r="BX301">
        <f t="shared" si="535"/>
        <v>0</v>
      </c>
      <c r="BY301">
        <f t="shared" si="535"/>
        <v>0</v>
      </c>
      <c r="BZ301">
        <f t="shared" si="535"/>
        <v>0</v>
      </c>
      <c r="CA301">
        <f t="shared" si="535"/>
        <v>0</v>
      </c>
      <c r="CB301">
        <f t="shared" si="535"/>
        <v>0</v>
      </c>
      <c r="CC301">
        <f t="shared" si="536"/>
        <v>0</v>
      </c>
      <c r="CD301">
        <f t="shared" si="536"/>
        <v>0</v>
      </c>
      <c r="CE301">
        <f t="shared" si="536"/>
        <v>0</v>
      </c>
      <c r="CF301">
        <f t="shared" si="536"/>
        <v>0</v>
      </c>
      <c r="CG301">
        <f t="shared" si="536"/>
        <v>0</v>
      </c>
      <c r="CH301">
        <f t="shared" si="536"/>
        <v>0</v>
      </c>
      <c r="CI301">
        <f t="shared" si="536"/>
        <v>0</v>
      </c>
      <c r="CJ301">
        <f t="shared" si="536"/>
        <v>0</v>
      </c>
      <c r="CK301">
        <f t="shared" si="536"/>
        <v>0</v>
      </c>
      <c r="CL301">
        <f t="shared" si="536"/>
        <v>0</v>
      </c>
      <c r="CM301">
        <f t="shared" si="537"/>
        <v>0</v>
      </c>
      <c r="CN301">
        <f t="shared" si="537"/>
        <v>0</v>
      </c>
      <c r="CO301">
        <f t="shared" si="537"/>
        <v>0</v>
      </c>
      <c r="CP301">
        <f t="shared" si="537"/>
        <v>0</v>
      </c>
      <c r="CQ301">
        <f t="shared" si="537"/>
        <v>0</v>
      </c>
      <c r="CR301">
        <f t="shared" si="537"/>
        <v>0</v>
      </c>
      <c r="CS301">
        <f t="shared" si="537"/>
        <v>0</v>
      </c>
      <c r="CT301">
        <f t="shared" si="537"/>
        <v>0</v>
      </c>
      <c r="CU301">
        <f t="shared" si="537"/>
        <v>0</v>
      </c>
      <c r="CV301">
        <f t="shared" si="537"/>
        <v>0</v>
      </c>
      <c r="CW301">
        <f t="shared" si="538"/>
        <v>0</v>
      </c>
      <c r="CX301">
        <f t="shared" si="538"/>
        <v>0</v>
      </c>
      <c r="CY301">
        <f t="shared" si="538"/>
        <v>0</v>
      </c>
      <c r="CZ301">
        <f t="shared" si="538"/>
        <v>0</v>
      </c>
      <c r="DA301">
        <f t="shared" si="538"/>
        <v>0</v>
      </c>
      <c r="DB301">
        <f t="shared" si="538"/>
        <v>0</v>
      </c>
      <c r="DC301">
        <f t="shared" si="538"/>
        <v>0</v>
      </c>
      <c r="DD301">
        <f t="shared" si="538"/>
        <v>0</v>
      </c>
      <c r="DE301">
        <f t="shared" si="538"/>
        <v>0</v>
      </c>
      <c r="DF301">
        <f t="shared" si="538"/>
        <v>0</v>
      </c>
      <c r="DG301">
        <f t="shared" si="539"/>
        <v>0</v>
      </c>
      <c r="DH301">
        <f t="shared" si="539"/>
        <v>0</v>
      </c>
      <c r="DI301">
        <f t="shared" si="539"/>
        <v>0</v>
      </c>
      <c r="DJ301">
        <f t="shared" si="539"/>
        <v>0</v>
      </c>
      <c r="DK301">
        <f t="shared" si="539"/>
        <v>0</v>
      </c>
      <c r="DL301">
        <f t="shared" si="539"/>
        <v>0</v>
      </c>
      <c r="DM301">
        <f t="shared" si="539"/>
        <v>0</v>
      </c>
      <c r="DN301">
        <f t="shared" si="539"/>
        <v>0</v>
      </c>
      <c r="DO301">
        <f t="shared" si="539"/>
        <v>0</v>
      </c>
      <c r="DP301">
        <f t="shared" si="539"/>
        <v>0</v>
      </c>
      <c r="DQ301">
        <f t="shared" si="540"/>
        <v>0</v>
      </c>
      <c r="DR301">
        <f t="shared" si="540"/>
        <v>0</v>
      </c>
      <c r="DS301">
        <f t="shared" si="540"/>
        <v>0</v>
      </c>
      <c r="DT301">
        <f t="shared" si="540"/>
        <v>0</v>
      </c>
      <c r="DU301">
        <f t="shared" si="540"/>
        <v>0</v>
      </c>
      <c r="DV301">
        <f t="shared" si="540"/>
        <v>0</v>
      </c>
      <c r="DW301">
        <f t="shared" si="540"/>
        <v>0</v>
      </c>
      <c r="DX301">
        <f t="shared" si="540"/>
        <v>0</v>
      </c>
      <c r="DY301">
        <f t="shared" si="540"/>
        <v>0</v>
      </c>
      <c r="DZ301">
        <f t="shared" si="540"/>
        <v>0</v>
      </c>
      <c r="EA301">
        <f t="shared" si="541"/>
        <v>0</v>
      </c>
      <c r="EB301">
        <f t="shared" si="541"/>
        <v>0</v>
      </c>
      <c r="EC301">
        <f t="shared" si="541"/>
        <v>0</v>
      </c>
      <c r="ED301">
        <f t="shared" si="541"/>
        <v>0</v>
      </c>
      <c r="EE301">
        <f t="shared" si="541"/>
        <v>0</v>
      </c>
      <c r="EF301">
        <f t="shared" si="541"/>
        <v>0</v>
      </c>
    </row>
    <row r="302" spans="1:136" ht="15.5">
      <c r="A302" s="90"/>
      <c r="B302" s="19" t="s">
        <v>208</v>
      </c>
      <c r="C302" s="94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>
        <v>0</v>
      </c>
      <c r="T302" s="18">
        <v>0</v>
      </c>
      <c r="U302" s="18">
        <v>0</v>
      </c>
      <c r="V302" s="18">
        <v>0</v>
      </c>
      <c r="W302" s="18">
        <v>0</v>
      </c>
      <c r="X302" s="18">
        <v>0</v>
      </c>
      <c r="Y302" s="18">
        <v>0</v>
      </c>
      <c r="Z302" s="18">
        <v>0.192</v>
      </c>
      <c r="AA302" s="18">
        <v>0.17299999999999999</v>
      </c>
      <c r="AB302" s="18">
        <v>0.17699999999999999</v>
      </c>
      <c r="AC302" s="18">
        <v>0.224</v>
      </c>
      <c r="AD302" s="18">
        <v>0.26200000000000001</v>
      </c>
      <c r="AE302" s="18">
        <v>0.317</v>
      </c>
      <c r="AF302" s="18">
        <v>0.27900000000000003</v>
      </c>
      <c r="AG302" s="18">
        <v>0</v>
      </c>
      <c r="AH302" s="18">
        <v>0</v>
      </c>
      <c r="AI302" s="18">
        <v>0</v>
      </c>
      <c r="AJ302" s="18">
        <v>0</v>
      </c>
      <c r="AK302" s="18">
        <v>0</v>
      </c>
      <c r="AL302" s="18">
        <v>0</v>
      </c>
      <c r="AM302" s="18">
        <v>0</v>
      </c>
      <c r="AN302" s="18">
        <v>0</v>
      </c>
      <c r="AO302" s="18">
        <v>0</v>
      </c>
      <c r="AP302" s="18">
        <v>0</v>
      </c>
      <c r="AQ302" s="18">
        <v>0</v>
      </c>
      <c r="AR302" s="18">
        <v>0</v>
      </c>
      <c r="AS302" s="18">
        <v>0</v>
      </c>
      <c r="AT302" s="18">
        <v>0</v>
      </c>
      <c r="AU302" s="18">
        <v>0</v>
      </c>
      <c r="AV302" s="18">
        <v>0</v>
      </c>
      <c r="AW302" s="18">
        <v>0</v>
      </c>
      <c r="AX302" s="18">
        <v>0</v>
      </c>
      <c r="AY302" s="18">
        <v>0</v>
      </c>
      <c r="AZ302" s="18">
        <v>0</v>
      </c>
      <c r="BA302" s="18">
        <v>0</v>
      </c>
      <c r="BB302" s="18">
        <v>0</v>
      </c>
      <c r="BC302" s="18">
        <v>0</v>
      </c>
      <c r="BD302" s="18">
        <v>0</v>
      </c>
      <c r="BE302" s="25">
        <v>0</v>
      </c>
      <c r="BF302" s="25">
        <v>0</v>
      </c>
      <c r="BG302" s="18">
        <v>0</v>
      </c>
      <c r="BH302" s="18">
        <v>0</v>
      </c>
      <c r="BI302" s="18">
        <v>0</v>
      </c>
      <c r="BJ302" s="113">
        <v>0</v>
      </c>
      <c r="BK302" s="113">
        <v>0</v>
      </c>
      <c r="BL302" s="113">
        <v>0</v>
      </c>
      <c r="BM302" s="113">
        <v>0</v>
      </c>
      <c r="BN302" s="113">
        <v>0</v>
      </c>
      <c r="BO302" s="113">
        <v>0</v>
      </c>
      <c r="BP302" s="113">
        <v>0</v>
      </c>
      <c r="BQ302" s="113">
        <v>0</v>
      </c>
      <c r="BR302" s="101"/>
      <c r="BS302">
        <f t="shared" si="535"/>
        <v>0</v>
      </c>
      <c r="BT302">
        <f t="shared" si="535"/>
        <v>0</v>
      </c>
      <c r="BU302">
        <f t="shared" si="535"/>
        <v>0</v>
      </c>
      <c r="BV302">
        <f t="shared" si="535"/>
        <v>0</v>
      </c>
      <c r="BW302">
        <f t="shared" si="535"/>
        <v>0</v>
      </c>
      <c r="BX302">
        <f t="shared" si="535"/>
        <v>0</v>
      </c>
      <c r="BY302">
        <f t="shared" si="535"/>
        <v>0</v>
      </c>
      <c r="BZ302">
        <f t="shared" si="535"/>
        <v>0</v>
      </c>
      <c r="CA302">
        <f t="shared" si="535"/>
        <v>0</v>
      </c>
      <c r="CB302">
        <f t="shared" si="535"/>
        <v>0</v>
      </c>
      <c r="CC302">
        <f t="shared" si="536"/>
        <v>0</v>
      </c>
      <c r="CD302">
        <f t="shared" si="536"/>
        <v>0</v>
      </c>
      <c r="CE302">
        <f t="shared" si="536"/>
        <v>0</v>
      </c>
      <c r="CF302">
        <f t="shared" si="536"/>
        <v>0</v>
      </c>
      <c r="CG302">
        <f t="shared" si="536"/>
        <v>0</v>
      </c>
      <c r="CH302">
        <f t="shared" si="536"/>
        <v>0</v>
      </c>
      <c r="CI302">
        <f t="shared" si="536"/>
        <v>0</v>
      </c>
      <c r="CJ302">
        <f t="shared" si="536"/>
        <v>0</v>
      </c>
      <c r="CK302">
        <f t="shared" si="536"/>
        <v>0</v>
      </c>
      <c r="CL302">
        <f t="shared" si="536"/>
        <v>0</v>
      </c>
      <c r="CM302">
        <f t="shared" si="537"/>
        <v>0</v>
      </c>
      <c r="CN302">
        <f t="shared" si="537"/>
        <v>0</v>
      </c>
      <c r="CO302">
        <f t="shared" si="537"/>
        <v>0</v>
      </c>
      <c r="CP302">
        <f t="shared" si="537"/>
        <v>0</v>
      </c>
      <c r="CQ302">
        <f t="shared" si="537"/>
        <v>0</v>
      </c>
      <c r="CR302">
        <f t="shared" si="537"/>
        <v>0</v>
      </c>
      <c r="CS302">
        <f t="shared" si="537"/>
        <v>0</v>
      </c>
      <c r="CT302">
        <f t="shared" si="537"/>
        <v>0</v>
      </c>
      <c r="CU302">
        <f t="shared" si="537"/>
        <v>0</v>
      </c>
      <c r="CV302">
        <f t="shared" si="537"/>
        <v>0</v>
      </c>
      <c r="CW302">
        <f t="shared" si="538"/>
        <v>0</v>
      </c>
      <c r="CX302">
        <f t="shared" si="538"/>
        <v>0</v>
      </c>
      <c r="CY302">
        <f t="shared" si="538"/>
        <v>0</v>
      </c>
      <c r="CZ302">
        <f t="shared" si="538"/>
        <v>0</v>
      </c>
      <c r="DA302">
        <f t="shared" si="538"/>
        <v>0</v>
      </c>
      <c r="DB302">
        <f t="shared" si="538"/>
        <v>0</v>
      </c>
      <c r="DC302">
        <f t="shared" si="538"/>
        <v>0</v>
      </c>
      <c r="DD302">
        <f t="shared" si="538"/>
        <v>0</v>
      </c>
      <c r="DE302">
        <f t="shared" si="538"/>
        <v>0</v>
      </c>
      <c r="DF302">
        <f t="shared" si="538"/>
        <v>0</v>
      </c>
      <c r="DG302">
        <f t="shared" si="539"/>
        <v>0</v>
      </c>
      <c r="DH302">
        <f t="shared" si="539"/>
        <v>0</v>
      </c>
      <c r="DI302">
        <f t="shared" si="539"/>
        <v>0</v>
      </c>
      <c r="DJ302">
        <f t="shared" si="539"/>
        <v>0</v>
      </c>
      <c r="DK302">
        <f t="shared" si="539"/>
        <v>0</v>
      </c>
      <c r="DL302">
        <f t="shared" si="539"/>
        <v>0</v>
      </c>
      <c r="DM302">
        <f t="shared" si="539"/>
        <v>0</v>
      </c>
      <c r="DN302">
        <f t="shared" si="539"/>
        <v>0</v>
      </c>
      <c r="DO302">
        <f t="shared" si="539"/>
        <v>0</v>
      </c>
      <c r="DP302">
        <f t="shared" si="539"/>
        <v>0</v>
      </c>
      <c r="DQ302">
        <f t="shared" si="540"/>
        <v>0</v>
      </c>
      <c r="DR302">
        <f t="shared" si="540"/>
        <v>0</v>
      </c>
      <c r="DS302">
        <f t="shared" si="540"/>
        <v>0</v>
      </c>
      <c r="DT302">
        <f t="shared" si="540"/>
        <v>0</v>
      </c>
      <c r="DU302">
        <f t="shared" si="540"/>
        <v>0</v>
      </c>
      <c r="DV302">
        <f t="shared" si="540"/>
        <v>0</v>
      </c>
      <c r="DW302">
        <f t="shared" si="540"/>
        <v>0</v>
      </c>
      <c r="DX302">
        <f t="shared" si="540"/>
        <v>0</v>
      </c>
      <c r="DY302">
        <f t="shared" si="540"/>
        <v>0</v>
      </c>
      <c r="DZ302">
        <f t="shared" si="540"/>
        <v>0</v>
      </c>
      <c r="EA302">
        <f t="shared" si="541"/>
        <v>0</v>
      </c>
      <c r="EB302">
        <f t="shared" si="541"/>
        <v>0</v>
      </c>
      <c r="EC302">
        <f t="shared" si="541"/>
        <v>0</v>
      </c>
      <c r="ED302">
        <f t="shared" si="541"/>
        <v>0</v>
      </c>
      <c r="EE302">
        <f t="shared" si="541"/>
        <v>0</v>
      </c>
      <c r="EF302">
        <f t="shared" si="541"/>
        <v>0</v>
      </c>
    </row>
    <row r="303" spans="1:136" ht="15.5">
      <c r="A303" s="90"/>
      <c r="B303" s="19" t="s">
        <v>212</v>
      </c>
      <c r="C303" s="94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>
        <v>1</v>
      </c>
      <c r="AF303" s="18">
        <v>507.48699009568571</v>
      </c>
      <c r="AG303" s="18">
        <v>472.81818181818181</v>
      </c>
      <c r="AH303" s="18">
        <v>547.29779411764707</v>
      </c>
      <c r="AI303" s="18">
        <v>522.08865248226948</v>
      </c>
      <c r="AJ303" s="18">
        <v>565.86195171710301</v>
      </c>
      <c r="AK303" s="18">
        <v>522.19434628975262</v>
      </c>
      <c r="AL303" s="18">
        <v>357.63942307692309</v>
      </c>
      <c r="AM303" s="18">
        <v>403.87967914438502</v>
      </c>
      <c r="AN303" s="18">
        <v>399.00260416666669</v>
      </c>
      <c r="AO303" s="18">
        <v>350.45205479452056</v>
      </c>
      <c r="AP303" s="18">
        <v>351.33031674208144</v>
      </c>
      <c r="AQ303" s="18">
        <v>336.31601731601734</v>
      </c>
      <c r="AR303" s="18">
        <v>296.81801125703566</v>
      </c>
      <c r="AS303" s="18">
        <v>289.67395264116578</v>
      </c>
      <c r="AT303" s="18">
        <v>305.99615384615385</v>
      </c>
      <c r="AU303" s="18">
        <v>369.45391705069125</v>
      </c>
      <c r="AV303" s="18">
        <v>407.92929292929296</v>
      </c>
      <c r="AW303" s="18">
        <v>410.01530612244898</v>
      </c>
      <c r="AX303" s="18">
        <v>412.625</v>
      </c>
      <c r="AY303" s="18">
        <v>484.64117647058822</v>
      </c>
      <c r="AZ303" s="18">
        <v>468.67093105899079</v>
      </c>
      <c r="BA303" s="18">
        <v>509.99693251533745</v>
      </c>
      <c r="BB303" s="18">
        <v>429.07706945765932</v>
      </c>
      <c r="BC303" s="18">
        <v>403.75862068965517</v>
      </c>
      <c r="BD303" s="18">
        <v>404.13931681178832</v>
      </c>
      <c r="BE303" s="25">
        <v>415.36033519553075</v>
      </c>
      <c r="BF303" s="25">
        <v>367.46039603960395</v>
      </c>
      <c r="BG303" s="18">
        <v>322.05357142857144</v>
      </c>
      <c r="BH303" s="18">
        <v>308.24625267665954</v>
      </c>
      <c r="BI303" s="18">
        <v>349.32439024390243</v>
      </c>
      <c r="BJ303" s="113">
        <v>332.30698211194459</v>
      </c>
      <c r="BK303" s="113">
        <v>329.5382882882883</v>
      </c>
      <c r="BL303" s="113">
        <v>359.89081885856081</v>
      </c>
      <c r="BM303" s="113">
        <v>332.27522935779814</v>
      </c>
      <c r="BN303" s="113">
        <v>389.22413793103448</v>
      </c>
      <c r="BO303" s="113">
        <v>401</v>
      </c>
      <c r="BP303" s="113">
        <v>376.46736842105264</v>
      </c>
      <c r="BQ303" s="113">
        <v>85</v>
      </c>
      <c r="BR303" s="101"/>
      <c r="BS303">
        <f t="shared" si="535"/>
        <v>0</v>
      </c>
      <c r="BT303">
        <f t="shared" si="535"/>
        <v>0</v>
      </c>
      <c r="BU303">
        <f t="shared" si="535"/>
        <v>0</v>
      </c>
      <c r="BV303">
        <f t="shared" si="535"/>
        <v>0</v>
      </c>
      <c r="BW303">
        <f t="shared" si="535"/>
        <v>0</v>
      </c>
      <c r="BX303">
        <f t="shared" si="535"/>
        <v>0</v>
      </c>
      <c r="BY303">
        <f t="shared" si="535"/>
        <v>0</v>
      </c>
      <c r="BZ303">
        <f t="shared" si="535"/>
        <v>0</v>
      </c>
      <c r="CA303">
        <f t="shared" si="535"/>
        <v>0</v>
      </c>
      <c r="CB303">
        <f t="shared" si="535"/>
        <v>0</v>
      </c>
      <c r="CC303">
        <f t="shared" si="536"/>
        <v>0</v>
      </c>
      <c r="CD303">
        <f t="shared" si="536"/>
        <v>0</v>
      </c>
      <c r="CE303">
        <f t="shared" si="536"/>
        <v>0</v>
      </c>
      <c r="CF303">
        <f t="shared" si="536"/>
        <v>0</v>
      </c>
      <c r="CG303">
        <f t="shared" si="536"/>
        <v>0</v>
      </c>
      <c r="CH303">
        <f t="shared" si="536"/>
        <v>0</v>
      </c>
      <c r="CI303">
        <f t="shared" si="536"/>
        <v>0</v>
      </c>
      <c r="CJ303">
        <f t="shared" si="536"/>
        <v>0</v>
      </c>
      <c r="CK303">
        <f t="shared" si="536"/>
        <v>0</v>
      </c>
      <c r="CL303">
        <f t="shared" si="536"/>
        <v>0</v>
      </c>
      <c r="CM303">
        <f t="shared" si="537"/>
        <v>0</v>
      </c>
      <c r="CN303">
        <f t="shared" si="537"/>
        <v>0</v>
      </c>
      <c r="CO303">
        <f t="shared" si="537"/>
        <v>0</v>
      </c>
      <c r="CP303">
        <f t="shared" si="537"/>
        <v>0</v>
      </c>
      <c r="CQ303">
        <f t="shared" si="537"/>
        <v>0</v>
      </c>
      <c r="CR303">
        <f t="shared" si="537"/>
        <v>0</v>
      </c>
      <c r="CS303">
        <f t="shared" si="537"/>
        <v>0</v>
      </c>
      <c r="CT303">
        <f t="shared" si="537"/>
        <v>0</v>
      </c>
      <c r="CU303">
        <f t="shared" si="537"/>
        <v>0</v>
      </c>
      <c r="CV303">
        <f t="shared" si="537"/>
        <v>0</v>
      </c>
      <c r="CW303">
        <f t="shared" si="538"/>
        <v>0</v>
      </c>
      <c r="CX303">
        <f t="shared" si="538"/>
        <v>0</v>
      </c>
      <c r="CY303">
        <f t="shared" si="538"/>
        <v>0</v>
      </c>
      <c r="CZ303">
        <f t="shared" si="538"/>
        <v>0</v>
      </c>
      <c r="DA303">
        <f t="shared" si="538"/>
        <v>0</v>
      </c>
      <c r="DB303">
        <f t="shared" si="538"/>
        <v>0</v>
      </c>
      <c r="DC303">
        <f t="shared" si="538"/>
        <v>0</v>
      </c>
      <c r="DD303">
        <f t="shared" si="538"/>
        <v>0</v>
      </c>
      <c r="DE303">
        <f t="shared" si="538"/>
        <v>0</v>
      </c>
      <c r="DF303">
        <f t="shared" si="538"/>
        <v>0</v>
      </c>
      <c r="DG303">
        <f t="shared" si="539"/>
        <v>0</v>
      </c>
      <c r="DH303">
        <f t="shared" si="539"/>
        <v>0</v>
      </c>
      <c r="DI303">
        <f t="shared" si="539"/>
        <v>0</v>
      </c>
      <c r="DJ303">
        <f t="shared" si="539"/>
        <v>0</v>
      </c>
      <c r="DK303">
        <f t="shared" si="539"/>
        <v>0</v>
      </c>
      <c r="DL303">
        <f t="shared" si="539"/>
        <v>0</v>
      </c>
      <c r="DM303">
        <f t="shared" si="539"/>
        <v>0</v>
      </c>
      <c r="DN303">
        <f t="shared" si="539"/>
        <v>0</v>
      </c>
      <c r="DO303">
        <f t="shared" si="539"/>
        <v>0</v>
      </c>
      <c r="DP303">
        <f t="shared" si="539"/>
        <v>0</v>
      </c>
      <c r="DQ303">
        <f t="shared" si="540"/>
        <v>0</v>
      </c>
      <c r="DR303">
        <f t="shared" si="540"/>
        <v>0</v>
      </c>
      <c r="DS303">
        <f t="shared" si="540"/>
        <v>0</v>
      </c>
      <c r="DT303">
        <f t="shared" si="540"/>
        <v>0</v>
      </c>
      <c r="DU303">
        <f t="shared" si="540"/>
        <v>0</v>
      </c>
      <c r="DV303">
        <f t="shared" si="540"/>
        <v>0</v>
      </c>
      <c r="DW303">
        <f t="shared" si="540"/>
        <v>0</v>
      </c>
      <c r="DX303">
        <f t="shared" si="540"/>
        <v>0</v>
      </c>
      <c r="DY303">
        <f t="shared" si="540"/>
        <v>0</v>
      </c>
      <c r="DZ303">
        <f t="shared" si="540"/>
        <v>0</v>
      </c>
      <c r="EA303">
        <f t="shared" ref="EA303:EF303" si="542">IF($C303&lt;&gt;"",IF(BL303&gt;0,1,0),0)</f>
        <v>0</v>
      </c>
      <c r="EB303">
        <f t="shared" si="542"/>
        <v>0</v>
      </c>
      <c r="EC303">
        <f t="shared" si="542"/>
        <v>0</v>
      </c>
      <c r="ED303">
        <f t="shared" si="542"/>
        <v>0</v>
      </c>
      <c r="EE303">
        <f t="shared" si="542"/>
        <v>0</v>
      </c>
      <c r="EF303">
        <f t="shared" si="542"/>
        <v>0</v>
      </c>
    </row>
    <row r="304" spans="1:136" ht="15.5">
      <c r="A304" s="90"/>
      <c r="B304" s="19"/>
      <c r="C304" s="94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194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2"/>
      <c r="BM304" s="2"/>
      <c r="BN304" s="2"/>
      <c r="BO304" s="2"/>
      <c r="BP304" s="2"/>
      <c r="BQ304" s="2"/>
      <c r="BR304" s="101"/>
    </row>
    <row r="305" spans="1:136" ht="15.5">
      <c r="A305" s="93">
        <v>34</v>
      </c>
      <c r="B305" s="32" t="s">
        <v>48</v>
      </c>
      <c r="C305" s="94">
        <v>3</v>
      </c>
      <c r="D305" s="22">
        <f t="shared" ref="D305:AI305" si="543">SUM(D306:D313)</f>
        <v>0</v>
      </c>
      <c r="E305" s="22">
        <f t="shared" si="543"/>
        <v>0</v>
      </c>
      <c r="F305" s="22">
        <f t="shared" si="543"/>
        <v>0</v>
      </c>
      <c r="G305" s="22">
        <f t="shared" si="543"/>
        <v>0</v>
      </c>
      <c r="H305" s="22">
        <f t="shared" si="543"/>
        <v>0</v>
      </c>
      <c r="I305" s="22">
        <f t="shared" si="543"/>
        <v>0</v>
      </c>
      <c r="J305" s="22">
        <f t="shared" si="543"/>
        <v>0</v>
      </c>
      <c r="K305" s="22">
        <f t="shared" si="543"/>
        <v>0</v>
      </c>
      <c r="L305" s="22">
        <f t="shared" si="543"/>
        <v>0</v>
      </c>
      <c r="M305" s="22">
        <f t="shared" si="543"/>
        <v>0</v>
      </c>
      <c r="N305" s="22">
        <f t="shared" si="543"/>
        <v>1.553974</v>
      </c>
      <c r="O305" s="22">
        <f t="shared" si="543"/>
        <v>3.9389590000000001</v>
      </c>
      <c r="P305" s="22">
        <f t="shared" si="543"/>
        <v>7.5658599999999998</v>
      </c>
      <c r="Q305" s="22">
        <f t="shared" si="543"/>
        <v>12.502086</v>
      </c>
      <c r="R305" s="22">
        <f t="shared" si="543"/>
        <v>14.661163999999999</v>
      </c>
      <c r="S305" s="22">
        <f t="shared" si="543"/>
        <v>17.589566999999999</v>
      </c>
      <c r="T305" s="22">
        <f t="shared" si="543"/>
        <v>27.095030000000001</v>
      </c>
      <c r="U305" s="22">
        <f t="shared" si="543"/>
        <v>40.803539999999998</v>
      </c>
      <c r="V305" s="22">
        <f t="shared" si="543"/>
        <v>49.960099999999997</v>
      </c>
      <c r="W305" s="22">
        <f t="shared" si="543"/>
        <v>25.614270000000001</v>
      </c>
      <c r="X305" s="22">
        <f t="shared" si="543"/>
        <v>14.272297</v>
      </c>
      <c r="Y305" s="22">
        <f t="shared" si="543"/>
        <v>13.006506999999999</v>
      </c>
      <c r="Z305" s="22">
        <f t="shared" si="543"/>
        <v>34.576180000000001</v>
      </c>
      <c r="AA305" s="22">
        <f t="shared" si="543"/>
        <v>53.623199999999997</v>
      </c>
      <c r="AB305" s="22">
        <f t="shared" si="543"/>
        <v>78.893900000000002</v>
      </c>
      <c r="AC305" s="22">
        <f t="shared" si="543"/>
        <v>171.32348000000002</v>
      </c>
      <c r="AD305" s="22">
        <f t="shared" si="543"/>
        <v>870.72591999999997</v>
      </c>
      <c r="AE305" s="22">
        <f t="shared" si="543"/>
        <v>371.20910000000003</v>
      </c>
      <c r="AF305" s="22">
        <f t="shared" si="543"/>
        <v>661.79769999999996</v>
      </c>
      <c r="AG305" s="22">
        <f t="shared" si="543"/>
        <v>2287.1536407523499</v>
      </c>
      <c r="AH305" s="22">
        <f t="shared" si="543"/>
        <v>2823.2618135235298</v>
      </c>
      <c r="AI305" s="22">
        <f t="shared" si="543"/>
        <v>2613.3052313574199</v>
      </c>
      <c r="AJ305" s="22">
        <f t="shared" ref="AJ305:BQ305" si="544">SUM(AJ306:AJ313)</f>
        <v>3385.49574360931</v>
      </c>
      <c r="AK305" s="22">
        <f t="shared" si="544"/>
        <v>3386.2357586572402</v>
      </c>
      <c r="AL305" s="22">
        <f t="shared" si="544"/>
        <v>2227.38099029459</v>
      </c>
      <c r="AM305" s="22">
        <f t="shared" si="544"/>
        <v>2191.0228020040099</v>
      </c>
      <c r="AN305" s="22">
        <f t="shared" si="544"/>
        <v>2729.9495268000001</v>
      </c>
      <c r="AO305" s="22">
        <f t="shared" si="544"/>
        <v>1956.9509808219179</v>
      </c>
      <c r="AP305" s="22">
        <f t="shared" si="544"/>
        <v>3137.8211559322031</v>
      </c>
      <c r="AQ305" s="22">
        <f t="shared" si="544"/>
        <v>2147.2598068571433</v>
      </c>
      <c r="AR305" s="22">
        <f t="shared" si="544"/>
        <v>2132.687281290041</v>
      </c>
      <c r="AS305" s="22">
        <f t="shared" si="544"/>
        <v>2085.0807206990721</v>
      </c>
      <c r="AT305" s="22">
        <f t="shared" si="544"/>
        <v>2166.5656088692567</v>
      </c>
      <c r="AU305" s="22">
        <f t="shared" si="544"/>
        <v>2677.8814519373</v>
      </c>
      <c r="AV305" s="22">
        <f t="shared" si="544"/>
        <v>6311.1271207999998</v>
      </c>
      <c r="AW305" s="22">
        <f t="shared" si="544"/>
        <v>4049.0315914841322</v>
      </c>
      <c r="AX305" s="22">
        <f t="shared" si="544"/>
        <v>3576.9204886000002</v>
      </c>
      <c r="AY305" s="22">
        <f t="shared" si="544"/>
        <v>5019.3453338999998</v>
      </c>
      <c r="AZ305" s="22">
        <f t="shared" si="544"/>
        <v>2329.1446311999998</v>
      </c>
      <c r="BA305" s="22">
        <f t="shared" si="544"/>
        <v>976.11252120000006</v>
      </c>
      <c r="BB305" s="22">
        <f t="shared" si="544"/>
        <v>2619.7660065</v>
      </c>
      <c r="BC305" s="22">
        <f t="shared" si="544"/>
        <v>282.80031569999994</v>
      </c>
      <c r="BD305" s="22">
        <f t="shared" si="544"/>
        <v>239.83194029999999</v>
      </c>
      <c r="BE305" s="22">
        <f t="shared" si="544"/>
        <v>265.35406749999999</v>
      </c>
      <c r="BF305" s="22">
        <f t="shared" si="544"/>
        <v>260.77828160000001</v>
      </c>
      <c r="BG305" s="22">
        <f t="shared" si="544"/>
        <v>252.0635499</v>
      </c>
      <c r="BH305" s="22">
        <f t="shared" si="544"/>
        <v>669.36829539999997</v>
      </c>
      <c r="BI305" s="22">
        <f t="shared" si="544"/>
        <v>691</v>
      </c>
      <c r="BJ305" s="22">
        <f t="shared" si="544"/>
        <v>427.81115069999998</v>
      </c>
      <c r="BK305" s="22">
        <f t="shared" si="544"/>
        <v>392.80024730000002</v>
      </c>
      <c r="BL305" s="22">
        <f t="shared" si="544"/>
        <v>1581</v>
      </c>
      <c r="BM305" s="22">
        <f t="shared" si="544"/>
        <v>547</v>
      </c>
      <c r="BN305" s="22">
        <f t="shared" si="544"/>
        <v>629</v>
      </c>
      <c r="BO305" s="22">
        <f t="shared" si="544"/>
        <v>570</v>
      </c>
      <c r="BP305" s="22">
        <f t="shared" si="544"/>
        <v>550</v>
      </c>
      <c r="BQ305" s="22">
        <f t="shared" si="544"/>
        <v>825</v>
      </c>
      <c r="BR305" s="101"/>
      <c r="BS305">
        <f t="shared" ref="BS305:CX305" si="545">IF($C305&lt;&gt;"",IF(D305&gt;0,1,0),0)</f>
        <v>0</v>
      </c>
      <c r="BT305">
        <f t="shared" si="545"/>
        <v>0</v>
      </c>
      <c r="BU305">
        <f t="shared" si="545"/>
        <v>0</v>
      </c>
      <c r="BV305">
        <f t="shared" si="545"/>
        <v>0</v>
      </c>
      <c r="BW305">
        <f t="shared" si="545"/>
        <v>0</v>
      </c>
      <c r="BX305">
        <f t="shared" si="545"/>
        <v>0</v>
      </c>
      <c r="BY305">
        <f t="shared" si="545"/>
        <v>0</v>
      </c>
      <c r="BZ305">
        <f t="shared" si="545"/>
        <v>0</v>
      </c>
      <c r="CA305">
        <f t="shared" si="545"/>
        <v>0</v>
      </c>
      <c r="CB305">
        <f t="shared" si="545"/>
        <v>0</v>
      </c>
      <c r="CC305">
        <f t="shared" si="545"/>
        <v>1</v>
      </c>
      <c r="CD305">
        <f t="shared" si="545"/>
        <v>1</v>
      </c>
      <c r="CE305">
        <f t="shared" si="545"/>
        <v>1</v>
      </c>
      <c r="CF305">
        <f t="shared" si="545"/>
        <v>1</v>
      </c>
      <c r="CG305">
        <f t="shared" si="545"/>
        <v>1</v>
      </c>
      <c r="CH305">
        <f t="shared" si="545"/>
        <v>1</v>
      </c>
      <c r="CI305">
        <f t="shared" si="545"/>
        <v>1</v>
      </c>
      <c r="CJ305">
        <f t="shared" si="545"/>
        <v>1</v>
      </c>
      <c r="CK305">
        <f t="shared" si="545"/>
        <v>1</v>
      </c>
      <c r="CL305">
        <f t="shared" si="545"/>
        <v>1</v>
      </c>
      <c r="CM305">
        <f t="shared" si="545"/>
        <v>1</v>
      </c>
      <c r="CN305">
        <f t="shared" si="545"/>
        <v>1</v>
      </c>
      <c r="CO305">
        <f t="shared" si="545"/>
        <v>1</v>
      </c>
      <c r="CP305">
        <f t="shared" si="545"/>
        <v>1</v>
      </c>
      <c r="CQ305">
        <f t="shared" si="545"/>
        <v>1</v>
      </c>
      <c r="CR305">
        <f t="shared" si="545"/>
        <v>1</v>
      </c>
      <c r="CS305">
        <f t="shared" si="545"/>
        <v>1</v>
      </c>
      <c r="CT305">
        <f t="shared" si="545"/>
        <v>1</v>
      </c>
      <c r="CU305">
        <f t="shared" si="545"/>
        <v>1</v>
      </c>
      <c r="CV305">
        <f t="shared" si="545"/>
        <v>1</v>
      </c>
      <c r="CW305">
        <f t="shared" si="545"/>
        <v>1</v>
      </c>
      <c r="CX305">
        <f t="shared" si="545"/>
        <v>1</v>
      </c>
      <c r="CY305">
        <f t="shared" ref="CY305:ED305" si="546">IF($C305&lt;&gt;"",IF(AJ305&gt;0,1,0),0)</f>
        <v>1</v>
      </c>
      <c r="CZ305">
        <f t="shared" si="546"/>
        <v>1</v>
      </c>
      <c r="DA305">
        <f t="shared" si="546"/>
        <v>1</v>
      </c>
      <c r="DB305">
        <f t="shared" si="546"/>
        <v>1</v>
      </c>
      <c r="DC305">
        <f t="shared" si="546"/>
        <v>1</v>
      </c>
      <c r="DD305">
        <f t="shared" si="546"/>
        <v>1</v>
      </c>
      <c r="DE305">
        <f t="shared" si="546"/>
        <v>1</v>
      </c>
      <c r="DF305">
        <f t="shared" si="546"/>
        <v>1</v>
      </c>
      <c r="DG305">
        <f t="shared" si="546"/>
        <v>1</v>
      </c>
      <c r="DH305">
        <f t="shared" si="546"/>
        <v>1</v>
      </c>
      <c r="DI305">
        <f t="shared" si="546"/>
        <v>1</v>
      </c>
      <c r="DJ305">
        <f t="shared" si="546"/>
        <v>1</v>
      </c>
      <c r="DK305">
        <f t="shared" si="546"/>
        <v>1</v>
      </c>
      <c r="DL305">
        <f t="shared" si="546"/>
        <v>1</v>
      </c>
      <c r="DM305">
        <f t="shared" si="546"/>
        <v>1</v>
      </c>
      <c r="DN305">
        <f t="shared" si="546"/>
        <v>1</v>
      </c>
      <c r="DO305">
        <f t="shared" si="546"/>
        <v>1</v>
      </c>
      <c r="DP305">
        <f t="shared" si="546"/>
        <v>1</v>
      </c>
      <c r="DQ305">
        <f t="shared" si="546"/>
        <v>1</v>
      </c>
      <c r="DR305">
        <f t="shared" si="546"/>
        <v>1</v>
      </c>
      <c r="DS305">
        <f t="shared" si="546"/>
        <v>1</v>
      </c>
      <c r="DT305">
        <f t="shared" si="546"/>
        <v>1</v>
      </c>
      <c r="DU305">
        <f t="shared" si="546"/>
        <v>1</v>
      </c>
      <c r="DV305">
        <f t="shared" si="546"/>
        <v>1</v>
      </c>
      <c r="DW305">
        <f t="shared" si="546"/>
        <v>1</v>
      </c>
      <c r="DX305">
        <f t="shared" si="546"/>
        <v>1</v>
      </c>
      <c r="DY305">
        <f t="shared" si="546"/>
        <v>1</v>
      </c>
      <c r="DZ305">
        <f t="shared" si="546"/>
        <v>1</v>
      </c>
      <c r="EA305">
        <f t="shared" si="546"/>
        <v>1</v>
      </c>
      <c r="EB305">
        <f t="shared" si="546"/>
        <v>1</v>
      </c>
      <c r="EC305">
        <f t="shared" si="546"/>
        <v>1</v>
      </c>
      <c r="ED305">
        <f t="shared" si="546"/>
        <v>1</v>
      </c>
      <c r="EE305">
        <f t="shared" ref="EE305:EF305" si="547">IF($C305&lt;&gt;"",IF(BP305&gt;0,1,0),0)</f>
        <v>1</v>
      </c>
      <c r="EF305">
        <f t="shared" si="547"/>
        <v>1</v>
      </c>
    </row>
    <row r="306" spans="1:136" ht="15.5">
      <c r="A306" s="90"/>
      <c r="B306" s="57" t="s">
        <v>184</v>
      </c>
      <c r="C306" s="94"/>
      <c r="D306" s="18">
        <v>0</v>
      </c>
      <c r="E306" s="18">
        <v>0</v>
      </c>
      <c r="F306" s="18">
        <v>0</v>
      </c>
      <c r="G306" s="18">
        <v>0</v>
      </c>
      <c r="H306" s="18">
        <v>0</v>
      </c>
      <c r="I306" s="18">
        <v>0</v>
      </c>
      <c r="J306" s="18">
        <v>0</v>
      </c>
      <c r="K306" s="18">
        <v>0</v>
      </c>
      <c r="L306" s="18">
        <v>0</v>
      </c>
      <c r="M306" s="18">
        <v>0</v>
      </c>
      <c r="N306" s="18">
        <v>0</v>
      </c>
      <c r="O306" s="18">
        <v>0</v>
      </c>
      <c r="P306" s="18">
        <v>0</v>
      </c>
      <c r="Q306" s="18">
        <v>0</v>
      </c>
      <c r="R306" s="18">
        <v>0</v>
      </c>
      <c r="S306" s="18">
        <v>0</v>
      </c>
      <c r="T306" s="18">
        <v>0</v>
      </c>
      <c r="U306" s="18">
        <v>0</v>
      </c>
      <c r="V306" s="18">
        <v>0</v>
      </c>
      <c r="W306" s="18">
        <v>0</v>
      </c>
      <c r="X306" s="18">
        <v>0</v>
      </c>
      <c r="Y306" s="18">
        <v>0</v>
      </c>
      <c r="Z306" s="18">
        <v>0</v>
      </c>
      <c r="AA306" s="18">
        <v>0</v>
      </c>
      <c r="AB306" s="18">
        <v>0</v>
      </c>
      <c r="AC306" s="18">
        <v>0</v>
      </c>
      <c r="AD306" s="18">
        <v>0</v>
      </c>
      <c r="AE306" s="18">
        <v>0</v>
      </c>
      <c r="AF306" s="18">
        <v>0</v>
      </c>
      <c r="AG306" s="18">
        <v>0</v>
      </c>
      <c r="AH306" s="18">
        <v>0</v>
      </c>
      <c r="AI306" s="18">
        <v>0</v>
      </c>
      <c r="AJ306" s="18">
        <v>37</v>
      </c>
      <c r="AK306" s="18">
        <v>65</v>
      </c>
      <c r="AL306" s="18">
        <v>0</v>
      </c>
      <c r="AM306" s="18">
        <v>0</v>
      </c>
      <c r="AN306" s="18">
        <v>0</v>
      </c>
      <c r="AO306" s="40" t="s">
        <v>16</v>
      </c>
      <c r="AP306" s="18">
        <v>21</v>
      </c>
      <c r="AQ306" s="18">
        <v>39</v>
      </c>
      <c r="AR306" s="18">
        <v>55</v>
      </c>
      <c r="AS306" s="18">
        <v>34</v>
      </c>
      <c r="AT306" s="18">
        <v>0</v>
      </c>
      <c r="AU306" s="18">
        <v>0</v>
      </c>
      <c r="AV306" s="18">
        <v>0</v>
      </c>
      <c r="AW306" s="18">
        <v>0</v>
      </c>
      <c r="AX306" s="18">
        <v>0</v>
      </c>
      <c r="AY306" s="18">
        <v>0</v>
      </c>
      <c r="AZ306" s="18">
        <v>0</v>
      </c>
      <c r="BA306" s="18">
        <v>0</v>
      </c>
      <c r="BB306" s="18">
        <v>0</v>
      </c>
      <c r="BC306" s="18">
        <v>0</v>
      </c>
      <c r="BD306" s="18">
        <v>0</v>
      </c>
      <c r="BE306" s="25">
        <v>0</v>
      </c>
      <c r="BF306" s="18">
        <v>0</v>
      </c>
      <c r="BG306" s="18">
        <v>0</v>
      </c>
      <c r="BH306" s="113">
        <v>0</v>
      </c>
      <c r="BI306" s="113">
        <v>0</v>
      </c>
      <c r="BJ306" s="113">
        <v>0</v>
      </c>
      <c r="BK306" s="113">
        <v>0</v>
      </c>
      <c r="BL306" s="113">
        <v>0</v>
      </c>
      <c r="BM306" s="113">
        <v>0</v>
      </c>
      <c r="BN306" s="113">
        <v>0</v>
      </c>
      <c r="BO306" s="113">
        <v>0</v>
      </c>
      <c r="BP306" s="113">
        <v>0</v>
      </c>
      <c r="BQ306" s="113">
        <v>0</v>
      </c>
      <c r="BR306" s="101"/>
      <c r="BS306">
        <f t="shared" ref="BS306:BS314" si="548">IF($C306&lt;&gt;"",IF(D306&gt;0,1,0),0)</f>
        <v>0</v>
      </c>
      <c r="BT306">
        <f t="shared" ref="BT306:BT314" si="549">IF($C306&lt;&gt;"",IF(E306&gt;0,1,0),0)</f>
        <v>0</v>
      </c>
      <c r="BU306">
        <f t="shared" ref="BU306:BU314" si="550">IF($C306&lt;&gt;"",IF(F306&gt;0,1,0),0)</f>
        <v>0</v>
      </c>
      <c r="BV306">
        <f t="shared" ref="BV306:BV314" si="551">IF($C306&lt;&gt;"",IF(G306&gt;0,1,0),0)</f>
        <v>0</v>
      </c>
      <c r="BW306">
        <f t="shared" ref="BW306:BW314" si="552">IF($C306&lt;&gt;"",IF(H306&gt;0,1,0),0)</f>
        <v>0</v>
      </c>
      <c r="BX306">
        <f t="shared" ref="BX306:BX314" si="553">IF($C306&lt;&gt;"",IF(I306&gt;0,1,0),0)</f>
        <v>0</v>
      </c>
      <c r="BY306">
        <f t="shared" ref="BY306:BY314" si="554">IF($C306&lt;&gt;"",IF(J306&gt;0,1,0),0)</f>
        <v>0</v>
      </c>
      <c r="BZ306">
        <f t="shared" ref="BZ306:BZ314" si="555">IF($C306&lt;&gt;"",IF(K306&gt;0,1,0),0)</f>
        <v>0</v>
      </c>
      <c r="CA306">
        <f t="shared" ref="CA306:CA314" si="556">IF($C306&lt;&gt;"",IF(L306&gt;0,1,0),0)</f>
        <v>0</v>
      </c>
      <c r="CB306">
        <f t="shared" ref="CB306:CB314" si="557">IF($C306&lt;&gt;"",IF(M306&gt;0,1,0),0)</f>
        <v>0</v>
      </c>
      <c r="CC306">
        <f t="shared" ref="CC306:CC314" si="558">IF($C306&lt;&gt;"",IF(N306&gt;0,1,0),0)</f>
        <v>0</v>
      </c>
      <c r="CD306">
        <f t="shared" ref="CD306:CD314" si="559">IF($C306&lt;&gt;"",IF(O306&gt;0,1,0),0)</f>
        <v>0</v>
      </c>
      <c r="CE306">
        <f t="shared" ref="CE306:CE314" si="560">IF($C306&lt;&gt;"",IF(P306&gt;0,1,0),0)</f>
        <v>0</v>
      </c>
      <c r="CF306">
        <f t="shared" ref="CF306:CF314" si="561">IF($C306&lt;&gt;"",IF(Q306&gt;0,1,0),0)</f>
        <v>0</v>
      </c>
      <c r="CG306">
        <f t="shared" ref="CG306:CG314" si="562">IF($C306&lt;&gt;"",IF(R306&gt;0,1,0),0)</f>
        <v>0</v>
      </c>
      <c r="CH306">
        <f t="shared" ref="CH306:CH314" si="563">IF($C306&lt;&gt;"",IF(S306&gt;0,1,0),0)</f>
        <v>0</v>
      </c>
      <c r="CI306">
        <f t="shared" ref="CI306:CI314" si="564">IF($C306&lt;&gt;"",IF(T306&gt;0,1,0),0)</f>
        <v>0</v>
      </c>
      <c r="CJ306">
        <f t="shared" ref="CJ306:CJ314" si="565">IF($C306&lt;&gt;"",IF(U306&gt;0,1,0),0)</f>
        <v>0</v>
      </c>
      <c r="CK306">
        <f t="shared" ref="CK306:CK314" si="566">IF($C306&lt;&gt;"",IF(V306&gt;0,1,0),0)</f>
        <v>0</v>
      </c>
      <c r="CL306">
        <f t="shared" ref="CL306:CL314" si="567">IF($C306&lt;&gt;"",IF(W306&gt;0,1,0),0)</f>
        <v>0</v>
      </c>
      <c r="CM306">
        <f t="shared" ref="CM306:CM314" si="568">IF($C306&lt;&gt;"",IF(X306&gt;0,1,0),0)</f>
        <v>0</v>
      </c>
      <c r="CN306">
        <f t="shared" ref="CN306:CN314" si="569">IF($C306&lt;&gt;"",IF(Y306&gt;0,1,0),0)</f>
        <v>0</v>
      </c>
      <c r="CO306">
        <f t="shared" ref="CO306:CO314" si="570">IF($C306&lt;&gt;"",IF(Z306&gt;0,1,0),0)</f>
        <v>0</v>
      </c>
      <c r="CP306">
        <f t="shared" ref="CP306:CP314" si="571">IF($C306&lt;&gt;"",IF(AA306&gt;0,1,0),0)</f>
        <v>0</v>
      </c>
      <c r="CQ306">
        <f t="shared" ref="CQ306:CQ314" si="572">IF($C306&lt;&gt;"",IF(AB306&gt;0,1,0),0)</f>
        <v>0</v>
      </c>
      <c r="CR306">
        <f t="shared" ref="CR306:CR314" si="573">IF($C306&lt;&gt;"",IF(AC306&gt;0,1,0),0)</f>
        <v>0</v>
      </c>
      <c r="CS306">
        <f t="shared" ref="CS306:CS314" si="574">IF($C306&lt;&gt;"",IF(AD306&gt;0,1,0),0)</f>
        <v>0</v>
      </c>
      <c r="CT306">
        <f t="shared" ref="CT306:CT314" si="575">IF($C306&lt;&gt;"",IF(AE306&gt;0,1,0),0)</f>
        <v>0</v>
      </c>
      <c r="CU306">
        <f t="shared" ref="CU306:CU314" si="576">IF($C306&lt;&gt;"",IF(AF306&gt;0,1,0),0)</f>
        <v>0</v>
      </c>
      <c r="CV306">
        <f t="shared" ref="CV306:CV314" si="577">IF($C306&lt;&gt;"",IF(AG306&gt;0,1,0),0)</f>
        <v>0</v>
      </c>
      <c r="CW306">
        <f t="shared" ref="CW306:CW314" si="578">IF($C306&lt;&gt;"",IF(AH306&gt;0,1,0),0)</f>
        <v>0</v>
      </c>
      <c r="CX306">
        <f t="shared" ref="CX306:CX314" si="579">IF($C306&lt;&gt;"",IF(AI306&gt;0,1,0),0)</f>
        <v>0</v>
      </c>
      <c r="CY306">
        <f t="shared" ref="CY306:CY314" si="580">IF($C306&lt;&gt;"",IF(AJ306&gt;0,1,0),0)</f>
        <v>0</v>
      </c>
      <c r="CZ306">
        <f t="shared" ref="CZ306:CZ314" si="581">IF($C306&lt;&gt;"",IF(AK306&gt;0,1,0),0)</f>
        <v>0</v>
      </c>
      <c r="DA306">
        <f t="shared" ref="DA306:DA314" si="582">IF($C306&lt;&gt;"",IF(AL306&gt;0,1,0),0)</f>
        <v>0</v>
      </c>
      <c r="DB306">
        <f t="shared" ref="DB306:DB314" si="583">IF($C306&lt;&gt;"",IF(AM306&gt;0,1,0),0)</f>
        <v>0</v>
      </c>
      <c r="DC306">
        <f t="shared" ref="DC306:DC314" si="584">IF($C306&lt;&gt;"",IF(AN306&gt;0,1,0),0)</f>
        <v>0</v>
      </c>
      <c r="DD306">
        <f t="shared" ref="DD306:DD314" si="585">IF($C306&lt;&gt;"",IF(AO306&gt;0,1,0),0)</f>
        <v>0</v>
      </c>
      <c r="DE306">
        <f t="shared" ref="DE306:DE314" si="586">IF($C306&lt;&gt;"",IF(AP306&gt;0,1,0),0)</f>
        <v>0</v>
      </c>
      <c r="DF306">
        <f t="shared" ref="DF306:DF314" si="587">IF($C306&lt;&gt;"",IF(AQ306&gt;0,1,0),0)</f>
        <v>0</v>
      </c>
      <c r="DG306">
        <f t="shared" ref="DG306:DG314" si="588">IF($C306&lt;&gt;"",IF(AR306&gt;0,1,0),0)</f>
        <v>0</v>
      </c>
      <c r="DH306">
        <f t="shared" ref="DH306:DH314" si="589">IF($C306&lt;&gt;"",IF(AS306&gt;0,1,0),0)</f>
        <v>0</v>
      </c>
      <c r="DI306">
        <f t="shared" ref="DI306:DI314" si="590">IF($C306&lt;&gt;"",IF(AT306&gt;0,1,0),0)</f>
        <v>0</v>
      </c>
      <c r="DJ306">
        <f t="shared" ref="DJ306:DJ314" si="591">IF($C306&lt;&gt;"",IF(AU306&gt;0,1,0),0)</f>
        <v>0</v>
      </c>
      <c r="DK306">
        <f t="shared" ref="DK306:DK314" si="592">IF($C306&lt;&gt;"",IF(AV306&gt;0,1,0),0)</f>
        <v>0</v>
      </c>
      <c r="DL306">
        <f t="shared" ref="DL306:DL314" si="593">IF($C306&lt;&gt;"",IF(AW306&gt;0,1,0),0)</f>
        <v>0</v>
      </c>
      <c r="DM306">
        <f t="shared" ref="DM306:DM314" si="594">IF($C306&lt;&gt;"",IF(AX306&gt;0,1,0),0)</f>
        <v>0</v>
      </c>
      <c r="DN306">
        <f t="shared" ref="DN306:DN314" si="595">IF($C306&lt;&gt;"",IF(AY306&gt;0,1,0),0)</f>
        <v>0</v>
      </c>
      <c r="DO306">
        <f t="shared" ref="DO306:DO314" si="596">IF($C306&lt;&gt;"",IF(AZ306&gt;0,1,0),0)</f>
        <v>0</v>
      </c>
      <c r="DP306">
        <f t="shared" ref="DP306:DP314" si="597">IF($C306&lt;&gt;"",IF(BA306&gt;0,1,0),0)</f>
        <v>0</v>
      </c>
      <c r="DQ306">
        <f t="shared" ref="DQ306:DQ314" si="598">IF($C306&lt;&gt;"",IF(BB306&gt;0,1,0),0)</f>
        <v>0</v>
      </c>
      <c r="DR306">
        <f t="shared" ref="DR306:DR314" si="599">IF($C306&lt;&gt;"",IF(BC306&gt;0,1,0),0)</f>
        <v>0</v>
      </c>
      <c r="DS306">
        <f t="shared" ref="DS306:DS314" si="600">IF($C306&lt;&gt;"",IF(BD306&gt;0,1,0),0)</f>
        <v>0</v>
      </c>
      <c r="DT306">
        <f t="shared" ref="DT306:DT314" si="601">IF($C306&lt;&gt;"",IF(BE306&gt;0,1,0),0)</f>
        <v>0</v>
      </c>
      <c r="DU306">
        <f t="shared" ref="DU306:DU314" si="602">IF($C306&lt;&gt;"",IF(BF306&gt;0,1,0),0)</f>
        <v>0</v>
      </c>
      <c r="DV306">
        <f t="shared" ref="DV306:DV314" si="603">IF($C306&lt;&gt;"",IF(BG306&gt;0,1,0),0)</f>
        <v>0</v>
      </c>
      <c r="DW306">
        <f t="shared" ref="DW306:DW314" si="604">IF($C306&lt;&gt;"",IF(BH306&gt;0,1,0),0)</f>
        <v>0</v>
      </c>
      <c r="DX306">
        <f t="shared" ref="DX306:DX314" si="605">IF($C306&lt;&gt;"",IF(BI306&gt;0,1,0),0)</f>
        <v>0</v>
      </c>
      <c r="DY306">
        <f t="shared" ref="DY306:DY314" si="606">IF($C306&lt;&gt;"",IF(BJ306&gt;0,1,0),0)</f>
        <v>0</v>
      </c>
      <c r="DZ306">
        <f t="shared" ref="DZ306:DZ314" si="607">IF($C306&lt;&gt;"",IF(BK306&gt;0,1,0),0)</f>
        <v>0</v>
      </c>
      <c r="EA306">
        <f t="shared" ref="EA306:EF307" si="608">IF($C306&lt;&gt;"",IF(BL305&gt;0,1,0),0)</f>
        <v>0</v>
      </c>
      <c r="EB306">
        <f t="shared" si="608"/>
        <v>0</v>
      </c>
      <c r="EC306">
        <f t="shared" si="608"/>
        <v>0</v>
      </c>
      <c r="ED306">
        <f t="shared" si="608"/>
        <v>0</v>
      </c>
      <c r="EE306">
        <f t="shared" si="608"/>
        <v>0</v>
      </c>
      <c r="EF306">
        <f t="shared" si="608"/>
        <v>0</v>
      </c>
    </row>
    <row r="307" spans="1:136" ht="15.5">
      <c r="A307" s="90"/>
      <c r="B307" s="57" t="s">
        <v>202</v>
      </c>
      <c r="C307" s="94"/>
      <c r="D307" s="18">
        <v>0</v>
      </c>
      <c r="E307" s="18">
        <v>0</v>
      </c>
      <c r="F307" s="18">
        <v>0</v>
      </c>
      <c r="G307" s="18">
        <v>0</v>
      </c>
      <c r="H307" s="18">
        <v>0</v>
      </c>
      <c r="I307" s="18">
        <v>0</v>
      </c>
      <c r="J307" s="18">
        <v>0</v>
      </c>
      <c r="K307" s="18">
        <v>0</v>
      </c>
      <c r="L307" s="18">
        <v>0</v>
      </c>
      <c r="M307" s="18">
        <v>0</v>
      </c>
      <c r="N307" s="18">
        <v>0</v>
      </c>
      <c r="O307" s="18">
        <v>0</v>
      </c>
      <c r="P307" s="18">
        <v>0</v>
      </c>
      <c r="Q307" s="18">
        <v>0</v>
      </c>
      <c r="R307" s="18">
        <v>0</v>
      </c>
      <c r="S307" s="18">
        <v>0</v>
      </c>
      <c r="T307" s="18">
        <v>0</v>
      </c>
      <c r="U307" s="18">
        <v>0</v>
      </c>
      <c r="V307" s="18">
        <v>0</v>
      </c>
      <c r="W307" s="18">
        <v>0</v>
      </c>
      <c r="X307" s="18">
        <v>0</v>
      </c>
      <c r="Y307" s="18">
        <v>0</v>
      </c>
      <c r="Z307" s="18">
        <v>0</v>
      </c>
      <c r="AA307" s="18">
        <v>0</v>
      </c>
      <c r="AB307" s="18">
        <v>0</v>
      </c>
      <c r="AC307" s="18">
        <v>0</v>
      </c>
      <c r="AD307" s="18">
        <v>0</v>
      </c>
      <c r="AE307" s="18">
        <v>0</v>
      </c>
      <c r="AF307" s="18">
        <v>0</v>
      </c>
      <c r="AG307" s="18">
        <v>0</v>
      </c>
      <c r="AH307" s="18">
        <v>0</v>
      </c>
      <c r="AI307" s="18">
        <v>0</v>
      </c>
      <c r="AJ307" s="18">
        <v>2</v>
      </c>
      <c r="AK307" s="18">
        <v>4</v>
      </c>
      <c r="AL307" s="18">
        <v>0</v>
      </c>
      <c r="AM307" s="18">
        <v>0</v>
      </c>
      <c r="AN307" s="18">
        <v>0</v>
      </c>
      <c r="AO307" s="18">
        <v>0</v>
      </c>
      <c r="AP307" s="18">
        <v>2</v>
      </c>
      <c r="AQ307" s="18">
        <v>4</v>
      </c>
      <c r="AR307" s="18">
        <v>7</v>
      </c>
      <c r="AS307" s="18">
        <v>0</v>
      </c>
      <c r="AT307" s="18">
        <v>0</v>
      </c>
      <c r="AU307" s="18">
        <v>0</v>
      </c>
      <c r="AV307" s="18">
        <v>0</v>
      </c>
      <c r="AW307" s="18">
        <v>0</v>
      </c>
      <c r="AX307" s="18">
        <v>0</v>
      </c>
      <c r="AY307" s="18">
        <v>0</v>
      </c>
      <c r="AZ307" s="18">
        <v>0</v>
      </c>
      <c r="BA307" s="18">
        <v>0</v>
      </c>
      <c r="BB307" s="18">
        <v>0</v>
      </c>
      <c r="BC307" s="18">
        <v>0</v>
      </c>
      <c r="BD307" s="18">
        <v>0</v>
      </c>
      <c r="BE307" s="25">
        <v>0</v>
      </c>
      <c r="BF307" s="18">
        <v>0</v>
      </c>
      <c r="BG307" s="18">
        <v>0</v>
      </c>
      <c r="BH307" s="113">
        <v>0</v>
      </c>
      <c r="BI307" s="113">
        <v>0</v>
      </c>
      <c r="BJ307" s="113">
        <v>0</v>
      </c>
      <c r="BK307" s="113">
        <v>0</v>
      </c>
      <c r="BL307" s="113">
        <v>0</v>
      </c>
      <c r="BM307" s="113">
        <v>0</v>
      </c>
      <c r="BN307" s="113">
        <v>0</v>
      </c>
      <c r="BO307" s="113">
        <v>0</v>
      </c>
      <c r="BP307" s="113">
        <v>0</v>
      </c>
      <c r="BQ307" s="113">
        <v>0</v>
      </c>
      <c r="BR307" s="101"/>
      <c r="BS307">
        <f t="shared" si="548"/>
        <v>0</v>
      </c>
      <c r="BT307">
        <f t="shared" si="549"/>
        <v>0</v>
      </c>
      <c r="BU307">
        <f t="shared" si="550"/>
        <v>0</v>
      </c>
      <c r="BV307">
        <f t="shared" si="551"/>
        <v>0</v>
      </c>
      <c r="BW307">
        <f t="shared" si="552"/>
        <v>0</v>
      </c>
      <c r="BX307">
        <f t="shared" si="553"/>
        <v>0</v>
      </c>
      <c r="BY307">
        <f t="shared" si="554"/>
        <v>0</v>
      </c>
      <c r="BZ307">
        <f t="shared" si="555"/>
        <v>0</v>
      </c>
      <c r="CA307">
        <f t="shared" si="556"/>
        <v>0</v>
      </c>
      <c r="CB307">
        <f t="shared" si="557"/>
        <v>0</v>
      </c>
      <c r="CC307">
        <f t="shared" si="558"/>
        <v>0</v>
      </c>
      <c r="CD307">
        <f t="shared" si="559"/>
        <v>0</v>
      </c>
      <c r="CE307">
        <f t="shared" si="560"/>
        <v>0</v>
      </c>
      <c r="CF307">
        <f t="shared" si="561"/>
        <v>0</v>
      </c>
      <c r="CG307">
        <f t="shared" si="562"/>
        <v>0</v>
      </c>
      <c r="CH307">
        <f t="shared" si="563"/>
        <v>0</v>
      </c>
      <c r="CI307">
        <f t="shared" si="564"/>
        <v>0</v>
      </c>
      <c r="CJ307">
        <f t="shared" si="565"/>
        <v>0</v>
      </c>
      <c r="CK307">
        <f t="shared" si="566"/>
        <v>0</v>
      </c>
      <c r="CL307">
        <f t="shared" si="567"/>
        <v>0</v>
      </c>
      <c r="CM307">
        <f t="shared" si="568"/>
        <v>0</v>
      </c>
      <c r="CN307">
        <f t="shared" si="569"/>
        <v>0</v>
      </c>
      <c r="CO307">
        <f t="shared" si="570"/>
        <v>0</v>
      </c>
      <c r="CP307">
        <f t="shared" si="571"/>
        <v>0</v>
      </c>
      <c r="CQ307">
        <f t="shared" si="572"/>
        <v>0</v>
      </c>
      <c r="CR307">
        <f t="shared" si="573"/>
        <v>0</v>
      </c>
      <c r="CS307">
        <f t="shared" si="574"/>
        <v>0</v>
      </c>
      <c r="CT307">
        <f t="shared" si="575"/>
        <v>0</v>
      </c>
      <c r="CU307">
        <f t="shared" si="576"/>
        <v>0</v>
      </c>
      <c r="CV307">
        <f t="shared" si="577"/>
        <v>0</v>
      </c>
      <c r="CW307">
        <f t="shared" si="578"/>
        <v>0</v>
      </c>
      <c r="CX307">
        <f t="shared" si="579"/>
        <v>0</v>
      </c>
      <c r="CY307">
        <f t="shared" si="580"/>
        <v>0</v>
      </c>
      <c r="CZ307">
        <f t="shared" si="581"/>
        <v>0</v>
      </c>
      <c r="DA307">
        <f t="shared" si="582"/>
        <v>0</v>
      </c>
      <c r="DB307">
        <f t="shared" si="583"/>
        <v>0</v>
      </c>
      <c r="DC307">
        <f t="shared" si="584"/>
        <v>0</v>
      </c>
      <c r="DD307">
        <f t="shared" si="585"/>
        <v>0</v>
      </c>
      <c r="DE307">
        <f t="shared" si="586"/>
        <v>0</v>
      </c>
      <c r="DF307">
        <f t="shared" si="587"/>
        <v>0</v>
      </c>
      <c r="DG307">
        <f t="shared" si="588"/>
        <v>0</v>
      </c>
      <c r="DH307">
        <f t="shared" si="589"/>
        <v>0</v>
      </c>
      <c r="DI307">
        <f t="shared" si="590"/>
        <v>0</v>
      </c>
      <c r="DJ307">
        <f t="shared" si="591"/>
        <v>0</v>
      </c>
      <c r="DK307">
        <f t="shared" si="592"/>
        <v>0</v>
      </c>
      <c r="DL307">
        <f t="shared" si="593"/>
        <v>0</v>
      </c>
      <c r="DM307">
        <f t="shared" si="594"/>
        <v>0</v>
      </c>
      <c r="DN307">
        <f t="shared" si="595"/>
        <v>0</v>
      </c>
      <c r="DO307">
        <f t="shared" si="596"/>
        <v>0</v>
      </c>
      <c r="DP307">
        <f t="shared" si="597"/>
        <v>0</v>
      </c>
      <c r="DQ307">
        <f t="shared" si="598"/>
        <v>0</v>
      </c>
      <c r="DR307">
        <f t="shared" si="599"/>
        <v>0</v>
      </c>
      <c r="DS307">
        <f t="shared" si="600"/>
        <v>0</v>
      </c>
      <c r="DT307">
        <f t="shared" si="601"/>
        <v>0</v>
      </c>
      <c r="DU307">
        <f t="shared" si="602"/>
        <v>0</v>
      </c>
      <c r="DV307">
        <f t="shared" si="603"/>
        <v>0</v>
      </c>
      <c r="DW307">
        <f t="shared" si="604"/>
        <v>0</v>
      </c>
      <c r="DX307">
        <f t="shared" si="605"/>
        <v>0</v>
      </c>
      <c r="DY307">
        <f t="shared" si="606"/>
        <v>0</v>
      </c>
      <c r="DZ307">
        <f t="shared" si="607"/>
        <v>0</v>
      </c>
      <c r="EA307">
        <f t="shared" si="608"/>
        <v>0</v>
      </c>
      <c r="EB307">
        <f t="shared" si="608"/>
        <v>0</v>
      </c>
      <c r="EC307">
        <f t="shared" si="608"/>
        <v>0</v>
      </c>
      <c r="ED307">
        <f t="shared" si="608"/>
        <v>0</v>
      </c>
      <c r="EE307">
        <f t="shared" si="608"/>
        <v>0</v>
      </c>
      <c r="EF307">
        <f t="shared" si="608"/>
        <v>0</v>
      </c>
    </row>
    <row r="308" spans="1:136" ht="15.5">
      <c r="A308" s="90"/>
      <c r="B308" s="19" t="s">
        <v>2</v>
      </c>
      <c r="C308" s="94"/>
      <c r="D308" s="18">
        <v>0</v>
      </c>
      <c r="E308" s="18">
        <v>0</v>
      </c>
      <c r="F308" s="18">
        <v>0</v>
      </c>
      <c r="G308" s="18">
        <v>0</v>
      </c>
      <c r="H308" s="18">
        <v>0</v>
      </c>
      <c r="I308" s="18">
        <v>0</v>
      </c>
      <c r="J308" s="18">
        <v>0</v>
      </c>
      <c r="K308" s="18">
        <v>0</v>
      </c>
      <c r="L308" s="18">
        <v>0</v>
      </c>
      <c r="M308" s="18">
        <v>0</v>
      </c>
      <c r="N308" s="18">
        <v>0</v>
      </c>
      <c r="O308" s="18">
        <v>0</v>
      </c>
      <c r="P308" s="18">
        <v>0</v>
      </c>
      <c r="Q308" s="18">
        <v>0</v>
      </c>
      <c r="R308" s="18">
        <v>0</v>
      </c>
      <c r="S308" s="18">
        <v>0</v>
      </c>
      <c r="T308" s="18">
        <v>0</v>
      </c>
      <c r="U308" s="18">
        <v>0</v>
      </c>
      <c r="V308" s="18">
        <v>0</v>
      </c>
      <c r="W308" s="18">
        <v>0</v>
      </c>
      <c r="X308" s="18">
        <v>0</v>
      </c>
      <c r="Y308" s="18">
        <v>0</v>
      </c>
      <c r="Z308" s="18">
        <v>0</v>
      </c>
      <c r="AA308" s="18">
        <v>0</v>
      </c>
      <c r="AB308" s="18">
        <v>0</v>
      </c>
      <c r="AC308" s="40" t="s">
        <v>16</v>
      </c>
      <c r="AD308" s="18">
        <v>470</v>
      </c>
      <c r="AE308" s="40" t="s">
        <v>16</v>
      </c>
      <c r="AF308" s="40" t="s">
        <v>16</v>
      </c>
      <c r="AG308" s="40" t="s">
        <v>16</v>
      </c>
      <c r="AH308" s="18">
        <v>1052</v>
      </c>
      <c r="AI308" s="40" t="s">
        <v>16</v>
      </c>
      <c r="AJ308" s="40" t="s">
        <v>16</v>
      </c>
      <c r="AK308" s="40" t="s">
        <v>16</v>
      </c>
      <c r="AL308" s="18">
        <v>1175</v>
      </c>
      <c r="AM308" s="40" t="s">
        <v>16</v>
      </c>
      <c r="AN308" s="18">
        <v>1758</v>
      </c>
      <c r="AO308" s="40" t="s">
        <v>16</v>
      </c>
      <c r="AP308" s="40" t="s">
        <v>16</v>
      </c>
      <c r="AQ308" s="40" t="s">
        <v>16</v>
      </c>
      <c r="AR308" s="40" t="s">
        <v>16</v>
      </c>
      <c r="AS308" s="40" t="s">
        <v>16</v>
      </c>
      <c r="AT308" s="40" t="s">
        <v>16</v>
      </c>
      <c r="AU308" s="40" t="s">
        <v>16</v>
      </c>
      <c r="AV308" s="18">
        <v>3016</v>
      </c>
      <c r="AW308" s="40" t="s">
        <v>16</v>
      </c>
      <c r="AX308" s="40" t="s">
        <v>16</v>
      </c>
      <c r="AY308" s="40" t="s">
        <v>16</v>
      </c>
      <c r="AZ308" s="18">
        <v>961</v>
      </c>
      <c r="BA308" s="40" t="s">
        <v>16</v>
      </c>
      <c r="BB308" s="18">
        <v>2474</v>
      </c>
      <c r="BC308" s="18">
        <v>0</v>
      </c>
      <c r="BD308" s="18">
        <v>0</v>
      </c>
      <c r="BE308" s="25">
        <v>0</v>
      </c>
      <c r="BF308" s="18">
        <v>0</v>
      </c>
      <c r="BG308" s="18">
        <v>0</v>
      </c>
      <c r="BH308" s="18">
        <v>19</v>
      </c>
      <c r="BI308" s="18">
        <v>56</v>
      </c>
      <c r="BJ308" s="18">
        <v>105</v>
      </c>
      <c r="BK308" s="113">
        <v>169.2</v>
      </c>
      <c r="BL308" s="113">
        <v>84</v>
      </c>
      <c r="BM308" s="113">
        <v>60</v>
      </c>
      <c r="BN308" s="113">
        <v>19</v>
      </c>
      <c r="BO308" s="113">
        <v>0</v>
      </c>
      <c r="BP308" s="113">
        <v>4</v>
      </c>
      <c r="BQ308" s="113">
        <f>18</f>
        <v>18</v>
      </c>
      <c r="BR308" s="101"/>
      <c r="BS308">
        <f t="shared" si="548"/>
        <v>0</v>
      </c>
      <c r="BT308">
        <f t="shared" si="549"/>
        <v>0</v>
      </c>
      <c r="BU308">
        <f t="shared" si="550"/>
        <v>0</v>
      </c>
      <c r="BV308">
        <f t="shared" si="551"/>
        <v>0</v>
      </c>
      <c r="BW308">
        <f t="shared" si="552"/>
        <v>0</v>
      </c>
      <c r="BX308">
        <f t="shared" si="553"/>
        <v>0</v>
      </c>
      <c r="BY308">
        <f t="shared" si="554"/>
        <v>0</v>
      </c>
      <c r="BZ308">
        <f t="shared" si="555"/>
        <v>0</v>
      </c>
      <c r="CA308">
        <f t="shared" si="556"/>
        <v>0</v>
      </c>
      <c r="CB308">
        <f t="shared" si="557"/>
        <v>0</v>
      </c>
      <c r="CC308">
        <f t="shared" si="558"/>
        <v>0</v>
      </c>
      <c r="CD308">
        <f t="shared" si="559"/>
        <v>0</v>
      </c>
      <c r="CE308">
        <f t="shared" si="560"/>
        <v>0</v>
      </c>
      <c r="CF308">
        <f t="shared" si="561"/>
        <v>0</v>
      </c>
      <c r="CG308">
        <f t="shared" si="562"/>
        <v>0</v>
      </c>
      <c r="CH308">
        <f t="shared" si="563"/>
        <v>0</v>
      </c>
      <c r="CI308">
        <f t="shared" si="564"/>
        <v>0</v>
      </c>
      <c r="CJ308">
        <f t="shared" si="565"/>
        <v>0</v>
      </c>
      <c r="CK308">
        <f t="shared" si="566"/>
        <v>0</v>
      </c>
      <c r="CL308">
        <f t="shared" si="567"/>
        <v>0</v>
      </c>
      <c r="CM308">
        <f t="shared" si="568"/>
        <v>0</v>
      </c>
      <c r="CN308">
        <f t="shared" si="569"/>
        <v>0</v>
      </c>
      <c r="CO308">
        <f t="shared" si="570"/>
        <v>0</v>
      </c>
      <c r="CP308">
        <f t="shared" si="571"/>
        <v>0</v>
      </c>
      <c r="CQ308">
        <f t="shared" si="572"/>
        <v>0</v>
      </c>
      <c r="CR308">
        <f t="shared" si="573"/>
        <v>0</v>
      </c>
      <c r="CS308">
        <f t="shared" si="574"/>
        <v>0</v>
      </c>
      <c r="CT308">
        <f t="shared" si="575"/>
        <v>0</v>
      </c>
      <c r="CU308">
        <f t="shared" si="576"/>
        <v>0</v>
      </c>
      <c r="CV308">
        <f t="shared" si="577"/>
        <v>0</v>
      </c>
      <c r="CW308">
        <f t="shared" si="578"/>
        <v>0</v>
      </c>
      <c r="CX308">
        <f t="shared" si="579"/>
        <v>0</v>
      </c>
      <c r="CY308">
        <f t="shared" si="580"/>
        <v>0</v>
      </c>
      <c r="CZ308">
        <f t="shared" si="581"/>
        <v>0</v>
      </c>
      <c r="DA308">
        <f t="shared" si="582"/>
        <v>0</v>
      </c>
      <c r="DB308">
        <f t="shared" si="583"/>
        <v>0</v>
      </c>
      <c r="DC308">
        <f t="shared" si="584"/>
        <v>0</v>
      </c>
      <c r="DD308">
        <f t="shared" si="585"/>
        <v>0</v>
      </c>
      <c r="DE308">
        <f t="shared" si="586"/>
        <v>0</v>
      </c>
      <c r="DF308">
        <f t="shared" si="587"/>
        <v>0</v>
      </c>
      <c r="DG308">
        <f t="shared" si="588"/>
        <v>0</v>
      </c>
      <c r="DH308">
        <f t="shared" si="589"/>
        <v>0</v>
      </c>
      <c r="DI308">
        <f t="shared" si="590"/>
        <v>0</v>
      </c>
      <c r="DJ308">
        <f t="shared" si="591"/>
        <v>0</v>
      </c>
      <c r="DK308">
        <f t="shared" si="592"/>
        <v>0</v>
      </c>
      <c r="DL308">
        <f t="shared" si="593"/>
        <v>0</v>
      </c>
      <c r="DM308">
        <f t="shared" si="594"/>
        <v>0</v>
      </c>
      <c r="DN308">
        <f t="shared" si="595"/>
        <v>0</v>
      </c>
      <c r="DO308">
        <f t="shared" si="596"/>
        <v>0</v>
      </c>
      <c r="DP308">
        <f t="shared" si="597"/>
        <v>0</v>
      </c>
      <c r="DQ308">
        <f t="shared" si="598"/>
        <v>0</v>
      </c>
      <c r="DR308">
        <f t="shared" si="599"/>
        <v>0</v>
      </c>
      <c r="DS308">
        <f t="shared" si="600"/>
        <v>0</v>
      </c>
      <c r="DT308">
        <f t="shared" si="601"/>
        <v>0</v>
      </c>
      <c r="DU308">
        <f t="shared" si="602"/>
        <v>0</v>
      </c>
      <c r="DV308">
        <f t="shared" si="603"/>
        <v>0</v>
      </c>
      <c r="DW308">
        <f t="shared" si="604"/>
        <v>0</v>
      </c>
      <c r="DX308">
        <f t="shared" si="605"/>
        <v>0</v>
      </c>
      <c r="DY308">
        <f t="shared" si="606"/>
        <v>0</v>
      </c>
      <c r="DZ308">
        <f t="shared" si="607"/>
        <v>0</v>
      </c>
      <c r="EA308">
        <f>IF($C308&lt;&gt;"",IF(BL320&gt;0,1,0),0)</f>
        <v>0</v>
      </c>
      <c r="EB308">
        <f t="shared" ref="EB308:EF313" si="609">IF($C308&lt;&gt;"",IF(BM307&gt;0,1,0),0)</f>
        <v>0</v>
      </c>
      <c r="EC308">
        <f t="shared" si="609"/>
        <v>0</v>
      </c>
      <c r="ED308">
        <f t="shared" si="609"/>
        <v>0</v>
      </c>
      <c r="EE308">
        <f t="shared" si="609"/>
        <v>0</v>
      </c>
      <c r="EF308">
        <f t="shared" si="609"/>
        <v>0</v>
      </c>
    </row>
    <row r="309" spans="1:136" ht="15.5">
      <c r="A309" s="90"/>
      <c r="B309" s="19" t="s">
        <v>205</v>
      </c>
      <c r="C309" s="94"/>
      <c r="D309" s="18">
        <v>0</v>
      </c>
      <c r="E309" s="18">
        <v>0</v>
      </c>
      <c r="F309" s="18">
        <v>0</v>
      </c>
      <c r="G309" s="18">
        <v>0</v>
      </c>
      <c r="H309" s="18">
        <v>0</v>
      </c>
      <c r="I309" s="18">
        <v>0</v>
      </c>
      <c r="J309" s="18">
        <v>0</v>
      </c>
      <c r="K309" s="18">
        <v>0</v>
      </c>
      <c r="L309" s="18">
        <v>0</v>
      </c>
      <c r="M309" s="18">
        <v>0</v>
      </c>
      <c r="N309" s="18">
        <v>0</v>
      </c>
      <c r="O309" s="18">
        <v>0</v>
      </c>
      <c r="P309" s="18">
        <v>0</v>
      </c>
      <c r="Q309" s="18">
        <v>0</v>
      </c>
      <c r="R309" s="18">
        <v>0</v>
      </c>
      <c r="S309" s="18">
        <v>0</v>
      </c>
      <c r="T309" s="18">
        <v>0</v>
      </c>
      <c r="U309" s="18">
        <v>0</v>
      </c>
      <c r="V309" s="18">
        <v>0</v>
      </c>
      <c r="W309" s="18">
        <v>0</v>
      </c>
      <c r="X309" s="18">
        <v>0</v>
      </c>
      <c r="Y309" s="18">
        <v>0</v>
      </c>
      <c r="Z309" s="18">
        <v>0</v>
      </c>
      <c r="AA309" s="18">
        <v>1.2943585</v>
      </c>
      <c r="AB309" s="18">
        <v>1.8342343000000001</v>
      </c>
      <c r="AC309" s="18">
        <v>6.8007967000000002</v>
      </c>
      <c r="AD309" s="18">
        <v>2.7554794999999999</v>
      </c>
      <c r="AE309" s="18">
        <v>3.4442852999999998</v>
      </c>
      <c r="AF309" s="18">
        <v>11.4102026</v>
      </c>
      <c r="AG309" s="18">
        <v>19.7505399</v>
      </c>
      <c r="AH309" s="18">
        <v>18.295154699999998</v>
      </c>
      <c r="AI309" s="18">
        <v>17.813560600000002</v>
      </c>
      <c r="AJ309" s="18">
        <v>8.1199133999999997</v>
      </c>
      <c r="AK309" s="18">
        <v>8.9509218000000015</v>
      </c>
      <c r="AL309" s="18">
        <v>6.5706956999999999</v>
      </c>
      <c r="AM309" s="18">
        <v>8.8851098000000004</v>
      </c>
      <c r="AN309" s="18">
        <v>12.007426800000001</v>
      </c>
      <c r="AO309" s="18">
        <v>14.872344400000001</v>
      </c>
      <c r="AP309" s="18">
        <v>18.177006200000001</v>
      </c>
      <c r="AQ309" s="18">
        <v>20.773831999999999</v>
      </c>
      <c r="AR309" s="18">
        <v>23.2939121</v>
      </c>
      <c r="AS309" s="18">
        <v>75</v>
      </c>
      <c r="AT309" s="18">
        <v>28.169451300000002</v>
      </c>
      <c r="AU309" s="18">
        <v>28.882163200000001</v>
      </c>
      <c r="AV309" s="18">
        <v>32.000120799999998</v>
      </c>
      <c r="AW309" s="18">
        <v>34.156402699999994</v>
      </c>
      <c r="AX309" s="18">
        <v>36.849795799999995</v>
      </c>
      <c r="AY309" s="18">
        <v>64</v>
      </c>
      <c r="AZ309" s="18">
        <v>20.610862400000002</v>
      </c>
      <c r="BA309" s="168">
        <v>21.978771799999997</v>
      </c>
      <c r="BB309" s="18">
        <v>35.876712299999994</v>
      </c>
      <c r="BC309" s="18">
        <v>0</v>
      </c>
      <c r="BD309" s="18">
        <v>0</v>
      </c>
      <c r="BE309" s="25">
        <v>0</v>
      </c>
      <c r="BF309" s="18">
        <v>0</v>
      </c>
      <c r="BG309" s="18">
        <v>10</v>
      </c>
      <c r="BH309" s="18">
        <v>10</v>
      </c>
      <c r="BI309" s="18">
        <v>13</v>
      </c>
      <c r="BJ309" s="18">
        <v>146</v>
      </c>
      <c r="BK309" s="113">
        <v>1</v>
      </c>
      <c r="BL309" s="113">
        <v>10.766913199999999</v>
      </c>
      <c r="BM309" s="113">
        <v>176.22634020000001</v>
      </c>
      <c r="BN309" s="168">
        <v>0</v>
      </c>
      <c r="BO309" s="113">
        <v>0</v>
      </c>
      <c r="BP309" s="113">
        <v>0</v>
      </c>
      <c r="BQ309" s="113">
        <v>68</v>
      </c>
      <c r="BR309" s="101"/>
      <c r="BS309">
        <f t="shared" si="548"/>
        <v>0</v>
      </c>
      <c r="BT309">
        <f t="shared" si="549"/>
        <v>0</v>
      </c>
      <c r="BU309">
        <f t="shared" si="550"/>
        <v>0</v>
      </c>
      <c r="BV309">
        <f t="shared" si="551"/>
        <v>0</v>
      </c>
      <c r="BW309">
        <f t="shared" si="552"/>
        <v>0</v>
      </c>
      <c r="BX309">
        <f t="shared" si="553"/>
        <v>0</v>
      </c>
      <c r="BY309">
        <f t="shared" si="554"/>
        <v>0</v>
      </c>
      <c r="BZ309">
        <f t="shared" si="555"/>
        <v>0</v>
      </c>
      <c r="CA309">
        <f t="shared" si="556"/>
        <v>0</v>
      </c>
      <c r="CB309">
        <f t="shared" si="557"/>
        <v>0</v>
      </c>
      <c r="CC309">
        <f t="shared" si="558"/>
        <v>0</v>
      </c>
      <c r="CD309">
        <f t="shared" si="559"/>
        <v>0</v>
      </c>
      <c r="CE309">
        <f t="shared" si="560"/>
        <v>0</v>
      </c>
      <c r="CF309">
        <f t="shared" si="561"/>
        <v>0</v>
      </c>
      <c r="CG309">
        <f t="shared" si="562"/>
        <v>0</v>
      </c>
      <c r="CH309">
        <f t="shared" si="563"/>
        <v>0</v>
      </c>
      <c r="CI309">
        <f t="shared" si="564"/>
        <v>0</v>
      </c>
      <c r="CJ309">
        <f t="shared" si="565"/>
        <v>0</v>
      </c>
      <c r="CK309">
        <f t="shared" si="566"/>
        <v>0</v>
      </c>
      <c r="CL309">
        <f t="shared" si="567"/>
        <v>0</v>
      </c>
      <c r="CM309">
        <f t="shared" si="568"/>
        <v>0</v>
      </c>
      <c r="CN309">
        <f t="shared" si="569"/>
        <v>0</v>
      </c>
      <c r="CO309">
        <f t="shared" si="570"/>
        <v>0</v>
      </c>
      <c r="CP309">
        <f t="shared" si="571"/>
        <v>0</v>
      </c>
      <c r="CQ309">
        <f t="shared" si="572"/>
        <v>0</v>
      </c>
      <c r="CR309">
        <f t="shared" si="573"/>
        <v>0</v>
      </c>
      <c r="CS309">
        <f t="shared" si="574"/>
        <v>0</v>
      </c>
      <c r="CT309">
        <f t="shared" si="575"/>
        <v>0</v>
      </c>
      <c r="CU309">
        <f t="shared" si="576"/>
        <v>0</v>
      </c>
      <c r="CV309">
        <f t="shared" si="577"/>
        <v>0</v>
      </c>
      <c r="CW309">
        <f t="shared" si="578"/>
        <v>0</v>
      </c>
      <c r="CX309">
        <f t="shared" si="579"/>
        <v>0</v>
      </c>
      <c r="CY309">
        <f t="shared" si="580"/>
        <v>0</v>
      </c>
      <c r="CZ309">
        <f t="shared" si="581"/>
        <v>0</v>
      </c>
      <c r="DA309">
        <f t="shared" si="582"/>
        <v>0</v>
      </c>
      <c r="DB309">
        <f t="shared" si="583"/>
        <v>0</v>
      </c>
      <c r="DC309">
        <f t="shared" si="584"/>
        <v>0</v>
      </c>
      <c r="DD309">
        <f t="shared" si="585"/>
        <v>0</v>
      </c>
      <c r="DE309">
        <f t="shared" si="586"/>
        <v>0</v>
      </c>
      <c r="DF309">
        <f t="shared" si="587"/>
        <v>0</v>
      </c>
      <c r="DG309">
        <f t="shared" si="588"/>
        <v>0</v>
      </c>
      <c r="DH309">
        <f t="shared" si="589"/>
        <v>0</v>
      </c>
      <c r="DI309">
        <f t="shared" si="590"/>
        <v>0</v>
      </c>
      <c r="DJ309">
        <f t="shared" si="591"/>
        <v>0</v>
      </c>
      <c r="DK309">
        <f t="shared" si="592"/>
        <v>0</v>
      </c>
      <c r="DL309">
        <f t="shared" si="593"/>
        <v>0</v>
      </c>
      <c r="DM309">
        <f t="shared" si="594"/>
        <v>0</v>
      </c>
      <c r="DN309">
        <f t="shared" si="595"/>
        <v>0</v>
      </c>
      <c r="DO309">
        <f t="shared" si="596"/>
        <v>0</v>
      </c>
      <c r="DP309">
        <f t="shared" si="597"/>
        <v>0</v>
      </c>
      <c r="DQ309">
        <f t="shared" si="598"/>
        <v>0</v>
      </c>
      <c r="DR309">
        <f t="shared" si="599"/>
        <v>0</v>
      </c>
      <c r="DS309">
        <f t="shared" si="600"/>
        <v>0</v>
      </c>
      <c r="DT309">
        <f t="shared" si="601"/>
        <v>0</v>
      </c>
      <c r="DU309">
        <f t="shared" si="602"/>
        <v>0</v>
      </c>
      <c r="DV309">
        <f t="shared" si="603"/>
        <v>0</v>
      </c>
      <c r="DW309">
        <f t="shared" si="604"/>
        <v>0</v>
      </c>
      <c r="DX309">
        <f t="shared" si="605"/>
        <v>0</v>
      </c>
      <c r="DY309">
        <f t="shared" si="606"/>
        <v>0</v>
      </c>
      <c r="DZ309">
        <f t="shared" si="607"/>
        <v>0</v>
      </c>
      <c r="EA309">
        <f>IF($C309&lt;&gt;"",IF(#REF!&gt;0,1,0),0)</f>
        <v>0</v>
      </c>
      <c r="EB309">
        <f t="shared" si="609"/>
        <v>0</v>
      </c>
      <c r="EC309">
        <f t="shared" si="609"/>
        <v>0</v>
      </c>
      <c r="ED309">
        <f t="shared" si="609"/>
        <v>0</v>
      </c>
      <c r="EE309">
        <f t="shared" si="609"/>
        <v>0</v>
      </c>
      <c r="EF309">
        <f t="shared" si="609"/>
        <v>0</v>
      </c>
    </row>
    <row r="310" spans="1:136" ht="15.5">
      <c r="A310" s="90"/>
      <c r="B310" s="57" t="s">
        <v>3</v>
      </c>
      <c r="C310" s="94"/>
      <c r="D310" s="18">
        <v>0</v>
      </c>
      <c r="E310" s="18">
        <v>0</v>
      </c>
      <c r="F310" s="18">
        <v>0</v>
      </c>
      <c r="G310" s="18">
        <v>0</v>
      </c>
      <c r="H310" s="18">
        <v>0</v>
      </c>
      <c r="I310" s="18">
        <v>0</v>
      </c>
      <c r="J310" s="18">
        <v>0</v>
      </c>
      <c r="K310" s="18">
        <v>0</v>
      </c>
      <c r="L310" s="18">
        <v>0</v>
      </c>
      <c r="M310" s="18">
        <v>0</v>
      </c>
      <c r="N310" s="18">
        <v>0.56545000000000001</v>
      </c>
      <c r="O310" s="18">
        <v>1.2761979999999999</v>
      </c>
      <c r="P310" s="18">
        <v>2.704739</v>
      </c>
      <c r="Q310" s="18">
        <v>4.3529549999999997</v>
      </c>
      <c r="R310" s="18">
        <v>5.9910620000000003</v>
      </c>
      <c r="S310" s="18">
        <v>7.9710099999999997</v>
      </c>
      <c r="T310" s="18">
        <v>14.003209999999999</v>
      </c>
      <c r="U310" s="18">
        <v>24.009930000000001</v>
      </c>
      <c r="V310" s="18">
        <v>28.896750000000001</v>
      </c>
      <c r="W310" s="18">
        <v>15.508380000000001</v>
      </c>
      <c r="X310" s="18">
        <v>7.5236669999999997</v>
      </c>
      <c r="Y310" s="18">
        <v>11.347149999999999</v>
      </c>
      <c r="Z310" s="18">
        <v>14.842420000000001</v>
      </c>
      <c r="AA310" s="18">
        <f>26.95498-AA309</f>
        <v>25.660621499999998</v>
      </c>
      <c r="AB310" s="18">
        <f>40.21789-AB309</f>
        <v>38.383655699999998</v>
      </c>
      <c r="AC310" s="18">
        <f>71.59889-AC309</f>
        <v>64.798093299999991</v>
      </c>
      <c r="AD310" s="18">
        <f>43.16802-AD309</f>
        <v>40.412540499999999</v>
      </c>
      <c r="AE310" s="18">
        <f>102.8747-AE309</f>
        <v>99.4304147</v>
      </c>
      <c r="AF310" s="18">
        <f>225.045-AF309</f>
        <v>213.6347974</v>
      </c>
      <c r="AG310" s="18">
        <f>1627.37304075235-AG309</f>
        <v>1607.6225008523502</v>
      </c>
      <c r="AH310" s="18">
        <f>1854.89705882353-AH308</f>
        <v>802.89705882352996</v>
      </c>
      <c r="AI310" s="18">
        <f>1948.20063135742-AI309</f>
        <v>1930.3870707574199</v>
      </c>
      <c r="AJ310" s="18">
        <f>2340.83174360931-AJ309</f>
        <v>2332.7118302093099</v>
      </c>
      <c r="AK310" s="18">
        <f>2301.87985865724-AK309</f>
        <v>2292.9289368572404</v>
      </c>
      <c r="AL310" s="18">
        <f>1216.99459459459-AL308</f>
        <v>41.994594594589898</v>
      </c>
      <c r="AM310" s="18">
        <f>1318.50100200401-AM309</f>
        <v>1309.6158922040099</v>
      </c>
      <c r="AN310" s="40" t="s">
        <v>16</v>
      </c>
      <c r="AO310" s="18">
        <f>930.191780821918-AO309</f>
        <v>915.319436421918</v>
      </c>
      <c r="AP310" s="18">
        <f>947.681355932203-AP309</f>
        <v>929.50434973220297</v>
      </c>
      <c r="AQ310" s="18">
        <f>844.617142857143--AQ309</f>
        <v>865.39097485714296</v>
      </c>
      <c r="AR310" s="18">
        <f>811.072781290041-AR309</f>
        <v>787.77886919004095</v>
      </c>
      <c r="AS310" s="18">
        <f>744.309120699072-AS309</f>
        <v>669.30912069907197</v>
      </c>
      <c r="AT310" s="18">
        <f>790.001608869257-AT309</f>
        <v>761.83215756925699</v>
      </c>
      <c r="AU310" s="18">
        <f>1215.9124519373-AU309</f>
        <v>1187.0302887373</v>
      </c>
      <c r="AV310" s="40" t="s">
        <v>16</v>
      </c>
      <c r="AW310" s="18">
        <f>933.546591484132-AW309</f>
        <v>899.39018878413208</v>
      </c>
      <c r="AX310" s="18">
        <f>744.7169886-AX309</f>
        <v>707.8671928</v>
      </c>
      <c r="AY310" s="18">
        <f>1799.6853339-AY309</f>
        <v>1735.6853338999999</v>
      </c>
      <c r="AZ310" s="18">
        <f>557.3769312-AZ309</f>
        <v>536.76606879999997</v>
      </c>
      <c r="BA310" s="18">
        <f>800.0360212-BA309</f>
        <v>778.05724940000005</v>
      </c>
      <c r="BB310" s="40" t="s">
        <v>16</v>
      </c>
      <c r="BC310" s="18">
        <v>175.80578039999997</v>
      </c>
      <c r="BD310" s="18">
        <v>131.2609592</v>
      </c>
      <c r="BE310" s="25">
        <v>151.94258959999999</v>
      </c>
      <c r="BF310" s="18">
        <v>160.77784980000001</v>
      </c>
      <c r="BG310" s="18">
        <f>168.8643777-BG309</f>
        <v>158.86437770000001</v>
      </c>
      <c r="BH310" s="18">
        <f>191.7603883-BH309-BH308</f>
        <v>162.76038829999999</v>
      </c>
      <c r="BI310" s="147">
        <f>199-BI309-BI308</f>
        <v>130</v>
      </c>
      <c r="BJ310" s="147">
        <f>409-BJ309-BJ308</f>
        <v>158</v>
      </c>
      <c r="BK310" s="147">
        <f>375-BK309-BK308</f>
        <v>204.8</v>
      </c>
      <c r="BL310" s="147">
        <f>348-BL309-BL308</f>
        <v>253.23308680000002</v>
      </c>
      <c r="BM310" s="147">
        <f>528-BM309-BM308</f>
        <v>291.77365980000002</v>
      </c>
      <c r="BN310" s="147">
        <f>265-BN309-BN308</f>
        <v>246</v>
      </c>
      <c r="BO310" s="149">
        <f>198-BO309</f>
        <v>198</v>
      </c>
      <c r="BP310" s="113">
        <v>167</v>
      </c>
      <c r="BQ310" s="113">
        <v>201</v>
      </c>
      <c r="BR310" s="101"/>
      <c r="BS310">
        <f t="shared" si="548"/>
        <v>0</v>
      </c>
      <c r="BT310">
        <f t="shared" si="549"/>
        <v>0</v>
      </c>
      <c r="BU310">
        <f t="shared" si="550"/>
        <v>0</v>
      </c>
      <c r="BV310">
        <f t="shared" si="551"/>
        <v>0</v>
      </c>
      <c r="BW310">
        <f t="shared" si="552"/>
        <v>0</v>
      </c>
      <c r="BX310">
        <f t="shared" si="553"/>
        <v>0</v>
      </c>
      <c r="BY310">
        <f t="shared" si="554"/>
        <v>0</v>
      </c>
      <c r="BZ310">
        <f t="shared" si="555"/>
        <v>0</v>
      </c>
      <c r="CA310">
        <f t="shared" si="556"/>
        <v>0</v>
      </c>
      <c r="CB310">
        <f t="shared" si="557"/>
        <v>0</v>
      </c>
      <c r="CC310">
        <f t="shared" si="558"/>
        <v>0</v>
      </c>
      <c r="CD310">
        <f t="shared" si="559"/>
        <v>0</v>
      </c>
      <c r="CE310">
        <f t="shared" si="560"/>
        <v>0</v>
      </c>
      <c r="CF310">
        <f t="shared" si="561"/>
        <v>0</v>
      </c>
      <c r="CG310">
        <f t="shared" si="562"/>
        <v>0</v>
      </c>
      <c r="CH310">
        <f t="shared" si="563"/>
        <v>0</v>
      </c>
      <c r="CI310">
        <f t="shared" si="564"/>
        <v>0</v>
      </c>
      <c r="CJ310">
        <f t="shared" si="565"/>
        <v>0</v>
      </c>
      <c r="CK310">
        <f t="shared" si="566"/>
        <v>0</v>
      </c>
      <c r="CL310">
        <f t="shared" si="567"/>
        <v>0</v>
      </c>
      <c r="CM310">
        <f t="shared" si="568"/>
        <v>0</v>
      </c>
      <c r="CN310">
        <f t="shared" si="569"/>
        <v>0</v>
      </c>
      <c r="CO310">
        <f t="shared" si="570"/>
        <v>0</v>
      </c>
      <c r="CP310">
        <f t="shared" si="571"/>
        <v>0</v>
      </c>
      <c r="CQ310">
        <f t="shared" si="572"/>
        <v>0</v>
      </c>
      <c r="CR310">
        <f t="shared" si="573"/>
        <v>0</v>
      </c>
      <c r="CS310">
        <f t="shared" si="574"/>
        <v>0</v>
      </c>
      <c r="CT310">
        <f t="shared" si="575"/>
        <v>0</v>
      </c>
      <c r="CU310">
        <f t="shared" si="576"/>
        <v>0</v>
      </c>
      <c r="CV310">
        <f t="shared" si="577"/>
        <v>0</v>
      </c>
      <c r="CW310">
        <f t="shared" si="578"/>
        <v>0</v>
      </c>
      <c r="CX310">
        <f t="shared" si="579"/>
        <v>0</v>
      </c>
      <c r="CY310">
        <f t="shared" si="580"/>
        <v>0</v>
      </c>
      <c r="CZ310">
        <f t="shared" si="581"/>
        <v>0</v>
      </c>
      <c r="DA310">
        <f t="shared" si="582"/>
        <v>0</v>
      </c>
      <c r="DB310">
        <f t="shared" si="583"/>
        <v>0</v>
      </c>
      <c r="DC310">
        <f t="shared" si="584"/>
        <v>0</v>
      </c>
      <c r="DD310">
        <f t="shared" si="585"/>
        <v>0</v>
      </c>
      <c r="DE310">
        <f t="shared" si="586"/>
        <v>0</v>
      </c>
      <c r="DF310">
        <f t="shared" si="587"/>
        <v>0</v>
      </c>
      <c r="DG310">
        <f t="shared" si="588"/>
        <v>0</v>
      </c>
      <c r="DH310">
        <f t="shared" si="589"/>
        <v>0</v>
      </c>
      <c r="DI310">
        <f t="shared" si="590"/>
        <v>0</v>
      </c>
      <c r="DJ310">
        <f t="shared" si="591"/>
        <v>0</v>
      </c>
      <c r="DK310">
        <f t="shared" si="592"/>
        <v>0</v>
      </c>
      <c r="DL310">
        <f t="shared" si="593"/>
        <v>0</v>
      </c>
      <c r="DM310">
        <f t="shared" si="594"/>
        <v>0</v>
      </c>
      <c r="DN310">
        <f t="shared" si="595"/>
        <v>0</v>
      </c>
      <c r="DO310">
        <f t="shared" si="596"/>
        <v>0</v>
      </c>
      <c r="DP310">
        <f t="shared" si="597"/>
        <v>0</v>
      </c>
      <c r="DQ310">
        <f t="shared" si="598"/>
        <v>0</v>
      </c>
      <c r="DR310">
        <f t="shared" si="599"/>
        <v>0</v>
      </c>
      <c r="DS310">
        <f t="shared" si="600"/>
        <v>0</v>
      </c>
      <c r="DT310">
        <f t="shared" si="601"/>
        <v>0</v>
      </c>
      <c r="DU310">
        <f t="shared" si="602"/>
        <v>0</v>
      </c>
      <c r="DV310">
        <f t="shared" si="603"/>
        <v>0</v>
      </c>
      <c r="DW310">
        <f t="shared" si="604"/>
        <v>0</v>
      </c>
      <c r="DX310">
        <f t="shared" si="605"/>
        <v>0</v>
      </c>
      <c r="DY310">
        <f t="shared" si="606"/>
        <v>0</v>
      </c>
      <c r="DZ310">
        <f t="shared" si="607"/>
        <v>0</v>
      </c>
      <c r="EA310">
        <f>IF($C310&lt;&gt;"",IF(BL309&gt;0,1,0),0)</f>
        <v>0</v>
      </c>
      <c r="EB310">
        <f t="shared" si="609"/>
        <v>0</v>
      </c>
      <c r="EC310">
        <f t="shared" si="609"/>
        <v>0</v>
      </c>
      <c r="ED310">
        <f t="shared" si="609"/>
        <v>0</v>
      </c>
      <c r="EE310">
        <f t="shared" si="609"/>
        <v>0</v>
      </c>
      <c r="EF310">
        <f t="shared" si="609"/>
        <v>0</v>
      </c>
    </row>
    <row r="311" spans="1:136" ht="15.5">
      <c r="A311" s="90"/>
      <c r="B311" s="57" t="s">
        <v>18</v>
      </c>
      <c r="C311" s="94"/>
      <c r="D311" s="18">
        <v>0</v>
      </c>
      <c r="E311" s="18">
        <v>0</v>
      </c>
      <c r="F311" s="18">
        <v>0</v>
      </c>
      <c r="G311" s="18">
        <v>0</v>
      </c>
      <c r="H311" s="18">
        <v>0</v>
      </c>
      <c r="I311" s="18">
        <v>0</v>
      </c>
      <c r="J311" s="18">
        <v>0</v>
      </c>
      <c r="K311" s="18">
        <v>0</v>
      </c>
      <c r="L311" s="18">
        <v>0</v>
      </c>
      <c r="M311" s="18">
        <v>0</v>
      </c>
      <c r="N311" s="18">
        <v>0</v>
      </c>
      <c r="O311" s="18">
        <v>0</v>
      </c>
      <c r="P311" s="18">
        <v>0</v>
      </c>
      <c r="Q311" s="18">
        <v>0</v>
      </c>
      <c r="R311" s="18">
        <v>0</v>
      </c>
      <c r="S311" s="18">
        <v>0</v>
      </c>
      <c r="T311" s="40" t="s">
        <v>16</v>
      </c>
      <c r="U311" s="40" t="s">
        <v>16</v>
      </c>
      <c r="V311" s="40" t="s">
        <v>16</v>
      </c>
      <c r="W311" s="40" t="s">
        <v>16</v>
      </c>
      <c r="X311" s="40" t="s">
        <v>16</v>
      </c>
      <c r="Y311" s="18">
        <v>0</v>
      </c>
      <c r="Z311" s="18">
        <v>0</v>
      </c>
      <c r="AA311" s="71">
        <v>0</v>
      </c>
      <c r="AB311" s="40" t="s">
        <v>16</v>
      </c>
      <c r="AC311" s="40" t="s">
        <v>16</v>
      </c>
      <c r="AD311" s="18">
        <v>217</v>
      </c>
      <c r="AE311" s="40" t="s">
        <v>16</v>
      </c>
      <c r="AF311" s="40" t="s">
        <v>16</v>
      </c>
      <c r="AG311" s="40" t="s">
        <v>16</v>
      </c>
      <c r="AH311" s="40" t="s">
        <v>16</v>
      </c>
      <c r="AI311" s="40" t="s">
        <v>16</v>
      </c>
      <c r="AJ311" s="18">
        <v>332</v>
      </c>
      <c r="AK311" s="18">
        <v>332</v>
      </c>
      <c r="AL311" s="18">
        <v>332</v>
      </c>
      <c r="AM311" s="18">
        <v>332</v>
      </c>
      <c r="AN311" s="18">
        <v>332</v>
      </c>
      <c r="AO311" s="18">
        <v>332</v>
      </c>
      <c r="AP311" s="18">
        <v>332</v>
      </c>
      <c r="AQ311" s="18">
        <v>332</v>
      </c>
      <c r="AR311" s="18">
        <v>332</v>
      </c>
      <c r="AS311" s="18">
        <v>332</v>
      </c>
      <c r="AT311" s="18">
        <v>332</v>
      </c>
      <c r="AU311" s="18">
        <v>332</v>
      </c>
      <c r="AV311" s="18">
        <v>332</v>
      </c>
      <c r="AW311" s="18">
        <v>332</v>
      </c>
      <c r="AX311" s="40" t="s">
        <v>16</v>
      </c>
      <c r="AY311" s="18">
        <v>2100</v>
      </c>
      <c r="AZ311" s="18">
        <v>0</v>
      </c>
      <c r="BA311" s="18">
        <v>0</v>
      </c>
      <c r="BB311" s="18">
        <v>0</v>
      </c>
      <c r="BC311" s="18">
        <v>0</v>
      </c>
      <c r="BD311" s="18">
        <v>0</v>
      </c>
      <c r="BE311" s="25">
        <v>0</v>
      </c>
      <c r="BF311" s="18">
        <v>0</v>
      </c>
      <c r="BG311" s="18">
        <v>0</v>
      </c>
      <c r="BH311" s="18">
        <v>0</v>
      </c>
      <c r="BI311" s="113">
        <v>0</v>
      </c>
      <c r="BJ311" s="113">
        <v>0</v>
      </c>
      <c r="BK311" s="113">
        <v>0</v>
      </c>
      <c r="BL311" s="113">
        <v>0</v>
      </c>
      <c r="BM311" s="113">
        <v>0</v>
      </c>
      <c r="BN311" s="113">
        <v>0</v>
      </c>
      <c r="BO311" s="113">
        <v>0</v>
      </c>
      <c r="BP311" s="113">
        <v>0</v>
      </c>
      <c r="BQ311" s="113">
        <v>0</v>
      </c>
      <c r="BR311" s="101"/>
      <c r="BS311">
        <f t="shared" si="548"/>
        <v>0</v>
      </c>
      <c r="BT311">
        <f t="shared" si="549"/>
        <v>0</v>
      </c>
      <c r="BU311">
        <f t="shared" si="550"/>
        <v>0</v>
      </c>
      <c r="BV311">
        <f t="shared" si="551"/>
        <v>0</v>
      </c>
      <c r="BW311">
        <f t="shared" si="552"/>
        <v>0</v>
      </c>
      <c r="BX311">
        <f t="shared" si="553"/>
        <v>0</v>
      </c>
      <c r="BY311">
        <f t="shared" si="554"/>
        <v>0</v>
      </c>
      <c r="BZ311">
        <f t="shared" si="555"/>
        <v>0</v>
      </c>
      <c r="CA311">
        <f t="shared" si="556"/>
        <v>0</v>
      </c>
      <c r="CB311">
        <f t="shared" si="557"/>
        <v>0</v>
      </c>
      <c r="CC311">
        <f t="shared" si="558"/>
        <v>0</v>
      </c>
      <c r="CD311">
        <f t="shared" si="559"/>
        <v>0</v>
      </c>
      <c r="CE311">
        <f t="shared" si="560"/>
        <v>0</v>
      </c>
      <c r="CF311">
        <f t="shared" si="561"/>
        <v>0</v>
      </c>
      <c r="CG311">
        <f t="shared" si="562"/>
        <v>0</v>
      </c>
      <c r="CH311">
        <f t="shared" si="563"/>
        <v>0</v>
      </c>
      <c r="CI311">
        <f t="shared" si="564"/>
        <v>0</v>
      </c>
      <c r="CJ311">
        <f t="shared" si="565"/>
        <v>0</v>
      </c>
      <c r="CK311">
        <f t="shared" si="566"/>
        <v>0</v>
      </c>
      <c r="CL311">
        <f t="shared" si="567"/>
        <v>0</v>
      </c>
      <c r="CM311">
        <f t="shared" si="568"/>
        <v>0</v>
      </c>
      <c r="CN311">
        <f t="shared" si="569"/>
        <v>0</v>
      </c>
      <c r="CO311">
        <f t="shared" si="570"/>
        <v>0</v>
      </c>
      <c r="CP311">
        <f t="shared" si="571"/>
        <v>0</v>
      </c>
      <c r="CQ311">
        <f t="shared" si="572"/>
        <v>0</v>
      </c>
      <c r="CR311">
        <f t="shared" si="573"/>
        <v>0</v>
      </c>
      <c r="CS311">
        <f t="shared" si="574"/>
        <v>0</v>
      </c>
      <c r="CT311">
        <f t="shared" si="575"/>
        <v>0</v>
      </c>
      <c r="CU311">
        <f t="shared" si="576"/>
        <v>0</v>
      </c>
      <c r="CV311">
        <f t="shared" si="577"/>
        <v>0</v>
      </c>
      <c r="CW311">
        <f t="shared" si="578"/>
        <v>0</v>
      </c>
      <c r="CX311">
        <f t="shared" si="579"/>
        <v>0</v>
      </c>
      <c r="CY311">
        <f t="shared" si="580"/>
        <v>0</v>
      </c>
      <c r="CZ311">
        <f t="shared" si="581"/>
        <v>0</v>
      </c>
      <c r="DA311">
        <f t="shared" si="582"/>
        <v>0</v>
      </c>
      <c r="DB311">
        <f t="shared" si="583"/>
        <v>0</v>
      </c>
      <c r="DC311">
        <f t="shared" si="584"/>
        <v>0</v>
      </c>
      <c r="DD311">
        <f t="shared" si="585"/>
        <v>0</v>
      </c>
      <c r="DE311">
        <f t="shared" si="586"/>
        <v>0</v>
      </c>
      <c r="DF311">
        <f t="shared" si="587"/>
        <v>0</v>
      </c>
      <c r="DG311">
        <f t="shared" si="588"/>
        <v>0</v>
      </c>
      <c r="DH311">
        <f t="shared" si="589"/>
        <v>0</v>
      </c>
      <c r="DI311">
        <f t="shared" si="590"/>
        <v>0</v>
      </c>
      <c r="DJ311">
        <f t="shared" si="591"/>
        <v>0</v>
      </c>
      <c r="DK311">
        <f t="shared" si="592"/>
        <v>0</v>
      </c>
      <c r="DL311">
        <f t="shared" si="593"/>
        <v>0</v>
      </c>
      <c r="DM311">
        <f t="shared" si="594"/>
        <v>0</v>
      </c>
      <c r="DN311">
        <f t="shared" si="595"/>
        <v>0</v>
      </c>
      <c r="DO311">
        <f t="shared" si="596"/>
        <v>0</v>
      </c>
      <c r="DP311">
        <f t="shared" si="597"/>
        <v>0</v>
      </c>
      <c r="DQ311">
        <f t="shared" si="598"/>
        <v>0</v>
      </c>
      <c r="DR311">
        <f t="shared" si="599"/>
        <v>0</v>
      </c>
      <c r="DS311">
        <f t="shared" si="600"/>
        <v>0</v>
      </c>
      <c r="DT311">
        <f t="shared" si="601"/>
        <v>0</v>
      </c>
      <c r="DU311">
        <f t="shared" si="602"/>
        <v>0</v>
      </c>
      <c r="DV311">
        <f t="shared" si="603"/>
        <v>0</v>
      </c>
      <c r="DW311">
        <f t="shared" si="604"/>
        <v>0</v>
      </c>
      <c r="DX311">
        <f t="shared" si="605"/>
        <v>0</v>
      </c>
      <c r="DY311">
        <f t="shared" si="606"/>
        <v>0</v>
      </c>
      <c r="DZ311">
        <f t="shared" si="607"/>
        <v>0</v>
      </c>
      <c r="EA311">
        <f>IF($C311&lt;&gt;"",IF(BL310&gt;0,1,0),0)</f>
        <v>0</v>
      </c>
      <c r="EB311">
        <f t="shared" si="609"/>
        <v>0</v>
      </c>
      <c r="EC311">
        <f t="shared" si="609"/>
        <v>0</v>
      </c>
      <c r="ED311">
        <f t="shared" si="609"/>
        <v>0</v>
      </c>
      <c r="EE311">
        <f t="shared" si="609"/>
        <v>0</v>
      </c>
      <c r="EF311">
        <f t="shared" si="609"/>
        <v>0</v>
      </c>
    </row>
    <row r="312" spans="1:136" ht="15.5">
      <c r="A312" s="90"/>
      <c r="B312" s="57" t="s">
        <v>25</v>
      </c>
      <c r="C312" s="94"/>
      <c r="D312" s="18">
        <v>0</v>
      </c>
      <c r="E312" s="18">
        <v>0</v>
      </c>
      <c r="F312" s="18">
        <v>0</v>
      </c>
      <c r="G312" s="18">
        <v>0</v>
      </c>
      <c r="H312" s="18">
        <v>0</v>
      </c>
      <c r="I312" s="18">
        <v>0</v>
      </c>
      <c r="J312" s="18">
        <v>0</v>
      </c>
      <c r="K312" s="18">
        <v>0</v>
      </c>
      <c r="L312" s="18">
        <v>0</v>
      </c>
      <c r="M312" s="18">
        <v>0</v>
      </c>
      <c r="N312" s="18">
        <v>0</v>
      </c>
      <c r="O312" s="18">
        <v>0</v>
      </c>
      <c r="P312" s="18">
        <v>0</v>
      </c>
      <c r="Q312" s="18">
        <v>0</v>
      </c>
      <c r="R312" s="18">
        <v>0</v>
      </c>
      <c r="S312" s="18">
        <v>0</v>
      </c>
      <c r="T312" s="18">
        <v>0</v>
      </c>
      <c r="U312" s="18">
        <v>0</v>
      </c>
      <c r="V312" s="18">
        <v>0</v>
      </c>
      <c r="W312" s="18">
        <v>0</v>
      </c>
      <c r="X312" s="18">
        <v>0</v>
      </c>
      <c r="Y312" s="18">
        <v>0</v>
      </c>
      <c r="Z312" s="18">
        <v>0</v>
      </c>
      <c r="AA312" s="18">
        <v>0</v>
      </c>
      <c r="AB312" s="18">
        <v>0</v>
      </c>
      <c r="AC312" s="18">
        <v>0</v>
      </c>
      <c r="AD312" s="18">
        <v>0</v>
      </c>
      <c r="AE312" s="18">
        <v>0</v>
      </c>
      <c r="AF312" s="18">
        <v>0</v>
      </c>
      <c r="AG312" s="18">
        <v>0</v>
      </c>
      <c r="AH312" s="18">
        <v>0</v>
      </c>
      <c r="AI312" s="18">
        <v>0</v>
      </c>
      <c r="AJ312" s="18">
        <v>0</v>
      </c>
      <c r="AK312" s="18">
        <v>0</v>
      </c>
      <c r="AL312" s="18">
        <v>0</v>
      </c>
      <c r="AM312" s="18">
        <v>0</v>
      </c>
      <c r="AN312" s="18">
        <v>0</v>
      </c>
      <c r="AO312" s="18">
        <v>0</v>
      </c>
      <c r="AP312" s="18">
        <v>0</v>
      </c>
      <c r="AQ312" s="18">
        <v>0</v>
      </c>
      <c r="AR312" s="18">
        <v>0</v>
      </c>
      <c r="AS312" s="18">
        <v>0</v>
      </c>
      <c r="AT312" s="18">
        <v>0</v>
      </c>
      <c r="AU312" s="18">
        <v>0</v>
      </c>
      <c r="AV312" s="18">
        <v>0</v>
      </c>
      <c r="AW312" s="18">
        <v>0</v>
      </c>
      <c r="AX312" s="18">
        <v>0</v>
      </c>
      <c r="AY312" s="18">
        <v>0</v>
      </c>
      <c r="AZ312" s="18">
        <v>0</v>
      </c>
      <c r="BA312" s="18">
        <v>0</v>
      </c>
      <c r="BB312" s="18">
        <v>0</v>
      </c>
      <c r="BC312" s="18">
        <v>0</v>
      </c>
      <c r="BD312" s="18">
        <v>0</v>
      </c>
      <c r="BE312" s="25">
        <v>0</v>
      </c>
      <c r="BF312" s="18">
        <v>0</v>
      </c>
      <c r="BG312" s="18">
        <v>0</v>
      </c>
      <c r="BH312" s="113">
        <v>398</v>
      </c>
      <c r="BI312" s="113">
        <v>492</v>
      </c>
      <c r="BJ312" s="113">
        <v>0</v>
      </c>
      <c r="BK312" s="113">
        <v>0</v>
      </c>
      <c r="BL312" s="113">
        <v>0</v>
      </c>
      <c r="BM312" s="113">
        <v>0</v>
      </c>
      <c r="BN312" s="113">
        <v>0</v>
      </c>
      <c r="BO312" s="113">
        <v>0</v>
      </c>
      <c r="BP312" s="113">
        <v>0</v>
      </c>
      <c r="BQ312" s="113">
        <v>0</v>
      </c>
      <c r="BR312" s="101"/>
      <c r="BS312">
        <f t="shared" si="548"/>
        <v>0</v>
      </c>
      <c r="BT312">
        <f t="shared" si="549"/>
        <v>0</v>
      </c>
      <c r="BU312">
        <f t="shared" si="550"/>
        <v>0</v>
      </c>
      <c r="BV312">
        <f t="shared" si="551"/>
        <v>0</v>
      </c>
      <c r="BW312">
        <f t="shared" si="552"/>
        <v>0</v>
      </c>
      <c r="BX312">
        <f t="shared" si="553"/>
        <v>0</v>
      </c>
      <c r="BY312">
        <f t="shared" si="554"/>
        <v>0</v>
      </c>
      <c r="BZ312">
        <f t="shared" si="555"/>
        <v>0</v>
      </c>
      <c r="CA312">
        <f t="shared" si="556"/>
        <v>0</v>
      </c>
      <c r="CB312">
        <f t="shared" si="557"/>
        <v>0</v>
      </c>
      <c r="CC312">
        <f t="shared" si="558"/>
        <v>0</v>
      </c>
      <c r="CD312">
        <f t="shared" si="559"/>
        <v>0</v>
      </c>
      <c r="CE312">
        <f t="shared" si="560"/>
        <v>0</v>
      </c>
      <c r="CF312">
        <f t="shared" si="561"/>
        <v>0</v>
      </c>
      <c r="CG312">
        <f t="shared" si="562"/>
        <v>0</v>
      </c>
      <c r="CH312">
        <f t="shared" si="563"/>
        <v>0</v>
      </c>
      <c r="CI312">
        <f t="shared" si="564"/>
        <v>0</v>
      </c>
      <c r="CJ312">
        <f t="shared" si="565"/>
        <v>0</v>
      </c>
      <c r="CK312">
        <f t="shared" si="566"/>
        <v>0</v>
      </c>
      <c r="CL312">
        <f t="shared" si="567"/>
        <v>0</v>
      </c>
      <c r="CM312">
        <f t="shared" si="568"/>
        <v>0</v>
      </c>
      <c r="CN312">
        <f t="shared" si="569"/>
        <v>0</v>
      </c>
      <c r="CO312">
        <f t="shared" si="570"/>
        <v>0</v>
      </c>
      <c r="CP312">
        <f t="shared" si="571"/>
        <v>0</v>
      </c>
      <c r="CQ312">
        <f t="shared" si="572"/>
        <v>0</v>
      </c>
      <c r="CR312">
        <f t="shared" si="573"/>
        <v>0</v>
      </c>
      <c r="CS312">
        <f t="shared" si="574"/>
        <v>0</v>
      </c>
      <c r="CT312">
        <f t="shared" si="575"/>
        <v>0</v>
      </c>
      <c r="CU312">
        <f t="shared" si="576"/>
        <v>0</v>
      </c>
      <c r="CV312">
        <f t="shared" si="577"/>
        <v>0</v>
      </c>
      <c r="CW312">
        <f t="shared" si="578"/>
        <v>0</v>
      </c>
      <c r="CX312">
        <f t="shared" si="579"/>
        <v>0</v>
      </c>
      <c r="CY312">
        <f t="shared" si="580"/>
        <v>0</v>
      </c>
      <c r="CZ312">
        <f t="shared" si="581"/>
        <v>0</v>
      </c>
      <c r="DA312">
        <f t="shared" si="582"/>
        <v>0</v>
      </c>
      <c r="DB312">
        <f t="shared" si="583"/>
        <v>0</v>
      </c>
      <c r="DC312">
        <f t="shared" si="584"/>
        <v>0</v>
      </c>
      <c r="DD312">
        <f t="shared" si="585"/>
        <v>0</v>
      </c>
      <c r="DE312">
        <f t="shared" si="586"/>
        <v>0</v>
      </c>
      <c r="DF312">
        <f t="shared" si="587"/>
        <v>0</v>
      </c>
      <c r="DG312">
        <f t="shared" si="588"/>
        <v>0</v>
      </c>
      <c r="DH312">
        <f t="shared" si="589"/>
        <v>0</v>
      </c>
      <c r="DI312">
        <f t="shared" si="590"/>
        <v>0</v>
      </c>
      <c r="DJ312">
        <f t="shared" si="591"/>
        <v>0</v>
      </c>
      <c r="DK312">
        <f t="shared" si="592"/>
        <v>0</v>
      </c>
      <c r="DL312">
        <f t="shared" si="593"/>
        <v>0</v>
      </c>
      <c r="DM312">
        <f t="shared" si="594"/>
        <v>0</v>
      </c>
      <c r="DN312">
        <f t="shared" si="595"/>
        <v>0</v>
      </c>
      <c r="DO312">
        <f t="shared" si="596"/>
        <v>0</v>
      </c>
      <c r="DP312">
        <f t="shared" si="597"/>
        <v>0</v>
      </c>
      <c r="DQ312">
        <f t="shared" si="598"/>
        <v>0</v>
      </c>
      <c r="DR312">
        <f t="shared" si="599"/>
        <v>0</v>
      </c>
      <c r="DS312">
        <f t="shared" si="600"/>
        <v>0</v>
      </c>
      <c r="DT312">
        <f t="shared" si="601"/>
        <v>0</v>
      </c>
      <c r="DU312">
        <f t="shared" si="602"/>
        <v>0</v>
      </c>
      <c r="DV312">
        <f t="shared" si="603"/>
        <v>0</v>
      </c>
      <c r="DW312">
        <f t="shared" si="604"/>
        <v>0</v>
      </c>
      <c r="DX312">
        <f t="shared" si="605"/>
        <v>0</v>
      </c>
      <c r="DY312">
        <f t="shared" si="606"/>
        <v>0</v>
      </c>
      <c r="DZ312">
        <f t="shared" si="607"/>
        <v>0</v>
      </c>
      <c r="EA312">
        <f>IF($C312&lt;&gt;"",IF(BL311&gt;0,1,0),0)</f>
        <v>0</v>
      </c>
      <c r="EB312">
        <f t="shared" si="609"/>
        <v>0</v>
      </c>
      <c r="EC312">
        <f t="shared" si="609"/>
        <v>0</v>
      </c>
      <c r="ED312">
        <f t="shared" si="609"/>
        <v>0</v>
      </c>
      <c r="EE312">
        <f t="shared" si="609"/>
        <v>0</v>
      </c>
      <c r="EF312">
        <f t="shared" si="609"/>
        <v>0</v>
      </c>
    </row>
    <row r="313" spans="1:136" ht="15.5">
      <c r="A313" s="90"/>
      <c r="B313" s="57" t="s">
        <v>208</v>
      </c>
      <c r="C313" s="94"/>
      <c r="D313" s="18">
        <v>0</v>
      </c>
      <c r="E313" s="18">
        <v>0</v>
      </c>
      <c r="F313" s="18">
        <v>0</v>
      </c>
      <c r="G313" s="18">
        <v>0</v>
      </c>
      <c r="H313" s="18">
        <v>0</v>
      </c>
      <c r="I313" s="18">
        <v>0</v>
      </c>
      <c r="J313" s="18">
        <v>0</v>
      </c>
      <c r="K313" s="18">
        <v>0</v>
      </c>
      <c r="L313" s="18">
        <v>0</v>
      </c>
      <c r="M313" s="18">
        <v>0</v>
      </c>
      <c r="N313" s="18">
        <v>0.98852399999999996</v>
      </c>
      <c r="O313" s="18">
        <v>2.6627610000000002</v>
      </c>
      <c r="P313" s="18">
        <v>4.8611209999999998</v>
      </c>
      <c r="Q313" s="18">
        <v>8.1491310000000006</v>
      </c>
      <c r="R313" s="18">
        <v>8.670102</v>
      </c>
      <c r="S313" s="18">
        <v>9.6185569999999991</v>
      </c>
      <c r="T313" s="18">
        <v>13.09182</v>
      </c>
      <c r="U313" s="18">
        <v>16.793610000000001</v>
      </c>
      <c r="V313" s="18">
        <v>21.06335</v>
      </c>
      <c r="W313" s="18">
        <v>10.10589</v>
      </c>
      <c r="X313" s="18">
        <v>6.7486300000000004</v>
      </c>
      <c r="Y313" s="18">
        <v>1.659357</v>
      </c>
      <c r="Z313" s="18">
        <v>19.73376</v>
      </c>
      <c r="AA313" s="18">
        <v>26.668220000000002</v>
      </c>
      <c r="AB313" s="18">
        <v>38.676009999999998</v>
      </c>
      <c r="AC313" s="18">
        <v>99.724590000000006</v>
      </c>
      <c r="AD313" s="18">
        <v>140.55789999999999</v>
      </c>
      <c r="AE313" s="18">
        <v>268.33440000000002</v>
      </c>
      <c r="AF313" s="18">
        <v>436.7527</v>
      </c>
      <c r="AG313" s="18">
        <v>659.78060000000005</v>
      </c>
      <c r="AH313" s="18">
        <v>950.06960000000004</v>
      </c>
      <c r="AI313" s="18">
        <v>665.1046</v>
      </c>
      <c r="AJ313" s="18">
        <v>673.66399999999999</v>
      </c>
      <c r="AK313" s="18">
        <v>683.35590000000002</v>
      </c>
      <c r="AL313" s="18">
        <v>671.81569999999999</v>
      </c>
      <c r="AM313" s="18">
        <v>540.52179999999998</v>
      </c>
      <c r="AN313" s="18">
        <v>627.94209999999998</v>
      </c>
      <c r="AO313" s="18">
        <v>694.75919999999996</v>
      </c>
      <c r="AP313" s="18">
        <f>839.0598+996.08</f>
        <v>1835.1397999999999</v>
      </c>
      <c r="AQ313" s="18">
        <v>886.09500000000003</v>
      </c>
      <c r="AR313" s="18">
        <v>927.61450000000002</v>
      </c>
      <c r="AS313" s="18">
        <v>974.77160000000003</v>
      </c>
      <c r="AT313" s="18">
        <v>1044.5640000000001</v>
      </c>
      <c r="AU313" s="18">
        <v>1129.9690000000001</v>
      </c>
      <c r="AV313" s="18">
        <v>2931.127</v>
      </c>
      <c r="AW313" s="18">
        <v>2783.4850000000001</v>
      </c>
      <c r="AX313" s="18">
        <v>2832.2035000000001</v>
      </c>
      <c r="AY313" s="18">
        <v>1119.6600000000001</v>
      </c>
      <c r="AZ313" s="18">
        <v>810.76769999999999</v>
      </c>
      <c r="BA313" s="18">
        <v>176.07650000000001</v>
      </c>
      <c r="BB313" s="18">
        <v>109.88929419999999</v>
      </c>
      <c r="BC313" s="18">
        <v>106.9945353</v>
      </c>
      <c r="BD313" s="18">
        <v>108.5709811</v>
      </c>
      <c r="BE313" s="25">
        <v>113.41147789999999</v>
      </c>
      <c r="BF313" s="18">
        <v>100.00043180000002</v>
      </c>
      <c r="BG313" s="18">
        <v>83.199172200000007</v>
      </c>
      <c r="BH313" s="34">
        <v>79.607907099999991</v>
      </c>
      <c r="BI313" s="40" t="s">
        <v>16</v>
      </c>
      <c r="BJ313" s="18">
        <v>18.811150700000002</v>
      </c>
      <c r="BK313" s="113">
        <v>17.800247299999999</v>
      </c>
      <c r="BL313" s="113">
        <v>1233</v>
      </c>
      <c r="BM313" s="113">
        <v>19</v>
      </c>
      <c r="BN313" s="113">
        <v>364</v>
      </c>
      <c r="BO313" s="113">
        <v>372</v>
      </c>
      <c r="BP313" s="113">
        <v>379</v>
      </c>
      <c r="BQ313" s="113">
        <v>538</v>
      </c>
      <c r="BR313" s="101"/>
      <c r="BS313">
        <f t="shared" si="548"/>
        <v>0</v>
      </c>
      <c r="BT313">
        <f t="shared" si="549"/>
        <v>0</v>
      </c>
      <c r="BU313">
        <f t="shared" si="550"/>
        <v>0</v>
      </c>
      <c r="BV313">
        <f t="shared" si="551"/>
        <v>0</v>
      </c>
      <c r="BW313">
        <f t="shared" si="552"/>
        <v>0</v>
      </c>
      <c r="BX313">
        <f t="shared" si="553"/>
        <v>0</v>
      </c>
      <c r="BY313">
        <f t="shared" si="554"/>
        <v>0</v>
      </c>
      <c r="BZ313">
        <f t="shared" si="555"/>
        <v>0</v>
      </c>
      <c r="CA313">
        <f t="shared" si="556"/>
        <v>0</v>
      </c>
      <c r="CB313">
        <f t="shared" si="557"/>
        <v>0</v>
      </c>
      <c r="CC313">
        <f t="shared" si="558"/>
        <v>0</v>
      </c>
      <c r="CD313">
        <f t="shared" si="559"/>
        <v>0</v>
      </c>
      <c r="CE313">
        <f t="shared" si="560"/>
        <v>0</v>
      </c>
      <c r="CF313">
        <f t="shared" si="561"/>
        <v>0</v>
      </c>
      <c r="CG313">
        <f t="shared" si="562"/>
        <v>0</v>
      </c>
      <c r="CH313">
        <f t="shared" si="563"/>
        <v>0</v>
      </c>
      <c r="CI313">
        <f t="shared" si="564"/>
        <v>0</v>
      </c>
      <c r="CJ313">
        <f t="shared" si="565"/>
        <v>0</v>
      </c>
      <c r="CK313">
        <f t="shared" si="566"/>
        <v>0</v>
      </c>
      <c r="CL313">
        <f t="shared" si="567"/>
        <v>0</v>
      </c>
      <c r="CM313">
        <f t="shared" si="568"/>
        <v>0</v>
      </c>
      <c r="CN313">
        <f t="shared" si="569"/>
        <v>0</v>
      </c>
      <c r="CO313">
        <f t="shared" si="570"/>
        <v>0</v>
      </c>
      <c r="CP313">
        <f t="shared" si="571"/>
        <v>0</v>
      </c>
      <c r="CQ313">
        <f t="shared" si="572"/>
        <v>0</v>
      </c>
      <c r="CR313">
        <f t="shared" si="573"/>
        <v>0</v>
      </c>
      <c r="CS313">
        <f t="shared" si="574"/>
        <v>0</v>
      </c>
      <c r="CT313">
        <f t="shared" si="575"/>
        <v>0</v>
      </c>
      <c r="CU313">
        <f t="shared" si="576"/>
        <v>0</v>
      </c>
      <c r="CV313">
        <f t="shared" si="577"/>
        <v>0</v>
      </c>
      <c r="CW313">
        <f t="shared" si="578"/>
        <v>0</v>
      </c>
      <c r="CX313">
        <f t="shared" si="579"/>
        <v>0</v>
      </c>
      <c r="CY313">
        <f t="shared" si="580"/>
        <v>0</v>
      </c>
      <c r="CZ313">
        <f t="shared" si="581"/>
        <v>0</v>
      </c>
      <c r="DA313">
        <f t="shared" si="582"/>
        <v>0</v>
      </c>
      <c r="DB313">
        <f t="shared" si="583"/>
        <v>0</v>
      </c>
      <c r="DC313">
        <f t="shared" si="584"/>
        <v>0</v>
      </c>
      <c r="DD313">
        <f t="shared" si="585"/>
        <v>0</v>
      </c>
      <c r="DE313">
        <f t="shared" si="586"/>
        <v>0</v>
      </c>
      <c r="DF313">
        <f t="shared" si="587"/>
        <v>0</v>
      </c>
      <c r="DG313">
        <f t="shared" si="588"/>
        <v>0</v>
      </c>
      <c r="DH313">
        <f t="shared" si="589"/>
        <v>0</v>
      </c>
      <c r="DI313">
        <f t="shared" si="590"/>
        <v>0</v>
      </c>
      <c r="DJ313">
        <f t="shared" si="591"/>
        <v>0</v>
      </c>
      <c r="DK313">
        <f t="shared" si="592"/>
        <v>0</v>
      </c>
      <c r="DL313">
        <f t="shared" si="593"/>
        <v>0</v>
      </c>
      <c r="DM313">
        <f t="shared" si="594"/>
        <v>0</v>
      </c>
      <c r="DN313">
        <f t="shared" si="595"/>
        <v>0</v>
      </c>
      <c r="DO313">
        <f t="shared" si="596"/>
        <v>0</v>
      </c>
      <c r="DP313">
        <f t="shared" si="597"/>
        <v>0</v>
      </c>
      <c r="DQ313">
        <f t="shared" si="598"/>
        <v>0</v>
      </c>
      <c r="DR313">
        <f t="shared" si="599"/>
        <v>0</v>
      </c>
      <c r="DS313">
        <f t="shared" si="600"/>
        <v>0</v>
      </c>
      <c r="DT313">
        <f t="shared" si="601"/>
        <v>0</v>
      </c>
      <c r="DU313">
        <f t="shared" si="602"/>
        <v>0</v>
      </c>
      <c r="DV313">
        <f t="shared" si="603"/>
        <v>0</v>
      </c>
      <c r="DW313">
        <f t="shared" si="604"/>
        <v>0</v>
      </c>
      <c r="DX313">
        <f t="shared" si="605"/>
        <v>0</v>
      </c>
      <c r="DY313">
        <f t="shared" si="606"/>
        <v>0</v>
      </c>
      <c r="DZ313">
        <f t="shared" si="607"/>
        <v>0</v>
      </c>
      <c r="EA313">
        <f>IF($C313&lt;&gt;"",IF(BL312&gt;0,1,0),0)</f>
        <v>0</v>
      </c>
      <c r="EB313">
        <f t="shared" si="609"/>
        <v>0</v>
      </c>
      <c r="EC313">
        <f t="shared" si="609"/>
        <v>0</v>
      </c>
      <c r="ED313">
        <f t="shared" si="609"/>
        <v>0</v>
      </c>
      <c r="EE313">
        <f t="shared" si="609"/>
        <v>0</v>
      </c>
      <c r="EF313">
        <f t="shared" si="609"/>
        <v>0</v>
      </c>
    </row>
    <row r="314" spans="1:136" ht="15.5">
      <c r="A314" s="90"/>
      <c r="B314" s="57" t="s">
        <v>212</v>
      </c>
      <c r="C314" s="94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>
        <v>1996.201579541181</v>
      </c>
      <c r="X314" s="18">
        <v>2074.0853080568722</v>
      </c>
      <c r="Y314" s="18">
        <v>1648.4451477569646</v>
      </c>
      <c r="Z314" s="18">
        <v>1371.6320258056662</v>
      </c>
      <c r="AA314" s="18">
        <v>1343.3910761154855</v>
      </c>
      <c r="AB314" s="18">
        <v>1179.8150860490664</v>
      </c>
      <c r="AC314" s="18">
        <v>1204.2736945198772</v>
      </c>
      <c r="AD314" s="18">
        <v>1511.4550547197598</v>
      </c>
      <c r="AE314" s="18">
        <v>1667.1058760897051</v>
      </c>
      <c r="AF314" s="18">
        <v>1678.4690280342452</v>
      </c>
      <c r="AG314" s="18">
        <v>1627.373040752351</v>
      </c>
      <c r="AH314" s="18">
        <v>1854.8970588235295</v>
      </c>
      <c r="AI314" s="18">
        <v>1948.2006313574184</v>
      </c>
      <c r="AJ314" s="18">
        <v>2340.8317436093093</v>
      </c>
      <c r="AK314" s="18">
        <v>2301.8798586572439</v>
      </c>
      <c r="AL314" s="18">
        <v>1216.9945945945947</v>
      </c>
      <c r="AM314" s="18">
        <v>1318.5010020040081</v>
      </c>
      <c r="AN314" s="18">
        <v>1245.9609375</v>
      </c>
      <c r="AO314" s="18">
        <v>930.19178082191786</v>
      </c>
      <c r="AP314" s="18">
        <v>947.68135593220336</v>
      </c>
      <c r="AQ314" s="18">
        <v>844.61714285714288</v>
      </c>
      <c r="AR314" s="18">
        <v>811.07278129004089</v>
      </c>
      <c r="AS314" s="18">
        <v>744.30912069907151</v>
      </c>
      <c r="AT314" s="18">
        <v>790.00160886925744</v>
      </c>
      <c r="AU314" s="18">
        <v>1215.9124519372967</v>
      </c>
      <c r="AV314" s="18">
        <v>1262.2188581314879</v>
      </c>
      <c r="AW314" s="18">
        <v>933.54659148413202</v>
      </c>
      <c r="AX314" s="18">
        <v>711.23651659655991</v>
      </c>
      <c r="AY314" s="18">
        <v>2948.3919889379545</v>
      </c>
      <c r="AZ314" s="18">
        <v>2445.0942574503824</v>
      </c>
      <c r="BA314" s="18">
        <v>2363.4041981227178</v>
      </c>
      <c r="BB314" s="18">
        <v>1828.3848586878889</v>
      </c>
      <c r="BC314" s="18">
        <v>1631.7677822147448</v>
      </c>
      <c r="BD314" s="18">
        <v>1492.9883945841393</v>
      </c>
      <c r="BE314" s="25">
        <v>1175.2629153224118</v>
      </c>
      <c r="BF314" s="18">
        <v>1444.8868203143984</v>
      </c>
      <c r="BG314" s="18">
        <v>1419.1561237331921</v>
      </c>
      <c r="BH314" s="34">
        <v>1538.584951066902</v>
      </c>
      <c r="BI314" s="18">
        <v>1775.8648751288497</v>
      </c>
      <c r="BJ314" s="18">
        <v>1725.011797193142</v>
      </c>
      <c r="BK314" s="113">
        <v>1759.0074779061863</v>
      </c>
      <c r="BL314" s="113">
        <v>2528.7227901606989</v>
      </c>
      <c r="BM314" s="113">
        <v>3245.3416149068321</v>
      </c>
      <c r="BN314" s="113">
        <v>2338.7096774193546</v>
      </c>
      <c r="BO314" s="113">
        <v>2608.0645161290322</v>
      </c>
      <c r="BP314" s="113">
        <v>2374</v>
      </c>
      <c r="BQ314" s="113">
        <v>3051</v>
      </c>
      <c r="BR314" s="101"/>
      <c r="BS314">
        <f t="shared" si="548"/>
        <v>0</v>
      </c>
      <c r="BT314">
        <f t="shared" si="549"/>
        <v>0</v>
      </c>
      <c r="BU314">
        <f t="shared" si="550"/>
        <v>0</v>
      </c>
      <c r="BV314">
        <f t="shared" si="551"/>
        <v>0</v>
      </c>
      <c r="BW314">
        <f t="shared" si="552"/>
        <v>0</v>
      </c>
      <c r="BX314">
        <f t="shared" si="553"/>
        <v>0</v>
      </c>
      <c r="BY314">
        <f t="shared" si="554"/>
        <v>0</v>
      </c>
      <c r="BZ314">
        <f t="shared" si="555"/>
        <v>0</v>
      </c>
      <c r="CA314">
        <f t="shared" si="556"/>
        <v>0</v>
      </c>
      <c r="CB314">
        <f t="shared" si="557"/>
        <v>0</v>
      </c>
      <c r="CC314">
        <f t="shared" si="558"/>
        <v>0</v>
      </c>
      <c r="CD314">
        <f t="shared" si="559"/>
        <v>0</v>
      </c>
      <c r="CE314">
        <f t="shared" si="560"/>
        <v>0</v>
      </c>
      <c r="CF314">
        <f t="shared" si="561"/>
        <v>0</v>
      </c>
      <c r="CG314">
        <f t="shared" si="562"/>
        <v>0</v>
      </c>
      <c r="CH314">
        <f t="shared" si="563"/>
        <v>0</v>
      </c>
      <c r="CI314">
        <f t="shared" si="564"/>
        <v>0</v>
      </c>
      <c r="CJ314">
        <f t="shared" si="565"/>
        <v>0</v>
      </c>
      <c r="CK314">
        <f t="shared" si="566"/>
        <v>0</v>
      </c>
      <c r="CL314">
        <f t="shared" si="567"/>
        <v>0</v>
      </c>
      <c r="CM314">
        <f t="shared" si="568"/>
        <v>0</v>
      </c>
      <c r="CN314">
        <f t="shared" si="569"/>
        <v>0</v>
      </c>
      <c r="CO314">
        <f t="shared" si="570"/>
        <v>0</v>
      </c>
      <c r="CP314">
        <f t="shared" si="571"/>
        <v>0</v>
      </c>
      <c r="CQ314">
        <f t="shared" si="572"/>
        <v>0</v>
      </c>
      <c r="CR314">
        <f t="shared" si="573"/>
        <v>0</v>
      </c>
      <c r="CS314">
        <f t="shared" si="574"/>
        <v>0</v>
      </c>
      <c r="CT314">
        <f t="shared" si="575"/>
        <v>0</v>
      </c>
      <c r="CU314">
        <f t="shared" si="576"/>
        <v>0</v>
      </c>
      <c r="CV314">
        <f t="shared" si="577"/>
        <v>0</v>
      </c>
      <c r="CW314">
        <f t="shared" si="578"/>
        <v>0</v>
      </c>
      <c r="CX314">
        <f t="shared" si="579"/>
        <v>0</v>
      </c>
      <c r="CY314">
        <f t="shared" si="580"/>
        <v>0</v>
      </c>
      <c r="CZ314">
        <f t="shared" si="581"/>
        <v>0</v>
      </c>
      <c r="DA314">
        <f t="shared" si="582"/>
        <v>0</v>
      </c>
      <c r="DB314">
        <f t="shared" si="583"/>
        <v>0</v>
      </c>
      <c r="DC314">
        <f t="shared" si="584"/>
        <v>0</v>
      </c>
      <c r="DD314">
        <f t="shared" si="585"/>
        <v>0</v>
      </c>
      <c r="DE314">
        <f t="shared" si="586"/>
        <v>0</v>
      </c>
      <c r="DF314">
        <f t="shared" si="587"/>
        <v>0</v>
      </c>
      <c r="DG314">
        <f t="shared" si="588"/>
        <v>0</v>
      </c>
      <c r="DH314">
        <f t="shared" si="589"/>
        <v>0</v>
      </c>
      <c r="DI314">
        <f t="shared" si="590"/>
        <v>0</v>
      </c>
      <c r="DJ314">
        <f t="shared" si="591"/>
        <v>0</v>
      </c>
      <c r="DK314">
        <f t="shared" si="592"/>
        <v>0</v>
      </c>
      <c r="DL314">
        <f t="shared" si="593"/>
        <v>0</v>
      </c>
      <c r="DM314">
        <f t="shared" si="594"/>
        <v>0</v>
      </c>
      <c r="DN314">
        <f t="shared" si="595"/>
        <v>0</v>
      </c>
      <c r="DO314">
        <f t="shared" si="596"/>
        <v>0</v>
      </c>
      <c r="DP314">
        <f t="shared" si="597"/>
        <v>0</v>
      </c>
      <c r="DQ314">
        <f t="shared" si="598"/>
        <v>0</v>
      </c>
      <c r="DR314">
        <f t="shared" si="599"/>
        <v>0</v>
      </c>
      <c r="DS314">
        <f t="shared" si="600"/>
        <v>0</v>
      </c>
      <c r="DT314">
        <f t="shared" si="601"/>
        <v>0</v>
      </c>
      <c r="DU314">
        <f t="shared" si="602"/>
        <v>0</v>
      </c>
      <c r="DV314">
        <f t="shared" si="603"/>
        <v>0</v>
      </c>
      <c r="DW314">
        <f t="shared" si="604"/>
        <v>0</v>
      </c>
      <c r="DX314">
        <f t="shared" si="605"/>
        <v>0</v>
      </c>
      <c r="DY314">
        <f t="shared" si="606"/>
        <v>0</v>
      </c>
      <c r="DZ314">
        <f t="shared" si="607"/>
        <v>0</v>
      </c>
      <c r="EA314">
        <f t="shared" ref="EA314:EF314" si="610">IF($C314&lt;&gt;"",IF(BL314&gt;0,1,0),0)</f>
        <v>0</v>
      </c>
      <c r="EB314">
        <f t="shared" si="610"/>
        <v>0</v>
      </c>
      <c r="EC314">
        <f t="shared" si="610"/>
        <v>0</v>
      </c>
      <c r="ED314">
        <f t="shared" si="610"/>
        <v>0</v>
      </c>
      <c r="EE314">
        <f t="shared" si="610"/>
        <v>0</v>
      </c>
      <c r="EF314">
        <f t="shared" si="610"/>
        <v>0</v>
      </c>
    </row>
    <row r="315" spans="1:136" ht="15.5">
      <c r="A315" s="90"/>
      <c r="B315" s="57"/>
      <c r="C315" s="94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/>
      <c r="BA315" s="18"/>
      <c r="BB315" s="18"/>
      <c r="BC315" s="18"/>
      <c r="BD315" s="18"/>
      <c r="BE315" s="25"/>
      <c r="BF315" s="18"/>
      <c r="BG315" s="18"/>
      <c r="BH315" s="34"/>
      <c r="BI315" s="18"/>
      <c r="BJ315" s="31"/>
      <c r="BK315" s="113"/>
      <c r="BL315" s="113"/>
      <c r="BM315" s="113"/>
      <c r="BN315" s="2"/>
      <c r="BO315" s="2"/>
      <c r="BP315" s="2"/>
      <c r="BQ315" s="2"/>
      <c r="BR315" s="101"/>
    </row>
    <row r="316" spans="1:136" ht="15.5">
      <c r="A316" s="93">
        <v>35</v>
      </c>
      <c r="B316" s="54" t="s">
        <v>49</v>
      </c>
      <c r="C316" s="94">
        <v>3</v>
      </c>
      <c r="D316" s="22">
        <f t="shared" ref="D316:AI316" si="611">SUM(D317:D326)</f>
        <v>336</v>
      </c>
      <c r="E316" s="22">
        <f t="shared" si="611"/>
        <v>368.81</v>
      </c>
      <c r="F316" s="22">
        <f t="shared" si="611"/>
        <v>388.59750000000003</v>
      </c>
      <c r="G316" s="22">
        <f t="shared" si="611"/>
        <v>407.38499999999999</v>
      </c>
      <c r="H316" s="22">
        <f t="shared" si="611"/>
        <v>428.17250000000001</v>
      </c>
      <c r="I316" s="22">
        <f t="shared" si="611"/>
        <v>449.96</v>
      </c>
      <c r="J316" s="22">
        <f t="shared" si="611"/>
        <v>0</v>
      </c>
      <c r="K316" s="22">
        <f t="shared" si="611"/>
        <v>0</v>
      </c>
      <c r="L316" s="22">
        <f t="shared" si="611"/>
        <v>0</v>
      </c>
      <c r="M316" s="22">
        <f t="shared" si="611"/>
        <v>0</v>
      </c>
      <c r="N316" s="22">
        <f t="shared" si="611"/>
        <v>0</v>
      </c>
      <c r="O316" s="22">
        <f t="shared" si="611"/>
        <v>0</v>
      </c>
      <c r="P316" s="22">
        <f t="shared" si="611"/>
        <v>0</v>
      </c>
      <c r="Q316" s="22">
        <f t="shared" si="611"/>
        <v>0.28562599999999999</v>
      </c>
      <c r="R316" s="22">
        <f t="shared" si="611"/>
        <v>6.6999999999999993</v>
      </c>
      <c r="S316" s="22">
        <f t="shared" si="611"/>
        <v>94.32101200000001</v>
      </c>
      <c r="T316" s="22">
        <f t="shared" si="611"/>
        <v>413</v>
      </c>
      <c r="U316" s="22">
        <f t="shared" si="611"/>
        <v>554.6</v>
      </c>
      <c r="V316" s="22">
        <f t="shared" si="611"/>
        <v>1702.6</v>
      </c>
      <c r="W316" s="22">
        <f t="shared" si="611"/>
        <v>2241.5</v>
      </c>
      <c r="X316" s="22">
        <f t="shared" si="611"/>
        <v>1039</v>
      </c>
      <c r="Y316" s="22">
        <f t="shared" si="611"/>
        <v>657.1</v>
      </c>
      <c r="Z316" s="22">
        <f t="shared" si="611"/>
        <v>667.99040000000002</v>
      </c>
      <c r="AA316" s="22">
        <f t="shared" si="611"/>
        <v>1669.3999999999999</v>
      </c>
      <c r="AB316" s="22">
        <f t="shared" si="611"/>
        <v>269.73239999999998</v>
      </c>
      <c r="AC316" s="22">
        <f t="shared" si="611"/>
        <v>551.9</v>
      </c>
      <c r="AD316" s="22">
        <f t="shared" si="611"/>
        <v>683.9</v>
      </c>
      <c r="AE316" s="22">
        <f t="shared" si="611"/>
        <v>1341.5</v>
      </c>
      <c r="AF316" s="22">
        <f t="shared" si="611"/>
        <v>2075.4692226410989</v>
      </c>
      <c r="AG316" s="22">
        <f t="shared" si="611"/>
        <v>2961.1136942134276</v>
      </c>
      <c r="AH316" s="22">
        <f t="shared" si="611"/>
        <v>1736.9937140999998</v>
      </c>
      <c r="AI316" s="22">
        <f t="shared" si="611"/>
        <v>2469.4491008999998</v>
      </c>
      <c r="AJ316" s="22">
        <f t="shared" ref="AJ316:BQ316" si="612">SUM(AJ317:AJ326)</f>
        <v>4008.9551073560624</v>
      </c>
      <c r="AK316" s="22">
        <f t="shared" si="612"/>
        <v>5181.2394394419161</v>
      </c>
      <c r="AL316" s="22">
        <f t="shared" si="612"/>
        <v>6492.069476806776</v>
      </c>
      <c r="AM316" s="22">
        <f t="shared" si="612"/>
        <v>8132.3637449424523</v>
      </c>
      <c r="AN316" s="22">
        <f t="shared" si="612"/>
        <v>8281.8267996543054</v>
      </c>
      <c r="AO316" s="22">
        <f t="shared" si="612"/>
        <v>8655.7010624955437</v>
      </c>
      <c r="AP316" s="22">
        <f t="shared" si="612"/>
        <v>9465.1266823940678</v>
      </c>
      <c r="AQ316" s="22">
        <f t="shared" si="612"/>
        <v>9038.8329296359916</v>
      </c>
      <c r="AR316" s="22">
        <f t="shared" si="612"/>
        <v>8898.7626257092052</v>
      </c>
      <c r="AS316" s="22">
        <f t="shared" si="612"/>
        <v>9394.3561121094244</v>
      </c>
      <c r="AT316" s="22">
        <f t="shared" si="612"/>
        <v>10919.69337639309</v>
      </c>
      <c r="AU316" s="22">
        <f t="shared" si="612"/>
        <v>1917.9944574000001</v>
      </c>
      <c r="AV316" s="22">
        <f t="shared" si="612"/>
        <v>1953.1646056</v>
      </c>
      <c r="AW316" s="22">
        <f t="shared" si="612"/>
        <v>2054.3408666244727</v>
      </c>
      <c r="AX316" s="22">
        <f t="shared" si="612"/>
        <v>1649.9126948000001</v>
      </c>
      <c r="AY316" s="22">
        <f t="shared" si="612"/>
        <v>1963.8240817999999</v>
      </c>
      <c r="AZ316" s="22">
        <f t="shared" si="612"/>
        <v>2264.9172971000003</v>
      </c>
      <c r="BA316" s="22">
        <f t="shared" si="612"/>
        <v>2728.5239705999998</v>
      </c>
      <c r="BB316" s="22">
        <f t="shared" si="612"/>
        <v>8816.6583417999991</v>
      </c>
      <c r="BC316" s="22">
        <f t="shared" si="612"/>
        <v>407.09881840000003</v>
      </c>
      <c r="BD316" s="22">
        <f t="shared" si="612"/>
        <v>183.51551930000002</v>
      </c>
      <c r="BE316" s="22">
        <f t="shared" si="612"/>
        <v>186.98153569999999</v>
      </c>
      <c r="BF316" s="22">
        <f t="shared" si="612"/>
        <v>161.11404880000001</v>
      </c>
      <c r="BG316" s="22">
        <f t="shared" si="612"/>
        <v>154.55968270000002</v>
      </c>
      <c r="BH316" s="22">
        <f t="shared" si="612"/>
        <v>216.57243489999996</v>
      </c>
      <c r="BI316" s="22">
        <f t="shared" si="612"/>
        <v>744.18559219999997</v>
      </c>
      <c r="BJ316" s="22">
        <f t="shared" si="612"/>
        <v>838.75078489999999</v>
      </c>
      <c r="BK316" s="22">
        <f t="shared" si="612"/>
        <v>1461.9101723000001</v>
      </c>
      <c r="BL316" s="22">
        <f t="shared" si="612"/>
        <v>1401.4085115</v>
      </c>
      <c r="BM316" s="22">
        <f t="shared" si="612"/>
        <v>1924.2490258</v>
      </c>
      <c r="BN316" s="22">
        <f t="shared" si="612"/>
        <v>2553</v>
      </c>
      <c r="BO316" s="22">
        <f t="shared" si="612"/>
        <v>2414</v>
      </c>
      <c r="BP316" s="22">
        <f t="shared" si="612"/>
        <v>2718</v>
      </c>
      <c r="BQ316" s="22">
        <f t="shared" si="612"/>
        <v>907</v>
      </c>
      <c r="BR316" s="101"/>
      <c r="BS316">
        <f t="shared" ref="BS316:CB320" si="613">IF($C316&lt;&gt;"",IF(D316&gt;0,1,0),0)</f>
        <v>1</v>
      </c>
      <c r="BT316">
        <f t="shared" si="613"/>
        <v>1</v>
      </c>
      <c r="BU316">
        <f t="shared" si="613"/>
        <v>1</v>
      </c>
      <c r="BV316">
        <f t="shared" si="613"/>
        <v>1</v>
      </c>
      <c r="BW316">
        <f t="shared" si="613"/>
        <v>1</v>
      </c>
      <c r="BX316">
        <f t="shared" si="613"/>
        <v>1</v>
      </c>
      <c r="BY316">
        <f t="shared" si="613"/>
        <v>0</v>
      </c>
      <c r="BZ316">
        <f t="shared" si="613"/>
        <v>0</v>
      </c>
      <c r="CA316">
        <f t="shared" si="613"/>
        <v>0</v>
      </c>
      <c r="CB316">
        <f t="shared" si="613"/>
        <v>0</v>
      </c>
      <c r="CC316">
        <f t="shared" ref="CC316:CL320" si="614">IF($C316&lt;&gt;"",IF(N316&gt;0,1,0),0)</f>
        <v>0</v>
      </c>
      <c r="CD316">
        <f t="shared" si="614"/>
        <v>0</v>
      </c>
      <c r="CE316">
        <f t="shared" si="614"/>
        <v>0</v>
      </c>
      <c r="CF316">
        <f t="shared" si="614"/>
        <v>1</v>
      </c>
      <c r="CG316">
        <f t="shared" si="614"/>
        <v>1</v>
      </c>
      <c r="CH316">
        <f t="shared" si="614"/>
        <v>1</v>
      </c>
      <c r="CI316">
        <f t="shared" si="614"/>
        <v>1</v>
      </c>
      <c r="CJ316">
        <f t="shared" si="614"/>
        <v>1</v>
      </c>
      <c r="CK316">
        <f t="shared" si="614"/>
        <v>1</v>
      </c>
      <c r="CL316">
        <f t="shared" si="614"/>
        <v>1</v>
      </c>
      <c r="CM316">
        <f t="shared" ref="CM316:CV320" si="615">IF($C316&lt;&gt;"",IF(X316&gt;0,1,0),0)</f>
        <v>1</v>
      </c>
      <c r="CN316">
        <f t="shared" si="615"/>
        <v>1</v>
      </c>
      <c r="CO316">
        <f t="shared" si="615"/>
        <v>1</v>
      </c>
      <c r="CP316">
        <f t="shared" si="615"/>
        <v>1</v>
      </c>
      <c r="CQ316">
        <f t="shared" si="615"/>
        <v>1</v>
      </c>
      <c r="CR316">
        <f t="shared" si="615"/>
        <v>1</v>
      </c>
      <c r="CS316">
        <f t="shared" si="615"/>
        <v>1</v>
      </c>
      <c r="CT316">
        <f t="shared" si="615"/>
        <v>1</v>
      </c>
      <c r="CU316">
        <f t="shared" si="615"/>
        <v>1</v>
      </c>
      <c r="CV316">
        <f t="shared" si="615"/>
        <v>1</v>
      </c>
      <c r="CW316">
        <f t="shared" ref="CW316:DF320" si="616">IF($C316&lt;&gt;"",IF(AH316&gt;0,1,0),0)</f>
        <v>1</v>
      </c>
      <c r="CX316">
        <f t="shared" si="616"/>
        <v>1</v>
      </c>
      <c r="CY316">
        <f t="shared" si="616"/>
        <v>1</v>
      </c>
      <c r="CZ316">
        <f t="shared" si="616"/>
        <v>1</v>
      </c>
      <c r="DA316">
        <f t="shared" si="616"/>
        <v>1</v>
      </c>
      <c r="DB316">
        <f t="shared" si="616"/>
        <v>1</v>
      </c>
      <c r="DC316">
        <f t="shared" si="616"/>
        <v>1</v>
      </c>
      <c r="DD316">
        <f t="shared" si="616"/>
        <v>1</v>
      </c>
      <c r="DE316">
        <f t="shared" si="616"/>
        <v>1</v>
      </c>
      <c r="DF316">
        <f t="shared" si="616"/>
        <v>1</v>
      </c>
      <c r="DG316">
        <f t="shared" ref="DG316:DP320" si="617">IF($C316&lt;&gt;"",IF(AR316&gt;0,1,0),0)</f>
        <v>1</v>
      </c>
      <c r="DH316">
        <f t="shared" si="617"/>
        <v>1</v>
      </c>
      <c r="DI316">
        <f t="shared" si="617"/>
        <v>1</v>
      </c>
      <c r="DJ316">
        <f t="shared" si="617"/>
        <v>1</v>
      </c>
      <c r="DK316">
        <f t="shared" si="617"/>
        <v>1</v>
      </c>
      <c r="DL316">
        <f t="shared" si="617"/>
        <v>1</v>
      </c>
      <c r="DM316">
        <f t="shared" si="617"/>
        <v>1</v>
      </c>
      <c r="DN316">
        <f t="shared" si="617"/>
        <v>1</v>
      </c>
      <c r="DO316">
        <f t="shared" si="617"/>
        <v>1</v>
      </c>
      <c r="DP316">
        <f t="shared" si="617"/>
        <v>1</v>
      </c>
      <c r="DQ316">
        <f t="shared" ref="DQ316:DZ320" si="618">IF($C316&lt;&gt;"",IF(BB316&gt;0,1,0),0)</f>
        <v>1</v>
      </c>
      <c r="DR316">
        <f t="shared" si="618"/>
        <v>1</v>
      </c>
      <c r="DS316">
        <f t="shared" si="618"/>
        <v>1</v>
      </c>
      <c r="DT316">
        <f t="shared" si="618"/>
        <v>1</v>
      </c>
      <c r="DU316">
        <f t="shared" si="618"/>
        <v>1</v>
      </c>
      <c r="DV316">
        <f t="shared" si="618"/>
        <v>1</v>
      </c>
      <c r="DW316">
        <f t="shared" si="618"/>
        <v>1</v>
      </c>
      <c r="DX316">
        <f t="shared" si="618"/>
        <v>1</v>
      </c>
      <c r="DY316">
        <f t="shared" si="618"/>
        <v>1</v>
      </c>
      <c r="DZ316">
        <f t="shared" si="618"/>
        <v>1</v>
      </c>
      <c r="EA316">
        <f t="shared" ref="EA316:EF320" si="619">IF($C316&lt;&gt;"",IF(BL316&gt;0,1,0),0)</f>
        <v>1</v>
      </c>
      <c r="EB316">
        <f t="shared" si="619"/>
        <v>1</v>
      </c>
      <c r="EC316">
        <f t="shared" si="619"/>
        <v>1</v>
      </c>
      <c r="ED316">
        <f t="shared" si="619"/>
        <v>1</v>
      </c>
      <c r="EE316">
        <f t="shared" si="619"/>
        <v>1</v>
      </c>
      <c r="EF316">
        <f t="shared" si="619"/>
        <v>1</v>
      </c>
    </row>
    <row r="317" spans="1:136" ht="15.5">
      <c r="A317" s="90"/>
      <c r="B317" s="24" t="s">
        <v>15</v>
      </c>
      <c r="C317" s="94"/>
      <c r="D317" s="18">
        <v>0</v>
      </c>
      <c r="E317" s="18">
        <v>0</v>
      </c>
      <c r="F317" s="18">
        <v>0</v>
      </c>
      <c r="G317" s="18">
        <v>0</v>
      </c>
      <c r="H317" s="18">
        <v>0</v>
      </c>
      <c r="I317" s="18">
        <v>0</v>
      </c>
      <c r="J317" s="18">
        <v>0</v>
      </c>
      <c r="K317" s="18">
        <v>0</v>
      </c>
      <c r="L317" s="18">
        <v>0</v>
      </c>
      <c r="M317" s="18">
        <v>0</v>
      </c>
      <c r="N317" s="18">
        <v>0</v>
      </c>
      <c r="O317" s="18">
        <v>0</v>
      </c>
      <c r="P317" s="18">
        <v>0</v>
      </c>
      <c r="Q317" s="18">
        <v>0</v>
      </c>
      <c r="R317" s="18">
        <v>0</v>
      </c>
      <c r="S317" s="18">
        <v>0</v>
      </c>
      <c r="T317" s="18">
        <v>0</v>
      </c>
      <c r="U317" s="18">
        <v>0</v>
      </c>
      <c r="V317" s="18">
        <v>0</v>
      </c>
      <c r="W317" s="18">
        <v>125</v>
      </c>
      <c r="X317" s="18">
        <v>31</v>
      </c>
      <c r="Y317" s="18">
        <v>0</v>
      </c>
      <c r="Z317" s="18">
        <v>0</v>
      </c>
      <c r="AA317" s="18">
        <v>7.1</v>
      </c>
      <c r="AB317" s="18">
        <v>0</v>
      </c>
      <c r="AC317" s="18">
        <v>0</v>
      </c>
      <c r="AD317" s="18">
        <v>0</v>
      </c>
      <c r="AE317" s="18">
        <v>0</v>
      </c>
      <c r="AF317" s="18">
        <v>856.87291164109911</v>
      </c>
      <c r="AG317" s="18">
        <v>765.00143951342761</v>
      </c>
      <c r="AH317" s="40" t="s">
        <v>16</v>
      </c>
      <c r="AI317" s="71">
        <v>29</v>
      </c>
      <c r="AJ317" s="18">
        <v>488.16037395606247</v>
      </c>
      <c r="AK317" s="18">
        <v>517.62030644191566</v>
      </c>
      <c r="AL317" s="18">
        <v>574.50641550677528</v>
      </c>
      <c r="AM317" s="18">
        <v>612.84052144245186</v>
      </c>
      <c r="AN317" s="34">
        <v>583.77594545430429</v>
      </c>
      <c r="AO317" s="18">
        <v>572.60954119554413</v>
      </c>
      <c r="AP317" s="18">
        <v>623.46895879406759</v>
      </c>
      <c r="AQ317" s="18">
        <v>632.67448183599151</v>
      </c>
      <c r="AR317" s="18">
        <v>632.22122820920458</v>
      </c>
      <c r="AS317" s="18">
        <v>635.22202320942574</v>
      </c>
      <c r="AT317" s="18">
        <v>706.8366625930903</v>
      </c>
      <c r="AU317" s="18">
        <v>0</v>
      </c>
      <c r="AV317" s="18">
        <v>0</v>
      </c>
      <c r="AW317" s="18">
        <v>0</v>
      </c>
      <c r="AX317" s="18">
        <v>0</v>
      </c>
      <c r="AY317" s="18">
        <v>0</v>
      </c>
      <c r="AZ317" s="18">
        <v>0</v>
      </c>
      <c r="BA317" s="18">
        <v>0</v>
      </c>
      <c r="BB317" s="18">
        <v>0</v>
      </c>
      <c r="BC317" s="18">
        <v>0</v>
      </c>
      <c r="BD317" s="18">
        <v>0</v>
      </c>
      <c r="BE317" s="25">
        <v>0</v>
      </c>
      <c r="BF317" s="18">
        <v>0</v>
      </c>
      <c r="BG317" s="18">
        <v>0</v>
      </c>
      <c r="BH317" s="18">
        <v>0</v>
      </c>
      <c r="BI317" s="18">
        <v>0</v>
      </c>
      <c r="BJ317" s="113">
        <v>0</v>
      </c>
      <c r="BK317" s="113">
        <v>0</v>
      </c>
      <c r="BL317" s="113">
        <v>0</v>
      </c>
      <c r="BM317" s="113">
        <v>0</v>
      </c>
      <c r="BN317" s="113">
        <v>0</v>
      </c>
      <c r="BO317" s="113">
        <v>0</v>
      </c>
      <c r="BP317" s="113">
        <v>0</v>
      </c>
      <c r="BQ317" s="113">
        <v>0</v>
      </c>
      <c r="BR317" s="101"/>
      <c r="BS317">
        <f t="shared" si="613"/>
        <v>0</v>
      </c>
      <c r="BT317">
        <f t="shared" si="613"/>
        <v>0</v>
      </c>
      <c r="BU317">
        <f t="shared" si="613"/>
        <v>0</v>
      </c>
      <c r="BV317">
        <f t="shared" si="613"/>
        <v>0</v>
      </c>
      <c r="BW317">
        <f t="shared" si="613"/>
        <v>0</v>
      </c>
      <c r="BX317">
        <f t="shared" si="613"/>
        <v>0</v>
      </c>
      <c r="BY317">
        <f t="shared" si="613"/>
        <v>0</v>
      </c>
      <c r="BZ317">
        <f t="shared" si="613"/>
        <v>0</v>
      </c>
      <c r="CA317">
        <f t="shared" si="613"/>
        <v>0</v>
      </c>
      <c r="CB317">
        <f t="shared" si="613"/>
        <v>0</v>
      </c>
      <c r="CC317">
        <f t="shared" si="614"/>
        <v>0</v>
      </c>
      <c r="CD317">
        <f t="shared" si="614"/>
        <v>0</v>
      </c>
      <c r="CE317">
        <f t="shared" si="614"/>
        <v>0</v>
      </c>
      <c r="CF317">
        <f t="shared" si="614"/>
        <v>0</v>
      </c>
      <c r="CG317">
        <f t="shared" si="614"/>
        <v>0</v>
      </c>
      <c r="CH317">
        <f t="shared" si="614"/>
        <v>0</v>
      </c>
      <c r="CI317">
        <f t="shared" si="614"/>
        <v>0</v>
      </c>
      <c r="CJ317">
        <f t="shared" si="614"/>
        <v>0</v>
      </c>
      <c r="CK317">
        <f t="shared" si="614"/>
        <v>0</v>
      </c>
      <c r="CL317">
        <f t="shared" si="614"/>
        <v>0</v>
      </c>
      <c r="CM317">
        <f t="shared" si="615"/>
        <v>0</v>
      </c>
      <c r="CN317">
        <f t="shared" si="615"/>
        <v>0</v>
      </c>
      <c r="CO317">
        <f t="shared" si="615"/>
        <v>0</v>
      </c>
      <c r="CP317">
        <f t="shared" si="615"/>
        <v>0</v>
      </c>
      <c r="CQ317">
        <f t="shared" si="615"/>
        <v>0</v>
      </c>
      <c r="CR317">
        <f t="shared" si="615"/>
        <v>0</v>
      </c>
      <c r="CS317">
        <f t="shared" si="615"/>
        <v>0</v>
      </c>
      <c r="CT317">
        <f t="shared" si="615"/>
        <v>0</v>
      </c>
      <c r="CU317">
        <f t="shared" si="615"/>
        <v>0</v>
      </c>
      <c r="CV317">
        <f t="shared" si="615"/>
        <v>0</v>
      </c>
      <c r="CW317">
        <f t="shared" si="616"/>
        <v>0</v>
      </c>
      <c r="CX317">
        <f t="shared" si="616"/>
        <v>0</v>
      </c>
      <c r="CY317">
        <f t="shared" si="616"/>
        <v>0</v>
      </c>
      <c r="CZ317">
        <f t="shared" si="616"/>
        <v>0</v>
      </c>
      <c r="DA317">
        <f t="shared" si="616"/>
        <v>0</v>
      </c>
      <c r="DB317">
        <f t="shared" si="616"/>
        <v>0</v>
      </c>
      <c r="DC317">
        <f t="shared" si="616"/>
        <v>0</v>
      </c>
      <c r="DD317">
        <f t="shared" si="616"/>
        <v>0</v>
      </c>
      <c r="DE317">
        <f t="shared" si="616"/>
        <v>0</v>
      </c>
      <c r="DF317">
        <f t="shared" si="616"/>
        <v>0</v>
      </c>
      <c r="DG317">
        <f t="shared" si="617"/>
        <v>0</v>
      </c>
      <c r="DH317">
        <f t="shared" si="617"/>
        <v>0</v>
      </c>
      <c r="DI317">
        <f t="shared" si="617"/>
        <v>0</v>
      </c>
      <c r="DJ317">
        <f t="shared" si="617"/>
        <v>0</v>
      </c>
      <c r="DK317">
        <f t="shared" si="617"/>
        <v>0</v>
      </c>
      <c r="DL317">
        <f t="shared" si="617"/>
        <v>0</v>
      </c>
      <c r="DM317">
        <f t="shared" si="617"/>
        <v>0</v>
      </c>
      <c r="DN317">
        <f t="shared" si="617"/>
        <v>0</v>
      </c>
      <c r="DO317">
        <f t="shared" si="617"/>
        <v>0</v>
      </c>
      <c r="DP317">
        <f t="shared" si="617"/>
        <v>0</v>
      </c>
      <c r="DQ317">
        <f t="shared" si="618"/>
        <v>0</v>
      </c>
      <c r="DR317">
        <f t="shared" si="618"/>
        <v>0</v>
      </c>
      <c r="DS317">
        <f t="shared" si="618"/>
        <v>0</v>
      </c>
      <c r="DT317">
        <f t="shared" si="618"/>
        <v>0</v>
      </c>
      <c r="DU317">
        <f t="shared" si="618"/>
        <v>0</v>
      </c>
      <c r="DV317">
        <f t="shared" si="618"/>
        <v>0</v>
      </c>
      <c r="DW317">
        <f t="shared" si="618"/>
        <v>0</v>
      </c>
      <c r="DX317">
        <f t="shared" si="618"/>
        <v>0</v>
      </c>
      <c r="DY317">
        <f t="shared" si="618"/>
        <v>0</v>
      </c>
      <c r="DZ317">
        <f t="shared" si="618"/>
        <v>0</v>
      </c>
      <c r="EA317">
        <f t="shared" si="619"/>
        <v>0</v>
      </c>
      <c r="EB317">
        <f t="shared" si="619"/>
        <v>0</v>
      </c>
      <c r="EC317">
        <f t="shared" si="619"/>
        <v>0</v>
      </c>
      <c r="ED317">
        <f t="shared" si="619"/>
        <v>0</v>
      </c>
      <c r="EE317">
        <f t="shared" si="619"/>
        <v>0</v>
      </c>
      <c r="EF317">
        <f t="shared" si="619"/>
        <v>0</v>
      </c>
    </row>
    <row r="318" spans="1:136" ht="15.5">
      <c r="A318" s="90"/>
      <c r="B318" s="57" t="s">
        <v>184</v>
      </c>
      <c r="C318" s="94"/>
      <c r="D318" s="18">
        <v>0</v>
      </c>
      <c r="E318" s="18">
        <v>0</v>
      </c>
      <c r="F318" s="18">
        <v>0</v>
      </c>
      <c r="G318" s="18">
        <v>0</v>
      </c>
      <c r="H318" s="18">
        <v>0</v>
      </c>
      <c r="I318" s="18">
        <v>0</v>
      </c>
      <c r="J318" s="18">
        <v>0</v>
      </c>
      <c r="K318" s="18">
        <v>0</v>
      </c>
      <c r="L318" s="18">
        <v>0</v>
      </c>
      <c r="M318" s="18">
        <v>0</v>
      </c>
      <c r="N318" s="18">
        <v>0</v>
      </c>
      <c r="O318" s="18">
        <v>0</v>
      </c>
      <c r="P318" s="18">
        <v>0</v>
      </c>
      <c r="Q318" s="18">
        <v>0</v>
      </c>
      <c r="R318" s="18">
        <v>0</v>
      </c>
      <c r="S318" s="18">
        <v>0</v>
      </c>
      <c r="T318" s="18">
        <v>0</v>
      </c>
      <c r="U318" s="18">
        <v>0</v>
      </c>
      <c r="V318" s="18">
        <v>0</v>
      </c>
      <c r="W318" s="18">
        <v>0</v>
      </c>
      <c r="X318" s="18">
        <v>0</v>
      </c>
      <c r="Y318" s="18">
        <v>0</v>
      </c>
      <c r="Z318" s="18">
        <v>0</v>
      </c>
      <c r="AA318" s="18">
        <v>0</v>
      </c>
      <c r="AB318" s="18">
        <v>0</v>
      </c>
      <c r="AC318" s="18">
        <v>0</v>
      </c>
      <c r="AD318" s="18">
        <v>0</v>
      </c>
      <c r="AE318" s="18">
        <v>0</v>
      </c>
      <c r="AF318" s="18">
        <v>0</v>
      </c>
      <c r="AG318" s="18">
        <v>0</v>
      </c>
      <c r="AH318" s="18">
        <v>0</v>
      </c>
      <c r="AI318" s="18">
        <v>0</v>
      </c>
      <c r="AJ318" s="18">
        <v>0</v>
      </c>
      <c r="AK318" s="71">
        <v>24</v>
      </c>
      <c r="AL318" s="18">
        <v>28</v>
      </c>
      <c r="AM318" s="18">
        <v>43</v>
      </c>
      <c r="AN318" s="18">
        <v>59</v>
      </c>
      <c r="AO318" s="18">
        <v>72</v>
      </c>
      <c r="AP318" s="18">
        <v>86</v>
      </c>
      <c r="AQ318" s="18">
        <v>100</v>
      </c>
      <c r="AR318" s="18">
        <v>113</v>
      </c>
      <c r="AS318" s="18">
        <v>126</v>
      </c>
      <c r="AT318" s="18">
        <v>132</v>
      </c>
      <c r="AU318" s="18">
        <v>0</v>
      </c>
      <c r="AV318" s="18">
        <v>0</v>
      </c>
      <c r="AW318" s="18">
        <v>0</v>
      </c>
      <c r="AX318" s="18">
        <v>0</v>
      </c>
      <c r="AY318" s="18">
        <v>0</v>
      </c>
      <c r="AZ318" s="18">
        <v>0</v>
      </c>
      <c r="BA318" s="18">
        <v>0</v>
      </c>
      <c r="BB318" s="18">
        <v>0</v>
      </c>
      <c r="BC318" s="18">
        <v>0</v>
      </c>
      <c r="BD318" s="18">
        <v>0</v>
      </c>
      <c r="BE318" s="25">
        <v>0</v>
      </c>
      <c r="BF318" s="18">
        <v>0</v>
      </c>
      <c r="BG318" s="18">
        <v>0</v>
      </c>
      <c r="BH318" s="18">
        <v>0</v>
      </c>
      <c r="BI318" s="18">
        <v>0</v>
      </c>
      <c r="BJ318" s="113">
        <v>0</v>
      </c>
      <c r="BK318" s="113">
        <v>0</v>
      </c>
      <c r="BL318" s="113">
        <v>0</v>
      </c>
      <c r="BM318" s="113">
        <v>0</v>
      </c>
      <c r="BN318" s="113">
        <v>0</v>
      </c>
      <c r="BO318" s="113">
        <v>0</v>
      </c>
      <c r="BP318" s="113">
        <v>0</v>
      </c>
      <c r="BQ318" s="113">
        <v>0</v>
      </c>
      <c r="BR318" s="101"/>
      <c r="BS318">
        <f t="shared" si="613"/>
        <v>0</v>
      </c>
      <c r="BT318">
        <f t="shared" si="613"/>
        <v>0</v>
      </c>
      <c r="BU318">
        <f t="shared" si="613"/>
        <v>0</v>
      </c>
      <c r="BV318">
        <f t="shared" si="613"/>
        <v>0</v>
      </c>
      <c r="BW318">
        <f t="shared" si="613"/>
        <v>0</v>
      </c>
      <c r="BX318">
        <f t="shared" si="613"/>
        <v>0</v>
      </c>
      <c r="BY318">
        <f t="shared" si="613"/>
        <v>0</v>
      </c>
      <c r="BZ318">
        <f t="shared" si="613"/>
        <v>0</v>
      </c>
      <c r="CA318">
        <f t="shared" si="613"/>
        <v>0</v>
      </c>
      <c r="CB318">
        <f t="shared" si="613"/>
        <v>0</v>
      </c>
      <c r="CC318">
        <f t="shared" si="614"/>
        <v>0</v>
      </c>
      <c r="CD318">
        <f t="shared" si="614"/>
        <v>0</v>
      </c>
      <c r="CE318">
        <f t="shared" si="614"/>
        <v>0</v>
      </c>
      <c r="CF318">
        <f t="shared" si="614"/>
        <v>0</v>
      </c>
      <c r="CG318">
        <f t="shared" si="614"/>
        <v>0</v>
      </c>
      <c r="CH318">
        <f t="shared" si="614"/>
        <v>0</v>
      </c>
      <c r="CI318">
        <f t="shared" si="614"/>
        <v>0</v>
      </c>
      <c r="CJ318">
        <f t="shared" si="614"/>
        <v>0</v>
      </c>
      <c r="CK318">
        <f t="shared" si="614"/>
        <v>0</v>
      </c>
      <c r="CL318">
        <f t="shared" si="614"/>
        <v>0</v>
      </c>
      <c r="CM318">
        <f t="shared" si="615"/>
        <v>0</v>
      </c>
      <c r="CN318">
        <f t="shared" si="615"/>
        <v>0</v>
      </c>
      <c r="CO318">
        <f t="shared" si="615"/>
        <v>0</v>
      </c>
      <c r="CP318">
        <f t="shared" si="615"/>
        <v>0</v>
      </c>
      <c r="CQ318">
        <f t="shared" si="615"/>
        <v>0</v>
      </c>
      <c r="CR318">
        <f t="shared" si="615"/>
        <v>0</v>
      </c>
      <c r="CS318">
        <f t="shared" si="615"/>
        <v>0</v>
      </c>
      <c r="CT318">
        <f t="shared" si="615"/>
        <v>0</v>
      </c>
      <c r="CU318">
        <f t="shared" si="615"/>
        <v>0</v>
      </c>
      <c r="CV318">
        <f t="shared" si="615"/>
        <v>0</v>
      </c>
      <c r="CW318">
        <f t="shared" si="616"/>
        <v>0</v>
      </c>
      <c r="CX318">
        <f t="shared" si="616"/>
        <v>0</v>
      </c>
      <c r="CY318">
        <f t="shared" si="616"/>
        <v>0</v>
      </c>
      <c r="CZ318">
        <f t="shared" si="616"/>
        <v>0</v>
      </c>
      <c r="DA318">
        <f t="shared" si="616"/>
        <v>0</v>
      </c>
      <c r="DB318">
        <f t="shared" si="616"/>
        <v>0</v>
      </c>
      <c r="DC318">
        <f t="shared" si="616"/>
        <v>0</v>
      </c>
      <c r="DD318">
        <f t="shared" si="616"/>
        <v>0</v>
      </c>
      <c r="DE318">
        <f t="shared" si="616"/>
        <v>0</v>
      </c>
      <c r="DF318">
        <f t="shared" si="616"/>
        <v>0</v>
      </c>
      <c r="DG318">
        <f t="shared" si="617"/>
        <v>0</v>
      </c>
      <c r="DH318">
        <f t="shared" si="617"/>
        <v>0</v>
      </c>
      <c r="DI318">
        <f t="shared" si="617"/>
        <v>0</v>
      </c>
      <c r="DJ318">
        <f t="shared" si="617"/>
        <v>0</v>
      </c>
      <c r="DK318">
        <f t="shared" si="617"/>
        <v>0</v>
      </c>
      <c r="DL318">
        <f t="shared" si="617"/>
        <v>0</v>
      </c>
      <c r="DM318">
        <f t="shared" si="617"/>
        <v>0</v>
      </c>
      <c r="DN318">
        <f t="shared" si="617"/>
        <v>0</v>
      </c>
      <c r="DO318">
        <f t="shared" si="617"/>
        <v>0</v>
      </c>
      <c r="DP318">
        <f t="shared" si="617"/>
        <v>0</v>
      </c>
      <c r="DQ318">
        <f t="shared" si="618"/>
        <v>0</v>
      </c>
      <c r="DR318">
        <f t="shared" si="618"/>
        <v>0</v>
      </c>
      <c r="DS318">
        <f t="shared" si="618"/>
        <v>0</v>
      </c>
      <c r="DT318">
        <f t="shared" si="618"/>
        <v>0</v>
      </c>
      <c r="DU318">
        <f t="shared" si="618"/>
        <v>0</v>
      </c>
      <c r="DV318">
        <f t="shared" si="618"/>
        <v>0</v>
      </c>
      <c r="DW318">
        <f t="shared" si="618"/>
        <v>0</v>
      </c>
      <c r="DX318">
        <f t="shared" si="618"/>
        <v>0</v>
      </c>
      <c r="DY318">
        <f t="shared" si="618"/>
        <v>0</v>
      </c>
      <c r="DZ318">
        <f t="shared" si="618"/>
        <v>0</v>
      </c>
      <c r="EA318">
        <f t="shared" si="619"/>
        <v>0</v>
      </c>
      <c r="EB318">
        <f t="shared" si="619"/>
        <v>0</v>
      </c>
      <c r="EC318">
        <f t="shared" si="619"/>
        <v>0</v>
      </c>
      <c r="ED318">
        <f t="shared" si="619"/>
        <v>0</v>
      </c>
      <c r="EE318">
        <f t="shared" si="619"/>
        <v>0</v>
      </c>
      <c r="EF318">
        <f t="shared" si="619"/>
        <v>0</v>
      </c>
    </row>
    <row r="319" spans="1:136" ht="15.5">
      <c r="A319" s="90"/>
      <c r="B319" s="57" t="s">
        <v>202</v>
      </c>
      <c r="C319" s="94"/>
      <c r="D319" s="18">
        <v>0</v>
      </c>
      <c r="E319" s="18">
        <v>0</v>
      </c>
      <c r="F319" s="18">
        <v>0</v>
      </c>
      <c r="G319" s="18">
        <v>0</v>
      </c>
      <c r="H319" s="18">
        <v>0</v>
      </c>
      <c r="I319" s="18">
        <v>0</v>
      </c>
      <c r="J319" s="18">
        <v>0</v>
      </c>
      <c r="K319" s="18">
        <v>0</v>
      </c>
      <c r="L319" s="18">
        <v>0</v>
      </c>
      <c r="M319" s="18">
        <v>0</v>
      </c>
      <c r="N319" s="18">
        <v>0</v>
      </c>
      <c r="O319" s="18">
        <v>0</v>
      </c>
      <c r="P319" s="18">
        <v>0</v>
      </c>
      <c r="Q319" s="18">
        <v>0</v>
      </c>
      <c r="R319" s="18">
        <v>0</v>
      </c>
      <c r="S319" s="18">
        <v>0</v>
      </c>
      <c r="T319" s="18">
        <v>0</v>
      </c>
      <c r="U319" s="18">
        <v>0</v>
      </c>
      <c r="V319" s="18">
        <v>0</v>
      </c>
      <c r="W319" s="18">
        <v>0</v>
      </c>
      <c r="X319" s="18">
        <v>0</v>
      </c>
      <c r="Y319" s="18">
        <v>0</v>
      </c>
      <c r="Z319" s="18">
        <v>0</v>
      </c>
      <c r="AA319" s="18">
        <v>0</v>
      </c>
      <c r="AB319" s="18">
        <v>0</v>
      </c>
      <c r="AC319" s="18">
        <v>0</v>
      </c>
      <c r="AD319" s="18">
        <v>0</v>
      </c>
      <c r="AE319" s="18">
        <v>0</v>
      </c>
      <c r="AF319" s="18">
        <v>0</v>
      </c>
      <c r="AG319" s="18">
        <v>0</v>
      </c>
      <c r="AH319" s="18">
        <v>0</v>
      </c>
      <c r="AI319" s="18">
        <v>0</v>
      </c>
      <c r="AJ319" s="18">
        <v>0</v>
      </c>
      <c r="AK319" s="18">
        <v>0</v>
      </c>
      <c r="AL319" s="18">
        <v>18</v>
      </c>
      <c r="AM319" s="18">
        <v>38</v>
      </c>
      <c r="AN319" s="18">
        <v>55</v>
      </c>
      <c r="AO319" s="18">
        <v>76</v>
      </c>
      <c r="AP319" s="18">
        <v>98</v>
      </c>
      <c r="AQ319" s="18">
        <v>124</v>
      </c>
      <c r="AR319" s="18">
        <v>149</v>
      </c>
      <c r="AS319" s="18">
        <v>170</v>
      </c>
      <c r="AT319" s="18">
        <v>206</v>
      </c>
      <c r="AU319" s="18">
        <v>0</v>
      </c>
      <c r="AV319" s="18">
        <v>0</v>
      </c>
      <c r="AW319" s="18">
        <v>0</v>
      </c>
      <c r="AX319" s="18">
        <v>0</v>
      </c>
      <c r="AY319" s="18">
        <v>0</v>
      </c>
      <c r="AZ319" s="18">
        <v>0</v>
      </c>
      <c r="BA319" s="18">
        <v>0</v>
      </c>
      <c r="BB319" s="18">
        <v>0</v>
      </c>
      <c r="BC319" s="18">
        <v>0</v>
      </c>
      <c r="BD319" s="18">
        <v>0</v>
      </c>
      <c r="BE319" s="25">
        <v>0</v>
      </c>
      <c r="BF319" s="18">
        <v>0</v>
      </c>
      <c r="BG319" s="18">
        <v>0</v>
      </c>
      <c r="BH319" s="18">
        <v>0</v>
      </c>
      <c r="BI319" s="18">
        <v>0</v>
      </c>
      <c r="BJ319" s="113">
        <v>0</v>
      </c>
      <c r="BK319" s="113">
        <v>0</v>
      </c>
      <c r="BL319" s="113">
        <v>0</v>
      </c>
      <c r="BM319" s="113">
        <v>0</v>
      </c>
      <c r="BN319" s="113">
        <v>0</v>
      </c>
      <c r="BO319" s="113">
        <v>0</v>
      </c>
      <c r="BP319" s="113">
        <v>0</v>
      </c>
      <c r="BQ319" s="113">
        <v>0</v>
      </c>
      <c r="BR319" s="101"/>
      <c r="BS319">
        <f t="shared" si="613"/>
        <v>0</v>
      </c>
      <c r="BT319">
        <f t="shared" si="613"/>
        <v>0</v>
      </c>
      <c r="BU319">
        <f t="shared" si="613"/>
        <v>0</v>
      </c>
      <c r="BV319">
        <f t="shared" si="613"/>
        <v>0</v>
      </c>
      <c r="BW319">
        <f t="shared" si="613"/>
        <v>0</v>
      </c>
      <c r="BX319">
        <f t="shared" si="613"/>
        <v>0</v>
      </c>
      <c r="BY319">
        <f t="shared" si="613"/>
        <v>0</v>
      </c>
      <c r="BZ319">
        <f t="shared" si="613"/>
        <v>0</v>
      </c>
      <c r="CA319">
        <f t="shared" si="613"/>
        <v>0</v>
      </c>
      <c r="CB319">
        <f t="shared" si="613"/>
        <v>0</v>
      </c>
      <c r="CC319">
        <f t="shared" si="614"/>
        <v>0</v>
      </c>
      <c r="CD319">
        <f t="shared" si="614"/>
        <v>0</v>
      </c>
      <c r="CE319">
        <f t="shared" si="614"/>
        <v>0</v>
      </c>
      <c r="CF319">
        <f t="shared" si="614"/>
        <v>0</v>
      </c>
      <c r="CG319">
        <f t="shared" si="614"/>
        <v>0</v>
      </c>
      <c r="CH319">
        <f t="shared" si="614"/>
        <v>0</v>
      </c>
      <c r="CI319">
        <f t="shared" si="614"/>
        <v>0</v>
      </c>
      <c r="CJ319">
        <f t="shared" si="614"/>
        <v>0</v>
      </c>
      <c r="CK319">
        <f t="shared" si="614"/>
        <v>0</v>
      </c>
      <c r="CL319">
        <f t="shared" si="614"/>
        <v>0</v>
      </c>
      <c r="CM319">
        <f t="shared" si="615"/>
        <v>0</v>
      </c>
      <c r="CN319">
        <f t="shared" si="615"/>
        <v>0</v>
      </c>
      <c r="CO319">
        <f t="shared" si="615"/>
        <v>0</v>
      </c>
      <c r="CP319">
        <f t="shared" si="615"/>
        <v>0</v>
      </c>
      <c r="CQ319">
        <f t="shared" si="615"/>
        <v>0</v>
      </c>
      <c r="CR319">
        <f t="shared" si="615"/>
        <v>0</v>
      </c>
      <c r="CS319">
        <f t="shared" si="615"/>
        <v>0</v>
      </c>
      <c r="CT319">
        <f t="shared" si="615"/>
        <v>0</v>
      </c>
      <c r="CU319">
        <f t="shared" si="615"/>
        <v>0</v>
      </c>
      <c r="CV319">
        <f t="shared" si="615"/>
        <v>0</v>
      </c>
      <c r="CW319">
        <f t="shared" si="616"/>
        <v>0</v>
      </c>
      <c r="CX319">
        <f t="shared" si="616"/>
        <v>0</v>
      </c>
      <c r="CY319">
        <f t="shared" si="616"/>
        <v>0</v>
      </c>
      <c r="CZ319">
        <f t="shared" si="616"/>
        <v>0</v>
      </c>
      <c r="DA319">
        <f t="shared" si="616"/>
        <v>0</v>
      </c>
      <c r="DB319">
        <f t="shared" si="616"/>
        <v>0</v>
      </c>
      <c r="DC319">
        <f t="shared" si="616"/>
        <v>0</v>
      </c>
      <c r="DD319">
        <f t="shared" si="616"/>
        <v>0</v>
      </c>
      <c r="DE319">
        <f t="shared" si="616"/>
        <v>0</v>
      </c>
      <c r="DF319">
        <f t="shared" si="616"/>
        <v>0</v>
      </c>
      <c r="DG319">
        <f t="shared" si="617"/>
        <v>0</v>
      </c>
      <c r="DH319">
        <f t="shared" si="617"/>
        <v>0</v>
      </c>
      <c r="DI319">
        <f t="shared" si="617"/>
        <v>0</v>
      </c>
      <c r="DJ319">
        <f t="shared" si="617"/>
        <v>0</v>
      </c>
      <c r="DK319">
        <f t="shared" si="617"/>
        <v>0</v>
      </c>
      <c r="DL319">
        <f t="shared" si="617"/>
        <v>0</v>
      </c>
      <c r="DM319">
        <f t="shared" si="617"/>
        <v>0</v>
      </c>
      <c r="DN319">
        <f t="shared" si="617"/>
        <v>0</v>
      </c>
      <c r="DO319">
        <f t="shared" si="617"/>
        <v>0</v>
      </c>
      <c r="DP319">
        <f t="shared" si="617"/>
        <v>0</v>
      </c>
      <c r="DQ319">
        <f t="shared" si="618"/>
        <v>0</v>
      </c>
      <c r="DR319">
        <f t="shared" si="618"/>
        <v>0</v>
      </c>
      <c r="DS319">
        <f t="shared" si="618"/>
        <v>0</v>
      </c>
      <c r="DT319">
        <f t="shared" si="618"/>
        <v>0</v>
      </c>
      <c r="DU319">
        <f t="shared" si="618"/>
        <v>0</v>
      </c>
      <c r="DV319">
        <f t="shared" si="618"/>
        <v>0</v>
      </c>
      <c r="DW319">
        <f t="shared" si="618"/>
        <v>0</v>
      </c>
      <c r="DX319">
        <f t="shared" si="618"/>
        <v>0</v>
      </c>
      <c r="DY319">
        <f t="shared" si="618"/>
        <v>0</v>
      </c>
      <c r="DZ319">
        <f t="shared" si="618"/>
        <v>0</v>
      </c>
      <c r="EA319">
        <f t="shared" si="619"/>
        <v>0</v>
      </c>
      <c r="EB319">
        <f t="shared" si="619"/>
        <v>0</v>
      </c>
      <c r="EC319">
        <f t="shared" si="619"/>
        <v>0</v>
      </c>
      <c r="ED319">
        <f t="shared" si="619"/>
        <v>0</v>
      </c>
      <c r="EE319">
        <f t="shared" si="619"/>
        <v>0</v>
      </c>
      <c r="EF319">
        <f t="shared" si="619"/>
        <v>0</v>
      </c>
    </row>
    <row r="320" spans="1:136" ht="15.5">
      <c r="A320" s="90"/>
      <c r="B320" s="19" t="s">
        <v>2</v>
      </c>
      <c r="C320" s="94"/>
      <c r="D320" s="18">
        <v>0</v>
      </c>
      <c r="E320" s="18">
        <v>0</v>
      </c>
      <c r="F320" s="18">
        <v>0</v>
      </c>
      <c r="G320" s="18">
        <v>0</v>
      </c>
      <c r="H320" s="18">
        <v>0</v>
      </c>
      <c r="I320" s="18">
        <v>0</v>
      </c>
      <c r="J320" s="18">
        <v>0</v>
      </c>
      <c r="K320" s="18">
        <v>0</v>
      </c>
      <c r="L320" s="18">
        <v>0</v>
      </c>
      <c r="M320" s="18">
        <v>0</v>
      </c>
      <c r="N320" s="18">
        <v>0</v>
      </c>
      <c r="O320" s="18">
        <v>0</v>
      </c>
      <c r="P320" s="18">
        <v>0</v>
      </c>
      <c r="Q320" s="18">
        <v>0</v>
      </c>
      <c r="R320" s="18">
        <v>0</v>
      </c>
      <c r="S320" s="40" t="s">
        <v>16</v>
      </c>
      <c r="T320" s="18">
        <v>280</v>
      </c>
      <c r="U320" s="18">
        <v>210</v>
      </c>
      <c r="V320" s="18">
        <v>1147</v>
      </c>
      <c r="W320" s="18">
        <v>1200</v>
      </c>
      <c r="X320" s="18">
        <v>606</v>
      </c>
      <c r="Y320" s="18">
        <v>600</v>
      </c>
      <c r="Z320" s="40" t="s">
        <v>16</v>
      </c>
      <c r="AA320" s="18">
        <v>1490</v>
      </c>
      <c r="AB320" s="40" t="s">
        <v>16</v>
      </c>
      <c r="AC320" s="18">
        <v>322</v>
      </c>
      <c r="AD320" s="18">
        <v>350</v>
      </c>
      <c r="AE320" s="18">
        <v>883</v>
      </c>
      <c r="AF320" s="40" t="s">
        <v>16</v>
      </c>
      <c r="AG320" s="18">
        <v>1530</v>
      </c>
      <c r="AH320" s="71">
        <v>220</v>
      </c>
      <c r="AI320" s="18">
        <v>1456</v>
      </c>
      <c r="AJ320" s="18">
        <v>2579</v>
      </c>
      <c r="AK320" s="18">
        <v>3603</v>
      </c>
      <c r="AL320" s="18">
        <v>4759</v>
      </c>
      <c r="AM320" s="18">
        <v>5887</v>
      </c>
      <c r="AN320" s="40" t="s">
        <v>16</v>
      </c>
      <c r="AO320" s="40" t="s">
        <v>16</v>
      </c>
      <c r="AP320" s="40" t="s">
        <v>16</v>
      </c>
      <c r="AQ320" s="40" t="s">
        <v>16</v>
      </c>
      <c r="AR320" s="40" t="s">
        <v>16</v>
      </c>
      <c r="AS320" s="40" t="s">
        <v>16</v>
      </c>
      <c r="AT320" s="18">
        <v>8980</v>
      </c>
      <c r="AU320" s="40" t="s">
        <v>16</v>
      </c>
      <c r="AV320" s="40" t="s">
        <v>16</v>
      </c>
      <c r="AW320" s="40" t="s">
        <v>16</v>
      </c>
      <c r="AX320" s="40" t="s">
        <v>16</v>
      </c>
      <c r="AY320" s="40" t="s">
        <v>16</v>
      </c>
      <c r="AZ320" s="40" t="s">
        <v>16</v>
      </c>
      <c r="BA320" s="40" t="s">
        <v>16</v>
      </c>
      <c r="BB320" s="18">
        <v>2957</v>
      </c>
      <c r="BC320" s="40" t="s">
        <v>16</v>
      </c>
      <c r="BD320" s="18">
        <v>0</v>
      </c>
      <c r="BE320" s="18">
        <v>0</v>
      </c>
      <c r="BF320" s="18">
        <v>0</v>
      </c>
      <c r="BG320" s="18">
        <v>0</v>
      </c>
      <c r="BH320" s="18">
        <v>0</v>
      </c>
      <c r="BI320" s="18">
        <v>0</v>
      </c>
      <c r="BJ320" s="18">
        <v>0</v>
      </c>
      <c r="BK320" s="18">
        <v>0</v>
      </c>
      <c r="BL320" s="103">
        <v>8.3000000000000004E-2</v>
      </c>
      <c r="BM320" s="18">
        <v>0</v>
      </c>
      <c r="BN320" s="18">
        <v>19</v>
      </c>
      <c r="BO320" s="113">
        <v>151</v>
      </c>
      <c r="BP320" s="113">
        <v>97</v>
      </c>
      <c r="BQ320" s="113">
        <v>0</v>
      </c>
      <c r="BR320" s="101"/>
      <c r="BS320">
        <f t="shared" si="613"/>
        <v>0</v>
      </c>
      <c r="BT320">
        <f t="shared" si="613"/>
        <v>0</v>
      </c>
      <c r="BU320">
        <f t="shared" si="613"/>
        <v>0</v>
      </c>
      <c r="BV320">
        <f t="shared" si="613"/>
        <v>0</v>
      </c>
      <c r="BW320">
        <f t="shared" si="613"/>
        <v>0</v>
      </c>
      <c r="BX320">
        <f t="shared" si="613"/>
        <v>0</v>
      </c>
      <c r="BY320">
        <f t="shared" si="613"/>
        <v>0</v>
      </c>
      <c r="BZ320">
        <f t="shared" si="613"/>
        <v>0</v>
      </c>
      <c r="CA320">
        <f t="shared" si="613"/>
        <v>0</v>
      </c>
      <c r="CB320">
        <f t="shared" si="613"/>
        <v>0</v>
      </c>
      <c r="CC320">
        <f t="shared" si="614"/>
        <v>0</v>
      </c>
      <c r="CD320">
        <f t="shared" si="614"/>
        <v>0</v>
      </c>
      <c r="CE320">
        <f t="shared" si="614"/>
        <v>0</v>
      </c>
      <c r="CF320">
        <f t="shared" si="614"/>
        <v>0</v>
      </c>
      <c r="CG320">
        <f t="shared" si="614"/>
        <v>0</v>
      </c>
      <c r="CH320">
        <f t="shared" si="614"/>
        <v>0</v>
      </c>
      <c r="CI320">
        <f t="shared" si="614"/>
        <v>0</v>
      </c>
      <c r="CJ320">
        <f t="shared" si="614"/>
        <v>0</v>
      </c>
      <c r="CK320">
        <f t="shared" si="614"/>
        <v>0</v>
      </c>
      <c r="CL320">
        <f t="shared" si="614"/>
        <v>0</v>
      </c>
      <c r="CM320">
        <f t="shared" si="615"/>
        <v>0</v>
      </c>
      <c r="CN320">
        <f t="shared" si="615"/>
        <v>0</v>
      </c>
      <c r="CO320">
        <f t="shared" si="615"/>
        <v>0</v>
      </c>
      <c r="CP320">
        <f t="shared" si="615"/>
        <v>0</v>
      </c>
      <c r="CQ320">
        <f t="shared" si="615"/>
        <v>0</v>
      </c>
      <c r="CR320">
        <f t="shared" si="615"/>
        <v>0</v>
      </c>
      <c r="CS320">
        <f t="shared" si="615"/>
        <v>0</v>
      </c>
      <c r="CT320">
        <f t="shared" si="615"/>
        <v>0</v>
      </c>
      <c r="CU320">
        <f t="shared" si="615"/>
        <v>0</v>
      </c>
      <c r="CV320">
        <f t="shared" si="615"/>
        <v>0</v>
      </c>
      <c r="CW320">
        <f t="shared" si="616"/>
        <v>0</v>
      </c>
      <c r="CX320">
        <f t="shared" si="616"/>
        <v>0</v>
      </c>
      <c r="CY320">
        <f t="shared" si="616"/>
        <v>0</v>
      </c>
      <c r="CZ320">
        <f t="shared" si="616"/>
        <v>0</v>
      </c>
      <c r="DA320">
        <f t="shared" si="616"/>
        <v>0</v>
      </c>
      <c r="DB320">
        <f t="shared" si="616"/>
        <v>0</v>
      </c>
      <c r="DC320">
        <f t="shared" si="616"/>
        <v>0</v>
      </c>
      <c r="DD320">
        <f t="shared" si="616"/>
        <v>0</v>
      </c>
      <c r="DE320">
        <f t="shared" si="616"/>
        <v>0</v>
      </c>
      <c r="DF320">
        <f t="shared" si="616"/>
        <v>0</v>
      </c>
      <c r="DG320">
        <f t="shared" si="617"/>
        <v>0</v>
      </c>
      <c r="DH320">
        <f t="shared" si="617"/>
        <v>0</v>
      </c>
      <c r="DI320">
        <f t="shared" si="617"/>
        <v>0</v>
      </c>
      <c r="DJ320">
        <f t="shared" si="617"/>
        <v>0</v>
      </c>
      <c r="DK320">
        <f t="shared" si="617"/>
        <v>0</v>
      </c>
      <c r="DL320">
        <f t="shared" si="617"/>
        <v>0</v>
      </c>
      <c r="DM320">
        <f t="shared" si="617"/>
        <v>0</v>
      </c>
      <c r="DN320">
        <f t="shared" si="617"/>
        <v>0</v>
      </c>
      <c r="DO320">
        <f t="shared" si="617"/>
        <v>0</v>
      </c>
      <c r="DP320">
        <f t="shared" si="617"/>
        <v>0</v>
      </c>
      <c r="DQ320">
        <f t="shared" si="618"/>
        <v>0</v>
      </c>
      <c r="DR320">
        <f t="shared" si="618"/>
        <v>0</v>
      </c>
      <c r="DS320">
        <f t="shared" si="618"/>
        <v>0</v>
      </c>
      <c r="DT320">
        <f t="shared" si="618"/>
        <v>0</v>
      </c>
      <c r="DU320">
        <f t="shared" si="618"/>
        <v>0</v>
      </c>
      <c r="DV320">
        <f t="shared" si="618"/>
        <v>0</v>
      </c>
      <c r="DW320">
        <f t="shared" si="618"/>
        <v>0</v>
      </c>
      <c r="DX320">
        <f t="shared" si="618"/>
        <v>0</v>
      </c>
      <c r="DY320">
        <f t="shared" si="618"/>
        <v>0</v>
      </c>
      <c r="DZ320">
        <f t="shared" si="618"/>
        <v>0</v>
      </c>
      <c r="EA320">
        <f t="shared" si="619"/>
        <v>0</v>
      </c>
      <c r="EB320">
        <f t="shared" si="619"/>
        <v>0</v>
      </c>
      <c r="EC320">
        <f t="shared" si="619"/>
        <v>0</v>
      </c>
      <c r="ED320">
        <f t="shared" si="619"/>
        <v>0</v>
      </c>
      <c r="EE320">
        <f t="shared" si="619"/>
        <v>0</v>
      </c>
      <c r="EF320">
        <f t="shared" si="619"/>
        <v>0</v>
      </c>
    </row>
    <row r="321" spans="1:136" ht="15.5">
      <c r="A321" s="90"/>
      <c r="B321" s="19" t="s">
        <v>205</v>
      </c>
      <c r="C321" s="94"/>
      <c r="D321" s="18">
        <v>0</v>
      </c>
      <c r="E321" s="18">
        <v>0</v>
      </c>
      <c r="F321" s="18">
        <v>0</v>
      </c>
      <c r="G321" s="18">
        <v>0</v>
      </c>
      <c r="H321" s="18">
        <v>0</v>
      </c>
      <c r="I321" s="18">
        <v>0</v>
      </c>
      <c r="J321" s="18">
        <v>0</v>
      </c>
      <c r="K321" s="18">
        <v>0</v>
      </c>
      <c r="L321" s="18">
        <v>0</v>
      </c>
      <c r="M321" s="18">
        <v>0</v>
      </c>
      <c r="N321" s="18">
        <v>0</v>
      </c>
      <c r="O321" s="18">
        <v>0</v>
      </c>
      <c r="P321" s="18">
        <v>0</v>
      </c>
      <c r="Q321" s="18">
        <v>0</v>
      </c>
      <c r="R321" s="18">
        <v>0</v>
      </c>
      <c r="S321" s="18">
        <v>0</v>
      </c>
      <c r="T321" s="18">
        <v>0</v>
      </c>
      <c r="U321" s="18">
        <v>0</v>
      </c>
      <c r="V321" s="18">
        <v>0</v>
      </c>
      <c r="W321" s="18">
        <v>0</v>
      </c>
      <c r="X321" s="18">
        <v>0</v>
      </c>
      <c r="Y321" s="18">
        <v>0</v>
      </c>
      <c r="Z321" s="18">
        <v>0</v>
      </c>
      <c r="AA321" s="18">
        <v>0</v>
      </c>
      <c r="AB321" s="18">
        <v>0</v>
      </c>
      <c r="AC321" s="18">
        <v>0</v>
      </c>
      <c r="AD321" s="18">
        <v>0</v>
      </c>
      <c r="AE321" s="18">
        <v>0</v>
      </c>
      <c r="AF321" s="18">
        <v>4.568111</v>
      </c>
      <c r="AG321" s="18">
        <v>4.5422547</v>
      </c>
      <c r="AH321" s="18">
        <v>7.6654966</v>
      </c>
      <c r="AI321" s="18">
        <v>12.7455724</v>
      </c>
      <c r="AJ321" s="18">
        <v>17.1242026</v>
      </c>
      <c r="AK321" s="18">
        <v>19.501896899999998</v>
      </c>
      <c r="AL321" s="18">
        <v>13.391935399999999</v>
      </c>
      <c r="AM321" s="18">
        <v>13.5993242</v>
      </c>
      <c r="AN321" s="18">
        <v>13.6307914</v>
      </c>
      <c r="AO321" s="18">
        <v>13.6610829</v>
      </c>
      <c r="AP321" s="18">
        <v>13.662892300000001</v>
      </c>
      <c r="AQ321" s="18">
        <v>19.200580600000002</v>
      </c>
      <c r="AR321" s="18">
        <v>20.811972899999997</v>
      </c>
      <c r="AS321" s="18">
        <v>25.4481249</v>
      </c>
      <c r="AT321" s="18">
        <v>29.7869077</v>
      </c>
      <c r="AU321" s="18">
        <v>48.646251599999999</v>
      </c>
      <c r="AV321" s="18">
        <v>49.278514299999998</v>
      </c>
      <c r="AW321" s="18">
        <v>51.429594799999997</v>
      </c>
      <c r="AX321" s="18">
        <v>52.514501200000005</v>
      </c>
      <c r="AY321" s="18">
        <v>55.832059000000001</v>
      </c>
      <c r="AZ321" s="18">
        <v>57.288272399999997</v>
      </c>
      <c r="BA321" s="18">
        <v>56.013213599999993</v>
      </c>
      <c r="BB321" s="18">
        <v>13.817178800000001</v>
      </c>
      <c r="BC321" s="18">
        <v>1.8735419</v>
      </c>
      <c r="BD321" s="18">
        <v>0</v>
      </c>
      <c r="BE321" s="25">
        <v>0</v>
      </c>
      <c r="BF321" s="18">
        <v>0</v>
      </c>
      <c r="BG321" s="18">
        <v>0</v>
      </c>
      <c r="BH321" s="18">
        <v>0</v>
      </c>
      <c r="BI321" s="18">
        <v>499</v>
      </c>
      <c r="BJ321" s="113">
        <v>782</v>
      </c>
      <c r="BK321" s="113">
        <v>1065</v>
      </c>
      <c r="BL321" s="113">
        <v>1127</v>
      </c>
      <c r="BM321" s="113">
        <v>1489</v>
      </c>
      <c r="BN321" s="113">
        <v>1580</v>
      </c>
      <c r="BO321" s="113">
        <v>1953</v>
      </c>
      <c r="BP321" s="113">
        <v>2326</v>
      </c>
      <c r="BQ321" s="113">
        <v>750</v>
      </c>
      <c r="BR321" s="101"/>
      <c r="BS321">
        <f t="shared" ref="BS321:CB327" si="620">IF($C321&lt;&gt;"",IF(D321&gt;0,1,0),0)</f>
        <v>0</v>
      </c>
      <c r="BT321">
        <f t="shared" si="620"/>
        <v>0</v>
      </c>
      <c r="BU321">
        <f t="shared" si="620"/>
        <v>0</v>
      </c>
      <c r="BV321">
        <f t="shared" si="620"/>
        <v>0</v>
      </c>
      <c r="BW321">
        <f t="shared" si="620"/>
        <v>0</v>
      </c>
      <c r="BX321">
        <f t="shared" si="620"/>
        <v>0</v>
      </c>
      <c r="BY321">
        <f t="shared" si="620"/>
        <v>0</v>
      </c>
      <c r="BZ321">
        <f t="shared" si="620"/>
        <v>0</v>
      </c>
      <c r="CA321">
        <f t="shared" si="620"/>
        <v>0</v>
      </c>
      <c r="CB321">
        <f t="shared" si="620"/>
        <v>0</v>
      </c>
      <c r="CC321">
        <f t="shared" ref="CC321:CL327" si="621">IF($C321&lt;&gt;"",IF(N321&gt;0,1,0),0)</f>
        <v>0</v>
      </c>
      <c r="CD321">
        <f t="shared" si="621"/>
        <v>0</v>
      </c>
      <c r="CE321">
        <f t="shared" si="621"/>
        <v>0</v>
      </c>
      <c r="CF321">
        <f t="shared" si="621"/>
        <v>0</v>
      </c>
      <c r="CG321">
        <f t="shared" si="621"/>
        <v>0</v>
      </c>
      <c r="CH321">
        <f t="shared" si="621"/>
        <v>0</v>
      </c>
      <c r="CI321">
        <f t="shared" si="621"/>
        <v>0</v>
      </c>
      <c r="CJ321">
        <f t="shared" si="621"/>
        <v>0</v>
      </c>
      <c r="CK321">
        <f t="shared" si="621"/>
        <v>0</v>
      </c>
      <c r="CL321">
        <f t="shared" si="621"/>
        <v>0</v>
      </c>
      <c r="CM321">
        <f t="shared" ref="CM321:CV327" si="622">IF($C321&lt;&gt;"",IF(X321&gt;0,1,0),0)</f>
        <v>0</v>
      </c>
      <c r="CN321">
        <f t="shared" si="622"/>
        <v>0</v>
      </c>
      <c r="CO321">
        <f t="shared" si="622"/>
        <v>0</v>
      </c>
      <c r="CP321">
        <f t="shared" si="622"/>
        <v>0</v>
      </c>
      <c r="CQ321">
        <f t="shared" si="622"/>
        <v>0</v>
      </c>
      <c r="CR321">
        <f t="shared" si="622"/>
        <v>0</v>
      </c>
      <c r="CS321">
        <f t="shared" si="622"/>
        <v>0</v>
      </c>
      <c r="CT321">
        <f t="shared" si="622"/>
        <v>0</v>
      </c>
      <c r="CU321">
        <f t="shared" si="622"/>
        <v>0</v>
      </c>
      <c r="CV321">
        <f t="shared" si="622"/>
        <v>0</v>
      </c>
      <c r="CW321">
        <f t="shared" ref="CW321:DF327" si="623">IF($C321&lt;&gt;"",IF(AH321&gt;0,1,0),0)</f>
        <v>0</v>
      </c>
      <c r="CX321">
        <f t="shared" si="623"/>
        <v>0</v>
      </c>
      <c r="CY321">
        <f t="shared" si="623"/>
        <v>0</v>
      </c>
      <c r="CZ321">
        <f t="shared" si="623"/>
        <v>0</v>
      </c>
      <c r="DA321">
        <f t="shared" si="623"/>
        <v>0</v>
      </c>
      <c r="DB321">
        <f t="shared" si="623"/>
        <v>0</v>
      </c>
      <c r="DC321">
        <f t="shared" si="623"/>
        <v>0</v>
      </c>
      <c r="DD321">
        <f t="shared" si="623"/>
        <v>0</v>
      </c>
      <c r="DE321">
        <f t="shared" si="623"/>
        <v>0</v>
      </c>
      <c r="DF321">
        <f t="shared" si="623"/>
        <v>0</v>
      </c>
      <c r="DG321">
        <f t="shared" ref="DG321:DP327" si="624">IF($C321&lt;&gt;"",IF(AR321&gt;0,1,0),0)</f>
        <v>0</v>
      </c>
      <c r="DH321">
        <f t="shared" si="624"/>
        <v>0</v>
      </c>
      <c r="DI321">
        <f t="shared" si="624"/>
        <v>0</v>
      </c>
      <c r="DJ321">
        <f t="shared" si="624"/>
        <v>0</v>
      </c>
      <c r="DK321">
        <f t="shared" si="624"/>
        <v>0</v>
      </c>
      <c r="DL321">
        <f t="shared" si="624"/>
        <v>0</v>
      </c>
      <c r="DM321">
        <f t="shared" si="624"/>
        <v>0</v>
      </c>
      <c r="DN321">
        <f t="shared" si="624"/>
        <v>0</v>
      </c>
      <c r="DO321">
        <f t="shared" si="624"/>
        <v>0</v>
      </c>
      <c r="DP321">
        <f t="shared" si="624"/>
        <v>0</v>
      </c>
      <c r="DQ321">
        <f t="shared" ref="DQ321:DZ327" si="625">IF($C321&lt;&gt;"",IF(BB321&gt;0,1,0),0)</f>
        <v>0</v>
      </c>
      <c r="DR321">
        <f t="shared" si="625"/>
        <v>0</v>
      </c>
      <c r="DS321">
        <f t="shared" si="625"/>
        <v>0</v>
      </c>
      <c r="DT321">
        <f t="shared" si="625"/>
        <v>0</v>
      </c>
      <c r="DU321">
        <f t="shared" si="625"/>
        <v>0</v>
      </c>
      <c r="DV321">
        <f t="shared" si="625"/>
        <v>0</v>
      </c>
      <c r="DW321">
        <f t="shared" si="625"/>
        <v>0</v>
      </c>
      <c r="DX321">
        <f t="shared" si="625"/>
        <v>0</v>
      </c>
      <c r="DY321">
        <f t="shared" si="625"/>
        <v>0</v>
      </c>
      <c r="DZ321">
        <f t="shared" si="625"/>
        <v>0</v>
      </c>
      <c r="EA321">
        <f>IF($C321&lt;&gt;"",IF(BM321&gt;0,1,0),0)</f>
        <v>0</v>
      </c>
      <c r="EB321">
        <f>IF($C321&lt;&gt;"",IF(#REF!&gt;0,1,0),0)</f>
        <v>0</v>
      </c>
      <c r="EC321">
        <f t="shared" ref="EC321:EF327" si="626">IF($C321&lt;&gt;"",IF(BN321&gt;0,1,0),0)</f>
        <v>0</v>
      </c>
      <c r="ED321">
        <f t="shared" si="626"/>
        <v>0</v>
      </c>
      <c r="EE321">
        <f t="shared" si="626"/>
        <v>0</v>
      </c>
      <c r="EF321">
        <f t="shared" si="626"/>
        <v>0</v>
      </c>
    </row>
    <row r="322" spans="1:136" ht="15.5">
      <c r="A322" s="90"/>
      <c r="B322" s="57" t="s">
        <v>3</v>
      </c>
      <c r="C322" s="94"/>
      <c r="D322" s="18">
        <v>0</v>
      </c>
      <c r="E322" s="18">
        <v>0</v>
      </c>
      <c r="F322" s="18">
        <v>0</v>
      </c>
      <c r="G322" s="18">
        <v>0</v>
      </c>
      <c r="H322" s="18">
        <v>0</v>
      </c>
      <c r="I322" s="18">
        <v>0</v>
      </c>
      <c r="J322" s="18">
        <v>0</v>
      </c>
      <c r="K322" s="18">
        <v>0</v>
      </c>
      <c r="L322" s="18">
        <v>0</v>
      </c>
      <c r="M322" s="18">
        <v>0</v>
      </c>
      <c r="N322" s="18">
        <v>0</v>
      </c>
      <c r="O322" s="18">
        <v>0</v>
      </c>
      <c r="P322" s="18">
        <v>0</v>
      </c>
      <c r="Q322" s="18">
        <v>8.5625999999999994E-2</v>
      </c>
      <c r="R322" s="18">
        <v>0</v>
      </c>
      <c r="S322" s="18">
        <v>5.9210120000000002</v>
      </c>
      <c r="T322" s="40" t="s">
        <v>16</v>
      </c>
      <c r="U322" s="40" t="s">
        <v>16</v>
      </c>
      <c r="V322" s="40" t="s">
        <v>16</v>
      </c>
      <c r="W322" s="40" t="s">
        <v>16</v>
      </c>
      <c r="X322" s="40" t="s">
        <v>16</v>
      </c>
      <c r="Y322" s="40" t="s">
        <v>16</v>
      </c>
      <c r="Z322" s="18">
        <v>380.3904</v>
      </c>
      <c r="AA322" s="40" t="s">
        <v>16</v>
      </c>
      <c r="AB322" s="18">
        <v>118.2324</v>
      </c>
      <c r="AC322" s="40" t="s">
        <v>16</v>
      </c>
      <c r="AD322" s="40" t="s">
        <v>16</v>
      </c>
      <c r="AE322" s="40" t="s">
        <v>16</v>
      </c>
      <c r="AF322" s="18">
        <v>664.92819999999995</v>
      </c>
      <c r="AG322" s="40" t="s">
        <v>16</v>
      </c>
      <c r="AH322" s="18">
        <f>947.6323-AH320</f>
        <v>727.63229999999999</v>
      </c>
      <c r="AI322" s="18">
        <f>1621.927-AI317-AI320</f>
        <v>136.92699999999991</v>
      </c>
      <c r="AJ322" s="40" t="s">
        <v>16</v>
      </c>
      <c r="AK322" s="40" t="s">
        <v>16</v>
      </c>
      <c r="AL322" s="40" t="s">
        <v>16</v>
      </c>
      <c r="AM322" s="34">
        <f>6363.195-AM319-AM318-AM320</f>
        <v>395.19499999999971</v>
      </c>
      <c r="AN322" s="34">
        <f>6539.841-AN319-AN318</f>
        <v>6425.8410000000003</v>
      </c>
      <c r="AO322" s="34">
        <f>6470.478-AO319-AO318</f>
        <v>6322.4780000000001</v>
      </c>
      <c r="AP322" s="34">
        <f>7169.608-AP319-AP318</f>
        <v>6985.6080000000002</v>
      </c>
      <c r="AQ322" s="18">
        <f>7243.723-AQ319-AQ318</f>
        <v>7019.723</v>
      </c>
      <c r="AR322" s="18">
        <f>7142.6525004-AS319-AS318</f>
        <v>6846.6525003999996</v>
      </c>
      <c r="AS322" s="18">
        <f>7604.4895544-AS318-AS319</f>
        <v>7308.4895544000001</v>
      </c>
      <c r="AT322" s="40" t="s">
        <v>16</v>
      </c>
      <c r="AU322" s="18">
        <v>1196.7197980000001</v>
      </c>
      <c r="AV322" s="18">
        <v>1228.9352156999998</v>
      </c>
      <c r="AW322" s="18">
        <v>1420.6357513</v>
      </c>
      <c r="AX322" s="18">
        <f>1446.8881732-AX321</f>
        <v>1394.3736719999999</v>
      </c>
      <c r="AY322" s="18">
        <f>1694.8207283-AY321</f>
        <v>1638.9886692999999</v>
      </c>
      <c r="AZ322" s="18">
        <f>1939.7018399-AZ321</f>
        <v>1882.4135675</v>
      </c>
      <c r="BA322" s="18">
        <f>2362.2022472-BA321</f>
        <v>2306.1890335999997</v>
      </c>
      <c r="BB322" s="18">
        <f>8707.5558241-BB320-BB321</f>
        <v>5736.7386452999999</v>
      </c>
      <c r="BC322" s="18">
        <f>407.0160088-BC321</f>
        <v>405.14246689999999</v>
      </c>
      <c r="BD322" s="18">
        <v>183.51551930000002</v>
      </c>
      <c r="BE322" s="25">
        <v>186.98153569999999</v>
      </c>
      <c r="BF322" s="18">
        <v>161.11404880000001</v>
      </c>
      <c r="BG322" s="18">
        <v>154.55968270000002</v>
      </c>
      <c r="BH322" s="18">
        <v>216.57243489999996</v>
      </c>
      <c r="BI322" s="18">
        <f>744.1855922-BI321</f>
        <v>245.18559219999997</v>
      </c>
      <c r="BJ322" s="18">
        <f>838.7507849-BJ321</f>
        <v>56.750784899999985</v>
      </c>
      <c r="BK322" s="18">
        <f>1461.9101723-BK321</f>
        <v>396.91017230000011</v>
      </c>
      <c r="BL322" s="113">
        <f>1401.0955115-BL321</f>
        <v>274.09551149999993</v>
      </c>
      <c r="BM322" s="113">
        <f>1685.2490258-BM321</f>
        <v>196.24902580000003</v>
      </c>
      <c r="BN322" s="228">
        <v>719</v>
      </c>
      <c r="BO322" s="228">
        <v>60</v>
      </c>
      <c r="BP322" s="113">
        <v>60</v>
      </c>
      <c r="BQ322" s="113">
        <v>60</v>
      </c>
      <c r="BR322" s="101"/>
      <c r="BS322">
        <f t="shared" si="620"/>
        <v>0</v>
      </c>
      <c r="BT322">
        <f t="shared" si="620"/>
        <v>0</v>
      </c>
      <c r="BU322">
        <f t="shared" si="620"/>
        <v>0</v>
      </c>
      <c r="BV322">
        <f t="shared" si="620"/>
        <v>0</v>
      </c>
      <c r="BW322">
        <f t="shared" si="620"/>
        <v>0</v>
      </c>
      <c r="BX322">
        <f t="shared" si="620"/>
        <v>0</v>
      </c>
      <c r="BY322">
        <f t="shared" si="620"/>
        <v>0</v>
      </c>
      <c r="BZ322">
        <f t="shared" si="620"/>
        <v>0</v>
      </c>
      <c r="CA322">
        <f t="shared" si="620"/>
        <v>0</v>
      </c>
      <c r="CB322">
        <f t="shared" si="620"/>
        <v>0</v>
      </c>
      <c r="CC322">
        <f t="shared" si="621"/>
        <v>0</v>
      </c>
      <c r="CD322">
        <f t="shared" si="621"/>
        <v>0</v>
      </c>
      <c r="CE322">
        <f t="shared" si="621"/>
        <v>0</v>
      </c>
      <c r="CF322">
        <f t="shared" si="621"/>
        <v>0</v>
      </c>
      <c r="CG322">
        <f t="shared" si="621"/>
        <v>0</v>
      </c>
      <c r="CH322">
        <f t="shared" si="621"/>
        <v>0</v>
      </c>
      <c r="CI322">
        <f t="shared" si="621"/>
        <v>0</v>
      </c>
      <c r="CJ322">
        <f t="shared" si="621"/>
        <v>0</v>
      </c>
      <c r="CK322">
        <f t="shared" si="621"/>
        <v>0</v>
      </c>
      <c r="CL322">
        <f t="shared" si="621"/>
        <v>0</v>
      </c>
      <c r="CM322">
        <f t="shared" si="622"/>
        <v>0</v>
      </c>
      <c r="CN322">
        <f t="shared" si="622"/>
        <v>0</v>
      </c>
      <c r="CO322">
        <f t="shared" si="622"/>
        <v>0</v>
      </c>
      <c r="CP322">
        <f t="shared" si="622"/>
        <v>0</v>
      </c>
      <c r="CQ322">
        <f t="shared" si="622"/>
        <v>0</v>
      </c>
      <c r="CR322">
        <f t="shared" si="622"/>
        <v>0</v>
      </c>
      <c r="CS322">
        <f t="shared" si="622"/>
        <v>0</v>
      </c>
      <c r="CT322">
        <f t="shared" si="622"/>
        <v>0</v>
      </c>
      <c r="CU322">
        <f t="shared" si="622"/>
        <v>0</v>
      </c>
      <c r="CV322">
        <f t="shared" si="622"/>
        <v>0</v>
      </c>
      <c r="CW322">
        <f t="shared" si="623"/>
        <v>0</v>
      </c>
      <c r="CX322">
        <f t="shared" si="623"/>
        <v>0</v>
      </c>
      <c r="CY322">
        <f t="shared" si="623"/>
        <v>0</v>
      </c>
      <c r="CZ322">
        <f t="shared" si="623"/>
        <v>0</v>
      </c>
      <c r="DA322">
        <f t="shared" si="623"/>
        <v>0</v>
      </c>
      <c r="DB322">
        <f t="shared" si="623"/>
        <v>0</v>
      </c>
      <c r="DC322">
        <f t="shared" si="623"/>
        <v>0</v>
      </c>
      <c r="DD322">
        <f t="shared" si="623"/>
        <v>0</v>
      </c>
      <c r="DE322">
        <f t="shared" si="623"/>
        <v>0</v>
      </c>
      <c r="DF322">
        <f t="shared" si="623"/>
        <v>0</v>
      </c>
      <c r="DG322">
        <f t="shared" si="624"/>
        <v>0</v>
      </c>
      <c r="DH322">
        <f t="shared" si="624"/>
        <v>0</v>
      </c>
      <c r="DI322">
        <f t="shared" si="624"/>
        <v>0</v>
      </c>
      <c r="DJ322">
        <f t="shared" si="624"/>
        <v>0</v>
      </c>
      <c r="DK322">
        <f t="shared" si="624"/>
        <v>0</v>
      </c>
      <c r="DL322">
        <f t="shared" si="624"/>
        <v>0</v>
      </c>
      <c r="DM322">
        <f t="shared" si="624"/>
        <v>0</v>
      </c>
      <c r="DN322">
        <f t="shared" si="624"/>
        <v>0</v>
      </c>
      <c r="DO322">
        <f t="shared" si="624"/>
        <v>0</v>
      </c>
      <c r="DP322">
        <f t="shared" si="624"/>
        <v>0</v>
      </c>
      <c r="DQ322">
        <f t="shared" si="625"/>
        <v>0</v>
      </c>
      <c r="DR322">
        <f t="shared" si="625"/>
        <v>0</v>
      </c>
      <c r="DS322">
        <f t="shared" si="625"/>
        <v>0</v>
      </c>
      <c r="DT322">
        <f t="shared" si="625"/>
        <v>0</v>
      </c>
      <c r="DU322">
        <f t="shared" si="625"/>
        <v>0</v>
      </c>
      <c r="DV322">
        <f t="shared" si="625"/>
        <v>0</v>
      </c>
      <c r="DW322">
        <f t="shared" si="625"/>
        <v>0</v>
      </c>
      <c r="DX322">
        <f t="shared" si="625"/>
        <v>0</v>
      </c>
      <c r="DY322">
        <f t="shared" si="625"/>
        <v>0</v>
      </c>
      <c r="DZ322">
        <f t="shared" si="625"/>
        <v>0</v>
      </c>
      <c r="EA322">
        <f t="shared" ref="EA322:EB327" si="627">IF($C322&lt;&gt;"",IF(BL322&gt;0,1,0),0)</f>
        <v>0</v>
      </c>
      <c r="EB322">
        <f t="shared" si="627"/>
        <v>0</v>
      </c>
      <c r="EC322">
        <f t="shared" si="626"/>
        <v>0</v>
      </c>
      <c r="ED322">
        <f t="shared" si="626"/>
        <v>0</v>
      </c>
      <c r="EE322">
        <f t="shared" si="626"/>
        <v>0</v>
      </c>
      <c r="EF322">
        <f t="shared" si="626"/>
        <v>0</v>
      </c>
    </row>
    <row r="323" spans="1:136" ht="15.5">
      <c r="A323" s="90"/>
      <c r="B323" s="57" t="s">
        <v>18</v>
      </c>
      <c r="C323" s="95"/>
      <c r="D323" s="18">
        <v>0</v>
      </c>
      <c r="E323" s="18">
        <v>0</v>
      </c>
      <c r="F323" s="18">
        <v>0</v>
      </c>
      <c r="G323" s="18">
        <v>0</v>
      </c>
      <c r="H323" s="18">
        <v>0</v>
      </c>
      <c r="I323" s="18">
        <v>0</v>
      </c>
      <c r="J323" s="18">
        <v>0</v>
      </c>
      <c r="K323" s="18">
        <v>0</v>
      </c>
      <c r="L323" s="18">
        <v>0</v>
      </c>
      <c r="M323" s="18">
        <v>0</v>
      </c>
      <c r="N323" s="18">
        <v>0</v>
      </c>
      <c r="O323" s="18">
        <v>0</v>
      </c>
      <c r="P323" s="18">
        <v>0</v>
      </c>
      <c r="Q323" s="18">
        <v>0</v>
      </c>
      <c r="R323" s="18">
        <v>0</v>
      </c>
      <c r="S323" s="40" t="s">
        <v>16</v>
      </c>
      <c r="T323" s="40" t="s">
        <v>16</v>
      </c>
      <c r="U323" s="40" t="s">
        <v>16</v>
      </c>
      <c r="V323" s="40" t="s">
        <v>16</v>
      </c>
      <c r="W323" s="18">
        <v>287</v>
      </c>
      <c r="X323" s="18">
        <v>402</v>
      </c>
      <c r="Y323" s="18">
        <v>5</v>
      </c>
      <c r="Z323" s="18">
        <v>62</v>
      </c>
      <c r="AA323" s="18">
        <v>58</v>
      </c>
      <c r="AB323" s="18">
        <v>64</v>
      </c>
      <c r="AC323" s="18">
        <v>61</v>
      </c>
      <c r="AD323" s="18">
        <v>65</v>
      </c>
      <c r="AE323" s="18">
        <v>61</v>
      </c>
      <c r="AF323" s="18">
        <v>0</v>
      </c>
      <c r="AG323" s="18">
        <v>0</v>
      </c>
      <c r="AH323" s="18">
        <v>0</v>
      </c>
      <c r="AI323" s="18">
        <v>0</v>
      </c>
      <c r="AJ323" s="18">
        <v>0</v>
      </c>
      <c r="AK323" s="18">
        <v>0</v>
      </c>
      <c r="AL323" s="18">
        <v>0</v>
      </c>
      <c r="AM323" s="18">
        <v>0</v>
      </c>
      <c r="AN323" s="18">
        <v>0</v>
      </c>
      <c r="AO323" s="18">
        <v>0</v>
      </c>
      <c r="AP323" s="18">
        <v>0</v>
      </c>
      <c r="AQ323" s="18">
        <v>0</v>
      </c>
      <c r="AR323" s="18">
        <v>0</v>
      </c>
      <c r="AS323" s="18">
        <v>0</v>
      </c>
      <c r="AT323" s="18">
        <v>0</v>
      </c>
      <c r="AU323" s="18">
        <v>0</v>
      </c>
      <c r="AV323" s="18">
        <v>0</v>
      </c>
      <c r="AW323" s="18">
        <v>0</v>
      </c>
      <c r="AX323" s="18">
        <v>0</v>
      </c>
      <c r="AY323" s="18">
        <v>0</v>
      </c>
      <c r="AZ323" s="18">
        <v>0</v>
      </c>
      <c r="BA323" s="18">
        <v>0</v>
      </c>
      <c r="BB323" s="18">
        <v>0</v>
      </c>
      <c r="BC323" s="18">
        <v>0</v>
      </c>
      <c r="BD323" s="18">
        <v>0</v>
      </c>
      <c r="BE323" s="25">
        <v>0</v>
      </c>
      <c r="BF323" s="18">
        <v>0</v>
      </c>
      <c r="BG323" s="18">
        <v>0</v>
      </c>
      <c r="BH323" s="18">
        <v>0</v>
      </c>
      <c r="BI323" s="18">
        <v>0</v>
      </c>
      <c r="BJ323" s="113">
        <v>0</v>
      </c>
      <c r="BK323" s="113">
        <v>0</v>
      </c>
      <c r="BL323" s="113">
        <v>0</v>
      </c>
      <c r="BM323" s="113">
        <v>0</v>
      </c>
      <c r="BN323" s="113">
        <v>0</v>
      </c>
      <c r="BO323" s="113">
        <v>0</v>
      </c>
      <c r="BP323" s="113">
        <v>0</v>
      </c>
      <c r="BQ323" s="113">
        <v>0</v>
      </c>
      <c r="BR323" s="101"/>
      <c r="BS323">
        <f t="shared" si="620"/>
        <v>0</v>
      </c>
      <c r="BT323">
        <f t="shared" si="620"/>
        <v>0</v>
      </c>
      <c r="BU323">
        <f t="shared" si="620"/>
        <v>0</v>
      </c>
      <c r="BV323">
        <f t="shared" si="620"/>
        <v>0</v>
      </c>
      <c r="BW323">
        <f t="shared" si="620"/>
        <v>0</v>
      </c>
      <c r="BX323">
        <f t="shared" si="620"/>
        <v>0</v>
      </c>
      <c r="BY323">
        <f t="shared" si="620"/>
        <v>0</v>
      </c>
      <c r="BZ323">
        <f t="shared" si="620"/>
        <v>0</v>
      </c>
      <c r="CA323">
        <f t="shared" si="620"/>
        <v>0</v>
      </c>
      <c r="CB323">
        <f t="shared" si="620"/>
        <v>0</v>
      </c>
      <c r="CC323">
        <f t="shared" si="621"/>
        <v>0</v>
      </c>
      <c r="CD323">
        <f t="shared" si="621"/>
        <v>0</v>
      </c>
      <c r="CE323">
        <f t="shared" si="621"/>
        <v>0</v>
      </c>
      <c r="CF323">
        <f t="shared" si="621"/>
        <v>0</v>
      </c>
      <c r="CG323">
        <f t="shared" si="621"/>
        <v>0</v>
      </c>
      <c r="CH323">
        <f t="shared" si="621"/>
        <v>0</v>
      </c>
      <c r="CI323">
        <f t="shared" si="621"/>
        <v>0</v>
      </c>
      <c r="CJ323">
        <f t="shared" si="621"/>
        <v>0</v>
      </c>
      <c r="CK323">
        <f t="shared" si="621"/>
        <v>0</v>
      </c>
      <c r="CL323">
        <f t="shared" si="621"/>
        <v>0</v>
      </c>
      <c r="CM323">
        <f t="shared" si="622"/>
        <v>0</v>
      </c>
      <c r="CN323">
        <f t="shared" si="622"/>
        <v>0</v>
      </c>
      <c r="CO323">
        <f t="shared" si="622"/>
        <v>0</v>
      </c>
      <c r="CP323">
        <f t="shared" si="622"/>
        <v>0</v>
      </c>
      <c r="CQ323">
        <f t="shared" si="622"/>
        <v>0</v>
      </c>
      <c r="CR323">
        <f t="shared" si="622"/>
        <v>0</v>
      </c>
      <c r="CS323">
        <f t="shared" si="622"/>
        <v>0</v>
      </c>
      <c r="CT323">
        <f t="shared" si="622"/>
        <v>0</v>
      </c>
      <c r="CU323">
        <f t="shared" si="622"/>
        <v>0</v>
      </c>
      <c r="CV323">
        <f t="shared" si="622"/>
        <v>0</v>
      </c>
      <c r="CW323">
        <f t="shared" si="623"/>
        <v>0</v>
      </c>
      <c r="CX323">
        <f t="shared" si="623"/>
        <v>0</v>
      </c>
      <c r="CY323">
        <f t="shared" si="623"/>
        <v>0</v>
      </c>
      <c r="CZ323">
        <f t="shared" si="623"/>
        <v>0</v>
      </c>
      <c r="DA323">
        <f t="shared" si="623"/>
        <v>0</v>
      </c>
      <c r="DB323">
        <f t="shared" si="623"/>
        <v>0</v>
      </c>
      <c r="DC323">
        <f t="shared" si="623"/>
        <v>0</v>
      </c>
      <c r="DD323">
        <f t="shared" si="623"/>
        <v>0</v>
      </c>
      <c r="DE323">
        <f t="shared" si="623"/>
        <v>0</v>
      </c>
      <c r="DF323">
        <f t="shared" si="623"/>
        <v>0</v>
      </c>
      <c r="DG323">
        <f t="shared" si="624"/>
        <v>0</v>
      </c>
      <c r="DH323">
        <f t="shared" si="624"/>
        <v>0</v>
      </c>
      <c r="DI323">
        <f t="shared" si="624"/>
        <v>0</v>
      </c>
      <c r="DJ323">
        <f t="shared" si="624"/>
        <v>0</v>
      </c>
      <c r="DK323">
        <f t="shared" si="624"/>
        <v>0</v>
      </c>
      <c r="DL323">
        <f t="shared" si="624"/>
        <v>0</v>
      </c>
      <c r="DM323">
        <f t="shared" si="624"/>
        <v>0</v>
      </c>
      <c r="DN323">
        <f t="shared" si="624"/>
        <v>0</v>
      </c>
      <c r="DO323">
        <f t="shared" si="624"/>
        <v>0</v>
      </c>
      <c r="DP323">
        <f t="shared" si="624"/>
        <v>0</v>
      </c>
      <c r="DQ323">
        <f t="shared" si="625"/>
        <v>0</v>
      </c>
      <c r="DR323">
        <f t="shared" si="625"/>
        <v>0</v>
      </c>
      <c r="DS323">
        <f t="shared" si="625"/>
        <v>0</v>
      </c>
      <c r="DT323">
        <f t="shared" si="625"/>
        <v>0</v>
      </c>
      <c r="DU323">
        <f t="shared" si="625"/>
        <v>0</v>
      </c>
      <c r="DV323">
        <f t="shared" si="625"/>
        <v>0</v>
      </c>
      <c r="DW323">
        <f t="shared" si="625"/>
        <v>0</v>
      </c>
      <c r="DX323">
        <f t="shared" si="625"/>
        <v>0</v>
      </c>
      <c r="DY323">
        <f t="shared" si="625"/>
        <v>0</v>
      </c>
      <c r="DZ323">
        <f t="shared" si="625"/>
        <v>0</v>
      </c>
      <c r="EA323">
        <f t="shared" si="627"/>
        <v>0</v>
      </c>
      <c r="EB323">
        <f t="shared" si="627"/>
        <v>0</v>
      </c>
      <c r="EC323">
        <f t="shared" si="626"/>
        <v>0</v>
      </c>
      <c r="ED323">
        <f t="shared" si="626"/>
        <v>0</v>
      </c>
      <c r="EE323">
        <f t="shared" si="626"/>
        <v>0</v>
      </c>
      <c r="EF323">
        <f t="shared" si="626"/>
        <v>0</v>
      </c>
    </row>
    <row r="324" spans="1:136" ht="15.5">
      <c r="A324" s="90"/>
      <c r="B324" s="57" t="s">
        <v>25</v>
      </c>
      <c r="C324" s="95"/>
      <c r="D324" s="18">
        <v>0</v>
      </c>
      <c r="E324" s="18">
        <v>15</v>
      </c>
      <c r="F324" s="18">
        <f>15+(15*0.0525)</f>
        <v>15.7875</v>
      </c>
      <c r="G324" s="18">
        <f>F324+0.7875</f>
        <v>16.574999999999999</v>
      </c>
      <c r="H324" s="18">
        <f>G324+0.7875</f>
        <v>17.362500000000001</v>
      </c>
      <c r="I324" s="18">
        <f>H324+0.7875</f>
        <v>18.150000000000002</v>
      </c>
      <c r="J324" s="18">
        <v>0</v>
      </c>
      <c r="K324" s="18">
        <v>0</v>
      </c>
      <c r="L324" s="18">
        <v>0</v>
      </c>
      <c r="M324" s="18">
        <v>0</v>
      </c>
      <c r="N324" s="18">
        <v>0</v>
      </c>
      <c r="O324" s="18">
        <v>0</v>
      </c>
      <c r="P324" s="18">
        <v>0</v>
      </c>
      <c r="Q324" s="18">
        <v>0</v>
      </c>
      <c r="R324" s="18">
        <v>0</v>
      </c>
      <c r="S324" s="18">
        <v>0</v>
      </c>
      <c r="T324" s="18">
        <v>0</v>
      </c>
      <c r="U324" s="18">
        <v>0</v>
      </c>
      <c r="V324" s="18">
        <v>0</v>
      </c>
      <c r="W324" s="18">
        <v>0</v>
      </c>
      <c r="X324" s="18">
        <v>0</v>
      </c>
      <c r="Y324" s="18">
        <v>0</v>
      </c>
      <c r="Z324" s="18">
        <v>0</v>
      </c>
      <c r="AA324" s="18">
        <v>0</v>
      </c>
      <c r="AB324" s="18">
        <v>0</v>
      </c>
      <c r="AC324" s="18">
        <v>0</v>
      </c>
      <c r="AD324" s="18">
        <v>0</v>
      </c>
      <c r="AE324" s="18">
        <v>0</v>
      </c>
      <c r="AF324" s="18">
        <v>0</v>
      </c>
      <c r="AG324" s="18">
        <v>0</v>
      </c>
      <c r="AH324" s="18">
        <v>0</v>
      </c>
      <c r="AI324" s="18">
        <v>0</v>
      </c>
      <c r="AJ324" s="18">
        <v>0</v>
      </c>
      <c r="AK324" s="18">
        <v>0</v>
      </c>
      <c r="AL324" s="18">
        <v>0</v>
      </c>
      <c r="AM324" s="18">
        <v>0</v>
      </c>
      <c r="AN324" s="18">
        <v>0</v>
      </c>
      <c r="AO324" s="18">
        <v>0</v>
      </c>
      <c r="AP324" s="18">
        <v>0</v>
      </c>
      <c r="AQ324" s="18">
        <v>0</v>
      </c>
      <c r="AR324" s="18">
        <v>0</v>
      </c>
      <c r="AS324" s="18">
        <v>0</v>
      </c>
      <c r="AT324" s="18">
        <v>0</v>
      </c>
      <c r="AU324" s="18">
        <v>0</v>
      </c>
      <c r="AV324" s="18">
        <v>0</v>
      </c>
      <c r="AW324" s="18">
        <v>0</v>
      </c>
      <c r="AX324" s="18">
        <v>0</v>
      </c>
      <c r="AY324" s="18">
        <v>0</v>
      </c>
      <c r="AZ324" s="18">
        <v>0</v>
      </c>
      <c r="BA324" s="18">
        <v>0</v>
      </c>
      <c r="BB324" s="18">
        <v>0</v>
      </c>
      <c r="BC324" s="18">
        <v>0</v>
      </c>
      <c r="BD324" s="18">
        <v>0</v>
      </c>
      <c r="BE324" s="18">
        <v>0</v>
      </c>
      <c r="BF324" s="18">
        <v>0</v>
      </c>
      <c r="BG324" s="18">
        <v>0</v>
      </c>
      <c r="BH324" s="18">
        <v>0</v>
      </c>
      <c r="BI324" s="18">
        <v>0</v>
      </c>
      <c r="BJ324" s="113">
        <v>0</v>
      </c>
      <c r="BK324" s="113">
        <v>0</v>
      </c>
      <c r="BL324" s="113">
        <v>0</v>
      </c>
      <c r="BM324" s="113">
        <v>0</v>
      </c>
      <c r="BN324" s="113">
        <v>0</v>
      </c>
      <c r="BO324" s="113">
        <v>0</v>
      </c>
      <c r="BP324" s="113">
        <v>0</v>
      </c>
      <c r="BQ324" s="113">
        <v>0</v>
      </c>
      <c r="BR324" s="101"/>
      <c r="BS324">
        <f t="shared" si="620"/>
        <v>0</v>
      </c>
      <c r="BT324">
        <f t="shared" si="620"/>
        <v>0</v>
      </c>
      <c r="BU324">
        <f t="shared" si="620"/>
        <v>0</v>
      </c>
      <c r="BV324">
        <f t="shared" si="620"/>
        <v>0</v>
      </c>
      <c r="BW324">
        <f t="shared" si="620"/>
        <v>0</v>
      </c>
      <c r="BX324">
        <f t="shared" si="620"/>
        <v>0</v>
      </c>
      <c r="BY324">
        <f t="shared" si="620"/>
        <v>0</v>
      </c>
      <c r="BZ324">
        <f t="shared" si="620"/>
        <v>0</v>
      </c>
      <c r="CA324">
        <f t="shared" si="620"/>
        <v>0</v>
      </c>
      <c r="CB324">
        <f t="shared" si="620"/>
        <v>0</v>
      </c>
      <c r="CC324">
        <f t="shared" si="621"/>
        <v>0</v>
      </c>
      <c r="CD324">
        <f t="shared" si="621"/>
        <v>0</v>
      </c>
      <c r="CE324">
        <f t="shared" si="621"/>
        <v>0</v>
      </c>
      <c r="CF324">
        <f t="shared" si="621"/>
        <v>0</v>
      </c>
      <c r="CG324">
        <f t="shared" si="621"/>
        <v>0</v>
      </c>
      <c r="CH324">
        <f t="shared" si="621"/>
        <v>0</v>
      </c>
      <c r="CI324">
        <f t="shared" si="621"/>
        <v>0</v>
      </c>
      <c r="CJ324">
        <f t="shared" si="621"/>
        <v>0</v>
      </c>
      <c r="CK324">
        <f t="shared" si="621"/>
        <v>0</v>
      </c>
      <c r="CL324">
        <f t="shared" si="621"/>
        <v>0</v>
      </c>
      <c r="CM324">
        <f t="shared" si="622"/>
        <v>0</v>
      </c>
      <c r="CN324">
        <f t="shared" si="622"/>
        <v>0</v>
      </c>
      <c r="CO324">
        <f t="shared" si="622"/>
        <v>0</v>
      </c>
      <c r="CP324">
        <f t="shared" si="622"/>
        <v>0</v>
      </c>
      <c r="CQ324">
        <f t="shared" si="622"/>
        <v>0</v>
      </c>
      <c r="CR324">
        <f t="shared" si="622"/>
        <v>0</v>
      </c>
      <c r="CS324">
        <f t="shared" si="622"/>
        <v>0</v>
      </c>
      <c r="CT324">
        <f t="shared" si="622"/>
        <v>0</v>
      </c>
      <c r="CU324">
        <f t="shared" si="622"/>
        <v>0</v>
      </c>
      <c r="CV324">
        <f t="shared" si="622"/>
        <v>0</v>
      </c>
      <c r="CW324">
        <f t="shared" si="623"/>
        <v>0</v>
      </c>
      <c r="CX324">
        <f t="shared" si="623"/>
        <v>0</v>
      </c>
      <c r="CY324">
        <f t="shared" si="623"/>
        <v>0</v>
      </c>
      <c r="CZ324">
        <f t="shared" si="623"/>
        <v>0</v>
      </c>
      <c r="DA324">
        <f t="shared" si="623"/>
        <v>0</v>
      </c>
      <c r="DB324">
        <f t="shared" si="623"/>
        <v>0</v>
      </c>
      <c r="DC324">
        <f t="shared" si="623"/>
        <v>0</v>
      </c>
      <c r="DD324">
        <f t="shared" si="623"/>
        <v>0</v>
      </c>
      <c r="DE324">
        <f t="shared" si="623"/>
        <v>0</v>
      </c>
      <c r="DF324">
        <f t="shared" si="623"/>
        <v>0</v>
      </c>
      <c r="DG324">
        <f t="shared" si="624"/>
        <v>0</v>
      </c>
      <c r="DH324">
        <f t="shared" si="624"/>
        <v>0</v>
      </c>
      <c r="DI324">
        <f t="shared" si="624"/>
        <v>0</v>
      </c>
      <c r="DJ324">
        <f t="shared" si="624"/>
        <v>0</v>
      </c>
      <c r="DK324">
        <f t="shared" si="624"/>
        <v>0</v>
      </c>
      <c r="DL324">
        <f t="shared" si="624"/>
        <v>0</v>
      </c>
      <c r="DM324">
        <f t="shared" si="624"/>
        <v>0</v>
      </c>
      <c r="DN324">
        <f t="shared" si="624"/>
        <v>0</v>
      </c>
      <c r="DO324">
        <f t="shared" si="624"/>
        <v>0</v>
      </c>
      <c r="DP324">
        <f t="shared" si="624"/>
        <v>0</v>
      </c>
      <c r="DQ324">
        <f t="shared" si="625"/>
        <v>0</v>
      </c>
      <c r="DR324">
        <f t="shared" si="625"/>
        <v>0</v>
      </c>
      <c r="DS324">
        <f t="shared" si="625"/>
        <v>0</v>
      </c>
      <c r="DT324">
        <f t="shared" si="625"/>
        <v>0</v>
      </c>
      <c r="DU324">
        <f t="shared" si="625"/>
        <v>0</v>
      </c>
      <c r="DV324">
        <f t="shared" si="625"/>
        <v>0</v>
      </c>
      <c r="DW324">
        <f t="shared" si="625"/>
        <v>0</v>
      </c>
      <c r="DX324">
        <f t="shared" si="625"/>
        <v>0</v>
      </c>
      <c r="DY324">
        <f t="shared" si="625"/>
        <v>0</v>
      </c>
      <c r="DZ324">
        <f t="shared" si="625"/>
        <v>0</v>
      </c>
      <c r="EA324">
        <f t="shared" si="627"/>
        <v>0</v>
      </c>
      <c r="EB324">
        <f t="shared" si="627"/>
        <v>0</v>
      </c>
      <c r="EC324">
        <f t="shared" si="626"/>
        <v>0</v>
      </c>
      <c r="ED324">
        <f t="shared" si="626"/>
        <v>0</v>
      </c>
      <c r="EE324">
        <f t="shared" si="626"/>
        <v>0</v>
      </c>
      <c r="EF324">
        <f t="shared" si="626"/>
        <v>0</v>
      </c>
    </row>
    <row r="325" spans="1:136" ht="15.5">
      <c r="A325" s="90"/>
      <c r="B325" s="19" t="s">
        <v>208</v>
      </c>
      <c r="C325" s="95"/>
      <c r="D325" s="18">
        <v>225</v>
      </c>
      <c r="E325" s="18">
        <f>D325+11.81</f>
        <v>236.81</v>
      </c>
      <c r="F325" s="18">
        <f>237+11.81</f>
        <v>248.81</v>
      </c>
      <c r="G325" s="18">
        <f>249+11.81</f>
        <v>260.81</v>
      </c>
      <c r="H325" s="18">
        <f>261+11.81</f>
        <v>272.81</v>
      </c>
      <c r="I325" s="18">
        <f>273+11.81</f>
        <v>284.81</v>
      </c>
      <c r="J325" s="18">
        <v>0</v>
      </c>
      <c r="K325" s="18">
        <v>0</v>
      </c>
      <c r="L325" s="18">
        <v>0</v>
      </c>
      <c r="M325" s="18">
        <v>0</v>
      </c>
      <c r="N325" s="18">
        <v>0</v>
      </c>
      <c r="O325" s="18">
        <v>0</v>
      </c>
      <c r="P325" s="18">
        <v>0</v>
      </c>
      <c r="Q325" s="18">
        <v>0.2</v>
      </c>
      <c r="R325" s="18">
        <v>6.6999999999999993</v>
      </c>
      <c r="S325" s="18">
        <v>88.4</v>
      </c>
      <c r="T325" s="18">
        <v>133</v>
      </c>
      <c r="U325" s="18">
        <v>344.6</v>
      </c>
      <c r="V325" s="18">
        <v>555.6</v>
      </c>
      <c r="W325" s="18">
        <v>470.5</v>
      </c>
      <c r="X325" s="40" t="s">
        <v>16</v>
      </c>
      <c r="Y325" s="18">
        <f>57.1-5</f>
        <v>52.1</v>
      </c>
      <c r="Z325" s="18">
        <f>287.6-62</f>
        <v>225.60000000000002</v>
      </c>
      <c r="AA325" s="18">
        <f>172.3-AA323</f>
        <v>114.30000000000001</v>
      </c>
      <c r="AB325" s="18">
        <f>151.5-AB323</f>
        <v>87.5</v>
      </c>
      <c r="AC325" s="18">
        <f>229.9-AC323</f>
        <v>168.9</v>
      </c>
      <c r="AD325" s="18">
        <f>333.9-AD323</f>
        <v>268.89999999999998</v>
      </c>
      <c r="AE325" s="18">
        <f>458.5-AE323</f>
        <v>397.5</v>
      </c>
      <c r="AF325" s="18">
        <v>549.1</v>
      </c>
      <c r="AG325" s="18">
        <f>667.5 +49.07+6-61</f>
        <v>661.57</v>
      </c>
      <c r="AH325" s="18">
        <v>781.69591749999984</v>
      </c>
      <c r="AI325" s="18">
        <v>834.77652850000004</v>
      </c>
      <c r="AJ325" s="18">
        <v>924.67053079999994</v>
      </c>
      <c r="AK325" s="18">
        <v>1017.1172360999999</v>
      </c>
      <c r="AL325" s="18">
        <v>1099.1711259000001</v>
      </c>
      <c r="AM325" s="18">
        <v>1142.7288993</v>
      </c>
      <c r="AN325" s="18">
        <v>1144.5790628</v>
      </c>
      <c r="AO325" s="18">
        <v>1128.9524384000001</v>
      </c>
      <c r="AP325" s="18">
        <v>1188.3868313000003</v>
      </c>
      <c r="AQ325" s="18">
        <v>673.23486720000005</v>
      </c>
      <c r="AR325" s="18">
        <v>667.07692420000001</v>
      </c>
      <c r="AS325" s="18">
        <v>659.19640959999992</v>
      </c>
      <c r="AT325" s="18">
        <v>395.06980610000005</v>
      </c>
      <c r="AU325" s="18">
        <v>202.62840779999999</v>
      </c>
      <c r="AV325" s="18">
        <v>204.95087559999996</v>
      </c>
      <c r="AW325" s="18">
        <v>206.53712390000001</v>
      </c>
      <c r="AX325" s="18">
        <v>203.02452159999999</v>
      </c>
      <c r="AY325" s="18">
        <v>269.0033535</v>
      </c>
      <c r="AZ325" s="18">
        <v>325.2154572</v>
      </c>
      <c r="BA325" s="18">
        <v>366.3217234</v>
      </c>
      <c r="BB325" s="18">
        <v>109.10251770000001</v>
      </c>
      <c r="BC325" s="18">
        <v>8.2809600000000011E-2</v>
      </c>
      <c r="BD325" s="18">
        <v>0</v>
      </c>
      <c r="BE325" s="25">
        <v>0</v>
      </c>
      <c r="BF325" s="18">
        <v>0</v>
      </c>
      <c r="BG325" s="18">
        <v>0</v>
      </c>
      <c r="BH325" s="18">
        <v>0</v>
      </c>
      <c r="BI325" s="18">
        <v>0</v>
      </c>
      <c r="BJ325" s="113">
        <v>0</v>
      </c>
      <c r="BK325" s="113">
        <v>0</v>
      </c>
      <c r="BL325" s="103">
        <v>0.23</v>
      </c>
      <c r="BM325" s="113">
        <v>239</v>
      </c>
      <c r="BN325" s="113">
        <v>235</v>
      </c>
      <c r="BO325" s="113">
        <v>250</v>
      </c>
      <c r="BP325" s="113">
        <v>235</v>
      </c>
      <c r="BQ325" s="113">
        <v>97</v>
      </c>
      <c r="BR325" s="101"/>
      <c r="BS325">
        <f t="shared" si="620"/>
        <v>0</v>
      </c>
      <c r="BT325">
        <f t="shared" si="620"/>
        <v>0</v>
      </c>
      <c r="BU325">
        <f t="shared" si="620"/>
        <v>0</v>
      </c>
      <c r="BV325">
        <f t="shared" si="620"/>
        <v>0</v>
      </c>
      <c r="BW325">
        <f t="shared" si="620"/>
        <v>0</v>
      </c>
      <c r="BX325">
        <f t="shared" si="620"/>
        <v>0</v>
      </c>
      <c r="BY325">
        <f t="shared" si="620"/>
        <v>0</v>
      </c>
      <c r="BZ325">
        <f t="shared" si="620"/>
        <v>0</v>
      </c>
      <c r="CA325">
        <f t="shared" si="620"/>
        <v>0</v>
      </c>
      <c r="CB325">
        <f t="shared" si="620"/>
        <v>0</v>
      </c>
      <c r="CC325">
        <f t="shared" si="621"/>
        <v>0</v>
      </c>
      <c r="CD325">
        <f t="shared" si="621"/>
        <v>0</v>
      </c>
      <c r="CE325">
        <f t="shared" si="621"/>
        <v>0</v>
      </c>
      <c r="CF325">
        <f t="shared" si="621"/>
        <v>0</v>
      </c>
      <c r="CG325">
        <f t="shared" si="621"/>
        <v>0</v>
      </c>
      <c r="CH325">
        <f t="shared" si="621"/>
        <v>0</v>
      </c>
      <c r="CI325">
        <f t="shared" si="621"/>
        <v>0</v>
      </c>
      <c r="CJ325">
        <f t="shared" si="621"/>
        <v>0</v>
      </c>
      <c r="CK325">
        <f t="shared" si="621"/>
        <v>0</v>
      </c>
      <c r="CL325">
        <f t="shared" si="621"/>
        <v>0</v>
      </c>
      <c r="CM325">
        <f t="shared" si="622"/>
        <v>0</v>
      </c>
      <c r="CN325">
        <f t="shared" si="622"/>
        <v>0</v>
      </c>
      <c r="CO325">
        <f t="shared" si="622"/>
        <v>0</v>
      </c>
      <c r="CP325">
        <f t="shared" si="622"/>
        <v>0</v>
      </c>
      <c r="CQ325">
        <f t="shared" si="622"/>
        <v>0</v>
      </c>
      <c r="CR325">
        <f t="shared" si="622"/>
        <v>0</v>
      </c>
      <c r="CS325">
        <f t="shared" si="622"/>
        <v>0</v>
      </c>
      <c r="CT325">
        <f t="shared" si="622"/>
        <v>0</v>
      </c>
      <c r="CU325">
        <f t="shared" si="622"/>
        <v>0</v>
      </c>
      <c r="CV325">
        <f t="shared" si="622"/>
        <v>0</v>
      </c>
      <c r="CW325">
        <f t="shared" si="623"/>
        <v>0</v>
      </c>
      <c r="CX325">
        <f t="shared" si="623"/>
        <v>0</v>
      </c>
      <c r="CY325">
        <f t="shared" si="623"/>
        <v>0</v>
      </c>
      <c r="CZ325">
        <f t="shared" si="623"/>
        <v>0</v>
      </c>
      <c r="DA325">
        <f t="shared" si="623"/>
        <v>0</v>
      </c>
      <c r="DB325">
        <f t="shared" si="623"/>
        <v>0</v>
      </c>
      <c r="DC325">
        <f t="shared" si="623"/>
        <v>0</v>
      </c>
      <c r="DD325">
        <f t="shared" si="623"/>
        <v>0</v>
      </c>
      <c r="DE325">
        <f t="shared" si="623"/>
        <v>0</v>
      </c>
      <c r="DF325">
        <f t="shared" si="623"/>
        <v>0</v>
      </c>
      <c r="DG325">
        <f t="shared" si="624"/>
        <v>0</v>
      </c>
      <c r="DH325">
        <f t="shared" si="624"/>
        <v>0</v>
      </c>
      <c r="DI325">
        <f t="shared" si="624"/>
        <v>0</v>
      </c>
      <c r="DJ325">
        <f t="shared" si="624"/>
        <v>0</v>
      </c>
      <c r="DK325">
        <f t="shared" si="624"/>
        <v>0</v>
      </c>
      <c r="DL325">
        <f t="shared" si="624"/>
        <v>0</v>
      </c>
      <c r="DM325">
        <f t="shared" si="624"/>
        <v>0</v>
      </c>
      <c r="DN325">
        <f t="shared" si="624"/>
        <v>0</v>
      </c>
      <c r="DO325">
        <f t="shared" si="624"/>
        <v>0</v>
      </c>
      <c r="DP325">
        <f t="shared" si="624"/>
        <v>0</v>
      </c>
      <c r="DQ325">
        <f t="shared" si="625"/>
        <v>0</v>
      </c>
      <c r="DR325">
        <f t="shared" si="625"/>
        <v>0</v>
      </c>
      <c r="DS325">
        <f t="shared" si="625"/>
        <v>0</v>
      </c>
      <c r="DT325">
        <f t="shared" si="625"/>
        <v>0</v>
      </c>
      <c r="DU325">
        <f t="shared" si="625"/>
        <v>0</v>
      </c>
      <c r="DV325">
        <f t="shared" si="625"/>
        <v>0</v>
      </c>
      <c r="DW325">
        <f t="shared" si="625"/>
        <v>0</v>
      </c>
      <c r="DX325">
        <f t="shared" si="625"/>
        <v>0</v>
      </c>
      <c r="DY325">
        <f t="shared" si="625"/>
        <v>0</v>
      </c>
      <c r="DZ325">
        <f t="shared" si="625"/>
        <v>0</v>
      </c>
      <c r="EA325">
        <f t="shared" si="627"/>
        <v>0</v>
      </c>
      <c r="EB325">
        <f t="shared" si="627"/>
        <v>0</v>
      </c>
      <c r="EC325">
        <f t="shared" si="626"/>
        <v>0</v>
      </c>
      <c r="ED325">
        <f t="shared" si="626"/>
        <v>0</v>
      </c>
      <c r="EE325">
        <f t="shared" si="626"/>
        <v>0</v>
      </c>
      <c r="EF325">
        <f t="shared" si="626"/>
        <v>0</v>
      </c>
    </row>
    <row r="326" spans="1:136" ht="15.5">
      <c r="A326" s="90"/>
      <c r="B326" s="53" t="s">
        <v>21</v>
      </c>
      <c r="C326" s="95"/>
      <c r="D326" s="18">
        <v>111</v>
      </c>
      <c r="E326" s="18">
        <v>117</v>
      </c>
      <c r="F326" s="18">
        <v>124</v>
      </c>
      <c r="G326" s="18">
        <v>130</v>
      </c>
      <c r="H326" s="18">
        <v>138</v>
      </c>
      <c r="I326" s="18">
        <v>147</v>
      </c>
      <c r="J326" s="18">
        <v>0</v>
      </c>
      <c r="K326" s="18">
        <v>0</v>
      </c>
      <c r="L326" s="18">
        <v>0</v>
      </c>
      <c r="M326" s="18">
        <v>0</v>
      </c>
      <c r="N326" s="18">
        <v>0</v>
      </c>
      <c r="O326" s="18">
        <v>0</v>
      </c>
      <c r="P326" s="18">
        <v>0</v>
      </c>
      <c r="Q326" s="18">
        <v>0</v>
      </c>
      <c r="R326" s="18">
        <v>0</v>
      </c>
      <c r="S326" s="18">
        <v>0</v>
      </c>
      <c r="T326" s="18">
        <v>0</v>
      </c>
      <c r="U326" s="18">
        <v>0</v>
      </c>
      <c r="V326" s="18">
        <v>0</v>
      </c>
      <c r="W326" s="18">
        <v>159</v>
      </c>
      <c r="X326" s="18">
        <v>0</v>
      </c>
      <c r="Y326" s="18">
        <v>0</v>
      </c>
      <c r="Z326" s="18">
        <v>0</v>
      </c>
      <c r="AA326" s="18">
        <v>0</v>
      </c>
      <c r="AB326" s="18">
        <v>0</v>
      </c>
      <c r="AC326" s="18">
        <v>0</v>
      </c>
      <c r="AD326" s="18">
        <v>0</v>
      </c>
      <c r="AE326" s="18">
        <v>0</v>
      </c>
      <c r="AF326" s="18">
        <v>0</v>
      </c>
      <c r="AG326" s="18">
        <v>0</v>
      </c>
      <c r="AH326" s="18">
        <v>0</v>
      </c>
      <c r="AI326" s="18">
        <v>0</v>
      </c>
      <c r="AJ326" s="18">
        <v>0</v>
      </c>
      <c r="AK326" s="18">
        <v>0</v>
      </c>
      <c r="AL326" s="18">
        <v>0</v>
      </c>
      <c r="AM326" s="18">
        <v>0</v>
      </c>
      <c r="AN326" s="18">
        <v>0</v>
      </c>
      <c r="AO326" s="18">
        <v>470</v>
      </c>
      <c r="AP326" s="18">
        <v>470</v>
      </c>
      <c r="AQ326" s="18">
        <v>470</v>
      </c>
      <c r="AR326" s="18">
        <v>470</v>
      </c>
      <c r="AS326" s="18">
        <v>470</v>
      </c>
      <c r="AT326" s="18">
        <v>470</v>
      </c>
      <c r="AU326" s="18">
        <v>470</v>
      </c>
      <c r="AV326" s="18">
        <v>470</v>
      </c>
      <c r="AW326" s="18">
        <f>178100/474</f>
        <v>375.73839662447256</v>
      </c>
      <c r="AX326" s="18">
        <v>0</v>
      </c>
      <c r="AY326" s="18">
        <v>0</v>
      </c>
      <c r="AZ326" s="18">
        <v>0</v>
      </c>
      <c r="BA326" s="18">
        <v>0</v>
      </c>
      <c r="BB326" s="18">
        <v>0</v>
      </c>
      <c r="BC326" s="18">
        <v>0</v>
      </c>
      <c r="BD326" s="18">
        <v>0</v>
      </c>
      <c r="BE326" s="18">
        <v>0</v>
      </c>
      <c r="BF326" s="18">
        <v>0</v>
      </c>
      <c r="BG326" s="18">
        <v>0</v>
      </c>
      <c r="BH326" s="18">
        <v>0</v>
      </c>
      <c r="BI326" s="18">
        <v>0</v>
      </c>
      <c r="BJ326" s="113">
        <v>0</v>
      </c>
      <c r="BK326" s="113">
        <v>0</v>
      </c>
      <c r="BL326" s="113">
        <v>0</v>
      </c>
      <c r="BM326" s="113">
        <v>0</v>
      </c>
      <c r="BN326" s="113">
        <v>0</v>
      </c>
      <c r="BO326" s="113">
        <v>0</v>
      </c>
      <c r="BP326" s="113">
        <v>0</v>
      </c>
      <c r="BQ326" s="113">
        <v>0</v>
      </c>
      <c r="BR326" s="101"/>
      <c r="BS326">
        <f t="shared" si="620"/>
        <v>0</v>
      </c>
      <c r="BT326">
        <f t="shared" si="620"/>
        <v>0</v>
      </c>
      <c r="BU326">
        <f t="shared" si="620"/>
        <v>0</v>
      </c>
      <c r="BV326">
        <f t="shared" si="620"/>
        <v>0</v>
      </c>
      <c r="BW326">
        <f t="shared" si="620"/>
        <v>0</v>
      </c>
      <c r="BX326">
        <f t="shared" si="620"/>
        <v>0</v>
      </c>
      <c r="BY326">
        <f t="shared" si="620"/>
        <v>0</v>
      </c>
      <c r="BZ326">
        <f t="shared" si="620"/>
        <v>0</v>
      </c>
      <c r="CA326">
        <f t="shared" si="620"/>
        <v>0</v>
      </c>
      <c r="CB326">
        <f t="shared" si="620"/>
        <v>0</v>
      </c>
      <c r="CC326">
        <f t="shared" si="621"/>
        <v>0</v>
      </c>
      <c r="CD326">
        <f t="shared" si="621"/>
        <v>0</v>
      </c>
      <c r="CE326">
        <f t="shared" si="621"/>
        <v>0</v>
      </c>
      <c r="CF326">
        <f t="shared" si="621"/>
        <v>0</v>
      </c>
      <c r="CG326">
        <f t="shared" si="621"/>
        <v>0</v>
      </c>
      <c r="CH326">
        <f t="shared" si="621"/>
        <v>0</v>
      </c>
      <c r="CI326">
        <f t="shared" si="621"/>
        <v>0</v>
      </c>
      <c r="CJ326">
        <f t="shared" si="621"/>
        <v>0</v>
      </c>
      <c r="CK326">
        <f t="shared" si="621"/>
        <v>0</v>
      </c>
      <c r="CL326">
        <f t="shared" si="621"/>
        <v>0</v>
      </c>
      <c r="CM326">
        <f t="shared" si="622"/>
        <v>0</v>
      </c>
      <c r="CN326">
        <f t="shared" si="622"/>
        <v>0</v>
      </c>
      <c r="CO326">
        <f t="shared" si="622"/>
        <v>0</v>
      </c>
      <c r="CP326">
        <f t="shared" si="622"/>
        <v>0</v>
      </c>
      <c r="CQ326">
        <f t="shared" si="622"/>
        <v>0</v>
      </c>
      <c r="CR326">
        <f t="shared" si="622"/>
        <v>0</v>
      </c>
      <c r="CS326">
        <f t="shared" si="622"/>
        <v>0</v>
      </c>
      <c r="CT326">
        <f t="shared" si="622"/>
        <v>0</v>
      </c>
      <c r="CU326">
        <f t="shared" si="622"/>
        <v>0</v>
      </c>
      <c r="CV326">
        <f t="shared" si="622"/>
        <v>0</v>
      </c>
      <c r="CW326">
        <f t="shared" si="623"/>
        <v>0</v>
      </c>
      <c r="CX326">
        <f t="shared" si="623"/>
        <v>0</v>
      </c>
      <c r="CY326">
        <f t="shared" si="623"/>
        <v>0</v>
      </c>
      <c r="CZ326">
        <f t="shared" si="623"/>
        <v>0</v>
      </c>
      <c r="DA326">
        <f t="shared" si="623"/>
        <v>0</v>
      </c>
      <c r="DB326">
        <f t="shared" si="623"/>
        <v>0</v>
      </c>
      <c r="DC326">
        <f t="shared" si="623"/>
        <v>0</v>
      </c>
      <c r="DD326">
        <f t="shared" si="623"/>
        <v>0</v>
      </c>
      <c r="DE326">
        <f t="shared" si="623"/>
        <v>0</v>
      </c>
      <c r="DF326">
        <f t="shared" si="623"/>
        <v>0</v>
      </c>
      <c r="DG326">
        <f t="shared" si="624"/>
        <v>0</v>
      </c>
      <c r="DH326">
        <f t="shared" si="624"/>
        <v>0</v>
      </c>
      <c r="DI326">
        <f t="shared" si="624"/>
        <v>0</v>
      </c>
      <c r="DJ326">
        <f t="shared" si="624"/>
        <v>0</v>
      </c>
      <c r="DK326">
        <f t="shared" si="624"/>
        <v>0</v>
      </c>
      <c r="DL326">
        <f t="shared" si="624"/>
        <v>0</v>
      </c>
      <c r="DM326">
        <f t="shared" si="624"/>
        <v>0</v>
      </c>
      <c r="DN326">
        <f t="shared" si="624"/>
        <v>0</v>
      </c>
      <c r="DO326">
        <f t="shared" si="624"/>
        <v>0</v>
      </c>
      <c r="DP326">
        <f t="shared" si="624"/>
        <v>0</v>
      </c>
      <c r="DQ326">
        <f t="shared" si="625"/>
        <v>0</v>
      </c>
      <c r="DR326">
        <f t="shared" si="625"/>
        <v>0</v>
      </c>
      <c r="DS326">
        <f t="shared" si="625"/>
        <v>0</v>
      </c>
      <c r="DT326">
        <f t="shared" si="625"/>
        <v>0</v>
      </c>
      <c r="DU326">
        <f t="shared" si="625"/>
        <v>0</v>
      </c>
      <c r="DV326">
        <f t="shared" si="625"/>
        <v>0</v>
      </c>
      <c r="DW326">
        <f t="shared" si="625"/>
        <v>0</v>
      </c>
      <c r="DX326">
        <f t="shared" si="625"/>
        <v>0</v>
      </c>
      <c r="DY326">
        <f t="shared" si="625"/>
        <v>0</v>
      </c>
      <c r="DZ326">
        <f t="shared" si="625"/>
        <v>0</v>
      </c>
      <c r="EA326">
        <f t="shared" si="627"/>
        <v>0</v>
      </c>
      <c r="EB326">
        <f t="shared" si="627"/>
        <v>0</v>
      </c>
      <c r="EC326">
        <f t="shared" si="626"/>
        <v>0</v>
      </c>
      <c r="ED326">
        <f t="shared" si="626"/>
        <v>0</v>
      </c>
      <c r="EE326">
        <f t="shared" si="626"/>
        <v>0</v>
      </c>
      <c r="EF326">
        <f t="shared" si="626"/>
        <v>0</v>
      </c>
    </row>
    <row r="327" spans="1:136" ht="15.5">
      <c r="A327" s="90"/>
      <c r="B327" s="53" t="s">
        <v>212</v>
      </c>
      <c r="C327" s="95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>
        <v>9649.564375605034</v>
      </c>
      <c r="AI327" s="18">
        <v>303.34099616858236</v>
      </c>
      <c r="AJ327" s="18">
        <v>6.3076923076923075</v>
      </c>
      <c r="AK327" s="18">
        <v>8.0932239026510214E-2</v>
      </c>
      <c r="AL327" s="18">
        <v>2619.5488965209743</v>
      </c>
      <c r="AM327" s="18">
        <v>892.30200000000002</v>
      </c>
      <c r="AN327" s="18">
        <v>807</v>
      </c>
      <c r="AO327" s="18">
        <v>768.76923076923072</v>
      </c>
      <c r="AP327" s="18">
        <v>561.00000000000011</v>
      </c>
      <c r="AQ327" s="18">
        <v>481</v>
      </c>
      <c r="AR327" s="18">
        <v>1246.2978723404256</v>
      </c>
      <c r="AS327" s="18">
        <v>634.54128440366969</v>
      </c>
      <c r="AT327" s="18">
        <v>557.13089005235599</v>
      </c>
      <c r="AU327" s="18">
        <v>582.70676691729329</v>
      </c>
      <c r="AV327" s="18">
        <v>485.47624408916909</v>
      </c>
      <c r="AW327" s="18">
        <v>3180.5379746835442</v>
      </c>
      <c r="AX327" s="18">
        <v>3207.2393162393164</v>
      </c>
      <c r="AY327" s="18">
        <v>2961.6898608349902</v>
      </c>
      <c r="AZ327" s="18">
        <v>2306.921752738654</v>
      </c>
      <c r="BA327" s="146">
        <v>1684.0494252873564</v>
      </c>
      <c r="BB327" s="18">
        <v>1610.3084745762712</v>
      </c>
      <c r="BC327" s="18">
        <v>1511.173289183223</v>
      </c>
      <c r="BD327" s="146">
        <v>1433.432</v>
      </c>
      <c r="BE327" s="18">
        <v>9346.1962513781691</v>
      </c>
      <c r="BF327" s="18">
        <v>9281.3186813186821</v>
      </c>
      <c r="BG327" s="147">
        <v>9115.7205240174681</v>
      </c>
      <c r="BH327" s="147">
        <v>7093.1414055884843</v>
      </c>
      <c r="BI327" s="147">
        <v>5363.6942675159235</v>
      </c>
      <c r="BJ327" s="154">
        <v>5225.7668711656443</v>
      </c>
      <c r="BK327" s="154">
        <v>5502.3923444976081</v>
      </c>
      <c r="BL327" s="154">
        <v>4946.1814454126088</v>
      </c>
      <c r="BM327" s="154">
        <v>4526.8414481897626</v>
      </c>
      <c r="BN327" s="113">
        <v>5476</v>
      </c>
      <c r="BO327" s="113">
        <v>4880</v>
      </c>
      <c r="BP327" s="113">
        <v>5066</v>
      </c>
      <c r="BQ327" s="113">
        <v>4980</v>
      </c>
      <c r="BR327" s="101"/>
      <c r="BS327">
        <f t="shared" si="620"/>
        <v>0</v>
      </c>
      <c r="BT327">
        <f t="shared" si="620"/>
        <v>0</v>
      </c>
      <c r="BU327">
        <f t="shared" si="620"/>
        <v>0</v>
      </c>
      <c r="BV327">
        <f t="shared" si="620"/>
        <v>0</v>
      </c>
      <c r="BW327">
        <f t="shared" si="620"/>
        <v>0</v>
      </c>
      <c r="BX327">
        <f t="shared" si="620"/>
        <v>0</v>
      </c>
      <c r="BY327">
        <f t="shared" si="620"/>
        <v>0</v>
      </c>
      <c r="BZ327">
        <f t="shared" si="620"/>
        <v>0</v>
      </c>
      <c r="CA327">
        <f t="shared" si="620"/>
        <v>0</v>
      </c>
      <c r="CB327">
        <f t="shared" si="620"/>
        <v>0</v>
      </c>
      <c r="CC327">
        <f t="shared" si="621"/>
        <v>0</v>
      </c>
      <c r="CD327">
        <f t="shared" si="621"/>
        <v>0</v>
      </c>
      <c r="CE327">
        <f t="shared" si="621"/>
        <v>0</v>
      </c>
      <c r="CF327">
        <f t="shared" si="621"/>
        <v>0</v>
      </c>
      <c r="CG327">
        <f t="shared" si="621"/>
        <v>0</v>
      </c>
      <c r="CH327">
        <f t="shared" si="621"/>
        <v>0</v>
      </c>
      <c r="CI327">
        <f t="shared" si="621"/>
        <v>0</v>
      </c>
      <c r="CJ327">
        <f t="shared" si="621"/>
        <v>0</v>
      </c>
      <c r="CK327">
        <f t="shared" si="621"/>
        <v>0</v>
      </c>
      <c r="CL327">
        <f t="shared" si="621"/>
        <v>0</v>
      </c>
      <c r="CM327">
        <f t="shared" si="622"/>
        <v>0</v>
      </c>
      <c r="CN327">
        <f t="shared" si="622"/>
        <v>0</v>
      </c>
      <c r="CO327">
        <f t="shared" si="622"/>
        <v>0</v>
      </c>
      <c r="CP327">
        <f t="shared" si="622"/>
        <v>0</v>
      </c>
      <c r="CQ327">
        <f t="shared" si="622"/>
        <v>0</v>
      </c>
      <c r="CR327">
        <f t="shared" si="622"/>
        <v>0</v>
      </c>
      <c r="CS327">
        <f t="shared" si="622"/>
        <v>0</v>
      </c>
      <c r="CT327">
        <f t="shared" si="622"/>
        <v>0</v>
      </c>
      <c r="CU327">
        <f t="shared" si="622"/>
        <v>0</v>
      </c>
      <c r="CV327">
        <f t="shared" si="622"/>
        <v>0</v>
      </c>
      <c r="CW327">
        <f t="shared" si="623"/>
        <v>0</v>
      </c>
      <c r="CX327">
        <f t="shared" si="623"/>
        <v>0</v>
      </c>
      <c r="CY327">
        <f t="shared" si="623"/>
        <v>0</v>
      </c>
      <c r="CZ327">
        <f t="shared" si="623"/>
        <v>0</v>
      </c>
      <c r="DA327">
        <f t="shared" si="623"/>
        <v>0</v>
      </c>
      <c r="DB327">
        <f t="shared" si="623"/>
        <v>0</v>
      </c>
      <c r="DC327">
        <f t="shared" si="623"/>
        <v>0</v>
      </c>
      <c r="DD327">
        <f t="shared" si="623"/>
        <v>0</v>
      </c>
      <c r="DE327">
        <f t="shared" si="623"/>
        <v>0</v>
      </c>
      <c r="DF327">
        <f t="shared" si="623"/>
        <v>0</v>
      </c>
      <c r="DG327">
        <f t="shared" si="624"/>
        <v>0</v>
      </c>
      <c r="DH327">
        <f t="shared" si="624"/>
        <v>0</v>
      </c>
      <c r="DI327">
        <f t="shared" si="624"/>
        <v>0</v>
      </c>
      <c r="DJ327">
        <f t="shared" si="624"/>
        <v>0</v>
      </c>
      <c r="DK327">
        <f t="shared" si="624"/>
        <v>0</v>
      </c>
      <c r="DL327">
        <f t="shared" si="624"/>
        <v>0</v>
      </c>
      <c r="DM327">
        <f t="shared" si="624"/>
        <v>0</v>
      </c>
      <c r="DN327">
        <f t="shared" si="624"/>
        <v>0</v>
      </c>
      <c r="DO327">
        <f t="shared" si="624"/>
        <v>0</v>
      </c>
      <c r="DP327">
        <f t="shared" si="624"/>
        <v>0</v>
      </c>
      <c r="DQ327">
        <f t="shared" si="625"/>
        <v>0</v>
      </c>
      <c r="DR327">
        <f t="shared" si="625"/>
        <v>0</v>
      </c>
      <c r="DS327">
        <f t="shared" si="625"/>
        <v>0</v>
      </c>
      <c r="DT327">
        <f t="shared" si="625"/>
        <v>0</v>
      </c>
      <c r="DU327">
        <f t="shared" si="625"/>
        <v>0</v>
      </c>
      <c r="DV327">
        <f t="shared" si="625"/>
        <v>0</v>
      </c>
      <c r="DW327">
        <f t="shared" si="625"/>
        <v>0</v>
      </c>
      <c r="DX327">
        <f t="shared" si="625"/>
        <v>0</v>
      </c>
      <c r="DY327">
        <f t="shared" si="625"/>
        <v>0</v>
      </c>
      <c r="DZ327">
        <f t="shared" si="625"/>
        <v>0</v>
      </c>
      <c r="EA327">
        <f t="shared" si="627"/>
        <v>0</v>
      </c>
      <c r="EB327">
        <f t="shared" si="627"/>
        <v>0</v>
      </c>
      <c r="EC327">
        <f t="shared" si="626"/>
        <v>0</v>
      </c>
      <c r="ED327">
        <f t="shared" si="626"/>
        <v>0</v>
      </c>
      <c r="EE327">
        <f t="shared" si="626"/>
        <v>0</v>
      </c>
      <c r="EF327">
        <f t="shared" si="626"/>
        <v>0</v>
      </c>
    </row>
    <row r="328" spans="1:136" ht="15.5">
      <c r="A328" s="90"/>
      <c r="B328" s="53"/>
      <c r="C328" s="95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40"/>
      <c r="AP328" s="40"/>
      <c r="AQ328" s="40"/>
      <c r="AR328" s="18"/>
      <c r="AS328" s="18"/>
      <c r="AT328" s="18"/>
      <c r="AU328" s="18"/>
      <c r="AV328" s="18"/>
      <c r="AW328" s="18"/>
      <c r="AX328" s="18"/>
      <c r="AY328" s="18"/>
      <c r="AZ328" s="146"/>
      <c r="BA328" s="18"/>
      <c r="BB328" s="18"/>
      <c r="BC328" s="18"/>
      <c r="BD328" s="18"/>
      <c r="BE328" s="147"/>
      <c r="BF328" s="18"/>
      <c r="BG328" s="18"/>
      <c r="BH328" s="18"/>
      <c r="BI328" s="18"/>
      <c r="BJ328" s="113"/>
      <c r="BK328" s="154"/>
      <c r="BL328" s="154"/>
      <c r="BM328" s="113"/>
      <c r="BN328" s="2"/>
      <c r="BO328" s="2"/>
      <c r="BP328" s="2"/>
      <c r="BQ328" s="2"/>
      <c r="BR328" s="101"/>
    </row>
    <row r="329" spans="1:136" ht="15.5">
      <c r="A329" s="93">
        <v>36</v>
      </c>
      <c r="B329" s="32" t="s">
        <v>50</v>
      </c>
      <c r="C329" s="95">
        <v>2</v>
      </c>
      <c r="D329" s="22">
        <f t="shared" ref="D329:AI329" si="628">D330</f>
        <v>0</v>
      </c>
      <c r="E329" s="22">
        <f t="shared" si="628"/>
        <v>0</v>
      </c>
      <c r="F329" s="22">
        <f t="shared" si="628"/>
        <v>0</v>
      </c>
      <c r="G329" s="22">
        <f t="shared" si="628"/>
        <v>0</v>
      </c>
      <c r="H329" s="22">
        <f t="shared" si="628"/>
        <v>0</v>
      </c>
      <c r="I329" s="22">
        <f t="shared" si="628"/>
        <v>0</v>
      </c>
      <c r="J329" s="22">
        <f t="shared" si="628"/>
        <v>0</v>
      </c>
      <c r="K329" s="22">
        <f t="shared" si="628"/>
        <v>0</v>
      </c>
      <c r="L329" s="22">
        <f t="shared" si="628"/>
        <v>0</v>
      </c>
      <c r="M329" s="22">
        <f t="shared" si="628"/>
        <v>0</v>
      </c>
      <c r="N329" s="22">
        <f t="shared" si="628"/>
        <v>0</v>
      </c>
      <c r="O329" s="22">
        <f t="shared" si="628"/>
        <v>0</v>
      </c>
      <c r="P329" s="22">
        <f t="shared" si="628"/>
        <v>0</v>
      </c>
      <c r="Q329" s="22">
        <f t="shared" si="628"/>
        <v>0</v>
      </c>
      <c r="R329" s="22">
        <f t="shared" si="628"/>
        <v>0</v>
      </c>
      <c r="S329" s="22">
        <f t="shared" si="628"/>
        <v>0</v>
      </c>
      <c r="T329" s="22">
        <f t="shared" si="628"/>
        <v>0</v>
      </c>
      <c r="U329" s="22">
        <f t="shared" si="628"/>
        <v>0</v>
      </c>
      <c r="V329" s="22">
        <f t="shared" si="628"/>
        <v>0</v>
      </c>
      <c r="W329" s="22">
        <f t="shared" si="628"/>
        <v>0</v>
      </c>
      <c r="X329" s="22">
        <f t="shared" si="628"/>
        <v>0</v>
      </c>
      <c r="Y329" s="22">
        <f t="shared" si="628"/>
        <v>0</v>
      </c>
      <c r="Z329" s="22">
        <f t="shared" si="628"/>
        <v>0</v>
      </c>
      <c r="AA329" s="22">
        <f t="shared" si="628"/>
        <v>0</v>
      </c>
      <c r="AB329" s="22">
        <f t="shared" si="628"/>
        <v>0</v>
      </c>
      <c r="AC329" s="22">
        <f t="shared" si="628"/>
        <v>0</v>
      </c>
      <c r="AD329" s="22">
        <f t="shared" si="628"/>
        <v>0</v>
      </c>
      <c r="AE329" s="22">
        <f t="shared" si="628"/>
        <v>0</v>
      </c>
      <c r="AF329" s="22">
        <f t="shared" si="628"/>
        <v>0</v>
      </c>
      <c r="AG329" s="22">
        <f t="shared" si="628"/>
        <v>0</v>
      </c>
      <c r="AH329" s="22">
        <f t="shared" si="628"/>
        <v>0</v>
      </c>
      <c r="AI329" s="22">
        <f t="shared" si="628"/>
        <v>0</v>
      </c>
      <c r="AJ329" s="22">
        <f t="shared" ref="AJ329:BF329" si="629">AJ330</f>
        <v>0</v>
      </c>
      <c r="AK329" s="22">
        <f t="shared" si="629"/>
        <v>0</v>
      </c>
      <c r="AL329" s="22">
        <f t="shared" si="629"/>
        <v>0</v>
      </c>
      <c r="AM329" s="22">
        <f t="shared" si="629"/>
        <v>46.357615894039739</v>
      </c>
      <c r="AN329" s="22">
        <f t="shared" si="629"/>
        <v>49.195837275307476</v>
      </c>
      <c r="AO329" s="22">
        <f t="shared" si="629"/>
        <v>52</v>
      </c>
      <c r="AP329" s="22">
        <f t="shared" si="629"/>
        <v>54.963999999999999</v>
      </c>
      <c r="AQ329" s="22">
        <f t="shared" si="629"/>
        <v>0</v>
      </c>
      <c r="AR329" s="22">
        <f t="shared" si="629"/>
        <v>0</v>
      </c>
      <c r="AS329" s="22">
        <f t="shared" si="629"/>
        <v>0</v>
      </c>
      <c r="AT329" s="22">
        <f t="shared" si="629"/>
        <v>0</v>
      </c>
      <c r="AU329" s="22">
        <f t="shared" si="629"/>
        <v>0</v>
      </c>
      <c r="AV329" s="22">
        <f t="shared" si="629"/>
        <v>0</v>
      </c>
      <c r="AW329" s="22">
        <f t="shared" si="629"/>
        <v>0</v>
      </c>
      <c r="AX329" s="22">
        <f t="shared" si="629"/>
        <v>0</v>
      </c>
      <c r="AY329" s="22">
        <f t="shared" si="629"/>
        <v>0</v>
      </c>
      <c r="AZ329" s="22">
        <f t="shared" si="629"/>
        <v>0</v>
      </c>
      <c r="BA329" s="22">
        <f t="shared" si="629"/>
        <v>0</v>
      </c>
      <c r="BB329" s="22">
        <f t="shared" si="629"/>
        <v>0</v>
      </c>
      <c r="BC329" s="22">
        <f t="shared" si="629"/>
        <v>0</v>
      </c>
      <c r="BD329" s="22">
        <f t="shared" si="629"/>
        <v>0</v>
      </c>
      <c r="BE329" s="22">
        <f t="shared" si="629"/>
        <v>0</v>
      </c>
      <c r="BF329" s="22">
        <f t="shared" si="629"/>
        <v>0</v>
      </c>
      <c r="BG329" s="22">
        <v>0</v>
      </c>
      <c r="BH329" s="22">
        <v>0</v>
      </c>
      <c r="BI329" s="22">
        <v>0</v>
      </c>
      <c r="BJ329" s="22">
        <v>0</v>
      </c>
      <c r="BK329" s="22">
        <v>0</v>
      </c>
      <c r="BL329" s="22">
        <v>0</v>
      </c>
      <c r="BM329" s="22">
        <v>0</v>
      </c>
      <c r="BN329" s="22">
        <v>0</v>
      </c>
      <c r="BO329" s="22">
        <v>0</v>
      </c>
      <c r="BP329" s="22">
        <v>0</v>
      </c>
      <c r="BQ329" s="22">
        <v>0</v>
      </c>
      <c r="BR329" s="101"/>
      <c r="BS329">
        <f t="shared" ref="BS329:CX329" si="630">IF($C329&lt;&gt;"",IF(D329&gt;0,1,0),0)</f>
        <v>0</v>
      </c>
      <c r="BT329">
        <f t="shared" si="630"/>
        <v>0</v>
      </c>
      <c r="BU329">
        <f t="shared" si="630"/>
        <v>0</v>
      </c>
      <c r="BV329">
        <f t="shared" si="630"/>
        <v>0</v>
      </c>
      <c r="BW329">
        <f t="shared" si="630"/>
        <v>0</v>
      </c>
      <c r="BX329">
        <f t="shared" si="630"/>
        <v>0</v>
      </c>
      <c r="BY329">
        <f t="shared" si="630"/>
        <v>0</v>
      </c>
      <c r="BZ329">
        <f t="shared" si="630"/>
        <v>0</v>
      </c>
      <c r="CA329">
        <f t="shared" si="630"/>
        <v>0</v>
      </c>
      <c r="CB329">
        <f t="shared" si="630"/>
        <v>0</v>
      </c>
      <c r="CC329">
        <f t="shared" si="630"/>
        <v>0</v>
      </c>
      <c r="CD329">
        <f t="shared" si="630"/>
        <v>0</v>
      </c>
      <c r="CE329">
        <f t="shared" si="630"/>
        <v>0</v>
      </c>
      <c r="CF329">
        <f t="shared" si="630"/>
        <v>0</v>
      </c>
      <c r="CG329">
        <f t="shared" si="630"/>
        <v>0</v>
      </c>
      <c r="CH329">
        <f t="shared" si="630"/>
        <v>0</v>
      </c>
      <c r="CI329">
        <f t="shared" si="630"/>
        <v>0</v>
      </c>
      <c r="CJ329">
        <f t="shared" si="630"/>
        <v>0</v>
      </c>
      <c r="CK329">
        <f t="shared" si="630"/>
        <v>0</v>
      </c>
      <c r="CL329">
        <f t="shared" si="630"/>
        <v>0</v>
      </c>
      <c r="CM329">
        <f t="shared" si="630"/>
        <v>0</v>
      </c>
      <c r="CN329">
        <f t="shared" si="630"/>
        <v>0</v>
      </c>
      <c r="CO329">
        <f t="shared" si="630"/>
        <v>0</v>
      </c>
      <c r="CP329">
        <f t="shared" si="630"/>
        <v>0</v>
      </c>
      <c r="CQ329">
        <f t="shared" si="630"/>
        <v>0</v>
      </c>
      <c r="CR329">
        <f t="shared" si="630"/>
        <v>0</v>
      </c>
      <c r="CS329">
        <f t="shared" si="630"/>
        <v>0</v>
      </c>
      <c r="CT329">
        <f t="shared" si="630"/>
        <v>0</v>
      </c>
      <c r="CU329">
        <f t="shared" si="630"/>
        <v>0</v>
      </c>
      <c r="CV329">
        <f t="shared" si="630"/>
        <v>0</v>
      </c>
      <c r="CW329">
        <f t="shared" si="630"/>
        <v>0</v>
      </c>
      <c r="CX329">
        <f t="shared" si="630"/>
        <v>0</v>
      </c>
      <c r="CY329">
        <f t="shared" ref="CY329:ED329" si="631">IF($C329&lt;&gt;"",IF(AJ329&gt;0,1,0),0)</f>
        <v>0</v>
      </c>
      <c r="CZ329">
        <f t="shared" si="631"/>
        <v>0</v>
      </c>
      <c r="DA329">
        <f t="shared" si="631"/>
        <v>0</v>
      </c>
      <c r="DB329">
        <f t="shared" si="631"/>
        <v>1</v>
      </c>
      <c r="DC329">
        <f t="shared" si="631"/>
        <v>1</v>
      </c>
      <c r="DD329">
        <f t="shared" si="631"/>
        <v>1</v>
      </c>
      <c r="DE329">
        <f t="shared" si="631"/>
        <v>1</v>
      </c>
      <c r="DF329">
        <f t="shared" si="631"/>
        <v>0</v>
      </c>
      <c r="DG329">
        <f t="shared" si="631"/>
        <v>0</v>
      </c>
      <c r="DH329">
        <f t="shared" si="631"/>
        <v>0</v>
      </c>
      <c r="DI329">
        <f t="shared" si="631"/>
        <v>0</v>
      </c>
      <c r="DJ329">
        <f t="shared" si="631"/>
        <v>0</v>
      </c>
      <c r="DK329">
        <f t="shared" si="631"/>
        <v>0</v>
      </c>
      <c r="DL329">
        <f t="shared" si="631"/>
        <v>0</v>
      </c>
      <c r="DM329">
        <f t="shared" si="631"/>
        <v>0</v>
      </c>
      <c r="DN329">
        <f t="shared" si="631"/>
        <v>0</v>
      </c>
      <c r="DO329">
        <f t="shared" si="631"/>
        <v>0</v>
      </c>
      <c r="DP329">
        <f t="shared" si="631"/>
        <v>0</v>
      </c>
      <c r="DQ329">
        <f t="shared" si="631"/>
        <v>0</v>
      </c>
      <c r="DR329">
        <f t="shared" si="631"/>
        <v>0</v>
      </c>
      <c r="DS329">
        <f t="shared" si="631"/>
        <v>0</v>
      </c>
      <c r="DT329">
        <f t="shared" si="631"/>
        <v>0</v>
      </c>
      <c r="DU329">
        <f t="shared" si="631"/>
        <v>0</v>
      </c>
      <c r="DV329">
        <f t="shared" si="631"/>
        <v>0</v>
      </c>
      <c r="DW329">
        <f t="shared" si="631"/>
        <v>0</v>
      </c>
      <c r="DX329">
        <f t="shared" si="631"/>
        <v>0</v>
      </c>
      <c r="DY329">
        <f t="shared" si="631"/>
        <v>0</v>
      </c>
      <c r="DZ329">
        <f t="shared" si="631"/>
        <v>0</v>
      </c>
      <c r="EA329">
        <f t="shared" si="631"/>
        <v>0</v>
      </c>
      <c r="EB329">
        <f t="shared" si="631"/>
        <v>0</v>
      </c>
      <c r="EC329">
        <f t="shared" si="631"/>
        <v>0</v>
      </c>
      <c r="ED329">
        <f t="shared" si="631"/>
        <v>0</v>
      </c>
      <c r="EE329">
        <f t="shared" ref="EE329:EF329" si="632">IF($C329&lt;&gt;"",IF(BP329&gt;0,1,0),0)</f>
        <v>0</v>
      </c>
      <c r="EF329">
        <f t="shared" si="632"/>
        <v>0</v>
      </c>
    </row>
    <row r="330" spans="1:136" ht="15" customHeight="1">
      <c r="A330" s="93"/>
      <c r="B330" s="57" t="s">
        <v>3</v>
      </c>
      <c r="C330" s="95"/>
      <c r="D330" s="18">
        <v>0</v>
      </c>
      <c r="E330" s="18">
        <v>0</v>
      </c>
      <c r="F330" s="18">
        <v>0</v>
      </c>
      <c r="G330" s="18">
        <v>0</v>
      </c>
      <c r="H330" s="18">
        <v>0</v>
      </c>
      <c r="I330" s="18">
        <v>0</v>
      </c>
      <c r="J330" s="18">
        <v>0</v>
      </c>
      <c r="K330" s="18">
        <v>0</v>
      </c>
      <c r="L330" s="18">
        <v>0</v>
      </c>
      <c r="M330" s="18">
        <v>0</v>
      </c>
      <c r="N330" s="18">
        <v>0</v>
      </c>
      <c r="O330" s="18">
        <v>0</v>
      </c>
      <c r="P330" s="18">
        <v>0</v>
      </c>
      <c r="Q330" s="18">
        <v>0</v>
      </c>
      <c r="R330" s="18">
        <v>0</v>
      </c>
      <c r="S330" s="18">
        <v>0</v>
      </c>
      <c r="T330" s="18">
        <v>0</v>
      </c>
      <c r="U330" s="18">
        <v>0</v>
      </c>
      <c r="V330" s="18">
        <v>0</v>
      </c>
      <c r="W330" s="18">
        <v>0</v>
      </c>
      <c r="X330" s="18">
        <v>0</v>
      </c>
      <c r="Y330" s="18">
        <v>0</v>
      </c>
      <c r="Z330" s="18">
        <v>0</v>
      </c>
      <c r="AA330" s="18">
        <v>0</v>
      </c>
      <c r="AB330" s="18">
        <v>0</v>
      </c>
      <c r="AC330" s="18">
        <v>0</v>
      </c>
      <c r="AD330" s="18">
        <v>0</v>
      </c>
      <c r="AE330" s="18">
        <v>0</v>
      </c>
      <c r="AF330" s="18">
        <v>0</v>
      </c>
      <c r="AG330" s="18">
        <v>0</v>
      </c>
      <c r="AH330" s="18">
        <v>0</v>
      </c>
      <c r="AI330" s="18">
        <v>0</v>
      </c>
      <c r="AJ330" s="18">
        <v>0</v>
      </c>
      <c r="AK330" s="18">
        <v>0</v>
      </c>
      <c r="AL330" s="18">
        <v>0</v>
      </c>
      <c r="AM330" s="18">
        <v>46.357615894039739</v>
      </c>
      <c r="AN330" s="18">
        <v>49.195837275307476</v>
      </c>
      <c r="AO330" s="18">
        <v>52</v>
      </c>
      <c r="AP330" s="18">
        <v>54.963999999999999</v>
      </c>
      <c r="AQ330" s="18">
        <v>0</v>
      </c>
      <c r="AR330" s="18">
        <v>0</v>
      </c>
      <c r="AS330" s="18">
        <v>0</v>
      </c>
      <c r="AT330" s="18">
        <v>0</v>
      </c>
      <c r="AU330" s="18">
        <v>0</v>
      </c>
      <c r="AV330" s="18">
        <v>0</v>
      </c>
      <c r="AW330" s="18">
        <v>0</v>
      </c>
      <c r="AX330" s="18">
        <v>0</v>
      </c>
      <c r="AY330" s="18">
        <v>0</v>
      </c>
      <c r="AZ330" s="18">
        <v>0</v>
      </c>
      <c r="BA330" s="18">
        <v>0</v>
      </c>
      <c r="BB330" s="18">
        <v>0</v>
      </c>
      <c r="BC330" s="18">
        <v>0</v>
      </c>
      <c r="BD330" s="18">
        <v>0</v>
      </c>
      <c r="BE330" s="25">
        <v>0</v>
      </c>
      <c r="BF330" s="18">
        <v>0</v>
      </c>
      <c r="BG330" s="18">
        <v>0</v>
      </c>
      <c r="BH330" s="18">
        <v>0</v>
      </c>
      <c r="BI330" s="18">
        <v>0</v>
      </c>
      <c r="BJ330" s="113">
        <v>0</v>
      </c>
      <c r="BK330" s="113">
        <v>0</v>
      </c>
      <c r="BL330" s="113">
        <v>0</v>
      </c>
      <c r="BM330" s="113">
        <v>0</v>
      </c>
      <c r="BN330" s="113">
        <v>0</v>
      </c>
      <c r="BO330" s="113">
        <v>0</v>
      </c>
      <c r="BP330" s="113">
        <v>0</v>
      </c>
      <c r="BQ330" s="113">
        <v>0</v>
      </c>
      <c r="BR330" s="101"/>
      <c r="BS330">
        <f t="shared" ref="BS330:CX330" si="633">IF($C330&lt;&gt;"",IF(D330&gt;0,1,0),0)</f>
        <v>0</v>
      </c>
      <c r="BT330">
        <f t="shared" si="633"/>
        <v>0</v>
      </c>
      <c r="BU330">
        <f t="shared" si="633"/>
        <v>0</v>
      </c>
      <c r="BV330">
        <f t="shared" si="633"/>
        <v>0</v>
      </c>
      <c r="BW330">
        <f t="shared" si="633"/>
        <v>0</v>
      </c>
      <c r="BX330">
        <f t="shared" si="633"/>
        <v>0</v>
      </c>
      <c r="BY330">
        <f t="shared" si="633"/>
        <v>0</v>
      </c>
      <c r="BZ330">
        <f t="shared" si="633"/>
        <v>0</v>
      </c>
      <c r="CA330">
        <f t="shared" si="633"/>
        <v>0</v>
      </c>
      <c r="CB330">
        <f t="shared" si="633"/>
        <v>0</v>
      </c>
      <c r="CC330">
        <f t="shared" si="633"/>
        <v>0</v>
      </c>
      <c r="CD330">
        <f t="shared" si="633"/>
        <v>0</v>
      </c>
      <c r="CE330">
        <f t="shared" si="633"/>
        <v>0</v>
      </c>
      <c r="CF330">
        <f t="shared" si="633"/>
        <v>0</v>
      </c>
      <c r="CG330">
        <f t="shared" si="633"/>
        <v>0</v>
      </c>
      <c r="CH330">
        <f t="shared" si="633"/>
        <v>0</v>
      </c>
      <c r="CI330">
        <f t="shared" si="633"/>
        <v>0</v>
      </c>
      <c r="CJ330">
        <f t="shared" si="633"/>
        <v>0</v>
      </c>
      <c r="CK330">
        <f t="shared" si="633"/>
        <v>0</v>
      </c>
      <c r="CL330">
        <f t="shared" si="633"/>
        <v>0</v>
      </c>
      <c r="CM330">
        <f t="shared" si="633"/>
        <v>0</v>
      </c>
      <c r="CN330">
        <f t="shared" si="633"/>
        <v>0</v>
      </c>
      <c r="CO330">
        <f t="shared" si="633"/>
        <v>0</v>
      </c>
      <c r="CP330">
        <f t="shared" si="633"/>
        <v>0</v>
      </c>
      <c r="CQ330">
        <f t="shared" si="633"/>
        <v>0</v>
      </c>
      <c r="CR330">
        <f t="shared" si="633"/>
        <v>0</v>
      </c>
      <c r="CS330">
        <f t="shared" si="633"/>
        <v>0</v>
      </c>
      <c r="CT330">
        <f t="shared" si="633"/>
        <v>0</v>
      </c>
      <c r="CU330">
        <f t="shared" si="633"/>
        <v>0</v>
      </c>
      <c r="CV330">
        <f t="shared" si="633"/>
        <v>0</v>
      </c>
      <c r="CW330">
        <f t="shared" si="633"/>
        <v>0</v>
      </c>
      <c r="CX330">
        <f t="shared" si="633"/>
        <v>0</v>
      </c>
      <c r="CY330">
        <f t="shared" ref="CY330:DZ330" si="634">IF($C330&lt;&gt;"",IF(AJ330&gt;0,1,0),0)</f>
        <v>0</v>
      </c>
      <c r="CZ330">
        <f t="shared" si="634"/>
        <v>0</v>
      </c>
      <c r="DA330">
        <f t="shared" si="634"/>
        <v>0</v>
      </c>
      <c r="DB330">
        <f t="shared" si="634"/>
        <v>0</v>
      </c>
      <c r="DC330">
        <f t="shared" si="634"/>
        <v>0</v>
      </c>
      <c r="DD330">
        <f t="shared" si="634"/>
        <v>0</v>
      </c>
      <c r="DE330">
        <f t="shared" si="634"/>
        <v>0</v>
      </c>
      <c r="DF330">
        <f t="shared" si="634"/>
        <v>0</v>
      </c>
      <c r="DG330">
        <f t="shared" si="634"/>
        <v>0</v>
      </c>
      <c r="DH330">
        <f t="shared" si="634"/>
        <v>0</v>
      </c>
      <c r="DI330">
        <f t="shared" si="634"/>
        <v>0</v>
      </c>
      <c r="DJ330">
        <f t="shared" si="634"/>
        <v>0</v>
      </c>
      <c r="DK330">
        <f t="shared" si="634"/>
        <v>0</v>
      </c>
      <c r="DL330">
        <f t="shared" si="634"/>
        <v>0</v>
      </c>
      <c r="DM330">
        <f t="shared" si="634"/>
        <v>0</v>
      </c>
      <c r="DN330">
        <f t="shared" si="634"/>
        <v>0</v>
      </c>
      <c r="DO330">
        <f t="shared" si="634"/>
        <v>0</v>
      </c>
      <c r="DP330">
        <f t="shared" si="634"/>
        <v>0</v>
      </c>
      <c r="DQ330">
        <f t="shared" si="634"/>
        <v>0</v>
      </c>
      <c r="DR330">
        <f t="shared" si="634"/>
        <v>0</v>
      </c>
      <c r="DS330">
        <f t="shared" si="634"/>
        <v>0</v>
      </c>
      <c r="DT330">
        <f t="shared" si="634"/>
        <v>0</v>
      </c>
      <c r="DU330">
        <f t="shared" si="634"/>
        <v>0</v>
      </c>
      <c r="DV330">
        <f t="shared" si="634"/>
        <v>0</v>
      </c>
      <c r="DW330">
        <f t="shared" si="634"/>
        <v>0</v>
      </c>
      <c r="DX330">
        <f t="shared" si="634"/>
        <v>0</v>
      </c>
      <c r="DY330">
        <f t="shared" si="634"/>
        <v>0</v>
      </c>
      <c r="DZ330">
        <f t="shared" si="634"/>
        <v>0</v>
      </c>
      <c r="EA330">
        <f t="shared" ref="EA330:EF330" si="635">IF($C330&lt;&gt;"",IF(BL329&gt;0,1,0),0)</f>
        <v>0</v>
      </c>
      <c r="EB330">
        <f t="shared" si="635"/>
        <v>0</v>
      </c>
      <c r="EC330">
        <f t="shared" si="635"/>
        <v>0</v>
      </c>
      <c r="ED330">
        <f t="shared" si="635"/>
        <v>0</v>
      </c>
      <c r="EE330">
        <f t="shared" si="635"/>
        <v>0</v>
      </c>
      <c r="EF330">
        <f t="shared" si="635"/>
        <v>0</v>
      </c>
    </row>
    <row r="331" spans="1:136" ht="15.5">
      <c r="A331" s="93"/>
      <c r="B331" s="57"/>
      <c r="C331" s="95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  <c r="BA331" s="18"/>
      <c r="BB331" s="18"/>
      <c r="BC331" s="18"/>
      <c r="BD331" s="18"/>
      <c r="BE331" s="25"/>
      <c r="BF331" s="18"/>
      <c r="BG331" s="18"/>
      <c r="BH331" s="18"/>
      <c r="BI331" s="18"/>
      <c r="BJ331" s="2"/>
      <c r="BK331" s="2"/>
      <c r="BL331" s="2"/>
      <c r="BM331" s="2"/>
      <c r="BN331" s="2"/>
      <c r="BO331" s="2"/>
      <c r="BP331" s="2"/>
      <c r="BQ331" s="2"/>
      <c r="BR331" s="101"/>
    </row>
    <row r="332" spans="1:136" ht="15.5">
      <c r="A332" s="93">
        <v>37</v>
      </c>
      <c r="B332" s="54" t="s">
        <v>51</v>
      </c>
      <c r="C332" s="94">
        <v>3</v>
      </c>
      <c r="D332" s="22">
        <f t="shared" ref="D332:AI332" si="636">SUM(D333:D338)</f>
        <v>0</v>
      </c>
      <c r="E332" s="22">
        <f t="shared" si="636"/>
        <v>0</v>
      </c>
      <c r="F332" s="22">
        <f t="shared" si="636"/>
        <v>3</v>
      </c>
      <c r="G332" s="22">
        <f t="shared" si="636"/>
        <v>0</v>
      </c>
      <c r="H332" s="22">
        <f t="shared" si="636"/>
        <v>0</v>
      </c>
      <c r="I332" s="22">
        <f t="shared" si="636"/>
        <v>3</v>
      </c>
      <c r="J332" s="22">
        <f t="shared" si="636"/>
        <v>0</v>
      </c>
      <c r="K332" s="22">
        <f t="shared" si="636"/>
        <v>0</v>
      </c>
      <c r="L332" s="22">
        <f t="shared" si="636"/>
        <v>0</v>
      </c>
      <c r="M332" s="22">
        <f t="shared" si="636"/>
        <v>0</v>
      </c>
      <c r="N332" s="22">
        <f t="shared" si="636"/>
        <v>0</v>
      </c>
      <c r="O332" s="22">
        <f t="shared" si="636"/>
        <v>8.0000000000000002E-3</v>
      </c>
      <c r="P332" s="22">
        <f t="shared" si="636"/>
        <v>0</v>
      </c>
      <c r="Q332" s="22">
        <f t="shared" si="636"/>
        <v>0.20900000000000002</v>
      </c>
      <c r="R332" s="22">
        <f t="shared" si="636"/>
        <v>0</v>
      </c>
      <c r="S332" s="22">
        <f t="shared" si="636"/>
        <v>0</v>
      </c>
      <c r="T332" s="22">
        <f t="shared" si="636"/>
        <v>0</v>
      </c>
      <c r="U332" s="22">
        <f t="shared" si="636"/>
        <v>0.61499999999999999</v>
      </c>
      <c r="V332" s="22">
        <f t="shared" si="636"/>
        <v>0.90900000000000003</v>
      </c>
      <c r="W332" s="22">
        <f t="shared" si="636"/>
        <v>1.7000000000000001E-2</v>
      </c>
      <c r="X332" s="22">
        <f t="shared" si="636"/>
        <v>2.4159999999999999</v>
      </c>
      <c r="Y332" s="22">
        <f t="shared" si="636"/>
        <v>285.88600000000002</v>
      </c>
      <c r="Z332" s="22">
        <f t="shared" si="636"/>
        <v>923.16100000000006</v>
      </c>
      <c r="AA332" s="22">
        <f t="shared" si="636"/>
        <v>713</v>
      </c>
      <c r="AB332" s="22">
        <f t="shared" si="636"/>
        <v>308.85000000000002</v>
      </c>
      <c r="AC332" s="22">
        <f t="shared" si="636"/>
        <v>645</v>
      </c>
      <c r="AD332" s="22">
        <f t="shared" si="636"/>
        <v>1786.7840000000001</v>
      </c>
      <c r="AE332" s="22">
        <f t="shared" si="636"/>
        <v>2236.1379999999999</v>
      </c>
      <c r="AF332" s="22">
        <f t="shared" si="636"/>
        <v>2527.8220000000001</v>
      </c>
      <c r="AG332" s="22">
        <f t="shared" si="636"/>
        <v>1752</v>
      </c>
      <c r="AH332" s="22">
        <f t="shared" si="636"/>
        <v>1882.5222435000001</v>
      </c>
      <c r="AI332" s="22">
        <f t="shared" si="636"/>
        <v>260.23489410000002</v>
      </c>
      <c r="AJ332" s="22">
        <f t="shared" ref="AJ332:BO332" si="637">SUM(AJ333:AJ338)</f>
        <v>60.134689199999997</v>
      </c>
      <c r="AK332" s="22">
        <f t="shared" si="637"/>
        <v>93.629403400000001</v>
      </c>
      <c r="AL332" s="22">
        <f t="shared" si="637"/>
        <v>109.8885646</v>
      </c>
      <c r="AM332" s="22">
        <f t="shared" si="637"/>
        <v>61.410111000000001</v>
      </c>
      <c r="AN332" s="22">
        <f t="shared" si="637"/>
        <v>6.5997237000000002</v>
      </c>
      <c r="AO332" s="22">
        <f t="shared" si="637"/>
        <v>5.0033639000000001</v>
      </c>
      <c r="AP332" s="22">
        <f t="shared" si="637"/>
        <v>3.4361696999999998</v>
      </c>
      <c r="AQ332" s="22">
        <f t="shared" si="637"/>
        <v>3.1240000000000001</v>
      </c>
      <c r="AR332" s="22">
        <f t="shared" si="637"/>
        <v>3.1240000000000001</v>
      </c>
      <c r="AS332" s="22">
        <f t="shared" si="637"/>
        <v>3.1019999999999999</v>
      </c>
      <c r="AT332" s="22">
        <f t="shared" si="637"/>
        <v>0.21666000000000002</v>
      </c>
      <c r="AU332" s="22">
        <f t="shared" si="637"/>
        <v>0.32500000000000001</v>
      </c>
      <c r="AV332" s="22">
        <f t="shared" si="637"/>
        <v>0.16700000000000001</v>
      </c>
      <c r="AW332" s="22">
        <f t="shared" si="637"/>
        <v>0</v>
      </c>
      <c r="AX332" s="22">
        <f t="shared" si="637"/>
        <v>2.0236360000000002</v>
      </c>
      <c r="AY332" s="22">
        <f t="shared" si="637"/>
        <v>9.8674999999999999E-2</v>
      </c>
      <c r="AZ332" s="22">
        <f t="shared" si="637"/>
        <v>0.31130930000000001</v>
      </c>
      <c r="BA332" s="22">
        <f t="shared" si="637"/>
        <v>0.30592840000000004</v>
      </c>
      <c r="BB332" s="22">
        <f t="shared" si="637"/>
        <v>0.3371017</v>
      </c>
      <c r="BC332" s="22">
        <f t="shared" si="637"/>
        <v>0.33784579999999997</v>
      </c>
      <c r="BD332" s="22">
        <f t="shared" si="637"/>
        <v>0.34026899999999999</v>
      </c>
      <c r="BE332" s="22">
        <f t="shared" si="637"/>
        <v>0.34487690000000004</v>
      </c>
      <c r="BF332" s="22">
        <f t="shared" si="637"/>
        <v>0.32057209999999997</v>
      </c>
      <c r="BG332" s="22">
        <f t="shared" si="637"/>
        <v>0</v>
      </c>
      <c r="BH332" s="22">
        <f t="shared" si="637"/>
        <v>0</v>
      </c>
      <c r="BI332" s="22">
        <f t="shared" si="637"/>
        <v>0</v>
      </c>
      <c r="BJ332" s="22">
        <f t="shared" si="637"/>
        <v>0</v>
      </c>
      <c r="BK332" s="22">
        <f t="shared" si="637"/>
        <v>0</v>
      </c>
      <c r="BL332" s="22">
        <f t="shared" si="637"/>
        <v>0</v>
      </c>
      <c r="BM332" s="22">
        <f t="shared" si="637"/>
        <v>0</v>
      </c>
      <c r="BN332" s="22">
        <f t="shared" si="637"/>
        <v>0</v>
      </c>
      <c r="BO332" s="22">
        <f t="shared" si="637"/>
        <v>0</v>
      </c>
      <c r="BP332" s="22">
        <f>SUM(BP333:BP338)</f>
        <v>0</v>
      </c>
      <c r="BQ332" s="22">
        <f>SUM(BQ333:BQ338)</f>
        <v>0</v>
      </c>
      <c r="BR332" s="101"/>
      <c r="BS332">
        <f t="shared" ref="BS332:CB338" si="638">IF($C332&lt;&gt;"",IF(D332&gt;0,1,0),0)</f>
        <v>0</v>
      </c>
      <c r="BT332">
        <f t="shared" si="638"/>
        <v>0</v>
      </c>
      <c r="BU332">
        <f t="shared" si="638"/>
        <v>1</v>
      </c>
      <c r="BV332">
        <f t="shared" si="638"/>
        <v>0</v>
      </c>
      <c r="BW332">
        <f t="shared" si="638"/>
        <v>0</v>
      </c>
      <c r="BX332">
        <f t="shared" si="638"/>
        <v>1</v>
      </c>
      <c r="BY332">
        <f t="shared" si="638"/>
        <v>0</v>
      </c>
      <c r="BZ332">
        <f t="shared" si="638"/>
        <v>0</v>
      </c>
      <c r="CA332">
        <f t="shared" si="638"/>
        <v>0</v>
      </c>
      <c r="CB332">
        <f t="shared" si="638"/>
        <v>0</v>
      </c>
      <c r="CC332">
        <f t="shared" ref="CC332:CL338" si="639">IF($C332&lt;&gt;"",IF(N332&gt;0,1,0),0)</f>
        <v>0</v>
      </c>
      <c r="CD332">
        <f t="shared" si="639"/>
        <v>1</v>
      </c>
      <c r="CE332">
        <f t="shared" si="639"/>
        <v>0</v>
      </c>
      <c r="CF332">
        <f t="shared" si="639"/>
        <v>1</v>
      </c>
      <c r="CG332">
        <f t="shared" si="639"/>
        <v>0</v>
      </c>
      <c r="CH332">
        <f t="shared" si="639"/>
        <v>0</v>
      </c>
      <c r="CI332">
        <f t="shared" si="639"/>
        <v>0</v>
      </c>
      <c r="CJ332">
        <f t="shared" si="639"/>
        <v>1</v>
      </c>
      <c r="CK332">
        <f t="shared" si="639"/>
        <v>1</v>
      </c>
      <c r="CL332">
        <f t="shared" si="639"/>
        <v>1</v>
      </c>
      <c r="CM332">
        <f t="shared" ref="CM332:CV338" si="640">IF($C332&lt;&gt;"",IF(X332&gt;0,1,0),0)</f>
        <v>1</v>
      </c>
      <c r="CN332">
        <f t="shared" si="640"/>
        <v>1</v>
      </c>
      <c r="CO332">
        <f t="shared" si="640"/>
        <v>1</v>
      </c>
      <c r="CP332">
        <f t="shared" si="640"/>
        <v>1</v>
      </c>
      <c r="CQ332">
        <f t="shared" si="640"/>
        <v>1</v>
      </c>
      <c r="CR332">
        <f t="shared" si="640"/>
        <v>1</v>
      </c>
      <c r="CS332">
        <f t="shared" si="640"/>
        <v>1</v>
      </c>
      <c r="CT332">
        <f t="shared" si="640"/>
        <v>1</v>
      </c>
      <c r="CU332">
        <f t="shared" si="640"/>
        <v>1</v>
      </c>
      <c r="CV332">
        <f t="shared" si="640"/>
        <v>1</v>
      </c>
      <c r="CW332">
        <f t="shared" ref="CW332:DF338" si="641">IF($C332&lt;&gt;"",IF(AH332&gt;0,1,0),0)</f>
        <v>1</v>
      </c>
      <c r="CX332">
        <f t="shared" si="641"/>
        <v>1</v>
      </c>
      <c r="CY332">
        <f t="shared" si="641"/>
        <v>1</v>
      </c>
      <c r="CZ332">
        <f t="shared" si="641"/>
        <v>1</v>
      </c>
      <c r="DA332">
        <f t="shared" si="641"/>
        <v>1</v>
      </c>
      <c r="DB332">
        <f t="shared" si="641"/>
        <v>1</v>
      </c>
      <c r="DC332">
        <f t="shared" si="641"/>
        <v>1</v>
      </c>
      <c r="DD332">
        <f t="shared" si="641"/>
        <v>1</v>
      </c>
      <c r="DE332">
        <f t="shared" si="641"/>
        <v>1</v>
      </c>
      <c r="DF332">
        <f t="shared" si="641"/>
        <v>1</v>
      </c>
      <c r="DG332">
        <f t="shared" ref="DG332:DP338" si="642">IF($C332&lt;&gt;"",IF(AR332&gt;0,1,0),0)</f>
        <v>1</v>
      </c>
      <c r="DH332">
        <f t="shared" si="642"/>
        <v>1</v>
      </c>
      <c r="DI332">
        <f t="shared" si="642"/>
        <v>1</v>
      </c>
      <c r="DJ332">
        <f t="shared" si="642"/>
        <v>1</v>
      </c>
      <c r="DK332">
        <f t="shared" si="642"/>
        <v>1</v>
      </c>
      <c r="DL332">
        <f t="shared" si="642"/>
        <v>0</v>
      </c>
      <c r="DM332">
        <f t="shared" si="642"/>
        <v>1</v>
      </c>
      <c r="DN332">
        <f t="shared" si="642"/>
        <v>1</v>
      </c>
      <c r="DO332">
        <f t="shared" si="642"/>
        <v>1</v>
      </c>
      <c r="DP332">
        <f t="shared" si="642"/>
        <v>1</v>
      </c>
      <c r="DQ332">
        <f t="shared" ref="DQ332:DZ338" si="643">IF($C332&lt;&gt;"",IF(BB332&gt;0,1,0),0)</f>
        <v>1</v>
      </c>
      <c r="DR332">
        <f t="shared" si="643"/>
        <v>1</v>
      </c>
      <c r="DS332">
        <f t="shared" si="643"/>
        <v>1</v>
      </c>
      <c r="DT332">
        <f t="shared" si="643"/>
        <v>1</v>
      </c>
      <c r="DU332">
        <f t="shared" si="643"/>
        <v>1</v>
      </c>
      <c r="DV332">
        <f t="shared" si="643"/>
        <v>0</v>
      </c>
      <c r="DW332">
        <f t="shared" si="643"/>
        <v>0</v>
      </c>
      <c r="DX332">
        <f t="shared" si="643"/>
        <v>0</v>
      </c>
      <c r="DY332">
        <f t="shared" si="643"/>
        <v>0</v>
      </c>
      <c r="DZ332">
        <f t="shared" si="643"/>
        <v>0</v>
      </c>
      <c r="EA332">
        <f t="shared" ref="EA332:EF338" si="644">IF($C332&lt;&gt;"",IF(BL332&gt;0,1,0),0)</f>
        <v>0</v>
      </c>
      <c r="EB332">
        <f t="shared" si="644"/>
        <v>0</v>
      </c>
      <c r="EC332">
        <f t="shared" si="644"/>
        <v>0</v>
      </c>
      <c r="ED332">
        <f t="shared" si="644"/>
        <v>0</v>
      </c>
      <c r="EE332">
        <f t="shared" si="644"/>
        <v>0</v>
      </c>
      <c r="EF332">
        <f t="shared" si="644"/>
        <v>0</v>
      </c>
    </row>
    <row r="333" spans="1:136" ht="15.5">
      <c r="A333" s="93"/>
      <c r="B333" s="19" t="s">
        <v>2</v>
      </c>
      <c r="C333" s="95"/>
      <c r="D333" s="18">
        <v>0</v>
      </c>
      <c r="E333" s="18">
        <v>0</v>
      </c>
      <c r="F333" s="18">
        <v>0</v>
      </c>
      <c r="G333" s="18">
        <v>0</v>
      </c>
      <c r="H333" s="18">
        <v>0</v>
      </c>
      <c r="I333" s="18">
        <v>0</v>
      </c>
      <c r="J333" s="18">
        <v>0</v>
      </c>
      <c r="K333" s="18">
        <v>0</v>
      </c>
      <c r="L333" s="18">
        <v>0</v>
      </c>
      <c r="M333" s="18">
        <v>0</v>
      </c>
      <c r="N333" s="18">
        <v>0</v>
      </c>
      <c r="O333" s="18">
        <v>0</v>
      </c>
      <c r="P333" s="18">
        <v>0</v>
      </c>
      <c r="Q333" s="18">
        <v>0</v>
      </c>
      <c r="R333" s="18">
        <v>0</v>
      </c>
      <c r="S333" s="18">
        <v>0</v>
      </c>
      <c r="T333" s="18">
        <v>0</v>
      </c>
      <c r="U333" s="18">
        <v>0</v>
      </c>
      <c r="V333" s="18">
        <v>0</v>
      </c>
      <c r="W333" s="18">
        <v>0</v>
      </c>
      <c r="X333" s="18">
        <v>0</v>
      </c>
      <c r="Y333" s="18"/>
      <c r="Z333" s="40" t="s">
        <v>16</v>
      </c>
      <c r="AA333" s="18">
        <v>104</v>
      </c>
      <c r="AB333" s="18"/>
      <c r="AC333" s="18">
        <v>93</v>
      </c>
      <c r="AD333" s="18"/>
      <c r="AE333" s="18"/>
      <c r="AF333" s="18"/>
      <c r="AG333" s="18">
        <v>182</v>
      </c>
      <c r="AH333" s="40" t="s">
        <v>16</v>
      </c>
      <c r="AI333" s="18">
        <v>97</v>
      </c>
      <c r="AJ333" s="40" t="s">
        <v>16</v>
      </c>
      <c r="AK333" s="18">
        <v>57</v>
      </c>
      <c r="AL333" s="18">
        <v>91</v>
      </c>
      <c r="AM333" s="18">
        <v>43</v>
      </c>
      <c r="AN333" s="18">
        <v>0</v>
      </c>
      <c r="AO333" s="18">
        <v>0</v>
      </c>
      <c r="AP333" s="18">
        <v>0</v>
      </c>
      <c r="AQ333" s="18">
        <v>0</v>
      </c>
      <c r="AR333" s="18">
        <v>0</v>
      </c>
      <c r="AS333" s="18">
        <v>0</v>
      </c>
      <c r="AT333" s="18">
        <v>0</v>
      </c>
      <c r="AU333" s="18">
        <v>0</v>
      </c>
      <c r="AV333" s="18">
        <v>0</v>
      </c>
      <c r="AW333" s="18">
        <v>0</v>
      </c>
      <c r="AX333" s="18">
        <v>0</v>
      </c>
      <c r="AY333" s="18">
        <v>0</v>
      </c>
      <c r="AZ333" s="18">
        <v>0</v>
      </c>
      <c r="BA333" s="18">
        <v>0</v>
      </c>
      <c r="BB333" s="18">
        <v>0</v>
      </c>
      <c r="BC333" s="18">
        <v>0</v>
      </c>
      <c r="BD333" s="18">
        <v>0</v>
      </c>
      <c r="BE333" s="18">
        <v>0</v>
      </c>
      <c r="BF333" s="18">
        <v>0</v>
      </c>
      <c r="BG333" s="18">
        <v>0</v>
      </c>
      <c r="BH333" s="18">
        <v>0</v>
      </c>
      <c r="BI333" s="18">
        <v>0</v>
      </c>
      <c r="BJ333" s="113">
        <v>0</v>
      </c>
      <c r="BK333" s="113">
        <v>0</v>
      </c>
      <c r="BL333" s="113">
        <v>0</v>
      </c>
      <c r="BM333" s="113">
        <v>0</v>
      </c>
      <c r="BN333" s="113">
        <v>0</v>
      </c>
      <c r="BO333" s="113">
        <v>0</v>
      </c>
      <c r="BP333" s="113">
        <v>0</v>
      </c>
      <c r="BQ333" s="113">
        <v>0</v>
      </c>
      <c r="BR333" s="101"/>
      <c r="BS333">
        <f t="shared" si="638"/>
        <v>0</v>
      </c>
      <c r="BT333">
        <f t="shared" si="638"/>
        <v>0</v>
      </c>
      <c r="BU333">
        <f t="shared" si="638"/>
        <v>0</v>
      </c>
      <c r="BV333">
        <f t="shared" si="638"/>
        <v>0</v>
      </c>
      <c r="BW333">
        <f t="shared" si="638"/>
        <v>0</v>
      </c>
      <c r="BX333">
        <f t="shared" si="638"/>
        <v>0</v>
      </c>
      <c r="BY333">
        <f t="shared" si="638"/>
        <v>0</v>
      </c>
      <c r="BZ333">
        <f t="shared" si="638"/>
        <v>0</v>
      </c>
      <c r="CA333">
        <f t="shared" si="638"/>
        <v>0</v>
      </c>
      <c r="CB333">
        <f t="shared" si="638"/>
        <v>0</v>
      </c>
      <c r="CC333">
        <f t="shared" si="639"/>
        <v>0</v>
      </c>
      <c r="CD333">
        <f t="shared" si="639"/>
        <v>0</v>
      </c>
      <c r="CE333">
        <f t="shared" si="639"/>
        <v>0</v>
      </c>
      <c r="CF333">
        <f t="shared" si="639"/>
        <v>0</v>
      </c>
      <c r="CG333">
        <f t="shared" si="639"/>
        <v>0</v>
      </c>
      <c r="CH333">
        <f t="shared" si="639"/>
        <v>0</v>
      </c>
      <c r="CI333">
        <f t="shared" si="639"/>
        <v>0</v>
      </c>
      <c r="CJ333">
        <f t="shared" si="639"/>
        <v>0</v>
      </c>
      <c r="CK333">
        <f t="shared" si="639"/>
        <v>0</v>
      </c>
      <c r="CL333">
        <f t="shared" si="639"/>
        <v>0</v>
      </c>
      <c r="CM333">
        <f t="shared" si="640"/>
        <v>0</v>
      </c>
      <c r="CN333">
        <f t="shared" si="640"/>
        <v>0</v>
      </c>
      <c r="CO333">
        <f t="shared" si="640"/>
        <v>0</v>
      </c>
      <c r="CP333">
        <f t="shared" si="640"/>
        <v>0</v>
      </c>
      <c r="CQ333">
        <f t="shared" si="640"/>
        <v>0</v>
      </c>
      <c r="CR333">
        <f t="shared" si="640"/>
        <v>0</v>
      </c>
      <c r="CS333">
        <f t="shared" si="640"/>
        <v>0</v>
      </c>
      <c r="CT333">
        <f t="shared" si="640"/>
        <v>0</v>
      </c>
      <c r="CU333">
        <f t="shared" si="640"/>
        <v>0</v>
      </c>
      <c r="CV333">
        <f t="shared" si="640"/>
        <v>0</v>
      </c>
      <c r="CW333">
        <f t="shared" si="641"/>
        <v>0</v>
      </c>
      <c r="CX333">
        <f t="shared" si="641"/>
        <v>0</v>
      </c>
      <c r="CY333">
        <f t="shared" si="641"/>
        <v>0</v>
      </c>
      <c r="CZ333">
        <f t="shared" si="641"/>
        <v>0</v>
      </c>
      <c r="DA333">
        <f t="shared" si="641"/>
        <v>0</v>
      </c>
      <c r="DB333">
        <f t="shared" si="641"/>
        <v>0</v>
      </c>
      <c r="DC333">
        <f t="shared" si="641"/>
        <v>0</v>
      </c>
      <c r="DD333">
        <f t="shared" si="641"/>
        <v>0</v>
      </c>
      <c r="DE333">
        <f t="shared" si="641"/>
        <v>0</v>
      </c>
      <c r="DF333">
        <f t="shared" si="641"/>
        <v>0</v>
      </c>
      <c r="DG333">
        <f t="shared" si="642"/>
        <v>0</v>
      </c>
      <c r="DH333">
        <f t="shared" si="642"/>
        <v>0</v>
      </c>
      <c r="DI333">
        <f t="shared" si="642"/>
        <v>0</v>
      </c>
      <c r="DJ333">
        <f t="shared" si="642"/>
        <v>0</v>
      </c>
      <c r="DK333">
        <f t="shared" si="642"/>
        <v>0</v>
      </c>
      <c r="DL333">
        <f t="shared" si="642"/>
        <v>0</v>
      </c>
      <c r="DM333">
        <f t="shared" si="642"/>
        <v>0</v>
      </c>
      <c r="DN333">
        <f t="shared" si="642"/>
        <v>0</v>
      </c>
      <c r="DO333">
        <f t="shared" si="642"/>
        <v>0</v>
      </c>
      <c r="DP333">
        <f t="shared" si="642"/>
        <v>0</v>
      </c>
      <c r="DQ333">
        <f t="shared" si="643"/>
        <v>0</v>
      </c>
      <c r="DR333">
        <f t="shared" si="643"/>
        <v>0</v>
      </c>
      <c r="DS333">
        <f t="shared" si="643"/>
        <v>0</v>
      </c>
      <c r="DT333">
        <f t="shared" si="643"/>
        <v>0</v>
      </c>
      <c r="DU333">
        <f t="shared" si="643"/>
        <v>0</v>
      </c>
      <c r="DV333">
        <f t="shared" si="643"/>
        <v>0</v>
      </c>
      <c r="DW333">
        <f t="shared" si="643"/>
        <v>0</v>
      </c>
      <c r="DX333">
        <f t="shared" si="643"/>
        <v>0</v>
      </c>
      <c r="DY333">
        <f t="shared" si="643"/>
        <v>0</v>
      </c>
      <c r="DZ333">
        <f t="shared" si="643"/>
        <v>0</v>
      </c>
      <c r="EA333">
        <f t="shared" si="644"/>
        <v>0</v>
      </c>
      <c r="EB333">
        <f t="shared" si="644"/>
        <v>0</v>
      </c>
      <c r="EC333">
        <f t="shared" si="644"/>
        <v>0</v>
      </c>
      <c r="ED333">
        <f t="shared" si="644"/>
        <v>0</v>
      </c>
      <c r="EE333">
        <f t="shared" si="644"/>
        <v>0</v>
      </c>
      <c r="EF333">
        <f t="shared" si="644"/>
        <v>0</v>
      </c>
    </row>
    <row r="334" spans="1:136" ht="15.5">
      <c r="A334" s="93"/>
      <c r="B334" s="19" t="s">
        <v>205</v>
      </c>
      <c r="C334" s="95"/>
      <c r="D334" s="18">
        <v>0</v>
      </c>
      <c r="E334" s="18">
        <v>0</v>
      </c>
      <c r="F334" s="18">
        <v>0</v>
      </c>
      <c r="G334" s="18">
        <v>0</v>
      </c>
      <c r="H334" s="18">
        <v>0</v>
      </c>
      <c r="I334" s="18">
        <v>0</v>
      </c>
      <c r="J334" s="18">
        <v>0</v>
      </c>
      <c r="K334" s="18">
        <v>0</v>
      </c>
      <c r="L334" s="18">
        <v>0</v>
      </c>
      <c r="M334" s="18">
        <v>0</v>
      </c>
      <c r="N334" s="18">
        <v>0</v>
      </c>
      <c r="O334" s="18">
        <v>0</v>
      </c>
      <c r="P334" s="18">
        <v>0</v>
      </c>
      <c r="Q334" s="18">
        <v>0</v>
      </c>
      <c r="R334" s="18">
        <v>0</v>
      </c>
      <c r="S334" s="18">
        <v>0</v>
      </c>
      <c r="T334" s="18">
        <v>0</v>
      </c>
      <c r="U334" s="18">
        <v>0</v>
      </c>
      <c r="V334" s="18">
        <v>0</v>
      </c>
      <c r="W334" s="18">
        <v>0</v>
      </c>
      <c r="X334" s="18">
        <v>0</v>
      </c>
      <c r="Y334" s="18">
        <v>0</v>
      </c>
      <c r="Z334" s="18">
        <v>0</v>
      </c>
      <c r="AA334" s="18">
        <v>0</v>
      </c>
      <c r="AB334" s="18">
        <v>0</v>
      </c>
      <c r="AC334" s="18">
        <v>0</v>
      </c>
      <c r="AD334" s="18">
        <v>0</v>
      </c>
      <c r="AE334" s="18">
        <v>0</v>
      </c>
      <c r="AF334" s="18">
        <v>0</v>
      </c>
      <c r="AG334" s="18">
        <v>0</v>
      </c>
      <c r="AH334" s="18">
        <v>0</v>
      </c>
      <c r="AI334" s="18">
        <v>10</v>
      </c>
      <c r="AJ334" s="18">
        <v>10</v>
      </c>
      <c r="AK334" s="18">
        <v>10</v>
      </c>
      <c r="AL334" s="18">
        <v>10</v>
      </c>
      <c r="AM334" s="18">
        <v>10</v>
      </c>
      <c r="AN334" s="18">
        <v>0</v>
      </c>
      <c r="AO334" s="18">
        <v>0</v>
      </c>
      <c r="AP334" s="18">
        <v>0</v>
      </c>
      <c r="AQ334" s="18">
        <v>0</v>
      </c>
      <c r="AR334" s="18">
        <v>0</v>
      </c>
      <c r="AS334" s="18">
        <v>0</v>
      </c>
      <c r="AT334" s="18">
        <v>0</v>
      </c>
      <c r="AU334" s="18">
        <v>0</v>
      </c>
      <c r="AV334" s="18">
        <v>0</v>
      </c>
      <c r="AW334" s="18">
        <v>0</v>
      </c>
      <c r="AX334" s="18">
        <v>0</v>
      </c>
      <c r="AY334" s="18">
        <v>0</v>
      </c>
      <c r="AZ334" s="18">
        <v>0</v>
      </c>
      <c r="BA334" s="18">
        <v>0</v>
      </c>
      <c r="BB334" s="18">
        <v>0</v>
      </c>
      <c r="BC334" s="18">
        <v>0</v>
      </c>
      <c r="BD334" s="18">
        <v>0</v>
      </c>
      <c r="BE334" s="18">
        <v>0</v>
      </c>
      <c r="BF334" s="18">
        <v>0</v>
      </c>
      <c r="BG334" s="18">
        <v>0</v>
      </c>
      <c r="BH334" s="18">
        <v>0</v>
      </c>
      <c r="BI334" s="18">
        <v>0</v>
      </c>
      <c r="BJ334" s="18">
        <v>0</v>
      </c>
      <c r="BK334" s="18">
        <v>0</v>
      </c>
      <c r="BL334" s="18">
        <v>0</v>
      </c>
      <c r="BM334" s="18">
        <v>0</v>
      </c>
      <c r="BN334" s="18">
        <v>0</v>
      </c>
      <c r="BO334" s="18">
        <v>0</v>
      </c>
      <c r="BP334" s="18">
        <v>0</v>
      </c>
      <c r="BQ334" s="18">
        <v>0</v>
      </c>
      <c r="BR334" s="101"/>
      <c r="BS334">
        <f t="shared" si="638"/>
        <v>0</v>
      </c>
      <c r="BT334">
        <f t="shared" si="638"/>
        <v>0</v>
      </c>
      <c r="BU334">
        <f t="shared" si="638"/>
        <v>0</v>
      </c>
      <c r="BV334">
        <f t="shared" si="638"/>
        <v>0</v>
      </c>
      <c r="BW334">
        <f t="shared" si="638"/>
        <v>0</v>
      </c>
      <c r="BX334">
        <f t="shared" si="638"/>
        <v>0</v>
      </c>
      <c r="BY334">
        <f t="shared" si="638"/>
        <v>0</v>
      </c>
      <c r="BZ334">
        <f t="shared" si="638"/>
        <v>0</v>
      </c>
      <c r="CA334">
        <f t="shared" si="638"/>
        <v>0</v>
      </c>
      <c r="CB334">
        <f t="shared" si="638"/>
        <v>0</v>
      </c>
      <c r="CC334">
        <f t="shared" si="639"/>
        <v>0</v>
      </c>
      <c r="CD334">
        <f t="shared" si="639"/>
        <v>0</v>
      </c>
      <c r="CE334">
        <f t="shared" si="639"/>
        <v>0</v>
      </c>
      <c r="CF334">
        <f t="shared" si="639"/>
        <v>0</v>
      </c>
      <c r="CG334">
        <f t="shared" si="639"/>
        <v>0</v>
      </c>
      <c r="CH334">
        <f t="shared" si="639"/>
        <v>0</v>
      </c>
      <c r="CI334">
        <f t="shared" si="639"/>
        <v>0</v>
      </c>
      <c r="CJ334">
        <f t="shared" si="639"/>
        <v>0</v>
      </c>
      <c r="CK334">
        <f t="shared" si="639"/>
        <v>0</v>
      </c>
      <c r="CL334">
        <f t="shared" si="639"/>
        <v>0</v>
      </c>
      <c r="CM334">
        <f t="shared" si="640"/>
        <v>0</v>
      </c>
      <c r="CN334">
        <f t="shared" si="640"/>
        <v>0</v>
      </c>
      <c r="CO334">
        <f t="shared" si="640"/>
        <v>0</v>
      </c>
      <c r="CP334">
        <f t="shared" si="640"/>
        <v>0</v>
      </c>
      <c r="CQ334">
        <f t="shared" si="640"/>
        <v>0</v>
      </c>
      <c r="CR334">
        <f t="shared" si="640"/>
        <v>0</v>
      </c>
      <c r="CS334">
        <f t="shared" si="640"/>
        <v>0</v>
      </c>
      <c r="CT334">
        <f t="shared" si="640"/>
        <v>0</v>
      </c>
      <c r="CU334">
        <f t="shared" si="640"/>
        <v>0</v>
      </c>
      <c r="CV334">
        <f t="shared" si="640"/>
        <v>0</v>
      </c>
      <c r="CW334">
        <f t="shared" si="641"/>
        <v>0</v>
      </c>
      <c r="CX334">
        <f t="shared" si="641"/>
        <v>0</v>
      </c>
      <c r="CY334">
        <f t="shared" si="641"/>
        <v>0</v>
      </c>
      <c r="CZ334">
        <f t="shared" si="641"/>
        <v>0</v>
      </c>
      <c r="DA334">
        <f t="shared" si="641"/>
        <v>0</v>
      </c>
      <c r="DB334">
        <f t="shared" si="641"/>
        <v>0</v>
      </c>
      <c r="DC334">
        <f t="shared" si="641"/>
        <v>0</v>
      </c>
      <c r="DD334">
        <f t="shared" si="641"/>
        <v>0</v>
      </c>
      <c r="DE334">
        <f t="shared" si="641"/>
        <v>0</v>
      </c>
      <c r="DF334">
        <f t="shared" si="641"/>
        <v>0</v>
      </c>
      <c r="DG334">
        <f t="shared" si="642"/>
        <v>0</v>
      </c>
      <c r="DH334">
        <f t="shared" si="642"/>
        <v>0</v>
      </c>
      <c r="DI334">
        <f t="shared" si="642"/>
        <v>0</v>
      </c>
      <c r="DJ334">
        <f t="shared" si="642"/>
        <v>0</v>
      </c>
      <c r="DK334">
        <f t="shared" si="642"/>
        <v>0</v>
      </c>
      <c r="DL334">
        <f t="shared" si="642"/>
        <v>0</v>
      </c>
      <c r="DM334">
        <f t="shared" si="642"/>
        <v>0</v>
      </c>
      <c r="DN334">
        <f t="shared" si="642"/>
        <v>0</v>
      </c>
      <c r="DO334">
        <f t="shared" si="642"/>
        <v>0</v>
      </c>
      <c r="DP334">
        <f t="shared" si="642"/>
        <v>0</v>
      </c>
      <c r="DQ334">
        <f t="shared" si="643"/>
        <v>0</v>
      </c>
      <c r="DR334">
        <f t="shared" si="643"/>
        <v>0</v>
      </c>
      <c r="DS334">
        <f t="shared" si="643"/>
        <v>0</v>
      </c>
      <c r="DT334">
        <f t="shared" si="643"/>
        <v>0</v>
      </c>
      <c r="DU334">
        <f t="shared" si="643"/>
        <v>0</v>
      </c>
      <c r="DV334">
        <f t="shared" si="643"/>
        <v>0</v>
      </c>
      <c r="DW334">
        <f t="shared" si="643"/>
        <v>0</v>
      </c>
      <c r="DX334">
        <f t="shared" si="643"/>
        <v>0</v>
      </c>
      <c r="DY334">
        <f t="shared" si="643"/>
        <v>0</v>
      </c>
      <c r="DZ334">
        <f t="shared" si="643"/>
        <v>0</v>
      </c>
      <c r="EA334">
        <f t="shared" si="644"/>
        <v>0</v>
      </c>
      <c r="EB334">
        <f t="shared" si="644"/>
        <v>0</v>
      </c>
      <c r="EC334">
        <f t="shared" si="644"/>
        <v>0</v>
      </c>
      <c r="ED334">
        <f t="shared" si="644"/>
        <v>0</v>
      </c>
      <c r="EE334">
        <f t="shared" si="644"/>
        <v>0</v>
      </c>
      <c r="EF334">
        <f t="shared" si="644"/>
        <v>0</v>
      </c>
    </row>
    <row r="335" spans="1:136" ht="15.5">
      <c r="A335" s="93"/>
      <c r="B335" s="53" t="s">
        <v>3</v>
      </c>
      <c r="C335" s="94"/>
      <c r="D335" s="18">
        <v>0</v>
      </c>
      <c r="E335" s="18">
        <v>0</v>
      </c>
      <c r="F335" s="18">
        <v>3</v>
      </c>
      <c r="G335" s="18">
        <v>0</v>
      </c>
      <c r="H335" s="18">
        <v>0</v>
      </c>
      <c r="I335" s="18">
        <v>3</v>
      </c>
      <c r="J335" s="18">
        <v>0</v>
      </c>
      <c r="K335" s="18">
        <v>0</v>
      </c>
      <c r="L335" s="18">
        <v>0</v>
      </c>
      <c r="M335" s="18">
        <v>0</v>
      </c>
      <c r="N335" s="18">
        <v>0</v>
      </c>
      <c r="O335" s="18">
        <v>6.0000000000000001E-3</v>
      </c>
      <c r="P335" s="18">
        <v>0</v>
      </c>
      <c r="Q335" s="18">
        <v>0</v>
      </c>
      <c r="R335" s="18">
        <v>0</v>
      </c>
      <c r="S335" s="18">
        <v>0</v>
      </c>
      <c r="T335" s="18">
        <v>0</v>
      </c>
      <c r="U335" s="18">
        <v>0.61499999999999999</v>
      </c>
      <c r="V335" s="18">
        <v>0.90300000000000002</v>
      </c>
      <c r="W335" s="18">
        <v>1.0999999999999999E-2</v>
      </c>
      <c r="X335" s="18">
        <v>0.75700000000000001</v>
      </c>
      <c r="Y335" s="18">
        <v>24.886000000000003</v>
      </c>
      <c r="Z335" s="18">
        <v>58.161000000000001</v>
      </c>
      <c r="AA335" s="40" t="s">
        <v>16</v>
      </c>
      <c r="AB335" s="18">
        <v>80.849999999999994</v>
      </c>
      <c r="AC335" s="40" t="s">
        <v>16</v>
      </c>
      <c r="AD335" s="18">
        <v>33.783999999999999</v>
      </c>
      <c r="AE335" s="18">
        <v>178.13800000000001</v>
      </c>
      <c r="AF335" s="18">
        <v>227.822</v>
      </c>
      <c r="AG335" s="40" t="s">
        <v>16</v>
      </c>
      <c r="AH335" s="18">
        <v>498.5222435</v>
      </c>
      <c r="AI335" s="18">
        <f>225.7253141-AI334-AI333</f>
        <v>118.72531409999999</v>
      </c>
      <c r="AJ335" s="18">
        <f>37.0968633-AJ334</f>
        <v>27.096863300000003</v>
      </c>
      <c r="AK335" s="18">
        <f>24.6805716-AK334</f>
        <v>14.6805716</v>
      </c>
      <c r="AL335" s="18">
        <v>2.6312579999999999</v>
      </c>
      <c r="AM335" s="18">
        <v>2.6410345</v>
      </c>
      <c r="AN335" s="18">
        <v>2.12</v>
      </c>
      <c r="AO335" s="18">
        <v>1.552</v>
      </c>
      <c r="AP335" s="18">
        <v>1.6969999999999998E-4</v>
      </c>
      <c r="AQ335" s="18">
        <v>0</v>
      </c>
      <c r="AR335" s="18">
        <v>0</v>
      </c>
      <c r="AS335" s="18">
        <v>0</v>
      </c>
      <c r="AT335" s="18">
        <v>4.9660000000000003E-2</v>
      </c>
      <c r="AU335" s="18">
        <v>0.158</v>
      </c>
      <c r="AV335" s="18">
        <v>0</v>
      </c>
      <c r="AW335" s="18">
        <v>0</v>
      </c>
      <c r="AX335" s="18">
        <v>2.0236360000000002</v>
      </c>
      <c r="AY335" s="18">
        <v>9.8674999999999999E-2</v>
      </c>
      <c r="AZ335" s="18">
        <v>0.31130930000000001</v>
      </c>
      <c r="BA335" s="18">
        <v>0.30592840000000004</v>
      </c>
      <c r="BB335" s="18">
        <v>0.3371017</v>
      </c>
      <c r="BC335" s="18">
        <v>0.33784579999999997</v>
      </c>
      <c r="BD335" s="18">
        <v>0.34026899999999999</v>
      </c>
      <c r="BE335" s="18">
        <v>0.34487690000000004</v>
      </c>
      <c r="BF335" s="18">
        <v>0.32057209999999997</v>
      </c>
      <c r="BG335" s="18">
        <v>0</v>
      </c>
      <c r="BH335" s="18">
        <v>0</v>
      </c>
      <c r="BI335" s="18">
        <v>0</v>
      </c>
      <c r="BJ335" s="113">
        <v>0</v>
      </c>
      <c r="BK335" s="113">
        <v>0</v>
      </c>
      <c r="BL335" s="113">
        <v>0</v>
      </c>
      <c r="BM335" s="113">
        <v>0</v>
      </c>
      <c r="BN335" s="113">
        <v>0</v>
      </c>
      <c r="BO335" s="113">
        <v>0</v>
      </c>
      <c r="BP335" s="113">
        <v>0</v>
      </c>
      <c r="BQ335" s="113">
        <v>0</v>
      </c>
      <c r="BR335" s="101"/>
      <c r="BS335">
        <f t="shared" si="638"/>
        <v>0</v>
      </c>
      <c r="BT335">
        <f t="shared" si="638"/>
        <v>0</v>
      </c>
      <c r="BU335">
        <f t="shared" si="638"/>
        <v>0</v>
      </c>
      <c r="BV335">
        <f t="shared" si="638"/>
        <v>0</v>
      </c>
      <c r="BW335">
        <f t="shared" si="638"/>
        <v>0</v>
      </c>
      <c r="BX335">
        <f t="shared" si="638"/>
        <v>0</v>
      </c>
      <c r="BY335">
        <f t="shared" si="638"/>
        <v>0</v>
      </c>
      <c r="BZ335">
        <f t="shared" si="638"/>
        <v>0</v>
      </c>
      <c r="CA335">
        <f t="shared" si="638"/>
        <v>0</v>
      </c>
      <c r="CB335">
        <f t="shared" si="638"/>
        <v>0</v>
      </c>
      <c r="CC335">
        <f t="shared" si="639"/>
        <v>0</v>
      </c>
      <c r="CD335">
        <f t="shared" si="639"/>
        <v>0</v>
      </c>
      <c r="CE335">
        <f t="shared" si="639"/>
        <v>0</v>
      </c>
      <c r="CF335">
        <f t="shared" si="639"/>
        <v>0</v>
      </c>
      <c r="CG335">
        <f t="shared" si="639"/>
        <v>0</v>
      </c>
      <c r="CH335">
        <f t="shared" si="639"/>
        <v>0</v>
      </c>
      <c r="CI335">
        <f t="shared" si="639"/>
        <v>0</v>
      </c>
      <c r="CJ335">
        <f t="shared" si="639"/>
        <v>0</v>
      </c>
      <c r="CK335">
        <f t="shared" si="639"/>
        <v>0</v>
      </c>
      <c r="CL335">
        <f t="shared" si="639"/>
        <v>0</v>
      </c>
      <c r="CM335">
        <f t="shared" si="640"/>
        <v>0</v>
      </c>
      <c r="CN335">
        <f t="shared" si="640"/>
        <v>0</v>
      </c>
      <c r="CO335">
        <f t="shared" si="640"/>
        <v>0</v>
      </c>
      <c r="CP335">
        <f t="shared" si="640"/>
        <v>0</v>
      </c>
      <c r="CQ335">
        <f t="shared" si="640"/>
        <v>0</v>
      </c>
      <c r="CR335">
        <f t="shared" si="640"/>
        <v>0</v>
      </c>
      <c r="CS335">
        <f t="shared" si="640"/>
        <v>0</v>
      </c>
      <c r="CT335">
        <f t="shared" si="640"/>
        <v>0</v>
      </c>
      <c r="CU335">
        <f t="shared" si="640"/>
        <v>0</v>
      </c>
      <c r="CV335">
        <f t="shared" si="640"/>
        <v>0</v>
      </c>
      <c r="CW335">
        <f t="shared" si="641"/>
        <v>0</v>
      </c>
      <c r="CX335">
        <f t="shared" si="641"/>
        <v>0</v>
      </c>
      <c r="CY335">
        <f t="shared" si="641"/>
        <v>0</v>
      </c>
      <c r="CZ335">
        <f t="shared" si="641"/>
        <v>0</v>
      </c>
      <c r="DA335">
        <f t="shared" si="641"/>
        <v>0</v>
      </c>
      <c r="DB335">
        <f t="shared" si="641"/>
        <v>0</v>
      </c>
      <c r="DC335">
        <f t="shared" si="641"/>
        <v>0</v>
      </c>
      <c r="DD335">
        <f t="shared" si="641"/>
        <v>0</v>
      </c>
      <c r="DE335">
        <f t="shared" si="641"/>
        <v>0</v>
      </c>
      <c r="DF335">
        <f t="shared" si="641"/>
        <v>0</v>
      </c>
      <c r="DG335">
        <f t="shared" si="642"/>
        <v>0</v>
      </c>
      <c r="DH335">
        <f t="shared" si="642"/>
        <v>0</v>
      </c>
      <c r="DI335">
        <f t="shared" si="642"/>
        <v>0</v>
      </c>
      <c r="DJ335">
        <f t="shared" si="642"/>
        <v>0</v>
      </c>
      <c r="DK335">
        <f t="shared" si="642"/>
        <v>0</v>
      </c>
      <c r="DL335">
        <f t="shared" si="642"/>
        <v>0</v>
      </c>
      <c r="DM335">
        <f t="shared" si="642"/>
        <v>0</v>
      </c>
      <c r="DN335">
        <f t="shared" si="642"/>
        <v>0</v>
      </c>
      <c r="DO335">
        <f t="shared" si="642"/>
        <v>0</v>
      </c>
      <c r="DP335">
        <f t="shared" si="642"/>
        <v>0</v>
      </c>
      <c r="DQ335">
        <f t="shared" si="643"/>
        <v>0</v>
      </c>
      <c r="DR335">
        <f t="shared" si="643"/>
        <v>0</v>
      </c>
      <c r="DS335">
        <f t="shared" si="643"/>
        <v>0</v>
      </c>
      <c r="DT335">
        <f t="shared" si="643"/>
        <v>0</v>
      </c>
      <c r="DU335">
        <f t="shared" si="643"/>
        <v>0</v>
      </c>
      <c r="DV335">
        <f t="shared" si="643"/>
        <v>0</v>
      </c>
      <c r="DW335">
        <f t="shared" si="643"/>
        <v>0</v>
      </c>
      <c r="DX335">
        <f t="shared" si="643"/>
        <v>0</v>
      </c>
      <c r="DY335">
        <f t="shared" si="643"/>
        <v>0</v>
      </c>
      <c r="DZ335">
        <f t="shared" si="643"/>
        <v>0</v>
      </c>
      <c r="EA335">
        <f t="shared" si="644"/>
        <v>0</v>
      </c>
      <c r="EB335">
        <f t="shared" si="644"/>
        <v>0</v>
      </c>
      <c r="EC335">
        <f t="shared" si="644"/>
        <v>0</v>
      </c>
      <c r="ED335">
        <f t="shared" si="644"/>
        <v>0</v>
      </c>
      <c r="EE335">
        <f t="shared" si="644"/>
        <v>0</v>
      </c>
      <c r="EF335">
        <f t="shared" si="644"/>
        <v>0</v>
      </c>
    </row>
    <row r="336" spans="1:136" ht="15.5">
      <c r="A336" s="93"/>
      <c r="B336" s="53" t="s">
        <v>18</v>
      </c>
      <c r="C336" s="94"/>
      <c r="D336" s="18">
        <v>0</v>
      </c>
      <c r="E336" s="18">
        <v>0</v>
      </c>
      <c r="F336" s="18">
        <v>0</v>
      </c>
      <c r="G336" s="18">
        <v>0</v>
      </c>
      <c r="H336" s="18">
        <v>0</v>
      </c>
      <c r="I336" s="18">
        <v>0</v>
      </c>
      <c r="J336" s="18">
        <v>0</v>
      </c>
      <c r="K336" s="18">
        <v>0</v>
      </c>
      <c r="L336" s="18">
        <v>0</v>
      </c>
      <c r="M336" s="18">
        <v>0</v>
      </c>
      <c r="N336" s="18">
        <v>0</v>
      </c>
      <c r="O336" s="18">
        <v>0</v>
      </c>
      <c r="P336" s="18">
        <v>0</v>
      </c>
      <c r="Q336" s="18">
        <v>0</v>
      </c>
      <c r="R336" s="18">
        <v>0</v>
      </c>
      <c r="S336" s="18">
        <v>0</v>
      </c>
      <c r="T336" s="18">
        <v>0</v>
      </c>
      <c r="U336" s="18">
        <v>0</v>
      </c>
      <c r="V336" s="18">
        <v>0</v>
      </c>
      <c r="W336" s="18">
        <v>0</v>
      </c>
      <c r="X336" s="18">
        <v>0</v>
      </c>
      <c r="Y336" s="18">
        <v>261</v>
      </c>
      <c r="Z336" s="18">
        <v>865</v>
      </c>
      <c r="AA336" s="18">
        <v>609</v>
      </c>
      <c r="AB336" s="18">
        <v>138</v>
      </c>
      <c r="AC336" s="18">
        <v>440</v>
      </c>
      <c r="AD336" s="18">
        <v>1753</v>
      </c>
      <c r="AE336" s="18">
        <v>2058</v>
      </c>
      <c r="AF336" s="18">
        <v>2300</v>
      </c>
      <c r="AG336" s="18">
        <v>1570</v>
      </c>
      <c r="AH336" s="18">
        <v>1384</v>
      </c>
      <c r="AI336" s="18">
        <v>0</v>
      </c>
      <c r="AJ336" s="18">
        <v>0</v>
      </c>
      <c r="AK336" s="18">
        <v>0</v>
      </c>
      <c r="AL336" s="18">
        <v>0</v>
      </c>
      <c r="AM336" s="18">
        <v>0</v>
      </c>
      <c r="AN336" s="18">
        <v>0</v>
      </c>
      <c r="AO336" s="18">
        <v>0</v>
      </c>
      <c r="AP336" s="18">
        <v>0</v>
      </c>
      <c r="AQ336" s="18">
        <v>0</v>
      </c>
      <c r="AR336" s="18">
        <v>0</v>
      </c>
      <c r="AS336" s="18">
        <v>0</v>
      </c>
      <c r="AT336" s="18">
        <v>0</v>
      </c>
      <c r="AU336" s="18">
        <v>0</v>
      </c>
      <c r="AV336" s="18">
        <v>0</v>
      </c>
      <c r="AW336" s="18">
        <v>0</v>
      </c>
      <c r="AX336" s="18">
        <v>0</v>
      </c>
      <c r="AY336" s="18">
        <v>0</v>
      </c>
      <c r="AZ336" s="18">
        <v>0</v>
      </c>
      <c r="BA336" s="18">
        <v>0</v>
      </c>
      <c r="BB336" s="18">
        <v>0</v>
      </c>
      <c r="BC336" s="18">
        <v>0</v>
      </c>
      <c r="BD336" s="18">
        <v>0</v>
      </c>
      <c r="BE336" s="18">
        <v>0</v>
      </c>
      <c r="BF336" s="18">
        <v>0</v>
      </c>
      <c r="BG336" s="18">
        <v>0</v>
      </c>
      <c r="BH336" s="18">
        <v>0</v>
      </c>
      <c r="BI336" s="18">
        <v>0</v>
      </c>
      <c r="BJ336" s="113">
        <v>0</v>
      </c>
      <c r="BK336" s="113">
        <v>0</v>
      </c>
      <c r="BL336" s="113">
        <v>0</v>
      </c>
      <c r="BM336" s="113">
        <v>0</v>
      </c>
      <c r="BN336" s="113">
        <v>0</v>
      </c>
      <c r="BO336" s="113">
        <v>0</v>
      </c>
      <c r="BP336" s="113">
        <v>0</v>
      </c>
      <c r="BQ336" s="113">
        <v>0</v>
      </c>
      <c r="BR336" s="101"/>
      <c r="BS336">
        <f t="shared" si="638"/>
        <v>0</v>
      </c>
      <c r="BT336">
        <f t="shared" si="638"/>
        <v>0</v>
      </c>
      <c r="BU336">
        <f t="shared" si="638"/>
        <v>0</v>
      </c>
      <c r="BV336">
        <f t="shared" si="638"/>
        <v>0</v>
      </c>
      <c r="BW336">
        <f t="shared" si="638"/>
        <v>0</v>
      </c>
      <c r="BX336">
        <f t="shared" si="638"/>
        <v>0</v>
      </c>
      <c r="BY336">
        <f t="shared" si="638"/>
        <v>0</v>
      </c>
      <c r="BZ336">
        <f t="shared" si="638"/>
        <v>0</v>
      </c>
      <c r="CA336">
        <f t="shared" si="638"/>
        <v>0</v>
      </c>
      <c r="CB336">
        <f t="shared" si="638"/>
        <v>0</v>
      </c>
      <c r="CC336">
        <f t="shared" si="639"/>
        <v>0</v>
      </c>
      <c r="CD336">
        <f t="shared" si="639"/>
        <v>0</v>
      </c>
      <c r="CE336">
        <f t="shared" si="639"/>
        <v>0</v>
      </c>
      <c r="CF336">
        <f t="shared" si="639"/>
        <v>0</v>
      </c>
      <c r="CG336">
        <f t="shared" si="639"/>
        <v>0</v>
      </c>
      <c r="CH336">
        <f t="shared" si="639"/>
        <v>0</v>
      </c>
      <c r="CI336">
        <f t="shared" si="639"/>
        <v>0</v>
      </c>
      <c r="CJ336">
        <f t="shared" si="639"/>
        <v>0</v>
      </c>
      <c r="CK336">
        <f t="shared" si="639"/>
        <v>0</v>
      </c>
      <c r="CL336">
        <f t="shared" si="639"/>
        <v>0</v>
      </c>
      <c r="CM336">
        <f t="shared" si="640"/>
        <v>0</v>
      </c>
      <c r="CN336">
        <f t="shared" si="640"/>
        <v>0</v>
      </c>
      <c r="CO336">
        <f t="shared" si="640"/>
        <v>0</v>
      </c>
      <c r="CP336">
        <f t="shared" si="640"/>
        <v>0</v>
      </c>
      <c r="CQ336">
        <f t="shared" si="640"/>
        <v>0</v>
      </c>
      <c r="CR336">
        <f t="shared" si="640"/>
        <v>0</v>
      </c>
      <c r="CS336">
        <f t="shared" si="640"/>
        <v>0</v>
      </c>
      <c r="CT336">
        <f t="shared" si="640"/>
        <v>0</v>
      </c>
      <c r="CU336">
        <f t="shared" si="640"/>
        <v>0</v>
      </c>
      <c r="CV336">
        <f t="shared" si="640"/>
        <v>0</v>
      </c>
      <c r="CW336">
        <f t="shared" si="641"/>
        <v>0</v>
      </c>
      <c r="CX336">
        <f t="shared" si="641"/>
        <v>0</v>
      </c>
      <c r="CY336">
        <f t="shared" si="641"/>
        <v>0</v>
      </c>
      <c r="CZ336">
        <f t="shared" si="641"/>
        <v>0</v>
      </c>
      <c r="DA336">
        <f t="shared" si="641"/>
        <v>0</v>
      </c>
      <c r="DB336">
        <f t="shared" si="641"/>
        <v>0</v>
      </c>
      <c r="DC336">
        <f t="shared" si="641"/>
        <v>0</v>
      </c>
      <c r="DD336">
        <f t="shared" si="641"/>
        <v>0</v>
      </c>
      <c r="DE336">
        <f t="shared" si="641"/>
        <v>0</v>
      </c>
      <c r="DF336">
        <f t="shared" si="641"/>
        <v>0</v>
      </c>
      <c r="DG336">
        <f t="shared" si="642"/>
        <v>0</v>
      </c>
      <c r="DH336">
        <f t="shared" si="642"/>
        <v>0</v>
      </c>
      <c r="DI336">
        <f t="shared" si="642"/>
        <v>0</v>
      </c>
      <c r="DJ336">
        <f t="shared" si="642"/>
        <v>0</v>
      </c>
      <c r="DK336">
        <f t="shared" si="642"/>
        <v>0</v>
      </c>
      <c r="DL336">
        <f t="shared" si="642"/>
        <v>0</v>
      </c>
      <c r="DM336">
        <f t="shared" si="642"/>
        <v>0</v>
      </c>
      <c r="DN336">
        <f t="shared" si="642"/>
        <v>0</v>
      </c>
      <c r="DO336">
        <f t="shared" si="642"/>
        <v>0</v>
      </c>
      <c r="DP336">
        <f t="shared" si="642"/>
        <v>0</v>
      </c>
      <c r="DQ336">
        <f t="shared" si="643"/>
        <v>0</v>
      </c>
      <c r="DR336">
        <f t="shared" si="643"/>
        <v>0</v>
      </c>
      <c r="DS336">
        <f t="shared" si="643"/>
        <v>0</v>
      </c>
      <c r="DT336">
        <f t="shared" si="643"/>
        <v>0</v>
      </c>
      <c r="DU336">
        <f t="shared" si="643"/>
        <v>0</v>
      </c>
      <c r="DV336">
        <f t="shared" si="643"/>
        <v>0</v>
      </c>
      <c r="DW336">
        <f t="shared" si="643"/>
        <v>0</v>
      </c>
      <c r="DX336">
        <f t="shared" si="643"/>
        <v>0</v>
      </c>
      <c r="DY336">
        <f t="shared" si="643"/>
        <v>0</v>
      </c>
      <c r="DZ336">
        <f t="shared" si="643"/>
        <v>0</v>
      </c>
      <c r="EA336">
        <f t="shared" si="644"/>
        <v>0</v>
      </c>
      <c r="EB336">
        <f t="shared" si="644"/>
        <v>0</v>
      </c>
      <c r="EC336">
        <f t="shared" si="644"/>
        <v>0</v>
      </c>
      <c r="ED336">
        <f t="shared" si="644"/>
        <v>0</v>
      </c>
      <c r="EE336">
        <f t="shared" si="644"/>
        <v>0</v>
      </c>
      <c r="EF336">
        <f t="shared" si="644"/>
        <v>0</v>
      </c>
    </row>
    <row r="337" spans="1:136" ht="15.5">
      <c r="A337" s="93"/>
      <c r="B337" s="53" t="s">
        <v>25</v>
      </c>
      <c r="C337" s="94"/>
      <c r="D337" s="18">
        <v>0</v>
      </c>
      <c r="E337" s="18">
        <v>0</v>
      </c>
      <c r="F337" s="18">
        <v>0</v>
      </c>
      <c r="G337" s="18">
        <v>0</v>
      </c>
      <c r="H337" s="18">
        <v>0</v>
      </c>
      <c r="I337" s="18">
        <v>0</v>
      </c>
      <c r="J337" s="18">
        <v>0</v>
      </c>
      <c r="K337" s="18">
        <v>0</v>
      </c>
      <c r="L337" s="18">
        <v>0</v>
      </c>
      <c r="M337" s="18">
        <v>0</v>
      </c>
      <c r="N337" s="18">
        <v>0</v>
      </c>
      <c r="O337" s="18">
        <v>0</v>
      </c>
      <c r="P337" s="18">
        <v>0</v>
      </c>
      <c r="Q337" s="18">
        <v>0</v>
      </c>
      <c r="R337" s="18">
        <v>0</v>
      </c>
      <c r="S337" s="18">
        <v>0</v>
      </c>
      <c r="T337" s="18">
        <v>0</v>
      </c>
      <c r="U337" s="18">
        <v>0</v>
      </c>
      <c r="V337" s="18">
        <v>0</v>
      </c>
      <c r="W337" s="18">
        <v>0</v>
      </c>
      <c r="X337" s="18">
        <v>0</v>
      </c>
      <c r="Y337" s="18">
        <v>0</v>
      </c>
      <c r="Z337" s="18">
        <v>0</v>
      </c>
      <c r="AA337" s="18">
        <v>0</v>
      </c>
      <c r="AB337" s="18">
        <v>90</v>
      </c>
      <c r="AC337" s="18">
        <v>112</v>
      </c>
      <c r="AD337" s="18">
        <v>0</v>
      </c>
      <c r="AE337" s="18">
        <v>0</v>
      </c>
      <c r="AF337" s="18">
        <v>0</v>
      </c>
      <c r="AG337" s="18">
        <v>0</v>
      </c>
      <c r="AH337" s="18">
        <v>0</v>
      </c>
      <c r="AI337" s="18">
        <v>0</v>
      </c>
      <c r="AJ337" s="18">
        <v>0</v>
      </c>
      <c r="AK337" s="18">
        <v>0</v>
      </c>
      <c r="AL337" s="18">
        <v>0</v>
      </c>
      <c r="AM337" s="18">
        <v>0</v>
      </c>
      <c r="AN337" s="18">
        <v>0</v>
      </c>
      <c r="AO337" s="18">
        <v>0</v>
      </c>
      <c r="AP337" s="18">
        <v>0</v>
      </c>
      <c r="AQ337" s="18">
        <v>0</v>
      </c>
      <c r="AR337" s="18">
        <v>0</v>
      </c>
      <c r="AS337" s="18">
        <v>0</v>
      </c>
      <c r="AT337" s="18">
        <v>0</v>
      </c>
      <c r="AU337" s="18">
        <v>0</v>
      </c>
      <c r="AV337" s="18">
        <v>0</v>
      </c>
      <c r="AW337" s="18">
        <v>0</v>
      </c>
      <c r="AX337" s="18">
        <v>0</v>
      </c>
      <c r="AY337" s="18">
        <v>0</v>
      </c>
      <c r="AZ337" s="18">
        <v>0</v>
      </c>
      <c r="BA337" s="18">
        <v>0</v>
      </c>
      <c r="BB337" s="18">
        <v>0</v>
      </c>
      <c r="BC337" s="18">
        <v>0</v>
      </c>
      <c r="BD337" s="18">
        <v>0</v>
      </c>
      <c r="BE337" s="18">
        <v>0</v>
      </c>
      <c r="BF337" s="18">
        <v>0</v>
      </c>
      <c r="BG337" s="18">
        <v>0</v>
      </c>
      <c r="BH337" s="18">
        <v>0</v>
      </c>
      <c r="BI337" s="18">
        <v>0</v>
      </c>
      <c r="BJ337" s="113">
        <v>0</v>
      </c>
      <c r="BK337" s="113">
        <v>0</v>
      </c>
      <c r="BL337" s="113">
        <v>0</v>
      </c>
      <c r="BM337" s="113">
        <v>0</v>
      </c>
      <c r="BN337" s="113">
        <v>0</v>
      </c>
      <c r="BO337" s="113">
        <v>0</v>
      </c>
      <c r="BP337" s="113">
        <v>0</v>
      </c>
      <c r="BQ337" s="113">
        <v>0</v>
      </c>
      <c r="BR337" s="101"/>
      <c r="BS337">
        <f t="shared" si="638"/>
        <v>0</v>
      </c>
      <c r="BT337">
        <f t="shared" si="638"/>
        <v>0</v>
      </c>
      <c r="BU337">
        <f t="shared" si="638"/>
        <v>0</v>
      </c>
      <c r="BV337">
        <f t="shared" si="638"/>
        <v>0</v>
      </c>
      <c r="BW337">
        <f t="shared" si="638"/>
        <v>0</v>
      </c>
      <c r="BX337">
        <f t="shared" si="638"/>
        <v>0</v>
      </c>
      <c r="BY337">
        <f t="shared" si="638"/>
        <v>0</v>
      </c>
      <c r="BZ337">
        <f t="shared" si="638"/>
        <v>0</v>
      </c>
      <c r="CA337">
        <f t="shared" si="638"/>
        <v>0</v>
      </c>
      <c r="CB337">
        <f t="shared" si="638"/>
        <v>0</v>
      </c>
      <c r="CC337">
        <f t="shared" si="639"/>
        <v>0</v>
      </c>
      <c r="CD337">
        <f t="shared" si="639"/>
        <v>0</v>
      </c>
      <c r="CE337">
        <f t="shared" si="639"/>
        <v>0</v>
      </c>
      <c r="CF337">
        <f t="shared" si="639"/>
        <v>0</v>
      </c>
      <c r="CG337">
        <f t="shared" si="639"/>
        <v>0</v>
      </c>
      <c r="CH337">
        <f t="shared" si="639"/>
        <v>0</v>
      </c>
      <c r="CI337">
        <f t="shared" si="639"/>
        <v>0</v>
      </c>
      <c r="CJ337">
        <f t="shared" si="639"/>
        <v>0</v>
      </c>
      <c r="CK337">
        <f t="shared" si="639"/>
        <v>0</v>
      </c>
      <c r="CL337">
        <f t="shared" si="639"/>
        <v>0</v>
      </c>
      <c r="CM337">
        <f t="shared" si="640"/>
        <v>0</v>
      </c>
      <c r="CN337">
        <f t="shared" si="640"/>
        <v>0</v>
      </c>
      <c r="CO337">
        <f t="shared" si="640"/>
        <v>0</v>
      </c>
      <c r="CP337">
        <f t="shared" si="640"/>
        <v>0</v>
      </c>
      <c r="CQ337">
        <f t="shared" si="640"/>
        <v>0</v>
      </c>
      <c r="CR337">
        <f t="shared" si="640"/>
        <v>0</v>
      </c>
      <c r="CS337">
        <f t="shared" si="640"/>
        <v>0</v>
      </c>
      <c r="CT337">
        <f t="shared" si="640"/>
        <v>0</v>
      </c>
      <c r="CU337">
        <f t="shared" si="640"/>
        <v>0</v>
      </c>
      <c r="CV337">
        <f t="shared" si="640"/>
        <v>0</v>
      </c>
      <c r="CW337">
        <f t="shared" si="641"/>
        <v>0</v>
      </c>
      <c r="CX337">
        <f t="shared" si="641"/>
        <v>0</v>
      </c>
      <c r="CY337">
        <f t="shared" si="641"/>
        <v>0</v>
      </c>
      <c r="CZ337">
        <f t="shared" si="641"/>
        <v>0</v>
      </c>
      <c r="DA337">
        <f t="shared" si="641"/>
        <v>0</v>
      </c>
      <c r="DB337">
        <f t="shared" si="641"/>
        <v>0</v>
      </c>
      <c r="DC337">
        <f t="shared" si="641"/>
        <v>0</v>
      </c>
      <c r="DD337">
        <f t="shared" si="641"/>
        <v>0</v>
      </c>
      <c r="DE337">
        <f t="shared" si="641"/>
        <v>0</v>
      </c>
      <c r="DF337">
        <f t="shared" si="641"/>
        <v>0</v>
      </c>
      <c r="DG337">
        <f t="shared" si="642"/>
        <v>0</v>
      </c>
      <c r="DH337">
        <f t="shared" si="642"/>
        <v>0</v>
      </c>
      <c r="DI337">
        <f t="shared" si="642"/>
        <v>0</v>
      </c>
      <c r="DJ337">
        <f t="shared" si="642"/>
        <v>0</v>
      </c>
      <c r="DK337">
        <f t="shared" si="642"/>
        <v>0</v>
      </c>
      <c r="DL337">
        <f t="shared" si="642"/>
        <v>0</v>
      </c>
      <c r="DM337">
        <f t="shared" si="642"/>
        <v>0</v>
      </c>
      <c r="DN337">
        <f t="shared" si="642"/>
        <v>0</v>
      </c>
      <c r="DO337">
        <f t="shared" si="642"/>
        <v>0</v>
      </c>
      <c r="DP337">
        <f t="shared" si="642"/>
        <v>0</v>
      </c>
      <c r="DQ337">
        <f t="shared" si="643"/>
        <v>0</v>
      </c>
      <c r="DR337">
        <f t="shared" si="643"/>
        <v>0</v>
      </c>
      <c r="DS337">
        <f t="shared" si="643"/>
        <v>0</v>
      </c>
      <c r="DT337">
        <f t="shared" si="643"/>
        <v>0</v>
      </c>
      <c r="DU337">
        <f t="shared" si="643"/>
        <v>0</v>
      </c>
      <c r="DV337">
        <f t="shared" si="643"/>
        <v>0</v>
      </c>
      <c r="DW337">
        <f t="shared" si="643"/>
        <v>0</v>
      </c>
      <c r="DX337">
        <f t="shared" si="643"/>
        <v>0</v>
      </c>
      <c r="DY337">
        <f t="shared" si="643"/>
        <v>0</v>
      </c>
      <c r="DZ337">
        <f t="shared" si="643"/>
        <v>0</v>
      </c>
      <c r="EA337">
        <f t="shared" si="644"/>
        <v>0</v>
      </c>
      <c r="EB337">
        <f t="shared" si="644"/>
        <v>0</v>
      </c>
      <c r="EC337">
        <f t="shared" si="644"/>
        <v>0</v>
      </c>
      <c r="ED337">
        <f t="shared" si="644"/>
        <v>0</v>
      </c>
      <c r="EE337">
        <f t="shared" si="644"/>
        <v>0</v>
      </c>
      <c r="EF337">
        <f t="shared" si="644"/>
        <v>0</v>
      </c>
    </row>
    <row r="338" spans="1:136" ht="15.5">
      <c r="A338" s="93"/>
      <c r="B338" s="19" t="s">
        <v>208</v>
      </c>
      <c r="C338" s="94"/>
      <c r="D338" s="18">
        <v>0</v>
      </c>
      <c r="E338" s="18">
        <v>0</v>
      </c>
      <c r="F338" s="18">
        <v>0</v>
      </c>
      <c r="G338" s="18">
        <v>0</v>
      </c>
      <c r="H338" s="18">
        <v>0</v>
      </c>
      <c r="I338" s="18">
        <v>0</v>
      </c>
      <c r="J338" s="18">
        <v>0</v>
      </c>
      <c r="K338" s="18">
        <v>0</v>
      </c>
      <c r="L338" s="18">
        <v>0</v>
      </c>
      <c r="M338" s="18">
        <v>0</v>
      </c>
      <c r="N338" s="18">
        <v>0</v>
      </c>
      <c r="O338" s="18">
        <v>2E-3</v>
      </c>
      <c r="P338" s="18">
        <v>0</v>
      </c>
      <c r="Q338" s="18">
        <v>0.20900000000000002</v>
      </c>
      <c r="R338" s="18">
        <v>0</v>
      </c>
      <c r="S338" s="18">
        <v>0</v>
      </c>
      <c r="T338" s="18">
        <v>0</v>
      </c>
      <c r="U338" s="18">
        <v>0</v>
      </c>
      <c r="V338" s="18">
        <v>6.0000000000000001E-3</v>
      </c>
      <c r="W338" s="18">
        <v>6.0000000000000001E-3</v>
      </c>
      <c r="X338" s="18">
        <v>1.6589999999999998</v>
      </c>
      <c r="Y338" s="40" t="s">
        <v>16</v>
      </c>
      <c r="Z338" s="40" t="s">
        <v>16</v>
      </c>
      <c r="AA338" s="40" t="s">
        <v>16</v>
      </c>
      <c r="AB338" s="40" t="s">
        <v>16</v>
      </c>
      <c r="AC338" s="40" t="s">
        <v>16</v>
      </c>
      <c r="AD338" s="40" t="s">
        <v>16</v>
      </c>
      <c r="AE338" s="40" t="s">
        <v>16</v>
      </c>
      <c r="AF338" s="40" t="s">
        <v>16</v>
      </c>
      <c r="AG338" s="40" t="s">
        <v>16</v>
      </c>
      <c r="AH338" s="40" t="s">
        <v>16</v>
      </c>
      <c r="AI338" s="18">
        <v>34.50958</v>
      </c>
      <c r="AJ338" s="18">
        <v>23.037825899999998</v>
      </c>
      <c r="AK338" s="18">
        <v>11.948831800000001</v>
      </c>
      <c r="AL338" s="18">
        <v>6.2573065999999997</v>
      </c>
      <c r="AM338" s="18">
        <v>5.7690764999999997</v>
      </c>
      <c r="AN338" s="18">
        <v>4.4797237000000001</v>
      </c>
      <c r="AO338" s="18">
        <v>3.4513639</v>
      </c>
      <c r="AP338" s="18">
        <v>3.4359999999999999</v>
      </c>
      <c r="AQ338" s="18">
        <v>3.1240000000000001</v>
      </c>
      <c r="AR338" s="18">
        <v>3.1240000000000001</v>
      </c>
      <c r="AS338" s="18">
        <v>3.1019999999999999</v>
      </c>
      <c r="AT338" s="18">
        <v>0.16700000000000001</v>
      </c>
      <c r="AU338" s="18">
        <v>0.16700000000000001</v>
      </c>
      <c r="AV338" s="18">
        <v>0.16700000000000001</v>
      </c>
      <c r="AW338" s="18">
        <v>0</v>
      </c>
      <c r="AX338" s="18">
        <v>0</v>
      </c>
      <c r="AY338" s="18">
        <v>0</v>
      </c>
      <c r="AZ338" s="18">
        <v>0</v>
      </c>
      <c r="BA338" s="18">
        <v>0</v>
      </c>
      <c r="BB338" s="18">
        <v>0</v>
      </c>
      <c r="BC338" s="18">
        <v>0</v>
      </c>
      <c r="BD338" s="18">
        <v>0</v>
      </c>
      <c r="BE338" s="18">
        <v>0</v>
      </c>
      <c r="BF338" s="18">
        <v>0</v>
      </c>
      <c r="BG338" s="18">
        <v>0</v>
      </c>
      <c r="BH338" s="18">
        <v>0</v>
      </c>
      <c r="BI338" s="18">
        <v>0</v>
      </c>
      <c r="BJ338" s="113">
        <v>0</v>
      </c>
      <c r="BK338" s="113">
        <v>0</v>
      </c>
      <c r="BL338" s="113">
        <v>0</v>
      </c>
      <c r="BM338" s="113">
        <v>0</v>
      </c>
      <c r="BN338" s="113">
        <v>0</v>
      </c>
      <c r="BO338" s="113">
        <v>0</v>
      </c>
      <c r="BP338" s="113">
        <v>0</v>
      </c>
      <c r="BQ338" s="113">
        <v>0</v>
      </c>
      <c r="BR338" s="101"/>
      <c r="BS338">
        <f t="shared" si="638"/>
        <v>0</v>
      </c>
      <c r="BT338">
        <f t="shared" si="638"/>
        <v>0</v>
      </c>
      <c r="BU338">
        <f t="shared" si="638"/>
        <v>0</v>
      </c>
      <c r="BV338">
        <f t="shared" si="638"/>
        <v>0</v>
      </c>
      <c r="BW338">
        <f t="shared" si="638"/>
        <v>0</v>
      </c>
      <c r="BX338">
        <f t="shared" si="638"/>
        <v>0</v>
      </c>
      <c r="BY338">
        <f t="shared" si="638"/>
        <v>0</v>
      </c>
      <c r="BZ338">
        <f t="shared" si="638"/>
        <v>0</v>
      </c>
      <c r="CA338">
        <f t="shared" si="638"/>
        <v>0</v>
      </c>
      <c r="CB338">
        <f t="shared" si="638"/>
        <v>0</v>
      </c>
      <c r="CC338">
        <f t="shared" si="639"/>
        <v>0</v>
      </c>
      <c r="CD338">
        <f t="shared" si="639"/>
        <v>0</v>
      </c>
      <c r="CE338">
        <f t="shared" si="639"/>
        <v>0</v>
      </c>
      <c r="CF338">
        <f t="shared" si="639"/>
        <v>0</v>
      </c>
      <c r="CG338">
        <f t="shared" si="639"/>
        <v>0</v>
      </c>
      <c r="CH338">
        <f t="shared" si="639"/>
        <v>0</v>
      </c>
      <c r="CI338">
        <f t="shared" si="639"/>
        <v>0</v>
      </c>
      <c r="CJ338">
        <f t="shared" si="639"/>
        <v>0</v>
      </c>
      <c r="CK338">
        <f t="shared" si="639"/>
        <v>0</v>
      </c>
      <c r="CL338">
        <f t="shared" si="639"/>
        <v>0</v>
      </c>
      <c r="CM338">
        <f t="shared" si="640"/>
        <v>0</v>
      </c>
      <c r="CN338">
        <f t="shared" si="640"/>
        <v>0</v>
      </c>
      <c r="CO338">
        <f t="shared" si="640"/>
        <v>0</v>
      </c>
      <c r="CP338">
        <f t="shared" si="640"/>
        <v>0</v>
      </c>
      <c r="CQ338">
        <f t="shared" si="640"/>
        <v>0</v>
      </c>
      <c r="CR338">
        <f t="shared" si="640"/>
        <v>0</v>
      </c>
      <c r="CS338">
        <f t="shared" si="640"/>
        <v>0</v>
      </c>
      <c r="CT338">
        <f t="shared" si="640"/>
        <v>0</v>
      </c>
      <c r="CU338">
        <f t="shared" si="640"/>
        <v>0</v>
      </c>
      <c r="CV338">
        <f t="shared" si="640"/>
        <v>0</v>
      </c>
      <c r="CW338">
        <f t="shared" si="641"/>
        <v>0</v>
      </c>
      <c r="CX338">
        <f t="shared" si="641"/>
        <v>0</v>
      </c>
      <c r="CY338">
        <f t="shared" si="641"/>
        <v>0</v>
      </c>
      <c r="CZ338">
        <f t="shared" si="641"/>
        <v>0</v>
      </c>
      <c r="DA338">
        <f t="shared" si="641"/>
        <v>0</v>
      </c>
      <c r="DB338">
        <f t="shared" si="641"/>
        <v>0</v>
      </c>
      <c r="DC338">
        <f t="shared" si="641"/>
        <v>0</v>
      </c>
      <c r="DD338">
        <f t="shared" si="641"/>
        <v>0</v>
      </c>
      <c r="DE338">
        <f t="shared" si="641"/>
        <v>0</v>
      </c>
      <c r="DF338">
        <f t="shared" si="641"/>
        <v>0</v>
      </c>
      <c r="DG338">
        <f t="shared" si="642"/>
        <v>0</v>
      </c>
      <c r="DH338">
        <f t="shared" si="642"/>
        <v>0</v>
      </c>
      <c r="DI338">
        <f t="shared" si="642"/>
        <v>0</v>
      </c>
      <c r="DJ338">
        <f t="shared" si="642"/>
        <v>0</v>
      </c>
      <c r="DK338">
        <f t="shared" si="642"/>
        <v>0</v>
      </c>
      <c r="DL338">
        <f t="shared" si="642"/>
        <v>0</v>
      </c>
      <c r="DM338">
        <f t="shared" si="642"/>
        <v>0</v>
      </c>
      <c r="DN338">
        <f t="shared" si="642"/>
        <v>0</v>
      </c>
      <c r="DO338">
        <f t="shared" si="642"/>
        <v>0</v>
      </c>
      <c r="DP338">
        <f t="shared" si="642"/>
        <v>0</v>
      </c>
      <c r="DQ338">
        <f t="shared" si="643"/>
        <v>0</v>
      </c>
      <c r="DR338">
        <f t="shared" si="643"/>
        <v>0</v>
      </c>
      <c r="DS338">
        <f t="shared" si="643"/>
        <v>0</v>
      </c>
      <c r="DT338">
        <f t="shared" si="643"/>
        <v>0</v>
      </c>
      <c r="DU338">
        <f t="shared" si="643"/>
        <v>0</v>
      </c>
      <c r="DV338">
        <f t="shared" si="643"/>
        <v>0</v>
      </c>
      <c r="DW338">
        <f t="shared" si="643"/>
        <v>0</v>
      </c>
      <c r="DX338">
        <f t="shared" si="643"/>
        <v>0</v>
      </c>
      <c r="DY338">
        <f t="shared" si="643"/>
        <v>0</v>
      </c>
      <c r="DZ338">
        <f t="shared" si="643"/>
        <v>0</v>
      </c>
      <c r="EA338">
        <f t="shared" si="644"/>
        <v>0</v>
      </c>
      <c r="EB338">
        <f t="shared" si="644"/>
        <v>0</v>
      </c>
      <c r="EC338">
        <f t="shared" si="644"/>
        <v>0</v>
      </c>
      <c r="ED338">
        <f t="shared" si="644"/>
        <v>0</v>
      </c>
      <c r="EE338">
        <f t="shared" si="644"/>
        <v>0</v>
      </c>
      <c r="EF338">
        <f t="shared" si="644"/>
        <v>0</v>
      </c>
    </row>
    <row r="339" spans="1:136" ht="15.5">
      <c r="A339" s="93"/>
      <c r="B339" s="53"/>
      <c r="C339" s="94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  <c r="BA339" s="18"/>
      <c r="BB339" s="18"/>
      <c r="BC339" s="18"/>
      <c r="BD339" s="18"/>
      <c r="BE339" s="25"/>
      <c r="BF339" s="18"/>
      <c r="BG339" s="18"/>
      <c r="BH339" s="18"/>
      <c r="BI339" s="18"/>
      <c r="BJ339" s="2"/>
      <c r="BK339" s="2"/>
      <c r="BL339" s="2"/>
      <c r="BM339" s="2"/>
      <c r="BN339" s="2"/>
      <c r="BO339" s="2"/>
      <c r="BP339" s="2"/>
      <c r="BQ339" s="2"/>
      <c r="BR339" s="101"/>
    </row>
    <row r="340" spans="1:136" ht="15.5">
      <c r="A340" s="93">
        <v>38</v>
      </c>
      <c r="B340" s="52" t="s">
        <v>52</v>
      </c>
      <c r="C340" s="94">
        <v>3</v>
      </c>
      <c r="D340" s="22">
        <f t="shared" ref="D340:AI340" si="645">SUM(D341:D348)</f>
        <v>0</v>
      </c>
      <c r="E340" s="22">
        <f t="shared" si="645"/>
        <v>0</v>
      </c>
      <c r="F340" s="22">
        <f t="shared" si="645"/>
        <v>0</v>
      </c>
      <c r="G340" s="22">
        <f t="shared" si="645"/>
        <v>0</v>
      </c>
      <c r="H340" s="22">
        <f t="shared" si="645"/>
        <v>0</v>
      </c>
      <c r="I340" s="22">
        <f t="shared" si="645"/>
        <v>0</v>
      </c>
      <c r="J340" s="22">
        <f t="shared" si="645"/>
        <v>0</v>
      </c>
      <c r="K340" s="22">
        <f t="shared" si="645"/>
        <v>0</v>
      </c>
      <c r="L340" s="22">
        <f t="shared" si="645"/>
        <v>0</v>
      </c>
      <c r="M340" s="22">
        <f t="shared" si="645"/>
        <v>0</v>
      </c>
      <c r="N340" s="22">
        <f t="shared" si="645"/>
        <v>0</v>
      </c>
      <c r="O340" s="22">
        <f t="shared" si="645"/>
        <v>0</v>
      </c>
      <c r="P340" s="22">
        <f t="shared" si="645"/>
        <v>0</v>
      </c>
      <c r="Q340" s="22">
        <f t="shared" si="645"/>
        <v>0</v>
      </c>
      <c r="R340" s="22">
        <f t="shared" si="645"/>
        <v>0.123298</v>
      </c>
      <c r="S340" s="22">
        <f t="shared" si="645"/>
        <v>0.17835300000000001</v>
      </c>
      <c r="T340" s="22">
        <f t="shared" si="645"/>
        <v>0.16097400000000001</v>
      </c>
      <c r="U340" s="22">
        <f t="shared" si="645"/>
        <v>0</v>
      </c>
      <c r="V340" s="22">
        <f t="shared" si="645"/>
        <v>3.9253999999999997E-2</v>
      </c>
      <c r="W340" s="22">
        <f t="shared" si="645"/>
        <v>8.6999999999999994E-2</v>
      </c>
      <c r="X340" s="22">
        <f t="shared" si="645"/>
        <v>0.51100000000000001</v>
      </c>
      <c r="Y340" s="22">
        <f t="shared" si="645"/>
        <v>8.177999999999999</v>
      </c>
      <c r="Z340" s="22">
        <f t="shared" si="645"/>
        <v>4.1059999999999999</v>
      </c>
      <c r="AA340" s="22">
        <f t="shared" si="645"/>
        <v>162.07011</v>
      </c>
      <c r="AB340" s="22">
        <f t="shared" si="645"/>
        <v>906.57500000000005</v>
      </c>
      <c r="AC340" s="22">
        <f t="shared" si="645"/>
        <v>436</v>
      </c>
      <c r="AD340" s="22">
        <f t="shared" si="645"/>
        <v>1071</v>
      </c>
      <c r="AE340" s="22">
        <f t="shared" si="645"/>
        <v>4448.6446076871007</v>
      </c>
      <c r="AF340" s="22">
        <f t="shared" si="645"/>
        <v>4282.2621189719348</v>
      </c>
      <c r="AG340" s="22">
        <f t="shared" si="645"/>
        <v>5511.5950852960368</v>
      </c>
      <c r="AH340" s="22">
        <f t="shared" si="645"/>
        <v>5861.4622697561881</v>
      </c>
      <c r="AI340" s="22">
        <f t="shared" si="645"/>
        <v>6233.6456320245998</v>
      </c>
      <c r="AJ340" s="22">
        <f t="shared" ref="AJ340:BP340" si="646">SUM(AJ341:AJ348)</f>
        <v>6662.4459955189486</v>
      </c>
      <c r="AK340" s="22">
        <f t="shared" si="646"/>
        <v>7779.6648467447048</v>
      </c>
      <c r="AL340" s="22">
        <f t="shared" si="646"/>
        <v>8965.7530506344356</v>
      </c>
      <c r="AM340" s="22">
        <f t="shared" si="646"/>
        <v>7457.5314125055593</v>
      </c>
      <c r="AN340" s="22">
        <f t="shared" si="646"/>
        <v>7469.4314698408016</v>
      </c>
      <c r="AO340" s="22">
        <f t="shared" si="646"/>
        <v>9098.9248594065321</v>
      </c>
      <c r="AP340" s="22">
        <f t="shared" si="646"/>
        <v>7619.9436169999999</v>
      </c>
      <c r="AQ340" s="22">
        <f t="shared" si="646"/>
        <v>188.28947803981623</v>
      </c>
      <c r="AR340" s="22">
        <f t="shared" si="646"/>
        <v>3125.5240205673758</v>
      </c>
      <c r="AS340" s="22">
        <f t="shared" si="646"/>
        <v>3859.1502563266158</v>
      </c>
      <c r="AT340" s="22">
        <f t="shared" si="646"/>
        <v>4747.2011566000001</v>
      </c>
      <c r="AU340" s="22">
        <f t="shared" si="646"/>
        <v>3717.8906999999999</v>
      </c>
      <c r="AV340" s="22">
        <f t="shared" si="646"/>
        <v>4620.2890000000007</v>
      </c>
      <c r="AW340" s="22">
        <f t="shared" si="646"/>
        <v>5193.491</v>
      </c>
      <c r="AX340" s="22">
        <f t="shared" si="646"/>
        <v>6126.6135918999998</v>
      </c>
      <c r="AY340" s="22">
        <f t="shared" si="646"/>
        <v>7274.5680153768335</v>
      </c>
      <c r="AZ340" s="22">
        <f t="shared" si="646"/>
        <v>6895.1335834999991</v>
      </c>
      <c r="BA340" s="22">
        <f t="shared" si="646"/>
        <v>8296.4719999999998</v>
      </c>
      <c r="BB340" s="22">
        <f t="shared" si="646"/>
        <v>3991.7333407000001</v>
      </c>
      <c r="BC340" s="22">
        <f t="shared" si="646"/>
        <v>4682.5379999999996</v>
      </c>
      <c r="BD340" s="22">
        <f t="shared" si="646"/>
        <v>8924.7252945</v>
      </c>
      <c r="BE340" s="22">
        <f t="shared" si="646"/>
        <v>927.06881280000005</v>
      </c>
      <c r="BF340" s="22">
        <f t="shared" si="646"/>
        <v>490.25885020000004</v>
      </c>
      <c r="BG340" s="22">
        <f t="shared" si="646"/>
        <v>684.76404730000002</v>
      </c>
      <c r="BH340" s="22">
        <f t="shared" si="646"/>
        <v>223.97464210000001</v>
      </c>
      <c r="BI340" s="22">
        <f t="shared" si="646"/>
        <v>24.725105899999999</v>
      </c>
      <c r="BJ340" s="22">
        <f t="shared" si="646"/>
        <v>46.986721200000005</v>
      </c>
      <c r="BK340" s="22">
        <f t="shared" si="646"/>
        <v>36.664344300000003</v>
      </c>
      <c r="BL340" s="22">
        <f t="shared" si="646"/>
        <v>133.60613720000001</v>
      </c>
      <c r="BM340" s="22">
        <f t="shared" si="646"/>
        <v>13.1105438</v>
      </c>
      <c r="BN340" s="22">
        <f t="shared" si="646"/>
        <v>5.8281669000000003</v>
      </c>
      <c r="BO340" s="22">
        <f t="shared" si="646"/>
        <v>2.3797524999999999</v>
      </c>
      <c r="BP340" s="22">
        <f t="shared" si="646"/>
        <v>2.3290223999999999</v>
      </c>
      <c r="BQ340" s="22">
        <f>SUM(BQ341:BQ348)</f>
        <v>2</v>
      </c>
      <c r="BR340" s="101"/>
      <c r="BS340">
        <f t="shared" ref="BS340:BS349" si="647">IF($C340&lt;&gt;"",IF(D340&gt;0,1,0),0)</f>
        <v>0</v>
      </c>
      <c r="BT340">
        <f t="shared" ref="BT340:BT349" si="648">IF($C340&lt;&gt;"",IF(E340&gt;0,1,0),0)</f>
        <v>0</v>
      </c>
      <c r="BU340">
        <f t="shared" ref="BU340:BU349" si="649">IF($C340&lt;&gt;"",IF(F340&gt;0,1,0),0)</f>
        <v>0</v>
      </c>
      <c r="BV340">
        <f t="shared" ref="BV340:BV349" si="650">IF($C340&lt;&gt;"",IF(G340&gt;0,1,0),0)</f>
        <v>0</v>
      </c>
      <c r="BW340">
        <f t="shared" ref="BW340:BW349" si="651">IF($C340&lt;&gt;"",IF(H340&gt;0,1,0),0)</f>
        <v>0</v>
      </c>
      <c r="BX340">
        <f t="shared" ref="BX340:BX349" si="652">IF($C340&lt;&gt;"",IF(I340&gt;0,1,0),0)</f>
        <v>0</v>
      </c>
      <c r="BY340">
        <f t="shared" ref="BY340:BY349" si="653">IF($C340&lt;&gt;"",IF(J340&gt;0,1,0),0)</f>
        <v>0</v>
      </c>
      <c r="BZ340">
        <f t="shared" ref="BZ340:BZ349" si="654">IF($C340&lt;&gt;"",IF(K340&gt;0,1,0),0)</f>
        <v>0</v>
      </c>
      <c r="CA340">
        <f t="shared" ref="CA340:CA349" si="655">IF($C340&lt;&gt;"",IF(L340&gt;0,1,0),0)</f>
        <v>0</v>
      </c>
      <c r="CB340">
        <f t="shared" ref="CB340:CB349" si="656">IF($C340&lt;&gt;"",IF(M340&gt;0,1,0),0)</f>
        <v>0</v>
      </c>
      <c r="CC340">
        <f t="shared" ref="CC340:CC349" si="657">IF($C340&lt;&gt;"",IF(N340&gt;0,1,0),0)</f>
        <v>0</v>
      </c>
      <c r="CD340">
        <f t="shared" ref="CD340:CD349" si="658">IF($C340&lt;&gt;"",IF(O340&gt;0,1,0),0)</f>
        <v>0</v>
      </c>
      <c r="CE340">
        <f t="shared" ref="CE340:CE349" si="659">IF($C340&lt;&gt;"",IF(P340&gt;0,1,0),0)</f>
        <v>0</v>
      </c>
      <c r="CF340">
        <f t="shared" ref="CF340:CF349" si="660">IF($C340&lt;&gt;"",IF(Q340&gt;0,1,0),0)</f>
        <v>0</v>
      </c>
      <c r="CG340">
        <f t="shared" ref="CG340:CG349" si="661">IF($C340&lt;&gt;"",IF(R340&gt;0,1,0),0)</f>
        <v>1</v>
      </c>
      <c r="CH340">
        <f t="shared" ref="CH340:CH349" si="662">IF($C340&lt;&gt;"",IF(S340&gt;0,1,0),0)</f>
        <v>1</v>
      </c>
      <c r="CI340">
        <f t="shared" ref="CI340:CI349" si="663">IF($C340&lt;&gt;"",IF(T340&gt;0,1,0),0)</f>
        <v>1</v>
      </c>
      <c r="CJ340">
        <f t="shared" ref="CJ340:CJ349" si="664">IF($C340&lt;&gt;"",IF(U340&gt;0,1,0),0)</f>
        <v>0</v>
      </c>
      <c r="CK340">
        <f t="shared" ref="CK340:CK349" si="665">IF($C340&lt;&gt;"",IF(V340&gt;0,1,0),0)</f>
        <v>1</v>
      </c>
      <c r="CL340">
        <f t="shared" ref="CL340:CL349" si="666">IF($C340&lt;&gt;"",IF(W340&gt;0,1,0),0)</f>
        <v>1</v>
      </c>
      <c r="CM340">
        <f t="shared" ref="CM340:CM349" si="667">IF($C340&lt;&gt;"",IF(X340&gt;0,1,0),0)</f>
        <v>1</v>
      </c>
      <c r="CN340">
        <f t="shared" ref="CN340:CN349" si="668">IF($C340&lt;&gt;"",IF(Y340&gt;0,1,0),0)</f>
        <v>1</v>
      </c>
      <c r="CO340">
        <f t="shared" ref="CO340:CO349" si="669">IF($C340&lt;&gt;"",IF(Z340&gt;0,1,0),0)</f>
        <v>1</v>
      </c>
      <c r="CP340">
        <f t="shared" ref="CP340:CP349" si="670">IF($C340&lt;&gt;"",IF(AA340&gt;0,1,0),0)</f>
        <v>1</v>
      </c>
      <c r="CQ340">
        <f t="shared" ref="CQ340:CQ349" si="671">IF($C340&lt;&gt;"",IF(AB340&gt;0,1,0),0)</f>
        <v>1</v>
      </c>
      <c r="CR340">
        <f t="shared" ref="CR340:CR349" si="672">IF($C340&lt;&gt;"",IF(AC340&gt;0,1,0),0)</f>
        <v>1</v>
      </c>
      <c r="CS340">
        <f t="shared" ref="CS340:CS349" si="673">IF($C340&lt;&gt;"",IF(AD340&gt;0,1,0),0)</f>
        <v>1</v>
      </c>
      <c r="CT340">
        <f t="shared" ref="CT340:CT349" si="674">IF($C340&lt;&gt;"",IF(AE340&gt;0,1,0),0)</f>
        <v>1</v>
      </c>
      <c r="CU340">
        <f t="shared" ref="CU340:CU349" si="675">IF($C340&lt;&gt;"",IF(AF340&gt;0,1,0),0)</f>
        <v>1</v>
      </c>
      <c r="CV340">
        <f t="shared" ref="CV340:CV349" si="676">IF($C340&lt;&gt;"",IF(AG340&gt;0,1,0),0)</f>
        <v>1</v>
      </c>
      <c r="CW340">
        <f t="shared" ref="CW340:CW349" si="677">IF($C340&lt;&gt;"",IF(AH340&gt;0,1,0),0)</f>
        <v>1</v>
      </c>
      <c r="CX340">
        <f t="shared" ref="CX340:CX349" si="678">IF($C340&lt;&gt;"",IF(AI340&gt;0,1,0),0)</f>
        <v>1</v>
      </c>
      <c r="CY340">
        <f t="shared" ref="CY340:CY349" si="679">IF($C340&lt;&gt;"",IF(AJ340&gt;0,1,0),0)</f>
        <v>1</v>
      </c>
      <c r="CZ340">
        <f t="shared" ref="CZ340:CZ349" si="680">IF($C340&lt;&gt;"",IF(AK340&gt;0,1,0),0)</f>
        <v>1</v>
      </c>
      <c r="DA340">
        <f t="shared" ref="DA340:DA349" si="681">IF($C340&lt;&gt;"",IF(AL340&gt;0,1,0),0)</f>
        <v>1</v>
      </c>
      <c r="DB340">
        <f t="shared" ref="DB340:DB349" si="682">IF($C340&lt;&gt;"",IF(AM340&gt;0,1,0),0)</f>
        <v>1</v>
      </c>
      <c r="DC340">
        <f t="shared" ref="DC340:DC349" si="683">IF($C340&lt;&gt;"",IF(AN340&gt;0,1,0),0)</f>
        <v>1</v>
      </c>
      <c r="DD340">
        <f t="shared" ref="DD340:DD349" si="684">IF($C340&lt;&gt;"",IF(AO340&gt;0,1,0),0)</f>
        <v>1</v>
      </c>
      <c r="DE340">
        <f t="shared" ref="DE340:DE349" si="685">IF($C340&lt;&gt;"",IF(AP340&gt;0,1,0),0)</f>
        <v>1</v>
      </c>
      <c r="DF340">
        <f t="shared" ref="DF340:DF349" si="686">IF($C340&lt;&gt;"",IF(AQ340&gt;0,1,0),0)</f>
        <v>1</v>
      </c>
      <c r="DG340">
        <f t="shared" ref="DG340:DG349" si="687">IF($C340&lt;&gt;"",IF(AR340&gt;0,1,0),0)</f>
        <v>1</v>
      </c>
      <c r="DH340">
        <f t="shared" ref="DH340:DH349" si="688">IF($C340&lt;&gt;"",IF(AS340&gt;0,1,0),0)</f>
        <v>1</v>
      </c>
      <c r="DI340">
        <f t="shared" ref="DI340:DI349" si="689">IF($C340&lt;&gt;"",IF(AT340&gt;0,1,0),0)</f>
        <v>1</v>
      </c>
      <c r="DJ340">
        <f t="shared" ref="DJ340:DJ349" si="690">IF($C340&lt;&gt;"",IF(AU340&gt;0,1,0),0)</f>
        <v>1</v>
      </c>
      <c r="DK340">
        <f t="shared" ref="DK340:DK349" si="691">IF($C340&lt;&gt;"",IF(AV340&gt;0,1,0),0)</f>
        <v>1</v>
      </c>
      <c r="DL340">
        <f t="shared" ref="DL340:DL349" si="692">IF($C340&lt;&gt;"",IF(AW340&gt;0,1,0),0)</f>
        <v>1</v>
      </c>
      <c r="DM340">
        <f t="shared" ref="DM340:DM349" si="693">IF($C340&lt;&gt;"",IF(AX340&gt;0,1,0),0)</f>
        <v>1</v>
      </c>
      <c r="DN340">
        <f t="shared" ref="DN340:DN349" si="694">IF($C340&lt;&gt;"",IF(AY340&gt;0,1,0),0)</f>
        <v>1</v>
      </c>
      <c r="DO340">
        <f t="shared" ref="DO340:DO349" si="695">IF($C340&lt;&gt;"",IF(AZ340&gt;0,1,0),0)</f>
        <v>1</v>
      </c>
      <c r="DP340">
        <f t="shared" ref="DP340:DP349" si="696">IF($C340&lt;&gt;"",IF(BA340&gt;0,1,0),0)</f>
        <v>1</v>
      </c>
      <c r="DQ340">
        <f t="shared" ref="DQ340:DQ349" si="697">IF($C340&lt;&gt;"",IF(BB340&gt;0,1,0),0)</f>
        <v>1</v>
      </c>
      <c r="DR340">
        <f t="shared" ref="DR340:DR349" si="698">IF($C340&lt;&gt;"",IF(BC340&gt;0,1,0),0)</f>
        <v>1</v>
      </c>
      <c r="DS340">
        <f t="shared" ref="DS340:DS349" si="699">IF($C340&lt;&gt;"",IF(BD340&gt;0,1,0),0)</f>
        <v>1</v>
      </c>
      <c r="DT340">
        <f t="shared" ref="DT340:DT349" si="700">IF($C340&lt;&gt;"",IF(BE340&gt;0,1,0),0)</f>
        <v>1</v>
      </c>
      <c r="DU340">
        <f t="shared" ref="DU340:DU349" si="701">IF($C340&lt;&gt;"",IF(BF340&gt;0,1,0),0)</f>
        <v>1</v>
      </c>
      <c r="DV340">
        <f t="shared" ref="DV340:DV349" si="702">IF($C340&lt;&gt;"",IF(BG340&gt;0,1,0),0)</f>
        <v>1</v>
      </c>
      <c r="DW340">
        <f t="shared" ref="DW340:DW349" si="703">IF($C340&lt;&gt;"",IF(BH340&gt;0,1,0),0)</f>
        <v>1</v>
      </c>
      <c r="DX340">
        <f t="shared" ref="DX340:DX349" si="704">IF($C340&lt;&gt;"",IF(BI340&gt;0,1,0),0)</f>
        <v>1</v>
      </c>
      <c r="DY340">
        <f t="shared" ref="DY340:DY349" si="705">IF($C340&lt;&gt;"",IF(BJ340&gt;0,1,0),0)</f>
        <v>1</v>
      </c>
      <c r="DZ340">
        <f t="shared" ref="DZ340:DZ349" si="706">IF($C340&lt;&gt;"",IF(BK340&gt;0,1,0),0)</f>
        <v>1</v>
      </c>
      <c r="EA340">
        <f t="shared" ref="EA340:EA349" si="707">IF($C340&lt;&gt;"",IF(BL340&gt;0,1,0),0)</f>
        <v>1</v>
      </c>
      <c r="EB340">
        <f t="shared" ref="EB340:EB349" si="708">IF($C340&lt;&gt;"",IF(BM340&gt;0,1,0),0)</f>
        <v>1</v>
      </c>
      <c r="EC340">
        <f t="shared" ref="EC340:EC349" si="709">IF($C340&lt;&gt;"",IF(BN340&gt;0,1,0),0)</f>
        <v>1</v>
      </c>
      <c r="ED340">
        <f t="shared" ref="ED340:ED349" si="710">IF($C340&lt;&gt;"",IF(BO340&gt;0,1,0),0)</f>
        <v>1</v>
      </c>
      <c r="EE340">
        <f t="shared" ref="EE340:EF349" si="711">IF($C340&lt;&gt;"",IF(BP340&gt;0,1,0),0)</f>
        <v>1</v>
      </c>
      <c r="EF340">
        <f t="shared" si="711"/>
        <v>1</v>
      </c>
    </row>
    <row r="341" spans="1:136" ht="15.5">
      <c r="A341" s="93"/>
      <c r="B341" s="53" t="s">
        <v>184</v>
      </c>
      <c r="C341" s="94"/>
      <c r="D341" s="18">
        <v>0</v>
      </c>
      <c r="E341" s="18">
        <v>0</v>
      </c>
      <c r="F341" s="18">
        <v>0</v>
      </c>
      <c r="G341" s="18">
        <v>0</v>
      </c>
      <c r="H341" s="18">
        <v>0</v>
      </c>
      <c r="I341" s="18">
        <v>0</v>
      </c>
      <c r="J341" s="18">
        <v>0</v>
      </c>
      <c r="K341" s="18">
        <v>0</v>
      </c>
      <c r="L341" s="18">
        <v>0</v>
      </c>
      <c r="M341" s="18">
        <v>0</v>
      </c>
      <c r="N341" s="18">
        <v>0</v>
      </c>
      <c r="O341" s="18">
        <v>0</v>
      </c>
      <c r="P341" s="18">
        <v>0</v>
      </c>
      <c r="Q341" s="18">
        <v>0</v>
      </c>
      <c r="R341" s="18">
        <v>0</v>
      </c>
      <c r="S341" s="18">
        <v>0</v>
      </c>
      <c r="T341" s="18">
        <v>0</v>
      </c>
      <c r="U341" s="18">
        <v>0</v>
      </c>
      <c r="V341" s="18">
        <v>0</v>
      </c>
      <c r="W341" s="18">
        <v>0</v>
      </c>
      <c r="X341" s="18">
        <v>0</v>
      </c>
      <c r="Y341" s="18">
        <v>0</v>
      </c>
      <c r="Z341" s="18">
        <v>0</v>
      </c>
      <c r="AA341" s="18">
        <v>0</v>
      </c>
      <c r="AB341" s="18">
        <v>0</v>
      </c>
      <c r="AC341" s="18">
        <v>0</v>
      </c>
      <c r="AD341" s="18">
        <v>0</v>
      </c>
      <c r="AE341" s="18">
        <v>0</v>
      </c>
      <c r="AF341" s="18">
        <v>0</v>
      </c>
      <c r="AG341" s="18">
        <v>0</v>
      </c>
      <c r="AH341" s="18">
        <v>0</v>
      </c>
      <c r="AI341" s="18">
        <v>0</v>
      </c>
      <c r="AJ341" s="18">
        <v>0</v>
      </c>
      <c r="AK341" s="18">
        <v>0</v>
      </c>
      <c r="AL341" s="18">
        <v>0</v>
      </c>
      <c r="AM341" s="18">
        <v>0</v>
      </c>
      <c r="AN341" s="18">
        <v>0</v>
      </c>
      <c r="AO341" s="18">
        <v>0</v>
      </c>
      <c r="AP341" s="18">
        <v>0</v>
      </c>
      <c r="AQ341" s="18">
        <v>0</v>
      </c>
      <c r="AR341" s="18">
        <v>0</v>
      </c>
      <c r="AS341" s="18">
        <v>50</v>
      </c>
      <c r="AT341" s="18">
        <v>0</v>
      </c>
      <c r="AU341" s="18">
        <v>0</v>
      </c>
      <c r="AV341" s="18">
        <v>0</v>
      </c>
      <c r="AW341" s="18">
        <v>137</v>
      </c>
      <c r="AX341" s="18">
        <v>241</v>
      </c>
      <c r="AY341" s="18">
        <v>347</v>
      </c>
      <c r="AZ341" s="18">
        <v>90</v>
      </c>
      <c r="BA341" s="18">
        <v>0</v>
      </c>
      <c r="BB341" s="18">
        <v>0</v>
      </c>
      <c r="BC341" s="18">
        <v>0</v>
      </c>
      <c r="BD341" s="18">
        <v>0</v>
      </c>
      <c r="BE341" s="25">
        <v>0</v>
      </c>
      <c r="BF341" s="18">
        <v>0</v>
      </c>
      <c r="BG341" s="18">
        <v>0</v>
      </c>
      <c r="BH341" s="18">
        <v>0</v>
      </c>
      <c r="BI341" s="18">
        <v>0</v>
      </c>
      <c r="BJ341" s="113">
        <v>0</v>
      </c>
      <c r="BK341" s="113">
        <v>0</v>
      </c>
      <c r="BL341" s="113">
        <v>0</v>
      </c>
      <c r="BM341" s="113">
        <v>0</v>
      </c>
      <c r="BN341" s="113">
        <v>0</v>
      </c>
      <c r="BO341" s="113">
        <v>0</v>
      </c>
      <c r="BP341" s="113">
        <v>0</v>
      </c>
      <c r="BQ341" s="113">
        <v>0</v>
      </c>
      <c r="BR341" s="101"/>
      <c r="BS341">
        <f t="shared" si="647"/>
        <v>0</v>
      </c>
      <c r="BT341">
        <f t="shared" si="648"/>
        <v>0</v>
      </c>
      <c r="BU341">
        <f t="shared" si="649"/>
        <v>0</v>
      </c>
      <c r="BV341">
        <f t="shared" si="650"/>
        <v>0</v>
      </c>
      <c r="BW341">
        <f t="shared" si="651"/>
        <v>0</v>
      </c>
      <c r="BX341">
        <f t="shared" si="652"/>
        <v>0</v>
      </c>
      <c r="BY341">
        <f t="shared" si="653"/>
        <v>0</v>
      </c>
      <c r="BZ341">
        <f t="shared" si="654"/>
        <v>0</v>
      </c>
      <c r="CA341">
        <f t="shared" si="655"/>
        <v>0</v>
      </c>
      <c r="CB341">
        <f t="shared" si="656"/>
        <v>0</v>
      </c>
      <c r="CC341">
        <f t="shared" si="657"/>
        <v>0</v>
      </c>
      <c r="CD341">
        <f t="shared" si="658"/>
        <v>0</v>
      </c>
      <c r="CE341">
        <f t="shared" si="659"/>
        <v>0</v>
      </c>
      <c r="CF341">
        <f t="shared" si="660"/>
        <v>0</v>
      </c>
      <c r="CG341">
        <f t="shared" si="661"/>
        <v>0</v>
      </c>
      <c r="CH341">
        <f t="shared" si="662"/>
        <v>0</v>
      </c>
      <c r="CI341">
        <f t="shared" si="663"/>
        <v>0</v>
      </c>
      <c r="CJ341">
        <f t="shared" si="664"/>
        <v>0</v>
      </c>
      <c r="CK341">
        <f t="shared" si="665"/>
        <v>0</v>
      </c>
      <c r="CL341">
        <f t="shared" si="666"/>
        <v>0</v>
      </c>
      <c r="CM341">
        <f t="shared" si="667"/>
        <v>0</v>
      </c>
      <c r="CN341">
        <f t="shared" si="668"/>
        <v>0</v>
      </c>
      <c r="CO341">
        <f t="shared" si="669"/>
        <v>0</v>
      </c>
      <c r="CP341">
        <f t="shared" si="670"/>
        <v>0</v>
      </c>
      <c r="CQ341">
        <f t="shared" si="671"/>
        <v>0</v>
      </c>
      <c r="CR341">
        <f t="shared" si="672"/>
        <v>0</v>
      </c>
      <c r="CS341">
        <f t="shared" si="673"/>
        <v>0</v>
      </c>
      <c r="CT341">
        <f t="shared" si="674"/>
        <v>0</v>
      </c>
      <c r="CU341">
        <f t="shared" si="675"/>
        <v>0</v>
      </c>
      <c r="CV341">
        <f t="shared" si="676"/>
        <v>0</v>
      </c>
      <c r="CW341">
        <f t="shared" si="677"/>
        <v>0</v>
      </c>
      <c r="CX341">
        <f t="shared" si="678"/>
        <v>0</v>
      </c>
      <c r="CY341">
        <f t="shared" si="679"/>
        <v>0</v>
      </c>
      <c r="CZ341">
        <f t="shared" si="680"/>
        <v>0</v>
      </c>
      <c r="DA341">
        <f t="shared" si="681"/>
        <v>0</v>
      </c>
      <c r="DB341">
        <f t="shared" si="682"/>
        <v>0</v>
      </c>
      <c r="DC341">
        <f t="shared" si="683"/>
        <v>0</v>
      </c>
      <c r="DD341">
        <f t="shared" si="684"/>
        <v>0</v>
      </c>
      <c r="DE341">
        <f t="shared" si="685"/>
        <v>0</v>
      </c>
      <c r="DF341">
        <f t="shared" si="686"/>
        <v>0</v>
      </c>
      <c r="DG341">
        <f t="shared" si="687"/>
        <v>0</v>
      </c>
      <c r="DH341">
        <f t="shared" si="688"/>
        <v>0</v>
      </c>
      <c r="DI341">
        <f t="shared" si="689"/>
        <v>0</v>
      </c>
      <c r="DJ341">
        <f t="shared" si="690"/>
        <v>0</v>
      </c>
      <c r="DK341">
        <f t="shared" si="691"/>
        <v>0</v>
      </c>
      <c r="DL341">
        <f t="shared" si="692"/>
        <v>0</v>
      </c>
      <c r="DM341">
        <f t="shared" si="693"/>
        <v>0</v>
      </c>
      <c r="DN341">
        <f t="shared" si="694"/>
        <v>0</v>
      </c>
      <c r="DO341">
        <f t="shared" si="695"/>
        <v>0</v>
      </c>
      <c r="DP341">
        <f t="shared" si="696"/>
        <v>0</v>
      </c>
      <c r="DQ341">
        <f t="shared" si="697"/>
        <v>0</v>
      </c>
      <c r="DR341">
        <f t="shared" si="698"/>
        <v>0</v>
      </c>
      <c r="DS341">
        <f t="shared" si="699"/>
        <v>0</v>
      </c>
      <c r="DT341">
        <f t="shared" si="700"/>
        <v>0</v>
      </c>
      <c r="DU341">
        <f t="shared" si="701"/>
        <v>0</v>
      </c>
      <c r="DV341">
        <f t="shared" si="702"/>
        <v>0</v>
      </c>
      <c r="DW341">
        <f t="shared" si="703"/>
        <v>0</v>
      </c>
      <c r="DX341">
        <f t="shared" si="704"/>
        <v>0</v>
      </c>
      <c r="DY341">
        <f t="shared" si="705"/>
        <v>0</v>
      </c>
      <c r="DZ341">
        <f t="shared" si="706"/>
        <v>0</v>
      </c>
      <c r="EA341">
        <f t="shared" si="707"/>
        <v>0</v>
      </c>
      <c r="EB341">
        <f t="shared" si="708"/>
        <v>0</v>
      </c>
      <c r="EC341">
        <f t="shared" si="709"/>
        <v>0</v>
      </c>
      <c r="ED341">
        <f t="shared" si="710"/>
        <v>0</v>
      </c>
      <c r="EE341">
        <f t="shared" si="711"/>
        <v>0</v>
      </c>
      <c r="EF341">
        <f t="shared" si="711"/>
        <v>0</v>
      </c>
    </row>
    <row r="342" spans="1:136" ht="15.5">
      <c r="A342" s="93"/>
      <c r="B342" s="53" t="s">
        <v>202</v>
      </c>
      <c r="C342" s="94"/>
      <c r="D342" s="18">
        <v>0</v>
      </c>
      <c r="E342" s="18">
        <v>0</v>
      </c>
      <c r="F342" s="18">
        <v>0</v>
      </c>
      <c r="G342" s="18">
        <v>0</v>
      </c>
      <c r="H342" s="18">
        <v>0</v>
      </c>
      <c r="I342" s="18">
        <v>0</v>
      </c>
      <c r="J342" s="18">
        <v>0</v>
      </c>
      <c r="K342" s="18">
        <v>0</v>
      </c>
      <c r="L342" s="18">
        <v>0</v>
      </c>
      <c r="M342" s="18">
        <v>0</v>
      </c>
      <c r="N342" s="18">
        <v>0</v>
      </c>
      <c r="O342" s="18">
        <v>0</v>
      </c>
      <c r="P342" s="18">
        <v>0</v>
      </c>
      <c r="Q342" s="18">
        <v>0</v>
      </c>
      <c r="R342" s="18">
        <v>0</v>
      </c>
      <c r="S342" s="18">
        <v>0</v>
      </c>
      <c r="T342" s="18">
        <v>0</v>
      </c>
      <c r="U342" s="18">
        <v>0</v>
      </c>
      <c r="V342" s="18">
        <v>0</v>
      </c>
      <c r="W342" s="18">
        <v>0</v>
      </c>
      <c r="X342" s="18">
        <v>0</v>
      </c>
      <c r="Y342" s="18">
        <v>0</v>
      </c>
      <c r="Z342" s="18">
        <v>0</v>
      </c>
      <c r="AA342" s="18">
        <v>0</v>
      </c>
      <c r="AB342" s="18">
        <v>0</v>
      </c>
      <c r="AC342" s="18">
        <v>0</v>
      </c>
      <c r="AD342" s="18">
        <v>0</v>
      </c>
      <c r="AE342" s="18">
        <v>0</v>
      </c>
      <c r="AF342" s="18">
        <v>0</v>
      </c>
      <c r="AG342" s="18">
        <v>0</v>
      </c>
      <c r="AH342" s="18">
        <v>0</v>
      </c>
      <c r="AI342" s="18">
        <v>0</v>
      </c>
      <c r="AJ342" s="18">
        <v>0</v>
      </c>
      <c r="AK342" s="18">
        <v>0</v>
      </c>
      <c r="AL342" s="18">
        <v>0</v>
      </c>
      <c r="AM342" s="18">
        <v>0</v>
      </c>
      <c r="AN342" s="18">
        <v>0</v>
      </c>
      <c r="AO342" s="18">
        <v>0</v>
      </c>
      <c r="AP342" s="18">
        <v>0</v>
      </c>
      <c r="AQ342" s="18">
        <v>0</v>
      </c>
      <c r="AR342" s="18">
        <v>0</v>
      </c>
      <c r="AS342" s="18">
        <v>5</v>
      </c>
      <c r="AT342" s="18">
        <v>0</v>
      </c>
      <c r="AU342" s="18">
        <v>0</v>
      </c>
      <c r="AV342" s="18">
        <v>0</v>
      </c>
      <c r="AW342" s="18">
        <v>40</v>
      </c>
      <c r="AX342" s="18">
        <v>76</v>
      </c>
      <c r="AY342" s="18">
        <v>123</v>
      </c>
      <c r="AZ342" s="18">
        <v>0</v>
      </c>
      <c r="BA342" s="18">
        <v>0</v>
      </c>
      <c r="BB342" s="18">
        <v>0</v>
      </c>
      <c r="BC342" s="18">
        <v>0</v>
      </c>
      <c r="BD342" s="18">
        <v>0</v>
      </c>
      <c r="BE342" s="25">
        <v>0</v>
      </c>
      <c r="BF342" s="18">
        <v>0</v>
      </c>
      <c r="BG342" s="18">
        <v>0</v>
      </c>
      <c r="BH342" s="18">
        <v>0</v>
      </c>
      <c r="BI342" s="18">
        <v>0</v>
      </c>
      <c r="BJ342" s="113">
        <v>0</v>
      </c>
      <c r="BK342" s="113">
        <v>0</v>
      </c>
      <c r="BL342" s="113">
        <v>0</v>
      </c>
      <c r="BM342" s="113">
        <v>0</v>
      </c>
      <c r="BN342" s="113">
        <v>0</v>
      </c>
      <c r="BO342" s="113">
        <v>0</v>
      </c>
      <c r="BP342" s="113">
        <v>0</v>
      </c>
      <c r="BQ342" s="113">
        <v>0</v>
      </c>
      <c r="BR342" s="101"/>
      <c r="BS342">
        <f t="shared" si="647"/>
        <v>0</v>
      </c>
      <c r="BT342">
        <f t="shared" si="648"/>
        <v>0</v>
      </c>
      <c r="BU342">
        <f t="shared" si="649"/>
        <v>0</v>
      </c>
      <c r="BV342">
        <f t="shared" si="650"/>
        <v>0</v>
      </c>
      <c r="BW342">
        <f t="shared" si="651"/>
        <v>0</v>
      </c>
      <c r="BX342">
        <f t="shared" si="652"/>
        <v>0</v>
      </c>
      <c r="BY342">
        <f t="shared" si="653"/>
        <v>0</v>
      </c>
      <c r="BZ342">
        <f t="shared" si="654"/>
        <v>0</v>
      </c>
      <c r="CA342">
        <f t="shared" si="655"/>
        <v>0</v>
      </c>
      <c r="CB342">
        <f t="shared" si="656"/>
        <v>0</v>
      </c>
      <c r="CC342">
        <f t="shared" si="657"/>
        <v>0</v>
      </c>
      <c r="CD342">
        <f t="shared" si="658"/>
        <v>0</v>
      </c>
      <c r="CE342">
        <f t="shared" si="659"/>
        <v>0</v>
      </c>
      <c r="CF342">
        <f t="shared" si="660"/>
        <v>0</v>
      </c>
      <c r="CG342">
        <f t="shared" si="661"/>
        <v>0</v>
      </c>
      <c r="CH342">
        <f t="shared" si="662"/>
        <v>0</v>
      </c>
      <c r="CI342">
        <f t="shared" si="663"/>
        <v>0</v>
      </c>
      <c r="CJ342">
        <f t="shared" si="664"/>
        <v>0</v>
      </c>
      <c r="CK342">
        <f t="shared" si="665"/>
        <v>0</v>
      </c>
      <c r="CL342">
        <f t="shared" si="666"/>
        <v>0</v>
      </c>
      <c r="CM342">
        <f t="shared" si="667"/>
        <v>0</v>
      </c>
      <c r="CN342">
        <f t="shared" si="668"/>
        <v>0</v>
      </c>
      <c r="CO342">
        <f t="shared" si="669"/>
        <v>0</v>
      </c>
      <c r="CP342">
        <f t="shared" si="670"/>
        <v>0</v>
      </c>
      <c r="CQ342">
        <f t="shared" si="671"/>
        <v>0</v>
      </c>
      <c r="CR342">
        <f t="shared" si="672"/>
        <v>0</v>
      </c>
      <c r="CS342">
        <f t="shared" si="673"/>
        <v>0</v>
      </c>
      <c r="CT342">
        <f t="shared" si="674"/>
        <v>0</v>
      </c>
      <c r="CU342">
        <f t="shared" si="675"/>
        <v>0</v>
      </c>
      <c r="CV342">
        <f t="shared" si="676"/>
        <v>0</v>
      </c>
      <c r="CW342">
        <f t="shared" si="677"/>
        <v>0</v>
      </c>
      <c r="CX342">
        <f t="shared" si="678"/>
        <v>0</v>
      </c>
      <c r="CY342">
        <f t="shared" si="679"/>
        <v>0</v>
      </c>
      <c r="CZ342">
        <f t="shared" si="680"/>
        <v>0</v>
      </c>
      <c r="DA342">
        <f t="shared" si="681"/>
        <v>0</v>
      </c>
      <c r="DB342">
        <f t="shared" si="682"/>
        <v>0</v>
      </c>
      <c r="DC342">
        <f t="shared" si="683"/>
        <v>0</v>
      </c>
      <c r="DD342">
        <f t="shared" si="684"/>
        <v>0</v>
      </c>
      <c r="DE342">
        <f t="shared" si="685"/>
        <v>0</v>
      </c>
      <c r="DF342">
        <f t="shared" si="686"/>
        <v>0</v>
      </c>
      <c r="DG342">
        <f t="shared" si="687"/>
        <v>0</v>
      </c>
      <c r="DH342">
        <f t="shared" si="688"/>
        <v>0</v>
      </c>
      <c r="DI342">
        <f t="shared" si="689"/>
        <v>0</v>
      </c>
      <c r="DJ342">
        <f t="shared" si="690"/>
        <v>0</v>
      </c>
      <c r="DK342">
        <f t="shared" si="691"/>
        <v>0</v>
      </c>
      <c r="DL342">
        <f t="shared" si="692"/>
        <v>0</v>
      </c>
      <c r="DM342">
        <f t="shared" si="693"/>
        <v>0</v>
      </c>
      <c r="DN342">
        <f t="shared" si="694"/>
        <v>0</v>
      </c>
      <c r="DO342">
        <f t="shared" si="695"/>
        <v>0</v>
      </c>
      <c r="DP342">
        <f t="shared" si="696"/>
        <v>0</v>
      </c>
      <c r="DQ342">
        <f t="shared" si="697"/>
        <v>0</v>
      </c>
      <c r="DR342">
        <f t="shared" si="698"/>
        <v>0</v>
      </c>
      <c r="DS342">
        <f t="shared" si="699"/>
        <v>0</v>
      </c>
      <c r="DT342">
        <f t="shared" si="700"/>
        <v>0</v>
      </c>
      <c r="DU342">
        <f t="shared" si="701"/>
        <v>0</v>
      </c>
      <c r="DV342">
        <f t="shared" si="702"/>
        <v>0</v>
      </c>
      <c r="DW342">
        <f t="shared" si="703"/>
        <v>0</v>
      </c>
      <c r="DX342">
        <f t="shared" si="704"/>
        <v>0</v>
      </c>
      <c r="DY342">
        <f t="shared" si="705"/>
        <v>0</v>
      </c>
      <c r="DZ342">
        <f t="shared" si="706"/>
        <v>0</v>
      </c>
      <c r="EA342">
        <f t="shared" si="707"/>
        <v>0</v>
      </c>
      <c r="EB342">
        <f t="shared" si="708"/>
        <v>0</v>
      </c>
      <c r="EC342">
        <f t="shared" si="709"/>
        <v>0</v>
      </c>
      <c r="ED342">
        <f t="shared" si="710"/>
        <v>0</v>
      </c>
      <c r="EE342">
        <f t="shared" si="711"/>
        <v>0</v>
      </c>
      <c r="EF342">
        <f t="shared" si="711"/>
        <v>0</v>
      </c>
    </row>
    <row r="343" spans="1:136" ht="15.5">
      <c r="A343" s="93"/>
      <c r="B343" s="19" t="s">
        <v>2</v>
      </c>
      <c r="C343" s="94"/>
      <c r="D343" s="18">
        <v>0</v>
      </c>
      <c r="E343" s="18">
        <v>0</v>
      </c>
      <c r="F343" s="18">
        <v>0</v>
      </c>
      <c r="G343" s="18">
        <v>0</v>
      </c>
      <c r="H343" s="18">
        <v>0</v>
      </c>
      <c r="I343" s="18">
        <v>0</v>
      </c>
      <c r="J343" s="18">
        <v>0</v>
      </c>
      <c r="K343" s="18">
        <v>0</v>
      </c>
      <c r="L343" s="18">
        <v>0</v>
      </c>
      <c r="M343" s="18">
        <v>0</v>
      </c>
      <c r="N343" s="18">
        <v>0</v>
      </c>
      <c r="O343" s="18">
        <v>0</v>
      </c>
      <c r="P343" s="18">
        <v>0</v>
      </c>
      <c r="Q343" s="18">
        <v>0</v>
      </c>
      <c r="R343" s="18">
        <v>0</v>
      </c>
      <c r="S343" s="18">
        <v>0</v>
      </c>
      <c r="T343" s="18">
        <v>0</v>
      </c>
      <c r="U343" s="18">
        <v>0</v>
      </c>
      <c r="V343" s="18">
        <v>0</v>
      </c>
      <c r="W343" s="18">
        <v>0</v>
      </c>
      <c r="X343" s="18">
        <v>0</v>
      </c>
      <c r="Y343" s="18">
        <v>0</v>
      </c>
      <c r="Z343" s="18">
        <v>0</v>
      </c>
      <c r="AA343" s="18">
        <v>0</v>
      </c>
      <c r="AB343" s="18">
        <v>224</v>
      </c>
      <c r="AC343" s="18">
        <v>215</v>
      </c>
      <c r="AD343" s="18">
        <v>380</v>
      </c>
      <c r="AE343" s="18">
        <v>600</v>
      </c>
      <c r="AF343" s="40" t="s">
        <v>16</v>
      </c>
      <c r="AG343" s="18">
        <v>881</v>
      </c>
      <c r="AH343" s="40" t="s">
        <v>16</v>
      </c>
      <c r="AI343" s="18">
        <v>724</v>
      </c>
      <c r="AJ343" s="40" t="s">
        <v>16</v>
      </c>
      <c r="AK343" s="40" t="s">
        <v>16</v>
      </c>
      <c r="AL343" s="18">
        <v>1849</v>
      </c>
      <c r="AM343" s="40" t="s">
        <v>16</v>
      </c>
      <c r="AN343" s="40" t="s">
        <v>16</v>
      </c>
      <c r="AO343" s="18">
        <f>1402</f>
        <v>1402</v>
      </c>
      <c r="AP343" s="40" t="s">
        <v>16</v>
      </c>
      <c r="AQ343" s="18">
        <f>31400/653</f>
        <v>48.085758039816234</v>
      </c>
      <c r="AR343" s="18">
        <f>308200/705</f>
        <v>437.16312056737587</v>
      </c>
      <c r="AS343" s="18">
        <f>750700/744.3</f>
        <v>1008.5986833266156</v>
      </c>
      <c r="AT343" s="18">
        <v>1822</v>
      </c>
      <c r="AU343" s="40" t="s">
        <v>16</v>
      </c>
      <c r="AV343" s="40" t="s">
        <v>16</v>
      </c>
      <c r="AW343" s="40" t="s">
        <v>16</v>
      </c>
      <c r="AX343" s="40" t="s">
        <v>16</v>
      </c>
      <c r="AY343" s="40" t="s">
        <v>16</v>
      </c>
      <c r="AZ343" s="40" t="s">
        <v>16</v>
      </c>
      <c r="BA343" s="18">
        <v>4960</v>
      </c>
      <c r="BB343" s="40" t="s">
        <v>16</v>
      </c>
      <c r="BC343" s="18">
        <v>2321</v>
      </c>
      <c r="BD343" s="40" t="s">
        <v>16</v>
      </c>
      <c r="BE343" s="25">
        <v>0</v>
      </c>
      <c r="BF343" s="18">
        <v>0</v>
      </c>
      <c r="BG343" s="18">
        <v>0</v>
      </c>
      <c r="BH343" s="18">
        <v>0</v>
      </c>
      <c r="BI343" s="18">
        <v>0</v>
      </c>
      <c r="BJ343" s="113">
        <v>0</v>
      </c>
      <c r="BK343" s="113">
        <v>0</v>
      </c>
      <c r="BL343" s="113">
        <v>0</v>
      </c>
      <c r="BM343" s="113">
        <v>0</v>
      </c>
      <c r="BN343" s="113">
        <v>0</v>
      </c>
      <c r="BO343" s="113">
        <v>0</v>
      </c>
      <c r="BP343" s="113">
        <v>0</v>
      </c>
      <c r="BQ343" s="113">
        <v>0</v>
      </c>
      <c r="BR343" s="101"/>
      <c r="BS343">
        <f t="shared" si="647"/>
        <v>0</v>
      </c>
      <c r="BT343">
        <f t="shared" si="648"/>
        <v>0</v>
      </c>
      <c r="BU343">
        <f t="shared" si="649"/>
        <v>0</v>
      </c>
      <c r="BV343">
        <f t="shared" si="650"/>
        <v>0</v>
      </c>
      <c r="BW343">
        <f t="shared" si="651"/>
        <v>0</v>
      </c>
      <c r="BX343">
        <f t="shared" si="652"/>
        <v>0</v>
      </c>
      <c r="BY343">
        <f t="shared" si="653"/>
        <v>0</v>
      </c>
      <c r="BZ343">
        <f t="shared" si="654"/>
        <v>0</v>
      </c>
      <c r="CA343">
        <f t="shared" si="655"/>
        <v>0</v>
      </c>
      <c r="CB343">
        <f t="shared" si="656"/>
        <v>0</v>
      </c>
      <c r="CC343">
        <f t="shared" si="657"/>
        <v>0</v>
      </c>
      <c r="CD343">
        <f t="shared" si="658"/>
        <v>0</v>
      </c>
      <c r="CE343">
        <f t="shared" si="659"/>
        <v>0</v>
      </c>
      <c r="CF343">
        <f t="shared" si="660"/>
        <v>0</v>
      </c>
      <c r="CG343">
        <f t="shared" si="661"/>
        <v>0</v>
      </c>
      <c r="CH343">
        <f t="shared" si="662"/>
        <v>0</v>
      </c>
      <c r="CI343">
        <f t="shared" si="663"/>
        <v>0</v>
      </c>
      <c r="CJ343">
        <f t="shared" si="664"/>
        <v>0</v>
      </c>
      <c r="CK343">
        <f t="shared" si="665"/>
        <v>0</v>
      </c>
      <c r="CL343">
        <f t="shared" si="666"/>
        <v>0</v>
      </c>
      <c r="CM343">
        <f t="shared" si="667"/>
        <v>0</v>
      </c>
      <c r="CN343">
        <f t="shared" si="668"/>
        <v>0</v>
      </c>
      <c r="CO343">
        <f t="shared" si="669"/>
        <v>0</v>
      </c>
      <c r="CP343">
        <f t="shared" si="670"/>
        <v>0</v>
      </c>
      <c r="CQ343">
        <f t="shared" si="671"/>
        <v>0</v>
      </c>
      <c r="CR343">
        <f t="shared" si="672"/>
        <v>0</v>
      </c>
      <c r="CS343">
        <f t="shared" si="673"/>
        <v>0</v>
      </c>
      <c r="CT343">
        <f t="shared" si="674"/>
        <v>0</v>
      </c>
      <c r="CU343">
        <f t="shared" si="675"/>
        <v>0</v>
      </c>
      <c r="CV343">
        <f t="shared" si="676"/>
        <v>0</v>
      </c>
      <c r="CW343">
        <f t="shared" si="677"/>
        <v>0</v>
      </c>
      <c r="CX343">
        <f t="shared" si="678"/>
        <v>0</v>
      </c>
      <c r="CY343">
        <f t="shared" si="679"/>
        <v>0</v>
      </c>
      <c r="CZ343">
        <f t="shared" si="680"/>
        <v>0</v>
      </c>
      <c r="DA343">
        <f t="shared" si="681"/>
        <v>0</v>
      </c>
      <c r="DB343">
        <f t="shared" si="682"/>
        <v>0</v>
      </c>
      <c r="DC343">
        <f t="shared" si="683"/>
        <v>0</v>
      </c>
      <c r="DD343">
        <f t="shared" si="684"/>
        <v>0</v>
      </c>
      <c r="DE343">
        <f t="shared" si="685"/>
        <v>0</v>
      </c>
      <c r="DF343">
        <f t="shared" si="686"/>
        <v>0</v>
      </c>
      <c r="DG343">
        <f t="shared" si="687"/>
        <v>0</v>
      </c>
      <c r="DH343">
        <f t="shared" si="688"/>
        <v>0</v>
      </c>
      <c r="DI343">
        <f t="shared" si="689"/>
        <v>0</v>
      </c>
      <c r="DJ343">
        <f t="shared" si="690"/>
        <v>0</v>
      </c>
      <c r="DK343">
        <f t="shared" si="691"/>
        <v>0</v>
      </c>
      <c r="DL343">
        <f t="shared" si="692"/>
        <v>0</v>
      </c>
      <c r="DM343">
        <f t="shared" si="693"/>
        <v>0</v>
      </c>
      <c r="DN343">
        <f t="shared" si="694"/>
        <v>0</v>
      </c>
      <c r="DO343">
        <f t="shared" si="695"/>
        <v>0</v>
      </c>
      <c r="DP343">
        <f t="shared" si="696"/>
        <v>0</v>
      </c>
      <c r="DQ343">
        <f t="shared" si="697"/>
        <v>0</v>
      </c>
      <c r="DR343">
        <f t="shared" si="698"/>
        <v>0</v>
      </c>
      <c r="DS343">
        <f t="shared" si="699"/>
        <v>0</v>
      </c>
      <c r="DT343">
        <f t="shared" si="700"/>
        <v>0</v>
      </c>
      <c r="DU343">
        <f t="shared" si="701"/>
        <v>0</v>
      </c>
      <c r="DV343">
        <f t="shared" si="702"/>
        <v>0</v>
      </c>
      <c r="DW343">
        <f t="shared" si="703"/>
        <v>0</v>
      </c>
      <c r="DX343">
        <f t="shared" si="704"/>
        <v>0</v>
      </c>
      <c r="DY343">
        <f t="shared" si="705"/>
        <v>0</v>
      </c>
      <c r="DZ343">
        <f t="shared" si="706"/>
        <v>0</v>
      </c>
      <c r="EA343">
        <f t="shared" si="707"/>
        <v>0</v>
      </c>
      <c r="EB343">
        <f t="shared" si="708"/>
        <v>0</v>
      </c>
      <c r="EC343">
        <f t="shared" si="709"/>
        <v>0</v>
      </c>
      <c r="ED343">
        <f t="shared" si="710"/>
        <v>0</v>
      </c>
      <c r="EE343">
        <f t="shared" si="711"/>
        <v>0</v>
      </c>
      <c r="EF343">
        <f t="shared" si="711"/>
        <v>0</v>
      </c>
    </row>
    <row r="344" spans="1:136" ht="15.5">
      <c r="A344" s="93"/>
      <c r="B344" s="19" t="s">
        <v>205</v>
      </c>
      <c r="C344" s="94"/>
      <c r="D344" s="18">
        <v>0</v>
      </c>
      <c r="E344" s="18">
        <v>0</v>
      </c>
      <c r="F344" s="18">
        <v>0</v>
      </c>
      <c r="G344" s="18">
        <v>0</v>
      </c>
      <c r="H344" s="18">
        <v>0</v>
      </c>
      <c r="I344" s="18">
        <v>0</v>
      </c>
      <c r="J344" s="18">
        <v>0</v>
      </c>
      <c r="K344" s="18">
        <v>0</v>
      </c>
      <c r="L344" s="18">
        <v>0</v>
      </c>
      <c r="M344" s="18">
        <v>0</v>
      </c>
      <c r="N344" s="18">
        <v>0</v>
      </c>
      <c r="O344" s="18">
        <v>0</v>
      </c>
      <c r="P344" s="18">
        <v>0</v>
      </c>
      <c r="Q344" s="18">
        <v>0</v>
      </c>
      <c r="R344" s="18">
        <v>0</v>
      </c>
      <c r="S344" s="18">
        <v>0</v>
      </c>
      <c r="T344" s="18">
        <v>0</v>
      </c>
      <c r="U344" s="18">
        <v>0</v>
      </c>
      <c r="V344" s="18">
        <v>0</v>
      </c>
      <c r="W344" s="18">
        <v>0</v>
      </c>
      <c r="X344" s="18">
        <v>0</v>
      </c>
      <c r="Y344" s="18">
        <v>0</v>
      </c>
      <c r="Z344" s="18">
        <v>0</v>
      </c>
      <c r="AA344" s="18">
        <v>0</v>
      </c>
      <c r="AB344" s="18">
        <v>0</v>
      </c>
      <c r="AC344" s="18">
        <v>0</v>
      </c>
      <c r="AD344" s="18">
        <v>0</v>
      </c>
      <c r="AE344" s="18">
        <v>0</v>
      </c>
      <c r="AF344" s="18">
        <v>0</v>
      </c>
      <c r="AG344" s="18">
        <v>0</v>
      </c>
      <c r="AH344" s="18">
        <v>0</v>
      </c>
      <c r="AI344" s="18">
        <v>0</v>
      </c>
      <c r="AJ344" s="18">
        <v>0</v>
      </c>
      <c r="AK344" s="18">
        <v>0</v>
      </c>
      <c r="AL344" s="18">
        <v>0</v>
      </c>
      <c r="AM344" s="18">
        <v>0</v>
      </c>
      <c r="AN344" s="18">
        <v>0</v>
      </c>
      <c r="AO344" s="18">
        <v>0.63564359999999998</v>
      </c>
      <c r="AP344" s="18">
        <v>1.2714555000000001</v>
      </c>
      <c r="AQ344" s="18">
        <v>1.2713323999999999</v>
      </c>
      <c r="AR344" s="18">
        <v>1.5270498000000001</v>
      </c>
      <c r="AS344" s="18">
        <v>1.816573</v>
      </c>
      <c r="AT344" s="18">
        <v>2.5481566</v>
      </c>
      <c r="AU344" s="18">
        <v>3.2553638</v>
      </c>
      <c r="AV344" s="18">
        <v>0</v>
      </c>
      <c r="AW344" s="18">
        <v>0</v>
      </c>
      <c r="AX344" s="40">
        <v>0.2312805</v>
      </c>
      <c r="AY344" s="18">
        <f>180/6.82</f>
        <v>26.392961876832842</v>
      </c>
      <c r="AZ344" s="18">
        <v>1.7701108999999999</v>
      </c>
      <c r="BA344" s="18">
        <v>0</v>
      </c>
      <c r="BB344" s="18">
        <v>0</v>
      </c>
      <c r="BC344" s="18">
        <v>25.7</v>
      </c>
      <c r="BD344" s="18">
        <v>6.6776901999999998</v>
      </c>
      <c r="BE344" s="25">
        <v>17.5340849</v>
      </c>
      <c r="BF344" s="18">
        <v>24.5138094</v>
      </c>
      <c r="BG344" s="18">
        <v>30.039282</v>
      </c>
      <c r="BH344" s="18">
        <v>17.986129100000003</v>
      </c>
      <c r="BI344" s="18">
        <v>24.725105899999999</v>
      </c>
      <c r="BJ344" s="34">
        <v>23.493360600000003</v>
      </c>
      <c r="BK344" s="113">
        <v>36.297895500000003</v>
      </c>
      <c r="BL344" s="113">
        <v>1.2241962</v>
      </c>
      <c r="BM344" s="113">
        <v>1.5697601999999999</v>
      </c>
      <c r="BN344" s="113">
        <v>1.4314343</v>
      </c>
      <c r="BO344" s="113">
        <v>2.3797524999999999</v>
      </c>
      <c r="BP344" s="113">
        <v>2.3290223999999999</v>
      </c>
      <c r="BQ344" s="113">
        <v>2</v>
      </c>
      <c r="BR344" s="101"/>
      <c r="BS344">
        <f t="shared" si="647"/>
        <v>0</v>
      </c>
      <c r="BT344">
        <f t="shared" si="648"/>
        <v>0</v>
      </c>
      <c r="BU344">
        <f t="shared" si="649"/>
        <v>0</v>
      </c>
      <c r="BV344">
        <f t="shared" si="650"/>
        <v>0</v>
      </c>
      <c r="BW344">
        <f t="shared" si="651"/>
        <v>0</v>
      </c>
      <c r="BX344">
        <f t="shared" si="652"/>
        <v>0</v>
      </c>
      <c r="BY344">
        <f t="shared" si="653"/>
        <v>0</v>
      </c>
      <c r="BZ344">
        <f t="shared" si="654"/>
        <v>0</v>
      </c>
      <c r="CA344">
        <f t="shared" si="655"/>
        <v>0</v>
      </c>
      <c r="CB344">
        <f t="shared" si="656"/>
        <v>0</v>
      </c>
      <c r="CC344">
        <f t="shared" si="657"/>
        <v>0</v>
      </c>
      <c r="CD344">
        <f t="shared" si="658"/>
        <v>0</v>
      </c>
      <c r="CE344">
        <f t="shared" si="659"/>
        <v>0</v>
      </c>
      <c r="CF344">
        <f t="shared" si="660"/>
        <v>0</v>
      </c>
      <c r="CG344">
        <f t="shared" si="661"/>
        <v>0</v>
      </c>
      <c r="CH344">
        <f t="shared" si="662"/>
        <v>0</v>
      </c>
      <c r="CI344">
        <f t="shared" si="663"/>
        <v>0</v>
      </c>
      <c r="CJ344">
        <f t="shared" si="664"/>
        <v>0</v>
      </c>
      <c r="CK344">
        <f t="shared" si="665"/>
        <v>0</v>
      </c>
      <c r="CL344">
        <f t="shared" si="666"/>
        <v>0</v>
      </c>
      <c r="CM344">
        <f t="shared" si="667"/>
        <v>0</v>
      </c>
      <c r="CN344">
        <f t="shared" si="668"/>
        <v>0</v>
      </c>
      <c r="CO344">
        <f t="shared" si="669"/>
        <v>0</v>
      </c>
      <c r="CP344">
        <f t="shared" si="670"/>
        <v>0</v>
      </c>
      <c r="CQ344">
        <f t="shared" si="671"/>
        <v>0</v>
      </c>
      <c r="CR344">
        <f t="shared" si="672"/>
        <v>0</v>
      </c>
      <c r="CS344">
        <f t="shared" si="673"/>
        <v>0</v>
      </c>
      <c r="CT344">
        <f t="shared" si="674"/>
        <v>0</v>
      </c>
      <c r="CU344">
        <f t="shared" si="675"/>
        <v>0</v>
      </c>
      <c r="CV344">
        <f t="shared" si="676"/>
        <v>0</v>
      </c>
      <c r="CW344">
        <f t="shared" si="677"/>
        <v>0</v>
      </c>
      <c r="CX344">
        <f t="shared" si="678"/>
        <v>0</v>
      </c>
      <c r="CY344">
        <f t="shared" si="679"/>
        <v>0</v>
      </c>
      <c r="CZ344">
        <f t="shared" si="680"/>
        <v>0</v>
      </c>
      <c r="DA344">
        <f t="shared" si="681"/>
        <v>0</v>
      </c>
      <c r="DB344">
        <f t="shared" si="682"/>
        <v>0</v>
      </c>
      <c r="DC344">
        <f t="shared" si="683"/>
        <v>0</v>
      </c>
      <c r="DD344">
        <f t="shared" si="684"/>
        <v>0</v>
      </c>
      <c r="DE344">
        <f t="shared" si="685"/>
        <v>0</v>
      </c>
      <c r="DF344">
        <f t="shared" si="686"/>
        <v>0</v>
      </c>
      <c r="DG344">
        <f t="shared" si="687"/>
        <v>0</v>
      </c>
      <c r="DH344">
        <f t="shared" si="688"/>
        <v>0</v>
      </c>
      <c r="DI344">
        <f t="shared" si="689"/>
        <v>0</v>
      </c>
      <c r="DJ344">
        <f t="shared" si="690"/>
        <v>0</v>
      </c>
      <c r="DK344">
        <f t="shared" si="691"/>
        <v>0</v>
      </c>
      <c r="DL344">
        <f t="shared" si="692"/>
        <v>0</v>
      </c>
      <c r="DM344">
        <f t="shared" si="693"/>
        <v>0</v>
      </c>
      <c r="DN344">
        <f t="shared" si="694"/>
        <v>0</v>
      </c>
      <c r="DO344">
        <f t="shared" si="695"/>
        <v>0</v>
      </c>
      <c r="DP344">
        <f t="shared" si="696"/>
        <v>0</v>
      </c>
      <c r="DQ344">
        <f t="shared" si="697"/>
        <v>0</v>
      </c>
      <c r="DR344">
        <f t="shared" si="698"/>
        <v>0</v>
      </c>
      <c r="DS344">
        <f t="shared" si="699"/>
        <v>0</v>
      </c>
      <c r="DT344">
        <f t="shared" si="700"/>
        <v>0</v>
      </c>
      <c r="DU344">
        <f t="shared" si="701"/>
        <v>0</v>
      </c>
      <c r="DV344">
        <f t="shared" si="702"/>
        <v>0</v>
      </c>
      <c r="DW344">
        <f t="shared" si="703"/>
        <v>0</v>
      </c>
      <c r="DX344">
        <f t="shared" si="704"/>
        <v>0</v>
      </c>
      <c r="DY344">
        <f t="shared" si="705"/>
        <v>0</v>
      </c>
      <c r="DZ344">
        <f t="shared" si="706"/>
        <v>0</v>
      </c>
      <c r="EA344">
        <f t="shared" si="707"/>
        <v>0</v>
      </c>
      <c r="EB344">
        <f t="shared" si="708"/>
        <v>0</v>
      </c>
      <c r="EC344">
        <f t="shared" si="709"/>
        <v>0</v>
      </c>
      <c r="ED344">
        <f t="shared" si="710"/>
        <v>0</v>
      </c>
      <c r="EE344">
        <f t="shared" si="711"/>
        <v>0</v>
      </c>
      <c r="EF344">
        <f t="shared" si="711"/>
        <v>0</v>
      </c>
    </row>
    <row r="345" spans="1:136" ht="15.5">
      <c r="A345" s="93"/>
      <c r="B345" s="53" t="s">
        <v>3</v>
      </c>
      <c r="C345" s="94"/>
      <c r="D345" s="18">
        <v>0</v>
      </c>
      <c r="E345" s="18">
        <v>0</v>
      </c>
      <c r="F345" s="18">
        <v>0</v>
      </c>
      <c r="G345" s="18">
        <v>0</v>
      </c>
      <c r="H345" s="18">
        <v>0</v>
      </c>
      <c r="I345" s="18">
        <v>0</v>
      </c>
      <c r="J345" s="18">
        <v>0</v>
      </c>
      <c r="K345" s="18">
        <v>0</v>
      </c>
      <c r="L345" s="18">
        <v>0</v>
      </c>
      <c r="M345" s="18">
        <v>0</v>
      </c>
      <c r="N345" s="18">
        <v>0</v>
      </c>
      <c r="O345" s="18">
        <v>0</v>
      </c>
      <c r="P345" s="18">
        <v>0</v>
      </c>
      <c r="Q345" s="18">
        <v>0</v>
      </c>
      <c r="R345" s="40">
        <v>0.123298</v>
      </c>
      <c r="S345" s="40">
        <v>0.17835300000000001</v>
      </c>
      <c r="T345" s="18">
        <v>0.16097400000000001</v>
      </c>
      <c r="U345" s="18">
        <v>0</v>
      </c>
      <c r="V345" s="18">
        <v>3.9253999999999997E-2</v>
      </c>
      <c r="W345" s="40">
        <v>8.6999999999999994E-2</v>
      </c>
      <c r="X345" s="18">
        <v>0.51100000000000001</v>
      </c>
      <c r="Y345" s="18">
        <v>0.84099999999999997</v>
      </c>
      <c r="Z345" s="18">
        <v>1.514</v>
      </c>
      <c r="AA345" s="18">
        <v>22.39311</v>
      </c>
      <c r="AB345" s="40" t="s">
        <v>16</v>
      </c>
      <c r="AC345" s="40" t="s">
        <v>16</v>
      </c>
      <c r="AD345" s="40" t="s">
        <v>16</v>
      </c>
      <c r="AE345" s="40" t="s">
        <v>16</v>
      </c>
      <c r="AF345" s="18">
        <v>83.737229999999997</v>
      </c>
      <c r="AG345" s="40" t="s">
        <v>16</v>
      </c>
      <c r="AH345" s="18">
        <v>796.00800000000004</v>
      </c>
      <c r="AI345" s="40" t="s">
        <v>16</v>
      </c>
      <c r="AJ345" s="18">
        <v>517.05629999999996</v>
      </c>
      <c r="AK345" s="18">
        <v>705.49519999999995</v>
      </c>
      <c r="AL345" s="18">
        <v>347</v>
      </c>
      <c r="AM345" s="18">
        <v>702.61929999999995</v>
      </c>
      <c r="AN345" s="18">
        <v>269.30309999999997</v>
      </c>
      <c r="AO345" s="40" t="s">
        <v>16</v>
      </c>
      <c r="AP345" s="18">
        <f>419.943617-AP344</f>
        <v>418.67216150000002</v>
      </c>
      <c r="AQ345" s="18">
        <f>88.52972-AQ344</f>
        <v>87.258387599999992</v>
      </c>
      <c r="AR345" s="18">
        <f>292.6089-AR344</f>
        <v>291.08185020000002</v>
      </c>
      <c r="AS345" s="40" t="s">
        <v>16</v>
      </c>
      <c r="AT345" s="40" t="s">
        <v>16</v>
      </c>
      <c r="AU345" s="18">
        <f>797.7527-AU344</f>
        <v>794.49733619999995</v>
      </c>
      <c r="AV345" s="18">
        <v>1638.9829999999999</v>
      </c>
      <c r="AW345" s="18">
        <f>2088.998-AW342-AW341</f>
        <v>1911.998</v>
      </c>
      <c r="AX345" s="18">
        <f>2785.9723114-AX342-AX341</f>
        <v>2468.9723113999999</v>
      </c>
      <c r="AY345" s="18">
        <f>3676.4150535-AY342-AY341</f>
        <v>3206.4150534999999</v>
      </c>
      <c r="AZ345" s="18">
        <f>3080.4014726-AZ341</f>
        <v>2990.4014726</v>
      </c>
      <c r="BA345" s="40" t="s">
        <v>16</v>
      </c>
      <c r="BB345" s="18">
        <v>891.7333407000001</v>
      </c>
      <c r="BC345" s="40" t="s">
        <v>16</v>
      </c>
      <c r="BD345" s="18">
        <f>5925.3502945-BD344</f>
        <v>5918.6726042999999</v>
      </c>
      <c r="BE345" s="25">
        <f>639.0688128-BE344</f>
        <v>621.53472790000001</v>
      </c>
      <c r="BF345" s="18">
        <f>202.2588502-BF344</f>
        <v>177.74504080000003</v>
      </c>
      <c r="BG345" s="18">
        <f>396.7640473-BG344</f>
        <v>366.7247653</v>
      </c>
      <c r="BH345" s="18">
        <f>223.9746421-BH344</f>
        <v>205.98851300000001</v>
      </c>
      <c r="BI345" s="18">
        <v>0</v>
      </c>
      <c r="BJ345" s="71">
        <v>23.493360600000003</v>
      </c>
      <c r="BK345" s="71">
        <f>36.6643443-BK344</f>
        <v>0.36644880000000057</v>
      </c>
      <c r="BL345" s="113">
        <f>133.6061372-BL344</f>
        <v>132.38194100000001</v>
      </c>
      <c r="BM345" s="113">
        <f>13.1105438-BM344</f>
        <v>11.540783600000001</v>
      </c>
      <c r="BN345" s="113">
        <f>5.8281669-BN344</f>
        <v>4.3967326</v>
      </c>
      <c r="BO345" s="113">
        <v>0</v>
      </c>
      <c r="BP345" s="113">
        <v>0</v>
      </c>
      <c r="BQ345" s="113">
        <v>0</v>
      </c>
      <c r="BR345" s="101"/>
      <c r="BS345">
        <f t="shared" si="647"/>
        <v>0</v>
      </c>
      <c r="BT345">
        <f t="shared" si="648"/>
        <v>0</v>
      </c>
      <c r="BU345">
        <f t="shared" si="649"/>
        <v>0</v>
      </c>
      <c r="BV345">
        <f t="shared" si="650"/>
        <v>0</v>
      </c>
      <c r="BW345">
        <f t="shared" si="651"/>
        <v>0</v>
      </c>
      <c r="BX345">
        <f t="shared" si="652"/>
        <v>0</v>
      </c>
      <c r="BY345">
        <f t="shared" si="653"/>
        <v>0</v>
      </c>
      <c r="BZ345">
        <f t="shared" si="654"/>
        <v>0</v>
      </c>
      <c r="CA345">
        <f t="shared" si="655"/>
        <v>0</v>
      </c>
      <c r="CB345">
        <f t="shared" si="656"/>
        <v>0</v>
      </c>
      <c r="CC345">
        <f t="shared" si="657"/>
        <v>0</v>
      </c>
      <c r="CD345">
        <f t="shared" si="658"/>
        <v>0</v>
      </c>
      <c r="CE345">
        <f t="shared" si="659"/>
        <v>0</v>
      </c>
      <c r="CF345">
        <f t="shared" si="660"/>
        <v>0</v>
      </c>
      <c r="CG345">
        <f t="shared" si="661"/>
        <v>0</v>
      </c>
      <c r="CH345">
        <f t="shared" si="662"/>
        <v>0</v>
      </c>
      <c r="CI345">
        <f t="shared" si="663"/>
        <v>0</v>
      </c>
      <c r="CJ345">
        <f t="shared" si="664"/>
        <v>0</v>
      </c>
      <c r="CK345">
        <f t="shared" si="665"/>
        <v>0</v>
      </c>
      <c r="CL345">
        <f t="shared" si="666"/>
        <v>0</v>
      </c>
      <c r="CM345">
        <f t="shared" si="667"/>
        <v>0</v>
      </c>
      <c r="CN345">
        <f t="shared" si="668"/>
        <v>0</v>
      </c>
      <c r="CO345">
        <f t="shared" si="669"/>
        <v>0</v>
      </c>
      <c r="CP345">
        <f t="shared" si="670"/>
        <v>0</v>
      </c>
      <c r="CQ345">
        <f t="shared" si="671"/>
        <v>0</v>
      </c>
      <c r="CR345">
        <f t="shared" si="672"/>
        <v>0</v>
      </c>
      <c r="CS345">
        <f t="shared" si="673"/>
        <v>0</v>
      </c>
      <c r="CT345">
        <f t="shared" si="674"/>
        <v>0</v>
      </c>
      <c r="CU345">
        <f t="shared" si="675"/>
        <v>0</v>
      </c>
      <c r="CV345">
        <f t="shared" si="676"/>
        <v>0</v>
      </c>
      <c r="CW345">
        <f t="shared" si="677"/>
        <v>0</v>
      </c>
      <c r="CX345">
        <f t="shared" si="678"/>
        <v>0</v>
      </c>
      <c r="CY345">
        <f t="shared" si="679"/>
        <v>0</v>
      </c>
      <c r="CZ345">
        <f t="shared" si="680"/>
        <v>0</v>
      </c>
      <c r="DA345">
        <f t="shared" si="681"/>
        <v>0</v>
      </c>
      <c r="DB345">
        <f t="shared" si="682"/>
        <v>0</v>
      </c>
      <c r="DC345">
        <f t="shared" si="683"/>
        <v>0</v>
      </c>
      <c r="DD345">
        <f t="shared" si="684"/>
        <v>0</v>
      </c>
      <c r="DE345">
        <f t="shared" si="685"/>
        <v>0</v>
      </c>
      <c r="DF345">
        <f t="shared" si="686"/>
        <v>0</v>
      </c>
      <c r="DG345">
        <f t="shared" si="687"/>
        <v>0</v>
      </c>
      <c r="DH345">
        <f t="shared" si="688"/>
        <v>0</v>
      </c>
      <c r="DI345">
        <f t="shared" si="689"/>
        <v>0</v>
      </c>
      <c r="DJ345">
        <f t="shared" si="690"/>
        <v>0</v>
      </c>
      <c r="DK345">
        <f t="shared" si="691"/>
        <v>0</v>
      </c>
      <c r="DL345">
        <f t="shared" si="692"/>
        <v>0</v>
      </c>
      <c r="DM345">
        <f t="shared" si="693"/>
        <v>0</v>
      </c>
      <c r="DN345">
        <f t="shared" si="694"/>
        <v>0</v>
      </c>
      <c r="DO345">
        <f t="shared" si="695"/>
        <v>0</v>
      </c>
      <c r="DP345">
        <f t="shared" si="696"/>
        <v>0</v>
      </c>
      <c r="DQ345">
        <f t="shared" si="697"/>
        <v>0</v>
      </c>
      <c r="DR345">
        <f t="shared" si="698"/>
        <v>0</v>
      </c>
      <c r="DS345">
        <f t="shared" si="699"/>
        <v>0</v>
      </c>
      <c r="DT345">
        <f t="shared" si="700"/>
        <v>0</v>
      </c>
      <c r="DU345">
        <f t="shared" si="701"/>
        <v>0</v>
      </c>
      <c r="DV345">
        <f t="shared" si="702"/>
        <v>0</v>
      </c>
      <c r="DW345">
        <f t="shared" si="703"/>
        <v>0</v>
      </c>
      <c r="DX345">
        <f t="shared" si="704"/>
        <v>0</v>
      </c>
      <c r="DY345">
        <f t="shared" si="705"/>
        <v>0</v>
      </c>
      <c r="DZ345">
        <f t="shared" si="706"/>
        <v>0</v>
      </c>
      <c r="EA345">
        <f t="shared" si="707"/>
        <v>0</v>
      </c>
      <c r="EB345">
        <f t="shared" si="708"/>
        <v>0</v>
      </c>
      <c r="EC345">
        <f t="shared" si="709"/>
        <v>0</v>
      </c>
      <c r="ED345">
        <f t="shared" si="710"/>
        <v>0</v>
      </c>
      <c r="EE345">
        <f t="shared" si="711"/>
        <v>0</v>
      </c>
      <c r="EF345">
        <f t="shared" si="711"/>
        <v>0</v>
      </c>
    </row>
    <row r="346" spans="1:136" ht="15.5">
      <c r="A346" s="93"/>
      <c r="B346" s="53" t="s">
        <v>18</v>
      </c>
      <c r="C346" s="94"/>
      <c r="D346" s="34">
        <v>0</v>
      </c>
      <c r="E346" s="34">
        <v>0</v>
      </c>
      <c r="F346" s="34">
        <v>0</v>
      </c>
      <c r="G346" s="34">
        <v>0</v>
      </c>
      <c r="H346" s="34">
        <v>0</v>
      </c>
      <c r="I346" s="34">
        <v>0</v>
      </c>
      <c r="J346" s="34">
        <v>0</v>
      </c>
      <c r="K346" s="34">
        <v>0</v>
      </c>
      <c r="L346" s="34">
        <v>0</v>
      </c>
      <c r="M346" s="34">
        <v>0</v>
      </c>
      <c r="N346" s="34">
        <v>0</v>
      </c>
      <c r="O346" s="34">
        <v>0</v>
      </c>
      <c r="P346" s="34">
        <v>0</v>
      </c>
      <c r="Q346" s="34">
        <v>0</v>
      </c>
      <c r="R346" s="34">
        <v>0</v>
      </c>
      <c r="S346" s="34">
        <v>0</v>
      </c>
      <c r="T346" s="34">
        <v>0</v>
      </c>
      <c r="U346" s="34">
        <v>0</v>
      </c>
      <c r="V346" s="34">
        <v>0</v>
      </c>
      <c r="W346" s="34">
        <v>0</v>
      </c>
      <c r="X346" s="34">
        <v>0</v>
      </c>
      <c r="Y346" s="34">
        <v>0</v>
      </c>
      <c r="Z346" s="34">
        <v>0</v>
      </c>
      <c r="AA346" s="34">
        <v>0</v>
      </c>
      <c r="AB346" s="34">
        <v>501</v>
      </c>
      <c r="AC346" s="40" t="s">
        <v>16</v>
      </c>
      <c r="AD346" s="34">
        <v>691</v>
      </c>
      <c r="AE346" s="34">
        <v>3848.6446076871007</v>
      </c>
      <c r="AF346" s="34">
        <v>4198.5248889719351</v>
      </c>
      <c r="AG346" s="34">
        <v>4630.5950852960368</v>
      </c>
      <c r="AH346" s="34">
        <v>5065.4542697561883</v>
      </c>
      <c r="AI346" s="34">
        <v>5424.6456320245998</v>
      </c>
      <c r="AJ346" s="34">
        <v>5695.3896955189484</v>
      </c>
      <c r="AK346" s="34">
        <v>5951.1696467447046</v>
      </c>
      <c r="AL346" s="34">
        <v>6301.7530506344356</v>
      </c>
      <c r="AM346" s="34">
        <v>6754.912112505559</v>
      </c>
      <c r="AN346" s="34">
        <v>7200.1283698408015</v>
      </c>
      <c r="AO346" s="34">
        <v>7696.2892158065315</v>
      </c>
      <c r="AP346" s="34">
        <v>7200</v>
      </c>
      <c r="AQ346" s="34">
        <v>0</v>
      </c>
      <c r="AR346" s="34">
        <v>0</v>
      </c>
      <c r="AS346" s="34">
        <v>140</v>
      </c>
      <c r="AT346" s="34">
        <v>140</v>
      </c>
      <c r="AU346" s="34">
        <v>0</v>
      </c>
      <c r="AV346" s="34">
        <v>0</v>
      </c>
      <c r="AW346" s="34">
        <v>0</v>
      </c>
      <c r="AX346" s="34">
        <v>0</v>
      </c>
      <c r="AY346" s="34">
        <v>0</v>
      </c>
      <c r="AZ346" s="34">
        <v>0</v>
      </c>
      <c r="BA346" s="34">
        <v>0</v>
      </c>
      <c r="BB346" s="34">
        <v>0</v>
      </c>
      <c r="BC346" s="34">
        <v>0</v>
      </c>
      <c r="BD346" s="34">
        <v>288</v>
      </c>
      <c r="BE346" s="42">
        <v>288</v>
      </c>
      <c r="BF346" s="34">
        <v>288</v>
      </c>
      <c r="BG346" s="34">
        <v>288</v>
      </c>
      <c r="BH346" s="34">
        <v>0</v>
      </c>
      <c r="BI346" s="34">
        <v>0</v>
      </c>
      <c r="BJ346" s="113">
        <v>0</v>
      </c>
      <c r="BK346" s="113">
        <v>0</v>
      </c>
      <c r="BL346" s="113">
        <v>0</v>
      </c>
      <c r="BM346" s="113">
        <v>0</v>
      </c>
      <c r="BN346" s="113">
        <v>0</v>
      </c>
      <c r="BO346" s="113">
        <v>0</v>
      </c>
      <c r="BP346" s="113">
        <v>0</v>
      </c>
      <c r="BQ346" s="113">
        <v>0</v>
      </c>
      <c r="BR346" s="101"/>
      <c r="BS346">
        <f t="shared" si="647"/>
        <v>0</v>
      </c>
      <c r="BT346">
        <f t="shared" si="648"/>
        <v>0</v>
      </c>
      <c r="BU346">
        <f t="shared" si="649"/>
        <v>0</v>
      </c>
      <c r="BV346">
        <f t="shared" si="650"/>
        <v>0</v>
      </c>
      <c r="BW346">
        <f t="shared" si="651"/>
        <v>0</v>
      </c>
      <c r="BX346">
        <f t="shared" si="652"/>
        <v>0</v>
      </c>
      <c r="BY346">
        <f t="shared" si="653"/>
        <v>0</v>
      </c>
      <c r="BZ346">
        <f t="shared" si="654"/>
        <v>0</v>
      </c>
      <c r="CA346">
        <f t="shared" si="655"/>
        <v>0</v>
      </c>
      <c r="CB346">
        <f t="shared" si="656"/>
        <v>0</v>
      </c>
      <c r="CC346">
        <f t="shared" si="657"/>
        <v>0</v>
      </c>
      <c r="CD346">
        <f t="shared" si="658"/>
        <v>0</v>
      </c>
      <c r="CE346">
        <f t="shared" si="659"/>
        <v>0</v>
      </c>
      <c r="CF346">
        <f t="shared" si="660"/>
        <v>0</v>
      </c>
      <c r="CG346">
        <f t="shared" si="661"/>
        <v>0</v>
      </c>
      <c r="CH346">
        <f t="shared" si="662"/>
        <v>0</v>
      </c>
      <c r="CI346">
        <f t="shared" si="663"/>
        <v>0</v>
      </c>
      <c r="CJ346">
        <f t="shared" si="664"/>
        <v>0</v>
      </c>
      <c r="CK346">
        <f t="shared" si="665"/>
        <v>0</v>
      </c>
      <c r="CL346">
        <f t="shared" si="666"/>
        <v>0</v>
      </c>
      <c r="CM346">
        <f t="shared" si="667"/>
        <v>0</v>
      </c>
      <c r="CN346">
        <f t="shared" si="668"/>
        <v>0</v>
      </c>
      <c r="CO346">
        <f t="shared" si="669"/>
        <v>0</v>
      </c>
      <c r="CP346">
        <f t="shared" si="670"/>
        <v>0</v>
      </c>
      <c r="CQ346">
        <f t="shared" si="671"/>
        <v>0</v>
      </c>
      <c r="CR346">
        <f t="shared" si="672"/>
        <v>0</v>
      </c>
      <c r="CS346">
        <f t="shared" si="673"/>
        <v>0</v>
      </c>
      <c r="CT346">
        <f t="shared" si="674"/>
        <v>0</v>
      </c>
      <c r="CU346">
        <f t="shared" si="675"/>
        <v>0</v>
      </c>
      <c r="CV346">
        <f t="shared" si="676"/>
        <v>0</v>
      </c>
      <c r="CW346">
        <f t="shared" si="677"/>
        <v>0</v>
      </c>
      <c r="CX346">
        <f t="shared" si="678"/>
        <v>0</v>
      </c>
      <c r="CY346">
        <f t="shared" si="679"/>
        <v>0</v>
      </c>
      <c r="CZ346">
        <f t="shared" si="680"/>
        <v>0</v>
      </c>
      <c r="DA346">
        <f t="shared" si="681"/>
        <v>0</v>
      </c>
      <c r="DB346">
        <f t="shared" si="682"/>
        <v>0</v>
      </c>
      <c r="DC346">
        <f t="shared" si="683"/>
        <v>0</v>
      </c>
      <c r="DD346">
        <f t="shared" si="684"/>
        <v>0</v>
      </c>
      <c r="DE346">
        <f t="shared" si="685"/>
        <v>0</v>
      </c>
      <c r="DF346">
        <f t="shared" si="686"/>
        <v>0</v>
      </c>
      <c r="DG346">
        <f t="shared" si="687"/>
        <v>0</v>
      </c>
      <c r="DH346">
        <f t="shared" si="688"/>
        <v>0</v>
      </c>
      <c r="DI346">
        <f t="shared" si="689"/>
        <v>0</v>
      </c>
      <c r="DJ346">
        <f t="shared" si="690"/>
        <v>0</v>
      </c>
      <c r="DK346">
        <f t="shared" si="691"/>
        <v>0</v>
      </c>
      <c r="DL346">
        <f t="shared" si="692"/>
        <v>0</v>
      </c>
      <c r="DM346">
        <f t="shared" si="693"/>
        <v>0</v>
      </c>
      <c r="DN346">
        <f t="shared" si="694"/>
        <v>0</v>
      </c>
      <c r="DO346">
        <f t="shared" si="695"/>
        <v>0</v>
      </c>
      <c r="DP346">
        <f t="shared" si="696"/>
        <v>0</v>
      </c>
      <c r="DQ346">
        <f t="shared" si="697"/>
        <v>0</v>
      </c>
      <c r="DR346">
        <f t="shared" si="698"/>
        <v>0</v>
      </c>
      <c r="DS346">
        <f t="shared" si="699"/>
        <v>0</v>
      </c>
      <c r="DT346">
        <f t="shared" si="700"/>
        <v>0</v>
      </c>
      <c r="DU346">
        <f t="shared" si="701"/>
        <v>0</v>
      </c>
      <c r="DV346">
        <f t="shared" si="702"/>
        <v>0</v>
      </c>
      <c r="DW346">
        <f t="shared" si="703"/>
        <v>0</v>
      </c>
      <c r="DX346">
        <f t="shared" si="704"/>
        <v>0</v>
      </c>
      <c r="DY346">
        <f t="shared" si="705"/>
        <v>0</v>
      </c>
      <c r="DZ346">
        <f t="shared" si="706"/>
        <v>0</v>
      </c>
      <c r="EA346">
        <f t="shared" si="707"/>
        <v>0</v>
      </c>
      <c r="EB346">
        <f t="shared" si="708"/>
        <v>0</v>
      </c>
      <c r="EC346">
        <f t="shared" si="709"/>
        <v>0</v>
      </c>
      <c r="ED346">
        <f t="shared" si="710"/>
        <v>0</v>
      </c>
      <c r="EE346">
        <f t="shared" si="711"/>
        <v>0</v>
      </c>
      <c r="EF346">
        <f t="shared" si="711"/>
        <v>0</v>
      </c>
    </row>
    <row r="347" spans="1:136" ht="15.5">
      <c r="A347" s="93"/>
      <c r="B347" s="53" t="s">
        <v>25</v>
      </c>
      <c r="C347" s="94"/>
      <c r="D347" s="18">
        <v>0</v>
      </c>
      <c r="E347" s="18">
        <v>0</v>
      </c>
      <c r="F347" s="18">
        <v>0</v>
      </c>
      <c r="G347" s="18">
        <v>0</v>
      </c>
      <c r="H347" s="18">
        <v>0</v>
      </c>
      <c r="I347" s="18">
        <v>0</v>
      </c>
      <c r="J347" s="18">
        <v>0</v>
      </c>
      <c r="K347" s="18">
        <v>0</v>
      </c>
      <c r="L347" s="18">
        <v>0</v>
      </c>
      <c r="M347" s="18">
        <v>0</v>
      </c>
      <c r="N347" s="18">
        <v>0</v>
      </c>
      <c r="O347" s="18">
        <v>0</v>
      </c>
      <c r="P347" s="18">
        <v>0</v>
      </c>
      <c r="Q347" s="18">
        <v>0</v>
      </c>
      <c r="R347" s="18">
        <v>0</v>
      </c>
      <c r="S347" s="18">
        <v>0</v>
      </c>
      <c r="T347" s="18">
        <v>0</v>
      </c>
      <c r="U347" s="18">
        <v>0</v>
      </c>
      <c r="V347" s="18">
        <v>0</v>
      </c>
      <c r="W347" s="18">
        <v>0</v>
      </c>
      <c r="X347" s="18">
        <v>0</v>
      </c>
      <c r="Y347" s="18">
        <v>0</v>
      </c>
      <c r="Z347" s="18">
        <v>0</v>
      </c>
      <c r="AA347" s="18">
        <v>0</v>
      </c>
      <c r="AB347" s="18">
        <v>0</v>
      </c>
      <c r="AC347" s="18">
        <v>0</v>
      </c>
      <c r="AD347" s="18">
        <v>0</v>
      </c>
      <c r="AE347" s="18">
        <v>0</v>
      </c>
      <c r="AF347" s="18">
        <v>0</v>
      </c>
      <c r="AG347" s="18">
        <v>0</v>
      </c>
      <c r="AH347" s="18">
        <v>0</v>
      </c>
      <c r="AI347" s="18">
        <v>85</v>
      </c>
      <c r="AJ347" s="18">
        <v>450</v>
      </c>
      <c r="AK347" s="18">
        <v>1123</v>
      </c>
      <c r="AL347" s="18">
        <v>468</v>
      </c>
      <c r="AM347" s="18">
        <v>0</v>
      </c>
      <c r="AN347" s="18">
        <v>0</v>
      </c>
      <c r="AO347" s="18">
        <v>0</v>
      </c>
      <c r="AP347" s="18">
        <v>0</v>
      </c>
      <c r="AQ347" s="18">
        <v>0</v>
      </c>
      <c r="AR347" s="18">
        <v>2343</v>
      </c>
      <c r="AS347" s="18">
        <v>2403</v>
      </c>
      <c r="AT347" s="18">
        <v>2463</v>
      </c>
      <c r="AU347" s="18">
        <v>2523</v>
      </c>
      <c r="AV347" s="18">
        <v>2593</v>
      </c>
      <c r="AW347" s="18">
        <v>2663</v>
      </c>
      <c r="AX347" s="18">
        <v>2783</v>
      </c>
      <c r="AY347" s="18">
        <v>2903</v>
      </c>
      <c r="AZ347" s="18">
        <v>3023</v>
      </c>
      <c r="BA347" s="18">
        <v>3043</v>
      </c>
      <c r="BB347" s="18">
        <v>3100</v>
      </c>
      <c r="BC347" s="18">
        <v>2333</v>
      </c>
      <c r="BD347" s="18">
        <v>2711</v>
      </c>
      <c r="BE347" s="25">
        <v>0</v>
      </c>
      <c r="BF347" s="18">
        <v>0</v>
      </c>
      <c r="BG347" s="18">
        <v>0</v>
      </c>
      <c r="BH347" s="18">
        <v>0</v>
      </c>
      <c r="BI347" s="18">
        <v>0</v>
      </c>
      <c r="BJ347" s="113">
        <v>0</v>
      </c>
      <c r="BK347" s="113">
        <v>0</v>
      </c>
      <c r="BL347" s="113">
        <v>0</v>
      </c>
      <c r="BM347" s="113">
        <v>0</v>
      </c>
      <c r="BN347" s="113">
        <v>0</v>
      </c>
      <c r="BO347" s="113">
        <v>0</v>
      </c>
      <c r="BP347" s="113">
        <v>0</v>
      </c>
      <c r="BQ347" s="113">
        <v>0</v>
      </c>
      <c r="BR347" s="101"/>
      <c r="BS347">
        <f t="shared" si="647"/>
        <v>0</v>
      </c>
      <c r="BT347">
        <f t="shared" si="648"/>
        <v>0</v>
      </c>
      <c r="BU347">
        <f t="shared" si="649"/>
        <v>0</v>
      </c>
      <c r="BV347">
        <f t="shared" si="650"/>
        <v>0</v>
      </c>
      <c r="BW347">
        <f t="shared" si="651"/>
        <v>0</v>
      </c>
      <c r="BX347">
        <f t="shared" si="652"/>
        <v>0</v>
      </c>
      <c r="BY347">
        <f t="shared" si="653"/>
        <v>0</v>
      </c>
      <c r="BZ347">
        <f t="shared" si="654"/>
        <v>0</v>
      </c>
      <c r="CA347">
        <f t="shared" si="655"/>
        <v>0</v>
      </c>
      <c r="CB347">
        <f t="shared" si="656"/>
        <v>0</v>
      </c>
      <c r="CC347">
        <f t="shared" si="657"/>
        <v>0</v>
      </c>
      <c r="CD347">
        <f t="shared" si="658"/>
        <v>0</v>
      </c>
      <c r="CE347">
        <f t="shared" si="659"/>
        <v>0</v>
      </c>
      <c r="CF347">
        <f t="shared" si="660"/>
        <v>0</v>
      </c>
      <c r="CG347">
        <f t="shared" si="661"/>
        <v>0</v>
      </c>
      <c r="CH347">
        <f t="shared" si="662"/>
        <v>0</v>
      </c>
      <c r="CI347">
        <f t="shared" si="663"/>
        <v>0</v>
      </c>
      <c r="CJ347">
        <f t="shared" si="664"/>
        <v>0</v>
      </c>
      <c r="CK347">
        <f t="shared" si="665"/>
        <v>0</v>
      </c>
      <c r="CL347">
        <f t="shared" si="666"/>
        <v>0</v>
      </c>
      <c r="CM347">
        <f t="shared" si="667"/>
        <v>0</v>
      </c>
      <c r="CN347">
        <f t="shared" si="668"/>
        <v>0</v>
      </c>
      <c r="CO347">
        <f t="shared" si="669"/>
        <v>0</v>
      </c>
      <c r="CP347">
        <f t="shared" si="670"/>
        <v>0</v>
      </c>
      <c r="CQ347">
        <f t="shared" si="671"/>
        <v>0</v>
      </c>
      <c r="CR347">
        <f t="shared" si="672"/>
        <v>0</v>
      </c>
      <c r="CS347">
        <f t="shared" si="673"/>
        <v>0</v>
      </c>
      <c r="CT347">
        <f t="shared" si="674"/>
        <v>0</v>
      </c>
      <c r="CU347">
        <f t="shared" si="675"/>
        <v>0</v>
      </c>
      <c r="CV347">
        <f t="shared" si="676"/>
        <v>0</v>
      </c>
      <c r="CW347">
        <f t="shared" si="677"/>
        <v>0</v>
      </c>
      <c r="CX347">
        <f t="shared" si="678"/>
        <v>0</v>
      </c>
      <c r="CY347">
        <f t="shared" si="679"/>
        <v>0</v>
      </c>
      <c r="CZ347">
        <f t="shared" si="680"/>
        <v>0</v>
      </c>
      <c r="DA347">
        <f t="shared" si="681"/>
        <v>0</v>
      </c>
      <c r="DB347">
        <f t="shared" si="682"/>
        <v>0</v>
      </c>
      <c r="DC347">
        <f t="shared" si="683"/>
        <v>0</v>
      </c>
      <c r="DD347">
        <f t="shared" si="684"/>
        <v>0</v>
      </c>
      <c r="DE347">
        <f t="shared" si="685"/>
        <v>0</v>
      </c>
      <c r="DF347">
        <f t="shared" si="686"/>
        <v>0</v>
      </c>
      <c r="DG347">
        <f t="shared" si="687"/>
        <v>0</v>
      </c>
      <c r="DH347">
        <f t="shared" si="688"/>
        <v>0</v>
      </c>
      <c r="DI347">
        <f t="shared" si="689"/>
        <v>0</v>
      </c>
      <c r="DJ347">
        <f t="shared" si="690"/>
        <v>0</v>
      </c>
      <c r="DK347">
        <f t="shared" si="691"/>
        <v>0</v>
      </c>
      <c r="DL347">
        <f t="shared" si="692"/>
        <v>0</v>
      </c>
      <c r="DM347">
        <f t="shared" si="693"/>
        <v>0</v>
      </c>
      <c r="DN347">
        <f t="shared" si="694"/>
        <v>0</v>
      </c>
      <c r="DO347">
        <f t="shared" si="695"/>
        <v>0</v>
      </c>
      <c r="DP347">
        <f t="shared" si="696"/>
        <v>0</v>
      </c>
      <c r="DQ347">
        <f t="shared" si="697"/>
        <v>0</v>
      </c>
      <c r="DR347">
        <f t="shared" si="698"/>
        <v>0</v>
      </c>
      <c r="DS347">
        <f t="shared" si="699"/>
        <v>0</v>
      </c>
      <c r="DT347">
        <f t="shared" si="700"/>
        <v>0</v>
      </c>
      <c r="DU347">
        <f t="shared" si="701"/>
        <v>0</v>
      </c>
      <c r="DV347">
        <f t="shared" si="702"/>
        <v>0</v>
      </c>
      <c r="DW347">
        <f t="shared" si="703"/>
        <v>0</v>
      </c>
      <c r="DX347">
        <f t="shared" si="704"/>
        <v>0</v>
      </c>
      <c r="DY347">
        <f t="shared" si="705"/>
        <v>0</v>
      </c>
      <c r="DZ347">
        <f t="shared" si="706"/>
        <v>0</v>
      </c>
      <c r="EA347">
        <f t="shared" si="707"/>
        <v>0</v>
      </c>
      <c r="EB347">
        <f t="shared" si="708"/>
        <v>0</v>
      </c>
      <c r="EC347">
        <f t="shared" si="709"/>
        <v>0</v>
      </c>
      <c r="ED347">
        <f t="shared" si="710"/>
        <v>0</v>
      </c>
      <c r="EE347">
        <f t="shared" si="711"/>
        <v>0</v>
      </c>
      <c r="EF347">
        <f t="shared" si="711"/>
        <v>0</v>
      </c>
    </row>
    <row r="348" spans="1:136" ht="15.5">
      <c r="A348" s="93"/>
      <c r="B348" s="19" t="s">
        <v>208</v>
      </c>
      <c r="C348" s="94"/>
      <c r="D348" s="34">
        <v>0</v>
      </c>
      <c r="E348" s="34">
        <v>0</v>
      </c>
      <c r="F348" s="34">
        <v>0</v>
      </c>
      <c r="G348" s="34">
        <v>0</v>
      </c>
      <c r="H348" s="34">
        <v>0</v>
      </c>
      <c r="I348" s="34">
        <v>0</v>
      </c>
      <c r="J348" s="34">
        <v>0</v>
      </c>
      <c r="K348" s="34">
        <v>0</v>
      </c>
      <c r="L348" s="34">
        <v>0</v>
      </c>
      <c r="M348" s="34">
        <v>0</v>
      </c>
      <c r="N348" s="34">
        <v>0</v>
      </c>
      <c r="O348" s="34">
        <v>0</v>
      </c>
      <c r="P348" s="34">
        <v>0</v>
      </c>
      <c r="Q348" s="34">
        <v>0</v>
      </c>
      <c r="R348" s="34">
        <v>0</v>
      </c>
      <c r="S348" s="34">
        <v>0</v>
      </c>
      <c r="T348" s="34">
        <v>0</v>
      </c>
      <c r="U348" s="34">
        <v>0</v>
      </c>
      <c r="V348" s="34">
        <v>0</v>
      </c>
      <c r="W348" s="34">
        <v>0</v>
      </c>
      <c r="X348" s="34">
        <v>0</v>
      </c>
      <c r="Y348" s="34">
        <v>7.3369999999999997</v>
      </c>
      <c r="Z348" s="34">
        <v>2.5920000000000001</v>
      </c>
      <c r="AA348" s="18">
        <v>139.67699999999999</v>
      </c>
      <c r="AB348" s="18">
        <v>181.57499999999999</v>
      </c>
      <c r="AC348" s="18">
        <v>221</v>
      </c>
      <c r="AD348" s="40" t="s">
        <v>16</v>
      </c>
      <c r="AE348" s="40" t="s">
        <v>16</v>
      </c>
      <c r="AF348" s="40" t="s">
        <v>16</v>
      </c>
      <c r="AG348" s="40" t="s">
        <v>16</v>
      </c>
      <c r="AH348" s="40" t="s">
        <v>16</v>
      </c>
      <c r="AI348" s="40" t="s">
        <v>16</v>
      </c>
      <c r="AJ348" s="40" t="s">
        <v>16</v>
      </c>
      <c r="AK348" s="40" t="s">
        <v>16</v>
      </c>
      <c r="AL348" s="40" t="s">
        <v>16</v>
      </c>
      <c r="AM348" s="40" t="s">
        <v>16</v>
      </c>
      <c r="AN348" s="40" t="s">
        <v>16</v>
      </c>
      <c r="AO348" s="40" t="s">
        <v>16</v>
      </c>
      <c r="AP348" s="40" t="s">
        <v>16</v>
      </c>
      <c r="AQ348" s="18">
        <v>51.673999999999999</v>
      </c>
      <c r="AR348" s="18">
        <v>52.751999999999995</v>
      </c>
      <c r="AS348" s="18">
        <v>250.73500000000001</v>
      </c>
      <c r="AT348" s="18">
        <v>319.65300000000002</v>
      </c>
      <c r="AU348" s="18">
        <v>397.13800000000003</v>
      </c>
      <c r="AV348" s="18">
        <v>388.30600000000004</v>
      </c>
      <c r="AW348" s="18">
        <v>441.49299999999999</v>
      </c>
      <c r="AX348" s="18">
        <v>557.41</v>
      </c>
      <c r="AY348" s="18">
        <v>668.76</v>
      </c>
      <c r="AZ348" s="18">
        <v>789.96199999999999</v>
      </c>
      <c r="BA348" s="18">
        <v>293.47199999999998</v>
      </c>
      <c r="BB348" s="40" t="s">
        <v>16</v>
      </c>
      <c r="BC348" s="18">
        <v>2.8380000000000001</v>
      </c>
      <c r="BD348" s="18">
        <v>0.375</v>
      </c>
      <c r="BE348" s="25">
        <v>0</v>
      </c>
      <c r="BF348" s="25">
        <v>0</v>
      </c>
      <c r="BG348" s="34">
        <v>0</v>
      </c>
      <c r="BH348" s="34">
        <v>0</v>
      </c>
      <c r="BI348" s="34">
        <v>0</v>
      </c>
      <c r="BJ348" s="113">
        <v>0</v>
      </c>
      <c r="BK348" s="113">
        <v>0</v>
      </c>
      <c r="BL348" s="113">
        <v>0</v>
      </c>
      <c r="BM348" s="113">
        <v>0</v>
      </c>
      <c r="BN348" s="113">
        <v>0</v>
      </c>
      <c r="BO348" s="113">
        <v>0</v>
      </c>
      <c r="BP348" s="113">
        <v>0</v>
      </c>
      <c r="BQ348" s="113">
        <v>0</v>
      </c>
      <c r="BR348" s="101"/>
      <c r="BS348">
        <f t="shared" si="647"/>
        <v>0</v>
      </c>
      <c r="BT348">
        <f t="shared" si="648"/>
        <v>0</v>
      </c>
      <c r="BU348">
        <f t="shared" si="649"/>
        <v>0</v>
      </c>
      <c r="BV348">
        <f t="shared" si="650"/>
        <v>0</v>
      </c>
      <c r="BW348">
        <f t="shared" si="651"/>
        <v>0</v>
      </c>
      <c r="BX348">
        <f t="shared" si="652"/>
        <v>0</v>
      </c>
      <c r="BY348">
        <f t="shared" si="653"/>
        <v>0</v>
      </c>
      <c r="BZ348">
        <f t="shared" si="654"/>
        <v>0</v>
      </c>
      <c r="CA348">
        <f t="shared" si="655"/>
        <v>0</v>
      </c>
      <c r="CB348">
        <f t="shared" si="656"/>
        <v>0</v>
      </c>
      <c r="CC348">
        <f t="shared" si="657"/>
        <v>0</v>
      </c>
      <c r="CD348">
        <f t="shared" si="658"/>
        <v>0</v>
      </c>
      <c r="CE348">
        <f t="shared" si="659"/>
        <v>0</v>
      </c>
      <c r="CF348">
        <f t="shared" si="660"/>
        <v>0</v>
      </c>
      <c r="CG348">
        <f t="shared" si="661"/>
        <v>0</v>
      </c>
      <c r="CH348">
        <f t="shared" si="662"/>
        <v>0</v>
      </c>
      <c r="CI348">
        <f t="shared" si="663"/>
        <v>0</v>
      </c>
      <c r="CJ348">
        <f t="shared" si="664"/>
        <v>0</v>
      </c>
      <c r="CK348">
        <f t="shared" si="665"/>
        <v>0</v>
      </c>
      <c r="CL348">
        <f t="shared" si="666"/>
        <v>0</v>
      </c>
      <c r="CM348">
        <f t="shared" si="667"/>
        <v>0</v>
      </c>
      <c r="CN348">
        <f t="shared" si="668"/>
        <v>0</v>
      </c>
      <c r="CO348">
        <f t="shared" si="669"/>
        <v>0</v>
      </c>
      <c r="CP348">
        <f t="shared" si="670"/>
        <v>0</v>
      </c>
      <c r="CQ348">
        <f t="shared" si="671"/>
        <v>0</v>
      </c>
      <c r="CR348">
        <f t="shared" si="672"/>
        <v>0</v>
      </c>
      <c r="CS348">
        <f t="shared" si="673"/>
        <v>0</v>
      </c>
      <c r="CT348">
        <f t="shared" si="674"/>
        <v>0</v>
      </c>
      <c r="CU348">
        <f t="shared" si="675"/>
        <v>0</v>
      </c>
      <c r="CV348">
        <f t="shared" si="676"/>
        <v>0</v>
      </c>
      <c r="CW348">
        <f t="shared" si="677"/>
        <v>0</v>
      </c>
      <c r="CX348">
        <f t="shared" si="678"/>
        <v>0</v>
      </c>
      <c r="CY348">
        <f t="shared" si="679"/>
        <v>0</v>
      </c>
      <c r="CZ348">
        <f t="shared" si="680"/>
        <v>0</v>
      </c>
      <c r="DA348">
        <f t="shared" si="681"/>
        <v>0</v>
      </c>
      <c r="DB348">
        <f t="shared" si="682"/>
        <v>0</v>
      </c>
      <c r="DC348">
        <f t="shared" si="683"/>
        <v>0</v>
      </c>
      <c r="DD348">
        <f t="shared" si="684"/>
        <v>0</v>
      </c>
      <c r="DE348">
        <f t="shared" si="685"/>
        <v>0</v>
      </c>
      <c r="DF348">
        <f t="shared" si="686"/>
        <v>0</v>
      </c>
      <c r="DG348">
        <f t="shared" si="687"/>
        <v>0</v>
      </c>
      <c r="DH348">
        <f t="shared" si="688"/>
        <v>0</v>
      </c>
      <c r="DI348">
        <f t="shared" si="689"/>
        <v>0</v>
      </c>
      <c r="DJ348">
        <f t="shared" si="690"/>
        <v>0</v>
      </c>
      <c r="DK348">
        <f t="shared" si="691"/>
        <v>0</v>
      </c>
      <c r="DL348">
        <f t="shared" si="692"/>
        <v>0</v>
      </c>
      <c r="DM348">
        <f t="shared" si="693"/>
        <v>0</v>
      </c>
      <c r="DN348">
        <f t="shared" si="694"/>
        <v>0</v>
      </c>
      <c r="DO348">
        <f t="shared" si="695"/>
        <v>0</v>
      </c>
      <c r="DP348">
        <f t="shared" si="696"/>
        <v>0</v>
      </c>
      <c r="DQ348">
        <f t="shared" si="697"/>
        <v>0</v>
      </c>
      <c r="DR348">
        <f t="shared" si="698"/>
        <v>0</v>
      </c>
      <c r="DS348">
        <f t="shared" si="699"/>
        <v>0</v>
      </c>
      <c r="DT348">
        <f t="shared" si="700"/>
        <v>0</v>
      </c>
      <c r="DU348">
        <f t="shared" si="701"/>
        <v>0</v>
      </c>
      <c r="DV348">
        <f t="shared" si="702"/>
        <v>0</v>
      </c>
      <c r="DW348">
        <f t="shared" si="703"/>
        <v>0</v>
      </c>
      <c r="DX348">
        <f t="shared" si="704"/>
        <v>0</v>
      </c>
      <c r="DY348">
        <f t="shared" si="705"/>
        <v>0</v>
      </c>
      <c r="DZ348">
        <f t="shared" si="706"/>
        <v>0</v>
      </c>
      <c r="EA348">
        <f t="shared" si="707"/>
        <v>0</v>
      </c>
      <c r="EB348">
        <f t="shared" si="708"/>
        <v>0</v>
      </c>
      <c r="EC348">
        <f t="shared" si="709"/>
        <v>0</v>
      </c>
      <c r="ED348">
        <f t="shared" si="710"/>
        <v>0</v>
      </c>
      <c r="EE348">
        <f t="shared" si="711"/>
        <v>0</v>
      </c>
      <c r="EF348">
        <f t="shared" si="711"/>
        <v>0</v>
      </c>
    </row>
    <row r="349" spans="1:136" ht="15.5">
      <c r="A349" s="93"/>
      <c r="B349" s="19" t="s">
        <v>212</v>
      </c>
      <c r="C349" s="9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>
        <v>0</v>
      </c>
      <c r="Y349" s="34">
        <v>0</v>
      </c>
      <c r="Z349" s="34">
        <v>0</v>
      </c>
      <c r="AA349" s="18">
        <v>0</v>
      </c>
      <c r="AB349" s="18">
        <v>0</v>
      </c>
      <c r="AC349" s="18">
        <v>1696.6411002380321</v>
      </c>
      <c r="AD349" s="71">
        <v>2021.3754646840148</v>
      </c>
      <c r="AE349" s="71">
        <v>2507.4906367041199</v>
      </c>
      <c r="AF349" s="71">
        <v>2308.5808580858084</v>
      </c>
      <c r="AG349" s="71">
        <v>2523.8424326192126</v>
      </c>
      <c r="AH349" s="147">
        <v>2986.3547758284599</v>
      </c>
      <c r="AI349" s="147">
        <v>2296.2674134202971</v>
      </c>
      <c r="AJ349" s="147">
        <v>2043.5226113566814</v>
      </c>
      <c r="AK349" s="147">
        <v>1814.5218251165418</v>
      </c>
      <c r="AL349" s="147">
        <v>711.58554147465441</v>
      </c>
      <c r="AM349" s="147">
        <v>633.47691074827208</v>
      </c>
      <c r="AN349" s="147">
        <v>440.8171244257648</v>
      </c>
      <c r="AO349" s="147">
        <v>322.81229124916501</v>
      </c>
      <c r="AP349" s="147">
        <v>388.29598007826394</v>
      </c>
      <c r="AQ349" s="147">
        <v>541.73962494282671</v>
      </c>
      <c r="AR349" s="147">
        <v>569.73441073334357</v>
      </c>
      <c r="AS349" s="147">
        <v>527.11387406616871</v>
      </c>
      <c r="AT349" s="147">
        <v>662.5099920063949</v>
      </c>
      <c r="AU349" s="147">
        <v>714.60596654595622</v>
      </c>
      <c r="AV349" s="18">
        <v>1132.1547768043388</v>
      </c>
      <c r="AW349" s="18">
        <v>851.31484998101018</v>
      </c>
      <c r="AX349" s="18">
        <v>861.44252873563221</v>
      </c>
      <c r="AY349" s="18">
        <v>753.33611691022963</v>
      </c>
      <c r="AZ349" s="18">
        <v>1044.0538116591929</v>
      </c>
      <c r="BA349" s="18">
        <v>793.87148594377516</v>
      </c>
      <c r="BB349" s="146">
        <v>764.85774946921447</v>
      </c>
      <c r="BC349" s="18">
        <v>678.19740923189192</v>
      </c>
      <c r="BD349" s="18">
        <v>1055.9022193631392</v>
      </c>
      <c r="BE349" s="25">
        <v>1183.5337495286378</v>
      </c>
      <c r="BF349" s="25">
        <v>749.40579144116487</v>
      </c>
      <c r="BG349" s="34">
        <v>671.60010614302769</v>
      </c>
      <c r="BH349" s="34">
        <v>776.26824963901822</v>
      </c>
      <c r="BI349" s="34">
        <v>838.46863301806604</v>
      </c>
      <c r="BJ349" s="113">
        <v>760.22183708838827</v>
      </c>
      <c r="BK349" s="113">
        <v>931.36410256410261</v>
      </c>
      <c r="BL349" s="113">
        <v>1079.9373695198331</v>
      </c>
      <c r="BM349" s="113">
        <v>1048.9638554216867</v>
      </c>
      <c r="BN349" s="113">
        <v>909.62388059701493</v>
      </c>
      <c r="BO349" s="113">
        <v>1027.7369308600337</v>
      </c>
      <c r="BP349" s="113">
        <v>0</v>
      </c>
      <c r="BQ349" s="113">
        <v>0</v>
      </c>
      <c r="BR349" s="101"/>
      <c r="BS349">
        <f t="shared" si="647"/>
        <v>0</v>
      </c>
      <c r="BT349">
        <f t="shared" si="648"/>
        <v>0</v>
      </c>
      <c r="BU349">
        <f t="shared" si="649"/>
        <v>0</v>
      </c>
      <c r="BV349">
        <f t="shared" si="650"/>
        <v>0</v>
      </c>
      <c r="BW349">
        <f t="shared" si="651"/>
        <v>0</v>
      </c>
      <c r="BX349">
        <f t="shared" si="652"/>
        <v>0</v>
      </c>
      <c r="BY349">
        <f t="shared" si="653"/>
        <v>0</v>
      </c>
      <c r="BZ349">
        <f t="shared" si="654"/>
        <v>0</v>
      </c>
      <c r="CA349">
        <f t="shared" si="655"/>
        <v>0</v>
      </c>
      <c r="CB349">
        <f t="shared" si="656"/>
        <v>0</v>
      </c>
      <c r="CC349">
        <f t="shared" si="657"/>
        <v>0</v>
      </c>
      <c r="CD349">
        <f t="shared" si="658"/>
        <v>0</v>
      </c>
      <c r="CE349">
        <f t="shared" si="659"/>
        <v>0</v>
      </c>
      <c r="CF349">
        <f t="shared" si="660"/>
        <v>0</v>
      </c>
      <c r="CG349">
        <f t="shared" si="661"/>
        <v>0</v>
      </c>
      <c r="CH349">
        <f t="shared" si="662"/>
        <v>0</v>
      </c>
      <c r="CI349">
        <f t="shared" si="663"/>
        <v>0</v>
      </c>
      <c r="CJ349">
        <f t="shared" si="664"/>
        <v>0</v>
      </c>
      <c r="CK349">
        <f t="shared" si="665"/>
        <v>0</v>
      </c>
      <c r="CL349">
        <f t="shared" si="666"/>
        <v>0</v>
      </c>
      <c r="CM349">
        <f t="shared" si="667"/>
        <v>0</v>
      </c>
      <c r="CN349">
        <f t="shared" si="668"/>
        <v>0</v>
      </c>
      <c r="CO349">
        <f t="shared" si="669"/>
        <v>0</v>
      </c>
      <c r="CP349">
        <f t="shared" si="670"/>
        <v>0</v>
      </c>
      <c r="CQ349">
        <f t="shared" si="671"/>
        <v>0</v>
      </c>
      <c r="CR349">
        <f t="shared" si="672"/>
        <v>0</v>
      </c>
      <c r="CS349">
        <f t="shared" si="673"/>
        <v>0</v>
      </c>
      <c r="CT349">
        <f t="shared" si="674"/>
        <v>0</v>
      </c>
      <c r="CU349">
        <f t="shared" si="675"/>
        <v>0</v>
      </c>
      <c r="CV349">
        <f t="shared" si="676"/>
        <v>0</v>
      </c>
      <c r="CW349">
        <f t="shared" si="677"/>
        <v>0</v>
      </c>
      <c r="CX349">
        <f t="shared" si="678"/>
        <v>0</v>
      </c>
      <c r="CY349">
        <f t="shared" si="679"/>
        <v>0</v>
      </c>
      <c r="CZ349">
        <f t="shared" si="680"/>
        <v>0</v>
      </c>
      <c r="DA349">
        <f t="shared" si="681"/>
        <v>0</v>
      </c>
      <c r="DB349">
        <f t="shared" si="682"/>
        <v>0</v>
      </c>
      <c r="DC349">
        <f t="shared" si="683"/>
        <v>0</v>
      </c>
      <c r="DD349">
        <f t="shared" si="684"/>
        <v>0</v>
      </c>
      <c r="DE349">
        <f t="shared" si="685"/>
        <v>0</v>
      </c>
      <c r="DF349">
        <f t="shared" si="686"/>
        <v>0</v>
      </c>
      <c r="DG349">
        <f t="shared" si="687"/>
        <v>0</v>
      </c>
      <c r="DH349">
        <f t="shared" si="688"/>
        <v>0</v>
      </c>
      <c r="DI349">
        <f t="shared" si="689"/>
        <v>0</v>
      </c>
      <c r="DJ349">
        <f t="shared" si="690"/>
        <v>0</v>
      </c>
      <c r="DK349">
        <f t="shared" si="691"/>
        <v>0</v>
      </c>
      <c r="DL349">
        <f t="shared" si="692"/>
        <v>0</v>
      </c>
      <c r="DM349">
        <f t="shared" si="693"/>
        <v>0</v>
      </c>
      <c r="DN349">
        <f t="shared" si="694"/>
        <v>0</v>
      </c>
      <c r="DO349">
        <f t="shared" si="695"/>
        <v>0</v>
      </c>
      <c r="DP349">
        <f t="shared" si="696"/>
        <v>0</v>
      </c>
      <c r="DQ349">
        <f t="shared" si="697"/>
        <v>0</v>
      </c>
      <c r="DR349">
        <f t="shared" si="698"/>
        <v>0</v>
      </c>
      <c r="DS349">
        <f t="shared" si="699"/>
        <v>0</v>
      </c>
      <c r="DT349">
        <f t="shared" si="700"/>
        <v>0</v>
      </c>
      <c r="DU349">
        <f t="shared" si="701"/>
        <v>0</v>
      </c>
      <c r="DV349">
        <f t="shared" si="702"/>
        <v>0</v>
      </c>
      <c r="DW349">
        <f t="shared" si="703"/>
        <v>0</v>
      </c>
      <c r="DX349">
        <f t="shared" si="704"/>
        <v>0</v>
      </c>
      <c r="DY349">
        <f t="shared" si="705"/>
        <v>0</v>
      </c>
      <c r="DZ349">
        <f t="shared" si="706"/>
        <v>0</v>
      </c>
      <c r="EA349">
        <f t="shared" si="707"/>
        <v>0</v>
      </c>
      <c r="EB349">
        <f t="shared" si="708"/>
        <v>0</v>
      </c>
      <c r="EC349">
        <f t="shared" si="709"/>
        <v>0</v>
      </c>
      <c r="ED349">
        <f t="shared" si="710"/>
        <v>0</v>
      </c>
      <c r="EE349">
        <f t="shared" si="711"/>
        <v>0</v>
      </c>
      <c r="EF349">
        <f t="shared" si="711"/>
        <v>0</v>
      </c>
    </row>
    <row r="350" spans="1:136" ht="15.5">
      <c r="A350" s="93"/>
      <c r="B350" s="53"/>
      <c r="C350" s="94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9"/>
      <c r="BM350" s="2"/>
      <c r="BN350" s="2"/>
      <c r="BO350" s="2"/>
      <c r="BP350" s="2"/>
      <c r="BQ350" s="2"/>
      <c r="BR350" s="101"/>
    </row>
    <row r="351" spans="1:136" ht="15.5">
      <c r="A351" s="93">
        <v>39</v>
      </c>
      <c r="B351" s="52" t="s">
        <v>53</v>
      </c>
      <c r="C351" s="94">
        <v>1</v>
      </c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>
        <f t="shared" ref="AJ351:BO351" si="712">AJ353+AJ354</f>
        <v>1098</v>
      </c>
      <c r="AK351" s="9">
        <f t="shared" si="712"/>
        <v>1268</v>
      </c>
      <c r="AL351" s="9">
        <f t="shared" si="712"/>
        <v>1453</v>
      </c>
      <c r="AM351" s="9">
        <f t="shared" si="712"/>
        <v>2620</v>
      </c>
      <c r="AN351" s="9">
        <f t="shared" si="712"/>
        <v>2110</v>
      </c>
      <c r="AO351" s="9">
        <f t="shared" si="712"/>
        <v>0</v>
      </c>
      <c r="AP351" s="9">
        <f t="shared" si="712"/>
        <v>0</v>
      </c>
      <c r="AQ351" s="9">
        <f t="shared" si="712"/>
        <v>0</v>
      </c>
      <c r="AR351" s="9">
        <f t="shared" si="712"/>
        <v>0</v>
      </c>
      <c r="AS351" s="9">
        <f t="shared" si="712"/>
        <v>0</v>
      </c>
      <c r="AT351" s="9">
        <f t="shared" si="712"/>
        <v>0</v>
      </c>
      <c r="AU351" s="9">
        <f t="shared" si="712"/>
        <v>0</v>
      </c>
      <c r="AV351" s="9">
        <f t="shared" si="712"/>
        <v>0</v>
      </c>
      <c r="AW351" s="9">
        <f t="shared" si="712"/>
        <v>0</v>
      </c>
      <c r="AX351" s="9">
        <f t="shared" si="712"/>
        <v>0</v>
      </c>
      <c r="AY351" s="9">
        <f t="shared" si="712"/>
        <v>0</v>
      </c>
      <c r="AZ351" s="9">
        <f t="shared" si="712"/>
        <v>0</v>
      </c>
      <c r="BA351" s="9">
        <f t="shared" si="712"/>
        <v>0</v>
      </c>
      <c r="BB351" s="9">
        <f t="shared" si="712"/>
        <v>0</v>
      </c>
      <c r="BC351" s="9">
        <f t="shared" si="712"/>
        <v>0</v>
      </c>
      <c r="BD351" s="9">
        <f t="shared" si="712"/>
        <v>0</v>
      </c>
      <c r="BE351" s="9">
        <f t="shared" si="712"/>
        <v>0</v>
      </c>
      <c r="BF351" s="9">
        <f t="shared" si="712"/>
        <v>0</v>
      </c>
      <c r="BG351" s="9">
        <f t="shared" si="712"/>
        <v>0</v>
      </c>
      <c r="BH351" s="9">
        <f t="shared" si="712"/>
        <v>0</v>
      </c>
      <c r="BI351" s="9">
        <f t="shared" si="712"/>
        <v>0</v>
      </c>
      <c r="BJ351" s="9">
        <f t="shared" si="712"/>
        <v>0</v>
      </c>
      <c r="BK351" s="9">
        <f t="shared" si="712"/>
        <v>0</v>
      </c>
      <c r="BL351" s="9">
        <f t="shared" si="712"/>
        <v>0</v>
      </c>
      <c r="BM351" s="9">
        <f t="shared" si="712"/>
        <v>0</v>
      </c>
      <c r="BN351" s="9">
        <f t="shared" si="712"/>
        <v>0</v>
      </c>
      <c r="BO351" s="9">
        <f t="shared" si="712"/>
        <v>0</v>
      </c>
      <c r="BP351" s="9">
        <f>BP353+BP354</f>
        <v>0</v>
      </c>
      <c r="BQ351" s="9">
        <f>BQ353+BQ354</f>
        <v>0</v>
      </c>
      <c r="BR351" s="101"/>
      <c r="BS351">
        <f t="shared" ref="BS351:CB352" si="713">IF($C351&lt;&gt;"",IF(D351&gt;0,1,0),0)</f>
        <v>0</v>
      </c>
      <c r="BT351">
        <f t="shared" si="713"/>
        <v>0</v>
      </c>
      <c r="BU351">
        <f t="shared" si="713"/>
        <v>0</v>
      </c>
      <c r="BV351">
        <f t="shared" si="713"/>
        <v>0</v>
      </c>
      <c r="BW351">
        <f t="shared" si="713"/>
        <v>0</v>
      </c>
      <c r="BX351">
        <f t="shared" si="713"/>
        <v>0</v>
      </c>
      <c r="BY351">
        <f t="shared" si="713"/>
        <v>0</v>
      </c>
      <c r="BZ351">
        <f t="shared" si="713"/>
        <v>0</v>
      </c>
      <c r="CA351">
        <f t="shared" si="713"/>
        <v>0</v>
      </c>
      <c r="CB351">
        <f t="shared" si="713"/>
        <v>0</v>
      </c>
      <c r="CC351">
        <f t="shared" ref="CC351:CL352" si="714">IF($C351&lt;&gt;"",IF(N351&gt;0,1,0),0)</f>
        <v>0</v>
      </c>
      <c r="CD351">
        <f t="shared" si="714"/>
        <v>0</v>
      </c>
      <c r="CE351">
        <f t="shared" si="714"/>
        <v>0</v>
      </c>
      <c r="CF351">
        <f t="shared" si="714"/>
        <v>0</v>
      </c>
      <c r="CG351">
        <f t="shared" si="714"/>
        <v>0</v>
      </c>
      <c r="CH351">
        <f t="shared" si="714"/>
        <v>0</v>
      </c>
      <c r="CI351">
        <f t="shared" si="714"/>
        <v>0</v>
      </c>
      <c r="CJ351">
        <f t="shared" si="714"/>
        <v>0</v>
      </c>
      <c r="CK351">
        <f t="shared" si="714"/>
        <v>0</v>
      </c>
      <c r="CL351">
        <f t="shared" si="714"/>
        <v>0</v>
      </c>
      <c r="CM351">
        <f t="shared" ref="CM351:CV352" si="715">IF($C351&lt;&gt;"",IF(X351&gt;0,1,0),0)</f>
        <v>0</v>
      </c>
      <c r="CN351">
        <f t="shared" si="715"/>
        <v>0</v>
      </c>
      <c r="CO351">
        <f t="shared" si="715"/>
        <v>0</v>
      </c>
      <c r="CP351">
        <f t="shared" si="715"/>
        <v>0</v>
      </c>
      <c r="CQ351">
        <f t="shared" si="715"/>
        <v>0</v>
      </c>
      <c r="CR351">
        <f t="shared" si="715"/>
        <v>0</v>
      </c>
      <c r="CS351">
        <f t="shared" si="715"/>
        <v>0</v>
      </c>
      <c r="CT351">
        <f t="shared" si="715"/>
        <v>0</v>
      </c>
      <c r="CU351">
        <f t="shared" si="715"/>
        <v>0</v>
      </c>
      <c r="CV351">
        <f t="shared" si="715"/>
        <v>0</v>
      </c>
      <c r="CW351">
        <f t="shared" ref="CW351:DF352" si="716">IF($C351&lt;&gt;"",IF(AH351&gt;0,1,0),0)</f>
        <v>0</v>
      </c>
      <c r="CX351">
        <f t="shared" si="716"/>
        <v>0</v>
      </c>
      <c r="CY351">
        <f t="shared" si="716"/>
        <v>1</v>
      </c>
      <c r="CZ351">
        <f t="shared" si="716"/>
        <v>1</v>
      </c>
      <c r="DA351">
        <f t="shared" si="716"/>
        <v>1</v>
      </c>
      <c r="DB351">
        <f t="shared" si="716"/>
        <v>1</v>
      </c>
      <c r="DC351">
        <f t="shared" si="716"/>
        <v>1</v>
      </c>
      <c r="DD351">
        <f t="shared" si="716"/>
        <v>0</v>
      </c>
      <c r="DE351">
        <f t="shared" si="716"/>
        <v>0</v>
      </c>
      <c r="DF351">
        <f t="shared" si="716"/>
        <v>0</v>
      </c>
      <c r="DG351">
        <f t="shared" ref="DG351:DP352" si="717">IF($C351&lt;&gt;"",IF(AR351&gt;0,1,0),0)</f>
        <v>0</v>
      </c>
      <c r="DH351">
        <f t="shared" si="717"/>
        <v>0</v>
      </c>
      <c r="DI351">
        <f t="shared" si="717"/>
        <v>0</v>
      </c>
      <c r="DJ351">
        <f t="shared" si="717"/>
        <v>0</v>
      </c>
      <c r="DK351">
        <f t="shared" si="717"/>
        <v>0</v>
      </c>
      <c r="DL351">
        <f t="shared" si="717"/>
        <v>0</v>
      </c>
      <c r="DM351">
        <f t="shared" si="717"/>
        <v>0</v>
      </c>
      <c r="DN351">
        <f t="shared" si="717"/>
        <v>0</v>
      </c>
      <c r="DO351">
        <f t="shared" si="717"/>
        <v>0</v>
      </c>
      <c r="DP351">
        <f t="shared" si="717"/>
        <v>0</v>
      </c>
      <c r="DQ351">
        <f t="shared" ref="DQ351:DZ352" si="718">IF($C351&lt;&gt;"",IF(BB351&gt;0,1,0),0)</f>
        <v>0</v>
      </c>
      <c r="DR351">
        <f t="shared" si="718"/>
        <v>0</v>
      </c>
      <c r="DS351">
        <f t="shared" si="718"/>
        <v>0</v>
      </c>
      <c r="DT351">
        <f t="shared" si="718"/>
        <v>0</v>
      </c>
      <c r="DU351">
        <f t="shared" si="718"/>
        <v>0</v>
      </c>
      <c r="DV351">
        <f t="shared" si="718"/>
        <v>0</v>
      </c>
      <c r="DW351">
        <f t="shared" si="718"/>
        <v>0</v>
      </c>
      <c r="DX351">
        <f t="shared" si="718"/>
        <v>0</v>
      </c>
      <c r="DY351">
        <f t="shared" si="718"/>
        <v>0</v>
      </c>
      <c r="DZ351">
        <f t="shared" si="718"/>
        <v>0</v>
      </c>
      <c r="EA351">
        <f t="shared" ref="EA351:EF352" si="719">IF($C351&lt;&gt;"",IF(BL351&gt;0,1,0),0)</f>
        <v>0</v>
      </c>
      <c r="EB351">
        <f t="shared" si="719"/>
        <v>0</v>
      </c>
      <c r="EC351">
        <f t="shared" si="719"/>
        <v>0</v>
      </c>
      <c r="ED351">
        <f t="shared" si="719"/>
        <v>0</v>
      </c>
      <c r="EE351">
        <f t="shared" si="719"/>
        <v>0</v>
      </c>
      <c r="EF351">
        <f t="shared" si="719"/>
        <v>0</v>
      </c>
    </row>
    <row r="352" spans="1:136" ht="15.5">
      <c r="A352" s="93"/>
      <c r="B352" s="53" t="s">
        <v>15</v>
      </c>
      <c r="C352" s="94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34">
        <v>7.7</v>
      </c>
      <c r="AK352" s="34">
        <v>0</v>
      </c>
      <c r="AL352" s="34">
        <v>0</v>
      </c>
      <c r="AM352" s="34">
        <v>0</v>
      </c>
      <c r="AN352" s="34">
        <v>0</v>
      </c>
      <c r="AO352" s="34">
        <v>0</v>
      </c>
      <c r="AP352" s="34">
        <v>0</v>
      </c>
      <c r="AQ352" s="34">
        <v>0</v>
      </c>
      <c r="AR352" s="34">
        <v>0</v>
      </c>
      <c r="AS352" s="34">
        <v>0</v>
      </c>
      <c r="AT352" s="34">
        <v>0</v>
      </c>
      <c r="AU352" s="34">
        <v>0</v>
      </c>
      <c r="AV352" s="34">
        <v>0</v>
      </c>
      <c r="AW352" s="34">
        <v>0</v>
      </c>
      <c r="AX352" s="34">
        <v>0</v>
      </c>
      <c r="AY352" s="34">
        <v>0</v>
      </c>
      <c r="AZ352" s="34">
        <v>0</v>
      </c>
      <c r="BA352" s="34">
        <v>0</v>
      </c>
      <c r="BB352" s="34">
        <v>0</v>
      </c>
      <c r="BC352" s="34">
        <v>0</v>
      </c>
      <c r="BD352" s="34">
        <v>0</v>
      </c>
      <c r="BE352" s="34">
        <v>0</v>
      </c>
      <c r="BF352" s="34">
        <v>0</v>
      </c>
      <c r="BG352" s="34">
        <v>0</v>
      </c>
      <c r="BH352" s="34">
        <v>0</v>
      </c>
      <c r="BI352" s="34">
        <v>0</v>
      </c>
      <c r="BJ352" s="34">
        <v>0</v>
      </c>
      <c r="BK352" s="34">
        <v>0</v>
      </c>
      <c r="BL352" s="34">
        <v>0</v>
      </c>
      <c r="BM352" s="34">
        <v>0</v>
      </c>
      <c r="BN352" s="34">
        <v>0</v>
      </c>
      <c r="BO352" s="34">
        <v>0</v>
      </c>
      <c r="BP352" s="34">
        <v>0</v>
      </c>
      <c r="BQ352" s="34">
        <v>0</v>
      </c>
      <c r="BR352" s="101"/>
      <c r="BS352">
        <f t="shared" si="713"/>
        <v>0</v>
      </c>
      <c r="BT352">
        <f t="shared" si="713"/>
        <v>0</v>
      </c>
      <c r="BU352">
        <f t="shared" si="713"/>
        <v>0</v>
      </c>
      <c r="BV352">
        <f t="shared" si="713"/>
        <v>0</v>
      </c>
      <c r="BW352">
        <f t="shared" si="713"/>
        <v>0</v>
      </c>
      <c r="BX352">
        <f t="shared" si="713"/>
        <v>0</v>
      </c>
      <c r="BY352">
        <f t="shared" si="713"/>
        <v>0</v>
      </c>
      <c r="BZ352">
        <f t="shared" si="713"/>
        <v>0</v>
      </c>
      <c r="CA352">
        <f t="shared" si="713"/>
        <v>0</v>
      </c>
      <c r="CB352">
        <f t="shared" si="713"/>
        <v>0</v>
      </c>
      <c r="CC352">
        <f t="shared" si="714"/>
        <v>0</v>
      </c>
      <c r="CD352">
        <f t="shared" si="714"/>
        <v>0</v>
      </c>
      <c r="CE352">
        <f t="shared" si="714"/>
        <v>0</v>
      </c>
      <c r="CF352">
        <f t="shared" si="714"/>
        <v>0</v>
      </c>
      <c r="CG352">
        <f t="shared" si="714"/>
        <v>0</v>
      </c>
      <c r="CH352">
        <f t="shared" si="714"/>
        <v>0</v>
      </c>
      <c r="CI352">
        <f t="shared" si="714"/>
        <v>0</v>
      </c>
      <c r="CJ352">
        <f t="shared" si="714"/>
        <v>0</v>
      </c>
      <c r="CK352">
        <f t="shared" si="714"/>
        <v>0</v>
      </c>
      <c r="CL352">
        <f t="shared" si="714"/>
        <v>0</v>
      </c>
      <c r="CM352">
        <f t="shared" si="715"/>
        <v>0</v>
      </c>
      <c r="CN352">
        <f t="shared" si="715"/>
        <v>0</v>
      </c>
      <c r="CO352">
        <f t="shared" si="715"/>
        <v>0</v>
      </c>
      <c r="CP352">
        <f t="shared" si="715"/>
        <v>0</v>
      </c>
      <c r="CQ352">
        <f t="shared" si="715"/>
        <v>0</v>
      </c>
      <c r="CR352">
        <f t="shared" si="715"/>
        <v>0</v>
      </c>
      <c r="CS352">
        <f t="shared" si="715"/>
        <v>0</v>
      </c>
      <c r="CT352">
        <f t="shared" si="715"/>
        <v>0</v>
      </c>
      <c r="CU352">
        <f t="shared" si="715"/>
        <v>0</v>
      </c>
      <c r="CV352">
        <f t="shared" si="715"/>
        <v>0</v>
      </c>
      <c r="CW352">
        <f t="shared" si="716"/>
        <v>0</v>
      </c>
      <c r="CX352">
        <f t="shared" si="716"/>
        <v>0</v>
      </c>
      <c r="CY352">
        <f t="shared" si="716"/>
        <v>0</v>
      </c>
      <c r="CZ352">
        <f t="shared" si="716"/>
        <v>0</v>
      </c>
      <c r="DA352">
        <f t="shared" si="716"/>
        <v>0</v>
      </c>
      <c r="DB352">
        <f t="shared" si="716"/>
        <v>0</v>
      </c>
      <c r="DC352">
        <f t="shared" si="716"/>
        <v>0</v>
      </c>
      <c r="DD352">
        <f t="shared" si="716"/>
        <v>0</v>
      </c>
      <c r="DE352">
        <f t="shared" si="716"/>
        <v>0</v>
      </c>
      <c r="DF352">
        <f t="shared" si="716"/>
        <v>0</v>
      </c>
      <c r="DG352">
        <f t="shared" si="717"/>
        <v>0</v>
      </c>
      <c r="DH352">
        <f t="shared" si="717"/>
        <v>0</v>
      </c>
      <c r="DI352">
        <f t="shared" si="717"/>
        <v>0</v>
      </c>
      <c r="DJ352">
        <f t="shared" si="717"/>
        <v>0</v>
      </c>
      <c r="DK352">
        <f t="shared" si="717"/>
        <v>0</v>
      </c>
      <c r="DL352">
        <f t="shared" si="717"/>
        <v>0</v>
      </c>
      <c r="DM352">
        <f t="shared" si="717"/>
        <v>0</v>
      </c>
      <c r="DN352">
        <f t="shared" si="717"/>
        <v>0</v>
      </c>
      <c r="DO352">
        <f t="shared" si="717"/>
        <v>0</v>
      </c>
      <c r="DP352">
        <f t="shared" si="717"/>
        <v>0</v>
      </c>
      <c r="DQ352">
        <f t="shared" si="718"/>
        <v>0</v>
      </c>
      <c r="DR352">
        <f t="shared" si="718"/>
        <v>0</v>
      </c>
      <c r="DS352">
        <f t="shared" si="718"/>
        <v>0</v>
      </c>
      <c r="DT352">
        <f t="shared" si="718"/>
        <v>0</v>
      </c>
      <c r="DU352">
        <f t="shared" si="718"/>
        <v>0</v>
      </c>
      <c r="DV352">
        <f t="shared" si="718"/>
        <v>0</v>
      </c>
      <c r="DW352">
        <f t="shared" si="718"/>
        <v>0</v>
      </c>
      <c r="DX352">
        <f t="shared" si="718"/>
        <v>0</v>
      </c>
      <c r="DY352">
        <f t="shared" si="718"/>
        <v>0</v>
      </c>
      <c r="DZ352">
        <f t="shared" si="718"/>
        <v>0</v>
      </c>
      <c r="EA352">
        <f t="shared" si="719"/>
        <v>0</v>
      </c>
      <c r="EB352">
        <f t="shared" si="719"/>
        <v>0</v>
      </c>
      <c r="EC352">
        <f t="shared" si="719"/>
        <v>0</v>
      </c>
      <c r="ED352">
        <f t="shared" si="719"/>
        <v>0</v>
      </c>
      <c r="EE352">
        <f t="shared" si="719"/>
        <v>0</v>
      </c>
      <c r="EF352">
        <f t="shared" si="719"/>
        <v>0</v>
      </c>
    </row>
    <row r="353" spans="1:136" ht="15.5">
      <c r="A353" s="90"/>
      <c r="B353" s="19" t="s">
        <v>2</v>
      </c>
      <c r="C353" s="94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34"/>
      <c r="AJ353" s="34">
        <v>0</v>
      </c>
      <c r="AK353" s="34">
        <v>0</v>
      </c>
      <c r="AL353" s="34">
        <v>0</v>
      </c>
      <c r="AM353" s="34">
        <v>861</v>
      </c>
      <c r="AN353" s="18">
        <v>0</v>
      </c>
      <c r="AO353" s="18">
        <v>0</v>
      </c>
      <c r="AP353" s="18">
        <v>0</v>
      </c>
      <c r="AQ353" s="18">
        <v>0</v>
      </c>
      <c r="AR353" s="18">
        <v>0</v>
      </c>
      <c r="AS353" s="18">
        <v>0</v>
      </c>
      <c r="AT353" s="18">
        <v>0</v>
      </c>
      <c r="AU353" s="18">
        <v>0</v>
      </c>
      <c r="AV353" s="18">
        <v>0</v>
      </c>
      <c r="AW353" s="18">
        <v>0</v>
      </c>
      <c r="AX353" s="18">
        <v>0</v>
      </c>
      <c r="AY353" s="18">
        <v>0</v>
      </c>
      <c r="AZ353" s="18">
        <v>0</v>
      </c>
      <c r="BA353" s="18">
        <v>0</v>
      </c>
      <c r="BB353" s="18">
        <v>0</v>
      </c>
      <c r="BC353" s="18">
        <v>0</v>
      </c>
      <c r="BD353" s="18">
        <v>0</v>
      </c>
      <c r="BE353" s="18">
        <v>0</v>
      </c>
      <c r="BF353" s="18">
        <v>0</v>
      </c>
      <c r="BG353" s="18">
        <v>0</v>
      </c>
      <c r="BH353" s="18">
        <v>0</v>
      </c>
      <c r="BI353" s="18">
        <v>0</v>
      </c>
      <c r="BJ353" s="113">
        <v>0</v>
      </c>
      <c r="BK353" s="113">
        <v>0</v>
      </c>
      <c r="BL353" s="113">
        <v>0</v>
      </c>
      <c r="BM353" s="113">
        <v>0</v>
      </c>
      <c r="BN353" s="113">
        <v>0</v>
      </c>
      <c r="BO353" s="113">
        <v>0</v>
      </c>
      <c r="BP353" s="113">
        <v>0</v>
      </c>
      <c r="BQ353" s="113">
        <v>0</v>
      </c>
      <c r="BR353" s="101"/>
      <c r="BS353">
        <f t="shared" ref="BS353:CB356" si="720">IF($C353&lt;&gt;"",IF(D353&gt;0,1,0),0)</f>
        <v>0</v>
      </c>
      <c r="BT353">
        <f t="shared" si="720"/>
        <v>0</v>
      </c>
      <c r="BU353">
        <f t="shared" si="720"/>
        <v>0</v>
      </c>
      <c r="BV353">
        <f t="shared" si="720"/>
        <v>0</v>
      </c>
      <c r="BW353">
        <f t="shared" si="720"/>
        <v>0</v>
      </c>
      <c r="BX353">
        <f t="shared" si="720"/>
        <v>0</v>
      </c>
      <c r="BY353">
        <f t="shared" si="720"/>
        <v>0</v>
      </c>
      <c r="BZ353">
        <f t="shared" si="720"/>
        <v>0</v>
      </c>
      <c r="CA353">
        <f t="shared" si="720"/>
        <v>0</v>
      </c>
      <c r="CB353">
        <f t="shared" si="720"/>
        <v>0</v>
      </c>
      <c r="CC353">
        <f t="shared" ref="CC353:CL356" si="721">IF($C353&lt;&gt;"",IF(N353&gt;0,1,0),0)</f>
        <v>0</v>
      </c>
      <c r="CD353">
        <f t="shared" si="721"/>
        <v>0</v>
      </c>
      <c r="CE353">
        <f t="shared" si="721"/>
        <v>0</v>
      </c>
      <c r="CF353">
        <f t="shared" si="721"/>
        <v>0</v>
      </c>
      <c r="CG353">
        <f t="shared" si="721"/>
        <v>0</v>
      </c>
      <c r="CH353">
        <f t="shared" si="721"/>
        <v>0</v>
      </c>
      <c r="CI353">
        <f t="shared" si="721"/>
        <v>0</v>
      </c>
      <c r="CJ353">
        <f t="shared" si="721"/>
        <v>0</v>
      </c>
      <c r="CK353">
        <f t="shared" si="721"/>
        <v>0</v>
      </c>
      <c r="CL353">
        <f t="shared" si="721"/>
        <v>0</v>
      </c>
      <c r="CM353">
        <f t="shared" ref="CM353:CV356" si="722">IF($C353&lt;&gt;"",IF(X353&gt;0,1,0),0)</f>
        <v>0</v>
      </c>
      <c r="CN353">
        <f t="shared" si="722"/>
        <v>0</v>
      </c>
      <c r="CO353">
        <f t="shared" si="722"/>
        <v>0</v>
      </c>
      <c r="CP353">
        <f t="shared" si="722"/>
        <v>0</v>
      </c>
      <c r="CQ353">
        <f t="shared" si="722"/>
        <v>0</v>
      </c>
      <c r="CR353">
        <f t="shared" si="722"/>
        <v>0</v>
      </c>
      <c r="CS353">
        <f t="shared" si="722"/>
        <v>0</v>
      </c>
      <c r="CT353">
        <f t="shared" si="722"/>
        <v>0</v>
      </c>
      <c r="CU353">
        <f t="shared" si="722"/>
        <v>0</v>
      </c>
      <c r="CV353">
        <f t="shared" si="722"/>
        <v>0</v>
      </c>
      <c r="CW353">
        <f t="shared" ref="CW353:DF356" si="723">IF($C353&lt;&gt;"",IF(AH353&gt;0,1,0),0)</f>
        <v>0</v>
      </c>
      <c r="CX353">
        <f t="shared" si="723"/>
        <v>0</v>
      </c>
      <c r="CY353">
        <f t="shared" si="723"/>
        <v>0</v>
      </c>
      <c r="CZ353">
        <f t="shared" si="723"/>
        <v>0</v>
      </c>
      <c r="DA353">
        <f t="shared" si="723"/>
        <v>0</v>
      </c>
      <c r="DB353">
        <f t="shared" si="723"/>
        <v>0</v>
      </c>
      <c r="DC353">
        <f t="shared" si="723"/>
        <v>0</v>
      </c>
      <c r="DD353">
        <f t="shared" si="723"/>
        <v>0</v>
      </c>
      <c r="DE353">
        <f t="shared" si="723"/>
        <v>0</v>
      </c>
      <c r="DF353">
        <f t="shared" si="723"/>
        <v>0</v>
      </c>
      <c r="DG353">
        <f t="shared" ref="DG353:DP356" si="724">IF($C353&lt;&gt;"",IF(AR353&gt;0,1,0),0)</f>
        <v>0</v>
      </c>
      <c r="DH353">
        <f t="shared" si="724"/>
        <v>0</v>
      </c>
      <c r="DI353">
        <f t="shared" si="724"/>
        <v>0</v>
      </c>
      <c r="DJ353">
        <f t="shared" si="724"/>
        <v>0</v>
      </c>
      <c r="DK353">
        <f t="shared" si="724"/>
        <v>0</v>
      </c>
      <c r="DL353">
        <f t="shared" si="724"/>
        <v>0</v>
      </c>
      <c r="DM353">
        <f t="shared" si="724"/>
        <v>0</v>
      </c>
      <c r="DN353">
        <f t="shared" si="724"/>
        <v>0</v>
      </c>
      <c r="DO353">
        <f t="shared" si="724"/>
        <v>0</v>
      </c>
      <c r="DP353">
        <f t="shared" si="724"/>
        <v>0</v>
      </c>
      <c r="DQ353">
        <f t="shared" ref="DQ353:DZ356" si="725">IF($C353&lt;&gt;"",IF(BB353&gt;0,1,0),0)</f>
        <v>0</v>
      </c>
      <c r="DR353">
        <f t="shared" si="725"/>
        <v>0</v>
      </c>
      <c r="DS353">
        <f t="shared" si="725"/>
        <v>0</v>
      </c>
      <c r="DT353">
        <f t="shared" si="725"/>
        <v>0</v>
      </c>
      <c r="DU353">
        <f t="shared" si="725"/>
        <v>0</v>
      </c>
      <c r="DV353">
        <f t="shared" si="725"/>
        <v>0</v>
      </c>
      <c r="DW353">
        <f t="shared" si="725"/>
        <v>0</v>
      </c>
      <c r="DX353">
        <f t="shared" si="725"/>
        <v>0</v>
      </c>
      <c r="DY353">
        <f t="shared" si="725"/>
        <v>0</v>
      </c>
      <c r="DZ353">
        <f t="shared" si="725"/>
        <v>0</v>
      </c>
      <c r="EA353">
        <f t="shared" ref="EA353:EF353" si="726">IF($C353&lt;&gt;"",IF(BL351&gt;0,1,0),0)</f>
        <v>0</v>
      </c>
      <c r="EB353">
        <f t="shared" si="726"/>
        <v>0</v>
      </c>
      <c r="EC353">
        <f t="shared" si="726"/>
        <v>0</v>
      </c>
      <c r="ED353">
        <f t="shared" si="726"/>
        <v>0</v>
      </c>
      <c r="EE353">
        <f t="shared" si="726"/>
        <v>0</v>
      </c>
      <c r="EF353">
        <f t="shared" si="726"/>
        <v>0</v>
      </c>
    </row>
    <row r="354" spans="1:136" ht="15.5">
      <c r="A354" s="90"/>
      <c r="B354" s="53" t="s">
        <v>18</v>
      </c>
      <c r="C354" s="94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>
        <v>1098</v>
      </c>
      <c r="AK354" s="18">
        <v>1268</v>
      </c>
      <c r="AL354" s="18">
        <v>1453</v>
      </c>
      <c r="AM354" s="18">
        <v>1759</v>
      </c>
      <c r="AN354" s="18">
        <v>2110</v>
      </c>
      <c r="AO354" s="18">
        <v>0</v>
      </c>
      <c r="AP354" s="18">
        <v>0</v>
      </c>
      <c r="AQ354" s="18">
        <v>0</v>
      </c>
      <c r="AR354" s="18">
        <v>0</v>
      </c>
      <c r="AS354" s="18">
        <v>0</v>
      </c>
      <c r="AT354" s="18">
        <v>0</v>
      </c>
      <c r="AU354" s="18">
        <v>0</v>
      </c>
      <c r="AV354" s="18">
        <v>0</v>
      </c>
      <c r="AW354" s="18">
        <v>0</v>
      </c>
      <c r="AX354" s="18">
        <v>0</v>
      </c>
      <c r="AY354" s="18">
        <v>0</v>
      </c>
      <c r="AZ354" s="18">
        <v>0</v>
      </c>
      <c r="BA354" s="18">
        <v>0</v>
      </c>
      <c r="BB354" s="18">
        <v>0</v>
      </c>
      <c r="BC354" s="18">
        <v>0</v>
      </c>
      <c r="BD354" s="18">
        <v>0</v>
      </c>
      <c r="BE354" s="25">
        <v>0</v>
      </c>
      <c r="BF354" s="18">
        <v>0</v>
      </c>
      <c r="BG354" s="18">
        <v>0</v>
      </c>
      <c r="BH354" s="18">
        <v>0</v>
      </c>
      <c r="BI354" s="18">
        <v>0</v>
      </c>
      <c r="BJ354" s="113">
        <v>0</v>
      </c>
      <c r="BK354" s="113">
        <v>0</v>
      </c>
      <c r="BL354" s="113">
        <v>0</v>
      </c>
      <c r="BM354" s="113">
        <v>0</v>
      </c>
      <c r="BN354" s="113">
        <v>0</v>
      </c>
      <c r="BO354" s="113">
        <v>0</v>
      </c>
      <c r="BP354" s="113">
        <v>0</v>
      </c>
      <c r="BQ354" s="113">
        <v>0</v>
      </c>
      <c r="BR354" s="101"/>
      <c r="BS354">
        <f t="shared" si="720"/>
        <v>0</v>
      </c>
      <c r="BT354">
        <f t="shared" si="720"/>
        <v>0</v>
      </c>
      <c r="BU354">
        <f t="shared" si="720"/>
        <v>0</v>
      </c>
      <c r="BV354">
        <f t="shared" si="720"/>
        <v>0</v>
      </c>
      <c r="BW354">
        <f t="shared" si="720"/>
        <v>0</v>
      </c>
      <c r="BX354">
        <f t="shared" si="720"/>
        <v>0</v>
      </c>
      <c r="BY354">
        <f t="shared" si="720"/>
        <v>0</v>
      </c>
      <c r="BZ354">
        <f t="shared" si="720"/>
        <v>0</v>
      </c>
      <c r="CA354">
        <f t="shared" si="720"/>
        <v>0</v>
      </c>
      <c r="CB354">
        <f t="shared" si="720"/>
        <v>0</v>
      </c>
      <c r="CC354">
        <f t="shared" si="721"/>
        <v>0</v>
      </c>
      <c r="CD354">
        <f t="shared" si="721"/>
        <v>0</v>
      </c>
      <c r="CE354">
        <f t="shared" si="721"/>
        <v>0</v>
      </c>
      <c r="CF354">
        <f t="shared" si="721"/>
        <v>0</v>
      </c>
      <c r="CG354">
        <f t="shared" si="721"/>
        <v>0</v>
      </c>
      <c r="CH354">
        <f t="shared" si="721"/>
        <v>0</v>
      </c>
      <c r="CI354">
        <f t="shared" si="721"/>
        <v>0</v>
      </c>
      <c r="CJ354">
        <f t="shared" si="721"/>
        <v>0</v>
      </c>
      <c r="CK354">
        <f t="shared" si="721"/>
        <v>0</v>
      </c>
      <c r="CL354">
        <f t="shared" si="721"/>
        <v>0</v>
      </c>
      <c r="CM354">
        <f t="shared" si="722"/>
        <v>0</v>
      </c>
      <c r="CN354">
        <f t="shared" si="722"/>
        <v>0</v>
      </c>
      <c r="CO354">
        <f t="shared" si="722"/>
        <v>0</v>
      </c>
      <c r="CP354">
        <f t="shared" si="722"/>
        <v>0</v>
      </c>
      <c r="CQ354">
        <f t="shared" si="722"/>
        <v>0</v>
      </c>
      <c r="CR354">
        <f t="shared" si="722"/>
        <v>0</v>
      </c>
      <c r="CS354">
        <f t="shared" si="722"/>
        <v>0</v>
      </c>
      <c r="CT354">
        <f t="shared" si="722"/>
        <v>0</v>
      </c>
      <c r="CU354">
        <f t="shared" si="722"/>
        <v>0</v>
      </c>
      <c r="CV354">
        <f t="shared" si="722"/>
        <v>0</v>
      </c>
      <c r="CW354">
        <f t="shared" si="723"/>
        <v>0</v>
      </c>
      <c r="CX354">
        <f t="shared" si="723"/>
        <v>0</v>
      </c>
      <c r="CY354">
        <f t="shared" si="723"/>
        <v>0</v>
      </c>
      <c r="CZ354">
        <f t="shared" si="723"/>
        <v>0</v>
      </c>
      <c r="DA354">
        <f t="shared" si="723"/>
        <v>0</v>
      </c>
      <c r="DB354">
        <f t="shared" si="723"/>
        <v>0</v>
      </c>
      <c r="DC354">
        <f t="shared" si="723"/>
        <v>0</v>
      </c>
      <c r="DD354">
        <f t="shared" si="723"/>
        <v>0</v>
      </c>
      <c r="DE354">
        <f t="shared" si="723"/>
        <v>0</v>
      </c>
      <c r="DF354">
        <f t="shared" si="723"/>
        <v>0</v>
      </c>
      <c r="DG354">
        <f t="shared" si="724"/>
        <v>0</v>
      </c>
      <c r="DH354">
        <f t="shared" si="724"/>
        <v>0</v>
      </c>
      <c r="DI354">
        <f t="shared" si="724"/>
        <v>0</v>
      </c>
      <c r="DJ354">
        <f t="shared" si="724"/>
        <v>0</v>
      </c>
      <c r="DK354">
        <f t="shared" si="724"/>
        <v>0</v>
      </c>
      <c r="DL354">
        <f t="shared" si="724"/>
        <v>0</v>
      </c>
      <c r="DM354">
        <f t="shared" si="724"/>
        <v>0</v>
      </c>
      <c r="DN354">
        <f t="shared" si="724"/>
        <v>0</v>
      </c>
      <c r="DO354">
        <f t="shared" si="724"/>
        <v>0</v>
      </c>
      <c r="DP354">
        <f t="shared" si="724"/>
        <v>0</v>
      </c>
      <c r="DQ354">
        <f t="shared" si="725"/>
        <v>0</v>
      </c>
      <c r="DR354">
        <f t="shared" si="725"/>
        <v>0</v>
      </c>
      <c r="DS354">
        <f t="shared" si="725"/>
        <v>0</v>
      </c>
      <c r="DT354">
        <f t="shared" si="725"/>
        <v>0</v>
      </c>
      <c r="DU354">
        <f t="shared" si="725"/>
        <v>0</v>
      </c>
      <c r="DV354">
        <f t="shared" si="725"/>
        <v>0</v>
      </c>
      <c r="DW354">
        <f t="shared" si="725"/>
        <v>0</v>
      </c>
      <c r="DX354">
        <f t="shared" si="725"/>
        <v>0</v>
      </c>
      <c r="DY354">
        <f t="shared" si="725"/>
        <v>0</v>
      </c>
      <c r="DZ354">
        <f t="shared" si="725"/>
        <v>0</v>
      </c>
      <c r="EA354">
        <f t="shared" ref="EA354:EF354" si="727">IF($C354&lt;&gt;"",IF(BL353&gt;0,1,0),0)</f>
        <v>0</v>
      </c>
      <c r="EB354">
        <f t="shared" si="727"/>
        <v>0</v>
      </c>
      <c r="EC354">
        <f t="shared" si="727"/>
        <v>0</v>
      </c>
      <c r="ED354">
        <f t="shared" si="727"/>
        <v>0</v>
      </c>
      <c r="EE354">
        <f t="shared" si="727"/>
        <v>0</v>
      </c>
      <c r="EF354">
        <f t="shared" si="727"/>
        <v>0</v>
      </c>
    </row>
    <row r="355" spans="1:136" ht="15.5">
      <c r="A355" s="90"/>
      <c r="B355" s="57" t="s">
        <v>21</v>
      </c>
      <c r="C355" s="94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>
        <v>0</v>
      </c>
      <c r="AK355" s="18">
        <v>0</v>
      </c>
      <c r="AL355" s="18">
        <f>4092/6</f>
        <v>682</v>
      </c>
      <c r="AM355" s="18">
        <v>0</v>
      </c>
      <c r="AN355" s="18">
        <v>0</v>
      </c>
      <c r="AO355" s="18">
        <v>0</v>
      </c>
      <c r="AP355" s="18">
        <v>0</v>
      </c>
      <c r="AQ355" s="18">
        <v>0</v>
      </c>
      <c r="AR355" s="18">
        <v>0</v>
      </c>
      <c r="AS355" s="18">
        <v>0</v>
      </c>
      <c r="AT355" s="18">
        <v>0</v>
      </c>
      <c r="AU355" s="18">
        <v>0</v>
      </c>
      <c r="AV355" s="18">
        <v>0</v>
      </c>
      <c r="AW355" s="18">
        <v>0</v>
      </c>
      <c r="AX355" s="18">
        <v>0</v>
      </c>
      <c r="AY355" s="18">
        <v>0</v>
      </c>
      <c r="AZ355" s="18">
        <v>0</v>
      </c>
      <c r="BA355" s="18">
        <v>0</v>
      </c>
      <c r="BB355" s="18">
        <v>0</v>
      </c>
      <c r="BC355" s="18">
        <v>0</v>
      </c>
      <c r="BD355" s="18">
        <v>0</v>
      </c>
      <c r="BE355" s="25">
        <v>0</v>
      </c>
      <c r="BF355" s="18">
        <v>0</v>
      </c>
      <c r="BG355" s="18">
        <v>0</v>
      </c>
      <c r="BH355" s="18">
        <v>0</v>
      </c>
      <c r="BI355" s="18">
        <v>0</v>
      </c>
      <c r="BJ355" s="113">
        <v>0</v>
      </c>
      <c r="BK355" s="113">
        <v>0</v>
      </c>
      <c r="BL355" s="113">
        <v>0</v>
      </c>
      <c r="BM355" s="113">
        <v>0</v>
      </c>
      <c r="BN355" s="113">
        <v>0</v>
      </c>
      <c r="BO355" s="113">
        <v>0</v>
      </c>
      <c r="BP355" s="113">
        <v>0</v>
      </c>
      <c r="BQ355" s="113">
        <v>0</v>
      </c>
      <c r="BR355" s="101"/>
      <c r="BS355">
        <f t="shared" si="720"/>
        <v>0</v>
      </c>
      <c r="BT355">
        <f t="shared" si="720"/>
        <v>0</v>
      </c>
      <c r="BU355">
        <f t="shared" si="720"/>
        <v>0</v>
      </c>
      <c r="BV355">
        <f t="shared" si="720"/>
        <v>0</v>
      </c>
      <c r="BW355">
        <f t="shared" si="720"/>
        <v>0</v>
      </c>
      <c r="BX355">
        <f t="shared" si="720"/>
        <v>0</v>
      </c>
      <c r="BY355">
        <f t="shared" si="720"/>
        <v>0</v>
      </c>
      <c r="BZ355">
        <f t="shared" si="720"/>
        <v>0</v>
      </c>
      <c r="CA355">
        <f t="shared" si="720"/>
        <v>0</v>
      </c>
      <c r="CB355">
        <f t="shared" si="720"/>
        <v>0</v>
      </c>
      <c r="CC355">
        <f t="shared" si="721"/>
        <v>0</v>
      </c>
      <c r="CD355">
        <f t="shared" si="721"/>
        <v>0</v>
      </c>
      <c r="CE355">
        <f t="shared" si="721"/>
        <v>0</v>
      </c>
      <c r="CF355">
        <f t="shared" si="721"/>
        <v>0</v>
      </c>
      <c r="CG355">
        <f t="shared" si="721"/>
        <v>0</v>
      </c>
      <c r="CH355">
        <f t="shared" si="721"/>
        <v>0</v>
      </c>
      <c r="CI355">
        <f t="shared" si="721"/>
        <v>0</v>
      </c>
      <c r="CJ355">
        <f t="shared" si="721"/>
        <v>0</v>
      </c>
      <c r="CK355">
        <f t="shared" si="721"/>
        <v>0</v>
      </c>
      <c r="CL355">
        <f t="shared" si="721"/>
        <v>0</v>
      </c>
      <c r="CM355">
        <f t="shared" si="722"/>
        <v>0</v>
      </c>
      <c r="CN355">
        <f t="shared" si="722"/>
        <v>0</v>
      </c>
      <c r="CO355">
        <f t="shared" si="722"/>
        <v>0</v>
      </c>
      <c r="CP355">
        <f t="shared" si="722"/>
        <v>0</v>
      </c>
      <c r="CQ355">
        <f t="shared" si="722"/>
        <v>0</v>
      </c>
      <c r="CR355">
        <f t="shared" si="722"/>
        <v>0</v>
      </c>
      <c r="CS355">
        <f t="shared" si="722"/>
        <v>0</v>
      </c>
      <c r="CT355">
        <f t="shared" si="722"/>
        <v>0</v>
      </c>
      <c r="CU355">
        <f t="shared" si="722"/>
        <v>0</v>
      </c>
      <c r="CV355">
        <f t="shared" si="722"/>
        <v>0</v>
      </c>
      <c r="CW355">
        <f t="shared" si="723"/>
        <v>0</v>
      </c>
      <c r="CX355">
        <f t="shared" si="723"/>
        <v>0</v>
      </c>
      <c r="CY355">
        <f t="shared" si="723"/>
        <v>0</v>
      </c>
      <c r="CZ355">
        <f t="shared" si="723"/>
        <v>0</v>
      </c>
      <c r="DA355">
        <f t="shared" si="723"/>
        <v>0</v>
      </c>
      <c r="DB355">
        <f t="shared" si="723"/>
        <v>0</v>
      </c>
      <c r="DC355">
        <f t="shared" si="723"/>
        <v>0</v>
      </c>
      <c r="DD355">
        <f t="shared" si="723"/>
        <v>0</v>
      </c>
      <c r="DE355">
        <f t="shared" si="723"/>
        <v>0</v>
      </c>
      <c r="DF355">
        <f t="shared" si="723"/>
        <v>0</v>
      </c>
      <c r="DG355">
        <f t="shared" si="724"/>
        <v>0</v>
      </c>
      <c r="DH355">
        <f t="shared" si="724"/>
        <v>0</v>
      </c>
      <c r="DI355">
        <f t="shared" si="724"/>
        <v>0</v>
      </c>
      <c r="DJ355">
        <f t="shared" si="724"/>
        <v>0</v>
      </c>
      <c r="DK355">
        <f t="shared" si="724"/>
        <v>0</v>
      </c>
      <c r="DL355">
        <f t="shared" si="724"/>
        <v>0</v>
      </c>
      <c r="DM355">
        <f t="shared" si="724"/>
        <v>0</v>
      </c>
      <c r="DN355">
        <f t="shared" si="724"/>
        <v>0</v>
      </c>
      <c r="DO355">
        <f t="shared" si="724"/>
        <v>0</v>
      </c>
      <c r="DP355">
        <f t="shared" si="724"/>
        <v>0</v>
      </c>
      <c r="DQ355">
        <f t="shared" si="725"/>
        <v>0</v>
      </c>
      <c r="DR355">
        <f t="shared" si="725"/>
        <v>0</v>
      </c>
      <c r="DS355">
        <f t="shared" si="725"/>
        <v>0</v>
      </c>
      <c r="DT355">
        <f t="shared" si="725"/>
        <v>0</v>
      </c>
      <c r="DU355">
        <f t="shared" si="725"/>
        <v>0</v>
      </c>
      <c r="DV355">
        <f t="shared" si="725"/>
        <v>0</v>
      </c>
      <c r="DW355">
        <f t="shared" si="725"/>
        <v>0</v>
      </c>
      <c r="DX355">
        <f t="shared" si="725"/>
        <v>0</v>
      </c>
      <c r="DY355">
        <f t="shared" si="725"/>
        <v>0</v>
      </c>
      <c r="DZ355">
        <f t="shared" si="725"/>
        <v>0</v>
      </c>
      <c r="EA355">
        <f t="shared" ref="EA355:EF356" si="728">IF($C355&lt;&gt;"",IF(BL355&gt;0,1,0),0)</f>
        <v>0</v>
      </c>
      <c r="EB355">
        <f t="shared" si="728"/>
        <v>0</v>
      </c>
      <c r="EC355">
        <f t="shared" si="728"/>
        <v>0</v>
      </c>
      <c r="ED355">
        <f t="shared" si="728"/>
        <v>0</v>
      </c>
      <c r="EE355">
        <f t="shared" si="728"/>
        <v>0</v>
      </c>
      <c r="EF355">
        <f t="shared" si="728"/>
        <v>0</v>
      </c>
    </row>
    <row r="356" spans="1:136" ht="15.5">
      <c r="A356" s="90"/>
      <c r="B356" s="19" t="s">
        <v>212</v>
      </c>
      <c r="C356" s="94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>
        <v>900</v>
      </c>
      <c r="AK356" s="18">
        <v>108.93854748603351</v>
      </c>
      <c r="AL356" s="18">
        <v>239.83333333333334</v>
      </c>
      <c r="AM356" s="18">
        <v>444.359464627151</v>
      </c>
      <c r="AN356" s="18">
        <v>388.39779005524866</v>
      </c>
      <c r="AO356" s="18">
        <v>523.21428571428567</v>
      </c>
      <c r="AP356" s="18">
        <v>921.54088050314465</v>
      </c>
      <c r="AQ356" s="18">
        <v>988.04500703234874</v>
      </c>
      <c r="AR356" s="18">
        <v>444.92753623188412</v>
      </c>
      <c r="AS356" s="18">
        <v>60.671462829736214</v>
      </c>
      <c r="AT356" s="18">
        <v>0</v>
      </c>
      <c r="AU356" s="18">
        <v>0</v>
      </c>
      <c r="AV356" s="18">
        <v>75</v>
      </c>
      <c r="AW356" s="18">
        <v>122.95081967213115</v>
      </c>
      <c r="AX356" s="18">
        <v>228.03030303030303</v>
      </c>
      <c r="AY356" s="18">
        <v>0</v>
      </c>
      <c r="AZ356" s="18">
        <v>0</v>
      </c>
      <c r="BA356" s="18">
        <v>0</v>
      </c>
      <c r="BB356" s="18">
        <v>0</v>
      </c>
      <c r="BC356" s="18">
        <v>124.86486486486487</v>
      </c>
      <c r="BD356" s="18">
        <v>242.66666666666666</v>
      </c>
      <c r="BE356" s="25">
        <v>378.5526315789474</v>
      </c>
      <c r="BF356" s="18">
        <v>460.5263157894737</v>
      </c>
      <c r="BG356" s="18">
        <v>358.5526315789474</v>
      </c>
      <c r="BH356" s="18">
        <v>490.35</v>
      </c>
      <c r="BI356" s="18">
        <v>1166.3999999999999</v>
      </c>
      <c r="BJ356" s="113">
        <v>1092.96</v>
      </c>
      <c r="BK356" s="113">
        <v>1155.5040000000001</v>
      </c>
      <c r="BL356" s="113">
        <v>1124.04</v>
      </c>
      <c r="BM356" s="113">
        <v>1134.9839999999999</v>
      </c>
      <c r="BN356" s="113">
        <v>1142.546</v>
      </c>
      <c r="BO356" s="113">
        <v>804.42000000000007</v>
      </c>
      <c r="BP356" s="113">
        <v>253</v>
      </c>
      <c r="BQ356" s="113">
        <v>0</v>
      </c>
      <c r="BR356" s="101"/>
      <c r="BS356">
        <f t="shared" si="720"/>
        <v>0</v>
      </c>
      <c r="BT356">
        <f t="shared" si="720"/>
        <v>0</v>
      </c>
      <c r="BU356">
        <f t="shared" si="720"/>
        <v>0</v>
      </c>
      <c r="BV356">
        <f t="shared" si="720"/>
        <v>0</v>
      </c>
      <c r="BW356">
        <f t="shared" si="720"/>
        <v>0</v>
      </c>
      <c r="BX356">
        <f t="shared" si="720"/>
        <v>0</v>
      </c>
      <c r="BY356">
        <f t="shared" si="720"/>
        <v>0</v>
      </c>
      <c r="BZ356">
        <f t="shared" si="720"/>
        <v>0</v>
      </c>
      <c r="CA356">
        <f t="shared" si="720"/>
        <v>0</v>
      </c>
      <c r="CB356">
        <f t="shared" si="720"/>
        <v>0</v>
      </c>
      <c r="CC356">
        <f t="shared" si="721"/>
        <v>0</v>
      </c>
      <c r="CD356">
        <f t="shared" si="721"/>
        <v>0</v>
      </c>
      <c r="CE356">
        <f t="shared" si="721"/>
        <v>0</v>
      </c>
      <c r="CF356">
        <f t="shared" si="721"/>
        <v>0</v>
      </c>
      <c r="CG356">
        <f t="shared" si="721"/>
        <v>0</v>
      </c>
      <c r="CH356">
        <f t="shared" si="721"/>
        <v>0</v>
      </c>
      <c r="CI356">
        <f t="shared" si="721"/>
        <v>0</v>
      </c>
      <c r="CJ356">
        <f t="shared" si="721"/>
        <v>0</v>
      </c>
      <c r="CK356">
        <f t="shared" si="721"/>
        <v>0</v>
      </c>
      <c r="CL356">
        <f t="shared" si="721"/>
        <v>0</v>
      </c>
      <c r="CM356">
        <f t="shared" si="722"/>
        <v>0</v>
      </c>
      <c r="CN356">
        <f t="shared" si="722"/>
        <v>0</v>
      </c>
      <c r="CO356">
        <f t="shared" si="722"/>
        <v>0</v>
      </c>
      <c r="CP356">
        <f t="shared" si="722"/>
        <v>0</v>
      </c>
      <c r="CQ356">
        <f t="shared" si="722"/>
        <v>0</v>
      </c>
      <c r="CR356">
        <f t="shared" si="722"/>
        <v>0</v>
      </c>
      <c r="CS356">
        <f t="shared" si="722"/>
        <v>0</v>
      </c>
      <c r="CT356">
        <f t="shared" si="722"/>
        <v>0</v>
      </c>
      <c r="CU356">
        <f t="shared" si="722"/>
        <v>0</v>
      </c>
      <c r="CV356">
        <f t="shared" si="722"/>
        <v>0</v>
      </c>
      <c r="CW356">
        <f t="shared" si="723"/>
        <v>0</v>
      </c>
      <c r="CX356">
        <f t="shared" si="723"/>
        <v>0</v>
      </c>
      <c r="CY356">
        <f t="shared" si="723"/>
        <v>0</v>
      </c>
      <c r="CZ356">
        <f t="shared" si="723"/>
        <v>0</v>
      </c>
      <c r="DA356">
        <f t="shared" si="723"/>
        <v>0</v>
      </c>
      <c r="DB356">
        <f t="shared" si="723"/>
        <v>0</v>
      </c>
      <c r="DC356">
        <f t="shared" si="723"/>
        <v>0</v>
      </c>
      <c r="DD356">
        <f t="shared" si="723"/>
        <v>0</v>
      </c>
      <c r="DE356">
        <f t="shared" si="723"/>
        <v>0</v>
      </c>
      <c r="DF356">
        <f t="shared" si="723"/>
        <v>0</v>
      </c>
      <c r="DG356">
        <f t="shared" si="724"/>
        <v>0</v>
      </c>
      <c r="DH356">
        <f t="shared" si="724"/>
        <v>0</v>
      </c>
      <c r="DI356">
        <f t="shared" si="724"/>
        <v>0</v>
      </c>
      <c r="DJ356">
        <f t="shared" si="724"/>
        <v>0</v>
      </c>
      <c r="DK356">
        <f t="shared" si="724"/>
        <v>0</v>
      </c>
      <c r="DL356">
        <f t="shared" si="724"/>
        <v>0</v>
      </c>
      <c r="DM356">
        <f t="shared" si="724"/>
        <v>0</v>
      </c>
      <c r="DN356">
        <f t="shared" si="724"/>
        <v>0</v>
      </c>
      <c r="DO356">
        <f t="shared" si="724"/>
        <v>0</v>
      </c>
      <c r="DP356">
        <f t="shared" si="724"/>
        <v>0</v>
      </c>
      <c r="DQ356">
        <f t="shared" si="725"/>
        <v>0</v>
      </c>
      <c r="DR356">
        <f t="shared" si="725"/>
        <v>0</v>
      </c>
      <c r="DS356">
        <f t="shared" si="725"/>
        <v>0</v>
      </c>
      <c r="DT356">
        <f t="shared" si="725"/>
        <v>0</v>
      </c>
      <c r="DU356">
        <f t="shared" si="725"/>
        <v>0</v>
      </c>
      <c r="DV356">
        <f t="shared" si="725"/>
        <v>0</v>
      </c>
      <c r="DW356">
        <f t="shared" si="725"/>
        <v>0</v>
      </c>
      <c r="DX356">
        <f t="shared" si="725"/>
        <v>0</v>
      </c>
      <c r="DY356">
        <f t="shared" si="725"/>
        <v>0</v>
      </c>
      <c r="DZ356">
        <f t="shared" si="725"/>
        <v>0</v>
      </c>
      <c r="EA356">
        <f t="shared" si="728"/>
        <v>0</v>
      </c>
      <c r="EB356">
        <f t="shared" si="728"/>
        <v>0</v>
      </c>
      <c r="EC356">
        <f t="shared" si="728"/>
        <v>0</v>
      </c>
      <c r="ED356">
        <f t="shared" si="728"/>
        <v>0</v>
      </c>
      <c r="EE356">
        <f t="shared" si="728"/>
        <v>0</v>
      </c>
      <c r="EF356">
        <f t="shared" si="728"/>
        <v>0</v>
      </c>
    </row>
    <row r="357" spans="1:136" ht="15.5">
      <c r="A357" s="90"/>
      <c r="B357" s="53"/>
      <c r="C357" s="94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55"/>
      <c r="BF357" s="31"/>
      <c r="BG357" s="31"/>
      <c r="BH357" s="2"/>
      <c r="BI357" s="2"/>
      <c r="BJ357" s="2"/>
      <c r="BK357" s="2"/>
      <c r="BL357" s="125"/>
      <c r="BM357" s="2"/>
      <c r="BN357" s="2"/>
      <c r="BO357" s="2"/>
      <c r="BP357" s="2"/>
      <c r="BQ357" s="2"/>
      <c r="BR357" s="101"/>
    </row>
    <row r="358" spans="1:136" ht="15.5">
      <c r="A358" s="93">
        <v>40</v>
      </c>
      <c r="B358" s="32" t="s">
        <v>54</v>
      </c>
      <c r="C358" s="94">
        <v>4</v>
      </c>
      <c r="D358" s="9">
        <f t="shared" ref="D358:AI358" si="729">SUM(D359:D365)</f>
        <v>69</v>
      </c>
      <c r="E358" s="9">
        <f t="shared" si="729"/>
        <v>288</v>
      </c>
      <c r="F358" s="9">
        <f t="shared" si="729"/>
        <v>25</v>
      </c>
      <c r="G358" s="9">
        <f t="shared" si="729"/>
        <v>25</v>
      </c>
      <c r="H358" s="9">
        <f t="shared" si="729"/>
        <v>25</v>
      </c>
      <c r="I358" s="9">
        <f t="shared" si="729"/>
        <v>0</v>
      </c>
      <c r="J358" s="9">
        <f t="shared" si="729"/>
        <v>0</v>
      </c>
      <c r="K358" s="9">
        <f t="shared" si="729"/>
        <v>0</v>
      </c>
      <c r="L358" s="9">
        <f t="shared" si="729"/>
        <v>0</v>
      </c>
      <c r="M358" s="9">
        <f t="shared" si="729"/>
        <v>0</v>
      </c>
      <c r="N358" s="9">
        <f t="shared" si="729"/>
        <v>0</v>
      </c>
      <c r="O358" s="9">
        <f t="shared" si="729"/>
        <v>0</v>
      </c>
      <c r="P358" s="9">
        <f t="shared" si="729"/>
        <v>0</v>
      </c>
      <c r="Q358" s="9">
        <f t="shared" si="729"/>
        <v>0</v>
      </c>
      <c r="R358" s="9">
        <f t="shared" si="729"/>
        <v>0</v>
      </c>
      <c r="S358" s="9">
        <f t="shared" si="729"/>
        <v>0</v>
      </c>
      <c r="T358" s="9">
        <f t="shared" si="729"/>
        <v>0</v>
      </c>
      <c r="U358" s="9">
        <f t="shared" si="729"/>
        <v>0</v>
      </c>
      <c r="V358" s="9">
        <f t="shared" si="729"/>
        <v>0</v>
      </c>
      <c r="W358" s="9">
        <f t="shared" si="729"/>
        <v>0</v>
      </c>
      <c r="X358" s="9">
        <f t="shared" si="729"/>
        <v>0</v>
      </c>
      <c r="Y358" s="9">
        <f t="shared" si="729"/>
        <v>0</v>
      </c>
      <c r="Z358" s="9">
        <f t="shared" si="729"/>
        <v>800</v>
      </c>
      <c r="AA358" s="9">
        <f t="shared" si="729"/>
        <v>917.27034920000006</v>
      </c>
      <c r="AB358" s="9">
        <f t="shared" si="729"/>
        <v>678.80926480000005</v>
      </c>
      <c r="AC358" s="9">
        <f t="shared" si="729"/>
        <v>807.59447402669105</v>
      </c>
      <c r="AD358" s="9">
        <f t="shared" si="729"/>
        <v>9420.3714654417145</v>
      </c>
      <c r="AE358" s="9">
        <f t="shared" si="729"/>
        <v>9774.7195294062913</v>
      </c>
      <c r="AF358" s="9">
        <f t="shared" si="729"/>
        <v>9895.5452199011961</v>
      </c>
      <c r="AG358" s="9">
        <f t="shared" si="729"/>
        <v>10915.230442398122</v>
      </c>
      <c r="AH358" s="9">
        <f t="shared" si="729"/>
        <v>10365.86696352459</v>
      </c>
      <c r="AI358" s="9">
        <f t="shared" si="729"/>
        <v>10543.566970811436</v>
      </c>
      <c r="AJ358" s="9">
        <f t="shared" ref="AJ358:BQ358" si="730">SUM(AJ359:AJ365)</f>
        <v>10783.470147963872</v>
      </c>
      <c r="AK358" s="9">
        <f t="shared" si="730"/>
        <v>11063.370698670109</v>
      </c>
      <c r="AL358" s="9">
        <f t="shared" si="730"/>
        <v>11531.279380310309</v>
      </c>
      <c r="AM358" s="9">
        <f t="shared" si="730"/>
        <v>13225.630733395037</v>
      </c>
      <c r="AN358" s="9">
        <f t="shared" si="730"/>
        <v>11840.512512341022</v>
      </c>
      <c r="AO358" s="9">
        <f t="shared" si="730"/>
        <v>11748.240599807119</v>
      </c>
      <c r="AP358" s="9">
        <f t="shared" si="730"/>
        <v>11859.067022544757</v>
      </c>
      <c r="AQ358" s="9">
        <f t="shared" si="730"/>
        <v>12134.343622880891</v>
      </c>
      <c r="AR358" s="9">
        <f t="shared" si="730"/>
        <v>12293.379847916922</v>
      </c>
      <c r="AS358" s="9">
        <f t="shared" si="730"/>
        <v>12182.651746663045</v>
      </c>
      <c r="AT358" s="9">
        <f t="shared" si="730"/>
        <v>12599.467324686293</v>
      </c>
      <c r="AU358" s="9">
        <f t="shared" si="730"/>
        <v>14220.445305493262</v>
      </c>
      <c r="AV358" s="9">
        <f t="shared" si="730"/>
        <v>16723.494594672906</v>
      </c>
      <c r="AW358" s="9">
        <f t="shared" si="730"/>
        <v>14550.75788731554</v>
      </c>
      <c r="AX358" s="9">
        <f t="shared" si="730"/>
        <v>14822.368396750555</v>
      </c>
      <c r="AY358" s="9">
        <f t="shared" si="730"/>
        <v>15233.989194276583</v>
      </c>
      <c r="AZ358" s="9">
        <f t="shared" si="730"/>
        <v>16168.088216130989</v>
      </c>
      <c r="BA358" s="9">
        <f t="shared" si="730"/>
        <v>16370.869491755664</v>
      </c>
      <c r="BB358" s="9">
        <f t="shared" si="730"/>
        <v>23102.677805416835</v>
      </c>
      <c r="BC358" s="9">
        <f t="shared" si="730"/>
        <v>23174.536691717822</v>
      </c>
      <c r="BD358" s="9">
        <f t="shared" si="730"/>
        <v>19177.785711160548</v>
      </c>
      <c r="BE358" s="9">
        <f t="shared" si="730"/>
        <v>14788.593453119334</v>
      </c>
      <c r="BF358" s="9">
        <f t="shared" si="730"/>
        <v>49247.208585987108</v>
      </c>
      <c r="BG358" s="9">
        <f t="shared" si="730"/>
        <v>14003.656502379508</v>
      </c>
      <c r="BH358" s="9">
        <f t="shared" si="730"/>
        <v>19551.087923979114</v>
      </c>
      <c r="BI358" s="22">
        <f t="shared" si="730"/>
        <v>8903.9907168724421</v>
      </c>
      <c r="BJ358" s="125">
        <f t="shared" si="730"/>
        <v>8483.5537136799285</v>
      </c>
      <c r="BK358" s="125">
        <f t="shared" si="730"/>
        <v>8109.0109829394078</v>
      </c>
      <c r="BL358" s="125">
        <f t="shared" si="730"/>
        <v>8209.704100183817</v>
      </c>
      <c r="BM358" s="125">
        <f t="shared" si="730"/>
        <v>10527.226418146385</v>
      </c>
      <c r="BN358" s="125">
        <f t="shared" si="730"/>
        <v>13404.387081662024</v>
      </c>
      <c r="BO358" s="125">
        <f t="shared" si="730"/>
        <v>12550.017376532163</v>
      </c>
      <c r="BP358" s="125">
        <f t="shared" si="730"/>
        <v>14457</v>
      </c>
      <c r="BQ358" s="125">
        <f t="shared" si="730"/>
        <v>15233</v>
      </c>
      <c r="BR358" s="101"/>
      <c r="BS358">
        <f t="shared" ref="BS358:CX358" si="731">IF($C358&lt;&gt;"",IF(D358&gt;0,1,0),0)</f>
        <v>1</v>
      </c>
      <c r="BT358">
        <f t="shared" si="731"/>
        <v>1</v>
      </c>
      <c r="BU358">
        <f t="shared" si="731"/>
        <v>1</v>
      </c>
      <c r="BV358">
        <f t="shared" si="731"/>
        <v>1</v>
      </c>
      <c r="BW358">
        <f t="shared" si="731"/>
        <v>1</v>
      </c>
      <c r="BX358">
        <f t="shared" si="731"/>
        <v>0</v>
      </c>
      <c r="BY358">
        <f t="shared" si="731"/>
        <v>0</v>
      </c>
      <c r="BZ358">
        <f t="shared" si="731"/>
        <v>0</v>
      </c>
      <c r="CA358">
        <f t="shared" si="731"/>
        <v>0</v>
      </c>
      <c r="CB358">
        <f t="shared" si="731"/>
        <v>0</v>
      </c>
      <c r="CC358">
        <f t="shared" si="731"/>
        <v>0</v>
      </c>
      <c r="CD358">
        <f t="shared" si="731"/>
        <v>0</v>
      </c>
      <c r="CE358">
        <f t="shared" si="731"/>
        <v>0</v>
      </c>
      <c r="CF358">
        <f t="shared" si="731"/>
        <v>0</v>
      </c>
      <c r="CG358">
        <f t="shared" si="731"/>
        <v>0</v>
      </c>
      <c r="CH358">
        <f t="shared" si="731"/>
        <v>0</v>
      </c>
      <c r="CI358">
        <f t="shared" si="731"/>
        <v>0</v>
      </c>
      <c r="CJ358">
        <f t="shared" si="731"/>
        <v>0</v>
      </c>
      <c r="CK358">
        <f t="shared" si="731"/>
        <v>0</v>
      </c>
      <c r="CL358">
        <f t="shared" si="731"/>
        <v>0</v>
      </c>
      <c r="CM358">
        <f t="shared" si="731"/>
        <v>0</v>
      </c>
      <c r="CN358">
        <f t="shared" si="731"/>
        <v>0</v>
      </c>
      <c r="CO358">
        <f t="shared" si="731"/>
        <v>1</v>
      </c>
      <c r="CP358">
        <f t="shared" si="731"/>
        <v>1</v>
      </c>
      <c r="CQ358">
        <f t="shared" si="731"/>
        <v>1</v>
      </c>
      <c r="CR358">
        <f t="shared" si="731"/>
        <v>1</v>
      </c>
      <c r="CS358">
        <f t="shared" si="731"/>
        <v>1</v>
      </c>
      <c r="CT358">
        <f t="shared" si="731"/>
        <v>1</v>
      </c>
      <c r="CU358">
        <f t="shared" si="731"/>
        <v>1</v>
      </c>
      <c r="CV358">
        <f t="shared" si="731"/>
        <v>1</v>
      </c>
      <c r="CW358">
        <f t="shared" si="731"/>
        <v>1</v>
      </c>
      <c r="CX358">
        <f t="shared" si="731"/>
        <v>1</v>
      </c>
      <c r="CY358">
        <f t="shared" ref="CY358:ED358" si="732">IF($C358&lt;&gt;"",IF(AJ358&gt;0,1,0),0)</f>
        <v>1</v>
      </c>
      <c r="CZ358">
        <f t="shared" si="732"/>
        <v>1</v>
      </c>
      <c r="DA358">
        <f t="shared" si="732"/>
        <v>1</v>
      </c>
      <c r="DB358">
        <f t="shared" si="732"/>
        <v>1</v>
      </c>
      <c r="DC358">
        <f t="shared" si="732"/>
        <v>1</v>
      </c>
      <c r="DD358">
        <f t="shared" si="732"/>
        <v>1</v>
      </c>
      <c r="DE358">
        <f t="shared" si="732"/>
        <v>1</v>
      </c>
      <c r="DF358">
        <f t="shared" si="732"/>
        <v>1</v>
      </c>
      <c r="DG358">
        <f t="shared" si="732"/>
        <v>1</v>
      </c>
      <c r="DH358">
        <f t="shared" si="732"/>
        <v>1</v>
      </c>
      <c r="DI358">
        <f t="shared" si="732"/>
        <v>1</v>
      </c>
      <c r="DJ358">
        <f t="shared" si="732"/>
        <v>1</v>
      </c>
      <c r="DK358">
        <f t="shared" si="732"/>
        <v>1</v>
      </c>
      <c r="DL358">
        <f t="shared" si="732"/>
        <v>1</v>
      </c>
      <c r="DM358">
        <f t="shared" si="732"/>
        <v>1</v>
      </c>
      <c r="DN358">
        <f t="shared" si="732"/>
        <v>1</v>
      </c>
      <c r="DO358">
        <f t="shared" si="732"/>
        <v>1</v>
      </c>
      <c r="DP358">
        <f t="shared" si="732"/>
        <v>1</v>
      </c>
      <c r="DQ358">
        <f t="shared" si="732"/>
        <v>1</v>
      </c>
      <c r="DR358">
        <f t="shared" si="732"/>
        <v>1</v>
      </c>
      <c r="DS358">
        <f t="shared" si="732"/>
        <v>1</v>
      </c>
      <c r="DT358">
        <f t="shared" si="732"/>
        <v>1</v>
      </c>
      <c r="DU358">
        <f t="shared" si="732"/>
        <v>1</v>
      </c>
      <c r="DV358">
        <f t="shared" si="732"/>
        <v>1</v>
      </c>
      <c r="DW358">
        <f t="shared" si="732"/>
        <v>1</v>
      </c>
      <c r="DX358">
        <f t="shared" si="732"/>
        <v>1</v>
      </c>
      <c r="DY358">
        <f t="shared" si="732"/>
        <v>1</v>
      </c>
      <c r="DZ358">
        <f t="shared" si="732"/>
        <v>1</v>
      </c>
      <c r="EA358">
        <f t="shared" si="732"/>
        <v>1</v>
      </c>
      <c r="EB358">
        <f t="shared" si="732"/>
        <v>1</v>
      </c>
      <c r="EC358">
        <f t="shared" si="732"/>
        <v>1</v>
      </c>
      <c r="ED358">
        <f t="shared" si="732"/>
        <v>1</v>
      </c>
      <c r="EE358">
        <f t="shared" ref="EE358:EF358" si="733">IF($C358&lt;&gt;"",IF(BP358&gt;0,1,0),0)</f>
        <v>1</v>
      </c>
      <c r="EF358">
        <f t="shared" si="733"/>
        <v>1</v>
      </c>
    </row>
    <row r="359" spans="1:136" ht="15.5">
      <c r="A359" s="90"/>
      <c r="B359" s="24" t="s">
        <v>15</v>
      </c>
      <c r="C359" s="94"/>
      <c r="D359" s="34">
        <v>25</v>
      </c>
      <c r="E359" s="34">
        <v>25</v>
      </c>
      <c r="F359" s="34">
        <v>25</v>
      </c>
      <c r="G359" s="34">
        <v>25</v>
      </c>
      <c r="H359" s="34">
        <v>25</v>
      </c>
      <c r="I359" s="18">
        <v>0</v>
      </c>
      <c r="J359" s="18">
        <v>0</v>
      </c>
      <c r="K359" s="18">
        <v>0</v>
      </c>
      <c r="L359" s="18">
        <v>0</v>
      </c>
      <c r="M359" s="18">
        <v>0</v>
      </c>
      <c r="N359" s="18">
        <v>0</v>
      </c>
      <c r="O359" s="18">
        <v>0</v>
      </c>
      <c r="P359" s="18">
        <v>0</v>
      </c>
      <c r="Q359" s="18">
        <v>0</v>
      </c>
      <c r="R359" s="18">
        <v>0</v>
      </c>
      <c r="S359" s="18">
        <v>0</v>
      </c>
      <c r="T359" s="18">
        <v>0</v>
      </c>
      <c r="U359" s="18">
        <v>0</v>
      </c>
      <c r="V359" s="18">
        <v>0</v>
      </c>
      <c r="W359" s="18">
        <v>0</v>
      </c>
      <c r="X359" s="18">
        <v>0</v>
      </c>
      <c r="Y359" s="18">
        <v>0</v>
      </c>
      <c r="Z359" s="18">
        <v>0</v>
      </c>
      <c r="AA359" s="18">
        <v>0</v>
      </c>
      <c r="AB359" s="18">
        <v>0</v>
      </c>
      <c r="AC359" s="18">
        <v>0</v>
      </c>
      <c r="AD359" s="18">
        <v>0</v>
      </c>
      <c r="AE359" s="18">
        <v>0</v>
      </c>
      <c r="AF359" s="18">
        <v>0</v>
      </c>
      <c r="AG359" s="18">
        <v>0</v>
      </c>
      <c r="AH359" s="18">
        <v>0</v>
      </c>
      <c r="AI359" s="18">
        <v>0</v>
      </c>
      <c r="AJ359" s="18">
        <v>0</v>
      </c>
      <c r="AK359" s="18">
        <v>0</v>
      </c>
      <c r="AL359" s="18">
        <v>0</v>
      </c>
      <c r="AM359" s="18">
        <v>0</v>
      </c>
      <c r="AN359" s="18">
        <v>0</v>
      </c>
      <c r="AO359" s="18">
        <v>0</v>
      </c>
      <c r="AP359" s="18">
        <v>0</v>
      </c>
      <c r="AQ359" s="18">
        <v>0</v>
      </c>
      <c r="AR359" s="18">
        <v>0</v>
      </c>
      <c r="AS359" s="18">
        <v>0</v>
      </c>
      <c r="AT359" s="18">
        <v>0</v>
      </c>
      <c r="AU359" s="18">
        <v>0</v>
      </c>
      <c r="AV359" s="18">
        <v>0</v>
      </c>
      <c r="AW359" s="18">
        <v>0</v>
      </c>
      <c r="AX359" s="18">
        <v>0</v>
      </c>
      <c r="AY359" s="18">
        <v>0</v>
      </c>
      <c r="AZ359" s="18">
        <v>0</v>
      </c>
      <c r="BA359" s="18">
        <v>0</v>
      </c>
      <c r="BB359" s="18">
        <v>0</v>
      </c>
      <c r="BC359" s="18">
        <v>0</v>
      </c>
      <c r="BD359" s="18">
        <v>0</v>
      </c>
      <c r="BE359" s="18">
        <v>0</v>
      </c>
      <c r="BF359" s="18">
        <v>0</v>
      </c>
      <c r="BG359" s="18">
        <v>0</v>
      </c>
      <c r="BH359" s="18">
        <v>0</v>
      </c>
      <c r="BI359" s="18">
        <v>0</v>
      </c>
      <c r="BJ359" s="113">
        <v>0</v>
      </c>
      <c r="BK359" s="113">
        <v>0</v>
      </c>
      <c r="BL359" s="113">
        <v>0</v>
      </c>
      <c r="BM359" s="113">
        <v>0</v>
      </c>
      <c r="BN359" s="113">
        <v>0</v>
      </c>
      <c r="BO359" s="113">
        <v>0</v>
      </c>
      <c r="BP359" s="113">
        <v>0</v>
      </c>
      <c r="BQ359" s="113">
        <v>0</v>
      </c>
      <c r="BR359" s="101"/>
      <c r="BS359">
        <f t="shared" ref="BS359:CB365" si="734">IF($C359&lt;&gt;"",IF(D359&gt;0,1,0),0)</f>
        <v>0</v>
      </c>
      <c r="BT359">
        <f t="shared" si="734"/>
        <v>0</v>
      </c>
      <c r="BU359">
        <f t="shared" si="734"/>
        <v>0</v>
      </c>
      <c r="BV359">
        <f t="shared" si="734"/>
        <v>0</v>
      </c>
      <c r="BW359">
        <f t="shared" si="734"/>
        <v>0</v>
      </c>
      <c r="BX359">
        <f t="shared" si="734"/>
        <v>0</v>
      </c>
      <c r="BY359">
        <f t="shared" si="734"/>
        <v>0</v>
      </c>
      <c r="BZ359">
        <f t="shared" si="734"/>
        <v>0</v>
      </c>
      <c r="CA359">
        <f t="shared" si="734"/>
        <v>0</v>
      </c>
      <c r="CB359">
        <f t="shared" si="734"/>
        <v>0</v>
      </c>
      <c r="CC359">
        <f t="shared" ref="CC359:CL365" si="735">IF($C359&lt;&gt;"",IF(N359&gt;0,1,0),0)</f>
        <v>0</v>
      </c>
      <c r="CD359">
        <f t="shared" si="735"/>
        <v>0</v>
      </c>
      <c r="CE359">
        <f t="shared" si="735"/>
        <v>0</v>
      </c>
      <c r="CF359">
        <f t="shared" si="735"/>
        <v>0</v>
      </c>
      <c r="CG359">
        <f t="shared" si="735"/>
        <v>0</v>
      </c>
      <c r="CH359">
        <f t="shared" si="735"/>
        <v>0</v>
      </c>
      <c r="CI359">
        <f t="shared" si="735"/>
        <v>0</v>
      </c>
      <c r="CJ359">
        <f t="shared" si="735"/>
        <v>0</v>
      </c>
      <c r="CK359">
        <f t="shared" si="735"/>
        <v>0</v>
      </c>
      <c r="CL359">
        <f t="shared" si="735"/>
        <v>0</v>
      </c>
      <c r="CM359">
        <f t="shared" ref="CM359:CV365" si="736">IF($C359&lt;&gt;"",IF(X359&gt;0,1,0),0)</f>
        <v>0</v>
      </c>
      <c r="CN359">
        <f t="shared" si="736"/>
        <v>0</v>
      </c>
      <c r="CO359">
        <f t="shared" si="736"/>
        <v>0</v>
      </c>
      <c r="CP359">
        <f t="shared" si="736"/>
        <v>0</v>
      </c>
      <c r="CQ359">
        <f t="shared" si="736"/>
        <v>0</v>
      </c>
      <c r="CR359">
        <f t="shared" si="736"/>
        <v>0</v>
      </c>
      <c r="CS359">
        <f t="shared" si="736"/>
        <v>0</v>
      </c>
      <c r="CT359">
        <f t="shared" si="736"/>
        <v>0</v>
      </c>
      <c r="CU359">
        <f t="shared" si="736"/>
        <v>0</v>
      </c>
      <c r="CV359">
        <f t="shared" si="736"/>
        <v>0</v>
      </c>
      <c r="CW359">
        <f t="shared" ref="CW359:DF365" si="737">IF($C359&lt;&gt;"",IF(AH359&gt;0,1,0),0)</f>
        <v>0</v>
      </c>
      <c r="CX359">
        <f t="shared" si="737"/>
        <v>0</v>
      </c>
      <c r="CY359">
        <f t="shared" si="737"/>
        <v>0</v>
      </c>
      <c r="CZ359">
        <f t="shared" si="737"/>
        <v>0</v>
      </c>
      <c r="DA359">
        <f t="shared" si="737"/>
        <v>0</v>
      </c>
      <c r="DB359">
        <f t="shared" si="737"/>
        <v>0</v>
      </c>
      <c r="DC359">
        <f t="shared" si="737"/>
        <v>0</v>
      </c>
      <c r="DD359">
        <f t="shared" si="737"/>
        <v>0</v>
      </c>
      <c r="DE359">
        <f t="shared" si="737"/>
        <v>0</v>
      </c>
      <c r="DF359">
        <f t="shared" si="737"/>
        <v>0</v>
      </c>
      <c r="DG359">
        <f t="shared" ref="DG359:DP365" si="738">IF($C359&lt;&gt;"",IF(AR359&gt;0,1,0),0)</f>
        <v>0</v>
      </c>
      <c r="DH359">
        <f t="shared" si="738"/>
        <v>0</v>
      </c>
      <c r="DI359">
        <f t="shared" si="738"/>
        <v>0</v>
      </c>
      <c r="DJ359">
        <f t="shared" si="738"/>
        <v>0</v>
      </c>
      <c r="DK359">
        <f t="shared" si="738"/>
        <v>0</v>
      </c>
      <c r="DL359">
        <f t="shared" si="738"/>
        <v>0</v>
      </c>
      <c r="DM359">
        <f t="shared" si="738"/>
        <v>0</v>
      </c>
      <c r="DN359">
        <f t="shared" si="738"/>
        <v>0</v>
      </c>
      <c r="DO359">
        <f t="shared" si="738"/>
        <v>0</v>
      </c>
      <c r="DP359">
        <f t="shared" si="738"/>
        <v>0</v>
      </c>
      <c r="DQ359">
        <f t="shared" ref="DQ359:DZ365" si="739">IF($C359&lt;&gt;"",IF(BB359&gt;0,1,0),0)</f>
        <v>0</v>
      </c>
      <c r="DR359">
        <f t="shared" si="739"/>
        <v>0</v>
      </c>
      <c r="DS359">
        <f t="shared" si="739"/>
        <v>0</v>
      </c>
      <c r="DT359">
        <f t="shared" si="739"/>
        <v>0</v>
      </c>
      <c r="DU359">
        <f t="shared" si="739"/>
        <v>0</v>
      </c>
      <c r="DV359">
        <f t="shared" si="739"/>
        <v>0</v>
      </c>
      <c r="DW359">
        <f t="shared" si="739"/>
        <v>0</v>
      </c>
      <c r="DX359">
        <f t="shared" si="739"/>
        <v>0</v>
      </c>
      <c r="DY359">
        <f t="shared" si="739"/>
        <v>0</v>
      </c>
      <c r="DZ359">
        <f t="shared" si="739"/>
        <v>0</v>
      </c>
      <c r="EA359">
        <f t="shared" ref="EA359:EF365" si="740">IF($C359&lt;&gt;"",IF(BL358&gt;0,1,0),0)</f>
        <v>0</v>
      </c>
      <c r="EB359">
        <f t="shared" si="740"/>
        <v>0</v>
      </c>
      <c r="EC359">
        <f t="shared" si="740"/>
        <v>0</v>
      </c>
      <c r="ED359">
        <f t="shared" si="740"/>
        <v>0</v>
      </c>
      <c r="EE359">
        <f t="shared" si="740"/>
        <v>0</v>
      </c>
      <c r="EF359">
        <f t="shared" si="740"/>
        <v>0</v>
      </c>
    </row>
    <row r="360" spans="1:136" ht="15.5">
      <c r="A360" s="90"/>
      <c r="B360" s="19" t="s">
        <v>2</v>
      </c>
      <c r="C360" s="94"/>
      <c r="D360" s="18">
        <v>0</v>
      </c>
      <c r="E360" s="18">
        <v>0</v>
      </c>
      <c r="F360" s="18">
        <v>0</v>
      </c>
      <c r="G360" s="18">
        <v>0</v>
      </c>
      <c r="H360" s="18">
        <v>0</v>
      </c>
      <c r="I360" s="18">
        <v>0</v>
      </c>
      <c r="J360" s="18">
        <v>0</v>
      </c>
      <c r="K360" s="18">
        <v>0</v>
      </c>
      <c r="L360" s="18">
        <v>0</v>
      </c>
      <c r="M360" s="18">
        <v>0</v>
      </c>
      <c r="N360" s="18">
        <v>0</v>
      </c>
      <c r="O360" s="18">
        <v>0</v>
      </c>
      <c r="P360" s="18">
        <v>0</v>
      </c>
      <c r="Q360" s="18">
        <v>0</v>
      </c>
      <c r="R360" s="18">
        <v>0</v>
      </c>
      <c r="S360" s="18">
        <v>0</v>
      </c>
      <c r="T360" s="18">
        <v>0</v>
      </c>
      <c r="U360" s="18">
        <v>0</v>
      </c>
      <c r="V360" s="18">
        <v>0</v>
      </c>
      <c r="W360" s="18">
        <v>0</v>
      </c>
      <c r="X360" s="18">
        <v>0</v>
      </c>
      <c r="Y360" s="18">
        <v>0</v>
      </c>
      <c r="Z360" s="18">
        <v>0</v>
      </c>
      <c r="AA360" s="34">
        <v>426</v>
      </c>
      <c r="AB360" s="34">
        <v>204</v>
      </c>
      <c r="AC360" s="34">
        <v>156</v>
      </c>
      <c r="AD360" s="18">
        <v>8490</v>
      </c>
      <c r="AE360" s="18">
        <v>8580</v>
      </c>
      <c r="AF360" s="18">
        <v>8670</v>
      </c>
      <c r="AG360" s="18">
        <v>8760</v>
      </c>
      <c r="AH360" s="18">
        <v>8850</v>
      </c>
      <c r="AI360" s="18">
        <v>8940</v>
      </c>
      <c r="AJ360" s="18">
        <v>9030</v>
      </c>
      <c r="AK360" s="18">
        <v>9120</v>
      </c>
      <c r="AL360" s="18">
        <v>9210</v>
      </c>
      <c r="AM360" s="18">
        <v>9300</v>
      </c>
      <c r="AN360" s="18">
        <v>9390</v>
      </c>
      <c r="AO360" s="18">
        <v>9480</v>
      </c>
      <c r="AP360" s="18">
        <v>9570</v>
      </c>
      <c r="AQ360" s="18">
        <v>9660</v>
      </c>
      <c r="AR360" s="18">
        <v>9750</v>
      </c>
      <c r="AS360" s="18">
        <v>9840</v>
      </c>
      <c r="AT360" s="18">
        <v>9930</v>
      </c>
      <c r="AU360" s="18">
        <v>10020</v>
      </c>
      <c r="AV360" s="18">
        <v>10110</v>
      </c>
      <c r="AW360" s="18">
        <v>10200</v>
      </c>
      <c r="AX360" s="18">
        <v>10290</v>
      </c>
      <c r="AY360" s="18">
        <v>10380</v>
      </c>
      <c r="AZ360" s="18">
        <v>10470</v>
      </c>
      <c r="BA360" s="18">
        <v>10560</v>
      </c>
      <c r="BB360" s="18">
        <v>10650</v>
      </c>
      <c r="BC360" s="18">
        <v>10740</v>
      </c>
      <c r="BD360" s="18">
        <v>10830</v>
      </c>
      <c r="BE360" s="18">
        <v>10920</v>
      </c>
      <c r="BF360" s="18">
        <v>11010</v>
      </c>
      <c r="BG360" s="18">
        <v>11100</v>
      </c>
      <c r="BH360" s="18">
        <v>10660</v>
      </c>
      <c r="BI360" s="113">
        <v>5678</v>
      </c>
      <c r="BJ360" s="71">
        <v>5560</v>
      </c>
      <c r="BK360" s="18">
        <f>5211+82</f>
        <v>5293</v>
      </c>
      <c r="BL360" s="18">
        <v>5401</v>
      </c>
      <c r="BM360" s="113">
        <v>5493</v>
      </c>
      <c r="BN360" s="113">
        <f>5301+90</f>
        <v>5391</v>
      </c>
      <c r="BO360" s="113">
        <v>5395</v>
      </c>
      <c r="BP360" s="113">
        <v>5055</v>
      </c>
      <c r="BQ360" s="113">
        <v>5763</v>
      </c>
      <c r="BR360" s="101"/>
      <c r="BS360">
        <f t="shared" si="734"/>
        <v>0</v>
      </c>
      <c r="BT360">
        <f t="shared" si="734"/>
        <v>0</v>
      </c>
      <c r="BU360">
        <f t="shared" si="734"/>
        <v>0</v>
      </c>
      <c r="BV360">
        <f t="shared" si="734"/>
        <v>0</v>
      </c>
      <c r="BW360">
        <f t="shared" si="734"/>
        <v>0</v>
      </c>
      <c r="BX360">
        <f t="shared" si="734"/>
        <v>0</v>
      </c>
      <c r="BY360">
        <f t="shared" si="734"/>
        <v>0</v>
      </c>
      <c r="BZ360">
        <f t="shared" si="734"/>
        <v>0</v>
      </c>
      <c r="CA360">
        <f t="shared" si="734"/>
        <v>0</v>
      </c>
      <c r="CB360">
        <f t="shared" si="734"/>
        <v>0</v>
      </c>
      <c r="CC360">
        <f t="shared" si="735"/>
        <v>0</v>
      </c>
      <c r="CD360">
        <f t="shared" si="735"/>
        <v>0</v>
      </c>
      <c r="CE360">
        <f t="shared" si="735"/>
        <v>0</v>
      </c>
      <c r="CF360">
        <f t="shared" si="735"/>
        <v>0</v>
      </c>
      <c r="CG360">
        <f t="shared" si="735"/>
        <v>0</v>
      </c>
      <c r="CH360">
        <f t="shared" si="735"/>
        <v>0</v>
      </c>
      <c r="CI360">
        <f t="shared" si="735"/>
        <v>0</v>
      </c>
      <c r="CJ360">
        <f t="shared" si="735"/>
        <v>0</v>
      </c>
      <c r="CK360">
        <f t="shared" si="735"/>
        <v>0</v>
      </c>
      <c r="CL360">
        <f t="shared" si="735"/>
        <v>0</v>
      </c>
      <c r="CM360">
        <f t="shared" si="736"/>
        <v>0</v>
      </c>
      <c r="CN360">
        <f t="shared" si="736"/>
        <v>0</v>
      </c>
      <c r="CO360">
        <f t="shared" si="736"/>
        <v>0</v>
      </c>
      <c r="CP360">
        <f t="shared" si="736"/>
        <v>0</v>
      </c>
      <c r="CQ360">
        <f t="shared" si="736"/>
        <v>0</v>
      </c>
      <c r="CR360">
        <f t="shared" si="736"/>
        <v>0</v>
      </c>
      <c r="CS360">
        <f t="shared" si="736"/>
        <v>0</v>
      </c>
      <c r="CT360">
        <f t="shared" si="736"/>
        <v>0</v>
      </c>
      <c r="CU360">
        <f t="shared" si="736"/>
        <v>0</v>
      </c>
      <c r="CV360">
        <f t="shared" si="736"/>
        <v>0</v>
      </c>
      <c r="CW360">
        <f t="shared" si="737"/>
        <v>0</v>
      </c>
      <c r="CX360">
        <f t="shared" si="737"/>
        <v>0</v>
      </c>
      <c r="CY360">
        <f t="shared" si="737"/>
        <v>0</v>
      </c>
      <c r="CZ360">
        <f t="shared" si="737"/>
        <v>0</v>
      </c>
      <c r="DA360">
        <f t="shared" si="737"/>
        <v>0</v>
      </c>
      <c r="DB360">
        <f t="shared" si="737"/>
        <v>0</v>
      </c>
      <c r="DC360">
        <f t="shared" si="737"/>
        <v>0</v>
      </c>
      <c r="DD360">
        <f t="shared" si="737"/>
        <v>0</v>
      </c>
      <c r="DE360">
        <f t="shared" si="737"/>
        <v>0</v>
      </c>
      <c r="DF360">
        <f t="shared" si="737"/>
        <v>0</v>
      </c>
      <c r="DG360">
        <f t="shared" si="738"/>
        <v>0</v>
      </c>
      <c r="DH360">
        <f t="shared" si="738"/>
        <v>0</v>
      </c>
      <c r="DI360">
        <f t="shared" si="738"/>
        <v>0</v>
      </c>
      <c r="DJ360">
        <f t="shared" si="738"/>
        <v>0</v>
      </c>
      <c r="DK360">
        <f t="shared" si="738"/>
        <v>0</v>
      </c>
      <c r="DL360">
        <f t="shared" si="738"/>
        <v>0</v>
      </c>
      <c r="DM360">
        <f t="shared" si="738"/>
        <v>0</v>
      </c>
      <c r="DN360">
        <f t="shared" si="738"/>
        <v>0</v>
      </c>
      <c r="DO360">
        <f t="shared" si="738"/>
        <v>0</v>
      </c>
      <c r="DP360">
        <f t="shared" si="738"/>
        <v>0</v>
      </c>
      <c r="DQ360">
        <f t="shared" si="739"/>
        <v>0</v>
      </c>
      <c r="DR360">
        <f t="shared" si="739"/>
        <v>0</v>
      </c>
      <c r="DS360">
        <f t="shared" si="739"/>
        <v>0</v>
      </c>
      <c r="DT360">
        <f t="shared" si="739"/>
        <v>0</v>
      </c>
      <c r="DU360">
        <f t="shared" si="739"/>
        <v>0</v>
      </c>
      <c r="DV360">
        <f t="shared" si="739"/>
        <v>0</v>
      </c>
      <c r="DW360">
        <f t="shared" si="739"/>
        <v>0</v>
      </c>
      <c r="DX360">
        <f t="shared" si="739"/>
        <v>0</v>
      </c>
      <c r="DY360">
        <f t="shared" si="739"/>
        <v>0</v>
      </c>
      <c r="DZ360">
        <f t="shared" si="739"/>
        <v>0</v>
      </c>
      <c r="EA360">
        <f t="shared" si="740"/>
        <v>0</v>
      </c>
      <c r="EB360">
        <f t="shared" si="740"/>
        <v>0</v>
      </c>
      <c r="EC360">
        <f t="shared" si="740"/>
        <v>0</v>
      </c>
      <c r="ED360">
        <f t="shared" si="740"/>
        <v>0</v>
      </c>
      <c r="EE360">
        <f t="shared" si="740"/>
        <v>0</v>
      </c>
      <c r="EF360">
        <f t="shared" si="740"/>
        <v>0</v>
      </c>
    </row>
    <row r="361" spans="1:136" ht="15.5">
      <c r="A361" s="90"/>
      <c r="B361" s="19" t="s">
        <v>205</v>
      </c>
      <c r="C361" s="94"/>
      <c r="D361" s="18">
        <v>0</v>
      </c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34"/>
      <c r="AB361" s="34"/>
      <c r="AC361" s="34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18">
        <v>50</v>
      </c>
      <c r="AW361" s="18"/>
      <c r="AX361" s="18"/>
      <c r="AY361" s="18"/>
      <c r="AZ361" s="18">
        <v>7.2</v>
      </c>
      <c r="BA361" s="18"/>
      <c r="BB361" s="18">
        <v>2800</v>
      </c>
      <c r="BC361" s="18">
        <v>6000</v>
      </c>
      <c r="BD361" s="40" t="s">
        <v>16</v>
      </c>
      <c r="BE361" s="18"/>
      <c r="BF361" s="40" t="s">
        <v>16</v>
      </c>
      <c r="BG361" s="40" t="s">
        <v>16</v>
      </c>
      <c r="BH361" s="18">
        <v>6000</v>
      </c>
      <c r="BI361" s="113"/>
      <c r="BJ361" s="71"/>
      <c r="BK361" s="2"/>
      <c r="BL361" s="2"/>
      <c r="BM361" s="2"/>
      <c r="BN361" s="113">
        <v>3000</v>
      </c>
      <c r="BO361" s="113">
        <v>2000</v>
      </c>
      <c r="BP361" s="113">
        <v>4000</v>
      </c>
      <c r="BQ361" s="113">
        <v>4000</v>
      </c>
      <c r="BR361" s="101"/>
      <c r="BS361">
        <f t="shared" si="734"/>
        <v>0</v>
      </c>
      <c r="BT361">
        <f t="shared" si="734"/>
        <v>0</v>
      </c>
      <c r="BU361">
        <f t="shared" si="734"/>
        <v>0</v>
      </c>
      <c r="BV361">
        <f t="shared" si="734"/>
        <v>0</v>
      </c>
      <c r="BW361">
        <f t="shared" si="734"/>
        <v>0</v>
      </c>
      <c r="BX361">
        <f t="shared" si="734"/>
        <v>0</v>
      </c>
      <c r="BY361">
        <f t="shared" si="734"/>
        <v>0</v>
      </c>
      <c r="BZ361">
        <f t="shared" si="734"/>
        <v>0</v>
      </c>
      <c r="CA361">
        <f t="shared" si="734"/>
        <v>0</v>
      </c>
      <c r="CB361">
        <f t="shared" si="734"/>
        <v>0</v>
      </c>
      <c r="CC361">
        <f t="shared" si="735"/>
        <v>0</v>
      </c>
      <c r="CD361">
        <f t="shared" si="735"/>
        <v>0</v>
      </c>
      <c r="CE361">
        <f t="shared" si="735"/>
        <v>0</v>
      </c>
      <c r="CF361">
        <f t="shared" si="735"/>
        <v>0</v>
      </c>
      <c r="CG361">
        <f t="shared" si="735"/>
        <v>0</v>
      </c>
      <c r="CH361">
        <f t="shared" si="735"/>
        <v>0</v>
      </c>
      <c r="CI361">
        <f t="shared" si="735"/>
        <v>0</v>
      </c>
      <c r="CJ361">
        <f t="shared" si="735"/>
        <v>0</v>
      </c>
      <c r="CK361">
        <f t="shared" si="735"/>
        <v>0</v>
      </c>
      <c r="CL361">
        <f t="shared" si="735"/>
        <v>0</v>
      </c>
      <c r="CM361">
        <f t="shared" si="736"/>
        <v>0</v>
      </c>
      <c r="CN361">
        <f t="shared" si="736"/>
        <v>0</v>
      </c>
      <c r="CO361">
        <f t="shared" si="736"/>
        <v>0</v>
      </c>
      <c r="CP361">
        <f t="shared" si="736"/>
        <v>0</v>
      </c>
      <c r="CQ361">
        <f t="shared" si="736"/>
        <v>0</v>
      </c>
      <c r="CR361">
        <f t="shared" si="736"/>
        <v>0</v>
      </c>
      <c r="CS361">
        <f t="shared" si="736"/>
        <v>0</v>
      </c>
      <c r="CT361">
        <f t="shared" si="736"/>
        <v>0</v>
      </c>
      <c r="CU361">
        <f t="shared" si="736"/>
        <v>0</v>
      </c>
      <c r="CV361">
        <f t="shared" si="736"/>
        <v>0</v>
      </c>
      <c r="CW361">
        <f t="shared" si="737"/>
        <v>0</v>
      </c>
      <c r="CX361">
        <f t="shared" si="737"/>
        <v>0</v>
      </c>
      <c r="CY361">
        <f t="shared" si="737"/>
        <v>0</v>
      </c>
      <c r="CZ361">
        <f t="shared" si="737"/>
        <v>0</v>
      </c>
      <c r="DA361">
        <f t="shared" si="737"/>
        <v>0</v>
      </c>
      <c r="DB361">
        <f t="shared" si="737"/>
        <v>0</v>
      </c>
      <c r="DC361">
        <f t="shared" si="737"/>
        <v>0</v>
      </c>
      <c r="DD361">
        <f t="shared" si="737"/>
        <v>0</v>
      </c>
      <c r="DE361">
        <f t="shared" si="737"/>
        <v>0</v>
      </c>
      <c r="DF361">
        <f t="shared" si="737"/>
        <v>0</v>
      </c>
      <c r="DG361">
        <f t="shared" si="738"/>
        <v>0</v>
      </c>
      <c r="DH361">
        <f t="shared" si="738"/>
        <v>0</v>
      </c>
      <c r="DI361">
        <f t="shared" si="738"/>
        <v>0</v>
      </c>
      <c r="DJ361">
        <f t="shared" si="738"/>
        <v>0</v>
      </c>
      <c r="DK361">
        <f t="shared" si="738"/>
        <v>0</v>
      </c>
      <c r="DL361">
        <f t="shared" si="738"/>
        <v>0</v>
      </c>
      <c r="DM361">
        <f t="shared" si="738"/>
        <v>0</v>
      </c>
      <c r="DN361">
        <f t="shared" si="738"/>
        <v>0</v>
      </c>
      <c r="DO361">
        <f t="shared" si="738"/>
        <v>0</v>
      </c>
      <c r="DP361">
        <f t="shared" si="738"/>
        <v>0</v>
      </c>
      <c r="DQ361">
        <f t="shared" si="739"/>
        <v>0</v>
      </c>
      <c r="DR361">
        <f t="shared" si="739"/>
        <v>0</v>
      </c>
      <c r="DS361">
        <f t="shared" si="739"/>
        <v>0</v>
      </c>
      <c r="DT361">
        <f t="shared" si="739"/>
        <v>0</v>
      </c>
      <c r="DU361">
        <f t="shared" si="739"/>
        <v>0</v>
      </c>
      <c r="DV361">
        <f t="shared" si="739"/>
        <v>0</v>
      </c>
      <c r="DW361">
        <f t="shared" si="739"/>
        <v>0</v>
      </c>
      <c r="DX361">
        <f t="shared" si="739"/>
        <v>0</v>
      </c>
      <c r="DY361">
        <f t="shared" si="739"/>
        <v>0</v>
      </c>
      <c r="DZ361">
        <f t="shared" si="739"/>
        <v>0</v>
      </c>
      <c r="EA361">
        <f t="shared" si="740"/>
        <v>0</v>
      </c>
      <c r="EB361">
        <f t="shared" si="740"/>
        <v>0</v>
      </c>
      <c r="EC361">
        <f t="shared" si="740"/>
        <v>0</v>
      </c>
      <c r="ED361">
        <f t="shared" si="740"/>
        <v>0</v>
      </c>
      <c r="EE361">
        <f t="shared" si="740"/>
        <v>0</v>
      </c>
      <c r="EF361">
        <f t="shared" si="740"/>
        <v>0</v>
      </c>
    </row>
    <row r="362" spans="1:136" ht="15.5">
      <c r="A362" s="90"/>
      <c r="B362" s="53" t="s">
        <v>3</v>
      </c>
      <c r="C362" s="94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18"/>
      <c r="Y362" s="18"/>
      <c r="Z362" s="18"/>
      <c r="AA362" s="34"/>
      <c r="AB362" s="34"/>
      <c r="AC362" s="34"/>
      <c r="AD362" s="40"/>
      <c r="AE362" s="40"/>
      <c r="AF362" s="40"/>
      <c r="AG362" s="18">
        <v>900</v>
      </c>
      <c r="AH362" s="18">
        <v>38</v>
      </c>
      <c r="AI362" s="40"/>
      <c r="AJ362" s="40"/>
      <c r="AK362" s="40"/>
      <c r="AL362" s="18">
        <v>40</v>
      </c>
      <c r="AM362" s="18">
        <v>1280</v>
      </c>
      <c r="AN362" s="40"/>
      <c r="AO362" s="40"/>
      <c r="AP362" s="40"/>
      <c r="AQ362" s="18">
        <v>109</v>
      </c>
      <c r="AR362" s="18">
        <v>115</v>
      </c>
      <c r="AS362" s="40" t="s">
        <v>16</v>
      </c>
      <c r="AT362" s="40" t="s">
        <v>16</v>
      </c>
      <c r="AU362" s="40" t="s">
        <v>16</v>
      </c>
      <c r="AV362" s="18">
        <v>1967</v>
      </c>
      <c r="AW362" s="40" t="s">
        <v>16</v>
      </c>
      <c r="AX362" s="40" t="s">
        <v>16</v>
      </c>
      <c r="AY362" s="40" t="s">
        <v>16</v>
      </c>
      <c r="AZ362" s="18">
        <f>400</f>
        <v>400</v>
      </c>
      <c r="BA362" s="40" t="s">
        <v>16</v>
      </c>
      <c r="BB362" s="18">
        <f>6000+106</f>
        <v>6106</v>
      </c>
      <c r="BC362" s="40" t="s">
        <v>16</v>
      </c>
      <c r="BD362" s="18">
        <v>1750</v>
      </c>
      <c r="BE362" s="18">
        <v>487</v>
      </c>
      <c r="BF362" s="18">
        <v>35200</v>
      </c>
      <c r="BG362" s="18">
        <v>35</v>
      </c>
      <c r="BH362" s="18">
        <v>53</v>
      </c>
      <c r="BI362" s="18">
        <f>110+48</f>
        <v>158</v>
      </c>
      <c r="BJ362" s="71">
        <v>0</v>
      </c>
      <c r="BK362" s="71">
        <v>0</v>
      </c>
      <c r="BL362" s="71">
        <v>0</v>
      </c>
      <c r="BM362" s="113">
        <v>2300</v>
      </c>
      <c r="BN362" s="113">
        <v>2300</v>
      </c>
      <c r="BO362" s="113">
        <v>2400</v>
      </c>
      <c r="BP362" s="113">
        <v>2400</v>
      </c>
      <c r="BQ362" s="113">
        <v>2400</v>
      </c>
      <c r="BR362" s="101"/>
      <c r="BS362">
        <f t="shared" si="734"/>
        <v>0</v>
      </c>
      <c r="BT362">
        <f t="shared" si="734"/>
        <v>0</v>
      </c>
      <c r="BU362">
        <f t="shared" si="734"/>
        <v>0</v>
      </c>
      <c r="BV362">
        <f t="shared" si="734"/>
        <v>0</v>
      </c>
      <c r="BW362">
        <f t="shared" si="734"/>
        <v>0</v>
      </c>
      <c r="BX362">
        <f t="shared" si="734"/>
        <v>0</v>
      </c>
      <c r="BY362">
        <f t="shared" si="734"/>
        <v>0</v>
      </c>
      <c r="BZ362">
        <f t="shared" si="734"/>
        <v>0</v>
      </c>
      <c r="CA362">
        <f t="shared" si="734"/>
        <v>0</v>
      </c>
      <c r="CB362">
        <f t="shared" si="734"/>
        <v>0</v>
      </c>
      <c r="CC362">
        <f t="shared" si="735"/>
        <v>0</v>
      </c>
      <c r="CD362">
        <f t="shared" si="735"/>
        <v>0</v>
      </c>
      <c r="CE362">
        <f t="shared" si="735"/>
        <v>0</v>
      </c>
      <c r="CF362">
        <f t="shared" si="735"/>
        <v>0</v>
      </c>
      <c r="CG362">
        <f t="shared" si="735"/>
        <v>0</v>
      </c>
      <c r="CH362">
        <f t="shared" si="735"/>
        <v>0</v>
      </c>
      <c r="CI362">
        <f t="shared" si="735"/>
        <v>0</v>
      </c>
      <c r="CJ362">
        <f t="shared" si="735"/>
        <v>0</v>
      </c>
      <c r="CK362">
        <f t="shared" si="735"/>
        <v>0</v>
      </c>
      <c r="CL362">
        <f t="shared" si="735"/>
        <v>0</v>
      </c>
      <c r="CM362">
        <f t="shared" si="736"/>
        <v>0</v>
      </c>
      <c r="CN362">
        <f t="shared" si="736"/>
        <v>0</v>
      </c>
      <c r="CO362">
        <f t="shared" si="736"/>
        <v>0</v>
      </c>
      <c r="CP362">
        <f t="shared" si="736"/>
        <v>0</v>
      </c>
      <c r="CQ362">
        <f t="shared" si="736"/>
        <v>0</v>
      </c>
      <c r="CR362">
        <f t="shared" si="736"/>
        <v>0</v>
      </c>
      <c r="CS362">
        <f t="shared" si="736"/>
        <v>0</v>
      </c>
      <c r="CT362">
        <f t="shared" si="736"/>
        <v>0</v>
      </c>
      <c r="CU362">
        <f t="shared" si="736"/>
        <v>0</v>
      </c>
      <c r="CV362">
        <f t="shared" si="736"/>
        <v>0</v>
      </c>
      <c r="CW362">
        <f t="shared" si="737"/>
        <v>0</v>
      </c>
      <c r="CX362">
        <f t="shared" si="737"/>
        <v>0</v>
      </c>
      <c r="CY362">
        <f t="shared" si="737"/>
        <v>0</v>
      </c>
      <c r="CZ362">
        <f t="shared" si="737"/>
        <v>0</v>
      </c>
      <c r="DA362">
        <f t="shared" si="737"/>
        <v>0</v>
      </c>
      <c r="DB362">
        <f t="shared" si="737"/>
        <v>0</v>
      </c>
      <c r="DC362">
        <f t="shared" si="737"/>
        <v>0</v>
      </c>
      <c r="DD362">
        <f t="shared" si="737"/>
        <v>0</v>
      </c>
      <c r="DE362">
        <f t="shared" si="737"/>
        <v>0</v>
      </c>
      <c r="DF362">
        <f t="shared" si="737"/>
        <v>0</v>
      </c>
      <c r="DG362">
        <f t="shared" si="738"/>
        <v>0</v>
      </c>
      <c r="DH362">
        <f t="shared" si="738"/>
        <v>0</v>
      </c>
      <c r="DI362">
        <f t="shared" si="738"/>
        <v>0</v>
      </c>
      <c r="DJ362">
        <f t="shared" si="738"/>
        <v>0</v>
      </c>
      <c r="DK362">
        <f t="shared" si="738"/>
        <v>0</v>
      </c>
      <c r="DL362">
        <f t="shared" si="738"/>
        <v>0</v>
      </c>
      <c r="DM362">
        <f t="shared" si="738"/>
        <v>0</v>
      </c>
      <c r="DN362">
        <f t="shared" si="738"/>
        <v>0</v>
      </c>
      <c r="DO362">
        <f t="shared" si="738"/>
        <v>0</v>
      </c>
      <c r="DP362">
        <f t="shared" si="738"/>
        <v>0</v>
      </c>
      <c r="DQ362">
        <f t="shared" si="739"/>
        <v>0</v>
      </c>
      <c r="DR362">
        <f t="shared" si="739"/>
        <v>0</v>
      </c>
      <c r="DS362">
        <f t="shared" si="739"/>
        <v>0</v>
      </c>
      <c r="DT362">
        <f t="shared" si="739"/>
        <v>0</v>
      </c>
      <c r="DU362">
        <f t="shared" si="739"/>
        <v>0</v>
      </c>
      <c r="DV362">
        <f t="shared" si="739"/>
        <v>0</v>
      </c>
      <c r="DW362">
        <f t="shared" si="739"/>
        <v>0</v>
      </c>
      <c r="DX362">
        <f t="shared" si="739"/>
        <v>0</v>
      </c>
      <c r="DY362">
        <f t="shared" si="739"/>
        <v>0</v>
      </c>
      <c r="DZ362">
        <f t="shared" si="739"/>
        <v>0</v>
      </c>
      <c r="EA362">
        <f t="shared" si="740"/>
        <v>0</v>
      </c>
      <c r="EB362">
        <f t="shared" si="740"/>
        <v>0</v>
      </c>
      <c r="EC362">
        <f t="shared" si="740"/>
        <v>0</v>
      </c>
      <c r="ED362">
        <f t="shared" si="740"/>
        <v>0</v>
      </c>
      <c r="EE362">
        <f t="shared" si="740"/>
        <v>0</v>
      </c>
      <c r="EF362">
        <f t="shared" si="740"/>
        <v>0</v>
      </c>
    </row>
    <row r="363" spans="1:136" ht="15.5">
      <c r="A363" s="90"/>
      <c r="B363" s="53" t="s">
        <v>18</v>
      </c>
      <c r="C363" s="94"/>
      <c r="D363" s="18">
        <v>0</v>
      </c>
      <c r="E363" s="18">
        <v>0</v>
      </c>
      <c r="F363" s="18">
        <v>0</v>
      </c>
      <c r="G363" s="18">
        <v>0</v>
      </c>
      <c r="H363" s="18">
        <v>0</v>
      </c>
      <c r="I363" s="18">
        <v>0</v>
      </c>
      <c r="J363" s="18">
        <v>0</v>
      </c>
      <c r="K363" s="18">
        <v>0</v>
      </c>
      <c r="L363" s="18">
        <v>0</v>
      </c>
      <c r="M363" s="18">
        <v>0</v>
      </c>
      <c r="N363" s="18">
        <v>0</v>
      </c>
      <c r="O363" s="18">
        <v>0</v>
      </c>
      <c r="P363" s="18">
        <v>0</v>
      </c>
      <c r="Q363" s="18">
        <v>0</v>
      </c>
      <c r="R363" s="18">
        <v>0</v>
      </c>
      <c r="S363" s="18">
        <v>0</v>
      </c>
      <c r="T363" s="18">
        <v>0</v>
      </c>
      <c r="U363" s="18">
        <v>0</v>
      </c>
      <c r="V363" s="18">
        <v>0</v>
      </c>
      <c r="W363" s="18">
        <v>0</v>
      </c>
      <c r="X363" s="18">
        <v>0</v>
      </c>
      <c r="Y363" s="18">
        <v>0</v>
      </c>
      <c r="Z363" s="18">
        <v>800</v>
      </c>
      <c r="AA363" s="18">
        <v>491.27034920000006</v>
      </c>
      <c r="AB363" s="18">
        <v>474.80926480000005</v>
      </c>
      <c r="AC363" s="18">
        <v>651.59447402669105</v>
      </c>
      <c r="AD363" s="18">
        <v>930.37146544171492</v>
      </c>
      <c r="AE363" s="18">
        <v>1194.7195294062919</v>
      </c>
      <c r="AF363" s="18">
        <v>1225.5452199011959</v>
      </c>
      <c r="AG363" s="18">
        <v>1255.2304423981222</v>
      </c>
      <c r="AH363" s="18">
        <v>1477.866963524589</v>
      </c>
      <c r="AI363" s="18">
        <v>1603.566970811436</v>
      </c>
      <c r="AJ363" s="18">
        <v>1753.4701479638718</v>
      </c>
      <c r="AK363" s="18">
        <v>1943.370698670109</v>
      </c>
      <c r="AL363" s="18">
        <v>2281.2793803103091</v>
      </c>
      <c r="AM363" s="18">
        <v>2645.6307333950376</v>
      </c>
      <c r="AN363" s="18">
        <v>2450.5125123410216</v>
      </c>
      <c r="AO363" s="18">
        <v>2268.2405998071199</v>
      </c>
      <c r="AP363" s="18">
        <v>2289.0670225447566</v>
      </c>
      <c r="AQ363" s="18">
        <v>2365.3436228808914</v>
      </c>
      <c r="AR363" s="18">
        <v>2428.3798479169218</v>
      </c>
      <c r="AS363" s="18">
        <v>2342.6517466630448</v>
      </c>
      <c r="AT363" s="18">
        <v>2669.4673246862935</v>
      </c>
      <c r="AU363" s="18">
        <v>4200.4453054932619</v>
      </c>
      <c r="AV363" s="18">
        <v>4596.4945946729058</v>
      </c>
      <c r="AW363" s="18">
        <v>4350.7578873155389</v>
      </c>
      <c r="AX363" s="18">
        <v>4532.3683967505549</v>
      </c>
      <c r="AY363" s="18">
        <v>4853.9891942765826</v>
      </c>
      <c r="AZ363" s="18">
        <v>5290.8882161309884</v>
      </c>
      <c r="BA363" s="18">
        <v>5810.8694917556641</v>
      </c>
      <c r="BB363" s="18">
        <v>3546.6778054168362</v>
      </c>
      <c r="BC363" s="18">
        <v>6434.5366917178226</v>
      </c>
      <c r="BD363" s="18">
        <v>6597.7857111605481</v>
      </c>
      <c r="BE363" s="25">
        <v>3381.5934531193343</v>
      </c>
      <c r="BF363" s="18">
        <v>3037.2085859871045</v>
      </c>
      <c r="BG363" s="18">
        <v>2868.6565023795088</v>
      </c>
      <c r="BH363" s="113">
        <v>2838.0879239791129</v>
      </c>
      <c r="BI363" s="113">
        <v>3067.990716872443</v>
      </c>
      <c r="BJ363" s="113">
        <v>2923.5537136799285</v>
      </c>
      <c r="BK363" s="113">
        <v>2816.0109829394082</v>
      </c>
      <c r="BL363" s="113">
        <v>2808.7041001838174</v>
      </c>
      <c r="BM363" s="113">
        <v>2734.2264181463852</v>
      </c>
      <c r="BN363" s="113">
        <v>2713.3870816620233</v>
      </c>
      <c r="BO363" s="113">
        <v>2755.0173765321633</v>
      </c>
      <c r="BP363" s="113">
        <v>3002</v>
      </c>
      <c r="BQ363" s="113">
        <v>3070</v>
      </c>
      <c r="BR363" s="101"/>
      <c r="BS363">
        <f t="shared" si="734"/>
        <v>0</v>
      </c>
      <c r="BT363">
        <f t="shared" si="734"/>
        <v>0</v>
      </c>
      <c r="BU363">
        <f t="shared" si="734"/>
        <v>0</v>
      </c>
      <c r="BV363">
        <f t="shared" si="734"/>
        <v>0</v>
      </c>
      <c r="BW363">
        <f t="shared" si="734"/>
        <v>0</v>
      </c>
      <c r="BX363">
        <f t="shared" si="734"/>
        <v>0</v>
      </c>
      <c r="BY363">
        <f t="shared" si="734"/>
        <v>0</v>
      </c>
      <c r="BZ363">
        <f t="shared" si="734"/>
        <v>0</v>
      </c>
      <c r="CA363">
        <f t="shared" si="734"/>
        <v>0</v>
      </c>
      <c r="CB363">
        <f t="shared" si="734"/>
        <v>0</v>
      </c>
      <c r="CC363">
        <f t="shared" si="735"/>
        <v>0</v>
      </c>
      <c r="CD363">
        <f t="shared" si="735"/>
        <v>0</v>
      </c>
      <c r="CE363">
        <f t="shared" si="735"/>
        <v>0</v>
      </c>
      <c r="CF363">
        <f t="shared" si="735"/>
        <v>0</v>
      </c>
      <c r="CG363">
        <f t="shared" si="735"/>
        <v>0</v>
      </c>
      <c r="CH363">
        <f t="shared" si="735"/>
        <v>0</v>
      </c>
      <c r="CI363">
        <f t="shared" si="735"/>
        <v>0</v>
      </c>
      <c r="CJ363">
        <f t="shared" si="735"/>
        <v>0</v>
      </c>
      <c r="CK363">
        <f t="shared" si="735"/>
        <v>0</v>
      </c>
      <c r="CL363">
        <f t="shared" si="735"/>
        <v>0</v>
      </c>
      <c r="CM363">
        <f t="shared" si="736"/>
        <v>0</v>
      </c>
      <c r="CN363">
        <f t="shared" si="736"/>
        <v>0</v>
      </c>
      <c r="CO363">
        <f t="shared" si="736"/>
        <v>0</v>
      </c>
      <c r="CP363">
        <f t="shared" si="736"/>
        <v>0</v>
      </c>
      <c r="CQ363">
        <f t="shared" si="736"/>
        <v>0</v>
      </c>
      <c r="CR363">
        <f t="shared" si="736"/>
        <v>0</v>
      </c>
      <c r="CS363">
        <f t="shared" si="736"/>
        <v>0</v>
      </c>
      <c r="CT363">
        <f t="shared" si="736"/>
        <v>0</v>
      </c>
      <c r="CU363">
        <f t="shared" si="736"/>
        <v>0</v>
      </c>
      <c r="CV363">
        <f t="shared" si="736"/>
        <v>0</v>
      </c>
      <c r="CW363">
        <f t="shared" si="737"/>
        <v>0</v>
      </c>
      <c r="CX363">
        <f t="shared" si="737"/>
        <v>0</v>
      </c>
      <c r="CY363">
        <f t="shared" si="737"/>
        <v>0</v>
      </c>
      <c r="CZ363">
        <f t="shared" si="737"/>
        <v>0</v>
      </c>
      <c r="DA363">
        <f t="shared" si="737"/>
        <v>0</v>
      </c>
      <c r="DB363">
        <f t="shared" si="737"/>
        <v>0</v>
      </c>
      <c r="DC363">
        <f t="shared" si="737"/>
        <v>0</v>
      </c>
      <c r="DD363">
        <f t="shared" si="737"/>
        <v>0</v>
      </c>
      <c r="DE363">
        <f t="shared" si="737"/>
        <v>0</v>
      </c>
      <c r="DF363">
        <f t="shared" si="737"/>
        <v>0</v>
      </c>
      <c r="DG363">
        <f t="shared" si="738"/>
        <v>0</v>
      </c>
      <c r="DH363">
        <f t="shared" si="738"/>
        <v>0</v>
      </c>
      <c r="DI363">
        <f t="shared" si="738"/>
        <v>0</v>
      </c>
      <c r="DJ363">
        <f t="shared" si="738"/>
        <v>0</v>
      </c>
      <c r="DK363">
        <f t="shared" si="738"/>
        <v>0</v>
      </c>
      <c r="DL363">
        <f t="shared" si="738"/>
        <v>0</v>
      </c>
      <c r="DM363">
        <f t="shared" si="738"/>
        <v>0</v>
      </c>
      <c r="DN363">
        <f t="shared" si="738"/>
        <v>0</v>
      </c>
      <c r="DO363">
        <f t="shared" si="738"/>
        <v>0</v>
      </c>
      <c r="DP363">
        <f t="shared" si="738"/>
        <v>0</v>
      </c>
      <c r="DQ363">
        <f t="shared" si="739"/>
        <v>0</v>
      </c>
      <c r="DR363">
        <f t="shared" si="739"/>
        <v>0</v>
      </c>
      <c r="DS363">
        <f t="shared" si="739"/>
        <v>0</v>
      </c>
      <c r="DT363">
        <f t="shared" si="739"/>
        <v>0</v>
      </c>
      <c r="DU363">
        <f t="shared" si="739"/>
        <v>0</v>
      </c>
      <c r="DV363">
        <f t="shared" si="739"/>
        <v>0</v>
      </c>
      <c r="DW363">
        <f t="shared" si="739"/>
        <v>0</v>
      </c>
      <c r="DX363">
        <f t="shared" si="739"/>
        <v>0</v>
      </c>
      <c r="DY363">
        <f t="shared" si="739"/>
        <v>0</v>
      </c>
      <c r="DZ363">
        <f t="shared" si="739"/>
        <v>0</v>
      </c>
      <c r="EA363">
        <f t="shared" si="740"/>
        <v>0</v>
      </c>
      <c r="EB363">
        <f t="shared" si="740"/>
        <v>0</v>
      </c>
      <c r="EC363">
        <f t="shared" si="740"/>
        <v>0</v>
      </c>
      <c r="ED363">
        <f t="shared" si="740"/>
        <v>0</v>
      </c>
      <c r="EE363">
        <f t="shared" si="740"/>
        <v>0</v>
      </c>
      <c r="EF363">
        <f t="shared" si="740"/>
        <v>0</v>
      </c>
    </row>
    <row r="364" spans="1:136" ht="15.5">
      <c r="A364" s="90"/>
      <c r="B364" s="53" t="s">
        <v>25</v>
      </c>
      <c r="C364" s="94"/>
      <c r="D364" s="18">
        <v>44</v>
      </c>
      <c r="E364" s="18">
        <v>54</v>
      </c>
      <c r="F364" s="18">
        <v>0</v>
      </c>
      <c r="G364" s="18">
        <v>0</v>
      </c>
      <c r="H364" s="18">
        <v>0</v>
      </c>
      <c r="I364" s="18">
        <v>0</v>
      </c>
      <c r="J364" s="18">
        <v>0</v>
      </c>
      <c r="K364" s="18">
        <v>0</v>
      </c>
      <c r="L364" s="18">
        <v>0</v>
      </c>
      <c r="M364" s="18">
        <v>0</v>
      </c>
      <c r="N364" s="18">
        <v>0</v>
      </c>
      <c r="O364" s="18">
        <v>0</v>
      </c>
      <c r="P364" s="18">
        <v>0</v>
      </c>
      <c r="Q364" s="18">
        <v>0</v>
      </c>
      <c r="R364" s="18">
        <v>0</v>
      </c>
      <c r="S364" s="18">
        <v>0</v>
      </c>
      <c r="T364" s="18">
        <v>0</v>
      </c>
      <c r="U364" s="18">
        <v>0</v>
      </c>
      <c r="V364" s="18">
        <v>0</v>
      </c>
      <c r="W364" s="18">
        <v>0</v>
      </c>
      <c r="X364" s="18">
        <v>0</v>
      </c>
      <c r="Y364" s="18">
        <v>0</v>
      </c>
      <c r="Z364" s="18">
        <v>0</v>
      </c>
      <c r="AA364" s="18">
        <v>0</v>
      </c>
      <c r="AB364" s="18">
        <v>0</v>
      </c>
      <c r="AC364" s="18">
        <v>0</v>
      </c>
      <c r="AD364" s="18">
        <v>0</v>
      </c>
      <c r="AE364" s="18">
        <v>0</v>
      </c>
      <c r="AF364" s="18">
        <v>0</v>
      </c>
      <c r="AG364" s="18">
        <v>0</v>
      </c>
      <c r="AH364" s="18">
        <v>0</v>
      </c>
      <c r="AI364" s="18">
        <v>0</v>
      </c>
      <c r="AJ364" s="18">
        <v>0</v>
      </c>
      <c r="AK364" s="18">
        <v>0</v>
      </c>
      <c r="AL364" s="18">
        <v>0</v>
      </c>
      <c r="AM364" s="18">
        <v>0</v>
      </c>
      <c r="AN364" s="18">
        <v>0</v>
      </c>
      <c r="AO364" s="18">
        <v>0</v>
      </c>
      <c r="AP364" s="18">
        <v>0</v>
      </c>
      <c r="AQ364" s="18">
        <v>0</v>
      </c>
      <c r="AR364" s="18">
        <v>0</v>
      </c>
      <c r="AS364" s="18">
        <v>0</v>
      </c>
      <c r="AT364" s="18">
        <v>0</v>
      </c>
      <c r="AU364" s="18">
        <v>0</v>
      </c>
      <c r="AV364" s="18">
        <v>0</v>
      </c>
      <c r="AW364" s="18">
        <v>0</v>
      </c>
      <c r="AX364" s="18">
        <v>0</v>
      </c>
      <c r="AY364" s="18">
        <v>0</v>
      </c>
      <c r="AZ364" s="18">
        <v>0</v>
      </c>
      <c r="BA364" s="18">
        <v>0</v>
      </c>
      <c r="BB364" s="18">
        <v>0</v>
      </c>
      <c r="BC364" s="18">
        <v>0</v>
      </c>
      <c r="BD364" s="18">
        <v>0</v>
      </c>
      <c r="BE364" s="18">
        <v>0</v>
      </c>
      <c r="BF364" s="18">
        <v>0</v>
      </c>
      <c r="BG364" s="18">
        <v>0</v>
      </c>
      <c r="BH364" s="18">
        <v>0</v>
      </c>
      <c r="BI364" s="113">
        <v>0</v>
      </c>
      <c r="BJ364" s="113">
        <v>0</v>
      </c>
      <c r="BK364" s="113">
        <v>0</v>
      </c>
      <c r="BL364" s="113">
        <v>0</v>
      </c>
      <c r="BM364" s="113">
        <v>0</v>
      </c>
      <c r="BN364" s="113">
        <v>0</v>
      </c>
      <c r="BO364" s="113">
        <v>0</v>
      </c>
      <c r="BP364" s="113">
        <v>0</v>
      </c>
      <c r="BQ364" s="113">
        <v>0</v>
      </c>
      <c r="BR364" s="101"/>
      <c r="BS364">
        <f t="shared" si="734"/>
        <v>0</v>
      </c>
      <c r="BT364">
        <f t="shared" si="734"/>
        <v>0</v>
      </c>
      <c r="BU364">
        <f t="shared" si="734"/>
        <v>0</v>
      </c>
      <c r="BV364">
        <f t="shared" si="734"/>
        <v>0</v>
      </c>
      <c r="BW364">
        <f t="shared" si="734"/>
        <v>0</v>
      </c>
      <c r="BX364">
        <f t="shared" si="734"/>
        <v>0</v>
      </c>
      <c r="BY364">
        <f t="shared" si="734"/>
        <v>0</v>
      </c>
      <c r="BZ364">
        <f t="shared" si="734"/>
        <v>0</v>
      </c>
      <c r="CA364">
        <f t="shared" si="734"/>
        <v>0</v>
      </c>
      <c r="CB364">
        <f t="shared" si="734"/>
        <v>0</v>
      </c>
      <c r="CC364">
        <f t="shared" si="735"/>
        <v>0</v>
      </c>
      <c r="CD364">
        <f t="shared" si="735"/>
        <v>0</v>
      </c>
      <c r="CE364">
        <f t="shared" si="735"/>
        <v>0</v>
      </c>
      <c r="CF364">
        <f t="shared" si="735"/>
        <v>0</v>
      </c>
      <c r="CG364">
        <f t="shared" si="735"/>
        <v>0</v>
      </c>
      <c r="CH364">
        <f t="shared" si="735"/>
        <v>0</v>
      </c>
      <c r="CI364">
        <f t="shared" si="735"/>
        <v>0</v>
      </c>
      <c r="CJ364">
        <f t="shared" si="735"/>
        <v>0</v>
      </c>
      <c r="CK364">
        <f t="shared" si="735"/>
        <v>0</v>
      </c>
      <c r="CL364">
        <f t="shared" si="735"/>
        <v>0</v>
      </c>
      <c r="CM364">
        <f t="shared" si="736"/>
        <v>0</v>
      </c>
      <c r="CN364">
        <f t="shared" si="736"/>
        <v>0</v>
      </c>
      <c r="CO364">
        <f t="shared" si="736"/>
        <v>0</v>
      </c>
      <c r="CP364">
        <f t="shared" si="736"/>
        <v>0</v>
      </c>
      <c r="CQ364">
        <f t="shared" si="736"/>
        <v>0</v>
      </c>
      <c r="CR364">
        <f t="shared" si="736"/>
        <v>0</v>
      </c>
      <c r="CS364">
        <f t="shared" si="736"/>
        <v>0</v>
      </c>
      <c r="CT364">
        <f t="shared" si="736"/>
        <v>0</v>
      </c>
      <c r="CU364">
        <f t="shared" si="736"/>
        <v>0</v>
      </c>
      <c r="CV364">
        <f t="shared" si="736"/>
        <v>0</v>
      </c>
      <c r="CW364">
        <f t="shared" si="737"/>
        <v>0</v>
      </c>
      <c r="CX364">
        <f t="shared" si="737"/>
        <v>0</v>
      </c>
      <c r="CY364">
        <f t="shared" si="737"/>
        <v>0</v>
      </c>
      <c r="CZ364">
        <f t="shared" si="737"/>
        <v>0</v>
      </c>
      <c r="DA364">
        <f t="shared" si="737"/>
        <v>0</v>
      </c>
      <c r="DB364">
        <f t="shared" si="737"/>
        <v>0</v>
      </c>
      <c r="DC364">
        <f t="shared" si="737"/>
        <v>0</v>
      </c>
      <c r="DD364">
        <f t="shared" si="737"/>
        <v>0</v>
      </c>
      <c r="DE364">
        <f t="shared" si="737"/>
        <v>0</v>
      </c>
      <c r="DF364">
        <f t="shared" si="737"/>
        <v>0</v>
      </c>
      <c r="DG364">
        <f t="shared" si="738"/>
        <v>0</v>
      </c>
      <c r="DH364">
        <f t="shared" si="738"/>
        <v>0</v>
      </c>
      <c r="DI364">
        <f t="shared" si="738"/>
        <v>0</v>
      </c>
      <c r="DJ364">
        <f t="shared" si="738"/>
        <v>0</v>
      </c>
      <c r="DK364">
        <f t="shared" si="738"/>
        <v>0</v>
      </c>
      <c r="DL364">
        <f t="shared" si="738"/>
        <v>0</v>
      </c>
      <c r="DM364">
        <f t="shared" si="738"/>
        <v>0</v>
      </c>
      <c r="DN364">
        <f t="shared" si="738"/>
        <v>0</v>
      </c>
      <c r="DO364">
        <f t="shared" si="738"/>
        <v>0</v>
      </c>
      <c r="DP364">
        <f t="shared" si="738"/>
        <v>0</v>
      </c>
      <c r="DQ364">
        <f t="shared" si="739"/>
        <v>0</v>
      </c>
      <c r="DR364">
        <f t="shared" si="739"/>
        <v>0</v>
      </c>
      <c r="DS364">
        <f t="shared" si="739"/>
        <v>0</v>
      </c>
      <c r="DT364">
        <f t="shared" si="739"/>
        <v>0</v>
      </c>
      <c r="DU364">
        <f t="shared" si="739"/>
        <v>0</v>
      </c>
      <c r="DV364">
        <f t="shared" si="739"/>
        <v>0</v>
      </c>
      <c r="DW364">
        <f t="shared" si="739"/>
        <v>0</v>
      </c>
      <c r="DX364">
        <f t="shared" si="739"/>
        <v>0</v>
      </c>
      <c r="DY364">
        <f t="shared" si="739"/>
        <v>0</v>
      </c>
      <c r="DZ364">
        <f t="shared" si="739"/>
        <v>0</v>
      </c>
      <c r="EA364">
        <f t="shared" si="740"/>
        <v>0</v>
      </c>
      <c r="EB364">
        <f t="shared" si="740"/>
        <v>0</v>
      </c>
      <c r="EC364">
        <f t="shared" si="740"/>
        <v>0</v>
      </c>
      <c r="ED364">
        <f t="shared" si="740"/>
        <v>0</v>
      </c>
      <c r="EE364">
        <f t="shared" si="740"/>
        <v>0</v>
      </c>
      <c r="EF364">
        <f t="shared" si="740"/>
        <v>0</v>
      </c>
    </row>
    <row r="365" spans="1:136" ht="15.5">
      <c r="A365" s="90"/>
      <c r="B365" s="57" t="s">
        <v>21</v>
      </c>
      <c r="C365" s="94"/>
      <c r="D365" s="18">
        <v>0</v>
      </c>
      <c r="E365" s="18">
        <v>209</v>
      </c>
      <c r="F365" s="18">
        <v>0</v>
      </c>
      <c r="G365" s="18">
        <v>0</v>
      </c>
      <c r="H365" s="18">
        <v>0</v>
      </c>
      <c r="I365" s="18">
        <v>0</v>
      </c>
      <c r="J365" s="18">
        <v>0</v>
      </c>
      <c r="K365" s="18">
        <v>0</v>
      </c>
      <c r="L365" s="18">
        <v>0</v>
      </c>
      <c r="M365" s="18">
        <v>0</v>
      </c>
      <c r="N365" s="18">
        <v>0</v>
      </c>
      <c r="O365" s="18">
        <v>0</v>
      </c>
      <c r="P365" s="18">
        <v>0</v>
      </c>
      <c r="Q365" s="18">
        <v>0</v>
      </c>
      <c r="R365" s="18">
        <v>0</v>
      </c>
      <c r="S365" s="18">
        <v>0</v>
      </c>
      <c r="T365" s="18">
        <v>0</v>
      </c>
      <c r="U365" s="18">
        <v>0</v>
      </c>
      <c r="V365" s="18">
        <v>0</v>
      </c>
      <c r="W365" s="18">
        <v>0</v>
      </c>
      <c r="X365" s="18">
        <v>0</v>
      </c>
      <c r="Y365" s="18">
        <v>0</v>
      </c>
      <c r="Z365" s="18">
        <v>0</v>
      </c>
      <c r="AA365" s="18">
        <v>0</v>
      </c>
      <c r="AB365" s="18">
        <v>0</v>
      </c>
      <c r="AC365" s="18">
        <v>0</v>
      </c>
      <c r="AD365" s="18">
        <v>0</v>
      </c>
      <c r="AE365" s="18">
        <v>0</v>
      </c>
      <c r="AF365" s="18">
        <v>0</v>
      </c>
      <c r="AG365" s="18">
        <v>0</v>
      </c>
      <c r="AH365" s="18">
        <v>0</v>
      </c>
      <c r="AI365" s="18">
        <v>0</v>
      </c>
      <c r="AJ365" s="18">
        <v>0</v>
      </c>
      <c r="AK365" s="18">
        <v>0</v>
      </c>
      <c r="AL365" s="18">
        <v>0</v>
      </c>
      <c r="AM365" s="18">
        <v>0</v>
      </c>
      <c r="AN365" s="18">
        <v>0</v>
      </c>
      <c r="AO365" s="18">
        <v>0</v>
      </c>
      <c r="AP365" s="18">
        <v>0</v>
      </c>
      <c r="AQ365" s="18">
        <v>0</v>
      </c>
      <c r="AR365" s="18">
        <v>0</v>
      </c>
      <c r="AS365" s="18">
        <v>0</v>
      </c>
      <c r="AT365" s="18">
        <v>0</v>
      </c>
      <c r="AU365" s="18">
        <v>0</v>
      </c>
      <c r="AV365" s="18">
        <v>0</v>
      </c>
      <c r="AW365" s="18">
        <v>0</v>
      </c>
      <c r="AX365" s="18">
        <v>0</v>
      </c>
      <c r="AY365" s="18">
        <v>0</v>
      </c>
      <c r="AZ365" s="18">
        <v>0</v>
      </c>
      <c r="BA365" s="18">
        <v>0</v>
      </c>
      <c r="BB365" s="18">
        <v>0</v>
      </c>
      <c r="BC365" s="18">
        <v>0</v>
      </c>
      <c r="BD365" s="18">
        <v>0</v>
      </c>
      <c r="BE365" s="18">
        <v>0</v>
      </c>
      <c r="BF365" s="18">
        <v>0</v>
      </c>
      <c r="BG365" s="18">
        <v>0</v>
      </c>
      <c r="BH365" s="18">
        <v>0</v>
      </c>
      <c r="BI365" s="113">
        <v>0</v>
      </c>
      <c r="BJ365" s="113">
        <v>0</v>
      </c>
      <c r="BK365" s="113">
        <v>0</v>
      </c>
      <c r="BL365" s="113">
        <v>0</v>
      </c>
      <c r="BM365" s="113">
        <v>0</v>
      </c>
      <c r="BN365" s="113">
        <v>0</v>
      </c>
      <c r="BO365" s="113">
        <v>0</v>
      </c>
      <c r="BP365" s="113">
        <v>0</v>
      </c>
      <c r="BQ365" s="113">
        <v>0</v>
      </c>
      <c r="BR365" s="101"/>
      <c r="BS365">
        <f t="shared" si="734"/>
        <v>0</v>
      </c>
      <c r="BT365">
        <f t="shared" si="734"/>
        <v>0</v>
      </c>
      <c r="BU365">
        <f t="shared" si="734"/>
        <v>0</v>
      </c>
      <c r="BV365">
        <f t="shared" si="734"/>
        <v>0</v>
      </c>
      <c r="BW365">
        <f t="shared" si="734"/>
        <v>0</v>
      </c>
      <c r="BX365">
        <f t="shared" si="734"/>
        <v>0</v>
      </c>
      <c r="BY365">
        <f t="shared" si="734"/>
        <v>0</v>
      </c>
      <c r="BZ365">
        <f t="shared" si="734"/>
        <v>0</v>
      </c>
      <c r="CA365">
        <f t="shared" si="734"/>
        <v>0</v>
      </c>
      <c r="CB365">
        <f t="shared" si="734"/>
        <v>0</v>
      </c>
      <c r="CC365">
        <f t="shared" si="735"/>
        <v>0</v>
      </c>
      <c r="CD365">
        <f t="shared" si="735"/>
        <v>0</v>
      </c>
      <c r="CE365">
        <f t="shared" si="735"/>
        <v>0</v>
      </c>
      <c r="CF365">
        <f t="shared" si="735"/>
        <v>0</v>
      </c>
      <c r="CG365">
        <f t="shared" si="735"/>
        <v>0</v>
      </c>
      <c r="CH365">
        <f t="shared" si="735"/>
        <v>0</v>
      </c>
      <c r="CI365">
        <f t="shared" si="735"/>
        <v>0</v>
      </c>
      <c r="CJ365">
        <f t="shared" si="735"/>
        <v>0</v>
      </c>
      <c r="CK365">
        <f t="shared" si="735"/>
        <v>0</v>
      </c>
      <c r="CL365">
        <f t="shared" si="735"/>
        <v>0</v>
      </c>
      <c r="CM365">
        <f t="shared" si="736"/>
        <v>0</v>
      </c>
      <c r="CN365">
        <f t="shared" si="736"/>
        <v>0</v>
      </c>
      <c r="CO365">
        <f t="shared" si="736"/>
        <v>0</v>
      </c>
      <c r="CP365">
        <f t="shared" si="736"/>
        <v>0</v>
      </c>
      <c r="CQ365">
        <f t="shared" si="736"/>
        <v>0</v>
      </c>
      <c r="CR365">
        <f t="shared" si="736"/>
        <v>0</v>
      </c>
      <c r="CS365">
        <f t="shared" si="736"/>
        <v>0</v>
      </c>
      <c r="CT365">
        <f t="shared" si="736"/>
        <v>0</v>
      </c>
      <c r="CU365">
        <f t="shared" si="736"/>
        <v>0</v>
      </c>
      <c r="CV365">
        <f t="shared" si="736"/>
        <v>0</v>
      </c>
      <c r="CW365">
        <f t="shared" si="737"/>
        <v>0</v>
      </c>
      <c r="CX365">
        <f t="shared" si="737"/>
        <v>0</v>
      </c>
      <c r="CY365">
        <f t="shared" si="737"/>
        <v>0</v>
      </c>
      <c r="CZ365">
        <f t="shared" si="737"/>
        <v>0</v>
      </c>
      <c r="DA365">
        <f t="shared" si="737"/>
        <v>0</v>
      </c>
      <c r="DB365">
        <f t="shared" si="737"/>
        <v>0</v>
      </c>
      <c r="DC365">
        <f t="shared" si="737"/>
        <v>0</v>
      </c>
      <c r="DD365">
        <f t="shared" si="737"/>
        <v>0</v>
      </c>
      <c r="DE365">
        <f t="shared" si="737"/>
        <v>0</v>
      </c>
      <c r="DF365">
        <f t="shared" si="737"/>
        <v>0</v>
      </c>
      <c r="DG365">
        <f t="shared" si="738"/>
        <v>0</v>
      </c>
      <c r="DH365">
        <f t="shared" si="738"/>
        <v>0</v>
      </c>
      <c r="DI365">
        <f t="shared" si="738"/>
        <v>0</v>
      </c>
      <c r="DJ365">
        <f t="shared" si="738"/>
        <v>0</v>
      </c>
      <c r="DK365">
        <f t="shared" si="738"/>
        <v>0</v>
      </c>
      <c r="DL365">
        <f t="shared" si="738"/>
        <v>0</v>
      </c>
      <c r="DM365">
        <f t="shared" si="738"/>
        <v>0</v>
      </c>
      <c r="DN365">
        <f t="shared" si="738"/>
        <v>0</v>
      </c>
      <c r="DO365">
        <f t="shared" si="738"/>
        <v>0</v>
      </c>
      <c r="DP365">
        <f t="shared" si="738"/>
        <v>0</v>
      </c>
      <c r="DQ365">
        <f t="shared" si="739"/>
        <v>0</v>
      </c>
      <c r="DR365">
        <f t="shared" si="739"/>
        <v>0</v>
      </c>
      <c r="DS365">
        <f t="shared" si="739"/>
        <v>0</v>
      </c>
      <c r="DT365">
        <f t="shared" si="739"/>
        <v>0</v>
      </c>
      <c r="DU365">
        <f t="shared" si="739"/>
        <v>0</v>
      </c>
      <c r="DV365">
        <f t="shared" si="739"/>
        <v>0</v>
      </c>
      <c r="DW365">
        <f t="shared" si="739"/>
        <v>0</v>
      </c>
      <c r="DX365">
        <f t="shared" si="739"/>
        <v>0</v>
      </c>
      <c r="DY365">
        <f t="shared" si="739"/>
        <v>0</v>
      </c>
      <c r="DZ365">
        <f t="shared" si="739"/>
        <v>0</v>
      </c>
      <c r="EA365">
        <f t="shared" si="740"/>
        <v>0</v>
      </c>
      <c r="EB365">
        <f t="shared" si="740"/>
        <v>0</v>
      </c>
      <c r="EC365">
        <f t="shared" si="740"/>
        <v>0</v>
      </c>
      <c r="ED365">
        <f t="shared" si="740"/>
        <v>0</v>
      </c>
      <c r="EE365">
        <f t="shared" si="740"/>
        <v>0</v>
      </c>
      <c r="EF365">
        <f t="shared" si="740"/>
        <v>0</v>
      </c>
    </row>
    <row r="366" spans="1:136" ht="15.5">
      <c r="A366" s="90"/>
      <c r="B366" s="53"/>
      <c r="C366" s="94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18"/>
      <c r="AW366" s="18"/>
      <c r="AX366" s="18"/>
      <c r="AY366" s="18"/>
      <c r="AZ366" s="18"/>
      <c r="BA366" s="18"/>
      <c r="BB366" s="18"/>
      <c r="BC366" s="18"/>
      <c r="BD366" s="18"/>
      <c r="BE366" s="25"/>
      <c r="BF366" s="18"/>
      <c r="BG366" s="18"/>
      <c r="BH366" s="2"/>
      <c r="BI366" s="2"/>
      <c r="BJ366" s="2"/>
      <c r="BK366" s="2"/>
      <c r="BL366" s="22"/>
      <c r="BM366" s="2"/>
      <c r="BN366" s="2"/>
      <c r="BO366" s="2"/>
      <c r="BP366" s="2"/>
      <c r="BQ366" s="2"/>
      <c r="BR366" s="101"/>
    </row>
    <row r="367" spans="1:136" ht="15.5">
      <c r="A367" s="93">
        <v>41</v>
      </c>
      <c r="B367" s="52" t="s">
        <v>213</v>
      </c>
      <c r="C367" s="94">
        <v>3</v>
      </c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22">
        <f t="shared" ref="AK367:AZ367" si="741">AK368</f>
        <v>0</v>
      </c>
      <c r="AL367" s="22">
        <f t="shared" si="741"/>
        <v>0</v>
      </c>
      <c r="AM367" s="22">
        <f t="shared" si="741"/>
        <v>0</v>
      </c>
      <c r="AN367" s="22">
        <f t="shared" si="741"/>
        <v>0</v>
      </c>
      <c r="AO367" s="22">
        <f t="shared" si="741"/>
        <v>0</v>
      </c>
      <c r="AP367" s="22">
        <f t="shared" si="741"/>
        <v>0</v>
      </c>
      <c r="AQ367" s="22">
        <f t="shared" si="741"/>
        <v>0</v>
      </c>
      <c r="AR367" s="22">
        <f t="shared" si="741"/>
        <v>0</v>
      </c>
      <c r="AS367" s="22">
        <f t="shared" si="741"/>
        <v>0</v>
      </c>
      <c r="AT367" s="22">
        <f t="shared" si="741"/>
        <v>0</v>
      </c>
      <c r="AU367" s="22">
        <f t="shared" si="741"/>
        <v>0</v>
      </c>
      <c r="AV367" s="22">
        <f t="shared" si="741"/>
        <v>0</v>
      </c>
      <c r="AW367" s="22">
        <f t="shared" si="741"/>
        <v>0</v>
      </c>
      <c r="AX367" s="22">
        <f t="shared" si="741"/>
        <v>0</v>
      </c>
      <c r="AY367" s="22">
        <f t="shared" si="741"/>
        <v>0</v>
      </c>
      <c r="AZ367" s="22">
        <f t="shared" si="741"/>
        <v>0</v>
      </c>
      <c r="BA367" s="22">
        <f t="shared" ref="BA367:BQ367" si="742">BA368</f>
        <v>0</v>
      </c>
      <c r="BB367" s="22">
        <f t="shared" si="742"/>
        <v>1242.5</v>
      </c>
      <c r="BC367" s="22">
        <f t="shared" si="742"/>
        <v>0</v>
      </c>
      <c r="BD367" s="22">
        <f t="shared" si="742"/>
        <v>0</v>
      </c>
      <c r="BE367" s="22">
        <f t="shared" si="742"/>
        <v>0</v>
      </c>
      <c r="BF367" s="22">
        <f t="shared" si="742"/>
        <v>0</v>
      </c>
      <c r="BG367" s="22">
        <f t="shared" si="742"/>
        <v>0</v>
      </c>
      <c r="BH367" s="22">
        <f t="shared" si="742"/>
        <v>0</v>
      </c>
      <c r="BI367" s="22">
        <f t="shared" si="742"/>
        <v>0</v>
      </c>
      <c r="BJ367" s="22">
        <f t="shared" si="742"/>
        <v>0</v>
      </c>
      <c r="BK367" s="22">
        <f t="shared" si="742"/>
        <v>0</v>
      </c>
      <c r="BL367" s="22">
        <f t="shared" si="742"/>
        <v>0</v>
      </c>
      <c r="BM367" s="22">
        <f t="shared" si="742"/>
        <v>0</v>
      </c>
      <c r="BN367" s="22">
        <f t="shared" si="742"/>
        <v>508.93854748603349</v>
      </c>
      <c r="BO367" s="22">
        <f t="shared" si="742"/>
        <v>0</v>
      </c>
      <c r="BP367" s="22">
        <f t="shared" si="742"/>
        <v>0</v>
      </c>
      <c r="BQ367" s="22">
        <f t="shared" si="742"/>
        <v>0</v>
      </c>
      <c r="BR367" s="101"/>
      <c r="BS367">
        <f t="shared" ref="BS367:CB369" si="743">IF($C367&lt;&gt;"",IF(D367&gt;0,1,0),0)</f>
        <v>0</v>
      </c>
      <c r="BT367">
        <f t="shared" si="743"/>
        <v>0</v>
      </c>
      <c r="BU367">
        <f t="shared" si="743"/>
        <v>0</v>
      </c>
      <c r="BV367">
        <f t="shared" si="743"/>
        <v>0</v>
      </c>
      <c r="BW367">
        <f t="shared" si="743"/>
        <v>0</v>
      </c>
      <c r="BX367">
        <f t="shared" si="743"/>
        <v>0</v>
      </c>
      <c r="BY367">
        <f t="shared" si="743"/>
        <v>0</v>
      </c>
      <c r="BZ367">
        <f t="shared" si="743"/>
        <v>0</v>
      </c>
      <c r="CA367">
        <f t="shared" si="743"/>
        <v>0</v>
      </c>
      <c r="CB367">
        <f t="shared" si="743"/>
        <v>0</v>
      </c>
      <c r="CC367">
        <f t="shared" ref="CC367:CL369" si="744">IF($C367&lt;&gt;"",IF(N367&gt;0,1,0),0)</f>
        <v>0</v>
      </c>
      <c r="CD367">
        <f t="shared" si="744"/>
        <v>0</v>
      </c>
      <c r="CE367">
        <f t="shared" si="744"/>
        <v>0</v>
      </c>
      <c r="CF367">
        <f t="shared" si="744"/>
        <v>0</v>
      </c>
      <c r="CG367">
        <f t="shared" si="744"/>
        <v>0</v>
      </c>
      <c r="CH367">
        <f t="shared" si="744"/>
        <v>0</v>
      </c>
      <c r="CI367">
        <f t="shared" si="744"/>
        <v>0</v>
      </c>
      <c r="CJ367">
        <f t="shared" si="744"/>
        <v>0</v>
      </c>
      <c r="CK367">
        <f t="shared" si="744"/>
        <v>0</v>
      </c>
      <c r="CL367">
        <f t="shared" si="744"/>
        <v>0</v>
      </c>
      <c r="CM367">
        <f t="shared" ref="CM367:CV369" si="745">IF($C367&lt;&gt;"",IF(X367&gt;0,1,0),0)</f>
        <v>0</v>
      </c>
      <c r="CN367">
        <f t="shared" si="745"/>
        <v>0</v>
      </c>
      <c r="CO367">
        <f t="shared" si="745"/>
        <v>0</v>
      </c>
      <c r="CP367">
        <f t="shared" si="745"/>
        <v>0</v>
      </c>
      <c r="CQ367">
        <f t="shared" si="745"/>
        <v>0</v>
      </c>
      <c r="CR367">
        <f t="shared" si="745"/>
        <v>0</v>
      </c>
      <c r="CS367">
        <f t="shared" si="745"/>
        <v>0</v>
      </c>
      <c r="CT367">
        <f t="shared" si="745"/>
        <v>0</v>
      </c>
      <c r="CU367">
        <f t="shared" si="745"/>
        <v>0</v>
      </c>
      <c r="CV367">
        <f t="shared" si="745"/>
        <v>0</v>
      </c>
      <c r="CW367">
        <f t="shared" ref="CW367:DF369" si="746">IF($C367&lt;&gt;"",IF(AH367&gt;0,1,0),0)</f>
        <v>0</v>
      </c>
      <c r="CX367">
        <f t="shared" si="746"/>
        <v>0</v>
      </c>
      <c r="CY367">
        <f t="shared" si="746"/>
        <v>0</v>
      </c>
      <c r="CZ367">
        <f t="shared" si="746"/>
        <v>0</v>
      </c>
      <c r="DA367">
        <f t="shared" si="746"/>
        <v>0</v>
      </c>
      <c r="DB367">
        <f t="shared" si="746"/>
        <v>0</v>
      </c>
      <c r="DC367">
        <f t="shared" si="746"/>
        <v>0</v>
      </c>
      <c r="DD367">
        <f t="shared" si="746"/>
        <v>0</v>
      </c>
      <c r="DE367">
        <f t="shared" si="746"/>
        <v>0</v>
      </c>
      <c r="DF367">
        <f t="shared" si="746"/>
        <v>0</v>
      </c>
      <c r="DG367">
        <f t="shared" ref="DG367:DP369" si="747">IF($C367&lt;&gt;"",IF(AR367&gt;0,1,0),0)</f>
        <v>0</v>
      </c>
      <c r="DH367">
        <f t="shared" si="747"/>
        <v>0</v>
      </c>
      <c r="DI367">
        <f t="shared" si="747"/>
        <v>0</v>
      </c>
      <c r="DJ367">
        <f t="shared" si="747"/>
        <v>0</v>
      </c>
      <c r="DK367">
        <f t="shared" si="747"/>
        <v>0</v>
      </c>
      <c r="DL367">
        <f t="shared" si="747"/>
        <v>0</v>
      </c>
      <c r="DM367">
        <f t="shared" si="747"/>
        <v>0</v>
      </c>
      <c r="DN367">
        <f t="shared" si="747"/>
        <v>0</v>
      </c>
      <c r="DO367">
        <f t="shared" si="747"/>
        <v>0</v>
      </c>
      <c r="DP367">
        <f t="shared" si="747"/>
        <v>0</v>
      </c>
      <c r="DQ367">
        <f t="shared" ref="DQ367:DZ369" si="748">IF($C367&lt;&gt;"",IF(BB367&gt;0,1,0),0)</f>
        <v>1</v>
      </c>
      <c r="DR367">
        <f t="shared" si="748"/>
        <v>0</v>
      </c>
      <c r="DS367">
        <f t="shared" si="748"/>
        <v>0</v>
      </c>
      <c r="DT367">
        <f t="shared" si="748"/>
        <v>0</v>
      </c>
      <c r="DU367">
        <f t="shared" si="748"/>
        <v>0</v>
      </c>
      <c r="DV367">
        <f t="shared" si="748"/>
        <v>0</v>
      </c>
      <c r="DW367">
        <f t="shared" si="748"/>
        <v>0</v>
      </c>
      <c r="DX367">
        <f t="shared" si="748"/>
        <v>0</v>
      </c>
      <c r="DY367">
        <f t="shared" si="748"/>
        <v>0</v>
      </c>
      <c r="DZ367">
        <f t="shared" si="748"/>
        <v>0</v>
      </c>
      <c r="EA367">
        <f t="shared" ref="EA367:EF369" si="749">IF($C367&lt;&gt;"",IF(BL367&gt;0,1,0),0)</f>
        <v>0</v>
      </c>
      <c r="EB367">
        <f t="shared" si="749"/>
        <v>0</v>
      </c>
      <c r="EC367">
        <f t="shared" si="749"/>
        <v>1</v>
      </c>
      <c r="ED367">
        <f t="shared" si="749"/>
        <v>0</v>
      </c>
      <c r="EE367">
        <f t="shared" si="749"/>
        <v>0</v>
      </c>
      <c r="EF367">
        <f t="shared" si="749"/>
        <v>0</v>
      </c>
    </row>
    <row r="368" spans="1:136" ht="15.5">
      <c r="A368" s="90"/>
      <c r="B368" s="53" t="s">
        <v>3</v>
      </c>
      <c r="C368" s="94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>
        <v>0</v>
      </c>
      <c r="AL368" s="18">
        <v>0</v>
      </c>
      <c r="AM368" s="18">
        <v>0</v>
      </c>
      <c r="AN368" s="18">
        <v>0</v>
      </c>
      <c r="AO368" s="18">
        <v>0</v>
      </c>
      <c r="AP368" s="18">
        <v>0</v>
      </c>
      <c r="AQ368" s="18">
        <v>0</v>
      </c>
      <c r="AR368" s="18">
        <v>0</v>
      </c>
      <c r="AS368" s="18">
        <v>0</v>
      </c>
      <c r="AT368" s="18">
        <v>0</v>
      </c>
      <c r="AU368" s="18">
        <v>0</v>
      </c>
      <c r="AV368" s="18">
        <v>0</v>
      </c>
      <c r="AW368" s="18">
        <v>0</v>
      </c>
      <c r="AX368" s="18">
        <v>0</v>
      </c>
      <c r="AY368" s="18">
        <v>0</v>
      </c>
      <c r="AZ368" s="18">
        <v>0</v>
      </c>
      <c r="BA368" s="18">
        <v>0</v>
      </c>
      <c r="BB368" s="18">
        <v>1242.5</v>
      </c>
      <c r="BC368" s="18">
        <v>0</v>
      </c>
      <c r="BD368" s="18">
        <v>0</v>
      </c>
      <c r="BE368" s="25">
        <v>0</v>
      </c>
      <c r="BF368" s="18">
        <v>0</v>
      </c>
      <c r="BG368" s="18">
        <v>0</v>
      </c>
      <c r="BH368" s="18">
        <v>0</v>
      </c>
      <c r="BI368" s="18">
        <v>0</v>
      </c>
      <c r="BJ368" s="18">
        <v>0</v>
      </c>
      <c r="BK368" s="18">
        <v>0</v>
      </c>
      <c r="BL368" s="18">
        <v>0</v>
      </c>
      <c r="BM368" s="18">
        <v>0</v>
      </c>
      <c r="BN368" s="113">
        <f>911/1.79</f>
        <v>508.93854748603349</v>
      </c>
      <c r="BO368" s="18">
        <v>0</v>
      </c>
      <c r="BP368" s="18">
        <v>0</v>
      </c>
      <c r="BQ368" s="18">
        <v>0</v>
      </c>
      <c r="BR368" s="101"/>
      <c r="BS368">
        <f t="shared" si="743"/>
        <v>0</v>
      </c>
      <c r="BT368">
        <f t="shared" si="743"/>
        <v>0</v>
      </c>
      <c r="BU368">
        <f t="shared" si="743"/>
        <v>0</v>
      </c>
      <c r="BV368">
        <f t="shared" si="743"/>
        <v>0</v>
      </c>
      <c r="BW368">
        <f t="shared" si="743"/>
        <v>0</v>
      </c>
      <c r="BX368">
        <f t="shared" si="743"/>
        <v>0</v>
      </c>
      <c r="BY368">
        <f t="shared" si="743"/>
        <v>0</v>
      </c>
      <c r="BZ368">
        <f t="shared" si="743"/>
        <v>0</v>
      </c>
      <c r="CA368">
        <f t="shared" si="743"/>
        <v>0</v>
      </c>
      <c r="CB368">
        <f t="shared" si="743"/>
        <v>0</v>
      </c>
      <c r="CC368">
        <f t="shared" si="744"/>
        <v>0</v>
      </c>
      <c r="CD368">
        <f t="shared" si="744"/>
        <v>0</v>
      </c>
      <c r="CE368">
        <f t="shared" si="744"/>
        <v>0</v>
      </c>
      <c r="CF368">
        <f t="shared" si="744"/>
        <v>0</v>
      </c>
      <c r="CG368">
        <f t="shared" si="744"/>
        <v>0</v>
      </c>
      <c r="CH368">
        <f t="shared" si="744"/>
        <v>0</v>
      </c>
      <c r="CI368">
        <f t="shared" si="744"/>
        <v>0</v>
      </c>
      <c r="CJ368">
        <f t="shared" si="744"/>
        <v>0</v>
      </c>
      <c r="CK368">
        <f t="shared" si="744"/>
        <v>0</v>
      </c>
      <c r="CL368">
        <f t="shared" si="744"/>
        <v>0</v>
      </c>
      <c r="CM368">
        <f t="shared" si="745"/>
        <v>0</v>
      </c>
      <c r="CN368">
        <f t="shared" si="745"/>
        <v>0</v>
      </c>
      <c r="CO368">
        <f t="shared" si="745"/>
        <v>0</v>
      </c>
      <c r="CP368">
        <f t="shared" si="745"/>
        <v>0</v>
      </c>
      <c r="CQ368">
        <f t="shared" si="745"/>
        <v>0</v>
      </c>
      <c r="CR368">
        <f t="shared" si="745"/>
        <v>0</v>
      </c>
      <c r="CS368">
        <f t="shared" si="745"/>
        <v>0</v>
      </c>
      <c r="CT368">
        <f t="shared" si="745"/>
        <v>0</v>
      </c>
      <c r="CU368">
        <f t="shared" si="745"/>
        <v>0</v>
      </c>
      <c r="CV368">
        <f t="shared" si="745"/>
        <v>0</v>
      </c>
      <c r="CW368">
        <f t="shared" si="746"/>
        <v>0</v>
      </c>
      <c r="CX368">
        <f t="shared" si="746"/>
        <v>0</v>
      </c>
      <c r="CY368">
        <f t="shared" si="746"/>
        <v>0</v>
      </c>
      <c r="CZ368">
        <f t="shared" si="746"/>
        <v>0</v>
      </c>
      <c r="DA368">
        <f t="shared" si="746"/>
        <v>0</v>
      </c>
      <c r="DB368">
        <f t="shared" si="746"/>
        <v>0</v>
      </c>
      <c r="DC368">
        <f t="shared" si="746"/>
        <v>0</v>
      </c>
      <c r="DD368">
        <f t="shared" si="746"/>
        <v>0</v>
      </c>
      <c r="DE368">
        <f t="shared" si="746"/>
        <v>0</v>
      </c>
      <c r="DF368">
        <f t="shared" si="746"/>
        <v>0</v>
      </c>
      <c r="DG368">
        <f t="shared" si="747"/>
        <v>0</v>
      </c>
      <c r="DH368">
        <f t="shared" si="747"/>
        <v>0</v>
      </c>
      <c r="DI368">
        <f t="shared" si="747"/>
        <v>0</v>
      </c>
      <c r="DJ368">
        <f t="shared" si="747"/>
        <v>0</v>
      </c>
      <c r="DK368">
        <f t="shared" si="747"/>
        <v>0</v>
      </c>
      <c r="DL368">
        <f t="shared" si="747"/>
        <v>0</v>
      </c>
      <c r="DM368">
        <f t="shared" si="747"/>
        <v>0</v>
      </c>
      <c r="DN368">
        <f t="shared" si="747"/>
        <v>0</v>
      </c>
      <c r="DO368">
        <f t="shared" si="747"/>
        <v>0</v>
      </c>
      <c r="DP368">
        <f t="shared" si="747"/>
        <v>0</v>
      </c>
      <c r="DQ368">
        <f t="shared" si="748"/>
        <v>0</v>
      </c>
      <c r="DR368">
        <f t="shared" si="748"/>
        <v>0</v>
      </c>
      <c r="DS368">
        <f t="shared" si="748"/>
        <v>0</v>
      </c>
      <c r="DT368">
        <f t="shared" si="748"/>
        <v>0</v>
      </c>
      <c r="DU368">
        <f t="shared" si="748"/>
        <v>0</v>
      </c>
      <c r="DV368">
        <f t="shared" si="748"/>
        <v>0</v>
      </c>
      <c r="DW368">
        <f t="shared" si="748"/>
        <v>0</v>
      </c>
      <c r="DX368">
        <f t="shared" si="748"/>
        <v>0</v>
      </c>
      <c r="DY368">
        <f t="shared" si="748"/>
        <v>0</v>
      </c>
      <c r="DZ368">
        <f t="shared" si="748"/>
        <v>0</v>
      </c>
      <c r="EA368">
        <f t="shared" si="749"/>
        <v>0</v>
      </c>
      <c r="EB368">
        <f t="shared" si="749"/>
        <v>0</v>
      </c>
      <c r="EC368">
        <f t="shared" si="749"/>
        <v>0</v>
      </c>
      <c r="ED368">
        <f t="shared" si="749"/>
        <v>0</v>
      </c>
      <c r="EE368">
        <f t="shared" si="749"/>
        <v>0</v>
      </c>
      <c r="EF368">
        <f t="shared" si="749"/>
        <v>0</v>
      </c>
    </row>
    <row r="369" spans="1:136" ht="15.5">
      <c r="A369" s="90"/>
      <c r="B369" s="53" t="s">
        <v>212</v>
      </c>
      <c r="C369" s="94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>
        <v>167.5977653631285</v>
      </c>
      <c r="AL369" s="18">
        <v>76.131117318435756</v>
      </c>
      <c r="AM369" s="18">
        <v>66.759776536312842</v>
      </c>
      <c r="AN369" s="18">
        <v>81.564245810055866</v>
      </c>
      <c r="AO369" s="18">
        <v>121.1731843575419</v>
      </c>
      <c r="AP369" s="18">
        <v>150.55865921787708</v>
      </c>
      <c r="AQ369" s="18">
        <v>172.29050279329607</v>
      </c>
      <c r="AR369" s="18">
        <v>173.57541899441341</v>
      </c>
      <c r="AS369" s="18">
        <v>203.0167597765363</v>
      </c>
      <c r="AT369" s="18">
        <v>178.20837988826815</v>
      </c>
      <c r="AU369" s="18">
        <v>234.78379888268154</v>
      </c>
      <c r="AV369" s="18">
        <v>212.66703910614524</v>
      </c>
      <c r="AW369" s="18">
        <v>83.2</v>
      </c>
      <c r="AX369" s="18">
        <v>122.90502793296089</v>
      </c>
      <c r="AY369" s="18">
        <v>207.37430167597765</v>
      </c>
      <c r="AZ369" s="18">
        <v>120</v>
      </c>
      <c r="BA369" s="18">
        <v>126</v>
      </c>
      <c r="BB369" s="18">
        <v>91</v>
      </c>
      <c r="BC369" s="18">
        <v>106</v>
      </c>
      <c r="BD369" s="18">
        <v>72</v>
      </c>
      <c r="BE369" s="25">
        <v>47</v>
      </c>
      <c r="BF369" s="18">
        <v>46.927374301675975</v>
      </c>
      <c r="BG369" s="18">
        <v>63</v>
      </c>
      <c r="BH369" s="18">
        <v>72.067039106145245</v>
      </c>
      <c r="BI369" s="113">
        <v>42.458100558659218</v>
      </c>
      <c r="BJ369" s="113">
        <v>66.703910614525142</v>
      </c>
      <c r="BK369" s="113">
        <v>84.189944134078203</v>
      </c>
      <c r="BL369" s="113">
        <v>235.97765363128491</v>
      </c>
      <c r="BM369" s="113">
        <v>208.54748603351956</v>
      </c>
      <c r="BN369" s="18">
        <v>108</v>
      </c>
      <c r="BO369" s="113">
        <v>128.49162011173183</v>
      </c>
      <c r="BP369" s="113">
        <v>0</v>
      </c>
      <c r="BQ369" s="113">
        <v>0</v>
      </c>
      <c r="BR369" s="101"/>
      <c r="BS369">
        <f t="shared" si="743"/>
        <v>0</v>
      </c>
      <c r="BT369">
        <f t="shared" si="743"/>
        <v>0</v>
      </c>
      <c r="BU369">
        <f t="shared" si="743"/>
        <v>0</v>
      </c>
      <c r="BV369">
        <f t="shared" si="743"/>
        <v>0</v>
      </c>
      <c r="BW369">
        <f t="shared" si="743"/>
        <v>0</v>
      </c>
      <c r="BX369">
        <f t="shared" si="743"/>
        <v>0</v>
      </c>
      <c r="BY369">
        <f t="shared" si="743"/>
        <v>0</v>
      </c>
      <c r="BZ369">
        <f t="shared" si="743"/>
        <v>0</v>
      </c>
      <c r="CA369">
        <f t="shared" si="743"/>
        <v>0</v>
      </c>
      <c r="CB369">
        <f t="shared" si="743"/>
        <v>0</v>
      </c>
      <c r="CC369">
        <f t="shared" si="744"/>
        <v>0</v>
      </c>
      <c r="CD369">
        <f t="shared" si="744"/>
        <v>0</v>
      </c>
      <c r="CE369">
        <f t="shared" si="744"/>
        <v>0</v>
      </c>
      <c r="CF369">
        <f t="shared" si="744"/>
        <v>0</v>
      </c>
      <c r="CG369">
        <f t="shared" si="744"/>
        <v>0</v>
      </c>
      <c r="CH369">
        <f t="shared" si="744"/>
        <v>0</v>
      </c>
      <c r="CI369">
        <f t="shared" si="744"/>
        <v>0</v>
      </c>
      <c r="CJ369">
        <f t="shared" si="744"/>
        <v>0</v>
      </c>
      <c r="CK369">
        <f t="shared" si="744"/>
        <v>0</v>
      </c>
      <c r="CL369">
        <f t="shared" si="744"/>
        <v>0</v>
      </c>
      <c r="CM369">
        <f t="shared" si="745"/>
        <v>0</v>
      </c>
      <c r="CN369">
        <f t="shared" si="745"/>
        <v>0</v>
      </c>
      <c r="CO369">
        <f t="shared" si="745"/>
        <v>0</v>
      </c>
      <c r="CP369">
        <f t="shared" si="745"/>
        <v>0</v>
      </c>
      <c r="CQ369">
        <f t="shared" si="745"/>
        <v>0</v>
      </c>
      <c r="CR369">
        <f t="shared" si="745"/>
        <v>0</v>
      </c>
      <c r="CS369">
        <f t="shared" si="745"/>
        <v>0</v>
      </c>
      <c r="CT369">
        <f t="shared" si="745"/>
        <v>0</v>
      </c>
      <c r="CU369">
        <f t="shared" si="745"/>
        <v>0</v>
      </c>
      <c r="CV369">
        <f t="shared" si="745"/>
        <v>0</v>
      </c>
      <c r="CW369">
        <f t="shared" si="746"/>
        <v>0</v>
      </c>
      <c r="CX369">
        <f t="shared" si="746"/>
        <v>0</v>
      </c>
      <c r="CY369">
        <f t="shared" si="746"/>
        <v>0</v>
      </c>
      <c r="CZ369">
        <f t="shared" si="746"/>
        <v>0</v>
      </c>
      <c r="DA369">
        <f t="shared" si="746"/>
        <v>0</v>
      </c>
      <c r="DB369">
        <f t="shared" si="746"/>
        <v>0</v>
      </c>
      <c r="DC369">
        <f t="shared" si="746"/>
        <v>0</v>
      </c>
      <c r="DD369">
        <f t="shared" si="746"/>
        <v>0</v>
      </c>
      <c r="DE369">
        <f t="shared" si="746"/>
        <v>0</v>
      </c>
      <c r="DF369">
        <f t="shared" si="746"/>
        <v>0</v>
      </c>
      <c r="DG369">
        <f t="shared" si="747"/>
        <v>0</v>
      </c>
      <c r="DH369">
        <f t="shared" si="747"/>
        <v>0</v>
      </c>
      <c r="DI369">
        <f t="shared" si="747"/>
        <v>0</v>
      </c>
      <c r="DJ369">
        <f t="shared" si="747"/>
        <v>0</v>
      </c>
      <c r="DK369">
        <f t="shared" si="747"/>
        <v>0</v>
      </c>
      <c r="DL369">
        <f t="shared" si="747"/>
        <v>0</v>
      </c>
      <c r="DM369">
        <f t="shared" si="747"/>
        <v>0</v>
      </c>
      <c r="DN369">
        <f t="shared" si="747"/>
        <v>0</v>
      </c>
      <c r="DO369">
        <f t="shared" si="747"/>
        <v>0</v>
      </c>
      <c r="DP369">
        <f t="shared" si="747"/>
        <v>0</v>
      </c>
      <c r="DQ369">
        <f t="shared" si="748"/>
        <v>0</v>
      </c>
      <c r="DR369">
        <f t="shared" si="748"/>
        <v>0</v>
      </c>
      <c r="DS369">
        <f t="shared" si="748"/>
        <v>0</v>
      </c>
      <c r="DT369">
        <f t="shared" si="748"/>
        <v>0</v>
      </c>
      <c r="DU369">
        <f t="shared" si="748"/>
        <v>0</v>
      </c>
      <c r="DV369">
        <f t="shared" si="748"/>
        <v>0</v>
      </c>
      <c r="DW369">
        <f t="shared" si="748"/>
        <v>0</v>
      </c>
      <c r="DX369">
        <f t="shared" si="748"/>
        <v>0</v>
      </c>
      <c r="DY369">
        <f t="shared" si="748"/>
        <v>0</v>
      </c>
      <c r="DZ369">
        <f t="shared" si="748"/>
        <v>0</v>
      </c>
      <c r="EA369">
        <f t="shared" si="749"/>
        <v>0</v>
      </c>
      <c r="EB369">
        <f t="shared" si="749"/>
        <v>0</v>
      </c>
      <c r="EC369">
        <f t="shared" si="749"/>
        <v>0</v>
      </c>
      <c r="ED369">
        <f t="shared" si="749"/>
        <v>0</v>
      </c>
      <c r="EE369">
        <f t="shared" si="749"/>
        <v>0</v>
      </c>
      <c r="EF369">
        <f t="shared" si="749"/>
        <v>0</v>
      </c>
    </row>
    <row r="370" spans="1:136" ht="15.5">
      <c r="A370" s="90"/>
      <c r="B370" s="53"/>
      <c r="C370" s="94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18"/>
      <c r="AW370" s="18"/>
      <c r="AX370" s="18"/>
      <c r="AY370" s="18"/>
      <c r="AZ370" s="18"/>
      <c r="BA370" s="18"/>
      <c r="BB370" s="18"/>
      <c r="BC370" s="18"/>
      <c r="BD370" s="18"/>
      <c r="BE370" s="25"/>
      <c r="BF370" s="18"/>
      <c r="BG370" s="18"/>
      <c r="BH370" s="2"/>
      <c r="BI370" s="2"/>
      <c r="BJ370" s="2"/>
      <c r="BK370" s="2"/>
      <c r="BL370" s="22"/>
      <c r="BM370" s="2"/>
      <c r="BN370" s="2"/>
      <c r="BO370" s="2"/>
      <c r="BP370" s="2"/>
      <c r="BQ370" s="2"/>
      <c r="BR370" s="101"/>
    </row>
    <row r="371" spans="1:136" ht="15.5">
      <c r="A371" s="93">
        <v>42</v>
      </c>
      <c r="B371" s="32" t="s">
        <v>55</v>
      </c>
      <c r="C371" s="94">
        <v>1</v>
      </c>
      <c r="D371" s="22">
        <f t="shared" ref="D371:AI371" si="750">D372</f>
        <v>0</v>
      </c>
      <c r="E371" s="22">
        <f t="shared" si="750"/>
        <v>0</v>
      </c>
      <c r="F371" s="22">
        <f t="shared" si="750"/>
        <v>0</v>
      </c>
      <c r="G371" s="22">
        <f t="shared" si="750"/>
        <v>0</v>
      </c>
      <c r="H371" s="22">
        <f t="shared" si="750"/>
        <v>0</v>
      </c>
      <c r="I371" s="22">
        <f t="shared" si="750"/>
        <v>0</v>
      </c>
      <c r="J371" s="22">
        <f t="shared" si="750"/>
        <v>0</v>
      </c>
      <c r="K371" s="22">
        <f t="shared" si="750"/>
        <v>0</v>
      </c>
      <c r="L371" s="22">
        <f t="shared" si="750"/>
        <v>0</v>
      </c>
      <c r="M371" s="22">
        <f t="shared" si="750"/>
        <v>0</v>
      </c>
      <c r="N371" s="22">
        <f t="shared" si="750"/>
        <v>0</v>
      </c>
      <c r="O371" s="22">
        <f t="shared" si="750"/>
        <v>0</v>
      </c>
      <c r="P371" s="22">
        <f t="shared" si="750"/>
        <v>0</v>
      </c>
      <c r="Q371" s="22">
        <f t="shared" si="750"/>
        <v>0</v>
      </c>
      <c r="R371" s="22">
        <f t="shared" si="750"/>
        <v>0</v>
      </c>
      <c r="S371" s="22">
        <f t="shared" si="750"/>
        <v>0</v>
      </c>
      <c r="T371" s="22">
        <f t="shared" si="750"/>
        <v>0</v>
      </c>
      <c r="U371" s="22">
        <f t="shared" si="750"/>
        <v>0</v>
      </c>
      <c r="V371" s="22">
        <f t="shared" si="750"/>
        <v>0</v>
      </c>
      <c r="W371" s="22">
        <f t="shared" si="750"/>
        <v>0</v>
      </c>
      <c r="X371" s="22">
        <f t="shared" si="750"/>
        <v>0</v>
      </c>
      <c r="Y371" s="22">
        <f t="shared" si="750"/>
        <v>0</v>
      </c>
      <c r="Z371" s="22">
        <f t="shared" si="750"/>
        <v>0</v>
      </c>
      <c r="AA371" s="22">
        <f t="shared" si="750"/>
        <v>0</v>
      </c>
      <c r="AB371" s="22">
        <f t="shared" si="750"/>
        <v>0</v>
      </c>
      <c r="AC371" s="22">
        <f t="shared" si="750"/>
        <v>0</v>
      </c>
      <c r="AD371" s="22">
        <f t="shared" si="750"/>
        <v>0</v>
      </c>
      <c r="AE371" s="22">
        <f t="shared" si="750"/>
        <v>0</v>
      </c>
      <c r="AF371" s="22">
        <f t="shared" si="750"/>
        <v>0</v>
      </c>
      <c r="AG371" s="22">
        <f t="shared" si="750"/>
        <v>0</v>
      </c>
      <c r="AH371" s="22">
        <f t="shared" si="750"/>
        <v>0</v>
      </c>
      <c r="AI371" s="22">
        <f t="shared" si="750"/>
        <v>0</v>
      </c>
      <c r="AJ371" s="22">
        <f t="shared" ref="AJ371:BQ371" si="751">AJ372</f>
        <v>0</v>
      </c>
      <c r="AK371" s="22">
        <f t="shared" si="751"/>
        <v>0</v>
      </c>
      <c r="AL371" s="22">
        <f t="shared" si="751"/>
        <v>0</v>
      </c>
      <c r="AM371" s="22">
        <f t="shared" si="751"/>
        <v>0</v>
      </c>
      <c r="AN371" s="22">
        <f t="shared" si="751"/>
        <v>0</v>
      </c>
      <c r="AO371" s="22">
        <f t="shared" si="751"/>
        <v>0</v>
      </c>
      <c r="AP371" s="22">
        <f t="shared" si="751"/>
        <v>0</v>
      </c>
      <c r="AQ371" s="22">
        <f t="shared" si="751"/>
        <v>0</v>
      </c>
      <c r="AR371" s="22">
        <f t="shared" si="751"/>
        <v>0</v>
      </c>
      <c r="AS371" s="22">
        <f t="shared" si="751"/>
        <v>0</v>
      </c>
      <c r="AT371" s="22">
        <f t="shared" si="751"/>
        <v>0</v>
      </c>
      <c r="AU371" s="22">
        <f t="shared" si="751"/>
        <v>0</v>
      </c>
      <c r="AV371" s="22">
        <f t="shared" si="751"/>
        <v>0</v>
      </c>
      <c r="AW371" s="22">
        <f t="shared" si="751"/>
        <v>0</v>
      </c>
      <c r="AX371" s="22">
        <f t="shared" si="751"/>
        <v>0</v>
      </c>
      <c r="AY371" s="22">
        <f t="shared" si="751"/>
        <v>0</v>
      </c>
      <c r="AZ371" s="22">
        <f t="shared" si="751"/>
        <v>0</v>
      </c>
      <c r="BA371" s="22">
        <f t="shared" si="751"/>
        <v>0</v>
      </c>
      <c r="BB371" s="22">
        <f t="shared" si="751"/>
        <v>0</v>
      </c>
      <c r="BC371" s="22">
        <f t="shared" si="751"/>
        <v>0</v>
      </c>
      <c r="BD371" s="22">
        <f t="shared" si="751"/>
        <v>0</v>
      </c>
      <c r="BE371" s="22">
        <f t="shared" si="751"/>
        <v>1698.2364467668192</v>
      </c>
      <c r="BF371" s="22">
        <f t="shared" si="751"/>
        <v>0</v>
      </c>
      <c r="BG371" s="22">
        <f t="shared" si="751"/>
        <v>0</v>
      </c>
      <c r="BH371" s="22">
        <f t="shared" si="751"/>
        <v>0</v>
      </c>
      <c r="BI371" s="22">
        <f t="shared" si="751"/>
        <v>0</v>
      </c>
      <c r="BJ371" s="22">
        <f t="shared" si="751"/>
        <v>0</v>
      </c>
      <c r="BK371" s="22">
        <f t="shared" si="751"/>
        <v>0</v>
      </c>
      <c r="BL371" s="22">
        <f t="shared" si="751"/>
        <v>0</v>
      </c>
      <c r="BM371" s="22">
        <f t="shared" si="751"/>
        <v>0</v>
      </c>
      <c r="BN371" s="22">
        <f t="shared" si="751"/>
        <v>0</v>
      </c>
      <c r="BO371" s="22">
        <f t="shared" si="751"/>
        <v>0</v>
      </c>
      <c r="BP371" s="22">
        <f t="shared" si="751"/>
        <v>0</v>
      </c>
      <c r="BQ371" s="22">
        <f t="shared" si="751"/>
        <v>0</v>
      </c>
      <c r="BR371" s="101"/>
      <c r="BS371">
        <f t="shared" ref="BS371:CX371" si="752">IF($C371&lt;&gt;"",IF(D371&gt;0,1,0),0)</f>
        <v>0</v>
      </c>
      <c r="BT371">
        <f t="shared" si="752"/>
        <v>0</v>
      </c>
      <c r="BU371">
        <f t="shared" si="752"/>
        <v>0</v>
      </c>
      <c r="BV371">
        <f t="shared" si="752"/>
        <v>0</v>
      </c>
      <c r="BW371">
        <f t="shared" si="752"/>
        <v>0</v>
      </c>
      <c r="BX371">
        <f t="shared" si="752"/>
        <v>0</v>
      </c>
      <c r="BY371">
        <f t="shared" si="752"/>
        <v>0</v>
      </c>
      <c r="BZ371">
        <f t="shared" si="752"/>
        <v>0</v>
      </c>
      <c r="CA371">
        <f t="shared" si="752"/>
        <v>0</v>
      </c>
      <c r="CB371">
        <f t="shared" si="752"/>
        <v>0</v>
      </c>
      <c r="CC371">
        <f t="shared" si="752"/>
        <v>0</v>
      </c>
      <c r="CD371">
        <f t="shared" si="752"/>
        <v>0</v>
      </c>
      <c r="CE371">
        <f t="shared" si="752"/>
        <v>0</v>
      </c>
      <c r="CF371">
        <f t="shared" si="752"/>
        <v>0</v>
      </c>
      <c r="CG371">
        <f t="shared" si="752"/>
        <v>0</v>
      </c>
      <c r="CH371">
        <f t="shared" si="752"/>
        <v>0</v>
      </c>
      <c r="CI371">
        <f t="shared" si="752"/>
        <v>0</v>
      </c>
      <c r="CJ371">
        <f t="shared" si="752"/>
        <v>0</v>
      </c>
      <c r="CK371">
        <f t="shared" si="752"/>
        <v>0</v>
      </c>
      <c r="CL371">
        <f t="shared" si="752"/>
        <v>0</v>
      </c>
      <c r="CM371">
        <f t="shared" si="752"/>
        <v>0</v>
      </c>
      <c r="CN371">
        <f t="shared" si="752"/>
        <v>0</v>
      </c>
      <c r="CO371">
        <f t="shared" si="752"/>
        <v>0</v>
      </c>
      <c r="CP371">
        <f t="shared" si="752"/>
        <v>0</v>
      </c>
      <c r="CQ371">
        <f t="shared" si="752"/>
        <v>0</v>
      </c>
      <c r="CR371">
        <f t="shared" si="752"/>
        <v>0</v>
      </c>
      <c r="CS371">
        <f t="shared" si="752"/>
        <v>0</v>
      </c>
      <c r="CT371">
        <f t="shared" si="752"/>
        <v>0</v>
      </c>
      <c r="CU371">
        <f t="shared" si="752"/>
        <v>0</v>
      </c>
      <c r="CV371">
        <f t="shared" si="752"/>
        <v>0</v>
      </c>
      <c r="CW371">
        <f t="shared" si="752"/>
        <v>0</v>
      </c>
      <c r="CX371">
        <f t="shared" si="752"/>
        <v>0</v>
      </c>
      <c r="CY371">
        <f t="shared" ref="CY371:ED371" si="753">IF($C371&lt;&gt;"",IF(AJ371&gt;0,1,0),0)</f>
        <v>0</v>
      </c>
      <c r="CZ371">
        <f t="shared" si="753"/>
        <v>0</v>
      </c>
      <c r="DA371">
        <f t="shared" si="753"/>
        <v>0</v>
      </c>
      <c r="DB371">
        <f t="shared" si="753"/>
        <v>0</v>
      </c>
      <c r="DC371">
        <f t="shared" si="753"/>
        <v>0</v>
      </c>
      <c r="DD371">
        <f t="shared" si="753"/>
        <v>0</v>
      </c>
      <c r="DE371">
        <f t="shared" si="753"/>
        <v>0</v>
      </c>
      <c r="DF371">
        <f t="shared" si="753"/>
        <v>0</v>
      </c>
      <c r="DG371">
        <f t="shared" si="753"/>
        <v>0</v>
      </c>
      <c r="DH371">
        <f t="shared" si="753"/>
        <v>0</v>
      </c>
      <c r="DI371">
        <f t="shared" si="753"/>
        <v>0</v>
      </c>
      <c r="DJ371">
        <f t="shared" si="753"/>
        <v>0</v>
      </c>
      <c r="DK371">
        <f t="shared" si="753"/>
        <v>0</v>
      </c>
      <c r="DL371">
        <f t="shared" si="753"/>
        <v>0</v>
      </c>
      <c r="DM371">
        <f t="shared" si="753"/>
        <v>0</v>
      </c>
      <c r="DN371">
        <f t="shared" si="753"/>
        <v>0</v>
      </c>
      <c r="DO371">
        <f t="shared" si="753"/>
        <v>0</v>
      </c>
      <c r="DP371">
        <f t="shared" si="753"/>
        <v>0</v>
      </c>
      <c r="DQ371">
        <f t="shared" si="753"/>
        <v>0</v>
      </c>
      <c r="DR371">
        <f t="shared" si="753"/>
        <v>0</v>
      </c>
      <c r="DS371">
        <f t="shared" si="753"/>
        <v>0</v>
      </c>
      <c r="DT371">
        <f t="shared" si="753"/>
        <v>1</v>
      </c>
      <c r="DU371">
        <f t="shared" si="753"/>
        <v>0</v>
      </c>
      <c r="DV371">
        <f t="shared" si="753"/>
        <v>0</v>
      </c>
      <c r="DW371">
        <f t="shared" si="753"/>
        <v>0</v>
      </c>
      <c r="DX371">
        <f t="shared" si="753"/>
        <v>0</v>
      </c>
      <c r="DY371">
        <f t="shared" si="753"/>
        <v>0</v>
      </c>
      <c r="DZ371">
        <f t="shared" si="753"/>
        <v>0</v>
      </c>
      <c r="EA371">
        <f t="shared" si="753"/>
        <v>0</v>
      </c>
      <c r="EB371">
        <f t="shared" si="753"/>
        <v>0</v>
      </c>
      <c r="EC371">
        <f t="shared" si="753"/>
        <v>0</v>
      </c>
      <c r="ED371">
        <f t="shared" si="753"/>
        <v>0</v>
      </c>
      <c r="EE371">
        <f t="shared" ref="EE371:EF371" si="754">IF($C371&lt;&gt;"",IF(BP371&gt;0,1,0),0)</f>
        <v>0</v>
      </c>
      <c r="EF371">
        <f t="shared" si="754"/>
        <v>0</v>
      </c>
    </row>
    <row r="372" spans="1:136" ht="15.5">
      <c r="A372" s="90"/>
      <c r="B372" s="53" t="s">
        <v>25</v>
      </c>
      <c r="C372" s="94"/>
      <c r="D372" s="18">
        <v>0</v>
      </c>
      <c r="E372" s="18">
        <v>0</v>
      </c>
      <c r="F372" s="18">
        <v>0</v>
      </c>
      <c r="G372" s="18">
        <v>0</v>
      </c>
      <c r="H372" s="18">
        <v>0</v>
      </c>
      <c r="I372" s="18">
        <v>0</v>
      </c>
      <c r="J372" s="18">
        <v>0</v>
      </c>
      <c r="K372" s="18">
        <v>0</v>
      </c>
      <c r="L372" s="18">
        <v>0</v>
      </c>
      <c r="M372" s="18">
        <v>0</v>
      </c>
      <c r="N372" s="18">
        <v>0</v>
      </c>
      <c r="O372" s="18">
        <v>0</v>
      </c>
      <c r="P372" s="18">
        <v>0</v>
      </c>
      <c r="Q372" s="18">
        <v>0</v>
      </c>
      <c r="R372" s="18">
        <v>0</v>
      </c>
      <c r="S372" s="18">
        <v>0</v>
      </c>
      <c r="T372" s="18">
        <v>0</v>
      </c>
      <c r="U372" s="18">
        <v>0</v>
      </c>
      <c r="V372" s="18">
        <v>0</v>
      </c>
      <c r="W372" s="18">
        <v>0</v>
      </c>
      <c r="X372" s="18">
        <v>0</v>
      </c>
      <c r="Y372" s="18">
        <v>0</v>
      </c>
      <c r="Z372" s="18">
        <v>0</v>
      </c>
      <c r="AA372" s="18">
        <v>0</v>
      </c>
      <c r="AB372" s="18">
        <v>0</v>
      </c>
      <c r="AC372" s="18">
        <v>0</v>
      </c>
      <c r="AD372" s="18">
        <v>0</v>
      </c>
      <c r="AE372" s="18">
        <v>0</v>
      </c>
      <c r="AF372" s="18">
        <v>0</v>
      </c>
      <c r="AG372" s="18">
        <v>0</v>
      </c>
      <c r="AH372" s="18">
        <v>0</v>
      </c>
      <c r="AI372" s="18">
        <v>0</v>
      </c>
      <c r="AJ372" s="18">
        <v>0</v>
      </c>
      <c r="AK372" s="18">
        <v>0</v>
      </c>
      <c r="AL372" s="18">
        <v>0</v>
      </c>
      <c r="AM372" s="18">
        <v>0</v>
      </c>
      <c r="AN372" s="18">
        <v>0</v>
      </c>
      <c r="AO372" s="18">
        <v>0</v>
      </c>
      <c r="AP372" s="18">
        <v>0</v>
      </c>
      <c r="AQ372" s="18">
        <v>0</v>
      </c>
      <c r="AR372" s="18">
        <v>0</v>
      </c>
      <c r="AS372" s="18">
        <v>0</v>
      </c>
      <c r="AT372" s="18">
        <v>0</v>
      </c>
      <c r="AU372" s="18">
        <v>0</v>
      </c>
      <c r="AV372" s="18">
        <v>0</v>
      </c>
      <c r="AW372" s="18">
        <v>0</v>
      </c>
      <c r="AX372" s="18">
        <v>0</v>
      </c>
      <c r="AY372" s="18">
        <v>0</v>
      </c>
      <c r="AZ372" s="18">
        <v>0</v>
      </c>
      <c r="BA372" s="18">
        <v>0</v>
      </c>
      <c r="BB372" s="18">
        <v>0</v>
      </c>
      <c r="BC372" s="18">
        <v>0</v>
      </c>
      <c r="BD372" s="18">
        <v>0</v>
      </c>
      <c r="BE372" s="25">
        <v>1698.2364467668192</v>
      </c>
      <c r="BF372" s="18">
        <v>0</v>
      </c>
      <c r="BG372" s="18">
        <v>0</v>
      </c>
      <c r="BH372" s="18">
        <v>0</v>
      </c>
      <c r="BI372" s="18">
        <v>0</v>
      </c>
      <c r="BJ372" s="18">
        <f>BJ374</f>
        <v>0</v>
      </c>
      <c r="BK372" s="18">
        <f>BK374</f>
        <v>0</v>
      </c>
      <c r="BL372" s="18">
        <f>BL374</f>
        <v>0</v>
      </c>
      <c r="BM372" s="18">
        <f>BM374</f>
        <v>0</v>
      </c>
      <c r="BN372" s="18">
        <f>BN374</f>
        <v>0</v>
      </c>
      <c r="BO372" s="18">
        <v>0</v>
      </c>
      <c r="BP372" s="18">
        <v>0</v>
      </c>
      <c r="BQ372" s="18">
        <v>0</v>
      </c>
      <c r="BR372" s="101"/>
      <c r="BS372">
        <f t="shared" ref="BS372:CB373" si="755">IF($C372&lt;&gt;"",IF(D372&gt;0,1,0),0)</f>
        <v>0</v>
      </c>
      <c r="BT372">
        <f t="shared" si="755"/>
        <v>0</v>
      </c>
      <c r="BU372">
        <f t="shared" si="755"/>
        <v>0</v>
      </c>
      <c r="BV372">
        <f t="shared" si="755"/>
        <v>0</v>
      </c>
      <c r="BW372">
        <f t="shared" si="755"/>
        <v>0</v>
      </c>
      <c r="BX372">
        <f t="shared" si="755"/>
        <v>0</v>
      </c>
      <c r="BY372">
        <f t="shared" si="755"/>
        <v>0</v>
      </c>
      <c r="BZ372">
        <f t="shared" si="755"/>
        <v>0</v>
      </c>
      <c r="CA372">
        <f t="shared" si="755"/>
        <v>0</v>
      </c>
      <c r="CB372">
        <f t="shared" si="755"/>
        <v>0</v>
      </c>
      <c r="CC372">
        <f t="shared" ref="CC372:CL373" si="756">IF($C372&lt;&gt;"",IF(N372&gt;0,1,0),0)</f>
        <v>0</v>
      </c>
      <c r="CD372">
        <f t="shared" si="756"/>
        <v>0</v>
      </c>
      <c r="CE372">
        <f t="shared" si="756"/>
        <v>0</v>
      </c>
      <c r="CF372">
        <f t="shared" si="756"/>
        <v>0</v>
      </c>
      <c r="CG372">
        <f t="shared" si="756"/>
        <v>0</v>
      </c>
      <c r="CH372">
        <f t="shared" si="756"/>
        <v>0</v>
      </c>
      <c r="CI372">
        <f t="shared" si="756"/>
        <v>0</v>
      </c>
      <c r="CJ372">
        <f t="shared" si="756"/>
        <v>0</v>
      </c>
      <c r="CK372">
        <f t="shared" si="756"/>
        <v>0</v>
      </c>
      <c r="CL372">
        <f t="shared" si="756"/>
        <v>0</v>
      </c>
      <c r="CM372">
        <f t="shared" ref="CM372:CV373" si="757">IF($C372&lt;&gt;"",IF(X372&gt;0,1,0),0)</f>
        <v>0</v>
      </c>
      <c r="CN372">
        <f t="shared" si="757"/>
        <v>0</v>
      </c>
      <c r="CO372">
        <f t="shared" si="757"/>
        <v>0</v>
      </c>
      <c r="CP372">
        <f t="shared" si="757"/>
        <v>0</v>
      </c>
      <c r="CQ372">
        <f t="shared" si="757"/>
        <v>0</v>
      </c>
      <c r="CR372">
        <f t="shared" si="757"/>
        <v>0</v>
      </c>
      <c r="CS372">
        <f t="shared" si="757"/>
        <v>0</v>
      </c>
      <c r="CT372">
        <f t="shared" si="757"/>
        <v>0</v>
      </c>
      <c r="CU372">
        <f t="shared" si="757"/>
        <v>0</v>
      </c>
      <c r="CV372">
        <f t="shared" si="757"/>
        <v>0</v>
      </c>
      <c r="CW372">
        <f t="shared" ref="CW372:DF373" si="758">IF($C372&lt;&gt;"",IF(AH372&gt;0,1,0),0)</f>
        <v>0</v>
      </c>
      <c r="CX372">
        <f t="shared" si="758"/>
        <v>0</v>
      </c>
      <c r="CY372">
        <f t="shared" si="758"/>
        <v>0</v>
      </c>
      <c r="CZ372">
        <f t="shared" si="758"/>
        <v>0</v>
      </c>
      <c r="DA372">
        <f t="shared" si="758"/>
        <v>0</v>
      </c>
      <c r="DB372">
        <f t="shared" si="758"/>
        <v>0</v>
      </c>
      <c r="DC372">
        <f t="shared" si="758"/>
        <v>0</v>
      </c>
      <c r="DD372">
        <f t="shared" si="758"/>
        <v>0</v>
      </c>
      <c r="DE372">
        <f t="shared" si="758"/>
        <v>0</v>
      </c>
      <c r="DF372">
        <f t="shared" si="758"/>
        <v>0</v>
      </c>
      <c r="DG372">
        <f t="shared" ref="DG372:DP373" si="759">IF($C372&lt;&gt;"",IF(AR372&gt;0,1,0),0)</f>
        <v>0</v>
      </c>
      <c r="DH372">
        <f t="shared" si="759"/>
        <v>0</v>
      </c>
      <c r="DI372">
        <f t="shared" si="759"/>
        <v>0</v>
      </c>
      <c r="DJ372">
        <f t="shared" si="759"/>
        <v>0</v>
      </c>
      <c r="DK372">
        <f t="shared" si="759"/>
        <v>0</v>
      </c>
      <c r="DL372">
        <f t="shared" si="759"/>
        <v>0</v>
      </c>
      <c r="DM372">
        <f t="shared" si="759"/>
        <v>0</v>
      </c>
      <c r="DN372">
        <f t="shared" si="759"/>
        <v>0</v>
      </c>
      <c r="DO372">
        <f t="shared" si="759"/>
        <v>0</v>
      </c>
      <c r="DP372">
        <f t="shared" si="759"/>
        <v>0</v>
      </c>
      <c r="DQ372">
        <f t="shared" ref="DQ372:DZ373" si="760">IF($C372&lt;&gt;"",IF(BB372&gt;0,1,0),0)</f>
        <v>0</v>
      </c>
      <c r="DR372">
        <f t="shared" si="760"/>
        <v>0</v>
      </c>
      <c r="DS372">
        <f t="shared" si="760"/>
        <v>0</v>
      </c>
      <c r="DT372">
        <f t="shared" si="760"/>
        <v>0</v>
      </c>
      <c r="DU372">
        <f t="shared" si="760"/>
        <v>0</v>
      </c>
      <c r="DV372">
        <f t="shared" si="760"/>
        <v>0</v>
      </c>
      <c r="DW372">
        <f t="shared" si="760"/>
        <v>0</v>
      </c>
      <c r="DX372">
        <f t="shared" si="760"/>
        <v>0</v>
      </c>
      <c r="DY372">
        <f t="shared" si="760"/>
        <v>0</v>
      </c>
      <c r="DZ372">
        <f t="shared" si="760"/>
        <v>0</v>
      </c>
      <c r="EA372">
        <f t="shared" ref="EA372:EF372" si="761">IF($C372&lt;&gt;"",IF(BL371&gt;0,1,0),0)</f>
        <v>0</v>
      </c>
      <c r="EB372">
        <f t="shared" si="761"/>
        <v>0</v>
      </c>
      <c r="EC372">
        <f t="shared" si="761"/>
        <v>0</v>
      </c>
      <c r="ED372">
        <f t="shared" si="761"/>
        <v>0</v>
      </c>
      <c r="EE372">
        <f t="shared" si="761"/>
        <v>0</v>
      </c>
      <c r="EF372">
        <f t="shared" si="761"/>
        <v>0</v>
      </c>
    </row>
    <row r="373" spans="1:136" ht="15.5">
      <c r="A373" s="90"/>
      <c r="B373" s="53" t="s">
        <v>212</v>
      </c>
      <c r="C373" s="94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>
        <v>0</v>
      </c>
      <c r="AB373" s="18">
        <v>0</v>
      </c>
      <c r="AC373" s="18">
        <v>0</v>
      </c>
      <c r="AD373" s="18">
        <v>0</v>
      </c>
      <c r="AE373" s="18">
        <v>0</v>
      </c>
      <c r="AF373" s="18">
        <v>0</v>
      </c>
      <c r="AG373" s="18">
        <v>0</v>
      </c>
      <c r="AH373" s="18">
        <v>0</v>
      </c>
      <c r="AI373" s="18">
        <v>0</v>
      </c>
      <c r="AJ373" s="18">
        <v>0</v>
      </c>
      <c r="AK373" s="18">
        <v>0</v>
      </c>
      <c r="AL373" s="18">
        <v>0</v>
      </c>
      <c r="AM373" s="18">
        <v>0</v>
      </c>
      <c r="AN373" s="18">
        <v>0</v>
      </c>
      <c r="AO373" s="18">
        <v>0</v>
      </c>
      <c r="AP373" s="18">
        <v>0</v>
      </c>
      <c r="AQ373" s="18">
        <v>0</v>
      </c>
      <c r="AR373" s="18">
        <v>0</v>
      </c>
      <c r="AS373" s="18">
        <v>0</v>
      </c>
      <c r="AT373" s="18">
        <v>0</v>
      </c>
      <c r="AU373" s="18">
        <v>0</v>
      </c>
      <c r="AV373" s="18">
        <v>0</v>
      </c>
      <c r="AW373" s="18">
        <v>0</v>
      </c>
      <c r="AX373" s="18">
        <v>0</v>
      </c>
      <c r="AY373" s="18">
        <v>0</v>
      </c>
      <c r="AZ373" s="18">
        <v>0</v>
      </c>
      <c r="BA373" s="18">
        <v>0</v>
      </c>
      <c r="BB373" s="18">
        <v>0</v>
      </c>
      <c r="BC373" s="18">
        <v>0</v>
      </c>
      <c r="BD373" s="18">
        <v>0</v>
      </c>
      <c r="BE373" s="25">
        <f>10*1.36</f>
        <v>13.600000000000001</v>
      </c>
      <c r="BF373" s="18">
        <f>9.6*1.23</f>
        <v>11.808</v>
      </c>
      <c r="BG373" s="18">
        <f>8*1.09</f>
        <v>8.7200000000000006</v>
      </c>
      <c r="BH373" s="18">
        <v>0</v>
      </c>
      <c r="BI373" s="18">
        <v>0</v>
      </c>
      <c r="BJ373" s="18">
        <v>0</v>
      </c>
      <c r="BK373" s="18">
        <v>0</v>
      </c>
      <c r="BL373" s="18">
        <v>0</v>
      </c>
      <c r="BM373" s="18">
        <v>0</v>
      </c>
      <c r="BN373" s="18">
        <v>0</v>
      </c>
      <c r="BO373" s="18">
        <v>0</v>
      </c>
      <c r="BP373" s="18">
        <v>0</v>
      </c>
      <c r="BQ373" s="18">
        <v>0</v>
      </c>
      <c r="BR373" s="101"/>
      <c r="BS373">
        <f t="shared" si="755"/>
        <v>0</v>
      </c>
      <c r="BT373">
        <f t="shared" si="755"/>
        <v>0</v>
      </c>
      <c r="BU373">
        <f t="shared" si="755"/>
        <v>0</v>
      </c>
      <c r="BV373">
        <f t="shared" si="755"/>
        <v>0</v>
      </c>
      <c r="BW373">
        <f t="shared" si="755"/>
        <v>0</v>
      </c>
      <c r="BX373">
        <f t="shared" si="755"/>
        <v>0</v>
      </c>
      <c r="BY373">
        <f t="shared" si="755"/>
        <v>0</v>
      </c>
      <c r="BZ373">
        <f t="shared" si="755"/>
        <v>0</v>
      </c>
      <c r="CA373">
        <f t="shared" si="755"/>
        <v>0</v>
      </c>
      <c r="CB373">
        <f t="shared" si="755"/>
        <v>0</v>
      </c>
      <c r="CC373">
        <f t="shared" si="756"/>
        <v>0</v>
      </c>
      <c r="CD373">
        <f t="shared" si="756"/>
        <v>0</v>
      </c>
      <c r="CE373">
        <f t="shared" si="756"/>
        <v>0</v>
      </c>
      <c r="CF373">
        <f t="shared" si="756"/>
        <v>0</v>
      </c>
      <c r="CG373">
        <f t="shared" si="756"/>
        <v>0</v>
      </c>
      <c r="CH373">
        <f t="shared" si="756"/>
        <v>0</v>
      </c>
      <c r="CI373">
        <f t="shared" si="756"/>
        <v>0</v>
      </c>
      <c r="CJ373">
        <f t="shared" si="756"/>
        <v>0</v>
      </c>
      <c r="CK373">
        <f t="shared" si="756"/>
        <v>0</v>
      </c>
      <c r="CL373">
        <f t="shared" si="756"/>
        <v>0</v>
      </c>
      <c r="CM373">
        <f t="shared" si="757"/>
        <v>0</v>
      </c>
      <c r="CN373">
        <f t="shared" si="757"/>
        <v>0</v>
      </c>
      <c r="CO373">
        <f t="shared" si="757"/>
        <v>0</v>
      </c>
      <c r="CP373">
        <f t="shared" si="757"/>
        <v>0</v>
      </c>
      <c r="CQ373">
        <f t="shared" si="757"/>
        <v>0</v>
      </c>
      <c r="CR373">
        <f t="shared" si="757"/>
        <v>0</v>
      </c>
      <c r="CS373">
        <f t="shared" si="757"/>
        <v>0</v>
      </c>
      <c r="CT373">
        <f t="shared" si="757"/>
        <v>0</v>
      </c>
      <c r="CU373">
        <f t="shared" si="757"/>
        <v>0</v>
      </c>
      <c r="CV373">
        <f t="shared" si="757"/>
        <v>0</v>
      </c>
      <c r="CW373">
        <f t="shared" si="758"/>
        <v>0</v>
      </c>
      <c r="CX373">
        <f t="shared" si="758"/>
        <v>0</v>
      </c>
      <c r="CY373">
        <f t="shared" si="758"/>
        <v>0</v>
      </c>
      <c r="CZ373">
        <f t="shared" si="758"/>
        <v>0</v>
      </c>
      <c r="DA373">
        <f t="shared" si="758"/>
        <v>0</v>
      </c>
      <c r="DB373">
        <f t="shared" si="758"/>
        <v>0</v>
      </c>
      <c r="DC373">
        <f t="shared" si="758"/>
        <v>0</v>
      </c>
      <c r="DD373">
        <f t="shared" si="758"/>
        <v>0</v>
      </c>
      <c r="DE373">
        <f t="shared" si="758"/>
        <v>0</v>
      </c>
      <c r="DF373">
        <f t="shared" si="758"/>
        <v>0</v>
      </c>
      <c r="DG373">
        <f t="shared" si="759"/>
        <v>0</v>
      </c>
      <c r="DH373">
        <f t="shared" si="759"/>
        <v>0</v>
      </c>
      <c r="DI373">
        <f t="shared" si="759"/>
        <v>0</v>
      </c>
      <c r="DJ373">
        <f t="shared" si="759"/>
        <v>0</v>
      </c>
      <c r="DK373">
        <f t="shared" si="759"/>
        <v>0</v>
      </c>
      <c r="DL373">
        <f t="shared" si="759"/>
        <v>0</v>
      </c>
      <c r="DM373">
        <f t="shared" si="759"/>
        <v>0</v>
      </c>
      <c r="DN373">
        <f t="shared" si="759"/>
        <v>0</v>
      </c>
      <c r="DO373">
        <f t="shared" si="759"/>
        <v>0</v>
      </c>
      <c r="DP373">
        <f t="shared" si="759"/>
        <v>0</v>
      </c>
      <c r="DQ373">
        <f t="shared" si="760"/>
        <v>0</v>
      </c>
      <c r="DR373">
        <f t="shared" si="760"/>
        <v>0</v>
      </c>
      <c r="DS373">
        <f t="shared" si="760"/>
        <v>0</v>
      </c>
      <c r="DT373">
        <f t="shared" si="760"/>
        <v>0</v>
      </c>
      <c r="DU373">
        <f t="shared" si="760"/>
        <v>0</v>
      </c>
      <c r="DV373">
        <f t="shared" si="760"/>
        <v>0</v>
      </c>
      <c r="DW373">
        <f t="shared" si="760"/>
        <v>0</v>
      </c>
      <c r="DX373">
        <f t="shared" si="760"/>
        <v>0</v>
      </c>
      <c r="DY373">
        <f t="shared" si="760"/>
        <v>0</v>
      </c>
      <c r="DZ373">
        <f t="shared" si="760"/>
        <v>0</v>
      </c>
      <c r="EA373">
        <f t="shared" ref="EA373:EF373" si="762">IF($C373&lt;&gt;"",IF(BL373&gt;0,1,0),0)</f>
        <v>0</v>
      </c>
      <c r="EB373">
        <f t="shared" si="762"/>
        <v>0</v>
      </c>
      <c r="EC373">
        <f t="shared" si="762"/>
        <v>0</v>
      </c>
      <c r="ED373">
        <f t="shared" si="762"/>
        <v>0</v>
      </c>
      <c r="EE373">
        <f t="shared" si="762"/>
        <v>0</v>
      </c>
      <c r="EF373">
        <f t="shared" si="762"/>
        <v>0</v>
      </c>
    </row>
    <row r="374" spans="1:136" ht="15.5">
      <c r="A374" s="90"/>
      <c r="B374" s="53"/>
      <c r="C374" s="94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  <c r="BA374" s="18"/>
      <c r="BB374" s="18"/>
      <c r="BC374" s="18"/>
      <c r="BD374" s="18"/>
      <c r="BE374" s="25"/>
      <c r="BF374" s="18"/>
      <c r="BG374" s="18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101"/>
    </row>
    <row r="375" spans="1:136" ht="15.5">
      <c r="A375" s="93">
        <v>43</v>
      </c>
      <c r="B375" s="32" t="s">
        <v>56</v>
      </c>
      <c r="C375" s="94">
        <v>2</v>
      </c>
      <c r="D375" s="22">
        <f t="shared" ref="D375:AF375" si="763">D376</f>
        <v>3.7505000000000002</v>
      </c>
      <c r="E375" s="22">
        <f t="shared" si="763"/>
        <v>3.9210000000000003</v>
      </c>
      <c r="F375" s="22">
        <f t="shared" si="763"/>
        <v>4.0914999999999999</v>
      </c>
      <c r="G375" s="22">
        <f t="shared" si="763"/>
        <v>4.2619999999999996</v>
      </c>
      <c r="H375" s="22">
        <f t="shared" si="763"/>
        <v>4.4324999999999992</v>
      </c>
      <c r="I375" s="22">
        <f t="shared" si="763"/>
        <v>4.6029999999999989</v>
      </c>
      <c r="J375" s="22">
        <f t="shared" si="763"/>
        <v>4.7734999999999985</v>
      </c>
      <c r="K375" s="22">
        <f t="shared" si="763"/>
        <v>4.9439999999999982</v>
      </c>
      <c r="L375" s="22">
        <f t="shared" si="763"/>
        <v>5.1144999999999978</v>
      </c>
      <c r="M375" s="22">
        <f t="shared" si="763"/>
        <v>5.2849999999999975</v>
      </c>
      <c r="N375" s="22">
        <f t="shared" si="763"/>
        <v>5.4554999999999971</v>
      </c>
      <c r="O375" s="22">
        <f t="shared" si="763"/>
        <v>5.6259999999999968</v>
      </c>
      <c r="P375" s="22">
        <f t="shared" si="763"/>
        <v>5.7964999999999964</v>
      </c>
      <c r="Q375" s="22">
        <f t="shared" si="763"/>
        <v>5.9669999999999961</v>
      </c>
      <c r="R375" s="22">
        <f t="shared" si="763"/>
        <v>6.1374999999999957</v>
      </c>
      <c r="S375" s="22">
        <f t="shared" si="763"/>
        <v>6.3079999999999954</v>
      </c>
      <c r="T375" s="22">
        <f t="shared" si="763"/>
        <v>6.478499999999995</v>
      </c>
      <c r="U375" s="22">
        <f t="shared" si="763"/>
        <v>6.6489999999999947</v>
      </c>
      <c r="V375" s="22">
        <f t="shared" si="763"/>
        <v>6.8194999999999943</v>
      </c>
      <c r="W375" s="22">
        <f t="shared" si="763"/>
        <v>6.989999999999994</v>
      </c>
      <c r="X375" s="22">
        <f t="shared" si="763"/>
        <v>7.1604999999999936</v>
      </c>
      <c r="Y375" s="22">
        <f t="shared" si="763"/>
        <v>7.3309999999999933</v>
      </c>
      <c r="Z375" s="22">
        <f t="shared" si="763"/>
        <v>7.501499999999993</v>
      </c>
      <c r="AA375" s="22">
        <f t="shared" si="763"/>
        <v>7.6719999999999926</v>
      </c>
      <c r="AB375" s="22">
        <f t="shared" si="763"/>
        <v>7.8424999999999923</v>
      </c>
      <c r="AC375" s="22">
        <f t="shared" si="763"/>
        <v>8.0129999999999928</v>
      </c>
      <c r="AD375" s="22">
        <f t="shared" si="763"/>
        <v>8.1834999999999933</v>
      </c>
      <c r="AE375" s="22">
        <f t="shared" si="763"/>
        <v>0</v>
      </c>
      <c r="AF375" s="22">
        <f t="shared" si="763"/>
        <v>0</v>
      </c>
      <c r="AG375" s="22">
        <v>0</v>
      </c>
      <c r="AH375" s="22">
        <v>0</v>
      </c>
      <c r="AI375" s="22">
        <v>0</v>
      </c>
      <c r="AJ375" s="22">
        <v>0</v>
      </c>
      <c r="AK375" s="22"/>
      <c r="AL375" s="22"/>
      <c r="AM375" s="22"/>
      <c r="AN375" s="22"/>
      <c r="AO375" s="22"/>
      <c r="AP375" s="22"/>
      <c r="AQ375" s="22"/>
      <c r="AR375" s="22"/>
      <c r="AS375" s="22"/>
      <c r="AT375" s="22"/>
      <c r="AU375" s="22"/>
      <c r="AV375" s="22"/>
      <c r="AW375" s="22"/>
      <c r="AX375" s="22"/>
      <c r="AY375" s="22"/>
      <c r="AZ375" s="22"/>
      <c r="BA375" s="22"/>
      <c r="BB375" s="22"/>
      <c r="BC375" s="22"/>
      <c r="BD375" s="22"/>
      <c r="BE375" s="22"/>
      <c r="BF375" s="22"/>
      <c r="BG375" s="22"/>
      <c r="BH375" s="22"/>
      <c r="BI375" s="22"/>
      <c r="BJ375" s="22"/>
      <c r="BK375" s="22"/>
      <c r="BL375" s="22"/>
      <c r="BM375" s="22"/>
      <c r="BN375" s="22"/>
      <c r="BO375" s="22"/>
      <c r="BP375" s="2"/>
      <c r="BQ375" s="2"/>
      <c r="BR375" s="101"/>
      <c r="BS375">
        <f t="shared" ref="BS375:CB376" si="764">IF($C375&lt;&gt;"",IF(D375&gt;0,1,0),0)</f>
        <v>1</v>
      </c>
      <c r="BT375">
        <f t="shared" si="764"/>
        <v>1</v>
      </c>
      <c r="BU375">
        <f t="shared" si="764"/>
        <v>1</v>
      </c>
      <c r="BV375">
        <f t="shared" si="764"/>
        <v>1</v>
      </c>
      <c r="BW375">
        <f t="shared" si="764"/>
        <v>1</v>
      </c>
      <c r="BX375">
        <f t="shared" si="764"/>
        <v>1</v>
      </c>
      <c r="BY375">
        <f t="shared" si="764"/>
        <v>1</v>
      </c>
      <c r="BZ375">
        <f t="shared" si="764"/>
        <v>1</v>
      </c>
      <c r="CA375">
        <f t="shared" si="764"/>
        <v>1</v>
      </c>
      <c r="CB375">
        <f t="shared" si="764"/>
        <v>1</v>
      </c>
      <c r="CC375">
        <f t="shared" ref="CC375:CL376" si="765">IF($C375&lt;&gt;"",IF(N375&gt;0,1,0),0)</f>
        <v>1</v>
      </c>
      <c r="CD375">
        <f t="shared" si="765"/>
        <v>1</v>
      </c>
      <c r="CE375">
        <f t="shared" si="765"/>
        <v>1</v>
      </c>
      <c r="CF375">
        <f t="shared" si="765"/>
        <v>1</v>
      </c>
      <c r="CG375">
        <f t="shared" si="765"/>
        <v>1</v>
      </c>
      <c r="CH375">
        <f t="shared" si="765"/>
        <v>1</v>
      </c>
      <c r="CI375">
        <f t="shared" si="765"/>
        <v>1</v>
      </c>
      <c r="CJ375">
        <f t="shared" si="765"/>
        <v>1</v>
      </c>
      <c r="CK375">
        <f t="shared" si="765"/>
        <v>1</v>
      </c>
      <c r="CL375">
        <f t="shared" si="765"/>
        <v>1</v>
      </c>
      <c r="CM375">
        <f t="shared" ref="CM375:CV376" si="766">IF($C375&lt;&gt;"",IF(X375&gt;0,1,0),0)</f>
        <v>1</v>
      </c>
      <c r="CN375">
        <f t="shared" si="766"/>
        <v>1</v>
      </c>
      <c r="CO375">
        <f t="shared" si="766"/>
        <v>1</v>
      </c>
      <c r="CP375">
        <f t="shared" si="766"/>
        <v>1</v>
      </c>
      <c r="CQ375">
        <f t="shared" si="766"/>
        <v>1</v>
      </c>
      <c r="CR375">
        <f t="shared" si="766"/>
        <v>1</v>
      </c>
      <c r="CS375">
        <f t="shared" si="766"/>
        <v>1</v>
      </c>
      <c r="CT375">
        <f t="shared" si="766"/>
        <v>0</v>
      </c>
      <c r="CU375">
        <f t="shared" si="766"/>
        <v>0</v>
      </c>
      <c r="CV375">
        <f t="shared" si="766"/>
        <v>0</v>
      </c>
      <c r="CW375">
        <f t="shared" ref="CW375:DF376" si="767">IF($C375&lt;&gt;"",IF(AH375&gt;0,1,0),0)</f>
        <v>0</v>
      </c>
      <c r="CX375">
        <f t="shared" si="767"/>
        <v>0</v>
      </c>
      <c r="CY375">
        <f t="shared" si="767"/>
        <v>0</v>
      </c>
      <c r="CZ375">
        <f t="shared" si="767"/>
        <v>0</v>
      </c>
      <c r="DA375">
        <f t="shared" si="767"/>
        <v>0</v>
      </c>
      <c r="DB375">
        <f t="shared" si="767"/>
        <v>0</v>
      </c>
      <c r="DC375">
        <f t="shared" si="767"/>
        <v>0</v>
      </c>
      <c r="DD375">
        <f t="shared" si="767"/>
        <v>0</v>
      </c>
      <c r="DE375">
        <f t="shared" si="767"/>
        <v>0</v>
      </c>
      <c r="DF375">
        <f t="shared" si="767"/>
        <v>0</v>
      </c>
      <c r="DG375">
        <f t="shared" ref="DG375:DP376" si="768">IF($C375&lt;&gt;"",IF(AR375&gt;0,1,0),0)</f>
        <v>0</v>
      </c>
      <c r="DH375">
        <f t="shared" si="768"/>
        <v>0</v>
      </c>
      <c r="DI375">
        <f t="shared" si="768"/>
        <v>0</v>
      </c>
      <c r="DJ375">
        <f t="shared" si="768"/>
        <v>0</v>
      </c>
      <c r="DK375">
        <f t="shared" si="768"/>
        <v>0</v>
      </c>
      <c r="DL375">
        <f t="shared" si="768"/>
        <v>0</v>
      </c>
      <c r="DM375">
        <f t="shared" si="768"/>
        <v>0</v>
      </c>
      <c r="DN375">
        <f t="shared" si="768"/>
        <v>0</v>
      </c>
      <c r="DO375">
        <f t="shared" si="768"/>
        <v>0</v>
      </c>
      <c r="DP375">
        <f t="shared" si="768"/>
        <v>0</v>
      </c>
      <c r="DQ375">
        <f t="shared" ref="DQ375:DZ376" si="769">IF($C375&lt;&gt;"",IF(BB375&gt;0,1,0),0)</f>
        <v>0</v>
      </c>
      <c r="DR375">
        <f t="shared" si="769"/>
        <v>0</v>
      </c>
      <c r="DS375">
        <f t="shared" si="769"/>
        <v>0</v>
      </c>
      <c r="DT375">
        <f t="shared" si="769"/>
        <v>0</v>
      </c>
      <c r="DU375">
        <f t="shared" si="769"/>
        <v>0</v>
      </c>
      <c r="DV375">
        <f t="shared" si="769"/>
        <v>0</v>
      </c>
      <c r="DW375">
        <f t="shared" si="769"/>
        <v>0</v>
      </c>
      <c r="DX375">
        <f t="shared" si="769"/>
        <v>0</v>
      </c>
      <c r="DY375">
        <f t="shared" si="769"/>
        <v>0</v>
      </c>
      <c r="DZ375">
        <f t="shared" si="769"/>
        <v>0</v>
      </c>
      <c r="EA375">
        <f t="shared" ref="EA375:EF376" si="770">IF($C375&lt;&gt;"",IF(BL375&gt;0,1,0),0)</f>
        <v>0</v>
      </c>
      <c r="EB375">
        <f t="shared" si="770"/>
        <v>0</v>
      </c>
      <c r="EC375">
        <f t="shared" si="770"/>
        <v>0</v>
      </c>
      <c r="ED375">
        <f t="shared" si="770"/>
        <v>0</v>
      </c>
      <c r="EE375">
        <f t="shared" si="770"/>
        <v>0</v>
      </c>
      <c r="EF375">
        <f t="shared" si="770"/>
        <v>0</v>
      </c>
    </row>
    <row r="376" spans="1:136" ht="15.5">
      <c r="A376" s="90"/>
      <c r="B376" s="53" t="s">
        <v>25</v>
      </c>
      <c r="C376" s="94"/>
      <c r="D376" s="58">
        <v>3.7505000000000002</v>
      </c>
      <c r="E376" s="58">
        <v>3.9210000000000003</v>
      </c>
      <c r="F376" s="58">
        <v>4.0914999999999999</v>
      </c>
      <c r="G376" s="58">
        <v>4.2619999999999996</v>
      </c>
      <c r="H376" s="58">
        <v>4.4324999999999992</v>
      </c>
      <c r="I376" s="58">
        <v>4.6029999999999989</v>
      </c>
      <c r="J376" s="58">
        <v>4.7734999999999985</v>
      </c>
      <c r="K376" s="58">
        <v>4.9439999999999982</v>
      </c>
      <c r="L376" s="58">
        <v>5.1144999999999978</v>
      </c>
      <c r="M376" s="58">
        <v>5.2849999999999975</v>
      </c>
      <c r="N376" s="58">
        <v>5.4554999999999971</v>
      </c>
      <c r="O376" s="58">
        <v>5.6259999999999968</v>
      </c>
      <c r="P376" s="58">
        <v>5.7964999999999964</v>
      </c>
      <c r="Q376" s="58">
        <v>5.9669999999999961</v>
      </c>
      <c r="R376" s="58">
        <v>6.1374999999999957</v>
      </c>
      <c r="S376" s="58">
        <v>6.3079999999999954</v>
      </c>
      <c r="T376" s="58">
        <v>6.478499999999995</v>
      </c>
      <c r="U376" s="58">
        <v>6.6489999999999947</v>
      </c>
      <c r="V376" s="58">
        <v>6.8194999999999943</v>
      </c>
      <c r="W376" s="58">
        <v>6.989999999999994</v>
      </c>
      <c r="X376" s="58">
        <v>7.1604999999999936</v>
      </c>
      <c r="Y376" s="58">
        <v>7.3309999999999933</v>
      </c>
      <c r="Z376" s="58">
        <v>7.501499999999993</v>
      </c>
      <c r="AA376" s="58">
        <v>7.6719999999999926</v>
      </c>
      <c r="AB376" s="58">
        <v>7.8424999999999923</v>
      </c>
      <c r="AC376" s="58">
        <v>8.0129999999999928</v>
      </c>
      <c r="AD376" s="58">
        <v>8.1834999999999933</v>
      </c>
      <c r="AE376" s="18">
        <v>0</v>
      </c>
      <c r="AF376" s="18">
        <v>0</v>
      </c>
      <c r="AG376" s="18">
        <v>0</v>
      </c>
      <c r="AH376" s="18">
        <v>0</v>
      </c>
      <c r="AI376" s="18">
        <v>0</v>
      </c>
      <c r="AJ376" s="18">
        <v>0</v>
      </c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  <c r="AZ376" s="18"/>
      <c r="BA376" s="18"/>
      <c r="BB376" s="18"/>
      <c r="BC376" s="18"/>
      <c r="BD376" s="18"/>
      <c r="BE376" s="18"/>
      <c r="BF376" s="18"/>
      <c r="BG376" s="18"/>
      <c r="BH376" s="18"/>
      <c r="BI376" s="18"/>
      <c r="BJ376" s="18"/>
      <c r="BK376" s="18"/>
      <c r="BL376" s="18"/>
      <c r="BM376" s="18"/>
      <c r="BN376" s="18"/>
      <c r="BO376" s="18"/>
      <c r="BP376" s="2"/>
      <c r="BQ376" s="2"/>
      <c r="BR376" s="101"/>
      <c r="BS376">
        <f t="shared" si="764"/>
        <v>0</v>
      </c>
      <c r="BT376">
        <f t="shared" si="764"/>
        <v>0</v>
      </c>
      <c r="BU376">
        <f t="shared" si="764"/>
        <v>0</v>
      </c>
      <c r="BV376">
        <f t="shared" si="764"/>
        <v>0</v>
      </c>
      <c r="BW376">
        <f t="shared" si="764"/>
        <v>0</v>
      </c>
      <c r="BX376">
        <f t="shared" si="764"/>
        <v>0</v>
      </c>
      <c r="BY376">
        <f t="shared" si="764"/>
        <v>0</v>
      </c>
      <c r="BZ376">
        <f t="shared" si="764"/>
        <v>0</v>
      </c>
      <c r="CA376">
        <f t="shared" si="764"/>
        <v>0</v>
      </c>
      <c r="CB376">
        <f t="shared" si="764"/>
        <v>0</v>
      </c>
      <c r="CC376">
        <f t="shared" si="765"/>
        <v>0</v>
      </c>
      <c r="CD376">
        <f t="shared" si="765"/>
        <v>0</v>
      </c>
      <c r="CE376">
        <f t="shared" si="765"/>
        <v>0</v>
      </c>
      <c r="CF376">
        <f t="shared" si="765"/>
        <v>0</v>
      </c>
      <c r="CG376">
        <f t="shared" si="765"/>
        <v>0</v>
      </c>
      <c r="CH376">
        <f t="shared" si="765"/>
        <v>0</v>
      </c>
      <c r="CI376">
        <f t="shared" si="765"/>
        <v>0</v>
      </c>
      <c r="CJ376">
        <f t="shared" si="765"/>
        <v>0</v>
      </c>
      <c r="CK376">
        <f t="shared" si="765"/>
        <v>0</v>
      </c>
      <c r="CL376">
        <f t="shared" si="765"/>
        <v>0</v>
      </c>
      <c r="CM376">
        <f t="shared" si="766"/>
        <v>0</v>
      </c>
      <c r="CN376">
        <f t="shared" si="766"/>
        <v>0</v>
      </c>
      <c r="CO376">
        <f t="shared" si="766"/>
        <v>0</v>
      </c>
      <c r="CP376">
        <f t="shared" si="766"/>
        <v>0</v>
      </c>
      <c r="CQ376">
        <f t="shared" si="766"/>
        <v>0</v>
      </c>
      <c r="CR376">
        <f t="shared" si="766"/>
        <v>0</v>
      </c>
      <c r="CS376">
        <f t="shared" si="766"/>
        <v>0</v>
      </c>
      <c r="CT376">
        <f t="shared" si="766"/>
        <v>0</v>
      </c>
      <c r="CU376">
        <f t="shared" si="766"/>
        <v>0</v>
      </c>
      <c r="CV376">
        <f t="shared" si="766"/>
        <v>0</v>
      </c>
      <c r="CW376">
        <f t="shared" si="767"/>
        <v>0</v>
      </c>
      <c r="CX376">
        <f t="shared" si="767"/>
        <v>0</v>
      </c>
      <c r="CY376">
        <f t="shared" si="767"/>
        <v>0</v>
      </c>
      <c r="CZ376">
        <f t="shared" si="767"/>
        <v>0</v>
      </c>
      <c r="DA376">
        <f t="shared" si="767"/>
        <v>0</v>
      </c>
      <c r="DB376">
        <f t="shared" si="767"/>
        <v>0</v>
      </c>
      <c r="DC376">
        <f t="shared" si="767"/>
        <v>0</v>
      </c>
      <c r="DD376">
        <f t="shared" si="767"/>
        <v>0</v>
      </c>
      <c r="DE376">
        <f t="shared" si="767"/>
        <v>0</v>
      </c>
      <c r="DF376">
        <f t="shared" si="767"/>
        <v>0</v>
      </c>
      <c r="DG376">
        <f t="shared" si="768"/>
        <v>0</v>
      </c>
      <c r="DH376">
        <f t="shared" si="768"/>
        <v>0</v>
      </c>
      <c r="DI376">
        <f t="shared" si="768"/>
        <v>0</v>
      </c>
      <c r="DJ376">
        <f t="shared" si="768"/>
        <v>0</v>
      </c>
      <c r="DK376">
        <f t="shared" si="768"/>
        <v>0</v>
      </c>
      <c r="DL376">
        <f t="shared" si="768"/>
        <v>0</v>
      </c>
      <c r="DM376">
        <f t="shared" si="768"/>
        <v>0</v>
      </c>
      <c r="DN376">
        <f t="shared" si="768"/>
        <v>0</v>
      </c>
      <c r="DO376">
        <f t="shared" si="768"/>
        <v>0</v>
      </c>
      <c r="DP376">
        <f t="shared" si="768"/>
        <v>0</v>
      </c>
      <c r="DQ376">
        <f t="shared" si="769"/>
        <v>0</v>
      </c>
      <c r="DR376">
        <f t="shared" si="769"/>
        <v>0</v>
      </c>
      <c r="DS376">
        <f t="shared" si="769"/>
        <v>0</v>
      </c>
      <c r="DT376">
        <f t="shared" si="769"/>
        <v>0</v>
      </c>
      <c r="DU376">
        <f t="shared" si="769"/>
        <v>0</v>
      </c>
      <c r="DV376">
        <f t="shared" si="769"/>
        <v>0</v>
      </c>
      <c r="DW376">
        <f t="shared" si="769"/>
        <v>0</v>
      </c>
      <c r="DX376">
        <f t="shared" si="769"/>
        <v>0</v>
      </c>
      <c r="DY376">
        <f t="shared" si="769"/>
        <v>0</v>
      </c>
      <c r="DZ376">
        <f t="shared" si="769"/>
        <v>0</v>
      </c>
      <c r="EA376">
        <f t="shared" si="770"/>
        <v>0</v>
      </c>
      <c r="EB376">
        <f t="shared" si="770"/>
        <v>0</v>
      </c>
      <c r="EC376">
        <f t="shared" si="770"/>
        <v>0</v>
      </c>
      <c r="ED376">
        <f t="shared" si="770"/>
        <v>0</v>
      </c>
      <c r="EE376">
        <f t="shared" si="770"/>
        <v>0</v>
      </c>
      <c r="EF376">
        <f t="shared" si="770"/>
        <v>0</v>
      </c>
    </row>
    <row r="377" spans="1:136" ht="15.5">
      <c r="A377" s="90"/>
      <c r="B377" s="53"/>
      <c r="C377" s="95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  <c r="AB377" s="58"/>
      <c r="AC377" s="58"/>
      <c r="AD377" s="58"/>
      <c r="AE377" s="58"/>
      <c r="AF377" s="58"/>
      <c r="AG377" s="58"/>
      <c r="AH377" s="58"/>
      <c r="AI377" s="58"/>
      <c r="AJ377" s="58"/>
      <c r="AK377" s="58"/>
      <c r="AL377" s="58"/>
      <c r="AM377" s="58"/>
      <c r="AN377" s="58"/>
      <c r="AO377" s="58"/>
      <c r="AP377" s="58"/>
      <c r="AQ377" s="58"/>
      <c r="AR377" s="58"/>
      <c r="AS377" s="58"/>
      <c r="AT377" s="58"/>
      <c r="AU377" s="58"/>
      <c r="AV377" s="58"/>
      <c r="AW377" s="58"/>
      <c r="AX377" s="58"/>
      <c r="AY377" s="58"/>
      <c r="AZ377" s="58"/>
      <c r="BA377" s="58"/>
      <c r="BB377" s="58"/>
      <c r="BC377" s="58"/>
      <c r="BD377" s="18"/>
      <c r="BE377" s="25"/>
      <c r="BF377" s="18"/>
      <c r="BG377" s="18"/>
      <c r="BH377" s="2"/>
      <c r="BI377" s="2"/>
      <c r="BJ377" s="2"/>
      <c r="BK377" s="2"/>
      <c r="BL377" s="33"/>
      <c r="BM377" s="2"/>
      <c r="BN377" s="2"/>
      <c r="BO377" s="2"/>
      <c r="BP377" s="2"/>
      <c r="BQ377" s="2"/>
      <c r="BR377" s="101"/>
    </row>
    <row r="378" spans="1:136" ht="15.5">
      <c r="A378" s="93">
        <v>44</v>
      </c>
      <c r="B378" s="52" t="s">
        <v>57</v>
      </c>
      <c r="C378" s="94">
        <v>4</v>
      </c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33"/>
      <c r="U378" s="33">
        <f t="shared" ref="U378:BP378" si="771">SUM(U379:U382)</f>
        <v>0</v>
      </c>
      <c r="V378" s="33">
        <f t="shared" si="771"/>
        <v>0</v>
      </c>
      <c r="W378" s="33">
        <f t="shared" si="771"/>
        <v>0</v>
      </c>
      <c r="X378" s="33">
        <f t="shared" si="771"/>
        <v>0</v>
      </c>
      <c r="Y378" s="33">
        <f t="shared" si="771"/>
        <v>0</v>
      </c>
      <c r="Z378" s="33">
        <f t="shared" si="771"/>
        <v>0</v>
      </c>
      <c r="AA378" s="33">
        <f t="shared" si="771"/>
        <v>0</v>
      </c>
      <c r="AB378" s="33">
        <f t="shared" si="771"/>
        <v>0.75475000000000003</v>
      </c>
      <c r="AC378" s="33">
        <f t="shared" si="771"/>
        <v>0</v>
      </c>
      <c r="AD378" s="33">
        <f t="shared" si="771"/>
        <v>5.6471E-2</v>
      </c>
      <c r="AE378" s="33">
        <f t="shared" si="771"/>
        <v>0</v>
      </c>
      <c r="AF378" s="33">
        <f t="shared" si="771"/>
        <v>4.8642999999999999E-2</v>
      </c>
      <c r="AG378" s="33">
        <f t="shared" si="771"/>
        <v>25.844580000000001</v>
      </c>
      <c r="AH378" s="33">
        <f t="shared" si="771"/>
        <v>1.3086500000000001</v>
      </c>
      <c r="AI378" s="33">
        <f t="shared" si="771"/>
        <v>3.451803</v>
      </c>
      <c r="AJ378" s="33">
        <f t="shared" si="771"/>
        <v>6.1061909999999999</v>
      </c>
      <c r="AK378" s="33">
        <f t="shared" si="771"/>
        <v>10.81339</v>
      </c>
      <c r="AL378" s="33">
        <f t="shared" si="771"/>
        <v>13.42243</v>
      </c>
      <c r="AM378" s="33">
        <f t="shared" si="771"/>
        <v>16.60651</v>
      </c>
      <c r="AN378" s="33">
        <f t="shared" si="771"/>
        <v>18.873809999999999</v>
      </c>
      <c r="AO378" s="33">
        <f t="shared" si="771"/>
        <v>32.937130000000003</v>
      </c>
      <c r="AP378" s="33">
        <f t="shared" si="771"/>
        <v>26.792269999999998</v>
      </c>
      <c r="AQ378" s="33">
        <f t="shared" si="771"/>
        <v>30.071349999999999</v>
      </c>
      <c r="AR378" s="33">
        <f t="shared" si="771"/>
        <v>31</v>
      </c>
      <c r="AS378" s="33">
        <f t="shared" si="771"/>
        <v>32.256599999999999</v>
      </c>
      <c r="AT378" s="33">
        <f t="shared" si="771"/>
        <v>14.89967</v>
      </c>
      <c r="AU378" s="33">
        <f t="shared" si="771"/>
        <v>25.02861</v>
      </c>
      <c r="AV378" s="33">
        <f t="shared" si="771"/>
        <v>29.449529999999999</v>
      </c>
      <c r="AW378" s="33">
        <f t="shared" si="771"/>
        <v>32.017110000000002</v>
      </c>
      <c r="AX378" s="33">
        <f t="shared" si="771"/>
        <v>39.111438599999993</v>
      </c>
      <c r="AY378" s="33">
        <f t="shared" si="771"/>
        <v>111.75426565500686</v>
      </c>
      <c r="AZ378" s="33">
        <f t="shared" si="771"/>
        <v>130.5335091</v>
      </c>
      <c r="BA378" s="33">
        <f t="shared" si="771"/>
        <v>13.942379900000001</v>
      </c>
      <c r="BB378" s="33">
        <f t="shared" si="771"/>
        <v>11.530050300000001</v>
      </c>
      <c r="BC378" s="33">
        <f t="shared" si="771"/>
        <v>2.5121454000000001</v>
      </c>
      <c r="BD378" s="33">
        <f t="shared" si="771"/>
        <v>8.6292849999999994</v>
      </c>
      <c r="BE378" s="33">
        <f t="shared" si="771"/>
        <v>14.1989166</v>
      </c>
      <c r="BF378" s="33">
        <f t="shared" si="771"/>
        <v>21.549438300000002</v>
      </c>
      <c r="BG378" s="33">
        <f t="shared" si="771"/>
        <v>20.667307699999999</v>
      </c>
      <c r="BH378" s="33">
        <f t="shared" si="771"/>
        <v>22.529977600000002</v>
      </c>
      <c r="BI378" s="33">
        <f t="shared" si="771"/>
        <v>32.6241038</v>
      </c>
      <c r="BJ378" s="33">
        <f t="shared" si="771"/>
        <v>62.4302104</v>
      </c>
      <c r="BK378" s="33">
        <f t="shared" si="771"/>
        <v>97.171092099999996</v>
      </c>
      <c r="BL378" s="33">
        <f t="shared" si="771"/>
        <v>146.80097079999999</v>
      </c>
      <c r="BM378" s="33">
        <f t="shared" si="771"/>
        <v>243.80097079999999</v>
      </c>
      <c r="BN378" s="33">
        <f t="shared" si="771"/>
        <v>230.91162109999999</v>
      </c>
      <c r="BO378" s="33">
        <f t="shared" si="771"/>
        <v>1049</v>
      </c>
      <c r="BP378" s="33">
        <f t="shared" si="771"/>
        <v>789</v>
      </c>
      <c r="BQ378" s="33">
        <f>SUM(BQ379:BQ382)</f>
        <v>839</v>
      </c>
      <c r="BR378" s="101"/>
      <c r="BS378">
        <f t="shared" ref="BS378:CX378" si="772">IF($C378&lt;&gt;"",IF(D378&gt;0,1,0),0)</f>
        <v>0</v>
      </c>
      <c r="BT378">
        <f t="shared" si="772"/>
        <v>0</v>
      </c>
      <c r="BU378">
        <f t="shared" si="772"/>
        <v>0</v>
      </c>
      <c r="BV378">
        <f t="shared" si="772"/>
        <v>0</v>
      </c>
      <c r="BW378">
        <f t="shared" si="772"/>
        <v>0</v>
      </c>
      <c r="BX378">
        <f t="shared" si="772"/>
        <v>0</v>
      </c>
      <c r="BY378">
        <f t="shared" si="772"/>
        <v>0</v>
      </c>
      <c r="BZ378">
        <f t="shared" si="772"/>
        <v>0</v>
      </c>
      <c r="CA378">
        <f t="shared" si="772"/>
        <v>0</v>
      </c>
      <c r="CB378">
        <f t="shared" si="772"/>
        <v>0</v>
      </c>
      <c r="CC378">
        <f t="shared" si="772"/>
        <v>0</v>
      </c>
      <c r="CD378">
        <f t="shared" si="772"/>
        <v>0</v>
      </c>
      <c r="CE378">
        <f t="shared" si="772"/>
        <v>0</v>
      </c>
      <c r="CF378">
        <f t="shared" si="772"/>
        <v>0</v>
      </c>
      <c r="CG378">
        <f t="shared" si="772"/>
        <v>0</v>
      </c>
      <c r="CH378">
        <f t="shared" si="772"/>
        <v>0</v>
      </c>
      <c r="CI378">
        <f t="shared" si="772"/>
        <v>0</v>
      </c>
      <c r="CJ378">
        <f t="shared" si="772"/>
        <v>0</v>
      </c>
      <c r="CK378">
        <f t="shared" si="772"/>
        <v>0</v>
      </c>
      <c r="CL378">
        <f t="shared" si="772"/>
        <v>0</v>
      </c>
      <c r="CM378">
        <f t="shared" si="772"/>
        <v>0</v>
      </c>
      <c r="CN378">
        <f t="shared" si="772"/>
        <v>0</v>
      </c>
      <c r="CO378">
        <f t="shared" si="772"/>
        <v>0</v>
      </c>
      <c r="CP378">
        <f t="shared" si="772"/>
        <v>0</v>
      </c>
      <c r="CQ378">
        <f t="shared" si="772"/>
        <v>1</v>
      </c>
      <c r="CR378">
        <f t="shared" si="772"/>
        <v>0</v>
      </c>
      <c r="CS378">
        <f t="shared" si="772"/>
        <v>1</v>
      </c>
      <c r="CT378">
        <f t="shared" si="772"/>
        <v>0</v>
      </c>
      <c r="CU378">
        <f t="shared" si="772"/>
        <v>1</v>
      </c>
      <c r="CV378">
        <f t="shared" si="772"/>
        <v>1</v>
      </c>
      <c r="CW378">
        <f t="shared" si="772"/>
        <v>1</v>
      </c>
      <c r="CX378">
        <f t="shared" si="772"/>
        <v>1</v>
      </c>
      <c r="CY378">
        <f t="shared" ref="CY378:ED378" si="773">IF($C378&lt;&gt;"",IF(AJ378&gt;0,1,0),0)</f>
        <v>1</v>
      </c>
      <c r="CZ378">
        <f t="shared" si="773"/>
        <v>1</v>
      </c>
      <c r="DA378">
        <f t="shared" si="773"/>
        <v>1</v>
      </c>
      <c r="DB378">
        <f t="shared" si="773"/>
        <v>1</v>
      </c>
      <c r="DC378">
        <f t="shared" si="773"/>
        <v>1</v>
      </c>
      <c r="DD378">
        <f t="shared" si="773"/>
        <v>1</v>
      </c>
      <c r="DE378">
        <f t="shared" si="773"/>
        <v>1</v>
      </c>
      <c r="DF378">
        <f t="shared" si="773"/>
        <v>1</v>
      </c>
      <c r="DG378">
        <f t="shared" si="773"/>
        <v>1</v>
      </c>
      <c r="DH378">
        <f t="shared" si="773"/>
        <v>1</v>
      </c>
      <c r="DI378">
        <f t="shared" si="773"/>
        <v>1</v>
      </c>
      <c r="DJ378">
        <f t="shared" si="773"/>
        <v>1</v>
      </c>
      <c r="DK378">
        <f t="shared" si="773"/>
        <v>1</v>
      </c>
      <c r="DL378">
        <f t="shared" si="773"/>
        <v>1</v>
      </c>
      <c r="DM378">
        <f t="shared" si="773"/>
        <v>1</v>
      </c>
      <c r="DN378">
        <f t="shared" si="773"/>
        <v>1</v>
      </c>
      <c r="DO378">
        <f t="shared" si="773"/>
        <v>1</v>
      </c>
      <c r="DP378">
        <f t="shared" si="773"/>
        <v>1</v>
      </c>
      <c r="DQ378">
        <f t="shared" si="773"/>
        <v>1</v>
      </c>
      <c r="DR378">
        <f t="shared" si="773"/>
        <v>1</v>
      </c>
      <c r="DS378">
        <f t="shared" si="773"/>
        <v>1</v>
      </c>
      <c r="DT378">
        <f t="shared" si="773"/>
        <v>1</v>
      </c>
      <c r="DU378">
        <f t="shared" si="773"/>
        <v>1</v>
      </c>
      <c r="DV378">
        <f t="shared" si="773"/>
        <v>1</v>
      </c>
      <c r="DW378">
        <f t="shared" si="773"/>
        <v>1</v>
      </c>
      <c r="DX378">
        <f t="shared" si="773"/>
        <v>1</v>
      </c>
      <c r="DY378">
        <f t="shared" si="773"/>
        <v>1</v>
      </c>
      <c r="DZ378">
        <f t="shared" si="773"/>
        <v>1</v>
      </c>
      <c r="EA378">
        <f t="shared" si="773"/>
        <v>1</v>
      </c>
      <c r="EB378">
        <f t="shared" si="773"/>
        <v>1</v>
      </c>
      <c r="EC378">
        <f t="shared" si="773"/>
        <v>1</v>
      </c>
      <c r="ED378">
        <f t="shared" si="773"/>
        <v>1</v>
      </c>
      <c r="EE378">
        <f t="shared" ref="EE378:EF378" si="774">IF($C378&lt;&gt;"",IF(BP378&gt;0,1,0),0)</f>
        <v>1</v>
      </c>
      <c r="EF378">
        <f t="shared" si="774"/>
        <v>1</v>
      </c>
    </row>
    <row r="379" spans="1:136" ht="15.5">
      <c r="A379" s="90"/>
      <c r="B379" s="19" t="s">
        <v>2</v>
      </c>
      <c r="C379" s="95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>
        <v>0</v>
      </c>
      <c r="V379" s="18">
        <v>0</v>
      </c>
      <c r="W379" s="18">
        <v>0</v>
      </c>
      <c r="X379" s="18">
        <v>0</v>
      </c>
      <c r="Y379" s="18">
        <v>0</v>
      </c>
      <c r="Z379" s="18">
        <v>0</v>
      </c>
      <c r="AA379" s="18">
        <v>0</v>
      </c>
      <c r="AB379" s="18">
        <v>0</v>
      </c>
      <c r="AC379" s="18">
        <v>0</v>
      </c>
      <c r="AD379" s="18">
        <v>0</v>
      </c>
      <c r="AE379" s="18">
        <v>0</v>
      </c>
      <c r="AF379" s="18">
        <v>0</v>
      </c>
      <c r="AG379" s="18">
        <v>0</v>
      </c>
      <c r="AH379" s="18">
        <v>0</v>
      </c>
      <c r="AI379" s="18">
        <v>0</v>
      </c>
      <c r="AJ379" s="18">
        <v>0</v>
      </c>
      <c r="AK379" s="18">
        <v>0</v>
      </c>
      <c r="AL379" s="18">
        <v>0</v>
      </c>
      <c r="AM379" s="18">
        <v>0</v>
      </c>
      <c r="AN379" s="18">
        <v>0</v>
      </c>
      <c r="AO379" s="18">
        <v>0</v>
      </c>
      <c r="AP379" s="18">
        <v>0</v>
      </c>
      <c r="AQ379" s="40" t="s">
        <v>16</v>
      </c>
      <c r="AR379" s="18">
        <v>16</v>
      </c>
      <c r="AS379" s="40" t="s">
        <v>16</v>
      </c>
      <c r="AT379" s="40" t="s">
        <v>16</v>
      </c>
      <c r="AU379" s="40" t="s">
        <v>16</v>
      </c>
      <c r="AV379" s="40" t="s">
        <v>16</v>
      </c>
      <c r="AW379" s="40" t="s">
        <v>16</v>
      </c>
      <c r="AX379" s="40" t="s">
        <v>16</v>
      </c>
      <c r="AY379" s="18">
        <v>58</v>
      </c>
      <c r="AZ379" s="18">
        <v>76</v>
      </c>
      <c r="BA379" s="18">
        <v>0</v>
      </c>
      <c r="BB379" s="18">
        <v>0</v>
      </c>
      <c r="BC379" s="40" t="s">
        <v>16</v>
      </c>
      <c r="BD379" s="40" t="s">
        <v>16</v>
      </c>
      <c r="BE379" s="18">
        <v>0</v>
      </c>
      <c r="BF379" s="18">
        <v>0</v>
      </c>
      <c r="BG379" s="18">
        <v>0</v>
      </c>
      <c r="BH379" s="18">
        <v>0</v>
      </c>
      <c r="BI379" s="18">
        <v>0</v>
      </c>
      <c r="BJ379" s="113">
        <v>0</v>
      </c>
      <c r="BK379" s="113">
        <v>0</v>
      </c>
      <c r="BL379" s="113">
        <v>15</v>
      </c>
      <c r="BM379" s="113">
        <v>6</v>
      </c>
      <c r="BN379" s="113">
        <v>0</v>
      </c>
      <c r="BO379" s="113">
        <v>77</v>
      </c>
      <c r="BP379" s="113">
        <v>75</v>
      </c>
      <c r="BQ379" s="113">
        <v>75</v>
      </c>
      <c r="BR379" s="101"/>
      <c r="BS379">
        <f t="shared" ref="BS379:CB382" si="775">IF($C379&lt;&gt;"",IF(D379&gt;0,1,0),0)</f>
        <v>0</v>
      </c>
      <c r="BT379">
        <f t="shared" si="775"/>
        <v>0</v>
      </c>
      <c r="BU379">
        <f t="shared" si="775"/>
        <v>0</v>
      </c>
      <c r="BV379">
        <f t="shared" si="775"/>
        <v>0</v>
      </c>
      <c r="BW379">
        <f t="shared" si="775"/>
        <v>0</v>
      </c>
      <c r="BX379">
        <f t="shared" si="775"/>
        <v>0</v>
      </c>
      <c r="BY379">
        <f t="shared" si="775"/>
        <v>0</v>
      </c>
      <c r="BZ379">
        <f t="shared" si="775"/>
        <v>0</v>
      </c>
      <c r="CA379">
        <f t="shared" si="775"/>
        <v>0</v>
      </c>
      <c r="CB379">
        <f t="shared" si="775"/>
        <v>0</v>
      </c>
      <c r="CC379">
        <f t="shared" ref="CC379:CL382" si="776">IF($C379&lt;&gt;"",IF(N379&gt;0,1,0),0)</f>
        <v>0</v>
      </c>
      <c r="CD379">
        <f t="shared" si="776"/>
        <v>0</v>
      </c>
      <c r="CE379">
        <f t="shared" si="776"/>
        <v>0</v>
      </c>
      <c r="CF379">
        <f t="shared" si="776"/>
        <v>0</v>
      </c>
      <c r="CG379">
        <f t="shared" si="776"/>
        <v>0</v>
      </c>
      <c r="CH379">
        <f t="shared" si="776"/>
        <v>0</v>
      </c>
      <c r="CI379">
        <f t="shared" si="776"/>
        <v>0</v>
      </c>
      <c r="CJ379">
        <f t="shared" si="776"/>
        <v>0</v>
      </c>
      <c r="CK379">
        <f t="shared" si="776"/>
        <v>0</v>
      </c>
      <c r="CL379">
        <f t="shared" si="776"/>
        <v>0</v>
      </c>
      <c r="CM379">
        <f t="shared" ref="CM379:CV382" si="777">IF($C379&lt;&gt;"",IF(X379&gt;0,1,0),0)</f>
        <v>0</v>
      </c>
      <c r="CN379">
        <f t="shared" si="777"/>
        <v>0</v>
      </c>
      <c r="CO379">
        <f t="shared" si="777"/>
        <v>0</v>
      </c>
      <c r="CP379">
        <f t="shared" si="777"/>
        <v>0</v>
      </c>
      <c r="CQ379">
        <f t="shared" si="777"/>
        <v>0</v>
      </c>
      <c r="CR379">
        <f t="shared" si="777"/>
        <v>0</v>
      </c>
      <c r="CS379">
        <f t="shared" si="777"/>
        <v>0</v>
      </c>
      <c r="CT379">
        <f t="shared" si="777"/>
        <v>0</v>
      </c>
      <c r="CU379">
        <f t="shared" si="777"/>
        <v>0</v>
      </c>
      <c r="CV379">
        <f t="shared" si="777"/>
        <v>0</v>
      </c>
      <c r="CW379">
        <f t="shared" ref="CW379:DF382" si="778">IF($C379&lt;&gt;"",IF(AH379&gt;0,1,0),0)</f>
        <v>0</v>
      </c>
      <c r="CX379">
        <f t="shared" si="778"/>
        <v>0</v>
      </c>
      <c r="CY379">
        <f t="shared" si="778"/>
        <v>0</v>
      </c>
      <c r="CZ379">
        <f t="shared" si="778"/>
        <v>0</v>
      </c>
      <c r="DA379">
        <f t="shared" si="778"/>
        <v>0</v>
      </c>
      <c r="DB379">
        <f t="shared" si="778"/>
        <v>0</v>
      </c>
      <c r="DC379">
        <f t="shared" si="778"/>
        <v>0</v>
      </c>
      <c r="DD379">
        <f t="shared" si="778"/>
        <v>0</v>
      </c>
      <c r="DE379">
        <f t="shared" si="778"/>
        <v>0</v>
      </c>
      <c r="DF379">
        <f t="shared" si="778"/>
        <v>0</v>
      </c>
      <c r="DG379">
        <f t="shared" ref="DG379:DP382" si="779">IF($C379&lt;&gt;"",IF(AR379&gt;0,1,0),0)</f>
        <v>0</v>
      </c>
      <c r="DH379">
        <f t="shared" si="779"/>
        <v>0</v>
      </c>
      <c r="DI379">
        <f t="shared" si="779"/>
        <v>0</v>
      </c>
      <c r="DJ379">
        <f t="shared" si="779"/>
        <v>0</v>
      </c>
      <c r="DK379">
        <f t="shared" si="779"/>
        <v>0</v>
      </c>
      <c r="DL379">
        <f t="shared" si="779"/>
        <v>0</v>
      </c>
      <c r="DM379">
        <f t="shared" si="779"/>
        <v>0</v>
      </c>
      <c r="DN379">
        <f t="shared" si="779"/>
        <v>0</v>
      </c>
      <c r="DO379">
        <f t="shared" si="779"/>
        <v>0</v>
      </c>
      <c r="DP379">
        <f t="shared" si="779"/>
        <v>0</v>
      </c>
      <c r="DQ379">
        <f t="shared" ref="DQ379:DZ382" si="780">IF($C379&lt;&gt;"",IF(BB379&gt;0,1,0),0)</f>
        <v>0</v>
      </c>
      <c r="DR379">
        <f t="shared" si="780"/>
        <v>0</v>
      </c>
      <c r="DS379">
        <f t="shared" si="780"/>
        <v>0</v>
      </c>
      <c r="DT379">
        <f t="shared" si="780"/>
        <v>0</v>
      </c>
      <c r="DU379">
        <f t="shared" si="780"/>
        <v>0</v>
      </c>
      <c r="DV379">
        <f t="shared" si="780"/>
        <v>0</v>
      </c>
      <c r="DW379">
        <f t="shared" si="780"/>
        <v>0</v>
      </c>
      <c r="DX379">
        <f t="shared" si="780"/>
        <v>0</v>
      </c>
      <c r="DY379">
        <f t="shared" si="780"/>
        <v>0</v>
      </c>
      <c r="DZ379">
        <f t="shared" si="780"/>
        <v>0</v>
      </c>
      <c r="EA379">
        <f t="shared" ref="EA379:EF382" si="781">IF($C379&lt;&gt;"",IF(BL378&gt;0,1,0),0)</f>
        <v>0</v>
      </c>
      <c r="EB379">
        <f t="shared" si="781"/>
        <v>0</v>
      </c>
      <c r="EC379">
        <f t="shared" si="781"/>
        <v>0</v>
      </c>
      <c r="ED379">
        <f t="shared" si="781"/>
        <v>0</v>
      </c>
      <c r="EE379">
        <f t="shared" si="781"/>
        <v>0</v>
      </c>
      <c r="EF379">
        <f t="shared" si="781"/>
        <v>0</v>
      </c>
    </row>
    <row r="380" spans="1:136" ht="15.5">
      <c r="A380" s="90"/>
      <c r="B380" s="19" t="s">
        <v>205</v>
      </c>
      <c r="C380" s="95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>
        <v>0</v>
      </c>
      <c r="V380" s="18">
        <v>0</v>
      </c>
      <c r="W380" s="18">
        <v>0</v>
      </c>
      <c r="X380" s="18">
        <v>0</v>
      </c>
      <c r="Y380" s="18">
        <v>0</v>
      </c>
      <c r="Z380" s="18">
        <v>0</v>
      </c>
      <c r="AA380" s="18">
        <v>0</v>
      </c>
      <c r="AB380" s="18">
        <v>0</v>
      </c>
      <c r="AC380" s="18">
        <v>0</v>
      </c>
      <c r="AD380" s="18">
        <v>0</v>
      </c>
      <c r="AE380" s="18">
        <v>0</v>
      </c>
      <c r="AF380" s="18">
        <v>0</v>
      </c>
      <c r="AG380" s="18">
        <v>0</v>
      </c>
      <c r="AH380" s="18">
        <v>0</v>
      </c>
      <c r="AI380" s="18">
        <v>0</v>
      </c>
      <c r="AJ380" s="168">
        <f>SUM(AJ388)/1000000</f>
        <v>0</v>
      </c>
      <c r="AK380" s="168">
        <f t="shared" ref="AK380:AP380" si="782">SUM(AK388)/1000000</f>
        <v>0</v>
      </c>
      <c r="AL380" s="168">
        <f t="shared" si="782"/>
        <v>0</v>
      </c>
      <c r="AM380" s="168">
        <f t="shared" si="782"/>
        <v>0</v>
      </c>
      <c r="AN380" s="168">
        <f t="shared" si="782"/>
        <v>0</v>
      </c>
      <c r="AO380" s="168">
        <f t="shared" si="782"/>
        <v>0</v>
      </c>
      <c r="AP380" s="168">
        <f t="shared" si="782"/>
        <v>0</v>
      </c>
      <c r="AQ380" s="18">
        <v>2.4759941000000003</v>
      </c>
      <c r="AR380" s="18">
        <v>2.8994616</v>
      </c>
      <c r="AS380" s="18">
        <v>3.3225400999999999</v>
      </c>
      <c r="AT380" s="18">
        <v>0</v>
      </c>
      <c r="AU380" s="18">
        <v>0</v>
      </c>
      <c r="AV380" s="18">
        <v>0</v>
      </c>
      <c r="AW380" s="18">
        <v>0</v>
      </c>
      <c r="AX380" s="18">
        <v>0</v>
      </c>
      <c r="AY380" s="71">
        <f>54.32/7.29</f>
        <v>7.4513031550068591</v>
      </c>
      <c r="AZ380" s="18">
        <v>0</v>
      </c>
      <c r="BA380" s="18">
        <v>0</v>
      </c>
      <c r="BB380" s="18">
        <v>0</v>
      </c>
      <c r="BC380" s="18">
        <v>0</v>
      </c>
      <c r="BD380" s="18">
        <v>0</v>
      </c>
      <c r="BE380" s="18">
        <v>0</v>
      </c>
      <c r="BF380" s="18">
        <v>0</v>
      </c>
      <c r="BG380" s="18">
        <v>0</v>
      </c>
      <c r="BH380" s="18">
        <v>0</v>
      </c>
      <c r="BI380" s="18">
        <v>0</v>
      </c>
      <c r="BJ380" s="18">
        <v>12</v>
      </c>
      <c r="BK380" s="113">
        <v>41</v>
      </c>
      <c r="BL380" s="113">
        <v>79</v>
      </c>
      <c r="BM380" s="113">
        <v>103</v>
      </c>
      <c r="BN380" s="168">
        <v>154</v>
      </c>
      <c r="BO380" s="113">
        <v>638</v>
      </c>
      <c r="BP380" s="113">
        <v>688</v>
      </c>
      <c r="BQ380" s="113">
        <v>738</v>
      </c>
      <c r="BR380" s="101"/>
      <c r="BS380">
        <f t="shared" si="775"/>
        <v>0</v>
      </c>
      <c r="BT380">
        <f t="shared" si="775"/>
        <v>0</v>
      </c>
      <c r="BU380">
        <f t="shared" si="775"/>
        <v>0</v>
      </c>
      <c r="BV380">
        <f t="shared" si="775"/>
        <v>0</v>
      </c>
      <c r="BW380">
        <f t="shared" si="775"/>
        <v>0</v>
      </c>
      <c r="BX380">
        <f t="shared" si="775"/>
        <v>0</v>
      </c>
      <c r="BY380">
        <f t="shared" si="775"/>
        <v>0</v>
      </c>
      <c r="BZ380">
        <f t="shared" si="775"/>
        <v>0</v>
      </c>
      <c r="CA380">
        <f t="shared" si="775"/>
        <v>0</v>
      </c>
      <c r="CB380">
        <f t="shared" si="775"/>
        <v>0</v>
      </c>
      <c r="CC380">
        <f t="shared" si="776"/>
        <v>0</v>
      </c>
      <c r="CD380">
        <f t="shared" si="776"/>
        <v>0</v>
      </c>
      <c r="CE380">
        <f t="shared" si="776"/>
        <v>0</v>
      </c>
      <c r="CF380">
        <f t="shared" si="776"/>
        <v>0</v>
      </c>
      <c r="CG380">
        <f t="shared" si="776"/>
        <v>0</v>
      </c>
      <c r="CH380">
        <f t="shared" si="776"/>
        <v>0</v>
      </c>
      <c r="CI380">
        <f t="shared" si="776"/>
        <v>0</v>
      </c>
      <c r="CJ380">
        <f t="shared" si="776"/>
        <v>0</v>
      </c>
      <c r="CK380">
        <f t="shared" si="776"/>
        <v>0</v>
      </c>
      <c r="CL380">
        <f t="shared" si="776"/>
        <v>0</v>
      </c>
      <c r="CM380">
        <f t="shared" si="777"/>
        <v>0</v>
      </c>
      <c r="CN380">
        <f t="shared" si="777"/>
        <v>0</v>
      </c>
      <c r="CO380">
        <f t="shared" si="777"/>
        <v>0</v>
      </c>
      <c r="CP380">
        <f t="shared" si="777"/>
        <v>0</v>
      </c>
      <c r="CQ380">
        <f t="shared" si="777"/>
        <v>0</v>
      </c>
      <c r="CR380">
        <f t="shared" si="777"/>
        <v>0</v>
      </c>
      <c r="CS380">
        <f t="shared" si="777"/>
        <v>0</v>
      </c>
      <c r="CT380">
        <f t="shared" si="777"/>
        <v>0</v>
      </c>
      <c r="CU380">
        <f t="shared" si="777"/>
        <v>0</v>
      </c>
      <c r="CV380">
        <f t="shared" si="777"/>
        <v>0</v>
      </c>
      <c r="CW380">
        <f t="shared" si="778"/>
        <v>0</v>
      </c>
      <c r="CX380">
        <f t="shared" si="778"/>
        <v>0</v>
      </c>
      <c r="CY380">
        <f t="shared" si="778"/>
        <v>0</v>
      </c>
      <c r="CZ380">
        <f t="shared" si="778"/>
        <v>0</v>
      </c>
      <c r="DA380">
        <f t="shared" si="778"/>
        <v>0</v>
      </c>
      <c r="DB380">
        <f t="shared" si="778"/>
        <v>0</v>
      </c>
      <c r="DC380">
        <f t="shared" si="778"/>
        <v>0</v>
      </c>
      <c r="DD380">
        <f t="shared" si="778"/>
        <v>0</v>
      </c>
      <c r="DE380">
        <f t="shared" si="778"/>
        <v>0</v>
      </c>
      <c r="DF380">
        <f t="shared" si="778"/>
        <v>0</v>
      </c>
      <c r="DG380">
        <f t="shared" si="779"/>
        <v>0</v>
      </c>
      <c r="DH380">
        <f t="shared" si="779"/>
        <v>0</v>
      </c>
      <c r="DI380">
        <f t="shared" si="779"/>
        <v>0</v>
      </c>
      <c r="DJ380">
        <f t="shared" si="779"/>
        <v>0</v>
      </c>
      <c r="DK380">
        <f t="shared" si="779"/>
        <v>0</v>
      </c>
      <c r="DL380">
        <f t="shared" si="779"/>
        <v>0</v>
      </c>
      <c r="DM380">
        <f t="shared" si="779"/>
        <v>0</v>
      </c>
      <c r="DN380">
        <f t="shared" si="779"/>
        <v>0</v>
      </c>
      <c r="DO380">
        <f t="shared" si="779"/>
        <v>0</v>
      </c>
      <c r="DP380">
        <f t="shared" si="779"/>
        <v>0</v>
      </c>
      <c r="DQ380">
        <f t="shared" si="780"/>
        <v>0</v>
      </c>
      <c r="DR380">
        <f t="shared" si="780"/>
        <v>0</v>
      </c>
      <c r="DS380">
        <f t="shared" si="780"/>
        <v>0</v>
      </c>
      <c r="DT380">
        <f t="shared" si="780"/>
        <v>0</v>
      </c>
      <c r="DU380">
        <f t="shared" si="780"/>
        <v>0</v>
      </c>
      <c r="DV380">
        <f t="shared" si="780"/>
        <v>0</v>
      </c>
      <c r="DW380">
        <f t="shared" si="780"/>
        <v>0</v>
      </c>
      <c r="DX380">
        <f t="shared" si="780"/>
        <v>0</v>
      </c>
      <c r="DY380">
        <f t="shared" si="780"/>
        <v>0</v>
      </c>
      <c r="DZ380">
        <f t="shared" si="780"/>
        <v>0</v>
      </c>
      <c r="EA380">
        <f t="shared" si="781"/>
        <v>0</v>
      </c>
      <c r="EB380">
        <f t="shared" si="781"/>
        <v>0</v>
      </c>
      <c r="EC380">
        <f t="shared" si="781"/>
        <v>0</v>
      </c>
      <c r="ED380">
        <f t="shared" si="781"/>
        <v>0</v>
      </c>
      <c r="EE380">
        <f t="shared" si="781"/>
        <v>0</v>
      </c>
      <c r="EF380">
        <f t="shared" si="781"/>
        <v>0</v>
      </c>
    </row>
    <row r="381" spans="1:136" ht="15.5">
      <c r="A381" s="90"/>
      <c r="B381" s="53" t="s">
        <v>3</v>
      </c>
      <c r="C381" s="95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>
        <v>0</v>
      </c>
      <c r="V381" s="34">
        <v>0</v>
      </c>
      <c r="W381" s="34">
        <v>0</v>
      </c>
      <c r="X381" s="34">
        <v>0</v>
      </c>
      <c r="Y381" s="34">
        <v>0</v>
      </c>
      <c r="Z381" s="34">
        <v>0</v>
      </c>
      <c r="AA381" s="34">
        <v>0</v>
      </c>
      <c r="AB381" s="34">
        <v>8.6749999999999994E-2</v>
      </c>
      <c r="AC381" s="34">
        <v>0</v>
      </c>
      <c r="AD381" s="34">
        <v>3.4710000000000001E-3</v>
      </c>
      <c r="AE381" s="34">
        <v>0</v>
      </c>
      <c r="AF381" s="34">
        <v>4.8642999999999999E-2</v>
      </c>
      <c r="AG381" s="34">
        <v>25.844580000000001</v>
      </c>
      <c r="AH381" s="34">
        <v>1.3086500000000001</v>
      </c>
      <c r="AI381" s="34">
        <v>3.451803</v>
      </c>
      <c r="AJ381" s="34">
        <v>6.1061909999999999</v>
      </c>
      <c r="AK381" s="34">
        <v>10.81339</v>
      </c>
      <c r="AL381" s="34">
        <v>13.42243</v>
      </c>
      <c r="AM381" s="34">
        <v>16.60651</v>
      </c>
      <c r="AN381" s="34">
        <v>18.873809999999999</v>
      </c>
      <c r="AO381" s="34">
        <v>32.937130000000003</v>
      </c>
      <c r="AP381" s="34">
        <v>26.792269999999998</v>
      </c>
      <c r="AQ381" s="34">
        <f>30.07135-AQ380</f>
        <v>27.595355899999998</v>
      </c>
      <c r="AR381" s="34">
        <f>15-AR380</f>
        <v>12.1005384</v>
      </c>
      <c r="AS381" s="34">
        <f>32.2566-AS380</f>
        <v>28.934059899999998</v>
      </c>
      <c r="AT381" s="34">
        <v>12.35267</v>
      </c>
      <c r="AU381" s="34">
        <v>21.840610000000002</v>
      </c>
      <c r="AV381" s="34">
        <v>25.83953</v>
      </c>
      <c r="AW381" s="18">
        <v>28.21011</v>
      </c>
      <c r="AX381" s="34">
        <v>35.502438599999991</v>
      </c>
      <c r="AY381" s="18">
        <v>35.8236718</v>
      </c>
      <c r="AZ381" s="18">
        <v>44.055017399999997</v>
      </c>
      <c r="BA381" s="34">
        <v>10.2494671</v>
      </c>
      <c r="BB381" s="34">
        <v>10.002050300000001</v>
      </c>
      <c r="BC381" s="34">
        <v>2.5121454000000001</v>
      </c>
      <c r="BD381" s="34">
        <v>8.6292849999999994</v>
      </c>
      <c r="BE381" s="42">
        <v>14.1989166</v>
      </c>
      <c r="BF381" s="18">
        <v>21.549438300000002</v>
      </c>
      <c r="BG381" s="18">
        <v>20.667307699999999</v>
      </c>
      <c r="BH381" s="18">
        <v>22.529977600000002</v>
      </c>
      <c r="BI381" s="18">
        <v>32.6241038</v>
      </c>
      <c r="BJ381" s="18">
        <f>62.4302104-BJ380</f>
        <v>50.4302104</v>
      </c>
      <c r="BK381" s="34">
        <f>97.1710921-BK380</f>
        <v>56.171092099999996</v>
      </c>
      <c r="BL381" s="113">
        <f>146.8009708-BL379-BL380</f>
        <v>52.800970799999988</v>
      </c>
      <c r="BM381" s="113">
        <f>146.8009708-BM379-6</f>
        <v>134.80097079999999</v>
      </c>
      <c r="BN381" s="113">
        <f>230.9116211-BN380</f>
        <v>76.911621099999991</v>
      </c>
      <c r="BO381" s="113">
        <f>1048-BO380-BO379</f>
        <v>333</v>
      </c>
      <c r="BP381" s="113">
        <v>25</v>
      </c>
      <c r="BQ381" s="113">
        <v>25</v>
      </c>
      <c r="BR381" s="101"/>
      <c r="BS381">
        <f t="shared" si="775"/>
        <v>0</v>
      </c>
      <c r="BT381">
        <f t="shared" si="775"/>
        <v>0</v>
      </c>
      <c r="BU381">
        <f t="shared" si="775"/>
        <v>0</v>
      </c>
      <c r="BV381">
        <f t="shared" si="775"/>
        <v>0</v>
      </c>
      <c r="BW381">
        <f t="shared" si="775"/>
        <v>0</v>
      </c>
      <c r="BX381">
        <f t="shared" si="775"/>
        <v>0</v>
      </c>
      <c r="BY381">
        <f t="shared" si="775"/>
        <v>0</v>
      </c>
      <c r="BZ381">
        <f t="shared" si="775"/>
        <v>0</v>
      </c>
      <c r="CA381">
        <f t="shared" si="775"/>
        <v>0</v>
      </c>
      <c r="CB381">
        <f t="shared" si="775"/>
        <v>0</v>
      </c>
      <c r="CC381">
        <f t="shared" si="776"/>
        <v>0</v>
      </c>
      <c r="CD381">
        <f t="shared" si="776"/>
        <v>0</v>
      </c>
      <c r="CE381">
        <f t="shared" si="776"/>
        <v>0</v>
      </c>
      <c r="CF381">
        <f t="shared" si="776"/>
        <v>0</v>
      </c>
      <c r="CG381">
        <f t="shared" si="776"/>
        <v>0</v>
      </c>
      <c r="CH381">
        <f t="shared" si="776"/>
        <v>0</v>
      </c>
      <c r="CI381">
        <f t="shared" si="776"/>
        <v>0</v>
      </c>
      <c r="CJ381">
        <f t="shared" si="776"/>
        <v>0</v>
      </c>
      <c r="CK381">
        <f t="shared" si="776"/>
        <v>0</v>
      </c>
      <c r="CL381">
        <f t="shared" si="776"/>
        <v>0</v>
      </c>
      <c r="CM381">
        <f t="shared" si="777"/>
        <v>0</v>
      </c>
      <c r="CN381">
        <f t="shared" si="777"/>
        <v>0</v>
      </c>
      <c r="CO381">
        <f t="shared" si="777"/>
        <v>0</v>
      </c>
      <c r="CP381">
        <f t="shared" si="777"/>
        <v>0</v>
      </c>
      <c r="CQ381">
        <f t="shared" si="777"/>
        <v>0</v>
      </c>
      <c r="CR381">
        <f t="shared" si="777"/>
        <v>0</v>
      </c>
      <c r="CS381">
        <f t="shared" si="777"/>
        <v>0</v>
      </c>
      <c r="CT381">
        <f t="shared" si="777"/>
        <v>0</v>
      </c>
      <c r="CU381">
        <f t="shared" si="777"/>
        <v>0</v>
      </c>
      <c r="CV381">
        <f t="shared" si="777"/>
        <v>0</v>
      </c>
      <c r="CW381">
        <f t="shared" si="778"/>
        <v>0</v>
      </c>
      <c r="CX381">
        <f t="shared" si="778"/>
        <v>0</v>
      </c>
      <c r="CY381">
        <f t="shared" si="778"/>
        <v>0</v>
      </c>
      <c r="CZ381">
        <f t="shared" si="778"/>
        <v>0</v>
      </c>
      <c r="DA381">
        <f t="shared" si="778"/>
        <v>0</v>
      </c>
      <c r="DB381">
        <f t="shared" si="778"/>
        <v>0</v>
      </c>
      <c r="DC381">
        <f t="shared" si="778"/>
        <v>0</v>
      </c>
      <c r="DD381">
        <f t="shared" si="778"/>
        <v>0</v>
      </c>
      <c r="DE381">
        <f t="shared" si="778"/>
        <v>0</v>
      </c>
      <c r="DF381">
        <f t="shared" si="778"/>
        <v>0</v>
      </c>
      <c r="DG381">
        <f t="shared" si="779"/>
        <v>0</v>
      </c>
      <c r="DH381">
        <f t="shared" si="779"/>
        <v>0</v>
      </c>
      <c r="DI381">
        <f t="shared" si="779"/>
        <v>0</v>
      </c>
      <c r="DJ381">
        <f t="shared" si="779"/>
        <v>0</v>
      </c>
      <c r="DK381">
        <f t="shared" si="779"/>
        <v>0</v>
      </c>
      <c r="DL381">
        <f t="shared" si="779"/>
        <v>0</v>
      </c>
      <c r="DM381">
        <f t="shared" si="779"/>
        <v>0</v>
      </c>
      <c r="DN381">
        <f t="shared" si="779"/>
        <v>0</v>
      </c>
      <c r="DO381">
        <f t="shared" si="779"/>
        <v>0</v>
      </c>
      <c r="DP381">
        <f t="shared" si="779"/>
        <v>0</v>
      </c>
      <c r="DQ381">
        <f t="shared" si="780"/>
        <v>0</v>
      </c>
      <c r="DR381">
        <f t="shared" si="780"/>
        <v>0</v>
      </c>
      <c r="DS381">
        <f t="shared" si="780"/>
        <v>0</v>
      </c>
      <c r="DT381">
        <f t="shared" si="780"/>
        <v>0</v>
      </c>
      <c r="DU381">
        <f t="shared" si="780"/>
        <v>0</v>
      </c>
      <c r="DV381">
        <f t="shared" si="780"/>
        <v>0</v>
      </c>
      <c r="DW381">
        <f t="shared" si="780"/>
        <v>0</v>
      </c>
      <c r="DX381">
        <f t="shared" si="780"/>
        <v>0</v>
      </c>
      <c r="DY381">
        <f t="shared" si="780"/>
        <v>0</v>
      </c>
      <c r="DZ381">
        <f t="shared" si="780"/>
        <v>0</v>
      </c>
      <c r="EA381">
        <f t="shared" si="781"/>
        <v>0</v>
      </c>
      <c r="EB381">
        <f t="shared" si="781"/>
        <v>0</v>
      </c>
      <c r="EC381">
        <f t="shared" si="781"/>
        <v>0</v>
      </c>
      <c r="ED381">
        <f t="shared" si="781"/>
        <v>0</v>
      </c>
      <c r="EE381">
        <f t="shared" si="781"/>
        <v>0</v>
      </c>
      <c r="EF381">
        <f t="shared" si="781"/>
        <v>0</v>
      </c>
    </row>
    <row r="382" spans="1:136" ht="15.5">
      <c r="A382" s="90"/>
      <c r="B382" s="19" t="s">
        <v>208</v>
      </c>
      <c r="C382" s="95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>
        <v>0</v>
      </c>
      <c r="V382" s="18">
        <v>0</v>
      </c>
      <c r="W382" s="18">
        <v>0</v>
      </c>
      <c r="X382" s="18">
        <v>0</v>
      </c>
      <c r="Y382" s="18">
        <v>0</v>
      </c>
      <c r="Z382" s="18">
        <v>0</v>
      </c>
      <c r="AA382" s="18">
        <v>0</v>
      </c>
      <c r="AB382" s="18">
        <v>0.66800000000000004</v>
      </c>
      <c r="AC382" s="18">
        <v>0</v>
      </c>
      <c r="AD382" s="18">
        <v>5.2999999999999999E-2</v>
      </c>
      <c r="AE382" s="18">
        <v>0</v>
      </c>
      <c r="AF382" s="18">
        <v>0</v>
      </c>
      <c r="AG382" s="18">
        <v>0</v>
      </c>
      <c r="AH382" s="18">
        <v>0</v>
      </c>
      <c r="AI382" s="18">
        <v>0</v>
      </c>
      <c r="AJ382" s="18">
        <v>0</v>
      </c>
      <c r="AK382" s="18">
        <v>0</v>
      </c>
      <c r="AL382" s="18">
        <v>0</v>
      </c>
      <c r="AM382" s="18">
        <v>0</v>
      </c>
      <c r="AN382" s="18">
        <v>0</v>
      </c>
      <c r="AO382" s="18">
        <v>0</v>
      </c>
      <c r="AP382" s="18">
        <v>0</v>
      </c>
      <c r="AQ382" s="18">
        <v>0</v>
      </c>
      <c r="AR382" s="18">
        <v>0</v>
      </c>
      <c r="AS382" s="18">
        <v>0</v>
      </c>
      <c r="AT382" s="18">
        <v>2.5470000000000002</v>
      </c>
      <c r="AU382" s="18">
        <v>3.1880000000000002</v>
      </c>
      <c r="AV382" s="18">
        <v>3.61</v>
      </c>
      <c r="AW382" s="18">
        <v>3.8069999999999999</v>
      </c>
      <c r="AX382" s="18">
        <v>3.609</v>
      </c>
      <c r="AY382" s="18">
        <v>10.4792907</v>
      </c>
      <c r="AZ382" s="18">
        <v>10.478491699999999</v>
      </c>
      <c r="BA382" s="18">
        <v>3.6929127999999998</v>
      </c>
      <c r="BB382" s="18">
        <v>1.528</v>
      </c>
      <c r="BC382" s="18">
        <v>0</v>
      </c>
      <c r="BD382" s="18">
        <v>0</v>
      </c>
      <c r="BE382" s="25">
        <v>0</v>
      </c>
      <c r="BF382" s="18">
        <v>0</v>
      </c>
      <c r="BG382" s="18">
        <v>0</v>
      </c>
      <c r="BH382" s="34">
        <v>0</v>
      </c>
      <c r="BI382" s="18">
        <v>0</v>
      </c>
      <c r="BJ382" s="18">
        <v>0</v>
      </c>
      <c r="BK382" s="113">
        <v>0</v>
      </c>
      <c r="BL382" s="113">
        <v>0</v>
      </c>
      <c r="BM382" s="113">
        <v>0</v>
      </c>
      <c r="BN382" s="113">
        <v>0</v>
      </c>
      <c r="BO382" s="113">
        <v>1</v>
      </c>
      <c r="BP382" s="113">
        <v>1</v>
      </c>
      <c r="BQ382" s="113">
        <v>1</v>
      </c>
      <c r="BR382" s="101"/>
      <c r="BS382">
        <f t="shared" si="775"/>
        <v>0</v>
      </c>
      <c r="BT382">
        <f t="shared" si="775"/>
        <v>0</v>
      </c>
      <c r="BU382">
        <f t="shared" si="775"/>
        <v>0</v>
      </c>
      <c r="BV382">
        <f t="shared" si="775"/>
        <v>0</v>
      </c>
      <c r="BW382">
        <f t="shared" si="775"/>
        <v>0</v>
      </c>
      <c r="BX382">
        <f t="shared" si="775"/>
        <v>0</v>
      </c>
      <c r="BY382">
        <f t="shared" si="775"/>
        <v>0</v>
      </c>
      <c r="BZ382">
        <f t="shared" si="775"/>
        <v>0</v>
      </c>
      <c r="CA382">
        <f t="shared" si="775"/>
        <v>0</v>
      </c>
      <c r="CB382">
        <f t="shared" si="775"/>
        <v>0</v>
      </c>
      <c r="CC382">
        <f t="shared" si="776"/>
        <v>0</v>
      </c>
      <c r="CD382">
        <f t="shared" si="776"/>
        <v>0</v>
      </c>
      <c r="CE382">
        <f t="shared" si="776"/>
        <v>0</v>
      </c>
      <c r="CF382">
        <f t="shared" si="776"/>
        <v>0</v>
      </c>
      <c r="CG382">
        <f t="shared" si="776"/>
        <v>0</v>
      </c>
      <c r="CH382">
        <f t="shared" si="776"/>
        <v>0</v>
      </c>
      <c r="CI382">
        <f t="shared" si="776"/>
        <v>0</v>
      </c>
      <c r="CJ382">
        <f t="shared" si="776"/>
        <v>0</v>
      </c>
      <c r="CK382">
        <f t="shared" si="776"/>
        <v>0</v>
      </c>
      <c r="CL382">
        <f t="shared" si="776"/>
        <v>0</v>
      </c>
      <c r="CM382">
        <f t="shared" si="777"/>
        <v>0</v>
      </c>
      <c r="CN382">
        <f t="shared" si="777"/>
        <v>0</v>
      </c>
      <c r="CO382">
        <f t="shared" si="777"/>
        <v>0</v>
      </c>
      <c r="CP382">
        <f t="shared" si="777"/>
        <v>0</v>
      </c>
      <c r="CQ382">
        <f t="shared" si="777"/>
        <v>0</v>
      </c>
      <c r="CR382">
        <f t="shared" si="777"/>
        <v>0</v>
      </c>
      <c r="CS382">
        <f t="shared" si="777"/>
        <v>0</v>
      </c>
      <c r="CT382">
        <f t="shared" si="777"/>
        <v>0</v>
      </c>
      <c r="CU382">
        <f t="shared" si="777"/>
        <v>0</v>
      </c>
      <c r="CV382">
        <f t="shared" si="777"/>
        <v>0</v>
      </c>
      <c r="CW382">
        <f t="shared" si="778"/>
        <v>0</v>
      </c>
      <c r="CX382">
        <f t="shared" si="778"/>
        <v>0</v>
      </c>
      <c r="CY382">
        <f t="shared" si="778"/>
        <v>0</v>
      </c>
      <c r="CZ382">
        <f t="shared" si="778"/>
        <v>0</v>
      </c>
      <c r="DA382">
        <f t="shared" si="778"/>
        <v>0</v>
      </c>
      <c r="DB382">
        <f t="shared" si="778"/>
        <v>0</v>
      </c>
      <c r="DC382">
        <f t="shared" si="778"/>
        <v>0</v>
      </c>
      <c r="DD382">
        <f t="shared" si="778"/>
        <v>0</v>
      </c>
      <c r="DE382">
        <f t="shared" si="778"/>
        <v>0</v>
      </c>
      <c r="DF382">
        <f t="shared" si="778"/>
        <v>0</v>
      </c>
      <c r="DG382">
        <f t="shared" si="779"/>
        <v>0</v>
      </c>
      <c r="DH382">
        <f t="shared" si="779"/>
        <v>0</v>
      </c>
      <c r="DI382">
        <f t="shared" si="779"/>
        <v>0</v>
      </c>
      <c r="DJ382">
        <f t="shared" si="779"/>
        <v>0</v>
      </c>
      <c r="DK382">
        <f t="shared" si="779"/>
        <v>0</v>
      </c>
      <c r="DL382">
        <f t="shared" si="779"/>
        <v>0</v>
      </c>
      <c r="DM382">
        <f t="shared" si="779"/>
        <v>0</v>
      </c>
      <c r="DN382">
        <f t="shared" si="779"/>
        <v>0</v>
      </c>
      <c r="DO382">
        <f t="shared" si="779"/>
        <v>0</v>
      </c>
      <c r="DP382">
        <f t="shared" si="779"/>
        <v>0</v>
      </c>
      <c r="DQ382">
        <f t="shared" si="780"/>
        <v>0</v>
      </c>
      <c r="DR382">
        <f t="shared" si="780"/>
        <v>0</v>
      </c>
      <c r="DS382">
        <f t="shared" si="780"/>
        <v>0</v>
      </c>
      <c r="DT382">
        <f t="shared" si="780"/>
        <v>0</v>
      </c>
      <c r="DU382">
        <f t="shared" si="780"/>
        <v>0</v>
      </c>
      <c r="DV382">
        <f t="shared" si="780"/>
        <v>0</v>
      </c>
      <c r="DW382">
        <f t="shared" si="780"/>
        <v>0</v>
      </c>
      <c r="DX382">
        <f t="shared" si="780"/>
        <v>0</v>
      </c>
      <c r="DY382">
        <f t="shared" si="780"/>
        <v>0</v>
      </c>
      <c r="DZ382">
        <f t="shared" si="780"/>
        <v>0</v>
      </c>
      <c r="EA382">
        <f t="shared" si="781"/>
        <v>0</v>
      </c>
      <c r="EB382">
        <f t="shared" si="781"/>
        <v>0</v>
      </c>
      <c r="EC382">
        <f t="shared" si="781"/>
        <v>0</v>
      </c>
      <c r="ED382">
        <f t="shared" si="781"/>
        <v>0</v>
      </c>
      <c r="EE382">
        <f t="shared" si="781"/>
        <v>0</v>
      </c>
      <c r="EF382">
        <f t="shared" si="781"/>
        <v>0</v>
      </c>
    </row>
    <row r="383" spans="1:136" ht="15.5">
      <c r="A383" s="90"/>
      <c r="B383" s="53" t="s">
        <v>212</v>
      </c>
      <c r="C383" s="95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>
        <v>0</v>
      </c>
      <c r="W383" s="18">
        <v>0</v>
      </c>
      <c r="X383" s="18">
        <v>0</v>
      </c>
      <c r="Y383" s="18">
        <v>0</v>
      </c>
      <c r="Z383" s="18">
        <f>729/178</f>
        <v>4.095505617977528</v>
      </c>
      <c r="AA383" s="18">
        <f>751/177.8</f>
        <v>4.2238470191226094</v>
      </c>
      <c r="AB383" s="18">
        <f>813/177.8</f>
        <v>4.5725534308211468</v>
      </c>
      <c r="AC383" s="18">
        <f>765/177.8</f>
        <v>4.3025871766029242</v>
      </c>
      <c r="AD383" s="18">
        <f>3817/177.8</f>
        <v>21.467941507311586</v>
      </c>
      <c r="AE383" s="18">
        <f>4557/177.8</f>
        <v>25.629921259842519</v>
      </c>
      <c r="AF383" s="168">
        <f>5649/177.8</f>
        <v>31.771653543307085</v>
      </c>
      <c r="AG383" s="18">
        <f>7922/177.8</f>
        <v>44.555680539932503</v>
      </c>
      <c r="AH383" s="18">
        <v>32.99943725379854</v>
      </c>
      <c r="AI383" s="18">
        <v>30.101294316263367</v>
      </c>
      <c r="AJ383" s="18">
        <v>31.716375914462578</v>
      </c>
      <c r="AK383" s="18">
        <v>49.116488463702872</v>
      </c>
      <c r="AL383" s="18">
        <v>52.172200337647723</v>
      </c>
      <c r="AM383" s="18">
        <v>70.078784468204844</v>
      </c>
      <c r="AN383" s="18">
        <v>66.038266741699502</v>
      </c>
      <c r="AO383" s="18">
        <v>121.22115925717502</v>
      </c>
      <c r="AP383" s="18">
        <v>117.05683736634778</v>
      </c>
      <c r="AQ383" s="18">
        <v>125.39673607203152</v>
      </c>
      <c r="AR383" s="18">
        <v>127.12999437253799</v>
      </c>
      <c r="AS383" s="18">
        <v>258.46370287000565</v>
      </c>
      <c r="AT383" s="18">
        <v>254.76083286437819</v>
      </c>
      <c r="AU383" s="18">
        <v>237.51266178953293</v>
      </c>
      <c r="AV383" s="18">
        <v>230.47270680922907</v>
      </c>
      <c r="AW383" s="18">
        <v>212.74057400112551</v>
      </c>
      <c r="AX383" s="18">
        <v>214.19808666291505</v>
      </c>
      <c r="AY383" s="18">
        <v>208.80697805289816</v>
      </c>
      <c r="AZ383" s="18">
        <v>177.34383792909398</v>
      </c>
      <c r="BA383" s="18">
        <v>165.22228474957794</v>
      </c>
      <c r="BB383" s="18">
        <v>156.63477771525044</v>
      </c>
      <c r="BC383" s="18">
        <v>132.20033764772089</v>
      </c>
      <c r="BD383" s="18">
        <v>124.71581316826112</v>
      </c>
      <c r="BE383" s="25">
        <v>109.52166572875633</v>
      </c>
      <c r="BF383" s="18">
        <v>101.55317951603827</v>
      </c>
      <c r="BG383" s="18">
        <v>92.346651660101301</v>
      </c>
      <c r="BH383" s="18">
        <v>82.779966235227917</v>
      </c>
      <c r="BI383" s="18">
        <v>82.059651097355101</v>
      </c>
      <c r="BJ383" s="18">
        <v>78.052898142937536</v>
      </c>
      <c r="BK383" s="113">
        <v>68.6550365785031</v>
      </c>
      <c r="BL383" s="113">
        <v>57.400112549240298</v>
      </c>
      <c r="BM383" s="113">
        <v>47.833427124366914</v>
      </c>
      <c r="BN383" s="113">
        <v>38.266741699493529</v>
      </c>
      <c r="BO383" s="113">
        <v>50</v>
      </c>
      <c r="BP383" s="113">
        <v>50</v>
      </c>
      <c r="BQ383" s="113">
        <v>50</v>
      </c>
      <c r="BR383" s="101"/>
      <c r="BS383">
        <f t="shared" ref="BS383:CS383" si="783">IF($C383&lt;&gt;"",IF(D383&gt;0,1,0),0)</f>
        <v>0</v>
      </c>
      <c r="BT383">
        <f t="shared" si="783"/>
        <v>0</v>
      </c>
      <c r="BU383">
        <f t="shared" si="783"/>
        <v>0</v>
      </c>
      <c r="BV383">
        <f t="shared" si="783"/>
        <v>0</v>
      </c>
      <c r="BW383">
        <f t="shared" si="783"/>
        <v>0</v>
      </c>
      <c r="BX383">
        <f t="shared" si="783"/>
        <v>0</v>
      </c>
      <c r="BY383">
        <f t="shared" si="783"/>
        <v>0</v>
      </c>
      <c r="BZ383">
        <f t="shared" si="783"/>
        <v>0</v>
      </c>
      <c r="CA383">
        <f t="shared" si="783"/>
        <v>0</v>
      </c>
      <c r="CB383">
        <f t="shared" si="783"/>
        <v>0</v>
      </c>
      <c r="CC383">
        <f t="shared" si="783"/>
        <v>0</v>
      </c>
      <c r="CD383">
        <f t="shared" si="783"/>
        <v>0</v>
      </c>
      <c r="CE383">
        <f t="shared" si="783"/>
        <v>0</v>
      </c>
      <c r="CF383">
        <f t="shared" si="783"/>
        <v>0</v>
      </c>
      <c r="CG383">
        <f t="shared" si="783"/>
        <v>0</v>
      </c>
      <c r="CH383">
        <f t="shared" si="783"/>
        <v>0</v>
      </c>
      <c r="CI383">
        <f t="shared" si="783"/>
        <v>0</v>
      </c>
      <c r="CJ383">
        <f t="shared" si="783"/>
        <v>0</v>
      </c>
      <c r="CK383">
        <f t="shared" si="783"/>
        <v>0</v>
      </c>
      <c r="CL383">
        <f t="shared" si="783"/>
        <v>0</v>
      </c>
      <c r="CM383">
        <f t="shared" si="783"/>
        <v>0</v>
      </c>
      <c r="CN383">
        <f t="shared" si="783"/>
        <v>0</v>
      </c>
      <c r="CO383">
        <f t="shared" si="783"/>
        <v>0</v>
      </c>
      <c r="CP383">
        <f t="shared" si="783"/>
        <v>0</v>
      </c>
      <c r="CQ383">
        <f t="shared" si="783"/>
        <v>0</v>
      </c>
      <c r="CR383">
        <f t="shared" si="783"/>
        <v>0</v>
      </c>
      <c r="CS383">
        <f t="shared" si="783"/>
        <v>0</v>
      </c>
      <c r="CT383">
        <f>IF($C383&lt;&gt;"",IF(#REF!&gt;0,1,0),0)</f>
        <v>0</v>
      </c>
      <c r="CU383">
        <f>IF($C383&lt;&gt;"",IF(AE383&gt;0,1,0),0)</f>
        <v>0</v>
      </c>
      <c r="CV383">
        <f t="shared" ref="CV383:EF383" si="784">IF($C383&lt;&gt;"",IF(AG383&gt;0,1,0),0)</f>
        <v>0</v>
      </c>
      <c r="CW383">
        <f t="shared" si="784"/>
        <v>0</v>
      </c>
      <c r="CX383">
        <f t="shared" si="784"/>
        <v>0</v>
      </c>
      <c r="CY383">
        <f t="shared" si="784"/>
        <v>0</v>
      </c>
      <c r="CZ383">
        <f t="shared" si="784"/>
        <v>0</v>
      </c>
      <c r="DA383">
        <f t="shared" si="784"/>
        <v>0</v>
      </c>
      <c r="DB383">
        <f t="shared" si="784"/>
        <v>0</v>
      </c>
      <c r="DC383">
        <f t="shared" si="784"/>
        <v>0</v>
      </c>
      <c r="DD383">
        <f t="shared" si="784"/>
        <v>0</v>
      </c>
      <c r="DE383">
        <f t="shared" si="784"/>
        <v>0</v>
      </c>
      <c r="DF383">
        <f t="shared" si="784"/>
        <v>0</v>
      </c>
      <c r="DG383">
        <f t="shared" si="784"/>
        <v>0</v>
      </c>
      <c r="DH383">
        <f t="shared" si="784"/>
        <v>0</v>
      </c>
      <c r="DI383">
        <f t="shared" si="784"/>
        <v>0</v>
      </c>
      <c r="DJ383">
        <f t="shared" si="784"/>
        <v>0</v>
      </c>
      <c r="DK383">
        <f t="shared" si="784"/>
        <v>0</v>
      </c>
      <c r="DL383">
        <f t="shared" si="784"/>
        <v>0</v>
      </c>
      <c r="DM383">
        <f t="shared" si="784"/>
        <v>0</v>
      </c>
      <c r="DN383">
        <f t="shared" si="784"/>
        <v>0</v>
      </c>
      <c r="DO383">
        <f t="shared" si="784"/>
        <v>0</v>
      </c>
      <c r="DP383">
        <f t="shared" si="784"/>
        <v>0</v>
      </c>
      <c r="DQ383">
        <f t="shared" si="784"/>
        <v>0</v>
      </c>
      <c r="DR383">
        <f t="shared" si="784"/>
        <v>0</v>
      </c>
      <c r="DS383">
        <f t="shared" si="784"/>
        <v>0</v>
      </c>
      <c r="DT383">
        <f t="shared" si="784"/>
        <v>0</v>
      </c>
      <c r="DU383">
        <f t="shared" si="784"/>
        <v>0</v>
      </c>
      <c r="DV383">
        <f t="shared" si="784"/>
        <v>0</v>
      </c>
      <c r="DW383">
        <f t="shared" si="784"/>
        <v>0</v>
      </c>
      <c r="DX383">
        <f t="shared" si="784"/>
        <v>0</v>
      </c>
      <c r="DY383">
        <f t="shared" si="784"/>
        <v>0</v>
      </c>
      <c r="DZ383">
        <f t="shared" si="784"/>
        <v>0</v>
      </c>
      <c r="EA383">
        <f t="shared" si="784"/>
        <v>0</v>
      </c>
      <c r="EB383">
        <f t="shared" si="784"/>
        <v>0</v>
      </c>
      <c r="EC383">
        <f t="shared" si="784"/>
        <v>0</v>
      </c>
      <c r="ED383">
        <f t="shared" si="784"/>
        <v>0</v>
      </c>
      <c r="EE383">
        <f t="shared" si="784"/>
        <v>0</v>
      </c>
      <c r="EF383">
        <f t="shared" si="784"/>
        <v>0</v>
      </c>
    </row>
    <row r="384" spans="1:136" ht="15.5">
      <c r="A384" s="90"/>
      <c r="B384" s="19"/>
      <c r="C384" s="95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2"/>
      <c r="BM384" s="2"/>
      <c r="BN384" s="2"/>
      <c r="BO384" s="2"/>
      <c r="BP384" s="2"/>
      <c r="BQ384" s="2"/>
      <c r="BR384" s="101"/>
    </row>
    <row r="385" spans="1:136" ht="15.5">
      <c r="A385" s="93">
        <v>45</v>
      </c>
      <c r="B385" s="52" t="s">
        <v>58</v>
      </c>
      <c r="C385" s="95">
        <v>3</v>
      </c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>
        <f t="shared" ref="V385:AE385" si="785">SUM(V386:V390)</f>
        <v>0</v>
      </c>
      <c r="W385" s="22">
        <f t="shared" si="785"/>
        <v>0</v>
      </c>
      <c r="X385" s="22">
        <f t="shared" si="785"/>
        <v>0</v>
      </c>
      <c r="Y385" s="22">
        <f t="shared" si="785"/>
        <v>0.23849999999999999</v>
      </c>
      <c r="Z385" s="22">
        <f t="shared" si="785"/>
        <v>0.36810599999999999</v>
      </c>
      <c r="AA385" s="22">
        <f t="shared" si="785"/>
        <v>4.0179999999999999E-3</v>
      </c>
      <c r="AB385" s="22">
        <f t="shared" si="785"/>
        <v>3.7839000000000002E-3</v>
      </c>
      <c r="AC385" s="22">
        <f t="shared" si="785"/>
        <v>0</v>
      </c>
      <c r="AD385" s="22">
        <f t="shared" si="785"/>
        <v>0</v>
      </c>
      <c r="AE385" s="22">
        <f t="shared" si="785"/>
        <v>6.2072500000000003E-2</v>
      </c>
      <c r="AF385" s="22">
        <f>SUM(AF386:AF390)</f>
        <v>2.8000000000000001E-2</v>
      </c>
      <c r="AG385" s="22">
        <f t="shared" ref="AG385:BK385" si="786">SUM(AG387:AG390)</f>
        <v>1.9865299999999999E-2</v>
      </c>
      <c r="AH385" s="22">
        <f t="shared" si="786"/>
        <v>3.5203022000000006</v>
      </c>
      <c r="AI385" s="22">
        <f t="shared" si="786"/>
        <v>0.1560289</v>
      </c>
      <c r="AJ385" s="22">
        <f t="shared" si="786"/>
        <v>0.88449860000000002</v>
      </c>
      <c r="AK385" s="22">
        <f t="shared" si="786"/>
        <v>0.19589200000000001</v>
      </c>
      <c r="AL385" s="22">
        <f t="shared" si="786"/>
        <v>0.21998059999999997</v>
      </c>
      <c r="AM385" s="22">
        <f t="shared" si="786"/>
        <v>2.2232300999999999</v>
      </c>
      <c r="AN385" s="22">
        <f t="shared" si="786"/>
        <v>3.7654412000000002</v>
      </c>
      <c r="AO385" s="22">
        <f t="shared" si="786"/>
        <v>0.47413230000000001</v>
      </c>
      <c r="AP385" s="22">
        <f t="shared" si="786"/>
        <v>0.46540589999999998</v>
      </c>
      <c r="AQ385" s="22">
        <f t="shared" si="786"/>
        <v>0.40382270000000003</v>
      </c>
      <c r="AR385" s="22">
        <f t="shared" si="786"/>
        <v>0.40514620000000001</v>
      </c>
      <c r="AS385" s="22">
        <f t="shared" si="786"/>
        <v>0.3145867</v>
      </c>
      <c r="AT385" s="22">
        <f t="shared" si="786"/>
        <v>96.651331299999995</v>
      </c>
      <c r="AU385" s="22">
        <f t="shared" si="786"/>
        <v>150.02938380000001</v>
      </c>
      <c r="AV385" s="22">
        <f t="shared" si="786"/>
        <v>150.53210960000001</v>
      </c>
      <c r="AW385" s="22">
        <f t="shared" si="786"/>
        <v>47.9905452</v>
      </c>
      <c r="AX385" s="22">
        <f t="shared" si="786"/>
        <v>54.656768800000002</v>
      </c>
      <c r="AY385" s="22">
        <f t="shared" si="786"/>
        <v>44.122807199999997</v>
      </c>
      <c r="AZ385" s="22">
        <f t="shared" si="786"/>
        <v>43.719701299999997</v>
      </c>
      <c r="BA385" s="22">
        <f t="shared" si="786"/>
        <v>43.296703100000002</v>
      </c>
      <c r="BB385" s="22">
        <f t="shared" si="786"/>
        <v>43.332160100000003</v>
      </c>
      <c r="BC385" s="22">
        <f t="shared" si="786"/>
        <v>43</v>
      </c>
      <c r="BD385" s="22">
        <f t="shared" si="786"/>
        <v>79.087000000000003</v>
      </c>
      <c r="BE385" s="22">
        <f t="shared" si="786"/>
        <v>8.1178876000000013</v>
      </c>
      <c r="BF385" s="22">
        <f t="shared" si="786"/>
        <v>8.2150675</v>
      </c>
      <c r="BG385" s="22">
        <f t="shared" si="786"/>
        <v>8.093</v>
      </c>
      <c r="BH385" s="22">
        <f t="shared" si="786"/>
        <v>7.2746449000000002</v>
      </c>
      <c r="BI385" s="22">
        <f t="shared" si="786"/>
        <v>7.2169999999999996</v>
      </c>
      <c r="BJ385" s="18">
        <f t="shared" si="786"/>
        <v>7.569</v>
      </c>
      <c r="BK385" s="22">
        <f t="shared" si="786"/>
        <v>7.9219999999999997</v>
      </c>
      <c r="BL385" s="22">
        <f t="shared" ref="BL385:BQ385" si="787">SUM(BL386:BL390)</f>
        <v>12.398736799999998</v>
      </c>
      <c r="BM385" s="22">
        <f t="shared" si="787"/>
        <v>13.778</v>
      </c>
      <c r="BN385" s="22">
        <f t="shared" si="787"/>
        <v>8.98</v>
      </c>
      <c r="BO385" s="22">
        <f t="shared" si="787"/>
        <v>7.9219999999999997</v>
      </c>
      <c r="BP385" s="22">
        <f t="shared" si="787"/>
        <v>7.9219999999999997</v>
      </c>
      <c r="BQ385" s="22">
        <f t="shared" si="787"/>
        <v>8</v>
      </c>
      <c r="BR385" s="101"/>
      <c r="BS385">
        <f t="shared" ref="BS385:CB386" si="788">IF($C385&lt;&gt;"",IF(D385&gt;0,1,0),0)</f>
        <v>0</v>
      </c>
      <c r="BT385">
        <f t="shared" si="788"/>
        <v>0</v>
      </c>
      <c r="BU385">
        <f t="shared" si="788"/>
        <v>0</v>
      </c>
      <c r="BV385">
        <f t="shared" si="788"/>
        <v>0</v>
      </c>
      <c r="BW385">
        <f t="shared" si="788"/>
        <v>0</v>
      </c>
      <c r="BX385">
        <f t="shared" si="788"/>
        <v>0</v>
      </c>
      <c r="BY385">
        <f t="shared" si="788"/>
        <v>0</v>
      </c>
      <c r="BZ385">
        <f t="shared" si="788"/>
        <v>0</v>
      </c>
      <c r="CA385">
        <f t="shared" si="788"/>
        <v>0</v>
      </c>
      <c r="CB385">
        <f t="shared" si="788"/>
        <v>0</v>
      </c>
      <c r="CC385">
        <f t="shared" ref="CC385:CL386" si="789">IF($C385&lt;&gt;"",IF(N385&gt;0,1,0),0)</f>
        <v>0</v>
      </c>
      <c r="CD385">
        <f t="shared" si="789"/>
        <v>0</v>
      </c>
      <c r="CE385">
        <f t="shared" si="789"/>
        <v>0</v>
      </c>
      <c r="CF385">
        <f t="shared" si="789"/>
        <v>0</v>
      </c>
      <c r="CG385">
        <f t="shared" si="789"/>
        <v>0</v>
      </c>
      <c r="CH385">
        <f t="shared" si="789"/>
        <v>0</v>
      </c>
      <c r="CI385">
        <f t="shared" si="789"/>
        <v>0</v>
      </c>
      <c r="CJ385">
        <f t="shared" si="789"/>
        <v>0</v>
      </c>
      <c r="CK385">
        <f t="shared" si="789"/>
        <v>0</v>
      </c>
      <c r="CL385">
        <f t="shared" si="789"/>
        <v>0</v>
      </c>
      <c r="CM385">
        <f t="shared" ref="CM385:CV386" si="790">IF($C385&lt;&gt;"",IF(X385&gt;0,1,0),0)</f>
        <v>0</v>
      </c>
      <c r="CN385">
        <f t="shared" si="790"/>
        <v>1</v>
      </c>
      <c r="CO385">
        <f t="shared" si="790"/>
        <v>1</v>
      </c>
      <c r="CP385">
        <f t="shared" si="790"/>
        <v>1</v>
      </c>
      <c r="CQ385">
        <f t="shared" si="790"/>
        <v>1</v>
      </c>
      <c r="CR385">
        <f t="shared" si="790"/>
        <v>0</v>
      </c>
      <c r="CS385">
        <f t="shared" si="790"/>
        <v>0</v>
      </c>
      <c r="CT385">
        <f t="shared" si="790"/>
        <v>1</v>
      </c>
      <c r="CU385">
        <f t="shared" si="790"/>
        <v>1</v>
      </c>
      <c r="CV385">
        <f t="shared" si="790"/>
        <v>1</v>
      </c>
      <c r="CW385">
        <f t="shared" ref="CW385:DF386" si="791">IF($C385&lt;&gt;"",IF(AH385&gt;0,1,0),0)</f>
        <v>1</v>
      </c>
      <c r="CX385">
        <f t="shared" si="791"/>
        <v>1</v>
      </c>
      <c r="CY385">
        <f t="shared" si="791"/>
        <v>1</v>
      </c>
      <c r="CZ385">
        <f t="shared" si="791"/>
        <v>1</v>
      </c>
      <c r="DA385">
        <f t="shared" si="791"/>
        <v>1</v>
      </c>
      <c r="DB385">
        <f t="shared" si="791"/>
        <v>1</v>
      </c>
      <c r="DC385">
        <f t="shared" si="791"/>
        <v>1</v>
      </c>
      <c r="DD385">
        <f t="shared" si="791"/>
        <v>1</v>
      </c>
      <c r="DE385">
        <f t="shared" si="791"/>
        <v>1</v>
      </c>
      <c r="DF385">
        <f t="shared" si="791"/>
        <v>1</v>
      </c>
      <c r="DG385">
        <f t="shared" ref="DG385:DP386" si="792">IF($C385&lt;&gt;"",IF(AR385&gt;0,1,0),0)</f>
        <v>1</v>
      </c>
      <c r="DH385">
        <f t="shared" si="792"/>
        <v>1</v>
      </c>
      <c r="DI385">
        <f t="shared" si="792"/>
        <v>1</v>
      </c>
      <c r="DJ385">
        <f t="shared" si="792"/>
        <v>1</v>
      </c>
      <c r="DK385">
        <f t="shared" si="792"/>
        <v>1</v>
      </c>
      <c r="DL385">
        <f t="shared" si="792"/>
        <v>1</v>
      </c>
      <c r="DM385">
        <f t="shared" si="792"/>
        <v>1</v>
      </c>
      <c r="DN385">
        <f t="shared" si="792"/>
        <v>1</v>
      </c>
      <c r="DO385">
        <f t="shared" si="792"/>
        <v>1</v>
      </c>
      <c r="DP385">
        <f t="shared" si="792"/>
        <v>1</v>
      </c>
      <c r="DQ385">
        <f t="shared" ref="DQ385:DZ386" si="793">IF($C385&lt;&gt;"",IF(BB385&gt;0,1,0),0)</f>
        <v>1</v>
      </c>
      <c r="DR385">
        <f t="shared" si="793"/>
        <v>1</v>
      </c>
      <c r="DS385">
        <f t="shared" si="793"/>
        <v>1</v>
      </c>
      <c r="DT385">
        <f t="shared" si="793"/>
        <v>1</v>
      </c>
      <c r="DU385">
        <f t="shared" si="793"/>
        <v>1</v>
      </c>
      <c r="DV385">
        <f t="shared" si="793"/>
        <v>1</v>
      </c>
      <c r="DW385">
        <f t="shared" si="793"/>
        <v>1</v>
      </c>
      <c r="DX385">
        <f t="shared" si="793"/>
        <v>1</v>
      </c>
      <c r="DY385">
        <f t="shared" si="793"/>
        <v>1</v>
      </c>
      <c r="DZ385">
        <f t="shared" si="793"/>
        <v>1</v>
      </c>
      <c r="EA385">
        <f t="shared" ref="EA385:EF386" si="794">IF($C385&lt;&gt;"",IF(BL385&gt;0,1,0),0)</f>
        <v>1</v>
      </c>
      <c r="EB385">
        <f t="shared" si="794"/>
        <v>1</v>
      </c>
      <c r="EC385">
        <f t="shared" si="794"/>
        <v>1</v>
      </c>
      <c r="ED385">
        <f t="shared" si="794"/>
        <v>1</v>
      </c>
      <c r="EE385">
        <f t="shared" si="794"/>
        <v>1</v>
      </c>
      <c r="EF385">
        <f t="shared" si="794"/>
        <v>1</v>
      </c>
    </row>
    <row r="386" spans="1:136" ht="15.5">
      <c r="A386" s="90"/>
      <c r="B386" s="19" t="s">
        <v>205</v>
      </c>
      <c r="C386" s="95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34">
        <v>0</v>
      </c>
      <c r="W386" s="34">
        <v>0</v>
      </c>
      <c r="X386" s="34">
        <v>0</v>
      </c>
      <c r="Y386" s="34">
        <v>0</v>
      </c>
      <c r="Z386" s="34">
        <v>0</v>
      </c>
      <c r="AA386" s="34">
        <v>0</v>
      </c>
      <c r="AB386" s="34">
        <v>0</v>
      </c>
      <c r="AC386" s="34">
        <v>0</v>
      </c>
      <c r="AD386" s="34">
        <v>0</v>
      </c>
      <c r="AE386" s="34">
        <v>0</v>
      </c>
      <c r="AF386" s="34">
        <v>0</v>
      </c>
      <c r="AG386" s="34">
        <v>0</v>
      </c>
      <c r="AH386" s="168">
        <v>0.02</v>
      </c>
      <c r="AI386" s="168">
        <v>4.9000000000000002E-2</v>
      </c>
      <c r="AJ386" s="168">
        <v>6.8000000000000005E-2</v>
      </c>
      <c r="AK386" s="168">
        <v>0</v>
      </c>
      <c r="AL386" s="168">
        <v>0</v>
      </c>
      <c r="AM386" s="168">
        <v>0</v>
      </c>
      <c r="AN386" s="168">
        <v>0</v>
      </c>
      <c r="AO386" s="168">
        <v>0</v>
      </c>
      <c r="AP386" s="168">
        <v>0.03</v>
      </c>
      <c r="AQ386" s="168">
        <v>0.03</v>
      </c>
      <c r="AR386" s="18">
        <v>0</v>
      </c>
      <c r="AS386" s="18">
        <v>0</v>
      </c>
      <c r="AT386" s="18">
        <v>0</v>
      </c>
      <c r="AU386" s="18">
        <v>0</v>
      </c>
      <c r="AV386" s="18">
        <v>0</v>
      </c>
      <c r="AW386" s="18">
        <v>0</v>
      </c>
      <c r="AX386" s="18">
        <v>0</v>
      </c>
      <c r="AY386" s="18">
        <v>0</v>
      </c>
      <c r="AZ386" s="18">
        <v>0</v>
      </c>
      <c r="BA386" s="18">
        <v>0</v>
      </c>
      <c r="BB386" s="18">
        <v>0</v>
      </c>
      <c r="BC386" s="18">
        <v>0</v>
      </c>
      <c r="BD386" s="18">
        <v>0</v>
      </c>
      <c r="BE386" s="25">
        <v>0</v>
      </c>
      <c r="BF386" s="18">
        <v>0</v>
      </c>
      <c r="BG386" s="18">
        <v>0</v>
      </c>
      <c r="BH386" s="18">
        <v>0.4</v>
      </c>
      <c r="BI386" s="18">
        <v>0</v>
      </c>
      <c r="BJ386" s="18">
        <v>0</v>
      </c>
      <c r="BK386" s="18">
        <v>0</v>
      </c>
      <c r="BL386" s="18">
        <v>0</v>
      </c>
      <c r="BM386" s="113">
        <v>3.4</v>
      </c>
      <c r="BN386" s="113">
        <v>0</v>
      </c>
      <c r="BO386" s="113">
        <v>0</v>
      </c>
      <c r="BP386" s="113">
        <v>0</v>
      </c>
      <c r="BQ386" s="113">
        <v>0</v>
      </c>
      <c r="BR386" s="101"/>
      <c r="BS386">
        <f t="shared" si="788"/>
        <v>0</v>
      </c>
      <c r="BT386">
        <f t="shared" si="788"/>
        <v>0</v>
      </c>
      <c r="BU386">
        <f t="shared" si="788"/>
        <v>0</v>
      </c>
      <c r="BV386">
        <f t="shared" si="788"/>
        <v>0</v>
      </c>
      <c r="BW386">
        <f t="shared" si="788"/>
        <v>0</v>
      </c>
      <c r="BX386">
        <f t="shared" si="788"/>
        <v>0</v>
      </c>
      <c r="BY386">
        <f t="shared" si="788"/>
        <v>0</v>
      </c>
      <c r="BZ386">
        <f t="shared" si="788"/>
        <v>0</v>
      </c>
      <c r="CA386">
        <f t="shared" si="788"/>
        <v>0</v>
      </c>
      <c r="CB386">
        <f t="shared" si="788"/>
        <v>0</v>
      </c>
      <c r="CC386">
        <f t="shared" si="789"/>
        <v>0</v>
      </c>
      <c r="CD386">
        <f t="shared" si="789"/>
        <v>0</v>
      </c>
      <c r="CE386">
        <f t="shared" si="789"/>
        <v>0</v>
      </c>
      <c r="CF386">
        <f t="shared" si="789"/>
        <v>0</v>
      </c>
      <c r="CG386">
        <f t="shared" si="789"/>
        <v>0</v>
      </c>
      <c r="CH386">
        <f t="shared" si="789"/>
        <v>0</v>
      </c>
      <c r="CI386">
        <f t="shared" si="789"/>
        <v>0</v>
      </c>
      <c r="CJ386">
        <f t="shared" si="789"/>
        <v>0</v>
      </c>
      <c r="CK386">
        <f t="shared" si="789"/>
        <v>0</v>
      </c>
      <c r="CL386">
        <f t="shared" si="789"/>
        <v>0</v>
      </c>
      <c r="CM386">
        <f t="shared" si="790"/>
        <v>0</v>
      </c>
      <c r="CN386">
        <f t="shared" si="790"/>
        <v>0</v>
      </c>
      <c r="CO386">
        <f t="shared" si="790"/>
        <v>0</v>
      </c>
      <c r="CP386">
        <f t="shared" si="790"/>
        <v>0</v>
      </c>
      <c r="CQ386">
        <f t="shared" si="790"/>
        <v>0</v>
      </c>
      <c r="CR386">
        <f t="shared" si="790"/>
        <v>0</v>
      </c>
      <c r="CS386">
        <f t="shared" si="790"/>
        <v>0</v>
      </c>
      <c r="CT386">
        <f t="shared" si="790"/>
        <v>0</v>
      </c>
      <c r="CU386">
        <f t="shared" si="790"/>
        <v>0</v>
      </c>
      <c r="CV386">
        <f t="shared" si="790"/>
        <v>0</v>
      </c>
      <c r="CW386">
        <f t="shared" si="791"/>
        <v>0</v>
      </c>
      <c r="CX386">
        <f t="shared" si="791"/>
        <v>0</v>
      </c>
      <c r="CY386">
        <f t="shared" si="791"/>
        <v>0</v>
      </c>
      <c r="CZ386">
        <f t="shared" si="791"/>
        <v>0</v>
      </c>
      <c r="DA386">
        <f t="shared" si="791"/>
        <v>0</v>
      </c>
      <c r="DB386">
        <f t="shared" si="791"/>
        <v>0</v>
      </c>
      <c r="DC386">
        <f t="shared" si="791"/>
        <v>0</v>
      </c>
      <c r="DD386">
        <f t="shared" si="791"/>
        <v>0</v>
      </c>
      <c r="DE386">
        <f t="shared" si="791"/>
        <v>0</v>
      </c>
      <c r="DF386">
        <f t="shared" si="791"/>
        <v>0</v>
      </c>
      <c r="DG386">
        <f t="shared" si="792"/>
        <v>0</v>
      </c>
      <c r="DH386">
        <f t="shared" si="792"/>
        <v>0</v>
      </c>
      <c r="DI386">
        <f t="shared" si="792"/>
        <v>0</v>
      </c>
      <c r="DJ386">
        <f t="shared" si="792"/>
        <v>0</v>
      </c>
      <c r="DK386">
        <f t="shared" si="792"/>
        <v>0</v>
      </c>
      <c r="DL386">
        <f t="shared" si="792"/>
        <v>0</v>
      </c>
      <c r="DM386">
        <f t="shared" si="792"/>
        <v>0</v>
      </c>
      <c r="DN386">
        <f t="shared" si="792"/>
        <v>0</v>
      </c>
      <c r="DO386">
        <f t="shared" si="792"/>
        <v>0</v>
      </c>
      <c r="DP386">
        <f t="shared" si="792"/>
        <v>0</v>
      </c>
      <c r="DQ386">
        <f t="shared" si="793"/>
        <v>0</v>
      </c>
      <c r="DR386">
        <f t="shared" si="793"/>
        <v>0</v>
      </c>
      <c r="DS386">
        <f t="shared" si="793"/>
        <v>0</v>
      </c>
      <c r="DT386">
        <f t="shared" si="793"/>
        <v>0</v>
      </c>
      <c r="DU386">
        <f t="shared" si="793"/>
        <v>0</v>
      </c>
      <c r="DV386">
        <f t="shared" si="793"/>
        <v>0</v>
      </c>
      <c r="DW386">
        <f t="shared" si="793"/>
        <v>0</v>
      </c>
      <c r="DX386">
        <f t="shared" si="793"/>
        <v>0</v>
      </c>
      <c r="DY386">
        <f t="shared" si="793"/>
        <v>0</v>
      </c>
      <c r="DZ386">
        <f t="shared" si="793"/>
        <v>0</v>
      </c>
      <c r="EA386">
        <f t="shared" si="794"/>
        <v>0</v>
      </c>
      <c r="EB386">
        <f t="shared" si="794"/>
        <v>0</v>
      </c>
      <c r="EC386">
        <f t="shared" si="794"/>
        <v>0</v>
      </c>
      <c r="ED386">
        <f t="shared" si="794"/>
        <v>0</v>
      </c>
      <c r="EE386">
        <f t="shared" si="794"/>
        <v>0</v>
      </c>
      <c r="EF386">
        <f t="shared" si="794"/>
        <v>0</v>
      </c>
    </row>
    <row r="387" spans="1:136" ht="15.5">
      <c r="A387" s="90"/>
      <c r="B387" s="53" t="s">
        <v>3</v>
      </c>
      <c r="C387" s="95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>
        <v>0</v>
      </c>
      <c r="W387" s="18">
        <v>0</v>
      </c>
      <c r="X387" s="18">
        <v>0</v>
      </c>
      <c r="Y387" s="18">
        <v>0.23849999999999999</v>
      </c>
      <c r="Z387" s="18">
        <v>0.36810599999999999</v>
      </c>
      <c r="AA387" s="18">
        <v>4.0179999999999999E-3</v>
      </c>
      <c r="AB387" s="18">
        <v>3.7839000000000002E-3</v>
      </c>
      <c r="AC387" s="18">
        <v>0</v>
      </c>
      <c r="AD387" s="18">
        <v>0</v>
      </c>
      <c r="AE387" s="18">
        <v>6.2072500000000003E-2</v>
      </c>
      <c r="AF387" s="18">
        <v>2.8000000000000001E-2</v>
      </c>
      <c r="AG387" s="18">
        <v>1.9865299999999999E-2</v>
      </c>
      <c r="AH387" s="18">
        <v>3.4417293000000004</v>
      </c>
      <c r="AI387" s="18">
        <v>0.1560289</v>
      </c>
      <c r="AJ387" s="18">
        <v>0.88449860000000002</v>
      </c>
      <c r="AK387" s="18">
        <v>0.19589200000000001</v>
      </c>
      <c r="AL387" s="18">
        <v>0.21998059999999997</v>
      </c>
      <c r="AM387" s="18">
        <v>2.2232300999999999</v>
      </c>
      <c r="AN387" s="18">
        <v>3.7654412000000002</v>
      </c>
      <c r="AO387" s="18">
        <v>0.47413230000000001</v>
      </c>
      <c r="AP387" s="18">
        <v>0.46540589999999998</v>
      </c>
      <c r="AQ387" s="18">
        <v>0.40382270000000003</v>
      </c>
      <c r="AR387" s="18">
        <v>0.40514620000000001</v>
      </c>
      <c r="AS387" s="18">
        <v>0.3145867</v>
      </c>
      <c r="AT387" s="18">
        <v>0.41455350000000002</v>
      </c>
      <c r="AU387" s="18">
        <v>1.1984579</v>
      </c>
      <c r="AV387" s="18">
        <v>1.5441096000000001</v>
      </c>
      <c r="AW387" s="18">
        <v>4.9905451999999997</v>
      </c>
      <c r="AX387" s="18">
        <v>11.6567688</v>
      </c>
      <c r="AY387" s="18">
        <v>1.1228072</v>
      </c>
      <c r="AZ387" s="18">
        <v>0.7197013000000001</v>
      </c>
      <c r="BA387" s="18">
        <v>0.2967031</v>
      </c>
      <c r="BB387" s="18">
        <v>0.33216009999999996</v>
      </c>
      <c r="BC387" s="18">
        <v>0</v>
      </c>
      <c r="BD387" s="18">
        <v>36.087000000000003</v>
      </c>
      <c r="BE387" s="25">
        <v>2.0924599999999998E-2</v>
      </c>
      <c r="BF387" s="18">
        <v>0.1181045</v>
      </c>
      <c r="BG387" s="18">
        <v>0</v>
      </c>
      <c r="BH387" s="18">
        <v>0.41064490000000003</v>
      </c>
      <c r="BI387" s="18">
        <v>0</v>
      </c>
      <c r="BJ387" s="113">
        <v>0</v>
      </c>
      <c r="BK387" s="34">
        <v>0</v>
      </c>
      <c r="BL387" s="113">
        <v>3.2337368</v>
      </c>
      <c r="BM387" s="113">
        <v>0</v>
      </c>
      <c r="BN387" s="113">
        <v>0</v>
      </c>
      <c r="BO387" s="113">
        <v>0</v>
      </c>
      <c r="BP387" s="113">
        <v>0</v>
      </c>
      <c r="BQ387" s="113">
        <v>0</v>
      </c>
      <c r="BR387" s="101"/>
      <c r="BS387">
        <f t="shared" ref="BS387:CB391" si="795">IF($C387&lt;&gt;"",IF(D387&gt;0,1,0),0)</f>
        <v>0</v>
      </c>
      <c r="BT387">
        <f t="shared" si="795"/>
        <v>0</v>
      </c>
      <c r="BU387">
        <f t="shared" si="795"/>
        <v>0</v>
      </c>
      <c r="BV387">
        <f t="shared" si="795"/>
        <v>0</v>
      </c>
      <c r="BW387">
        <f t="shared" si="795"/>
        <v>0</v>
      </c>
      <c r="BX387">
        <f t="shared" si="795"/>
        <v>0</v>
      </c>
      <c r="BY387">
        <f t="shared" si="795"/>
        <v>0</v>
      </c>
      <c r="BZ387">
        <f t="shared" si="795"/>
        <v>0</v>
      </c>
      <c r="CA387">
        <f t="shared" si="795"/>
        <v>0</v>
      </c>
      <c r="CB387">
        <f t="shared" si="795"/>
        <v>0</v>
      </c>
      <c r="CC387">
        <f t="shared" ref="CC387:CL391" si="796">IF($C387&lt;&gt;"",IF(N387&gt;0,1,0),0)</f>
        <v>0</v>
      </c>
      <c r="CD387">
        <f t="shared" si="796"/>
        <v>0</v>
      </c>
      <c r="CE387">
        <f t="shared" si="796"/>
        <v>0</v>
      </c>
      <c r="CF387">
        <f t="shared" si="796"/>
        <v>0</v>
      </c>
      <c r="CG387">
        <f t="shared" si="796"/>
        <v>0</v>
      </c>
      <c r="CH387">
        <f t="shared" si="796"/>
        <v>0</v>
      </c>
      <c r="CI387">
        <f t="shared" si="796"/>
        <v>0</v>
      </c>
      <c r="CJ387">
        <f t="shared" si="796"/>
        <v>0</v>
      </c>
      <c r="CK387">
        <f t="shared" si="796"/>
        <v>0</v>
      </c>
      <c r="CL387">
        <f t="shared" si="796"/>
        <v>0</v>
      </c>
      <c r="CM387">
        <f t="shared" ref="CM387:CV391" si="797">IF($C387&lt;&gt;"",IF(X387&gt;0,1,0),0)</f>
        <v>0</v>
      </c>
      <c r="CN387">
        <f t="shared" si="797"/>
        <v>0</v>
      </c>
      <c r="CO387">
        <f t="shared" si="797"/>
        <v>0</v>
      </c>
      <c r="CP387">
        <f t="shared" si="797"/>
        <v>0</v>
      </c>
      <c r="CQ387">
        <f t="shared" si="797"/>
        <v>0</v>
      </c>
      <c r="CR387">
        <f t="shared" si="797"/>
        <v>0</v>
      </c>
      <c r="CS387">
        <f t="shared" si="797"/>
        <v>0</v>
      </c>
      <c r="CT387">
        <f t="shared" si="797"/>
        <v>0</v>
      </c>
      <c r="CU387">
        <f t="shared" si="797"/>
        <v>0</v>
      </c>
      <c r="CV387">
        <f t="shared" si="797"/>
        <v>0</v>
      </c>
      <c r="CW387">
        <f t="shared" ref="CW387:DF391" si="798">IF($C387&lt;&gt;"",IF(AH387&gt;0,1,0),0)</f>
        <v>0</v>
      </c>
      <c r="CX387">
        <f t="shared" si="798"/>
        <v>0</v>
      </c>
      <c r="CY387">
        <f t="shared" si="798"/>
        <v>0</v>
      </c>
      <c r="CZ387">
        <f t="shared" si="798"/>
        <v>0</v>
      </c>
      <c r="DA387">
        <f t="shared" si="798"/>
        <v>0</v>
      </c>
      <c r="DB387">
        <f t="shared" si="798"/>
        <v>0</v>
      </c>
      <c r="DC387">
        <f t="shared" si="798"/>
        <v>0</v>
      </c>
      <c r="DD387">
        <f t="shared" si="798"/>
        <v>0</v>
      </c>
      <c r="DE387">
        <f t="shared" si="798"/>
        <v>0</v>
      </c>
      <c r="DF387">
        <f t="shared" si="798"/>
        <v>0</v>
      </c>
      <c r="DG387">
        <f t="shared" ref="DG387:DP391" si="799">IF($C387&lt;&gt;"",IF(AR387&gt;0,1,0),0)</f>
        <v>0</v>
      </c>
      <c r="DH387">
        <f t="shared" si="799"/>
        <v>0</v>
      </c>
      <c r="DI387">
        <f t="shared" si="799"/>
        <v>0</v>
      </c>
      <c r="DJ387">
        <f t="shared" si="799"/>
        <v>0</v>
      </c>
      <c r="DK387">
        <f t="shared" si="799"/>
        <v>0</v>
      </c>
      <c r="DL387">
        <f t="shared" si="799"/>
        <v>0</v>
      </c>
      <c r="DM387">
        <f t="shared" si="799"/>
        <v>0</v>
      </c>
      <c r="DN387">
        <f t="shared" si="799"/>
        <v>0</v>
      </c>
      <c r="DO387">
        <f t="shared" si="799"/>
        <v>0</v>
      </c>
      <c r="DP387">
        <f t="shared" si="799"/>
        <v>0</v>
      </c>
      <c r="DQ387">
        <f t="shared" ref="DQ387:DZ391" si="800">IF($C387&lt;&gt;"",IF(BB387&gt;0,1,0),0)</f>
        <v>0</v>
      </c>
      <c r="DR387">
        <f t="shared" si="800"/>
        <v>0</v>
      </c>
      <c r="DS387">
        <f t="shared" si="800"/>
        <v>0</v>
      </c>
      <c r="DT387">
        <f t="shared" si="800"/>
        <v>0</v>
      </c>
      <c r="DU387">
        <f t="shared" si="800"/>
        <v>0</v>
      </c>
      <c r="DV387">
        <f t="shared" si="800"/>
        <v>0</v>
      </c>
      <c r="DW387">
        <f t="shared" si="800"/>
        <v>0</v>
      </c>
      <c r="DX387">
        <f t="shared" si="800"/>
        <v>0</v>
      </c>
      <c r="DY387">
        <f t="shared" si="800"/>
        <v>0</v>
      </c>
      <c r="DZ387">
        <f t="shared" si="800"/>
        <v>0</v>
      </c>
      <c r="EA387">
        <f t="shared" ref="EA387:EF390" si="801">IF($C387&lt;&gt;"",IF(BL386&gt;0,1,0),0)</f>
        <v>0</v>
      </c>
      <c r="EB387">
        <f t="shared" si="801"/>
        <v>0</v>
      </c>
      <c r="EC387">
        <f t="shared" si="801"/>
        <v>0</v>
      </c>
      <c r="ED387">
        <f t="shared" si="801"/>
        <v>0</v>
      </c>
      <c r="EE387">
        <f t="shared" si="801"/>
        <v>0</v>
      </c>
      <c r="EF387">
        <f t="shared" si="801"/>
        <v>0</v>
      </c>
    </row>
    <row r="388" spans="1:136" ht="15.5">
      <c r="A388" s="90"/>
      <c r="B388" s="53" t="s">
        <v>18</v>
      </c>
      <c r="C388" s="95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>
        <v>0</v>
      </c>
      <c r="W388" s="34">
        <v>0</v>
      </c>
      <c r="X388" s="34">
        <v>0</v>
      </c>
      <c r="Y388" s="34">
        <v>0</v>
      </c>
      <c r="Z388" s="34">
        <v>0</v>
      </c>
      <c r="AA388" s="34">
        <v>0</v>
      </c>
      <c r="AB388" s="34">
        <v>0</v>
      </c>
      <c r="AC388" s="34">
        <v>0</v>
      </c>
      <c r="AD388" s="34">
        <v>0</v>
      </c>
      <c r="AE388" s="34">
        <v>0</v>
      </c>
      <c r="AF388" s="34">
        <v>0</v>
      </c>
      <c r="AG388" s="34">
        <v>0</v>
      </c>
      <c r="AH388" s="34">
        <v>0</v>
      </c>
      <c r="AI388" s="34">
        <v>0</v>
      </c>
      <c r="AJ388" s="34">
        <v>0</v>
      </c>
      <c r="AK388" s="34">
        <v>0</v>
      </c>
      <c r="AL388" s="34">
        <v>0</v>
      </c>
      <c r="AM388" s="34">
        <v>0</v>
      </c>
      <c r="AN388" s="34">
        <v>0</v>
      </c>
      <c r="AO388" s="34">
        <v>0</v>
      </c>
      <c r="AP388" s="34">
        <v>0</v>
      </c>
      <c r="AQ388" s="34">
        <v>0</v>
      </c>
      <c r="AR388" s="34">
        <v>0</v>
      </c>
      <c r="AS388" s="34">
        <v>0</v>
      </c>
      <c r="AT388" s="34">
        <v>93</v>
      </c>
      <c r="AU388" s="34">
        <v>97</v>
      </c>
      <c r="AV388" s="34">
        <v>97</v>
      </c>
      <c r="AW388" s="34">
        <v>43</v>
      </c>
      <c r="AX388" s="34">
        <v>43</v>
      </c>
      <c r="AY388" s="34">
        <v>43</v>
      </c>
      <c r="AZ388" s="34">
        <v>43</v>
      </c>
      <c r="BA388" s="34">
        <v>43</v>
      </c>
      <c r="BB388" s="34">
        <v>43</v>
      </c>
      <c r="BC388" s="34">
        <v>43</v>
      </c>
      <c r="BD388" s="34">
        <v>43</v>
      </c>
      <c r="BE388" s="42">
        <v>0</v>
      </c>
      <c r="BF388" s="34">
        <v>0</v>
      </c>
      <c r="BG388" s="34">
        <v>0</v>
      </c>
      <c r="BH388" s="34">
        <v>0</v>
      </c>
      <c r="BI388" s="113">
        <v>0</v>
      </c>
      <c r="BJ388" s="113">
        <v>0</v>
      </c>
      <c r="BK388" s="113">
        <v>0</v>
      </c>
      <c r="BL388" s="113">
        <v>0</v>
      </c>
      <c r="BM388" s="113">
        <v>0</v>
      </c>
      <c r="BN388" s="113">
        <v>0</v>
      </c>
      <c r="BO388" s="113">
        <v>0</v>
      </c>
      <c r="BP388" s="113">
        <v>0</v>
      </c>
      <c r="BQ388" s="113">
        <v>0</v>
      </c>
      <c r="BR388" s="101"/>
      <c r="BS388">
        <f t="shared" si="795"/>
        <v>0</v>
      </c>
      <c r="BT388">
        <f t="shared" si="795"/>
        <v>0</v>
      </c>
      <c r="BU388">
        <f t="shared" si="795"/>
        <v>0</v>
      </c>
      <c r="BV388">
        <f t="shared" si="795"/>
        <v>0</v>
      </c>
      <c r="BW388">
        <f t="shared" si="795"/>
        <v>0</v>
      </c>
      <c r="BX388">
        <f t="shared" si="795"/>
        <v>0</v>
      </c>
      <c r="BY388">
        <f t="shared" si="795"/>
        <v>0</v>
      </c>
      <c r="BZ388">
        <f t="shared" si="795"/>
        <v>0</v>
      </c>
      <c r="CA388">
        <f t="shared" si="795"/>
        <v>0</v>
      </c>
      <c r="CB388">
        <f t="shared" si="795"/>
        <v>0</v>
      </c>
      <c r="CC388">
        <f t="shared" si="796"/>
        <v>0</v>
      </c>
      <c r="CD388">
        <f t="shared" si="796"/>
        <v>0</v>
      </c>
      <c r="CE388">
        <f t="shared" si="796"/>
        <v>0</v>
      </c>
      <c r="CF388">
        <f t="shared" si="796"/>
        <v>0</v>
      </c>
      <c r="CG388">
        <f t="shared" si="796"/>
        <v>0</v>
      </c>
      <c r="CH388">
        <f t="shared" si="796"/>
        <v>0</v>
      </c>
      <c r="CI388">
        <f t="shared" si="796"/>
        <v>0</v>
      </c>
      <c r="CJ388">
        <f t="shared" si="796"/>
        <v>0</v>
      </c>
      <c r="CK388">
        <f t="shared" si="796"/>
        <v>0</v>
      </c>
      <c r="CL388">
        <f t="shared" si="796"/>
        <v>0</v>
      </c>
      <c r="CM388">
        <f t="shared" si="797"/>
        <v>0</v>
      </c>
      <c r="CN388">
        <f t="shared" si="797"/>
        <v>0</v>
      </c>
      <c r="CO388">
        <f t="shared" si="797"/>
        <v>0</v>
      </c>
      <c r="CP388">
        <f t="shared" si="797"/>
        <v>0</v>
      </c>
      <c r="CQ388">
        <f t="shared" si="797"/>
        <v>0</v>
      </c>
      <c r="CR388">
        <f t="shared" si="797"/>
        <v>0</v>
      </c>
      <c r="CS388">
        <f t="shared" si="797"/>
        <v>0</v>
      </c>
      <c r="CT388">
        <f t="shared" si="797"/>
        <v>0</v>
      </c>
      <c r="CU388">
        <f t="shared" si="797"/>
        <v>0</v>
      </c>
      <c r="CV388">
        <f t="shared" si="797"/>
        <v>0</v>
      </c>
      <c r="CW388">
        <f t="shared" si="798"/>
        <v>0</v>
      </c>
      <c r="CX388">
        <f t="shared" si="798"/>
        <v>0</v>
      </c>
      <c r="CY388">
        <f t="shared" si="798"/>
        <v>0</v>
      </c>
      <c r="CZ388">
        <f t="shared" si="798"/>
        <v>0</v>
      </c>
      <c r="DA388">
        <f t="shared" si="798"/>
        <v>0</v>
      </c>
      <c r="DB388">
        <f t="shared" si="798"/>
        <v>0</v>
      </c>
      <c r="DC388">
        <f t="shared" si="798"/>
        <v>0</v>
      </c>
      <c r="DD388">
        <f t="shared" si="798"/>
        <v>0</v>
      </c>
      <c r="DE388">
        <f t="shared" si="798"/>
        <v>0</v>
      </c>
      <c r="DF388">
        <f t="shared" si="798"/>
        <v>0</v>
      </c>
      <c r="DG388">
        <f t="shared" si="799"/>
        <v>0</v>
      </c>
      <c r="DH388">
        <f t="shared" si="799"/>
        <v>0</v>
      </c>
      <c r="DI388">
        <f t="shared" si="799"/>
        <v>0</v>
      </c>
      <c r="DJ388">
        <f t="shared" si="799"/>
        <v>0</v>
      </c>
      <c r="DK388">
        <f t="shared" si="799"/>
        <v>0</v>
      </c>
      <c r="DL388">
        <f t="shared" si="799"/>
        <v>0</v>
      </c>
      <c r="DM388">
        <f t="shared" si="799"/>
        <v>0</v>
      </c>
      <c r="DN388">
        <f t="shared" si="799"/>
        <v>0</v>
      </c>
      <c r="DO388">
        <f t="shared" si="799"/>
        <v>0</v>
      </c>
      <c r="DP388">
        <f t="shared" si="799"/>
        <v>0</v>
      </c>
      <c r="DQ388">
        <f t="shared" si="800"/>
        <v>0</v>
      </c>
      <c r="DR388">
        <f t="shared" si="800"/>
        <v>0</v>
      </c>
      <c r="DS388">
        <f t="shared" si="800"/>
        <v>0</v>
      </c>
      <c r="DT388">
        <f t="shared" si="800"/>
        <v>0</v>
      </c>
      <c r="DU388">
        <f t="shared" si="800"/>
        <v>0</v>
      </c>
      <c r="DV388">
        <f t="shared" si="800"/>
        <v>0</v>
      </c>
      <c r="DW388">
        <f t="shared" si="800"/>
        <v>0</v>
      </c>
      <c r="DX388">
        <f t="shared" si="800"/>
        <v>0</v>
      </c>
      <c r="DY388">
        <f t="shared" si="800"/>
        <v>0</v>
      </c>
      <c r="DZ388">
        <f t="shared" si="800"/>
        <v>0</v>
      </c>
      <c r="EA388">
        <f t="shared" si="801"/>
        <v>0</v>
      </c>
      <c r="EB388">
        <f t="shared" si="801"/>
        <v>0</v>
      </c>
      <c r="EC388">
        <f t="shared" si="801"/>
        <v>0</v>
      </c>
      <c r="ED388">
        <f t="shared" si="801"/>
        <v>0</v>
      </c>
      <c r="EE388">
        <f t="shared" si="801"/>
        <v>0</v>
      </c>
      <c r="EF388">
        <f t="shared" si="801"/>
        <v>0</v>
      </c>
    </row>
    <row r="389" spans="1:136" ht="15.5">
      <c r="A389" s="90"/>
      <c r="B389" s="53" t="s">
        <v>25</v>
      </c>
      <c r="C389" s="95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>
        <v>0</v>
      </c>
      <c r="W389" s="18">
        <v>0</v>
      </c>
      <c r="X389" s="18">
        <v>0</v>
      </c>
      <c r="Y389" s="18">
        <v>0</v>
      </c>
      <c r="Z389" s="18">
        <v>0</v>
      </c>
      <c r="AA389" s="18">
        <v>0</v>
      </c>
      <c r="AB389" s="18">
        <v>0</v>
      </c>
      <c r="AC389" s="18">
        <v>0</v>
      </c>
      <c r="AD389" s="18">
        <v>0</v>
      </c>
      <c r="AE389" s="18">
        <v>0</v>
      </c>
      <c r="AF389" s="18">
        <v>0</v>
      </c>
      <c r="AG389" s="18">
        <v>0</v>
      </c>
      <c r="AH389" s="18">
        <v>0</v>
      </c>
      <c r="AI389" s="18">
        <v>0</v>
      </c>
      <c r="AJ389" s="18">
        <v>0</v>
      </c>
      <c r="AK389" s="18">
        <v>0</v>
      </c>
      <c r="AL389" s="18">
        <v>0</v>
      </c>
      <c r="AM389" s="18">
        <v>0</v>
      </c>
      <c r="AN389" s="18">
        <v>0</v>
      </c>
      <c r="AO389" s="18">
        <v>0</v>
      </c>
      <c r="AP389" s="18">
        <v>0</v>
      </c>
      <c r="AQ389" s="18">
        <v>0</v>
      </c>
      <c r="AR389" s="18">
        <v>0</v>
      </c>
      <c r="AS389" s="18">
        <v>0</v>
      </c>
      <c r="AT389" s="18">
        <v>0</v>
      </c>
      <c r="AU389" s="18">
        <v>47</v>
      </c>
      <c r="AV389" s="18">
        <v>47</v>
      </c>
      <c r="AW389" s="18">
        <v>0</v>
      </c>
      <c r="AX389" s="18">
        <v>0</v>
      </c>
      <c r="AY389" s="18">
        <v>0</v>
      </c>
      <c r="AZ389" s="18">
        <v>0</v>
      </c>
      <c r="BA389" s="18">
        <v>0</v>
      </c>
      <c r="BB389" s="18">
        <v>0</v>
      </c>
      <c r="BC389" s="18">
        <v>0</v>
      </c>
      <c r="BD389" s="18">
        <v>0</v>
      </c>
      <c r="BE389" s="25">
        <v>0</v>
      </c>
      <c r="BF389" s="18">
        <v>0</v>
      </c>
      <c r="BG389" s="18">
        <v>0</v>
      </c>
      <c r="BH389" s="18">
        <v>0</v>
      </c>
      <c r="BI389" s="113">
        <v>0</v>
      </c>
      <c r="BJ389" s="113">
        <v>0</v>
      </c>
      <c r="BK389" s="113">
        <v>0</v>
      </c>
      <c r="BL389" s="113">
        <v>0</v>
      </c>
      <c r="BM389" s="113">
        <v>0</v>
      </c>
      <c r="BN389" s="113">
        <v>0</v>
      </c>
      <c r="BO389" s="113">
        <v>0</v>
      </c>
      <c r="BP389" s="113">
        <v>0</v>
      </c>
      <c r="BQ389" s="113">
        <v>0</v>
      </c>
      <c r="BR389" s="101"/>
      <c r="BS389">
        <f t="shared" si="795"/>
        <v>0</v>
      </c>
      <c r="BT389">
        <f t="shared" si="795"/>
        <v>0</v>
      </c>
      <c r="BU389">
        <f t="shared" si="795"/>
        <v>0</v>
      </c>
      <c r="BV389">
        <f t="shared" si="795"/>
        <v>0</v>
      </c>
      <c r="BW389">
        <f t="shared" si="795"/>
        <v>0</v>
      </c>
      <c r="BX389">
        <f t="shared" si="795"/>
        <v>0</v>
      </c>
      <c r="BY389">
        <f t="shared" si="795"/>
        <v>0</v>
      </c>
      <c r="BZ389">
        <f t="shared" si="795"/>
        <v>0</v>
      </c>
      <c r="CA389">
        <f t="shared" si="795"/>
        <v>0</v>
      </c>
      <c r="CB389">
        <f t="shared" si="795"/>
        <v>0</v>
      </c>
      <c r="CC389">
        <f t="shared" si="796"/>
        <v>0</v>
      </c>
      <c r="CD389">
        <f t="shared" si="796"/>
        <v>0</v>
      </c>
      <c r="CE389">
        <f t="shared" si="796"/>
        <v>0</v>
      </c>
      <c r="CF389">
        <f t="shared" si="796"/>
        <v>0</v>
      </c>
      <c r="CG389">
        <f t="shared" si="796"/>
        <v>0</v>
      </c>
      <c r="CH389">
        <f t="shared" si="796"/>
        <v>0</v>
      </c>
      <c r="CI389">
        <f t="shared" si="796"/>
        <v>0</v>
      </c>
      <c r="CJ389">
        <f t="shared" si="796"/>
        <v>0</v>
      </c>
      <c r="CK389">
        <f t="shared" si="796"/>
        <v>0</v>
      </c>
      <c r="CL389">
        <f t="shared" si="796"/>
        <v>0</v>
      </c>
      <c r="CM389">
        <f t="shared" si="797"/>
        <v>0</v>
      </c>
      <c r="CN389">
        <f t="shared" si="797"/>
        <v>0</v>
      </c>
      <c r="CO389">
        <f t="shared" si="797"/>
        <v>0</v>
      </c>
      <c r="CP389">
        <f t="shared" si="797"/>
        <v>0</v>
      </c>
      <c r="CQ389">
        <f t="shared" si="797"/>
        <v>0</v>
      </c>
      <c r="CR389">
        <f t="shared" si="797"/>
        <v>0</v>
      </c>
      <c r="CS389">
        <f t="shared" si="797"/>
        <v>0</v>
      </c>
      <c r="CT389">
        <f t="shared" si="797"/>
        <v>0</v>
      </c>
      <c r="CU389">
        <f t="shared" si="797"/>
        <v>0</v>
      </c>
      <c r="CV389">
        <f t="shared" si="797"/>
        <v>0</v>
      </c>
      <c r="CW389">
        <f t="shared" si="798"/>
        <v>0</v>
      </c>
      <c r="CX389">
        <f t="shared" si="798"/>
        <v>0</v>
      </c>
      <c r="CY389">
        <f t="shared" si="798"/>
        <v>0</v>
      </c>
      <c r="CZ389">
        <f t="shared" si="798"/>
        <v>0</v>
      </c>
      <c r="DA389">
        <f t="shared" si="798"/>
        <v>0</v>
      </c>
      <c r="DB389">
        <f t="shared" si="798"/>
        <v>0</v>
      </c>
      <c r="DC389">
        <f t="shared" si="798"/>
        <v>0</v>
      </c>
      <c r="DD389">
        <f t="shared" si="798"/>
        <v>0</v>
      </c>
      <c r="DE389">
        <f t="shared" si="798"/>
        <v>0</v>
      </c>
      <c r="DF389">
        <f t="shared" si="798"/>
        <v>0</v>
      </c>
      <c r="DG389">
        <f t="shared" si="799"/>
        <v>0</v>
      </c>
      <c r="DH389">
        <f t="shared" si="799"/>
        <v>0</v>
      </c>
      <c r="DI389">
        <f t="shared" si="799"/>
        <v>0</v>
      </c>
      <c r="DJ389">
        <f t="shared" si="799"/>
        <v>0</v>
      </c>
      <c r="DK389">
        <f t="shared" si="799"/>
        <v>0</v>
      </c>
      <c r="DL389">
        <f t="shared" si="799"/>
        <v>0</v>
      </c>
      <c r="DM389">
        <f t="shared" si="799"/>
        <v>0</v>
      </c>
      <c r="DN389">
        <f t="shared" si="799"/>
        <v>0</v>
      </c>
      <c r="DO389">
        <f t="shared" si="799"/>
        <v>0</v>
      </c>
      <c r="DP389">
        <f t="shared" si="799"/>
        <v>0</v>
      </c>
      <c r="DQ389">
        <f t="shared" si="800"/>
        <v>0</v>
      </c>
      <c r="DR389">
        <f t="shared" si="800"/>
        <v>0</v>
      </c>
      <c r="DS389">
        <f t="shared" si="800"/>
        <v>0</v>
      </c>
      <c r="DT389">
        <f t="shared" si="800"/>
        <v>0</v>
      </c>
      <c r="DU389">
        <f t="shared" si="800"/>
        <v>0</v>
      </c>
      <c r="DV389">
        <f t="shared" si="800"/>
        <v>0</v>
      </c>
      <c r="DW389">
        <f t="shared" si="800"/>
        <v>0</v>
      </c>
      <c r="DX389">
        <f t="shared" si="800"/>
        <v>0</v>
      </c>
      <c r="DY389">
        <f t="shared" si="800"/>
        <v>0</v>
      </c>
      <c r="DZ389">
        <f t="shared" si="800"/>
        <v>0</v>
      </c>
      <c r="EA389">
        <f t="shared" si="801"/>
        <v>0</v>
      </c>
      <c r="EB389">
        <f t="shared" si="801"/>
        <v>0</v>
      </c>
      <c r="EC389">
        <f t="shared" si="801"/>
        <v>0</v>
      </c>
      <c r="ED389">
        <f t="shared" si="801"/>
        <v>0</v>
      </c>
      <c r="EE389">
        <f t="shared" si="801"/>
        <v>0</v>
      </c>
      <c r="EF389">
        <f t="shared" si="801"/>
        <v>0</v>
      </c>
    </row>
    <row r="390" spans="1:136" ht="15.5">
      <c r="A390" s="90"/>
      <c r="B390" s="19" t="s">
        <v>208</v>
      </c>
      <c r="C390" s="95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>
        <v>0</v>
      </c>
      <c r="W390" s="18">
        <v>0</v>
      </c>
      <c r="X390" s="18">
        <v>0</v>
      </c>
      <c r="Y390" s="18">
        <v>0</v>
      </c>
      <c r="Z390" s="18">
        <v>0</v>
      </c>
      <c r="AA390" s="18">
        <v>0</v>
      </c>
      <c r="AB390" s="18">
        <v>0</v>
      </c>
      <c r="AC390" s="18">
        <v>0</v>
      </c>
      <c r="AD390" s="18">
        <v>0</v>
      </c>
      <c r="AE390" s="18">
        <v>0</v>
      </c>
      <c r="AF390" s="18">
        <v>0</v>
      </c>
      <c r="AG390" s="18">
        <v>0</v>
      </c>
      <c r="AH390" s="18">
        <v>7.8572900000000001E-2</v>
      </c>
      <c r="AI390" s="18">
        <v>0</v>
      </c>
      <c r="AJ390" s="18">
        <v>0</v>
      </c>
      <c r="AK390" s="18">
        <v>0</v>
      </c>
      <c r="AL390" s="18">
        <v>0</v>
      </c>
      <c r="AM390" s="18">
        <v>0</v>
      </c>
      <c r="AN390" s="18">
        <v>0</v>
      </c>
      <c r="AO390" s="18">
        <v>0</v>
      </c>
      <c r="AP390" s="18">
        <v>0</v>
      </c>
      <c r="AQ390" s="18">
        <v>0</v>
      </c>
      <c r="AR390" s="18">
        <v>0</v>
      </c>
      <c r="AS390" s="18">
        <v>0</v>
      </c>
      <c r="AT390" s="18">
        <v>3.2367777999999996</v>
      </c>
      <c r="AU390" s="18">
        <v>4.8309259000000004</v>
      </c>
      <c r="AV390" s="18">
        <v>4.9880000000000004</v>
      </c>
      <c r="AW390" s="40" t="s">
        <v>16</v>
      </c>
      <c r="AX390" s="40" t="s">
        <v>16</v>
      </c>
      <c r="AY390" s="40" t="s">
        <v>16</v>
      </c>
      <c r="AZ390" s="40" t="s">
        <v>16</v>
      </c>
      <c r="BA390" s="40" t="s">
        <v>16</v>
      </c>
      <c r="BB390" s="40" t="s">
        <v>16</v>
      </c>
      <c r="BC390" s="40" t="s">
        <v>16</v>
      </c>
      <c r="BD390" s="40" t="s">
        <v>16</v>
      </c>
      <c r="BE390" s="25">
        <v>8.0969630000000006</v>
      </c>
      <c r="BF390" s="18">
        <v>8.0969630000000006</v>
      </c>
      <c r="BG390" s="18">
        <v>8.093</v>
      </c>
      <c r="BH390" s="18">
        <v>6.8639999999999999</v>
      </c>
      <c r="BI390" s="18">
        <v>7.2169999999999996</v>
      </c>
      <c r="BJ390" s="18">
        <v>7.569</v>
      </c>
      <c r="BK390" s="34">
        <v>7.9219999999999997</v>
      </c>
      <c r="BL390" s="34">
        <v>9.1649999999999991</v>
      </c>
      <c r="BM390" s="34">
        <v>10.378</v>
      </c>
      <c r="BN390" s="34">
        <v>8.98</v>
      </c>
      <c r="BO390" s="34">
        <v>7.9219999999999997</v>
      </c>
      <c r="BP390" s="34">
        <v>7.9219999999999997</v>
      </c>
      <c r="BQ390" s="34">
        <v>8</v>
      </c>
      <c r="BR390" s="101"/>
      <c r="BS390">
        <f t="shared" si="795"/>
        <v>0</v>
      </c>
      <c r="BT390">
        <f t="shared" si="795"/>
        <v>0</v>
      </c>
      <c r="BU390">
        <f t="shared" si="795"/>
        <v>0</v>
      </c>
      <c r="BV390">
        <f t="shared" si="795"/>
        <v>0</v>
      </c>
      <c r="BW390">
        <f t="shared" si="795"/>
        <v>0</v>
      </c>
      <c r="BX390">
        <f t="shared" si="795"/>
        <v>0</v>
      </c>
      <c r="BY390">
        <f t="shared" si="795"/>
        <v>0</v>
      </c>
      <c r="BZ390">
        <f t="shared" si="795"/>
        <v>0</v>
      </c>
      <c r="CA390">
        <f t="shared" si="795"/>
        <v>0</v>
      </c>
      <c r="CB390">
        <f t="shared" si="795"/>
        <v>0</v>
      </c>
      <c r="CC390">
        <f t="shared" si="796"/>
        <v>0</v>
      </c>
      <c r="CD390">
        <f t="shared" si="796"/>
        <v>0</v>
      </c>
      <c r="CE390">
        <f t="shared" si="796"/>
        <v>0</v>
      </c>
      <c r="CF390">
        <f t="shared" si="796"/>
        <v>0</v>
      </c>
      <c r="CG390">
        <f t="shared" si="796"/>
        <v>0</v>
      </c>
      <c r="CH390">
        <f t="shared" si="796"/>
        <v>0</v>
      </c>
      <c r="CI390">
        <f t="shared" si="796"/>
        <v>0</v>
      </c>
      <c r="CJ390">
        <f t="shared" si="796"/>
        <v>0</v>
      </c>
      <c r="CK390">
        <f t="shared" si="796"/>
        <v>0</v>
      </c>
      <c r="CL390">
        <f t="shared" si="796"/>
        <v>0</v>
      </c>
      <c r="CM390">
        <f t="shared" si="797"/>
        <v>0</v>
      </c>
      <c r="CN390">
        <f t="shared" si="797"/>
        <v>0</v>
      </c>
      <c r="CO390">
        <f t="shared" si="797"/>
        <v>0</v>
      </c>
      <c r="CP390">
        <f t="shared" si="797"/>
        <v>0</v>
      </c>
      <c r="CQ390">
        <f t="shared" si="797"/>
        <v>0</v>
      </c>
      <c r="CR390">
        <f t="shared" si="797"/>
        <v>0</v>
      </c>
      <c r="CS390">
        <f t="shared" si="797"/>
        <v>0</v>
      </c>
      <c r="CT390">
        <f t="shared" si="797"/>
        <v>0</v>
      </c>
      <c r="CU390">
        <f t="shared" si="797"/>
        <v>0</v>
      </c>
      <c r="CV390">
        <f t="shared" si="797"/>
        <v>0</v>
      </c>
      <c r="CW390">
        <f t="shared" si="798"/>
        <v>0</v>
      </c>
      <c r="CX390">
        <f t="shared" si="798"/>
        <v>0</v>
      </c>
      <c r="CY390">
        <f t="shared" si="798"/>
        <v>0</v>
      </c>
      <c r="CZ390">
        <f t="shared" si="798"/>
        <v>0</v>
      </c>
      <c r="DA390">
        <f t="shared" si="798"/>
        <v>0</v>
      </c>
      <c r="DB390">
        <f t="shared" si="798"/>
        <v>0</v>
      </c>
      <c r="DC390">
        <f t="shared" si="798"/>
        <v>0</v>
      </c>
      <c r="DD390">
        <f t="shared" si="798"/>
        <v>0</v>
      </c>
      <c r="DE390">
        <f t="shared" si="798"/>
        <v>0</v>
      </c>
      <c r="DF390">
        <f t="shared" si="798"/>
        <v>0</v>
      </c>
      <c r="DG390">
        <f t="shared" si="799"/>
        <v>0</v>
      </c>
      <c r="DH390">
        <f t="shared" si="799"/>
        <v>0</v>
      </c>
      <c r="DI390">
        <f t="shared" si="799"/>
        <v>0</v>
      </c>
      <c r="DJ390">
        <f t="shared" si="799"/>
        <v>0</v>
      </c>
      <c r="DK390">
        <f t="shared" si="799"/>
        <v>0</v>
      </c>
      <c r="DL390">
        <f t="shared" si="799"/>
        <v>0</v>
      </c>
      <c r="DM390">
        <f t="shared" si="799"/>
        <v>0</v>
      </c>
      <c r="DN390">
        <f t="shared" si="799"/>
        <v>0</v>
      </c>
      <c r="DO390">
        <f t="shared" si="799"/>
        <v>0</v>
      </c>
      <c r="DP390">
        <f t="shared" si="799"/>
        <v>0</v>
      </c>
      <c r="DQ390">
        <f t="shared" si="800"/>
        <v>0</v>
      </c>
      <c r="DR390">
        <f t="shared" si="800"/>
        <v>0</v>
      </c>
      <c r="DS390">
        <f t="shared" si="800"/>
        <v>0</v>
      </c>
      <c r="DT390">
        <f t="shared" si="800"/>
        <v>0</v>
      </c>
      <c r="DU390">
        <f t="shared" si="800"/>
        <v>0</v>
      </c>
      <c r="DV390">
        <f t="shared" si="800"/>
        <v>0</v>
      </c>
      <c r="DW390">
        <f t="shared" si="800"/>
        <v>0</v>
      </c>
      <c r="DX390">
        <f t="shared" si="800"/>
        <v>0</v>
      </c>
      <c r="DY390">
        <f t="shared" si="800"/>
        <v>0</v>
      </c>
      <c r="DZ390">
        <f t="shared" si="800"/>
        <v>0</v>
      </c>
      <c r="EA390">
        <f t="shared" si="801"/>
        <v>0</v>
      </c>
      <c r="EB390">
        <f t="shared" si="801"/>
        <v>0</v>
      </c>
      <c r="EC390">
        <f t="shared" si="801"/>
        <v>0</v>
      </c>
      <c r="ED390">
        <f t="shared" si="801"/>
        <v>0</v>
      </c>
      <c r="EE390">
        <f t="shared" si="801"/>
        <v>0</v>
      </c>
      <c r="EF390">
        <f t="shared" si="801"/>
        <v>0</v>
      </c>
    </row>
    <row r="391" spans="1:136" ht="15.5">
      <c r="A391" s="90"/>
      <c r="B391" s="53" t="s">
        <v>212</v>
      </c>
      <c r="C391" s="95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>
        <v>0</v>
      </c>
      <c r="AI391" s="18">
        <v>0</v>
      </c>
      <c r="AJ391" s="18">
        <v>0</v>
      </c>
      <c r="AK391" s="18">
        <v>0</v>
      </c>
      <c r="AL391" s="18">
        <v>0.3</v>
      </c>
      <c r="AM391" s="18">
        <v>6</v>
      </c>
      <c r="AN391" s="18">
        <v>6</v>
      </c>
      <c r="AO391" s="18">
        <v>8</v>
      </c>
      <c r="AP391" s="18">
        <v>8</v>
      </c>
      <c r="AQ391" s="18">
        <v>23</v>
      </c>
      <c r="AR391" s="18">
        <v>18</v>
      </c>
      <c r="AS391" s="18">
        <v>24</v>
      </c>
      <c r="AT391" s="18">
        <v>23</v>
      </c>
      <c r="AU391" s="18">
        <v>24</v>
      </c>
      <c r="AV391" s="18">
        <v>21</v>
      </c>
      <c r="AW391" s="18">
        <v>14</v>
      </c>
      <c r="AX391" s="18">
        <v>11</v>
      </c>
      <c r="AY391" s="18">
        <v>9</v>
      </c>
      <c r="AZ391" s="18">
        <v>7</v>
      </c>
      <c r="BA391" s="18">
        <v>5</v>
      </c>
      <c r="BB391" s="18">
        <v>4</v>
      </c>
      <c r="BC391" s="18">
        <v>5</v>
      </c>
      <c r="BD391" s="18">
        <v>2</v>
      </c>
      <c r="BE391" s="25">
        <v>4</v>
      </c>
      <c r="BF391" s="18">
        <v>2</v>
      </c>
      <c r="BG391" s="18">
        <v>5</v>
      </c>
      <c r="BH391" s="18">
        <v>2</v>
      </c>
      <c r="BI391" s="18">
        <v>3</v>
      </c>
      <c r="BJ391" s="18">
        <v>0.37037037037037035</v>
      </c>
      <c r="BK391" s="34">
        <v>0</v>
      </c>
      <c r="BL391" s="34">
        <v>29</v>
      </c>
      <c r="BM391" s="34">
        <v>44</v>
      </c>
      <c r="BN391" s="168">
        <v>41</v>
      </c>
      <c r="BO391" s="113">
        <v>30</v>
      </c>
      <c r="BP391" s="113">
        <v>26</v>
      </c>
      <c r="BQ391" s="113">
        <v>22</v>
      </c>
      <c r="BR391" s="101"/>
      <c r="BS391">
        <f t="shared" si="795"/>
        <v>0</v>
      </c>
      <c r="BT391">
        <f t="shared" si="795"/>
        <v>0</v>
      </c>
      <c r="BU391">
        <f t="shared" si="795"/>
        <v>0</v>
      </c>
      <c r="BV391">
        <f t="shared" si="795"/>
        <v>0</v>
      </c>
      <c r="BW391">
        <f t="shared" si="795"/>
        <v>0</v>
      </c>
      <c r="BX391">
        <f t="shared" si="795"/>
        <v>0</v>
      </c>
      <c r="BY391">
        <f t="shared" si="795"/>
        <v>0</v>
      </c>
      <c r="BZ391">
        <f t="shared" si="795"/>
        <v>0</v>
      </c>
      <c r="CA391">
        <f t="shared" si="795"/>
        <v>0</v>
      </c>
      <c r="CB391">
        <f t="shared" si="795"/>
        <v>0</v>
      </c>
      <c r="CC391">
        <f t="shared" si="796"/>
        <v>0</v>
      </c>
      <c r="CD391">
        <f t="shared" si="796"/>
        <v>0</v>
      </c>
      <c r="CE391">
        <f t="shared" si="796"/>
        <v>0</v>
      </c>
      <c r="CF391">
        <f t="shared" si="796"/>
        <v>0</v>
      </c>
      <c r="CG391">
        <f t="shared" si="796"/>
        <v>0</v>
      </c>
      <c r="CH391">
        <f t="shared" si="796"/>
        <v>0</v>
      </c>
      <c r="CI391">
        <f t="shared" si="796"/>
        <v>0</v>
      </c>
      <c r="CJ391">
        <f t="shared" si="796"/>
        <v>0</v>
      </c>
      <c r="CK391">
        <f t="shared" si="796"/>
        <v>0</v>
      </c>
      <c r="CL391">
        <f t="shared" si="796"/>
        <v>0</v>
      </c>
      <c r="CM391">
        <f t="shared" si="797"/>
        <v>0</v>
      </c>
      <c r="CN391">
        <f t="shared" si="797"/>
        <v>0</v>
      </c>
      <c r="CO391">
        <f t="shared" si="797"/>
        <v>0</v>
      </c>
      <c r="CP391">
        <f t="shared" si="797"/>
        <v>0</v>
      </c>
      <c r="CQ391">
        <f t="shared" si="797"/>
        <v>0</v>
      </c>
      <c r="CR391">
        <f t="shared" si="797"/>
        <v>0</v>
      </c>
      <c r="CS391">
        <f t="shared" si="797"/>
        <v>0</v>
      </c>
      <c r="CT391">
        <f t="shared" si="797"/>
        <v>0</v>
      </c>
      <c r="CU391">
        <f t="shared" si="797"/>
        <v>0</v>
      </c>
      <c r="CV391">
        <f t="shared" si="797"/>
        <v>0</v>
      </c>
      <c r="CW391">
        <f t="shared" si="798"/>
        <v>0</v>
      </c>
      <c r="CX391">
        <f t="shared" si="798"/>
        <v>0</v>
      </c>
      <c r="CY391">
        <f t="shared" si="798"/>
        <v>0</v>
      </c>
      <c r="CZ391">
        <f t="shared" si="798"/>
        <v>0</v>
      </c>
      <c r="DA391">
        <f t="shared" si="798"/>
        <v>0</v>
      </c>
      <c r="DB391">
        <f t="shared" si="798"/>
        <v>0</v>
      </c>
      <c r="DC391">
        <f t="shared" si="798"/>
        <v>0</v>
      </c>
      <c r="DD391">
        <f t="shared" si="798"/>
        <v>0</v>
      </c>
      <c r="DE391">
        <f t="shared" si="798"/>
        <v>0</v>
      </c>
      <c r="DF391">
        <f t="shared" si="798"/>
        <v>0</v>
      </c>
      <c r="DG391">
        <f t="shared" si="799"/>
        <v>0</v>
      </c>
      <c r="DH391">
        <f t="shared" si="799"/>
        <v>0</v>
      </c>
      <c r="DI391">
        <f t="shared" si="799"/>
        <v>0</v>
      </c>
      <c r="DJ391">
        <f t="shared" si="799"/>
        <v>0</v>
      </c>
      <c r="DK391">
        <f t="shared" si="799"/>
        <v>0</v>
      </c>
      <c r="DL391">
        <f t="shared" si="799"/>
        <v>0</v>
      </c>
      <c r="DM391">
        <f t="shared" si="799"/>
        <v>0</v>
      </c>
      <c r="DN391">
        <f t="shared" si="799"/>
        <v>0</v>
      </c>
      <c r="DO391">
        <f t="shared" si="799"/>
        <v>0</v>
      </c>
      <c r="DP391">
        <f t="shared" si="799"/>
        <v>0</v>
      </c>
      <c r="DQ391">
        <f t="shared" si="800"/>
        <v>0</v>
      </c>
      <c r="DR391">
        <f t="shared" si="800"/>
        <v>0</v>
      </c>
      <c r="DS391">
        <f t="shared" si="800"/>
        <v>0</v>
      </c>
      <c r="DT391">
        <f t="shared" si="800"/>
        <v>0</v>
      </c>
      <c r="DU391">
        <f t="shared" si="800"/>
        <v>0</v>
      </c>
      <c r="DV391">
        <f t="shared" si="800"/>
        <v>0</v>
      </c>
      <c r="DW391">
        <f t="shared" si="800"/>
        <v>0</v>
      </c>
      <c r="DX391">
        <f t="shared" si="800"/>
        <v>0</v>
      </c>
      <c r="DY391">
        <f t="shared" si="800"/>
        <v>0</v>
      </c>
      <c r="DZ391">
        <f t="shared" si="800"/>
        <v>0</v>
      </c>
      <c r="EA391">
        <f t="shared" ref="EA391:EF391" si="802">IF($C391&lt;&gt;"",IF(BL391&gt;0,1,0),0)</f>
        <v>0</v>
      </c>
      <c r="EB391">
        <f t="shared" si="802"/>
        <v>0</v>
      </c>
      <c r="EC391">
        <f t="shared" si="802"/>
        <v>0</v>
      </c>
      <c r="ED391">
        <f t="shared" si="802"/>
        <v>0</v>
      </c>
      <c r="EE391">
        <f t="shared" si="802"/>
        <v>0</v>
      </c>
      <c r="EF391">
        <f t="shared" si="802"/>
        <v>0</v>
      </c>
    </row>
    <row r="392" spans="1:136" ht="15.5">
      <c r="A392" s="90"/>
      <c r="B392" s="53"/>
      <c r="C392" s="95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63"/>
      <c r="AA392" s="63"/>
      <c r="AB392" s="63"/>
      <c r="AC392" s="63"/>
      <c r="AD392" s="63"/>
      <c r="AE392" s="63"/>
      <c r="AF392" s="63"/>
      <c r="AG392" s="63"/>
      <c r="AH392" s="63"/>
      <c r="AI392" s="63"/>
      <c r="AJ392" s="63"/>
      <c r="AK392" s="63"/>
      <c r="AL392" s="63"/>
      <c r="AM392" s="20"/>
      <c r="AN392" s="20"/>
      <c r="AO392" s="20"/>
      <c r="AP392" s="20"/>
      <c r="AQ392" s="20"/>
      <c r="AR392" s="20"/>
      <c r="AS392" s="63"/>
      <c r="AT392" s="63"/>
      <c r="AU392" s="63"/>
      <c r="AV392" s="63"/>
      <c r="AW392" s="63"/>
      <c r="AX392" s="63"/>
      <c r="AY392" s="18"/>
      <c r="AZ392" s="18"/>
      <c r="BA392" s="18"/>
      <c r="BB392" s="18"/>
      <c r="BC392" s="18"/>
      <c r="BD392" s="18"/>
      <c r="BE392" s="25"/>
      <c r="BF392" s="18"/>
      <c r="BG392" s="18"/>
      <c r="BH392" s="2"/>
      <c r="BI392" s="2"/>
      <c r="BJ392" s="2"/>
      <c r="BK392" s="2"/>
      <c r="BL392" s="9"/>
      <c r="BM392" s="2"/>
      <c r="BN392" s="2"/>
      <c r="BO392" s="2"/>
      <c r="BP392" s="2"/>
      <c r="BQ392" s="2"/>
      <c r="BR392" s="101"/>
    </row>
    <row r="393" spans="1:136" ht="15.5">
      <c r="A393" s="93">
        <v>46</v>
      </c>
      <c r="B393" s="52" t="s">
        <v>59</v>
      </c>
      <c r="C393" s="95">
        <v>3</v>
      </c>
      <c r="D393" s="9">
        <f t="shared" ref="D393:AI393" si="803">SUM(D394:D400)</f>
        <v>1</v>
      </c>
      <c r="E393" s="9">
        <f t="shared" si="803"/>
        <v>13.5</v>
      </c>
      <c r="F393" s="9">
        <f t="shared" si="803"/>
        <v>15</v>
      </c>
      <c r="G393" s="9">
        <f t="shared" si="803"/>
        <v>34</v>
      </c>
      <c r="H393" s="9">
        <f t="shared" si="803"/>
        <v>61</v>
      </c>
      <c r="I393" s="9">
        <f t="shared" si="803"/>
        <v>4</v>
      </c>
      <c r="J393" s="9">
        <f t="shared" si="803"/>
        <v>24</v>
      </c>
      <c r="K393" s="9">
        <f t="shared" si="803"/>
        <v>47</v>
      </c>
      <c r="L393" s="9">
        <f t="shared" si="803"/>
        <v>39</v>
      </c>
      <c r="M393" s="9">
        <f t="shared" si="803"/>
        <v>19</v>
      </c>
      <c r="N393" s="9">
        <f t="shared" si="803"/>
        <v>0.72899999999999998</v>
      </c>
      <c r="O393" s="9">
        <f t="shared" si="803"/>
        <v>3.0209999999999999</v>
      </c>
      <c r="P393" s="9">
        <f t="shared" si="803"/>
        <v>4.26</v>
      </c>
      <c r="Q393" s="9">
        <f t="shared" si="803"/>
        <v>1.734</v>
      </c>
      <c r="R393" s="9">
        <f t="shared" si="803"/>
        <v>2.2669999999999999</v>
      </c>
      <c r="S393" s="9">
        <f t="shared" si="803"/>
        <v>4.1560000000000006</v>
      </c>
      <c r="T393" s="9">
        <f t="shared" si="803"/>
        <v>9.2080000000000002</v>
      </c>
      <c r="U393" s="9">
        <f t="shared" si="803"/>
        <v>17.372</v>
      </c>
      <c r="V393" s="9">
        <f t="shared" si="803"/>
        <v>19.346</v>
      </c>
      <c r="W393" s="9">
        <f t="shared" si="803"/>
        <v>11.42</v>
      </c>
      <c r="X393" s="9">
        <f t="shared" si="803"/>
        <v>26.071761599999999</v>
      </c>
      <c r="Y393" s="9">
        <f t="shared" si="803"/>
        <v>34.036757999999999</v>
      </c>
      <c r="Z393" s="9">
        <f t="shared" si="803"/>
        <v>564.34043870000005</v>
      </c>
      <c r="AA393" s="9">
        <f t="shared" si="803"/>
        <v>572.8679681000001</v>
      </c>
      <c r="AB393" s="9">
        <f t="shared" si="803"/>
        <v>235.31245419999999</v>
      </c>
      <c r="AC393" s="9">
        <f t="shared" si="803"/>
        <v>1082</v>
      </c>
      <c r="AD393" s="9">
        <f t="shared" si="803"/>
        <v>990.5055354000001</v>
      </c>
      <c r="AE393" s="9">
        <f t="shared" si="803"/>
        <v>1207.4391989000001</v>
      </c>
      <c r="AF393" s="9">
        <f t="shared" si="803"/>
        <v>1389.5084844744999</v>
      </c>
      <c r="AG393" s="9">
        <f t="shared" si="803"/>
        <v>1550.5427970156793</v>
      </c>
      <c r="AH393" s="9">
        <f t="shared" si="803"/>
        <v>1958.6241559503651</v>
      </c>
      <c r="AI393" s="9">
        <f t="shared" si="803"/>
        <v>2119.2839811514368</v>
      </c>
      <c r="AJ393" s="9">
        <f t="shared" ref="AJ393:BQ393" si="804">SUM(AJ394:AJ400)</f>
        <v>1634.60298423519</v>
      </c>
      <c r="AK393" s="9">
        <f t="shared" si="804"/>
        <v>1756.2383339255523</v>
      </c>
      <c r="AL393" s="9">
        <f t="shared" si="804"/>
        <v>1683</v>
      </c>
      <c r="AM393" s="9">
        <f t="shared" si="804"/>
        <v>444.20500000000004</v>
      </c>
      <c r="AN393" s="9">
        <f t="shared" si="804"/>
        <v>1022.9317247</v>
      </c>
      <c r="AO393" s="9">
        <f t="shared" si="804"/>
        <v>1001.6501357</v>
      </c>
      <c r="AP393" s="9">
        <f t="shared" si="804"/>
        <v>929.54567959999997</v>
      </c>
      <c r="AQ393" s="9">
        <f t="shared" si="804"/>
        <v>942.1165274</v>
      </c>
      <c r="AR393" s="9">
        <f t="shared" si="804"/>
        <v>448.07083669999997</v>
      </c>
      <c r="AS393" s="9">
        <f t="shared" si="804"/>
        <v>435.97133409999998</v>
      </c>
      <c r="AT393" s="9">
        <f t="shared" si="804"/>
        <v>463.92987849999997</v>
      </c>
      <c r="AU393" s="9">
        <f t="shared" si="804"/>
        <v>650.69242610000003</v>
      </c>
      <c r="AV393" s="9">
        <f t="shared" si="804"/>
        <v>1412.452</v>
      </c>
      <c r="AW393" s="9">
        <f t="shared" si="804"/>
        <v>1570.931</v>
      </c>
      <c r="AX393" s="9">
        <f t="shared" si="804"/>
        <v>51.581283400000004</v>
      </c>
      <c r="AY393" s="9">
        <f t="shared" si="804"/>
        <v>22.056158099999998</v>
      </c>
      <c r="AZ393" s="9">
        <f t="shared" si="804"/>
        <v>17.5360269</v>
      </c>
      <c r="BA393" s="9">
        <f t="shared" si="804"/>
        <v>9.2354499999999992E-2</v>
      </c>
      <c r="BB393" s="9">
        <f t="shared" si="804"/>
        <v>0.107067</v>
      </c>
      <c r="BC393" s="9">
        <f t="shared" si="804"/>
        <v>0.36072720000000003</v>
      </c>
      <c r="BD393" s="9">
        <f t="shared" si="804"/>
        <v>0.38145800000000002</v>
      </c>
      <c r="BE393" s="9">
        <f t="shared" si="804"/>
        <v>0.42172940000000003</v>
      </c>
      <c r="BF393" s="9">
        <f t="shared" si="804"/>
        <v>2.5389305000000002</v>
      </c>
      <c r="BG393" s="9">
        <f t="shared" si="804"/>
        <v>2089.5864639000001</v>
      </c>
      <c r="BH393" s="9">
        <f t="shared" si="804"/>
        <v>2.5884399</v>
      </c>
      <c r="BI393" s="9">
        <f t="shared" si="804"/>
        <v>14.0553191</v>
      </c>
      <c r="BJ393" s="9">
        <f t="shared" si="804"/>
        <v>6.8849999999999998</v>
      </c>
      <c r="BK393" s="9">
        <f t="shared" si="804"/>
        <v>6.8849999999999998</v>
      </c>
      <c r="BL393" s="9">
        <f t="shared" si="804"/>
        <v>23.073</v>
      </c>
      <c r="BM393" s="9">
        <f t="shared" si="804"/>
        <v>31.14</v>
      </c>
      <c r="BN393" s="9">
        <f t="shared" si="804"/>
        <v>33.072000000000003</v>
      </c>
      <c r="BO393" s="9">
        <f t="shared" si="804"/>
        <v>33</v>
      </c>
      <c r="BP393" s="9">
        <f t="shared" si="804"/>
        <v>33</v>
      </c>
      <c r="BQ393" s="9">
        <f t="shared" si="804"/>
        <v>0</v>
      </c>
      <c r="BR393" s="101"/>
      <c r="BS393">
        <f t="shared" ref="BS393:CX393" si="805">IF($C393&lt;&gt;"",IF(D393&gt;0,1,0),0)</f>
        <v>1</v>
      </c>
      <c r="BT393">
        <f t="shared" si="805"/>
        <v>1</v>
      </c>
      <c r="BU393">
        <f t="shared" si="805"/>
        <v>1</v>
      </c>
      <c r="BV393">
        <f t="shared" si="805"/>
        <v>1</v>
      </c>
      <c r="BW393">
        <f t="shared" si="805"/>
        <v>1</v>
      </c>
      <c r="BX393">
        <f t="shared" si="805"/>
        <v>1</v>
      </c>
      <c r="BY393">
        <f t="shared" si="805"/>
        <v>1</v>
      </c>
      <c r="BZ393">
        <f t="shared" si="805"/>
        <v>1</v>
      </c>
      <c r="CA393">
        <f t="shared" si="805"/>
        <v>1</v>
      </c>
      <c r="CB393">
        <f t="shared" si="805"/>
        <v>1</v>
      </c>
      <c r="CC393">
        <f t="shared" si="805"/>
        <v>1</v>
      </c>
      <c r="CD393">
        <f t="shared" si="805"/>
        <v>1</v>
      </c>
      <c r="CE393">
        <f t="shared" si="805"/>
        <v>1</v>
      </c>
      <c r="CF393">
        <f t="shared" si="805"/>
        <v>1</v>
      </c>
      <c r="CG393">
        <f t="shared" si="805"/>
        <v>1</v>
      </c>
      <c r="CH393">
        <f t="shared" si="805"/>
        <v>1</v>
      </c>
      <c r="CI393">
        <f t="shared" si="805"/>
        <v>1</v>
      </c>
      <c r="CJ393">
        <f t="shared" si="805"/>
        <v>1</v>
      </c>
      <c r="CK393">
        <f t="shared" si="805"/>
        <v>1</v>
      </c>
      <c r="CL393">
        <f t="shared" si="805"/>
        <v>1</v>
      </c>
      <c r="CM393">
        <f t="shared" si="805"/>
        <v>1</v>
      </c>
      <c r="CN393">
        <f t="shared" si="805"/>
        <v>1</v>
      </c>
      <c r="CO393">
        <f t="shared" si="805"/>
        <v>1</v>
      </c>
      <c r="CP393">
        <f t="shared" si="805"/>
        <v>1</v>
      </c>
      <c r="CQ393">
        <f t="shared" si="805"/>
        <v>1</v>
      </c>
      <c r="CR393">
        <f t="shared" si="805"/>
        <v>1</v>
      </c>
      <c r="CS393">
        <f t="shared" si="805"/>
        <v>1</v>
      </c>
      <c r="CT393">
        <f t="shared" si="805"/>
        <v>1</v>
      </c>
      <c r="CU393">
        <f t="shared" si="805"/>
        <v>1</v>
      </c>
      <c r="CV393">
        <f t="shared" si="805"/>
        <v>1</v>
      </c>
      <c r="CW393">
        <f t="shared" si="805"/>
        <v>1</v>
      </c>
      <c r="CX393">
        <f t="shared" si="805"/>
        <v>1</v>
      </c>
      <c r="CY393">
        <f t="shared" ref="CY393:ED393" si="806">IF($C393&lt;&gt;"",IF(AJ393&gt;0,1,0),0)</f>
        <v>1</v>
      </c>
      <c r="CZ393">
        <f t="shared" si="806"/>
        <v>1</v>
      </c>
      <c r="DA393">
        <f t="shared" si="806"/>
        <v>1</v>
      </c>
      <c r="DB393">
        <f t="shared" si="806"/>
        <v>1</v>
      </c>
      <c r="DC393">
        <f t="shared" si="806"/>
        <v>1</v>
      </c>
      <c r="DD393">
        <f t="shared" si="806"/>
        <v>1</v>
      </c>
      <c r="DE393">
        <f t="shared" si="806"/>
        <v>1</v>
      </c>
      <c r="DF393">
        <f t="shared" si="806"/>
        <v>1</v>
      </c>
      <c r="DG393">
        <f t="shared" si="806"/>
        <v>1</v>
      </c>
      <c r="DH393">
        <f t="shared" si="806"/>
        <v>1</v>
      </c>
      <c r="DI393">
        <f t="shared" si="806"/>
        <v>1</v>
      </c>
      <c r="DJ393">
        <f t="shared" si="806"/>
        <v>1</v>
      </c>
      <c r="DK393">
        <f t="shared" si="806"/>
        <v>1</v>
      </c>
      <c r="DL393">
        <f t="shared" si="806"/>
        <v>1</v>
      </c>
      <c r="DM393">
        <f t="shared" si="806"/>
        <v>1</v>
      </c>
      <c r="DN393">
        <f t="shared" si="806"/>
        <v>1</v>
      </c>
      <c r="DO393">
        <f t="shared" si="806"/>
        <v>1</v>
      </c>
      <c r="DP393">
        <f t="shared" si="806"/>
        <v>1</v>
      </c>
      <c r="DQ393">
        <f t="shared" si="806"/>
        <v>1</v>
      </c>
      <c r="DR393">
        <f t="shared" si="806"/>
        <v>1</v>
      </c>
      <c r="DS393">
        <f t="shared" si="806"/>
        <v>1</v>
      </c>
      <c r="DT393">
        <f t="shared" si="806"/>
        <v>1</v>
      </c>
      <c r="DU393">
        <f t="shared" si="806"/>
        <v>1</v>
      </c>
      <c r="DV393">
        <f t="shared" si="806"/>
        <v>1</v>
      </c>
      <c r="DW393">
        <f t="shared" si="806"/>
        <v>1</v>
      </c>
      <c r="DX393">
        <f t="shared" si="806"/>
        <v>1</v>
      </c>
      <c r="DY393">
        <f t="shared" si="806"/>
        <v>1</v>
      </c>
      <c r="DZ393">
        <f t="shared" si="806"/>
        <v>1</v>
      </c>
      <c r="EA393">
        <f t="shared" si="806"/>
        <v>1</v>
      </c>
      <c r="EB393">
        <f t="shared" si="806"/>
        <v>1</v>
      </c>
      <c r="EC393">
        <f t="shared" si="806"/>
        <v>1</v>
      </c>
      <c r="ED393">
        <f t="shared" si="806"/>
        <v>1</v>
      </c>
      <c r="EE393">
        <f t="shared" ref="EE393:EF393" si="807">IF($C393&lt;&gt;"",IF(BP393&gt;0,1,0),0)</f>
        <v>1</v>
      </c>
      <c r="EF393">
        <f t="shared" si="807"/>
        <v>0</v>
      </c>
    </row>
    <row r="394" spans="1:136" ht="15.5">
      <c r="A394" s="90"/>
      <c r="B394" s="24" t="s">
        <v>15</v>
      </c>
      <c r="C394" s="95"/>
      <c r="D394" s="34">
        <v>0</v>
      </c>
      <c r="E394" s="34">
        <v>0</v>
      </c>
      <c r="F394" s="34">
        <v>0</v>
      </c>
      <c r="G394" s="34">
        <v>0</v>
      </c>
      <c r="H394" s="34">
        <v>0</v>
      </c>
      <c r="I394" s="34">
        <v>0</v>
      </c>
      <c r="J394" s="34">
        <v>0</v>
      </c>
      <c r="K394" s="34">
        <v>20</v>
      </c>
      <c r="L394" s="36">
        <v>0</v>
      </c>
      <c r="M394" s="36">
        <v>0</v>
      </c>
      <c r="N394" s="36">
        <v>0</v>
      </c>
      <c r="O394" s="36">
        <v>0</v>
      </c>
      <c r="P394" s="36">
        <v>0</v>
      </c>
      <c r="Q394" s="36">
        <v>0</v>
      </c>
      <c r="R394" s="36">
        <v>0</v>
      </c>
      <c r="S394" s="36">
        <v>0</v>
      </c>
      <c r="T394" s="36">
        <v>0</v>
      </c>
      <c r="U394" s="36">
        <v>0</v>
      </c>
      <c r="V394" s="36">
        <v>0</v>
      </c>
      <c r="W394" s="36">
        <v>0</v>
      </c>
      <c r="X394" s="36">
        <v>0</v>
      </c>
      <c r="Y394" s="36">
        <v>0</v>
      </c>
      <c r="Z394" s="36">
        <v>0</v>
      </c>
      <c r="AA394" s="36">
        <v>0</v>
      </c>
      <c r="AB394" s="36">
        <v>0</v>
      </c>
      <c r="AC394" s="36">
        <v>0</v>
      </c>
      <c r="AD394" s="36">
        <v>0</v>
      </c>
      <c r="AE394" s="36">
        <v>0</v>
      </c>
      <c r="AF394" s="36">
        <v>0</v>
      </c>
      <c r="AG394" s="36">
        <v>0</v>
      </c>
      <c r="AH394" s="36">
        <v>0</v>
      </c>
      <c r="AI394" s="36">
        <v>0</v>
      </c>
      <c r="AJ394" s="36">
        <v>0</v>
      </c>
      <c r="AK394" s="36">
        <v>0</v>
      </c>
      <c r="AL394" s="36">
        <v>0</v>
      </c>
      <c r="AM394" s="36">
        <v>0</v>
      </c>
      <c r="AN394" s="36">
        <v>0</v>
      </c>
      <c r="AO394" s="36">
        <v>0</v>
      </c>
      <c r="AP394" s="36">
        <v>0</v>
      </c>
      <c r="AQ394" s="36">
        <v>0</v>
      </c>
      <c r="AR394" s="36">
        <v>0</v>
      </c>
      <c r="AS394" s="36">
        <v>0</v>
      </c>
      <c r="AT394" s="36">
        <v>0</v>
      </c>
      <c r="AU394" s="36">
        <v>0</v>
      </c>
      <c r="AV394" s="36">
        <v>0</v>
      </c>
      <c r="AW394" s="36">
        <v>0</v>
      </c>
      <c r="AX394" s="36">
        <v>0</v>
      </c>
      <c r="AY394" s="36">
        <v>0</v>
      </c>
      <c r="AZ394" s="36">
        <v>0</v>
      </c>
      <c r="BA394" s="36">
        <v>0</v>
      </c>
      <c r="BB394" s="36">
        <v>0</v>
      </c>
      <c r="BC394" s="36">
        <v>0</v>
      </c>
      <c r="BD394" s="36">
        <v>0</v>
      </c>
      <c r="BE394" s="36">
        <v>0</v>
      </c>
      <c r="BF394" s="36">
        <v>0</v>
      </c>
      <c r="BG394" s="36">
        <v>0</v>
      </c>
      <c r="BH394" s="36">
        <v>0</v>
      </c>
      <c r="BI394" s="36">
        <v>0</v>
      </c>
      <c r="BJ394" s="113">
        <v>0</v>
      </c>
      <c r="BK394" s="113">
        <v>0</v>
      </c>
      <c r="BL394" s="113">
        <v>0</v>
      </c>
      <c r="BM394" s="113">
        <v>0</v>
      </c>
      <c r="BN394" s="113">
        <v>0</v>
      </c>
      <c r="BO394" s="113">
        <v>0</v>
      </c>
      <c r="BP394" s="113">
        <v>0</v>
      </c>
      <c r="BQ394" s="113">
        <v>0</v>
      </c>
      <c r="BR394" s="101"/>
      <c r="BS394">
        <f t="shared" ref="BS394:CB401" si="808">IF($C394&lt;&gt;"",IF(D394&gt;0,1,0),0)</f>
        <v>0</v>
      </c>
      <c r="BT394">
        <f t="shared" si="808"/>
        <v>0</v>
      </c>
      <c r="BU394">
        <f t="shared" si="808"/>
        <v>0</v>
      </c>
      <c r="BV394">
        <f t="shared" si="808"/>
        <v>0</v>
      </c>
      <c r="BW394">
        <f t="shared" si="808"/>
        <v>0</v>
      </c>
      <c r="BX394">
        <f t="shared" si="808"/>
        <v>0</v>
      </c>
      <c r="BY394">
        <f t="shared" si="808"/>
        <v>0</v>
      </c>
      <c r="BZ394">
        <f t="shared" si="808"/>
        <v>0</v>
      </c>
      <c r="CA394">
        <f t="shared" si="808"/>
        <v>0</v>
      </c>
      <c r="CB394">
        <f t="shared" si="808"/>
        <v>0</v>
      </c>
      <c r="CC394">
        <f t="shared" ref="CC394:CL401" si="809">IF($C394&lt;&gt;"",IF(N394&gt;0,1,0),0)</f>
        <v>0</v>
      </c>
      <c r="CD394">
        <f t="shared" si="809"/>
        <v>0</v>
      </c>
      <c r="CE394">
        <f t="shared" si="809"/>
        <v>0</v>
      </c>
      <c r="CF394">
        <f t="shared" si="809"/>
        <v>0</v>
      </c>
      <c r="CG394">
        <f t="shared" si="809"/>
        <v>0</v>
      </c>
      <c r="CH394">
        <f t="shared" si="809"/>
        <v>0</v>
      </c>
      <c r="CI394">
        <f t="shared" si="809"/>
        <v>0</v>
      </c>
      <c r="CJ394">
        <f t="shared" si="809"/>
        <v>0</v>
      </c>
      <c r="CK394">
        <f t="shared" si="809"/>
        <v>0</v>
      </c>
      <c r="CL394">
        <f t="shared" si="809"/>
        <v>0</v>
      </c>
      <c r="CM394">
        <f t="shared" ref="CM394:CV401" si="810">IF($C394&lt;&gt;"",IF(X394&gt;0,1,0),0)</f>
        <v>0</v>
      </c>
      <c r="CN394">
        <f t="shared" si="810"/>
        <v>0</v>
      </c>
      <c r="CO394">
        <f t="shared" si="810"/>
        <v>0</v>
      </c>
      <c r="CP394">
        <f t="shared" si="810"/>
        <v>0</v>
      </c>
      <c r="CQ394">
        <f t="shared" si="810"/>
        <v>0</v>
      </c>
      <c r="CR394">
        <f t="shared" si="810"/>
        <v>0</v>
      </c>
      <c r="CS394">
        <f t="shared" si="810"/>
        <v>0</v>
      </c>
      <c r="CT394">
        <f t="shared" si="810"/>
        <v>0</v>
      </c>
      <c r="CU394">
        <f t="shared" si="810"/>
        <v>0</v>
      </c>
      <c r="CV394">
        <f t="shared" si="810"/>
        <v>0</v>
      </c>
      <c r="CW394">
        <f t="shared" ref="CW394:DF401" si="811">IF($C394&lt;&gt;"",IF(AH394&gt;0,1,0),0)</f>
        <v>0</v>
      </c>
      <c r="CX394">
        <f t="shared" si="811"/>
        <v>0</v>
      </c>
      <c r="CY394">
        <f t="shared" si="811"/>
        <v>0</v>
      </c>
      <c r="CZ394">
        <f t="shared" si="811"/>
        <v>0</v>
      </c>
      <c r="DA394">
        <f t="shared" si="811"/>
        <v>0</v>
      </c>
      <c r="DB394">
        <f t="shared" si="811"/>
        <v>0</v>
      </c>
      <c r="DC394">
        <f t="shared" si="811"/>
        <v>0</v>
      </c>
      <c r="DD394">
        <f t="shared" si="811"/>
        <v>0</v>
      </c>
      <c r="DE394">
        <f t="shared" si="811"/>
        <v>0</v>
      </c>
      <c r="DF394">
        <f t="shared" si="811"/>
        <v>0</v>
      </c>
      <c r="DG394">
        <f t="shared" ref="DG394:DP401" si="812">IF($C394&lt;&gt;"",IF(AR394&gt;0,1,0),0)</f>
        <v>0</v>
      </c>
      <c r="DH394">
        <f t="shared" si="812"/>
        <v>0</v>
      </c>
      <c r="DI394">
        <f t="shared" si="812"/>
        <v>0</v>
      </c>
      <c r="DJ394">
        <f t="shared" si="812"/>
        <v>0</v>
      </c>
      <c r="DK394">
        <f t="shared" si="812"/>
        <v>0</v>
      </c>
      <c r="DL394">
        <f t="shared" si="812"/>
        <v>0</v>
      </c>
      <c r="DM394">
        <f t="shared" si="812"/>
        <v>0</v>
      </c>
      <c r="DN394">
        <f t="shared" si="812"/>
        <v>0</v>
      </c>
      <c r="DO394">
        <f t="shared" si="812"/>
        <v>0</v>
      </c>
      <c r="DP394">
        <f t="shared" si="812"/>
        <v>0</v>
      </c>
      <c r="DQ394">
        <f t="shared" ref="DQ394:DZ401" si="813">IF($C394&lt;&gt;"",IF(BB394&gt;0,1,0),0)</f>
        <v>0</v>
      </c>
      <c r="DR394">
        <f t="shared" si="813"/>
        <v>0</v>
      </c>
      <c r="DS394">
        <f t="shared" si="813"/>
        <v>0</v>
      </c>
      <c r="DT394">
        <f t="shared" si="813"/>
        <v>0</v>
      </c>
      <c r="DU394">
        <f t="shared" si="813"/>
        <v>0</v>
      </c>
      <c r="DV394">
        <f t="shared" si="813"/>
        <v>0</v>
      </c>
      <c r="DW394">
        <f t="shared" si="813"/>
        <v>0</v>
      </c>
      <c r="DX394">
        <f t="shared" si="813"/>
        <v>0</v>
      </c>
      <c r="DY394">
        <f t="shared" si="813"/>
        <v>0</v>
      </c>
      <c r="DZ394">
        <f t="shared" si="813"/>
        <v>0</v>
      </c>
      <c r="EA394">
        <f t="shared" ref="EA394:EF400" si="814">IF($C394&lt;&gt;"",IF(BL393&gt;0,1,0),0)</f>
        <v>0</v>
      </c>
      <c r="EB394">
        <f t="shared" si="814"/>
        <v>0</v>
      </c>
      <c r="EC394">
        <f t="shared" si="814"/>
        <v>0</v>
      </c>
      <c r="ED394">
        <f t="shared" si="814"/>
        <v>0</v>
      </c>
      <c r="EE394">
        <f t="shared" si="814"/>
        <v>0</v>
      </c>
      <c r="EF394">
        <f t="shared" si="814"/>
        <v>0</v>
      </c>
    </row>
    <row r="395" spans="1:136" ht="15.5">
      <c r="A395" s="90"/>
      <c r="B395" s="19" t="s">
        <v>2</v>
      </c>
      <c r="C395" s="95"/>
      <c r="D395" s="18">
        <v>0</v>
      </c>
      <c r="E395" s="18">
        <v>0</v>
      </c>
      <c r="F395" s="18">
        <v>0</v>
      </c>
      <c r="G395" s="18">
        <v>0</v>
      </c>
      <c r="H395" s="18">
        <v>0</v>
      </c>
      <c r="I395" s="18">
        <v>0</v>
      </c>
      <c r="J395" s="18">
        <v>0</v>
      </c>
      <c r="K395" s="18">
        <v>0</v>
      </c>
      <c r="L395" s="18">
        <v>0</v>
      </c>
      <c r="M395" s="18">
        <v>0</v>
      </c>
      <c r="N395" s="34">
        <v>0</v>
      </c>
      <c r="O395" s="34">
        <v>0</v>
      </c>
      <c r="P395" s="34">
        <v>0</v>
      </c>
      <c r="Q395" s="34">
        <v>0</v>
      </c>
      <c r="R395" s="34">
        <v>0</v>
      </c>
      <c r="S395" s="34">
        <v>0</v>
      </c>
      <c r="T395" s="34">
        <v>0</v>
      </c>
      <c r="U395" s="34">
        <v>0</v>
      </c>
      <c r="V395" s="34">
        <v>0</v>
      </c>
      <c r="W395" s="34">
        <v>0</v>
      </c>
      <c r="X395" s="34">
        <v>0</v>
      </c>
      <c r="Y395" s="34">
        <v>0</v>
      </c>
      <c r="Z395" s="40" t="s">
        <v>16</v>
      </c>
      <c r="AA395" s="40" t="s">
        <v>16</v>
      </c>
      <c r="AB395" s="40" t="s">
        <v>16</v>
      </c>
      <c r="AC395" s="34">
        <v>287</v>
      </c>
      <c r="AD395" s="9"/>
      <c r="AE395" s="9"/>
      <c r="AF395" s="9"/>
      <c r="AG395" s="9"/>
      <c r="AH395" s="34">
        <v>734</v>
      </c>
      <c r="AI395" s="34">
        <v>845</v>
      </c>
      <c r="AJ395" s="34">
        <v>0</v>
      </c>
      <c r="AK395" s="34">
        <v>75</v>
      </c>
      <c r="AL395" s="34">
        <v>85</v>
      </c>
      <c r="AM395" s="34">
        <v>118</v>
      </c>
      <c r="AN395" s="34">
        <v>149</v>
      </c>
      <c r="AO395" s="34">
        <v>25</v>
      </c>
      <c r="AP395" s="34">
        <v>2.2999999999999998</v>
      </c>
      <c r="AQ395" s="34">
        <v>0.1</v>
      </c>
      <c r="AR395" s="34">
        <v>51.5</v>
      </c>
      <c r="AS395" s="34">
        <v>50.2</v>
      </c>
      <c r="AT395" s="34">
        <v>82.1</v>
      </c>
      <c r="AU395" s="40" t="s">
        <v>16</v>
      </c>
      <c r="AV395" s="34">
        <v>193</v>
      </c>
      <c r="AW395" s="18">
        <v>193</v>
      </c>
      <c r="AX395" s="34">
        <v>0</v>
      </c>
      <c r="AY395" s="34">
        <v>0</v>
      </c>
      <c r="AZ395" s="34">
        <v>0</v>
      </c>
      <c r="BA395" s="34">
        <v>0</v>
      </c>
      <c r="BB395" s="34">
        <v>0</v>
      </c>
      <c r="BC395" s="34">
        <v>0</v>
      </c>
      <c r="BD395" s="34">
        <v>0</v>
      </c>
      <c r="BE395" s="34">
        <v>0</v>
      </c>
      <c r="BF395" s="34">
        <v>0</v>
      </c>
      <c r="BG395" s="34">
        <v>0</v>
      </c>
      <c r="BH395" s="34">
        <v>0</v>
      </c>
      <c r="BI395" s="34">
        <v>0</v>
      </c>
      <c r="BJ395" s="113">
        <v>0</v>
      </c>
      <c r="BK395" s="113">
        <v>0</v>
      </c>
      <c r="BL395" s="113">
        <v>0</v>
      </c>
      <c r="BM395" s="113">
        <v>0</v>
      </c>
      <c r="BN395" s="113">
        <v>0</v>
      </c>
      <c r="BO395" s="113">
        <v>0</v>
      </c>
      <c r="BP395" s="113">
        <v>0</v>
      </c>
      <c r="BQ395" s="113">
        <v>0</v>
      </c>
      <c r="BR395" s="101"/>
      <c r="BS395">
        <f t="shared" si="808"/>
        <v>0</v>
      </c>
      <c r="BT395">
        <f t="shared" si="808"/>
        <v>0</v>
      </c>
      <c r="BU395">
        <f t="shared" si="808"/>
        <v>0</v>
      </c>
      <c r="BV395">
        <f t="shared" si="808"/>
        <v>0</v>
      </c>
      <c r="BW395">
        <f t="shared" si="808"/>
        <v>0</v>
      </c>
      <c r="BX395">
        <f t="shared" si="808"/>
        <v>0</v>
      </c>
      <c r="BY395">
        <f t="shared" si="808"/>
        <v>0</v>
      </c>
      <c r="BZ395">
        <f t="shared" si="808"/>
        <v>0</v>
      </c>
      <c r="CA395">
        <f t="shared" si="808"/>
        <v>0</v>
      </c>
      <c r="CB395">
        <f t="shared" si="808"/>
        <v>0</v>
      </c>
      <c r="CC395">
        <f t="shared" si="809"/>
        <v>0</v>
      </c>
      <c r="CD395">
        <f t="shared" si="809"/>
        <v>0</v>
      </c>
      <c r="CE395">
        <f t="shared" si="809"/>
        <v>0</v>
      </c>
      <c r="CF395">
        <f t="shared" si="809"/>
        <v>0</v>
      </c>
      <c r="CG395">
        <f t="shared" si="809"/>
        <v>0</v>
      </c>
      <c r="CH395">
        <f t="shared" si="809"/>
        <v>0</v>
      </c>
      <c r="CI395">
        <f t="shared" si="809"/>
        <v>0</v>
      </c>
      <c r="CJ395">
        <f t="shared" si="809"/>
        <v>0</v>
      </c>
      <c r="CK395">
        <f t="shared" si="809"/>
        <v>0</v>
      </c>
      <c r="CL395">
        <f t="shared" si="809"/>
        <v>0</v>
      </c>
      <c r="CM395">
        <f t="shared" si="810"/>
        <v>0</v>
      </c>
      <c r="CN395">
        <f t="shared" si="810"/>
        <v>0</v>
      </c>
      <c r="CO395">
        <f t="shared" si="810"/>
        <v>0</v>
      </c>
      <c r="CP395">
        <f t="shared" si="810"/>
        <v>0</v>
      </c>
      <c r="CQ395">
        <f t="shared" si="810"/>
        <v>0</v>
      </c>
      <c r="CR395">
        <f t="shared" si="810"/>
        <v>0</v>
      </c>
      <c r="CS395">
        <f t="shared" si="810"/>
        <v>0</v>
      </c>
      <c r="CT395">
        <f t="shared" si="810"/>
        <v>0</v>
      </c>
      <c r="CU395">
        <f t="shared" si="810"/>
        <v>0</v>
      </c>
      <c r="CV395">
        <f t="shared" si="810"/>
        <v>0</v>
      </c>
      <c r="CW395">
        <f t="shared" si="811"/>
        <v>0</v>
      </c>
      <c r="CX395">
        <f t="shared" si="811"/>
        <v>0</v>
      </c>
      <c r="CY395">
        <f t="shared" si="811"/>
        <v>0</v>
      </c>
      <c r="CZ395">
        <f t="shared" si="811"/>
        <v>0</v>
      </c>
      <c r="DA395">
        <f t="shared" si="811"/>
        <v>0</v>
      </c>
      <c r="DB395">
        <f t="shared" si="811"/>
        <v>0</v>
      </c>
      <c r="DC395">
        <f t="shared" si="811"/>
        <v>0</v>
      </c>
      <c r="DD395">
        <f t="shared" si="811"/>
        <v>0</v>
      </c>
      <c r="DE395">
        <f t="shared" si="811"/>
        <v>0</v>
      </c>
      <c r="DF395">
        <f t="shared" si="811"/>
        <v>0</v>
      </c>
      <c r="DG395">
        <f t="shared" si="812"/>
        <v>0</v>
      </c>
      <c r="DH395">
        <f t="shared" si="812"/>
        <v>0</v>
      </c>
      <c r="DI395">
        <f t="shared" si="812"/>
        <v>0</v>
      </c>
      <c r="DJ395">
        <f t="shared" si="812"/>
        <v>0</v>
      </c>
      <c r="DK395">
        <f t="shared" si="812"/>
        <v>0</v>
      </c>
      <c r="DL395">
        <f t="shared" si="812"/>
        <v>0</v>
      </c>
      <c r="DM395">
        <f t="shared" si="812"/>
        <v>0</v>
      </c>
      <c r="DN395">
        <f t="shared" si="812"/>
        <v>0</v>
      </c>
      <c r="DO395">
        <f t="shared" si="812"/>
        <v>0</v>
      </c>
      <c r="DP395">
        <f t="shared" si="812"/>
        <v>0</v>
      </c>
      <c r="DQ395">
        <f t="shared" si="813"/>
        <v>0</v>
      </c>
      <c r="DR395">
        <f t="shared" si="813"/>
        <v>0</v>
      </c>
      <c r="DS395">
        <f t="shared" si="813"/>
        <v>0</v>
      </c>
      <c r="DT395">
        <f t="shared" si="813"/>
        <v>0</v>
      </c>
      <c r="DU395">
        <f t="shared" si="813"/>
        <v>0</v>
      </c>
      <c r="DV395">
        <f t="shared" si="813"/>
        <v>0</v>
      </c>
      <c r="DW395">
        <f t="shared" si="813"/>
        <v>0</v>
      </c>
      <c r="DX395">
        <f t="shared" si="813"/>
        <v>0</v>
      </c>
      <c r="DY395">
        <f t="shared" si="813"/>
        <v>0</v>
      </c>
      <c r="DZ395">
        <f t="shared" si="813"/>
        <v>0</v>
      </c>
      <c r="EA395">
        <f t="shared" si="814"/>
        <v>0</v>
      </c>
      <c r="EB395">
        <f t="shared" si="814"/>
        <v>0</v>
      </c>
      <c r="EC395">
        <f t="shared" si="814"/>
        <v>0</v>
      </c>
      <c r="ED395">
        <f t="shared" si="814"/>
        <v>0</v>
      </c>
      <c r="EE395">
        <f t="shared" si="814"/>
        <v>0</v>
      </c>
      <c r="EF395">
        <f t="shared" si="814"/>
        <v>0</v>
      </c>
    </row>
    <row r="396" spans="1:136" ht="15.5">
      <c r="A396" s="90"/>
      <c r="B396" s="53" t="s">
        <v>3</v>
      </c>
      <c r="C396" s="96"/>
      <c r="D396" s="18">
        <v>0</v>
      </c>
      <c r="E396" s="18">
        <v>0</v>
      </c>
      <c r="F396" s="18">
        <v>0</v>
      </c>
      <c r="G396" s="18">
        <v>0</v>
      </c>
      <c r="H396" s="18">
        <v>0</v>
      </c>
      <c r="I396" s="18">
        <v>0</v>
      </c>
      <c r="J396" s="18">
        <v>0</v>
      </c>
      <c r="K396" s="18">
        <v>0</v>
      </c>
      <c r="L396" s="18">
        <v>0</v>
      </c>
      <c r="M396" s="18">
        <v>0</v>
      </c>
      <c r="N396" s="18">
        <v>0.20399999999999999</v>
      </c>
      <c r="O396" s="18">
        <v>2.496</v>
      </c>
      <c r="P396" s="18">
        <v>3.613</v>
      </c>
      <c r="Q396" s="18">
        <v>0.89700000000000002</v>
      </c>
      <c r="R396" s="18">
        <v>1.3779999999999999</v>
      </c>
      <c r="S396" s="18">
        <v>1.58</v>
      </c>
      <c r="T396" s="18">
        <v>1.6419999999999999</v>
      </c>
      <c r="U396" s="18">
        <v>1.72</v>
      </c>
      <c r="V396" s="18">
        <v>2.0259999999999998</v>
      </c>
      <c r="W396" s="18">
        <v>2.262</v>
      </c>
      <c r="X396" s="18">
        <v>7.3567615999999996</v>
      </c>
      <c r="Y396" s="63">
        <v>10.858758</v>
      </c>
      <c r="Z396" s="18">
        <v>15.7994387</v>
      </c>
      <c r="AA396" s="18">
        <v>42.648968100000005</v>
      </c>
      <c r="AB396" s="18">
        <v>131.31245419999999</v>
      </c>
      <c r="AC396" s="40" t="s">
        <v>16</v>
      </c>
      <c r="AD396" s="18">
        <v>121.8750354</v>
      </c>
      <c r="AE396" s="18">
        <v>272.49093339999996</v>
      </c>
      <c r="AF396" s="18">
        <v>378.09430600000002</v>
      </c>
      <c r="AG396" s="18">
        <v>441.45392830000003</v>
      </c>
      <c r="AH396" s="18">
        <v>24</v>
      </c>
      <c r="AI396" s="40" t="s">
        <v>16</v>
      </c>
      <c r="AJ396" s="18">
        <v>309.01021180000004</v>
      </c>
      <c r="AK396" s="18">
        <f>293-AK395</f>
        <v>218</v>
      </c>
      <c r="AL396" s="18">
        <f>476-AL395</f>
        <v>391</v>
      </c>
      <c r="AM396" s="63">
        <f>317-AM395</f>
        <v>199</v>
      </c>
      <c r="AN396" s="63">
        <f>444.6237247-AN395</f>
        <v>295.62372470000003</v>
      </c>
      <c r="AO396" s="63">
        <f>434.0371357-AO395</f>
        <v>409.03713570000002</v>
      </c>
      <c r="AP396" s="63">
        <f>344.6306796-AP395</f>
        <v>342.3306796</v>
      </c>
      <c r="AQ396" s="63">
        <v>344.79252739999998</v>
      </c>
      <c r="AR396" s="63">
        <f>75.1978367-AR395</f>
        <v>23.697836699999996</v>
      </c>
      <c r="AS396" s="63">
        <f>61.9953341-AS395</f>
        <v>11.795334099999998</v>
      </c>
      <c r="AT396" s="34">
        <f>98.3758785-AT395</f>
        <v>16.275878500000005</v>
      </c>
      <c r="AU396" s="34">
        <v>136.36842609999999</v>
      </c>
      <c r="AV396" s="18">
        <v>83</v>
      </c>
      <c r="AW396" s="18">
        <v>34</v>
      </c>
      <c r="AX396" s="34">
        <v>23.004639399999999</v>
      </c>
      <c r="AY396" s="34">
        <v>9.0951170000000001</v>
      </c>
      <c r="AZ396" s="34">
        <v>17.469026899999999</v>
      </c>
      <c r="BA396" s="34">
        <v>8.0354499999999995E-2</v>
      </c>
      <c r="BB396" s="34">
        <v>0.107067</v>
      </c>
      <c r="BC396" s="34">
        <v>0.36072720000000003</v>
      </c>
      <c r="BD396" s="34">
        <v>0.38145800000000002</v>
      </c>
      <c r="BE396" s="42">
        <v>0.42172940000000003</v>
      </c>
      <c r="BF396" s="34">
        <v>2.4749305000000001</v>
      </c>
      <c r="BG396" s="34">
        <v>2089.5224639000003</v>
      </c>
      <c r="BH396" s="34">
        <v>2.5244399</v>
      </c>
      <c r="BI396" s="34">
        <v>14.0553191</v>
      </c>
      <c r="BJ396" s="18">
        <v>6.8849999999999998</v>
      </c>
      <c r="BK396" s="18">
        <v>6.8849999999999998</v>
      </c>
      <c r="BL396" s="18">
        <v>23.073</v>
      </c>
      <c r="BM396" s="18">
        <v>31.14</v>
      </c>
      <c r="BN396" s="113">
        <v>33.072000000000003</v>
      </c>
      <c r="BO396" s="113">
        <v>33</v>
      </c>
      <c r="BP396" s="113">
        <v>33</v>
      </c>
      <c r="BQ396" s="113">
        <v>0</v>
      </c>
      <c r="BR396" s="101"/>
      <c r="BS396">
        <f t="shared" si="808"/>
        <v>0</v>
      </c>
      <c r="BT396">
        <f t="shared" si="808"/>
        <v>0</v>
      </c>
      <c r="BU396">
        <f t="shared" si="808"/>
        <v>0</v>
      </c>
      <c r="BV396">
        <f t="shared" si="808"/>
        <v>0</v>
      </c>
      <c r="BW396">
        <f t="shared" si="808"/>
        <v>0</v>
      </c>
      <c r="BX396">
        <f t="shared" si="808"/>
        <v>0</v>
      </c>
      <c r="BY396">
        <f t="shared" si="808"/>
        <v>0</v>
      </c>
      <c r="BZ396">
        <f t="shared" si="808"/>
        <v>0</v>
      </c>
      <c r="CA396">
        <f t="shared" si="808"/>
        <v>0</v>
      </c>
      <c r="CB396">
        <f t="shared" si="808"/>
        <v>0</v>
      </c>
      <c r="CC396">
        <f t="shared" si="809"/>
        <v>0</v>
      </c>
      <c r="CD396">
        <f t="shared" si="809"/>
        <v>0</v>
      </c>
      <c r="CE396">
        <f t="shared" si="809"/>
        <v>0</v>
      </c>
      <c r="CF396">
        <f t="shared" si="809"/>
        <v>0</v>
      </c>
      <c r="CG396">
        <f t="shared" si="809"/>
        <v>0</v>
      </c>
      <c r="CH396">
        <f t="shared" si="809"/>
        <v>0</v>
      </c>
      <c r="CI396">
        <f t="shared" si="809"/>
        <v>0</v>
      </c>
      <c r="CJ396">
        <f t="shared" si="809"/>
        <v>0</v>
      </c>
      <c r="CK396">
        <f t="shared" si="809"/>
        <v>0</v>
      </c>
      <c r="CL396">
        <f t="shared" si="809"/>
        <v>0</v>
      </c>
      <c r="CM396">
        <f t="shared" si="810"/>
        <v>0</v>
      </c>
      <c r="CN396">
        <f t="shared" si="810"/>
        <v>0</v>
      </c>
      <c r="CO396">
        <f t="shared" si="810"/>
        <v>0</v>
      </c>
      <c r="CP396">
        <f t="shared" si="810"/>
        <v>0</v>
      </c>
      <c r="CQ396">
        <f t="shared" si="810"/>
        <v>0</v>
      </c>
      <c r="CR396">
        <f t="shared" si="810"/>
        <v>0</v>
      </c>
      <c r="CS396">
        <f t="shared" si="810"/>
        <v>0</v>
      </c>
      <c r="CT396">
        <f t="shared" si="810"/>
        <v>0</v>
      </c>
      <c r="CU396">
        <f t="shared" si="810"/>
        <v>0</v>
      </c>
      <c r="CV396">
        <f t="shared" si="810"/>
        <v>0</v>
      </c>
      <c r="CW396">
        <f t="shared" si="811"/>
        <v>0</v>
      </c>
      <c r="CX396">
        <f t="shared" si="811"/>
        <v>0</v>
      </c>
      <c r="CY396">
        <f t="shared" si="811"/>
        <v>0</v>
      </c>
      <c r="CZ396">
        <f t="shared" si="811"/>
        <v>0</v>
      </c>
      <c r="DA396">
        <f t="shared" si="811"/>
        <v>0</v>
      </c>
      <c r="DB396">
        <f t="shared" si="811"/>
        <v>0</v>
      </c>
      <c r="DC396">
        <f t="shared" si="811"/>
        <v>0</v>
      </c>
      <c r="DD396">
        <f t="shared" si="811"/>
        <v>0</v>
      </c>
      <c r="DE396">
        <f t="shared" si="811"/>
        <v>0</v>
      </c>
      <c r="DF396">
        <f t="shared" si="811"/>
        <v>0</v>
      </c>
      <c r="DG396">
        <f t="shared" si="812"/>
        <v>0</v>
      </c>
      <c r="DH396">
        <f t="shared" si="812"/>
        <v>0</v>
      </c>
      <c r="DI396">
        <f t="shared" si="812"/>
        <v>0</v>
      </c>
      <c r="DJ396">
        <f t="shared" si="812"/>
        <v>0</v>
      </c>
      <c r="DK396">
        <f t="shared" si="812"/>
        <v>0</v>
      </c>
      <c r="DL396">
        <f t="shared" si="812"/>
        <v>0</v>
      </c>
      <c r="DM396">
        <f t="shared" si="812"/>
        <v>0</v>
      </c>
      <c r="DN396">
        <f t="shared" si="812"/>
        <v>0</v>
      </c>
      <c r="DO396">
        <f t="shared" si="812"/>
        <v>0</v>
      </c>
      <c r="DP396">
        <f t="shared" si="812"/>
        <v>0</v>
      </c>
      <c r="DQ396">
        <f t="shared" si="813"/>
        <v>0</v>
      </c>
      <c r="DR396">
        <f t="shared" si="813"/>
        <v>0</v>
      </c>
      <c r="DS396">
        <f t="shared" si="813"/>
        <v>0</v>
      </c>
      <c r="DT396">
        <f t="shared" si="813"/>
        <v>0</v>
      </c>
      <c r="DU396">
        <f t="shared" si="813"/>
        <v>0</v>
      </c>
      <c r="DV396">
        <f t="shared" si="813"/>
        <v>0</v>
      </c>
      <c r="DW396">
        <f t="shared" si="813"/>
        <v>0</v>
      </c>
      <c r="DX396">
        <f t="shared" si="813"/>
        <v>0</v>
      </c>
      <c r="DY396">
        <f t="shared" si="813"/>
        <v>0</v>
      </c>
      <c r="DZ396">
        <f t="shared" si="813"/>
        <v>0</v>
      </c>
      <c r="EA396">
        <f t="shared" si="814"/>
        <v>0</v>
      </c>
      <c r="EB396">
        <f t="shared" si="814"/>
        <v>0</v>
      </c>
      <c r="EC396">
        <f t="shared" si="814"/>
        <v>0</v>
      </c>
      <c r="ED396">
        <f t="shared" si="814"/>
        <v>0</v>
      </c>
      <c r="EE396">
        <f t="shared" si="814"/>
        <v>0</v>
      </c>
      <c r="EF396">
        <f t="shared" si="814"/>
        <v>0</v>
      </c>
    </row>
    <row r="397" spans="1:136" ht="15.5">
      <c r="A397" s="90"/>
      <c r="B397" s="53" t="s">
        <v>18</v>
      </c>
      <c r="C397" s="95"/>
      <c r="D397" s="18">
        <v>1</v>
      </c>
      <c r="E397" s="18">
        <v>13.5</v>
      </c>
      <c r="F397" s="18">
        <v>15</v>
      </c>
      <c r="G397" s="18">
        <v>34</v>
      </c>
      <c r="H397" s="18">
        <v>61</v>
      </c>
      <c r="I397" s="18">
        <v>4</v>
      </c>
      <c r="J397" s="18">
        <v>24</v>
      </c>
      <c r="K397" s="18">
        <v>27</v>
      </c>
      <c r="L397" s="18">
        <v>39</v>
      </c>
      <c r="M397" s="18">
        <v>19</v>
      </c>
      <c r="N397" s="18">
        <v>0</v>
      </c>
      <c r="O397" s="18">
        <v>0</v>
      </c>
      <c r="P397" s="18">
        <v>0</v>
      </c>
      <c r="Q397" s="18">
        <v>0</v>
      </c>
      <c r="R397" s="18">
        <v>0</v>
      </c>
      <c r="S397" s="18">
        <v>0</v>
      </c>
      <c r="T397" s="18">
        <v>0</v>
      </c>
      <c r="U397" s="18">
        <v>0</v>
      </c>
      <c r="V397" s="18">
        <v>0</v>
      </c>
      <c r="W397" s="18">
        <v>0</v>
      </c>
      <c r="X397" s="18">
        <v>0</v>
      </c>
      <c r="Y397" s="18">
        <v>0</v>
      </c>
      <c r="Z397" s="18">
        <v>509</v>
      </c>
      <c r="AA397" s="18">
        <v>510</v>
      </c>
      <c r="AB397" s="18">
        <v>92</v>
      </c>
      <c r="AC397" s="18">
        <v>791</v>
      </c>
      <c r="AD397" s="18">
        <v>863.6305000000001</v>
      </c>
      <c r="AE397" s="18">
        <v>929.94826550000005</v>
      </c>
      <c r="AF397" s="18">
        <v>1007.4141784745</v>
      </c>
      <c r="AG397" s="18">
        <v>1104.0888687156794</v>
      </c>
      <c r="AH397" s="18">
        <v>1197.6241559503651</v>
      </c>
      <c r="AI397" s="18">
        <v>1271.2839811514366</v>
      </c>
      <c r="AJ397" s="18">
        <v>1322.59277243519</v>
      </c>
      <c r="AK397" s="18">
        <v>1370.2383339255523</v>
      </c>
      <c r="AL397" s="18">
        <v>1104</v>
      </c>
      <c r="AM397" s="18">
        <v>0</v>
      </c>
      <c r="AN397" s="18">
        <v>453</v>
      </c>
      <c r="AO397" s="18">
        <v>453</v>
      </c>
      <c r="AP397" s="18">
        <v>453</v>
      </c>
      <c r="AQ397" s="18">
        <v>453</v>
      </c>
      <c r="AR397" s="18">
        <v>0</v>
      </c>
      <c r="AS397" s="18">
        <v>0</v>
      </c>
      <c r="AT397" s="18">
        <v>0</v>
      </c>
      <c r="AU397" s="18">
        <v>0</v>
      </c>
      <c r="AV397" s="18">
        <v>0</v>
      </c>
      <c r="AW397" s="18">
        <v>180</v>
      </c>
      <c r="AX397" s="18">
        <v>0</v>
      </c>
      <c r="AY397" s="18">
        <v>0</v>
      </c>
      <c r="AZ397" s="18">
        <v>0</v>
      </c>
      <c r="BA397" s="18">
        <v>0</v>
      </c>
      <c r="BB397" s="18">
        <v>0</v>
      </c>
      <c r="BC397" s="18">
        <v>0</v>
      </c>
      <c r="BD397" s="18">
        <v>0</v>
      </c>
      <c r="BE397" s="25">
        <v>0</v>
      </c>
      <c r="BF397" s="18">
        <v>0</v>
      </c>
      <c r="BG397" s="18">
        <v>0</v>
      </c>
      <c r="BH397" s="18">
        <v>0</v>
      </c>
      <c r="BI397" s="18">
        <v>0</v>
      </c>
      <c r="BJ397" s="113">
        <v>0</v>
      </c>
      <c r="BK397" s="113">
        <v>0</v>
      </c>
      <c r="BL397" s="113">
        <v>0</v>
      </c>
      <c r="BM397" s="113">
        <v>0</v>
      </c>
      <c r="BN397" s="113">
        <v>0</v>
      </c>
      <c r="BO397" s="113">
        <v>0</v>
      </c>
      <c r="BP397" s="113">
        <v>0</v>
      </c>
      <c r="BQ397" s="113">
        <v>0</v>
      </c>
      <c r="BR397" s="101"/>
      <c r="BS397">
        <f t="shared" si="808"/>
        <v>0</v>
      </c>
      <c r="BT397">
        <f t="shared" si="808"/>
        <v>0</v>
      </c>
      <c r="BU397">
        <f t="shared" si="808"/>
        <v>0</v>
      </c>
      <c r="BV397">
        <f t="shared" si="808"/>
        <v>0</v>
      </c>
      <c r="BW397">
        <f t="shared" si="808"/>
        <v>0</v>
      </c>
      <c r="BX397">
        <f t="shared" si="808"/>
        <v>0</v>
      </c>
      <c r="BY397">
        <f t="shared" si="808"/>
        <v>0</v>
      </c>
      <c r="BZ397">
        <f t="shared" si="808"/>
        <v>0</v>
      </c>
      <c r="CA397">
        <f t="shared" si="808"/>
        <v>0</v>
      </c>
      <c r="CB397">
        <f t="shared" si="808"/>
        <v>0</v>
      </c>
      <c r="CC397">
        <f t="shared" si="809"/>
        <v>0</v>
      </c>
      <c r="CD397">
        <f t="shared" si="809"/>
        <v>0</v>
      </c>
      <c r="CE397">
        <f t="shared" si="809"/>
        <v>0</v>
      </c>
      <c r="CF397">
        <f t="shared" si="809"/>
        <v>0</v>
      </c>
      <c r="CG397">
        <f t="shared" si="809"/>
        <v>0</v>
      </c>
      <c r="CH397">
        <f t="shared" si="809"/>
        <v>0</v>
      </c>
      <c r="CI397">
        <f t="shared" si="809"/>
        <v>0</v>
      </c>
      <c r="CJ397">
        <f t="shared" si="809"/>
        <v>0</v>
      </c>
      <c r="CK397">
        <f t="shared" si="809"/>
        <v>0</v>
      </c>
      <c r="CL397">
        <f t="shared" si="809"/>
        <v>0</v>
      </c>
      <c r="CM397">
        <f t="shared" si="810"/>
        <v>0</v>
      </c>
      <c r="CN397">
        <f t="shared" si="810"/>
        <v>0</v>
      </c>
      <c r="CO397">
        <f t="shared" si="810"/>
        <v>0</v>
      </c>
      <c r="CP397">
        <f t="shared" si="810"/>
        <v>0</v>
      </c>
      <c r="CQ397">
        <f t="shared" si="810"/>
        <v>0</v>
      </c>
      <c r="CR397">
        <f t="shared" si="810"/>
        <v>0</v>
      </c>
      <c r="CS397">
        <f t="shared" si="810"/>
        <v>0</v>
      </c>
      <c r="CT397">
        <f t="shared" si="810"/>
        <v>0</v>
      </c>
      <c r="CU397">
        <f t="shared" si="810"/>
        <v>0</v>
      </c>
      <c r="CV397">
        <f t="shared" si="810"/>
        <v>0</v>
      </c>
      <c r="CW397">
        <f t="shared" si="811"/>
        <v>0</v>
      </c>
      <c r="CX397">
        <f t="shared" si="811"/>
        <v>0</v>
      </c>
      <c r="CY397">
        <f t="shared" si="811"/>
        <v>0</v>
      </c>
      <c r="CZ397">
        <f t="shared" si="811"/>
        <v>0</v>
      </c>
      <c r="DA397">
        <f t="shared" si="811"/>
        <v>0</v>
      </c>
      <c r="DB397">
        <f t="shared" si="811"/>
        <v>0</v>
      </c>
      <c r="DC397">
        <f t="shared" si="811"/>
        <v>0</v>
      </c>
      <c r="DD397">
        <f t="shared" si="811"/>
        <v>0</v>
      </c>
      <c r="DE397">
        <f t="shared" si="811"/>
        <v>0</v>
      </c>
      <c r="DF397">
        <f t="shared" si="811"/>
        <v>0</v>
      </c>
      <c r="DG397">
        <f t="shared" si="812"/>
        <v>0</v>
      </c>
      <c r="DH397">
        <f t="shared" si="812"/>
        <v>0</v>
      </c>
      <c r="DI397">
        <f t="shared" si="812"/>
        <v>0</v>
      </c>
      <c r="DJ397">
        <f t="shared" si="812"/>
        <v>0</v>
      </c>
      <c r="DK397">
        <f t="shared" si="812"/>
        <v>0</v>
      </c>
      <c r="DL397">
        <f t="shared" si="812"/>
        <v>0</v>
      </c>
      <c r="DM397">
        <f t="shared" si="812"/>
        <v>0</v>
      </c>
      <c r="DN397">
        <f t="shared" si="812"/>
        <v>0</v>
      </c>
      <c r="DO397">
        <f t="shared" si="812"/>
        <v>0</v>
      </c>
      <c r="DP397">
        <f t="shared" si="812"/>
        <v>0</v>
      </c>
      <c r="DQ397">
        <f t="shared" si="813"/>
        <v>0</v>
      </c>
      <c r="DR397">
        <f t="shared" si="813"/>
        <v>0</v>
      </c>
      <c r="DS397">
        <f t="shared" si="813"/>
        <v>0</v>
      </c>
      <c r="DT397">
        <f t="shared" si="813"/>
        <v>0</v>
      </c>
      <c r="DU397">
        <f t="shared" si="813"/>
        <v>0</v>
      </c>
      <c r="DV397">
        <f t="shared" si="813"/>
        <v>0</v>
      </c>
      <c r="DW397">
        <f t="shared" si="813"/>
        <v>0</v>
      </c>
      <c r="DX397">
        <f t="shared" si="813"/>
        <v>0</v>
      </c>
      <c r="DY397">
        <f t="shared" si="813"/>
        <v>0</v>
      </c>
      <c r="DZ397">
        <f t="shared" si="813"/>
        <v>0</v>
      </c>
      <c r="EA397">
        <f t="shared" si="814"/>
        <v>0</v>
      </c>
      <c r="EB397">
        <f t="shared" si="814"/>
        <v>0</v>
      </c>
      <c r="EC397">
        <f t="shared" si="814"/>
        <v>0</v>
      </c>
      <c r="ED397">
        <f t="shared" si="814"/>
        <v>0</v>
      </c>
      <c r="EE397">
        <f t="shared" si="814"/>
        <v>0</v>
      </c>
      <c r="EF397">
        <f t="shared" si="814"/>
        <v>0</v>
      </c>
    </row>
    <row r="398" spans="1:136" ht="15.5">
      <c r="A398" s="90"/>
      <c r="B398" s="53" t="s">
        <v>25</v>
      </c>
      <c r="C398" s="95"/>
      <c r="D398" s="34">
        <v>0</v>
      </c>
      <c r="E398" s="34">
        <v>0</v>
      </c>
      <c r="F398" s="34">
        <v>0</v>
      </c>
      <c r="G398" s="34">
        <v>0</v>
      </c>
      <c r="H398" s="34">
        <v>0</v>
      </c>
      <c r="I398" s="34">
        <v>0</v>
      </c>
      <c r="J398" s="34">
        <v>0</v>
      </c>
      <c r="K398" s="34">
        <v>0</v>
      </c>
      <c r="L398" s="34">
        <v>0</v>
      </c>
      <c r="M398" s="34">
        <v>0</v>
      </c>
      <c r="N398" s="34">
        <v>0</v>
      </c>
      <c r="O398" s="34">
        <v>0</v>
      </c>
      <c r="P398" s="34">
        <v>0</v>
      </c>
      <c r="Q398" s="34">
        <v>0</v>
      </c>
      <c r="R398" s="34">
        <v>0</v>
      </c>
      <c r="S398" s="34">
        <v>0</v>
      </c>
      <c r="T398" s="34">
        <v>0</v>
      </c>
      <c r="U398" s="34">
        <v>0</v>
      </c>
      <c r="V398" s="34">
        <v>0</v>
      </c>
      <c r="W398" s="34">
        <v>0</v>
      </c>
      <c r="X398" s="34">
        <v>0</v>
      </c>
      <c r="Y398" s="34">
        <v>0</v>
      </c>
      <c r="Z398" s="34">
        <v>0</v>
      </c>
      <c r="AA398" s="34">
        <v>0</v>
      </c>
      <c r="AB398" s="34">
        <v>0</v>
      </c>
      <c r="AC398" s="34">
        <v>0</v>
      </c>
      <c r="AD398" s="34">
        <v>0</v>
      </c>
      <c r="AE398" s="34">
        <v>0</v>
      </c>
      <c r="AF398" s="34">
        <v>0</v>
      </c>
      <c r="AG398" s="34">
        <v>0</v>
      </c>
      <c r="AH398" s="34">
        <v>0</v>
      </c>
      <c r="AI398" s="34">
        <v>0</v>
      </c>
      <c r="AJ398" s="34">
        <v>0</v>
      </c>
      <c r="AK398" s="34">
        <v>0</v>
      </c>
      <c r="AL398" s="34">
        <v>0</v>
      </c>
      <c r="AM398" s="34">
        <v>0</v>
      </c>
      <c r="AN398" s="34">
        <v>0</v>
      </c>
      <c r="AO398" s="34">
        <v>0</v>
      </c>
      <c r="AP398" s="34">
        <v>0</v>
      </c>
      <c r="AQ398" s="34">
        <v>0</v>
      </c>
      <c r="AR398" s="34">
        <v>350</v>
      </c>
      <c r="AS398" s="34">
        <v>350</v>
      </c>
      <c r="AT398" s="34">
        <v>350</v>
      </c>
      <c r="AU398" s="34">
        <v>0</v>
      </c>
      <c r="AV398" s="34">
        <v>1100</v>
      </c>
      <c r="AW398" s="34">
        <v>1100</v>
      </c>
      <c r="AX398" s="34">
        <v>0</v>
      </c>
      <c r="AY398" s="34">
        <v>0</v>
      </c>
      <c r="AZ398" s="34">
        <v>0</v>
      </c>
      <c r="BA398" s="34">
        <v>0</v>
      </c>
      <c r="BB398" s="34">
        <v>0</v>
      </c>
      <c r="BC398" s="34">
        <v>0</v>
      </c>
      <c r="BD398" s="34">
        <v>0</v>
      </c>
      <c r="BE398" s="42">
        <v>0</v>
      </c>
      <c r="BF398" s="34">
        <v>0</v>
      </c>
      <c r="BG398" s="34">
        <v>0</v>
      </c>
      <c r="BH398" s="34">
        <v>0</v>
      </c>
      <c r="BI398" s="34">
        <v>0</v>
      </c>
      <c r="BJ398" s="113">
        <v>0</v>
      </c>
      <c r="BK398" s="113">
        <v>0</v>
      </c>
      <c r="BL398" s="113">
        <v>0</v>
      </c>
      <c r="BM398" s="113">
        <v>0</v>
      </c>
      <c r="BN398" s="113">
        <v>0</v>
      </c>
      <c r="BO398" s="113">
        <v>0</v>
      </c>
      <c r="BP398" s="113">
        <v>0</v>
      </c>
      <c r="BQ398" s="113">
        <v>0</v>
      </c>
      <c r="BR398" s="101"/>
      <c r="BS398">
        <f t="shared" si="808"/>
        <v>0</v>
      </c>
      <c r="BT398">
        <f t="shared" si="808"/>
        <v>0</v>
      </c>
      <c r="BU398">
        <f t="shared" si="808"/>
        <v>0</v>
      </c>
      <c r="BV398">
        <f t="shared" si="808"/>
        <v>0</v>
      </c>
      <c r="BW398">
        <f t="shared" si="808"/>
        <v>0</v>
      </c>
      <c r="BX398">
        <f t="shared" si="808"/>
        <v>0</v>
      </c>
      <c r="BY398">
        <f t="shared" si="808"/>
        <v>0</v>
      </c>
      <c r="BZ398">
        <f t="shared" si="808"/>
        <v>0</v>
      </c>
      <c r="CA398">
        <f t="shared" si="808"/>
        <v>0</v>
      </c>
      <c r="CB398">
        <f t="shared" si="808"/>
        <v>0</v>
      </c>
      <c r="CC398">
        <f t="shared" si="809"/>
        <v>0</v>
      </c>
      <c r="CD398">
        <f t="shared" si="809"/>
        <v>0</v>
      </c>
      <c r="CE398">
        <f t="shared" si="809"/>
        <v>0</v>
      </c>
      <c r="CF398">
        <f t="shared" si="809"/>
        <v>0</v>
      </c>
      <c r="CG398">
        <f t="shared" si="809"/>
        <v>0</v>
      </c>
      <c r="CH398">
        <f t="shared" si="809"/>
        <v>0</v>
      </c>
      <c r="CI398">
        <f t="shared" si="809"/>
        <v>0</v>
      </c>
      <c r="CJ398">
        <f t="shared" si="809"/>
        <v>0</v>
      </c>
      <c r="CK398">
        <f t="shared" si="809"/>
        <v>0</v>
      </c>
      <c r="CL398">
        <f t="shared" si="809"/>
        <v>0</v>
      </c>
      <c r="CM398">
        <f t="shared" si="810"/>
        <v>0</v>
      </c>
      <c r="CN398">
        <f t="shared" si="810"/>
        <v>0</v>
      </c>
      <c r="CO398">
        <f t="shared" si="810"/>
        <v>0</v>
      </c>
      <c r="CP398">
        <f t="shared" si="810"/>
        <v>0</v>
      </c>
      <c r="CQ398">
        <f t="shared" si="810"/>
        <v>0</v>
      </c>
      <c r="CR398">
        <f t="shared" si="810"/>
        <v>0</v>
      </c>
      <c r="CS398">
        <f t="shared" si="810"/>
        <v>0</v>
      </c>
      <c r="CT398">
        <f t="shared" si="810"/>
        <v>0</v>
      </c>
      <c r="CU398">
        <f t="shared" si="810"/>
        <v>0</v>
      </c>
      <c r="CV398">
        <f t="shared" si="810"/>
        <v>0</v>
      </c>
      <c r="CW398">
        <f t="shared" si="811"/>
        <v>0</v>
      </c>
      <c r="CX398">
        <f t="shared" si="811"/>
        <v>0</v>
      </c>
      <c r="CY398">
        <f t="shared" si="811"/>
        <v>0</v>
      </c>
      <c r="CZ398">
        <f t="shared" si="811"/>
        <v>0</v>
      </c>
      <c r="DA398">
        <f t="shared" si="811"/>
        <v>0</v>
      </c>
      <c r="DB398">
        <f t="shared" si="811"/>
        <v>0</v>
      </c>
      <c r="DC398">
        <f t="shared" si="811"/>
        <v>0</v>
      </c>
      <c r="DD398">
        <f t="shared" si="811"/>
        <v>0</v>
      </c>
      <c r="DE398">
        <f t="shared" si="811"/>
        <v>0</v>
      </c>
      <c r="DF398">
        <f t="shared" si="811"/>
        <v>0</v>
      </c>
      <c r="DG398">
        <f t="shared" si="812"/>
        <v>0</v>
      </c>
      <c r="DH398">
        <f t="shared" si="812"/>
        <v>0</v>
      </c>
      <c r="DI398">
        <f t="shared" si="812"/>
        <v>0</v>
      </c>
      <c r="DJ398">
        <f t="shared" si="812"/>
        <v>0</v>
      </c>
      <c r="DK398">
        <f t="shared" si="812"/>
        <v>0</v>
      </c>
      <c r="DL398">
        <f t="shared" si="812"/>
        <v>0</v>
      </c>
      <c r="DM398">
        <f t="shared" si="812"/>
        <v>0</v>
      </c>
      <c r="DN398">
        <f t="shared" si="812"/>
        <v>0</v>
      </c>
      <c r="DO398">
        <f t="shared" si="812"/>
        <v>0</v>
      </c>
      <c r="DP398">
        <f t="shared" si="812"/>
        <v>0</v>
      </c>
      <c r="DQ398">
        <f t="shared" si="813"/>
        <v>0</v>
      </c>
      <c r="DR398">
        <f t="shared" si="813"/>
        <v>0</v>
      </c>
      <c r="DS398">
        <f t="shared" si="813"/>
        <v>0</v>
      </c>
      <c r="DT398">
        <f t="shared" si="813"/>
        <v>0</v>
      </c>
      <c r="DU398">
        <f t="shared" si="813"/>
        <v>0</v>
      </c>
      <c r="DV398">
        <f t="shared" si="813"/>
        <v>0</v>
      </c>
      <c r="DW398">
        <f t="shared" si="813"/>
        <v>0</v>
      </c>
      <c r="DX398">
        <f t="shared" si="813"/>
        <v>0</v>
      </c>
      <c r="DY398">
        <f t="shared" si="813"/>
        <v>0</v>
      </c>
      <c r="DZ398">
        <f t="shared" si="813"/>
        <v>0</v>
      </c>
      <c r="EA398">
        <f t="shared" si="814"/>
        <v>0</v>
      </c>
      <c r="EB398">
        <f t="shared" si="814"/>
        <v>0</v>
      </c>
      <c r="EC398">
        <f t="shared" si="814"/>
        <v>0</v>
      </c>
      <c r="ED398">
        <f t="shared" si="814"/>
        <v>0</v>
      </c>
      <c r="EE398">
        <f t="shared" si="814"/>
        <v>0</v>
      </c>
      <c r="EF398">
        <f t="shared" si="814"/>
        <v>0</v>
      </c>
    </row>
    <row r="399" spans="1:136" ht="15.5">
      <c r="A399" s="90"/>
      <c r="B399" s="19" t="s">
        <v>208</v>
      </c>
      <c r="C399" s="95"/>
      <c r="D399" s="18">
        <v>0</v>
      </c>
      <c r="E399" s="18">
        <v>0</v>
      </c>
      <c r="F399" s="18">
        <v>0</v>
      </c>
      <c r="G399" s="18">
        <v>0</v>
      </c>
      <c r="H399" s="18">
        <v>0</v>
      </c>
      <c r="I399" s="18">
        <v>0</v>
      </c>
      <c r="J399" s="18">
        <v>0</v>
      </c>
      <c r="K399" s="18">
        <v>0</v>
      </c>
      <c r="L399" s="18">
        <v>0</v>
      </c>
      <c r="M399" s="18">
        <v>0</v>
      </c>
      <c r="N399" s="18">
        <v>0.52500000000000002</v>
      </c>
      <c r="O399" s="18">
        <v>0.52500000000000002</v>
      </c>
      <c r="P399" s="18">
        <v>0.64700000000000002</v>
      </c>
      <c r="Q399" s="18">
        <v>0.83699999999999997</v>
      </c>
      <c r="R399" s="18">
        <v>0.88900000000000001</v>
      </c>
      <c r="S399" s="18">
        <v>1.5760000000000001</v>
      </c>
      <c r="T399" s="18">
        <v>6.5660000000000007</v>
      </c>
      <c r="U399" s="18">
        <v>13.652000000000001</v>
      </c>
      <c r="V399" s="18">
        <v>14.32</v>
      </c>
      <c r="W399" s="18">
        <v>4.1579999999999995</v>
      </c>
      <c r="X399" s="18">
        <v>12.715</v>
      </c>
      <c r="Y399" s="63">
        <v>16.178000000000001</v>
      </c>
      <c r="Z399" s="18">
        <v>30.541</v>
      </c>
      <c r="AA399" s="18">
        <v>10.218999999999999</v>
      </c>
      <c r="AB399" s="40" t="s">
        <v>16</v>
      </c>
      <c r="AC399" s="40" t="s">
        <v>16</v>
      </c>
      <c r="AD399" s="40" t="s">
        <v>16</v>
      </c>
      <c r="AE399" s="40" t="s">
        <v>16</v>
      </c>
      <c r="AF399" s="40" t="s">
        <v>16</v>
      </c>
      <c r="AG399" s="40" t="s">
        <v>16</v>
      </c>
      <c r="AH399" s="40" t="s">
        <v>16</v>
      </c>
      <c r="AI399" s="40" t="s">
        <v>16</v>
      </c>
      <c r="AJ399" s="40" t="s">
        <v>16</v>
      </c>
      <c r="AK399" s="18">
        <v>89</v>
      </c>
      <c r="AL399" s="18">
        <v>99</v>
      </c>
      <c r="AM399" s="63">
        <v>117.20500000000001</v>
      </c>
      <c r="AN399" s="63">
        <v>115.30799999999999</v>
      </c>
      <c r="AO399" s="63">
        <v>104.613</v>
      </c>
      <c r="AP399" s="63">
        <v>121.91499999999999</v>
      </c>
      <c r="AQ399" s="63">
        <v>134.22399999999999</v>
      </c>
      <c r="AR399" s="63">
        <v>9.8729999999999993</v>
      </c>
      <c r="AS399" s="63">
        <v>10.976000000000001</v>
      </c>
      <c r="AT399" s="34">
        <v>15.553999999999998</v>
      </c>
      <c r="AU399" s="34">
        <v>37.084000000000003</v>
      </c>
      <c r="AV399" s="34">
        <v>36.451999999999998</v>
      </c>
      <c r="AW399" s="34">
        <v>63.930999999999997</v>
      </c>
      <c r="AX399" s="34">
        <v>28.576644000000002</v>
      </c>
      <c r="AY399" s="34">
        <v>12.961041099999999</v>
      </c>
      <c r="AZ399" s="34">
        <v>6.7000000000000004E-2</v>
      </c>
      <c r="BA399" s="34">
        <v>1.2E-2</v>
      </c>
      <c r="BB399" s="34">
        <v>0</v>
      </c>
      <c r="BC399" s="34">
        <v>0</v>
      </c>
      <c r="BD399" s="34">
        <v>0</v>
      </c>
      <c r="BE399" s="42">
        <v>0</v>
      </c>
      <c r="BF399" s="34">
        <v>6.4000000000000001E-2</v>
      </c>
      <c r="BG399" s="34">
        <v>6.4000000000000001E-2</v>
      </c>
      <c r="BH399" s="34">
        <v>6.4000000000000001E-2</v>
      </c>
      <c r="BI399" s="34">
        <v>0</v>
      </c>
      <c r="BJ399" s="18">
        <v>0</v>
      </c>
      <c r="BK399" s="113">
        <v>0</v>
      </c>
      <c r="BL399" s="113">
        <v>0</v>
      </c>
      <c r="BM399" s="113">
        <v>0</v>
      </c>
      <c r="BN399" s="113">
        <v>0</v>
      </c>
      <c r="BO399" s="113">
        <v>0</v>
      </c>
      <c r="BP399" s="113">
        <v>0</v>
      </c>
      <c r="BQ399" s="113">
        <v>0</v>
      </c>
      <c r="BR399" s="101"/>
      <c r="BS399">
        <f t="shared" si="808"/>
        <v>0</v>
      </c>
      <c r="BT399">
        <f t="shared" si="808"/>
        <v>0</v>
      </c>
      <c r="BU399">
        <f t="shared" si="808"/>
        <v>0</v>
      </c>
      <c r="BV399">
        <f t="shared" si="808"/>
        <v>0</v>
      </c>
      <c r="BW399">
        <f t="shared" si="808"/>
        <v>0</v>
      </c>
      <c r="BX399">
        <f t="shared" si="808"/>
        <v>0</v>
      </c>
      <c r="BY399">
        <f t="shared" si="808"/>
        <v>0</v>
      </c>
      <c r="BZ399">
        <f t="shared" si="808"/>
        <v>0</v>
      </c>
      <c r="CA399">
        <f t="shared" si="808"/>
        <v>0</v>
      </c>
      <c r="CB399">
        <f t="shared" si="808"/>
        <v>0</v>
      </c>
      <c r="CC399">
        <f t="shared" si="809"/>
        <v>0</v>
      </c>
      <c r="CD399">
        <f t="shared" si="809"/>
        <v>0</v>
      </c>
      <c r="CE399">
        <f t="shared" si="809"/>
        <v>0</v>
      </c>
      <c r="CF399">
        <f t="shared" si="809"/>
        <v>0</v>
      </c>
      <c r="CG399">
        <f t="shared" si="809"/>
        <v>0</v>
      </c>
      <c r="CH399">
        <f t="shared" si="809"/>
        <v>0</v>
      </c>
      <c r="CI399">
        <f t="shared" si="809"/>
        <v>0</v>
      </c>
      <c r="CJ399">
        <f t="shared" si="809"/>
        <v>0</v>
      </c>
      <c r="CK399">
        <f t="shared" si="809"/>
        <v>0</v>
      </c>
      <c r="CL399">
        <f t="shared" si="809"/>
        <v>0</v>
      </c>
      <c r="CM399">
        <f t="shared" si="810"/>
        <v>0</v>
      </c>
      <c r="CN399">
        <f t="shared" si="810"/>
        <v>0</v>
      </c>
      <c r="CO399">
        <f t="shared" si="810"/>
        <v>0</v>
      </c>
      <c r="CP399">
        <f t="shared" si="810"/>
        <v>0</v>
      </c>
      <c r="CQ399">
        <f t="shared" si="810"/>
        <v>0</v>
      </c>
      <c r="CR399">
        <f t="shared" si="810"/>
        <v>0</v>
      </c>
      <c r="CS399">
        <f t="shared" si="810"/>
        <v>0</v>
      </c>
      <c r="CT399">
        <f t="shared" si="810"/>
        <v>0</v>
      </c>
      <c r="CU399">
        <f t="shared" si="810"/>
        <v>0</v>
      </c>
      <c r="CV399">
        <f t="shared" si="810"/>
        <v>0</v>
      </c>
      <c r="CW399">
        <f t="shared" si="811"/>
        <v>0</v>
      </c>
      <c r="CX399">
        <f t="shared" si="811"/>
        <v>0</v>
      </c>
      <c r="CY399">
        <f t="shared" si="811"/>
        <v>0</v>
      </c>
      <c r="CZ399">
        <f t="shared" si="811"/>
        <v>0</v>
      </c>
      <c r="DA399">
        <f t="shared" si="811"/>
        <v>0</v>
      </c>
      <c r="DB399">
        <f t="shared" si="811"/>
        <v>0</v>
      </c>
      <c r="DC399">
        <f t="shared" si="811"/>
        <v>0</v>
      </c>
      <c r="DD399">
        <f t="shared" si="811"/>
        <v>0</v>
      </c>
      <c r="DE399">
        <f t="shared" si="811"/>
        <v>0</v>
      </c>
      <c r="DF399">
        <f t="shared" si="811"/>
        <v>0</v>
      </c>
      <c r="DG399">
        <f t="shared" si="812"/>
        <v>0</v>
      </c>
      <c r="DH399">
        <f t="shared" si="812"/>
        <v>0</v>
      </c>
      <c r="DI399">
        <f t="shared" si="812"/>
        <v>0</v>
      </c>
      <c r="DJ399">
        <f t="shared" si="812"/>
        <v>0</v>
      </c>
      <c r="DK399">
        <f t="shared" si="812"/>
        <v>0</v>
      </c>
      <c r="DL399">
        <f t="shared" si="812"/>
        <v>0</v>
      </c>
      <c r="DM399">
        <f t="shared" si="812"/>
        <v>0</v>
      </c>
      <c r="DN399">
        <f t="shared" si="812"/>
        <v>0</v>
      </c>
      <c r="DO399">
        <f t="shared" si="812"/>
        <v>0</v>
      </c>
      <c r="DP399">
        <f t="shared" si="812"/>
        <v>0</v>
      </c>
      <c r="DQ399">
        <f t="shared" si="813"/>
        <v>0</v>
      </c>
      <c r="DR399">
        <f t="shared" si="813"/>
        <v>0</v>
      </c>
      <c r="DS399">
        <f t="shared" si="813"/>
        <v>0</v>
      </c>
      <c r="DT399">
        <f t="shared" si="813"/>
        <v>0</v>
      </c>
      <c r="DU399">
        <f t="shared" si="813"/>
        <v>0</v>
      </c>
      <c r="DV399">
        <f t="shared" si="813"/>
        <v>0</v>
      </c>
      <c r="DW399">
        <f t="shared" si="813"/>
        <v>0</v>
      </c>
      <c r="DX399">
        <f t="shared" si="813"/>
        <v>0</v>
      </c>
      <c r="DY399">
        <f t="shared" si="813"/>
        <v>0</v>
      </c>
      <c r="DZ399">
        <f t="shared" si="813"/>
        <v>0</v>
      </c>
      <c r="EA399">
        <f t="shared" si="814"/>
        <v>0</v>
      </c>
      <c r="EB399">
        <f t="shared" si="814"/>
        <v>0</v>
      </c>
      <c r="EC399">
        <f t="shared" si="814"/>
        <v>0</v>
      </c>
      <c r="ED399">
        <f t="shared" si="814"/>
        <v>0</v>
      </c>
      <c r="EE399">
        <f t="shared" si="814"/>
        <v>0</v>
      </c>
      <c r="EF399">
        <f t="shared" si="814"/>
        <v>0</v>
      </c>
    </row>
    <row r="400" spans="1:136" ht="15.5">
      <c r="A400" s="90"/>
      <c r="B400" s="53" t="s">
        <v>21</v>
      </c>
      <c r="C400" s="95"/>
      <c r="D400" s="18">
        <v>0</v>
      </c>
      <c r="E400" s="18">
        <v>0</v>
      </c>
      <c r="F400" s="18">
        <v>0</v>
      </c>
      <c r="G400" s="18">
        <v>0</v>
      </c>
      <c r="H400" s="18">
        <v>0</v>
      </c>
      <c r="I400" s="18">
        <v>0</v>
      </c>
      <c r="J400" s="18">
        <v>0</v>
      </c>
      <c r="K400" s="18">
        <v>0</v>
      </c>
      <c r="L400" s="18">
        <v>0</v>
      </c>
      <c r="M400" s="18">
        <v>0</v>
      </c>
      <c r="N400" s="18">
        <v>0</v>
      </c>
      <c r="O400" s="18">
        <v>0</v>
      </c>
      <c r="P400" s="18">
        <v>0</v>
      </c>
      <c r="Q400" s="18">
        <v>0</v>
      </c>
      <c r="R400" s="18">
        <v>0</v>
      </c>
      <c r="S400" s="18">
        <v>1</v>
      </c>
      <c r="T400" s="18">
        <v>1</v>
      </c>
      <c r="U400" s="18">
        <v>2</v>
      </c>
      <c r="V400" s="18">
        <v>3</v>
      </c>
      <c r="W400" s="18">
        <v>5</v>
      </c>
      <c r="X400" s="18">
        <v>6</v>
      </c>
      <c r="Y400" s="18">
        <v>7</v>
      </c>
      <c r="Z400" s="18">
        <v>9</v>
      </c>
      <c r="AA400" s="18">
        <v>10</v>
      </c>
      <c r="AB400" s="18">
        <v>12</v>
      </c>
      <c r="AC400" s="18">
        <v>4</v>
      </c>
      <c r="AD400" s="18">
        <v>5</v>
      </c>
      <c r="AE400" s="18">
        <v>5</v>
      </c>
      <c r="AF400" s="18">
        <v>4</v>
      </c>
      <c r="AG400" s="18">
        <v>5</v>
      </c>
      <c r="AH400" s="18">
        <v>3</v>
      </c>
      <c r="AI400" s="18">
        <v>3</v>
      </c>
      <c r="AJ400" s="18">
        <v>3</v>
      </c>
      <c r="AK400" s="18">
        <v>4</v>
      </c>
      <c r="AL400" s="18">
        <v>4</v>
      </c>
      <c r="AM400" s="18">
        <v>10</v>
      </c>
      <c r="AN400" s="18">
        <v>10</v>
      </c>
      <c r="AO400" s="18">
        <v>10</v>
      </c>
      <c r="AP400" s="18">
        <v>10</v>
      </c>
      <c r="AQ400" s="18">
        <v>10</v>
      </c>
      <c r="AR400" s="18">
        <v>13</v>
      </c>
      <c r="AS400" s="18">
        <v>13</v>
      </c>
      <c r="AT400" s="18">
        <v>0</v>
      </c>
      <c r="AU400" s="18">
        <v>477.24</v>
      </c>
      <c r="AV400" s="18">
        <v>0</v>
      </c>
      <c r="AW400" s="18">
        <v>0</v>
      </c>
      <c r="AX400" s="18">
        <v>0</v>
      </c>
      <c r="AY400" s="18">
        <v>0</v>
      </c>
      <c r="AZ400" s="18">
        <v>0</v>
      </c>
      <c r="BA400" s="18">
        <v>0</v>
      </c>
      <c r="BB400" s="18">
        <v>0</v>
      </c>
      <c r="BC400" s="18">
        <v>0</v>
      </c>
      <c r="BD400" s="18">
        <v>0</v>
      </c>
      <c r="BE400" s="25">
        <v>0</v>
      </c>
      <c r="BF400" s="18">
        <v>0</v>
      </c>
      <c r="BG400" s="18">
        <v>0</v>
      </c>
      <c r="BH400" s="18">
        <v>0</v>
      </c>
      <c r="BI400" s="18">
        <v>0</v>
      </c>
      <c r="BJ400" s="113">
        <v>0</v>
      </c>
      <c r="BK400" s="113">
        <v>0</v>
      </c>
      <c r="BL400" s="113">
        <v>0</v>
      </c>
      <c r="BM400" s="113">
        <v>0</v>
      </c>
      <c r="BN400" s="113">
        <v>0</v>
      </c>
      <c r="BO400" s="113">
        <v>0</v>
      </c>
      <c r="BP400" s="113">
        <v>0</v>
      </c>
      <c r="BQ400" s="113">
        <v>0</v>
      </c>
      <c r="BR400" s="101"/>
      <c r="BS400">
        <f t="shared" si="808"/>
        <v>0</v>
      </c>
      <c r="BT400">
        <f t="shared" si="808"/>
        <v>0</v>
      </c>
      <c r="BU400">
        <f t="shared" si="808"/>
        <v>0</v>
      </c>
      <c r="BV400">
        <f t="shared" si="808"/>
        <v>0</v>
      </c>
      <c r="BW400">
        <f t="shared" si="808"/>
        <v>0</v>
      </c>
      <c r="BX400">
        <f t="shared" si="808"/>
        <v>0</v>
      </c>
      <c r="BY400">
        <f t="shared" si="808"/>
        <v>0</v>
      </c>
      <c r="BZ400">
        <f t="shared" si="808"/>
        <v>0</v>
      </c>
      <c r="CA400">
        <f t="shared" si="808"/>
        <v>0</v>
      </c>
      <c r="CB400">
        <f t="shared" si="808"/>
        <v>0</v>
      </c>
      <c r="CC400">
        <f t="shared" si="809"/>
        <v>0</v>
      </c>
      <c r="CD400">
        <f t="shared" si="809"/>
        <v>0</v>
      </c>
      <c r="CE400">
        <f t="shared" si="809"/>
        <v>0</v>
      </c>
      <c r="CF400">
        <f t="shared" si="809"/>
        <v>0</v>
      </c>
      <c r="CG400">
        <f t="shared" si="809"/>
        <v>0</v>
      </c>
      <c r="CH400">
        <f t="shared" si="809"/>
        <v>0</v>
      </c>
      <c r="CI400">
        <f t="shared" si="809"/>
        <v>0</v>
      </c>
      <c r="CJ400">
        <f t="shared" si="809"/>
        <v>0</v>
      </c>
      <c r="CK400">
        <f t="shared" si="809"/>
        <v>0</v>
      </c>
      <c r="CL400">
        <f t="shared" si="809"/>
        <v>0</v>
      </c>
      <c r="CM400">
        <f t="shared" si="810"/>
        <v>0</v>
      </c>
      <c r="CN400">
        <f t="shared" si="810"/>
        <v>0</v>
      </c>
      <c r="CO400">
        <f t="shared" si="810"/>
        <v>0</v>
      </c>
      <c r="CP400">
        <f t="shared" si="810"/>
        <v>0</v>
      </c>
      <c r="CQ400">
        <f t="shared" si="810"/>
        <v>0</v>
      </c>
      <c r="CR400">
        <f t="shared" si="810"/>
        <v>0</v>
      </c>
      <c r="CS400">
        <f t="shared" si="810"/>
        <v>0</v>
      </c>
      <c r="CT400">
        <f t="shared" si="810"/>
        <v>0</v>
      </c>
      <c r="CU400">
        <f t="shared" si="810"/>
        <v>0</v>
      </c>
      <c r="CV400">
        <f t="shared" si="810"/>
        <v>0</v>
      </c>
      <c r="CW400">
        <f t="shared" si="811"/>
        <v>0</v>
      </c>
      <c r="CX400">
        <f t="shared" si="811"/>
        <v>0</v>
      </c>
      <c r="CY400">
        <f t="shared" si="811"/>
        <v>0</v>
      </c>
      <c r="CZ400">
        <f t="shared" si="811"/>
        <v>0</v>
      </c>
      <c r="DA400">
        <f t="shared" si="811"/>
        <v>0</v>
      </c>
      <c r="DB400">
        <f t="shared" si="811"/>
        <v>0</v>
      </c>
      <c r="DC400">
        <f t="shared" si="811"/>
        <v>0</v>
      </c>
      <c r="DD400">
        <f t="shared" si="811"/>
        <v>0</v>
      </c>
      <c r="DE400">
        <f t="shared" si="811"/>
        <v>0</v>
      </c>
      <c r="DF400">
        <f t="shared" si="811"/>
        <v>0</v>
      </c>
      <c r="DG400">
        <f t="shared" si="812"/>
        <v>0</v>
      </c>
      <c r="DH400">
        <f t="shared" si="812"/>
        <v>0</v>
      </c>
      <c r="DI400">
        <f t="shared" si="812"/>
        <v>0</v>
      </c>
      <c r="DJ400">
        <f t="shared" si="812"/>
        <v>0</v>
      </c>
      <c r="DK400">
        <f t="shared" si="812"/>
        <v>0</v>
      </c>
      <c r="DL400">
        <f t="shared" si="812"/>
        <v>0</v>
      </c>
      <c r="DM400">
        <f t="shared" si="812"/>
        <v>0</v>
      </c>
      <c r="DN400">
        <f t="shared" si="812"/>
        <v>0</v>
      </c>
      <c r="DO400">
        <f t="shared" si="812"/>
        <v>0</v>
      </c>
      <c r="DP400">
        <f t="shared" si="812"/>
        <v>0</v>
      </c>
      <c r="DQ400">
        <f t="shared" si="813"/>
        <v>0</v>
      </c>
      <c r="DR400">
        <f t="shared" si="813"/>
        <v>0</v>
      </c>
      <c r="DS400">
        <f t="shared" si="813"/>
        <v>0</v>
      </c>
      <c r="DT400">
        <f t="shared" si="813"/>
        <v>0</v>
      </c>
      <c r="DU400">
        <f t="shared" si="813"/>
        <v>0</v>
      </c>
      <c r="DV400">
        <f t="shared" si="813"/>
        <v>0</v>
      </c>
      <c r="DW400">
        <f t="shared" si="813"/>
        <v>0</v>
      </c>
      <c r="DX400">
        <f t="shared" si="813"/>
        <v>0</v>
      </c>
      <c r="DY400">
        <f t="shared" si="813"/>
        <v>0</v>
      </c>
      <c r="DZ400">
        <f t="shared" si="813"/>
        <v>0</v>
      </c>
      <c r="EA400">
        <f t="shared" si="814"/>
        <v>0</v>
      </c>
      <c r="EB400">
        <f t="shared" si="814"/>
        <v>0</v>
      </c>
      <c r="EC400">
        <f t="shared" si="814"/>
        <v>0</v>
      </c>
      <c r="ED400">
        <f t="shared" si="814"/>
        <v>0</v>
      </c>
      <c r="EE400">
        <f t="shared" si="814"/>
        <v>0</v>
      </c>
      <c r="EF400">
        <f t="shared" si="814"/>
        <v>0</v>
      </c>
    </row>
    <row r="401" spans="1:136" ht="15.5">
      <c r="A401" s="90"/>
      <c r="B401" s="53" t="s">
        <v>212</v>
      </c>
      <c r="C401" s="95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>
        <v>0</v>
      </c>
      <c r="AH401" s="18">
        <v>0</v>
      </c>
      <c r="AI401" s="18">
        <v>0</v>
      </c>
      <c r="AJ401" s="18">
        <v>0</v>
      </c>
      <c r="AK401" s="18">
        <v>210.64</v>
      </c>
      <c r="AL401" s="18">
        <v>290.13209013209013</v>
      </c>
      <c r="AM401" s="18">
        <v>327.972027972028</v>
      </c>
      <c r="AN401" s="18">
        <v>486.95981804397275</v>
      </c>
      <c r="AO401" s="18">
        <v>580.88445078459347</v>
      </c>
      <c r="AP401" s="18">
        <v>637.27390180878547</v>
      </c>
      <c r="AQ401" s="18">
        <f>282.84+36.07</f>
        <v>318.90999999999997</v>
      </c>
      <c r="AR401" s="18">
        <v>147</v>
      </c>
      <c r="AS401" s="18">
        <f>3000/16.69</f>
        <v>179.7483523067705</v>
      </c>
      <c r="AT401" s="18">
        <f>14000/17.59</f>
        <v>795.90676520750424</v>
      </c>
      <c r="AU401" s="18">
        <f>7600/29.37</f>
        <v>258.76744977868572</v>
      </c>
      <c r="AV401" s="18">
        <v>0</v>
      </c>
      <c r="AW401" s="18">
        <v>0</v>
      </c>
      <c r="AX401" s="18">
        <v>0</v>
      </c>
      <c r="AY401" s="18">
        <v>0</v>
      </c>
      <c r="AZ401" s="18">
        <v>109</v>
      </c>
      <c r="BA401" s="18">
        <f>110.5</f>
        <v>110.5</v>
      </c>
      <c r="BB401" s="18">
        <v>0</v>
      </c>
      <c r="BC401" s="18">
        <v>91</v>
      </c>
      <c r="BD401" s="18">
        <v>194</v>
      </c>
      <c r="BE401" s="25">
        <v>478</v>
      </c>
      <c r="BF401" s="18">
        <v>798.5</v>
      </c>
      <c r="BG401" s="18">
        <v>866.1</v>
      </c>
      <c r="BH401" s="18">
        <v>663.3</v>
      </c>
      <c r="BI401" s="18">
        <v>342.89999999999992</v>
      </c>
      <c r="BJ401" s="113">
        <v>0.49999999999988631</v>
      </c>
      <c r="BK401" s="113">
        <v>445.49999999999989</v>
      </c>
      <c r="BL401" s="113">
        <v>603.29999999999995</v>
      </c>
      <c r="BM401" s="113">
        <v>698</v>
      </c>
      <c r="BN401" s="113">
        <v>0</v>
      </c>
      <c r="BO401" s="113">
        <v>0</v>
      </c>
      <c r="BP401" s="113">
        <v>0</v>
      </c>
      <c r="BQ401" s="113">
        <v>0</v>
      </c>
      <c r="BR401" s="101"/>
      <c r="BS401">
        <f t="shared" si="808"/>
        <v>0</v>
      </c>
      <c r="BT401">
        <f t="shared" si="808"/>
        <v>0</v>
      </c>
      <c r="BU401">
        <f t="shared" si="808"/>
        <v>0</v>
      </c>
      <c r="BV401">
        <f t="shared" si="808"/>
        <v>0</v>
      </c>
      <c r="BW401">
        <f t="shared" si="808"/>
        <v>0</v>
      </c>
      <c r="BX401">
        <f t="shared" si="808"/>
        <v>0</v>
      </c>
      <c r="BY401">
        <f t="shared" si="808"/>
        <v>0</v>
      </c>
      <c r="BZ401">
        <f t="shared" si="808"/>
        <v>0</v>
      </c>
      <c r="CA401">
        <f t="shared" si="808"/>
        <v>0</v>
      </c>
      <c r="CB401">
        <f t="shared" si="808"/>
        <v>0</v>
      </c>
      <c r="CC401">
        <f t="shared" si="809"/>
        <v>0</v>
      </c>
      <c r="CD401">
        <f t="shared" si="809"/>
        <v>0</v>
      </c>
      <c r="CE401">
        <f t="shared" si="809"/>
        <v>0</v>
      </c>
      <c r="CF401">
        <f t="shared" si="809"/>
        <v>0</v>
      </c>
      <c r="CG401">
        <f t="shared" si="809"/>
        <v>0</v>
      </c>
      <c r="CH401">
        <f t="shared" si="809"/>
        <v>0</v>
      </c>
      <c r="CI401">
        <f t="shared" si="809"/>
        <v>0</v>
      </c>
      <c r="CJ401">
        <f t="shared" si="809"/>
        <v>0</v>
      </c>
      <c r="CK401">
        <f t="shared" si="809"/>
        <v>0</v>
      </c>
      <c r="CL401">
        <f t="shared" si="809"/>
        <v>0</v>
      </c>
      <c r="CM401">
        <f t="shared" si="810"/>
        <v>0</v>
      </c>
      <c r="CN401">
        <f t="shared" si="810"/>
        <v>0</v>
      </c>
      <c r="CO401">
        <f t="shared" si="810"/>
        <v>0</v>
      </c>
      <c r="CP401">
        <f t="shared" si="810"/>
        <v>0</v>
      </c>
      <c r="CQ401">
        <f t="shared" si="810"/>
        <v>0</v>
      </c>
      <c r="CR401">
        <f t="shared" si="810"/>
        <v>0</v>
      </c>
      <c r="CS401">
        <f t="shared" si="810"/>
        <v>0</v>
      </c>
      <c r="CT401">
        <f t="shared" si="810"/>
        <v>0</v>
      </c>
      <c r="CU401">
        <f t="shared" si="810"/>
        <v>0</v>
      </c>
      <c r="CV401">
        <f t="shared" si="810"/>
        <v>0</v>
      </c>
      <c r="CW401">
        <f t="shared" si="811"/>
        <v>0</v>
      </c>
      <c r="CX401">
        <f t="shared" si="811"/>
        <v>0</v>
      </c>
      <c r="CY401">
        <f t="shared" si="811"/>
        <v>0</v>
      </c>
      <c r="CZ401">
        <f t="shared" si="811"/>
        <v>0</v>
      </c>
      <c r="DA401">
        <f t="shared" si="811"/>
        <v>0</v>
      </c>
      <c r="DB401">
        <f t="shared" si="811"/>
        <v>0</v>
      </c>
      <c r="DC401">
        <f t="shared" si="811"/>
        <v>0</v>
      </c>
      <c r="DD401">
        <f t="shared" si="811"/>
        <v>0</v>
      </c>
      <c r="DE401">
        <f t="shared" si="811"/>
        <v>0</v>
      </c>
      <c r="DF401">
        <f t="shared" si="811"/>
        <v>0</v>
      </c>
      <c r="DG401">
        <f t="shared" si="812"/>
        <v>0</v>
      </c>
      <c r="DH401">
        <f t="shared" si="812"/>
        <v>0</v>
      </c>
      <c r="DI401">
        <f t="shared" si="812"/>
        <v>0</v>
      </c>
      <c r="DJ401">
        <f t="shared" si="812"/>
        <v>0</v>
      </c>
      <c r="DK401">
        <f t="shared" si="812"/>
        <v>0</v>
      </c>
      <c r="DL401">
        <f t="shared" si="812"/>
        <v>0</v>
      </c>
      <c r="DM401">
        <f t="shared" si="812"/>
        <v>0</v>
      </c>
      <c r="DN401">
        <f t="shared" si="812"/>
        <v>0</v>
      </c>
      <c r="DO401">
        <f t="shared" si="812"/>
        <v>0</v>
      </c>
      <c r="DP401">
        <f t="shared" si="812"/>
        <v>0</v>
      </c>
      <c r="DQ401">
        <f t="shared" si="813"/>
        <v>0</v>
      </c>
      <c r="DR401">
        <f t="shared" si="813"/>
        <v>0</v>
      </c>
      <c r="DS401">
        <f t="shared" si="813"/>
        <v>0</v>
      </c>
      <c r="DT401">
        <f t="shared" si="813"/>
        <v>0</v>
      </c>
      <c r="DU401">
        <f t="shared" si="813"/>
        <v>0</v>
      </c>
      <c r="DV401">
        <f t="shared" si="813"/>
        <v>0</v>
      </c>
      <c r="DW401">
        <f t="shared" si="813"/>
        <v>0</v>
      </c>
      <c r="DX401">
        <f t="shared" si="813"/>
        <v>0</v>
      </c>
      <c r="DY401">
        <f t="shared" si="813"/>
        <v>0</v>
      </c>
      <c r="DZ401">
        <f t="shared" si="813"/>
        <v>0</v>
      </c>
      <c r="EA401">
        <f t="shared" ref="EA401:EF401" si="815">IF($C401&lt;&gt;"",IF(BL401&gt;0,1,0),0)</f>
        <v>0</v>
      </c>
      <c r="EB401">
        <f t="shared" si="815"/>
        <v>0</v>
      </c>
      <c r="EC401">
        <f t="shared" si="815"/>
        <v>0</v>
      </c>
      <c r="ED401">
        <f t="shared" si="815"/>
        <v>0</v>
      </c>
      <c r="EE401">
        <f t="shared" si="815"/>
        <v>0</v>
      </c>
      <c r="EF401">
        <f t="shared" si="815"/>
        <v>0</v>
      </c>
    </row>
    <row r="402" spans="1:136" ht="15.5">
      <c r="A402" s="90"/>
      <c r="B402" s="53"/>
      <c r="C402" s="95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38"/>
      <c r="AR402" s="38"/>
      <c r="AS402" s="18"/>
      <c r="AT402" s="18"/>
      <c r="AU402" s="18"/>
      <c r="AV402" s="18"/>
      <c r="AW402" s="18"/>
      <c r="AX402" s="18"/>
      <c r="AY402" s="18"/>
      <c r="AZ402" s="18"/>
      <c r="BA402" s="18"/>
      <c r="BB402" s="18"/>
      <c r="BC402" s="18"/>
      <c r="BD402" s="18"/>
      <c r="BE402" s="25"/>
      <c r="BF402" s="18"/>
      <c r="BG402" s="18"/>
      <c r="BH402" s="2"/>
      <c r="BI402" s="2"/>
      <c r="BJ402" s="2"/>
      <c r="BK402" s="2"/>
      <c r="BL402" s="22"/>
      <c r="BM402" s="2"/>
      <c r="BN402" s="2"/>
      <c r="BO402" s="2"/>
      <c r="BP402" s="2"/>
      <c r="BQ402" s="2"/>
      <c r="BR402" s="101"/>
    </row>
    <row r="403" spans="1:136" ht="15.5">
      <c r="A403" s="93">
        <v>47</v>
      </c>
      <c r="B403" s="52" t="s">
        <v>60</v>
      </c>
      <c r="C403" s="95">
        <v>3</v>
      </c>
      <c r="D403" s="22">
        <f t="shared" ref="D403:AI403" si="816">SUM(D404:D410)</f>
        <v>0</v>
      </c>
      <c r="E403" s="22">
        <f t="shared" si="816"/>
        <v>0</v>
      </c>
      <c r="F403" s="22">
        <f t="shared" si="816"/>
        <v>0</v>
      </c>
      <c r="G403" s="22">
        <f t="shared" si="816"/>
        <v>0</v>
      </c>
      <c r="H403" s="22">
        <f t="shared" si="816"/>
        <v>0</v>
      </c>
      <c r="I403" s="22">
        <f t="shared" si="816"/>
        <v>0</v>
      </c>
      <c r="J403" s="22">
        <f t="shared" si="816"/>
        <v>0</v>
      </c>
      <c r="K403" s="22">
        <f t="shared" si="816"/>
        <v>0</v>
      </c>
      <c r="L403" s="22">
        <f t="shared" si="816"/>
        <v>0</v>
      </c>
      <c r="M403" s="22">
        <f t="shared" si="816"/>
        <v>0</v>
      </c>
      <c r="N403" s="22">
        <f t="shared" si="816"/>
        <v>0</v>
      </c>
      <c r="O403" s="22">
        <f t="shared" si="816"/>
        <v>0</v>
      </c>
      <c r="P403" s="22">
        <f t="shared" si="816"/>
        <v>0.47299999999999998</v>
      </c>
      <c r="Q403" s="22">
        <f t="shared" si="816"/>
        <v>0</v>
      </c>
      <c r="R403" s="22">
        <f t="shared" si="816"/>
        <v>0</v>
      </c>
      <c r="S403" s="22">
        <f t="shared" si="816"/>
        <v>0</v>
      </c>
      <c r="T403" s="22">
        <f t="shared" si="816"/>
        <v>1.285007</v>
      </c>
      <c r="U403" s="22">
        <f t="shared" si="816"/>
        <v>34.671239999999997</v>
      </c>
      <c r="V403" s="22">
        <f t="shared" si="816"/>
        <v>8.8827040000000004</v>
      </c>
      <c r="W403" s="22">
        <f t="shared" si="816"/>
        <v>234.26050000000001</v>
      </c>
      <c r="X403" s="22">
        <f t="shared" si="816"/>
        <v>24.32479</v>
      </c>
      <c r="Y403" s="22">
        <f t="shared" si="816"/>
        <v>166.63320000000002</v>
      </c>
      <c r="Z403" s="22">
        <f t="shared" si="816"/>
        <v>2643.4416999999999</v>
      </c>
      <c r="AA403" s="22">
        <f t="shared" si="816"/>
        <v>2978.607</v>
      </c>
      <c r="AB403" s="22">
        <f t="shared" si="816"/>
        <v>3503.4192000000007</v>
      </c>
      <c r="AC403" s="22">
        <f t="shared" si="816"/>
        <v>4766.97</v>
      </c>
      <c r="AD403" s="22">
        <f t="shared" si="816"/>
        <v>1113.3184000000001</v>
      </c>
      <c r="AE403" s="22">
        <f t="shared" si="816"/>
        <v>5726.4924300000002</v>
      </c>
      <c r="AF403" s="22">
        <f t="shared" si="816"/>
        <v>6114.8175999999994</v>
      </c>
      <c r="AG403" s="22">
        <f t="shared" si="816"/>
        <v>6278.4671807499999</v>
      </c>
      <c r="AH403" s="22">
        <f t="shared" si="816"/>
        <v>6583.215765234625</v>
      </c>
      <c r="AI403" s="22">
        <f t="shared" si="816"/>
        <v>7136.1793093750739</v>
      </c>
      <c r="AJ403" s="22">
        <f t="shared" ref="AJ403:BQ403" si="817">SUM(AJ404:AJ410)</f>
        <v>7485.2838064453917</v>
      </c>
      <c r="AK403" s="22">
        <f t="shared" si="817"/>
        <v>7103.4117886708837</v>
      </c>
      <c r="AL403" s="22">
        <f t="shared" si="817"/>
        <v>6907.8864939999994</v>
      </c>
      <c r="AM403" s="22">
        <f t="shared" si="817"/>
        <v>7199.7428099999997</v>
      </c>
      <c r="AN403" s="22">
        <f t="shared" si="817"/>
        <v>348.855301</v>
      </c>
      <c r="AO403" s="22">
        <f t="shared" si="817"/>
        <v>602.06541399999992</v>
      </c>
      <c r="AP403" s="22">
        <f t="shared" si="817"/>
        <v>189.0530502</v>
      </c>
      <c r="AQ403" s="22">
        <f t="shared" si="817"/>
        <v>8397.5937219999996</v>
      </c>
      <c r="AR403" s="22">
        <f t="shared" si="817"/>
        <v>8364.7219999999998</v>
      </c>
      <c r="AS403" s="22">
        <f t="shared" si="817"/>
        <v>111.09262799999999</v>
      </c>
      <c r="AT403" s="22">
        <f t="shared" si="817"/>
        <v>12.827162999999999</v>
      </c>
      <c r="AU403" s="22">
        <f t="shared" si="817"/>
        <v>85.819000000000003</v>
      </c>
      <c r="AV403" s="22">
        <f t="shared" si="817"/>
        <v>37.52704</v>
      </c>
      <c r="AW403" s="22">
        <f t="shared" si="817"/>
        <v>36.934269999999998</v>
      </c>
      <c r="AX403" s="22">
        <f t="shared" si="817"/>
        <v>1.5926747999999999</v>
      </c>
      <c r="AY403" s="22">
        <f t="shared" si="817"/>
        <v>7.4600063999999993</v>
      </c>
      <c r="AZ403" s="22">
        <f t="shared" si="817"/>
        <v>3194.2744317000002</v>
      </c>
      <c r="BA403" s="22">
        <f t="shared" si="817"/>
        <v>6238.4947735000005</v>
      </c>
      <c r="BB403" s="22">
        <f t="shared" si="817"/>
        <v>31.368039100000001</v>
      </c>
      <c r="BC403" s="22">
        <f t="shared" si="817"/>
        <v>57.647267100000001</v>
      </c>
      <c r="BD403" s="22">
        <f t="shared" si="817"/>
        <v>58.547508399999998</v>
      </c>
      <c r="BE403" s="22">
        <f t="shared" si="817"/>
        <v>59.232274500000003</v>
      </c>
      <c r="BF403" s="22">
        <f t="shared" si="817"/>
        <v>39.206816099999998</v>
      </c>
      <c r="BG403" s="22">
        <f t="shared" si="817"/>
        <v>41.186649299999999</v>
      </c>
      <c r="BH403" s="22">
        <f t="shared" si="817"/>
        <v>43.178547399999999</v>
      </c>
      <c r="BI403" s="22">
        <f t="shared" si="817"/>
        <v>1063.1517202</v>
      </c>
      <c r="BJ403" s="22">
        <f t="shared" si="817"/>
        <v>49.139690000000002</v>
      </c>
      <c r="BK403" s="22">
        <f t="shared" si="817"/>
        <v>52.1078464</v>
      </c>
      <c r="BL403" s="22">
        <f t="shared" si="817"/>
        <v>23597.220900799999</v>
      </c>
      <c r="BM403" s="22">
        <f t="shared" si="817"/>
        <v>299.42559699999998</v>
      </c>
      <c r="BN403" s="22">
        <f t="shared" si="817"/>
        <v>4699.3490000000002</v>
      </c>
      <c r="BO403" s="22">
        <f t="shared" si="817"/>
        <v>52</v>
      </c>
      <c r="BP403" s="22">
        <f t="shared" si="817"/>
        <v>52</v>
      </c>
      <c r="BQ403" s="22">
        <f t="shared" si="817"/>
        <v>0</v>
      </c>
      <c r="BR403" s="101"/>
      <c r="BS403">
        <f t="shared" ref="BS403:CX403" si="818">IF($C403&lt;&gt;"",IF(D403&gt;0,1,0),0)</f>
        <v>0</v>
      </c>
      <c r="BT403">
        <f t="shared" si="818"/>
        <v>0</v>
      </c>
      <c r="BU403">
        <f t="shared" si="818"/>
        <v>0</v>
      </c>
      <c r="BV403">
        <f t="shared" si="818"/>
        <v>0</v>
      </c>
      <c r="BW403">
        <f t="shared" si="818"/>
        <v>0</v>
      </c>
      <c r="BX403">
        <f t="shared" si="818"/>
        <v>0</v>
      </c>
      <c r="BY403">
        <f t="shared" si="818"/>
        <v>0</v>
      </c>
      <c r="BZ403">
        <f t="shared" si="818"/>
        <v>0</v>
      </c>
      <c r="CA403">
        <f t="shared" si="818"/>
        <v>0</v>
      </c>
      <c r="CB403">
        <f t="shared" si="818"/>
        <v>0</v>
      </c>
      <c r="CC403">
        <f t="shared" si="818"/>
        <v>0</v>
      </c>
      <c r="CD403">
        <f t="shared" si="818"/>
        <v>0</v>
      </c>
      <c r="CE403">
        <f t="shared" si="818"/>
        <v>1</v>
      </c>
      <c r="CF403">
        <f t="shared" si="818"/>
        <v>0</v>
      </c>
      <c r="CG403">
        <f t="shared" si="818"/>
        <v>0</v>
      </c>
      <c r="CH403">
        <f t="shared" si="818"/>
        <v>0</v>
      </c>
      <c r="CI403">
        <f t="shared" si="818"/>
        <v>1</v>
      </c>
      <c r="CJ403">
        <f t="shared" si="818"/>
        <v>1</v>
      </c>
      <c r="CK403">
        <f t="shared" si="818"/>
        <v>1</v>
      </c>
      <c r="CL403">
        <f t="shared" si="818"/>
        <v>1</v>
      </c>
      <c r="CM403">
        <f t="shared" si="818"/>
        <v>1</v>
      </c>
      <c r="CN403">
        <f t="shared" si="818"/>
        <v>1</v>
      </c>
      <c r="CO403">
        <f t="shared" si="818"/>
        <v>1</v>
      </c>
      <c r="CP403">
        <f t="shared" si="818"/>
        <v>1</v>
      </c>
      <c r="CQ403">
        <f t="shared" si="818"/>
        <v>1</v>
      </c>
      <c r="CR403">
        <f t="shared" si="818"/>
        <v>1</v>
      </c>
      <c r="CS403">
        <f t="shared" si="818"/>
        <v>1</v>
      </c>
      <c r="CT403">
        <f t="shared" si="818"/>
        <v>1</v>
      </c>
      <c r="CU403">
        <f t="shared" si="818"/>
        <v>1</v>
      </c>
      <c r="CV403">
        <f t="shared" si="818"/>
        <v>1</v>
      </c>
      <c r="CW403">
        <f t="shared" si="818"/>
        <v>1</v>
      </c>
      <c r="CX403">
        <f t="shared" si="818"/>
        <v>1</v>
      </c>
      <c r="CY403">
        <f t="shared" ref="CY403:ED403" si="819">IF($C403&lt;&gt;"",IF(AJ403&gt;0,1,0),0)</f>
        <v>1</v>
      </c>
      <c r="CZ403">
        <f t="shared" si="819"/>
        <v>1</v>
      </c>
      <c r="DA403">
        <f t="shared" si="819"/>
        <v>1</v>
      </c>
      <c r="DB403">
        <f t="shared" si="819"/>
        <v>1</v>
      </c>
      <c r="DC403">
        <f t="shared" si="819"/>
        <v>1</v>
      </c>
      <c r="DD403">
        <f t="shared" si="819"/>
        <v>1</v>
      </c>
      <c r="DE403">
        <f t="shared" si="819"/>
        <v>1</v>
      </c>
      <c r="DF403">
        <f t="shared" si="819"/>
        <v>1</v>
      </c>
      <c r="DG403">
        <f t="shared" si="819"/>
        <v>1</v>
      </c>
      <c r="DH403">
        <f t="shared" si="819"/>
        <v>1</v>
      </c>
      <c r="DI403">
        <f t="shared" si="819"/>
        <v>1</v>
      </c>
      <c r="DJ403">
        <f t="shared" si="819"/>
        <v>1</v>
      </c>
      <c r="DK403">
        <f t="shared" si="819"/>
        <v>1</v>
      </c>
      <c r="DL403">
        <f t="shared" si="819"/>
        <v>1</v>
      </c>
      <c r="DM403">
        <f t="shared" si="819"/>
        <v>1</v>
      </c>
      <c r="DN403">
        <f t="shared" si="819"/>
        <v>1</v>
      </c>
      <c r="DO403">
        <f t="shared" si="819"/>
        <v>1</v>
      </c>
      <c r="DP403">
        <f t="shared" si="819"/>
        <v>1</v>
      </c>
      <c r="DQ403">
        <f t="shared" si="819"/>
        <v>1</v>
      </c>
      <c r="DR403">
        <f t="shared" si="819"/>
        <v>1</v>
      </c>
      <c r="DS403">
        <f t="shared" si="819"/>
        <v>1</v>
      </c>
      <c r="DT403">
        <f t="shared" si="819"/>
        <v>1</v>
      </c>
      <c r="DU403">
        <f t="shared" si="819"/>
        <v>1</v>
      </c>
      <c r="DV403">
        <f t="shared" si="819"/>
        <v>1</v>
      </c>
      <c r="DW403">
        <f t="shared" si="819"/>
        <v>1</v>
      </c>
      <c r="DX403">
        <f t="shared" si="819"/>
        <v>1</v>
      </c>
      <c r="DY403">
        <f t="shared" si="819"/>
        <v>1</v>
      </c>
      <c r="DZ403">
        <f t="shared" si="819"/>
        <v>1</v>
      </c>
      <c r="EA403">
        <f t="shared" si="819"/>
        <v>1</v>
      </c>
      <c r="EB403">
        <f t="shared" si="819"/>
        <v>1</v>
      </c>
      <c r="EC403">
        <f t="shared" si="819"/>
        <v>1</v>
      </c>
      <c r="ED403">
        <f t="shared" si="819"/>
        <v>1</v>
      </c>
      <c r="EE403">
        <f t="shared" ref="EE403:EF403" si="820">IF($C403&lt;&gt;"",IF(BP403&gt;0,1,0),0)</f>
        <v>1</v>
      </c>
      <c r="EF403">
        <f t="shared" si="820"/>
        <v>0</v>
      </c>
    </row>
    <row r="404" spans="1:136" ht="15.5">
      <c r="A404" s="90"/>
      <c r="B404" s="19" t="s">
        <v>2</v>
      </c>
      <c r="C404" s="95"/>
      <c r="D404" s="18">
        <v>0</v>
      </c>
      <c r="E404" s="18">
        <v>0</v>
      </c>
      <c r="F404" s="18">
        <v>0</v>
      </c>
      <c r="G404" s="18">
        <v>0</v>
      </c>
      <c r="H404" s="18">
        <v>0</v>
      </c>
      <c r="I404" s="18">
        <v>0</v>
      </c>
      <c r="J404" s="18">
        <v>0</v>
      </c>
      <c r="K404" s="18">
        <v>0</v>
      </c>
      <c r="L404" s="18">
        <v>0</v>
      </c>
      <c r="M404" s="18">
        <v>0</v>
      </c>
      <c r="N404" s="18">
        <v>0</v>
      </c>
      <c r="O404" s="18">
        <v>0</v>
      </c>
      <c r="P404" s="18">
        <v>0</v>
      </c>
      <c r="Q404" s="18">
        <v>0</v>
      </c>
      <c r="R404" s="18">
        <v>0</v>
      </c>
      <c r="S404" s="18">
        <v>0</v>
      </c>
      <c r="T404" s="18">
        <v>0</v>
      </c>
      <c r="U404" s="18">
        <v>0</v>
      </c>
      <c r="V404" s="18">
        <v>0</v>
      </c>
      <c r="W404" s="18">
        <v>0</v>
      </c>
      <c r="X404" s="18">
        <v>0</v>
      </c>
      <c r="Y404" s="18">
        <v>0</v>
      </c>
      <c r="Z404" s="18">
        <v>0</v>
      </c>
      <c r="AA404" s="18">
        <v>169</v>
      </c>
      <c r="AB404" s="18">
        <v>0</v>
      </c>
      <c r="AC404" s="18">
        <v>330</v>
      </c>
      <c r="AD404" s="18">
        <v>0</v>
      </c>
      <c r="AE404" s="40" t="s">
        <v>16</v>
      </c>
      <c r="AF404" s="18">
        <v>277</v>
      </c>
      <c r="AG404" s="18">
        <v>393</v>
      </c>
      <c r="AH404" s="18">
        <v>0</v>
      </c>
      <c r="AI404" s="40" t="s">
        <v>16</v>
      </c>
      <c r="AJ404" s="18">
        <v>339</v>
      </c>
      <c r="AK404" s="40" t="s">
        <v>16</v>
      </c>
      <c r="AL404" s="18">
        <v>293</v>
      </c>
      <c r="AM404" s="40" t="s">
        <v>16</v>
      </c>
      <c r="AN404" s="18">
        <v>250</v>
      </c>
      <c r="AO404" s="18">
        <v>220</v>
      </c>
      <c r="AP404" s="40" t="s">
        <v>16</v>
      </c>
      <c r="AQ404" s="40" t="s">
        <v>16</v>
      </c>
      <c r="AR404" s="18">
        <v>880</v>
      </c>
      <c r="AS404" s="18">
        <v>96</v>
      </c>
      <c r="AT404" s="18">
        <v>0</v>
      </c>
      <c r="AU404" s="18">
        <v>81</v>
      </c>
      <c r="AV404" s="18">
        <v>0</v>
      </c>
      <c r="AW404" s="18">
        <v>0</v>
      </c>
      <c r="AX404" s="18">
        <v>0</v>
      </c>
      <c r="AY404" s="18">
        <v>0</v>
      </c>
      <c r="AZ404" s="18">
        <v>0</v>
      </c>
      <c r="BA404" s="18">
        <v>0</v>
      </c>
      <c r="BB404" s="18">
        <v>0</v>
      </c>
      <c r="BC404" s="18">
        <v>0</v>
      </c>
      <c r="BD404" s="18">
        <v>0</v>
      </c>
      <c r="BE404" s="25">
        <v>0</v>
      </c>
      <c r="BF404" s="18">
        <v>0</v>
      </c>
      <c r="BG404" s="18">
        <v>0</v>
      </c>
      <c r="BH404" s="18">
        <v>0</v>
      </c>
      <c r="BI404" s="18">
        <v>0</v>
      </c>
      <c r="BJ404" s="113">
        <v>0</v>
      </c>
      <c r="BK404" s="113">
        <v>0</v>
      </c>
      <c r="BL404" s="113">
        <v>0</v>
      </c>
      <c r="BM404" s="113">
        <v>0</v>
      </c>
      <c r="BN404" s="113">
        <v>0</v>
      </c>
      <c r="BO404" s="113">
        <v>0</v>
      </c>
      <c r="BP404" s="113">
        <v>0</v>
      </c>
      <c r="BQ404" s="113">
        <v>0</v>
      </c>
      <c r="BR404" s="101"/>
      <c r="BS404">
        <f t="shared" ref="BS404:CB410" si="821">IF($C404&lt;&gt;"",IF(D404&gt;0,1,0),0)</f>
        <v>0</v>
      </c>
      <c r="BT404">
        <f t="shared" si="821"/>
        <v>0</v>
      </c>
      <c r="BU404">
        <f t="shared" si="821"/>
        <v>0</v>
      </c>
      <c r="BV404">
        <f t="shared" si="821"/>
        <v>0</v>
      </c>
      <c r="BW404">
        <f t="shared" si="821"/>
        <v>0</v>
      </c>
      <c r="BX404">
        <f t="shared" si="821"/>
        <v>0</v>
      </c>
      <c r="BY404">
        <f t="shared" si="821"/>
        <v>0</v>
      </c>
      <c r="BZ404">
        <f t="shared" si="821"/>
        <v>0</v>
      </c>
      <c r="CA404">
        <f t="shared" si="821"/>
        <v>0</v>
      </c>
      <c r="CB404">
        <f t="shared" si="821"/>
        <v>0</v>
      </c>
      <c r="CC404">
        <f t="shared" ref="CC404:CL410" si="822">IF($C404&lt;&gt;"",IF(N404&gt;0,1,0),0)</f>
        <v>0</v>
      </c>
      <c r="CD404">
        <f t="shared" si="822"/>
        <v>0</v>
      </c>
      <c r="CE404">
        <f t="shared" si="822"/>
        <v>0</v>
      </c>
      <c r="CF404">
        <f t="shared" si="822"/>
        <v>0</v>
      </c>
      <c r="CG404">
        <f t="shared" si="822"/>
        <v>0</v>
      </c>
      <c r="CH404">
        <f t="shared" si="822"/>
        <v>0</v>
      </c>
      <c r="CI404">
        <f t="shared" si="822"/>
        <v>0</v>
      </c>
      <c r="CJ404">
        <f t="shared" si="822"/>
        <v>0</v>
      </c>
      <c r="CK404">
        <f t="shared" si="822"/>
        <v>0</v>
      </c>
      <c r="CL404">
        <f t="shared" si="822"/>
        <v>0</v>
      </c>
      <c r="CM404">
        <f t="shared" ref="CM404:CV410" si="823">IF($C404&lt;&gt;"",IF(X404&gt;0,1,0),0)</f>
        <v>0</v>
      </c>
      <c r="CN404">
        <f t="shared" si="823"/>
        <v>0</v>
      </c>
      <c r="CO404">
        <f t="shared" si="823"/>
        <v>0</v>
      </c>
      <c r="CP404">
        <f t="shared" si="823"/>
        <v>0</v>
      </c>
      <c r="CQ404">
        <f t="shared" si="823"/>
        <v>0</v>
      </c>
      <c r="CR404">
        <f t="shared" si="823"/>
        <v>0</v>
      </c>
      <c r="CS404">
        <f t="shared" si="823"/>
        <v>0</v>
      </c>
      <c r="CT404">
        <f t="shared" si="823"/>
        <v>0</v>
      </c>
      <c r="CU404">
        <f t="shared" si="823"/>
        <v>0</v>
      </c>
      <c r="CV404">
        <f t="shared" si="823"/>
        <v>0</v>
      </c>
      <c r="CW404">
        <f t="shared" ref="CW404:DF410" si="824">IF($C404&lt;&gt;"",IF(AH404&gt;0,1,0),0)</f>
        <v>0</v>
      </c>
      <c r="CX404">
        <f t="shared" si="824"/>
        <v>0</v>
      </c>
      <c r="CY404">
        <f t="shared" si="824"/>
        <v>0</v>
      </c>
      <c r="CZ404">
        <f t="shared" si="824"/>
        <v>0</v>
      </c>
      <c r="DA404">
        <f t="shared" si="824"/>
        <v>0</v>
      </c>
      <c r="DB404">
        <f t="shared" si="824"/>
        <v>0</v>
      </c>
      <c r="DC404">
        <f t="shared" si="824"/>
        <v>0</v>
      </c>
      <c r="DD404">
        <f t="shared" si="824"/>
        <v>0</v>
      </c>
      <c r="DE404">
        <f t="shared" si="824"/>
        <v>0</v>
      </c>
      <c r="DF404">
        <f t="shared" si="824"/>
        <v>0</v>
      </c>
      <c r="DG404">
        <f t="shared" ref="DG404:DP410" si="825">IF($C404&lt;&gt;"",IF(AR404&gt;0,1,0),0)</f>
        <v>0</v>
      </c>
      <c r="DH404">
        <f t="shared" si="825"/>
        <v>0</v>
      </c>
      <c r="DI404">
        <f t="shared" si="825"/>
        <v>0</v>
      </c>
      <c r="DJ404">
        <f t="shared" si="825"/>
        <v>0</v>
      </c>
      <c r="DK404">
        <f t="shared" si="825"/>
        <v>0</v>
      </c>
      <c r="DL404">
        <f t="shared" si="825"/>
        <v>0</v>
      </c>
      <c r="DM404">
        <f t="shared" si="825"/>
        <v>0</v>
      </c>
      <c r="DN404">
        <f t="shared" si="825"/>
        <v>0</v>
      </c>
      <c r="DO404">
        <f t="shared" si="825"/>
        <v>0</v>
      </c>
      <c r="DP404">
        <f t="shared" si="825"/>
        <v>0</v>
      </c>
      <c r="DQ404">
        <f t="shared" ref="DQ404:DZ410" si="826">IF($C404&lt;&gt;"",IF(BB404&gt;0,1,0),0)</f>
        <v>0</v>
      </c>
      <c r="DR404">
        <f t="shared" si="826"/>
        <v>0</v>
      </c>
      <c r="DS404">
        <f t="shared" si="826"/>
        <v>0</v>
      </c>
      <c r="DT404">
        <f t="shared" si="826"/>
        <v>0</v>
      </c>
      <c r="DU404">
        <f t="shared" si="826"/>
        <v>0</v>
      </c>
      <c r="DV404">
        <f t="shared" si="826"/>
        <v>0</v>
      </c>
      <c r="DW404">
        <f t="shared" si="826"/>
        <v>0</v>
      </c>
      <c r="DX404">
        <f t="shared" si="826"/>
        <v>0</v>
      </c>
      <c r="DY404">
        <f t="shared" si="826"/>
        <v>0</v>
      </c>
      <c r="DZ404">
        <f t="shared" si="826"/>
        <v>0</v>
      </c>
      <c r="EA404">
        <f t="shared" ref="EA404:EF404" si="827">IF($C404&lt;&gt;"",IF(BL403&gt;0,1,0),0)</f>
        <v>0</v>
      </c>
      <c r="EB404">
        <f t="shared" si="827"/>
        <v>0</v>
      </c>
      <c r="EC404">
        <f t="shared" si="827"/>
        <v>0</v>
      </c>
      <c r="ED404">
        <f t="shared" si="827"/>
        <v>0</v>
      </c>
      <c r="EE404">
        <f t="shared" si="827"/>
        <v>0</v>
      </c>
      <c r="EF404">
        <f t="shared" si="827"/>
        <v>0</v>
      </c>
    </row>
    <row r="405" spans="1:136" ht="15.5">
      <c r="A405" s="90"/>
      <c r="B405" s="19" t="s">
        <v>205</v>
      </c>
      <c r="C405" s="95"/>
      <c r="D405" s="18">
        <v>0</v>
      </c>
      <c r="E405" s="18">
        <v>0</v>
      </c>
      <c r="F405" s="18">
        <v>0</v>
      </c>
      <c r="G405" s="18">
        <v>0</v>
      </c>
      <c r="H405" s="18">
        <v>0</v>
      </c>
      <c r="I405" s="18">
        <v>0</v>
      </c>
      <c r="J405" s="18">
        <v>0</v>
      </c>
      <c r="K405" s="18">
        <v>0</v>
      </c>
      <c r="L405" s="18">
        <v>0</v>
      </c>
      <c r="M405" s="18">
        <v>0</v>
      </c>
      <c r="N405" s="18">
        <v>0</v>
      </c>
      <c r="O405" s="18">
        <v>0</v>
      </c>
      <c r="P405" s="18">
        <v>0</v>
      </c>
      <c r="Q405" s="18">
        <v>0</v>
      </c>
      <c r="R405" s="18">
        <v>0</v>
      </c>
      <c r="S405" s="18">
        <v>0</v>
      </c>
      <c r="T405" s="18">
        <v>0</v>
      </c>
      <c r="U405" s="18">
        <v>0</v>
      </c>
      <c r="V405" s="18">
        <v>0</v>
      </c>
      <c r="W405" s="18">
        <v>0</v>
      </c>
      <c r="X405" s="18">
        <v>0</v>
      </c>
      <c r="Y405" s="18">
        <v>0</v>
      </c>
      <c r="Z405" s="18">
        <v>0</v>
      </c>
      <c r="AA405" s="18">
        <v>0</v>
      </c>
      <c r="AB405" s="18">
        <v>0</v>
      </c>
      <c r="AC405" s="18">
        <v>0</v>
      </c>
      <c r="AD405" s="18">
        <v>0</v>
      </c>
      <c r="AE405" s="18">
        <v>0</v>
      </c>
      <c r="AF405" s="18">
        <v>0</v>
      </c>
      <c r="AG405" s="18">
        <v>0</v>
      </c>
      <c r="AH405" s="18">
        <v>0</v>
      </c>
      <c r="AI405" s="18">
        <v>0</v>
      </c>
      <c r="AJ405" s="18">
        <v>0</v>
      </c>
      <c r="AK405" s="18">
        <v>0</v>
      </c>
      <c r="AL405" s="18">
        <v>0</v>
      </c>
      <c r="AM405" s="18">
        <v>0</v>
      </c>
      <c r="AN405" s="18">
        <v>0</v>
      </c>
      <c r="AO405" s="18">
        <v>0</v>
      </c>
      <c r="AP405" s="18">
        <v>0</v>
      </c>
      <c r="AQ405" s="18">
        <v>0</v>
      </c>
      <c r="AR405" s="18">
        <v>0</v>
      </c>
      <c r="AS405" s="18">
        <v>0</v>
      </c>
      <c r="AT405" s="18">
        <v>0</v>
      </c>
      <c r="AU405" s="18">
        <v>0</v>
      </c>
      <c r="AV405" s="18">
        <v>0</v>
      </c>
      <c r="AW405" s="18">
        <v>0</v>
      </c>
      <c r="AX405" s="18">
        <v>0.35857440000000002</v>
      </c>
      <c r="AY405" s="18">
        <v>0.45656159999999996</v>
      </c>
      <c r="AZ405" s="18">
        <v>0.48795830000000001</v>
      </c>
      <c r="BA405" s="18">
        <v>8.1280600000000008E-2</v>
      </c>
      <c r="BB405" s="18">
        <v>8.6216000000000001E-2</v>
      </c>
      <c r="BC405" s="18">
        <v>0</v>
      </c>
      <c r="BD405" s="18">
        <v>8.3153100000000008E-2</v>
      </c>
      <c r="BE405" s="25">
        <v>0</v>
      </c>
      <c r="BF405" s="18">
        <v>0</v>
      </c>
      <c r="BG405" s="18">
        <v>0</v>
      </c>
      <c r="BH405" s="18">
        <v>0</v>
      </c>
      <c r="BI405" s="18">
        <v>1000</v>
      </c>
      <c r="BJ405" s="196" t="s">
        <v>16</v>
      </c>
      <c r="BK405" s="113">
        <v>0</v>
      </c>
      <c r="BL405" s="113">
        <v>4601</v>
      </c>
      <c r="BM405" s="113">
        <v>0</v>
      </c>
      <c r="BN405" s="113">
        <v>4400</v>
      </c>
      <c r="BO405" s="113">
        <v>0</v>
      </c>
      <c r="BP405" s="113">
        <v>0</v>
      </c>
      <c r="BQ405" s="113">
        <v>0</v>
      </c>
      <c r="BR405" s="101"/>
      <c r="BS405">
        <f t="shared" si="821"/>
        <v>0</v>
      </c>
      <c r="BT405">
        <f t="shared" si="821"/>
        <v>0</v>
      </c>
      <c r="BU405">
        <f t="shared" si="821"/>
        <v>0</v>
      </c>
      <c r="BV405">
        <f t="shared" si="821"/>
        <v>0</v>
      </c>
      <c r="BW405">
        <f t="shared" si="821"/>
        <v>0</v>
      </c>
      <c r="BX405">
        <f t="shared" si="821"/>
        <v>0</v>
      </c>
      <c r="BY405">
        <f t="shared" si="821"/>
        <v>0</v>
      </c>
      <c r="BZ405">
        <f t="shared" si="821"/>
        <v>0</v>
      </c>
      <c r="CA405">
        <f t="shared" si="821"/>
        <v>0</v>
      </c>
      <c r="CB405">
        <f t="shared" si="821"/>
        <v>0</v>
      </c>
      <c r="CC405">
        <f t="shared" si="822"/>
        <v>0</v>
      </c>
      <c r="CD405">
        <f t="shared" si="822"/>
        <v>0</v>
      </c>
      <c r="CE405">
        <f t="shared" si="822"/>
        <v>0</v>
      </c>
      <c r="CF405">
        <f t="shared" si="822"/>
        <v>0</v>
      </c>
      <c r="CG405">
        <f t="shared" si="822"/>
        <v>0</v>
      </c>
      <c r="CH405">
        <f t="shared" si="822"/>
        <v>0</v>
      </c>
      <c r="CI405">
        <f t="shared" si="822"/>
        <v>0</v>
      </c>
      <c r="CJ405">
        <f t="shared" si="822"/>
        <v>0</v>
      </c>
      <c r="CK405">
        <f t="shared" si="822"/>
        <v>0</v>
      </c>
      <c r="CL405">
        <f t="shared" si="822"/>
        <v>0</v>
      </c>
      <c r="CM405">
        <f t="shared" si="823"/>
        <v>0</v>
      </c>
      <c r="CN405">
        <f t="shared" si="823"/>
        <v>0</v>
      </c>
      <c r="CO405">
        <f t="shared" si="823"/>
        <v>0</v>
      </c>
      <c r="CP405">
        <f t="shared" si="823"/>
        <v>0</v>
      </c>
      <c r="CQ405">
        <f t="shared" si="823"/>
        <v>0</v>
      </c>
      <c r="CR405">
        <f t="shared" si="823"/>
        <v>0</v>
      </c>
      <c r="CS405">
        <f t="shared" si="823"/>
        <v>0</v>
      </c>
      <c r="CT405">
        <f t="shared" si="823"/>
        <v>0</v>
      </c>
      <c r="CU405">
        <f t="shared" si="823"/>
        <v>0</v>
      </c>
      <c r="CV405">
        <f t="shared" si="823"/>
        <v>0</v>
      </c>
      <c r="CW405">
        <f t="shared" si="824"/>
        <v>0</v>
      </c>
      <c r="CX405">
        <f t="shared" si="824"/>
        <v>0</v>
      </c>
      <c r="CY405">
        <f t="shared" si="824"/>
        <v>0</v>
      </c>
      <c r="CZ405">
        <f t="shared" si="824"/>
        <v>0</v>
      </c>
      <c r="DA405">
        <f t="shared" si="824"/>
        <v>0</v>
      </c>
      <c r="DB405">
        <f t="shared" si="824"/>
        <v>0</v>
      </c>
      <c r="DC405">
        <f t="shared" si="824"/>
        <v>0</v>
      </c>
      <c r="DD405">
        <f t="shared" si="824"/>
        <v>0</v>
      </c>
      <c r="DE405">
        <f t="shared" si="824"/>
        <v>0</v>
      </c>
      <c r="DF405">
        <f t="shared" si="824"/>
        <v>0</v>
      </c>
      <c r="DG405">
        <f t="shared" si="825"/>
        <v>0</v>
      </c>
      <c r="DH405">
        <f t="shared" si="825"/>
        <v>0</v>
      </c>
      <c r="DI405">
        <f t="shared" si="825"/>
        <v>0</v>
      </c>
      <c r="DJ405">
        <f t="shared" si="825"/>
        <v>0</v>
      </c>
      <c r="DK405">
        <f t="shared" si="825"/>
        <v>0</v>
      </c>
      <c r="DL405">
        <f t="shared" si="825"/>
        <v>0</v>
      </c>
      <c r="DM405">
        <f t="shared" si="825"/>
        <v>0</v>
      </c>
      <c r="DN405">
        <f t="shared" si="825"/>
        <v>0</v>
      </c>
      <c r="DO405">
        <f t="shared" si="825"/>
        <v>0</v>
      </c>
      <c r="DP405">
        <f t="shared" si="825"/>
        <v>0</v>
      </c>
      <c r="DQ405">
        <f t="shared" si="826"/>
        <v>0</v>
      </c>
      <c r="DR405">
        <f t="shared" si="826"/>
        <v>0</v>
      </c>
      <c r="DS405">
        <f t="shared" si="826"/>
        <v>0</v>
      </c>
      <c r="DT405">
        <f t="shared" si="826"/>
        <v>0</v>
      </c>
      <c r="DU405">
        <f t="shared" si="826"/>
        <v>0</v>
      </c>
      <c r="DV405">
        <f t="shared" si="826"/>
        <v>0</v>
      </c>
      <c r="DW405">
        <f t="shared" si="826"/>
        <v>0</v>
      </c>
      <c r="DX405">
        <f t="shared" si="826"/>
        <v>0</v>
      </c>
      <c r="DY405">
        <f t="shared" si="826"/>
        <v>0</v>
      </c>
      <c r="DZ405">
        <f t="shared" si="826"/>
        <v>0</v>
      </c>
      <c r="EA405">
        <f t="shared" ref="EA405:EF405" si="828">IF($C405&lt;&gt;"",IF(BL405&gt;0,1,0),0)</f>
        <v>0</v>
      </c>
      <c r="EB405">
        <f t="shared" si="828"/>
        <v>0</v>
      </c>
      <c r="EC405">
        <f t="shared" si="828"/>
        <v>0</v>
      </c>
      <c r="ED405">
        <f t="shared" si="828"/>
        <v>0</v>
      </c>
      <c r="EE405">
        <f t="shared" si="828"/>
        <v>0</v>
      </c>
      <c r="EF405">
        <f t="shared" si="828"/>
        <v>0</v>
      </c>
    </row>
    <row r="406" spans="1:136" ht="15.5">
      <c r="A406" s="90"/>
      <c r="B406" s="53" t="s">
        <v>3</v>
      </c>
      <c r="C406" s="95"/>
      <c r="D406" s="18">
        <v>0</v>
      </c>
      <c r="E406" s="18">
        <v>0</v>
      </c>
      <c r="F406" s="18">
        <v>0</v>
      </c>
      <c r="G406" s="18">
        <v>0</v>
      </c>
      <c r="H406" s="18">
        <v>0</v>
      </c>
      <c r="I406" s="18">
        <v>0</v>
      </c>
      <c r="J406" s="18">
        <v>0</v>
      </c>
      <c r="K406" s="18">
        <v>0</v>
      </c>
      <c r="L406" s="18">
        <v>0</v>
      </c>
      <c r="M406" s="18">
        <v>0</v>
      </c>
      <c r="N406" s="18">
        <v>0</v>
      </c>
      <c r="O406" s="18">
        <v>0</v>
      </c>
      <c r="P406" s="18">
        <v>0</v>
      </c>
      <c r="Q406" s="18">
        <v>0</v>
      </c>
      <c r="R406" s="18">
        <v>0</v>
      </c>
      <c r="S406" s="18">
        <v>0</v>
      </c>
      <c r="T406" s="18">
        <v>1.285007</v>
      </c>
      <c r="U406" s="18">
        <v>34.671239999999997</v>
      </c>
      <c r="V406" s="18">
        <v>8.8827040000000004</v>
      </c>
      <c r="W406" s="18">
        <v>234.26050000000001</v>
      </c>
      <c r="X406" s="18">
        <v>23.79579</v>
      </c>
      <c r="Y406" s="18">
        <v>166.0652</v>
      </c>
      <c r="Z406" s="18">
        <v>187.22970000000001</v>
      </c>
      <c r="AA406" s="18">
        <v>36</v>
      </c>
      <c r="AB406" s="18">
        <v>306.74220000000003</v>
      </c>
      <c r="AC406" s="18">
        <v>184</v>
      </c>
      <c r="AD406" s="18">
        <v>398.83839999999998</v>
      </c>
      <c r="AE406" s="18">
        <v>16.04693</v>
      </c>
      <c r="AF406" s="18">
        <v>182.90809999999999</v>
      </c>
      <c r="AG406" s="40" t="s">
        <v>16</v>
      </c>
      <c r="AH406" s="18">
        <v>276.14460000000003</v>
      </c>
      <c r="AI406" s="18">
        <v>564.61720000000003</v>
      </c>
      <c r="AJ406" s="18">
        <v>317</v>
      </c>
      <c r="AK406" s="18">
        <v>13.24915</v>
      </c>
      <c r="AL406" s="18">
        <v>0.56149400000000005</v>
      </c>
      <c r="AM406" s="18">
        <v>29.742809999999999</v>
      </c>
      <c r="AN406" s="18">
        <v>1.0693010000000001</v>
      </c>
      <c r="AO406" s="18">
        <v>2.2934139999999998</v>
      </c>
      <c r="AP406" s="18">
        <v>1.1590502</v>
      </c>
      <c r="AQ406" s="18">
        <v>4.4157219999999997</v>
      </c>
      <c r="AR406" s="40" t="s">
        <v>16</v>
      </c>
      <c r="AS406" s="18">
        <v>6.370628</v>
      </c>
      <c r="AT406" s="18">
        <v>6.5611629999999996</v>
      </c>
      <c r="AU406" s="40" t="s">
        <v>16</v>
      </c>
      <c r="AV406" s="18">
        <v>32.742040000000003</v>
      </c>
      <c r="AW406" s="18">
        <v>32.149270000000001</v>
      </c>
      <c r="AX406" s="18">
        <v>0.61705019999999999</v>
      </c>
      <c r="AY406" s="18">
        <v>3.5017223999999998</v>
      </c>
      <c r="AZ406" s="18">
        <v>1.8932366999999999</v>
      </c>
      <c r="BA406" s="18">
        <v>2987.4134929000002</v>
      </c>
      <c r="BB406" s="18">
        <v>0.28182309999999999</v>
      </c>
      <c r="BC406" s="18">
        <v>24.647267100000001</v>
      </c>
      <c r="BD406" s="18">
        <v>23.464355300000001</v>
      </c>
      <c r="BE406" s="25">
        <v>22.232274499999999</v>
      </c>
      <c r="BF406" s="18">
        <v>0.2068161</v>
      </c>
      <c r="BG406" s="18">
        <v>0.18664929999999999</v>
      </c>
      <c r="BH406" s="18">
        <v>0.17854740000000002</v>
      </c>
      <c r="BI406" s="18">
        <v>17.1517202</v>
      </c>
      <c r="BJ406" s="71">
        <v>6.9845000000000004E-2</v>
      </c>
      <c r="BK406" s="71">
        <v>5.3923200000000004E-2</v>
      </c>
      <c r="BL406" s="71">
        <v>1541.2209008</v>
      </c>
      <c r="BM406" s="71">
        <v>0.107597</v>
      </c>
      <c r="BN406" s="113">
        <v>3.1E-2</v>
      </c>
      <c r="BO406" s="113">
        <v>0</v>
      </c>
      <c r="BP406" s="113">
        <v>0</v>
      </c>
      <c r="BQ406" s="113">
        <v>0</v>
      </c>
      <c r="BR406" s="101"/>
      <c r="BS406">
        <f t="shared" si="821"/>
        <v>0</v>
      </c>
      <c r="BT406">
        <f t="shared" si="821"/>
        <v>0</v>
      </c>
      <c r="BU406">
        <f t="shared" si="821"/>
        <v>0</v>
      </c>
      <c r="BV406">
        <f t="shared" si="821"/>
        <v>0</v>
      </c>
      <c r="BW406">
        <f t="shared" si="821"/>
        <v>0</v>
      </c>
      <c r="BX406">
        <f t="shared" si="821"/>
        <v>0</v>
      </c>
      <c r="BY406">
        <f t="shared" si="821"/>
        <v>0</v>
      </c>
      <c r="BZ406">
        <f t="shared" si="821"/>
        <v>0</v>
      </c>
      <c r="CA406">
        <f t="shared" si="821"/>
        <v>0</v>
      </c>
      <c r="CB406">
        <f t="shared" si="821"/>
        <v>0</v>
      </c>
      <c r="CC406">
        <f t="shared" si="822"/>
        <v>0</v>
      </c>
      <c r="CD406">
        <f t="shared" si="822"/>
        <v>0</v>
      </c>
      <c r="CE406">
        <f t="shared" si="822"/>
        <v>0</v>
      </c>
      <c r="CF406">
        <f t="shared" si="822"/>
        <v>0</v>
      </c>
      <c r="CG406">
        <f t="shared" si="822"/>
        <v>0</v>
      </c>
      <c r="CH406">
        <f t="shared" si="822"/>
        <v>0</v>
      </c>
      <c r="CI406">
        <f t="shared" si="822"/>
        <v>0</v>
      </c>
      <c r="CJ406">
        <f t="shared" si="822"/>
        <v>0</v>
      </c>
      <c r="CK406">
        <f t="shared" si="822"/>
        <v>0</v>
      </c>
      <c r="CL406">
        <f t="shared" si="822"/>
        <v>0</v>
      </c>
      <c r="CM406">
        <f t="shared" si="823"/>
        <v>0</v>
      </c>
      <c r="CN406">
        <f t="shared" si="823"/>
        <v>0</v>
      </c>
      <c r="CO406">
        <f t="shared" si="823"/>
        <v>0</v>
      </c>
      <c r="CP406">
        <f t="shared" si="823"/>
        <v>0</v>
      </c>
      <c r="CQ406">
        <f t="shared" si="823"/>
        <v>0</v>
      </c>
      <c r="CR406">
        <f t="shared" si="823"/>
        <v>0</v>
      </c>
      <c r="CS406">
        <f t="shared" si="823"/>
        <v>0</v>
      </c>
      <c r="CT406">
        <f t="shared" si="823"/>
        <v>0</v>
      </c>
      <c r="CU406">
        <f t="shared" si="823"/>
        <v>0</v>
      </c>
      <c r="CV406">
        <f t="shared" si="823"/>
        <v>0</v>
      </c>
      <c r="CW406">
        <f t="shared" si="824"/>
        <v>0</v>
      </c>
      <c r="CX406">
        <f t="shared" si="824"/>
        <v>0</v>
      </c>
      <c r="CY406">
        <f t="shared" si="824"/>
        <v>0</v>
      </c>
      <c r="CZ406">
        <f t="shared" si="824"/>
        <v>0</v>
      </c>
      <c r="DA406">
        <f t="shared" si="824"/>
        <v>0</v>
      </c>
      <c r="DB406">
        <f t="shared" si="824"/>
        <v>0</v>
      </c>
      <c r="DC406">
        <f t="shared" si="824"/>
        <v>0</v>
      </c>
      <c r="DD406">
        <f t="shared" si="824"/>
        <v>0</v>
      </c>
      <c r="DE406">
        <f t="shared" si="824"/>
        <v>0</v>
      </c>
      <c r="DF406">
        <f t="shared" si="824"/>
        <v>0</v>
      </c>
      <c r="DG406">
        <f t="shared" si="825"/>
        <v>0</v>
      </c>
      <c r="DH406">
        <f t="shared" si="825"/>
        <v>0</v>
      </c>
      <c r="DI406">
        <f t="shared" si="825"/>
        <v>0</v>
      </c>
      <c r="DJ406">
        <f t="shared" si="825"/>
        <v>0</v>
      </c>
      <c r="DK406">
        <f t="shared" si="825"/>
        <v>0</v>
      </c>
      <c r="DL406">
        <f t="shared" si="825"/>
        <v>0</v>
      </c>
      <c r="DM406">
        <f t="shared" si="825"/>
        <v>0</v>
      </c>
      <c r="DN406">
        <f t="shared" si="825"/>
        <v>0</v>
      </c>
      <c r="DO406">
        <f t="shared" si="825"/>
        <v>0</v>
      </c>
      <c r="DP406">
        <f t="shared" si="825"/>
        <v>0</v>
      </c>
      <c r="DQ406">
        <f t="shared" si="826"/>
        <v>0</v>
      </c>
      <c r="DR406">
        <f t="shared" si="826"/>
        <v>0</v>
      </c>
      <c r="DS406">
        <f t="shared" si="826"/>
        <v>0</v>
      </c>
      <c r="DT406">
        <f t="shared" si="826"/>
        <v>0</v>
      </c>
      <c r="DU406">
        <f t="shared" si="826"/>
        <v>0</v>
      </c>
      <c r="DV406">
        <f t="shared" si="826"/>
        <v>0</v>
      </c>
      <c r="DW406">
        <f t="shared" si="826"/>
        <v>0</v>
      </c>
      <c r="DX406">
        <f t="shared" si="826"/>
        <v>0</v>
      </c>
      <c r="DY406">
        <f t="shared" si="826"/>
        <v>0</v>
      </c>
      <c r="DZ406">
        <f t="shared" si="826"/>
        <v>0</v>
      </c>
      <c r="EA406">
        <f t="shared" ref="EA406:EF408" si="829">IF($C406&lt;&gt;"",IF(BL405&gt;0,1,0),0)</f>
        <v>0</v>
      </c>
      <c r="EB406">
        <f t="shared" si="829"/>
        <v>0</v>
      </c>
      <c r="EC406">
        <f t="shared" si="829"/>
        <v>0</v>
      </c>
      <c r="ED406">
        <f t="shared" si="829"/>
        <v>0</v>
      </c>
      <c r="EE406">
        <f t="shared" si="829"/>
        <v>0</v>
      </c>
      <c r="EF406">
        <f t="shared" si="829"/>
        <v>0</v>
      </c>
    </row>
    <row r="407" spans="1:136" ht="15.5">
      <c r="A407" s="90"/>
      <c r="B407" s="53" t="s">
        <v>18</v>
      </c>
      <c r="C407" s="95"/>
      <c r="D407" s="18">
        <v>0</v>
      </c>
      <c r="E407" s="18">
        <v>0</v>
      </c>
      <c r="F407" s="18">
        <v>0</v>
      </c>
      <c r="G407" s="18">
        <v>0</v>
      </c>
      <c r="H407" s="18">
        <v>0</v>
      </c>
      <c r="I407" s="18">
        <v>0</v>
      </c>
      <c r="J407" s="18">
        <v>0</v>
      </c>
      <c r="K407" s="18">
        <v>0</v>
      </c>
      <c r="L407" s="18">
        <v>0</v>
      </c>
      <c r="M407" s="18">
        <v>0</v>
      </c>
      <c r="N407" s="18">
        <v>0</v>
      </c>
      <c r="O407" s="18">
        <v>0</v>
      </c>
      <c r="P407" s="18">
        <v>0</v>
      </c>
      <c r="Q407" s="18">
        <v>0</v>
      </c>
      <c r="R407" s="18">
        <v>0</v>
      </c>
      <c r="S407" s="18">
        <v>0</v>
      </c>
      <c r="T407" s="18">
        <v>0</v>
      </c>
      <c r="U407" s="18">
        <v>0</v>
      </c>
      <c r="V407" s="18">
        <v>0</v>
      </c>
      <c r="W407" s="18">
        <v>0</v>
      </c>
      <c r="X407" s="18">
        <v>0</v>
      </c>
      <c r="Y407" s="18">
        <v>0</v>
      </c>
      <c r="Z407" s="18">
        <v>2455.605</v>
      </c>
      <c r="AA407" s="18">
        <v>2770</v>
      </c>
      <c r="AB407" s="18">
        <v>3117.6350000000007</v>
      </c>
      <c r="AC407" s="18">
        <v>4224</v>
      </c>
      <c r="AD407" s="18">
        <v>700</v>
      </c>
      <c r="AE407" s="18">
        <v>5710.4454999999998</v>
      </c>
      <c r="AF407" s="18">
        <v>5654.9094999999998</v>
      </c>
      <c r="AG407" s="18">
        <v>5885.4671807499999</v>
      </c>
      <c r="AH407" s="18">
        <v>6307.0711652346254</v>
      </c>
      <c r="AI407" s="18">
        <v>6571.5621093750742</v>
      </c>
      <c r="AJ407" s="18">
        <v>6829.2838064453917</v>
      </c>
      <c r="AK407" s="18">
        <v>7090.162638670884</v>
      </c>
      <c r="AL407" s="18">
        <v>6614.3249999999998</v>
      </c>
      <c r="AM407" s="18">
        <v>7170</v>
      </c>
      <c r="AN407" s="18">
        <v>0</v>
      </c>
      <c r="AO407" s="18">
        <v>0</v>
      </c>
      <c r="AP407" s="18">
        <v>0</v>
      </c>
      <c r="AQ407" s="18"/>
      <c r="AR407" s="18"/>
      <c r="AS407" s="18">
        <v>0</v>
      </c>
      <c r="AT407" s="18">
        <v>0</v>
      </c>
      <c r="AU407" s="18">
        <v>0</v>
      </c>
      <c r="AV407" s="18">
        <v>0</v>
      </c>
      <c r="AW407" s="18">
        <v>0</v>
      </c>
      <c r="AX407" s="18">
        <v>0</v>
      </c>
      <c r="AY407" s="18">
        <v>0</v>
      </c>
      <c r="AZ407" s="18">
        <v>0</v>
      </c>
      <c r="BA407" s="18">
        <v>0</v>
      </c>
      <c r="BB407" s="18">
        <v>0</v>
      </c>
      <c r="BC407" s="18">
        <v>0</v>
      </c>
      <c r="BD407" s="18">
        <v>0</v>
      </c>
      <c r="BE407" s="25">
        <v>0</v>
      </c>
      <c r="BF407" s="18">
        <v>0</v>
      </c>
      <c r="BG407" s="18">
        <v>0</v>
      </c>
      <c r="BH407" s="18">
        <v>0</v>
      </c>
      <c r="BI407" s="113">
        <v>0</v>
      </c>
      <c r="BJ407" s="113">
        <v>0</v>
      </c>
      <c r="BK407" s="113">
        <v>0</v>
      </c>
      <c r="BL407" s="113">
        <v>0</v>
      </c>
      <c r="BM407" s="113">
        <v>0</v>
      </c>
      <c r="BN407" s="113">
        <v>0</v>
      </c>
      <c r="BO407" s="113">
        <v>0</v>
      </c>
      <c r="BP407" s="113">
        <v>0</v>
      </c>
      <c r="BQ407" s="113">
        <v>0</v>
      </c>
      <c r="BR407" s="101"/>
      <c r="BS407">
        <f t="shared" si="821"/>
        <v>0</v>
      </c>
      <c r="BT407">
        <f t="shared" si="821"/>
        <v>0</v>
      </c>
      <c r="BU407">
        <f t="shared" si="821"/>
        <v>0</v>
      </c>
      <c r="BV407">
        <f t="shared" si="821"/>
        <v>0</v>
      </c>
      <c r="BW407">
        <f t="shared" si="821"/>
        <v>0</v>
      </c>
      <c r="BX407">
        <f t="shared" si="821"/>
        <v>0</v>
      </c>
      <c r="BY407">
        <f t="shared" si="821"/>
        <v>0</v>
      </c>
      <c r="BZ407">
        <f t="shared" si="821"/>
        <v>0</v>
      </c>
      <c r="CA407">
        <f t="shared" si="821"/>
        <v>0</v>
      </c>
      <c r="CB407">
        <f t="shared" si="821"/>
        <v>0</v>
      </c>
      <c r="CC407">
        <f t="shared" si="822"/>
        <v>0</v>
      </c>
      <c r="CD407">
        <f t="shared" si="822"/>
        <v>0</v>
      </c>
      <c r="CE407">
        <f t="shared" si="822"/>
        <v>0</v>
      </c>
      <c r="CF407">
        <f t="shared" si="822"/>
        <v>0</v>
      </c>
      <c r="CG407">
        <f t="shared" si="822"/>
        <v>0</v>
      </c>
      <c r="CH407">
        <f t="shared" si="822"/>
        <v>0</v>
      </c>
      <c r="CI407">
        <f t="shared" si="822"/>
        <v>0</v>
      </c>
      <c r="CJ407">
        <f t="shared" si="822"/>
        <v>0</v>
      </c>
      <c r="CK407">
        <f t="shared" si="822"/>
        <v>0</v>
      </c>
      <c r="CL407">
        <f t="shared" si="822"/>
        <v>0</v>
      </c>
      <c r="CM407">
        <f t="shared" si="823"/>
        <v>0</v>
      </c>
      <c r="CN407">
        <f t="shared" si="823"/>
        <v>0</v>
      </c>
      <c r="CO407">
        <f t="shared" si="823"/>
        <v>0</v>
      </c>
      <c r="CP407">
        <f t="shared" si="823"/>
        <v>0</v>
      </c>
      <c r="CQ407">
        <f t="shared" si="823"/>
        <v>0</v>
      </c>
      <c r="CR407">
        <f t="shared" si="823"/>
        <v>0</v>
      </c>
      <c r="CS407">
        <f t="shared" si="823"/>
        <v>0</v>
      </c>
      <c r="CT407">
        <f t="shared" si="823"/>
        <v>0</v>
      </c>
      <c r="CU407">
        <f t="shared" si="823"/>
        <v>0</v>
      </c>
      <c r="CV407">
        <f t="shared" si="823"/>
        <v>0</v>
      </c>
      <c r="CW407">
        <f t="shared" si="824"/>
        <v>0</v>
      </c>
      <c r="CX407">
        <f t="shared" si="824"/>
        <v>0</v>
      </c>
      <c r="CY407">
        <f t="shared" si="824"/>
        <v>0</v>
      </c>
      <c r="CZ407">
        <f t="shared" si="824"/>
        <v>0</v>
      </c>
      <c r="DA407">
        <f t="shared" si="824"/>
        <v>0</v>
      </c>
      <c r="DB407">
        <f t="shared" si="824"/>
        <v>0</v>
      </c>
      <c r="DC407">
        <f t="shared" si="824"/>
        <v>0</v>
      </c>
      <c r="DD407">
        <f t="shared" si="824"/>
        <v>0</v>
      </c>
      <c r="DE407">
        <f t="shared" si="824"/>
        <v>0</v>
      </c>
      <c r="DF407">
        <f t="shared" si="824"/>
        <v>0</v>
      </c>
      <c r="DG407">
        <f t="shared" si="825"/>
        <v>0</v>
      </c>
      <c r="DH407">
        <f t="shared" si="825"/>
        <v>0</v>
      </c>
      <c r="DI407">
        <f t="shared" si="825"/>
        <v>0</v>
      </c>
      <c r="DJ407">
        <f t="shared" si="825"/>
        <v>0</v>
      </c>
      <c r="DK407">
        <f t="shared" si="825"/>
        <v>0</v>
      </c>
      <c r="DL407">
        <f t="shared" si="825"/>
        <v>0</v>
      </c>
      <c r="DM407">
        <f t="shared" si="825"/>
        <v>0</v>
      </c>
      <c r="DN407">
        <f t="shared" si="825"/>
        <v>0</v>
      </c>
      <c r="DO407">
        <f t="shared" si="825"/>
        <v>0</v>
      </c>
      <c r="DP407">
        <f t="shared" si="825"/>
        <v>0</v>
      </c>
      <c r="DQ407">
        <f t="shared" si="826"/>
        <v>0</v>
      </c>
      <c r="DR407">
        <f t="shared" si="826"/>
        <v>0</v>
      </c>
      <c r="DS407">
        <f t="shared" si="826"/>
        <v>0</v>
      </c>
      <c r="DT407">
        <f t="shared" si="826"/>
        <v>0</v>
      </c>
      <c r="DU407">
        <f t="shared" si="826"/>
        <v>0</v>
      </c>
      <c r="DV407">
        <f t="shared" si="826"/>
        <v>0</v>
      </c>
      <c r="DW407">
        <f t="shared" si="826"/>
        <v>0</v>
      </c>
      <c r="DX407">
        <f t="shared" si="826"/>
        <v>0</v>
      </c>
      <c r="DY407">
        <f t="shared" si="826"/>
        <v>0</v>
      </c>
      <c r="DZ407">
        <f t="shared" si="826"/>
        <v>0</v>
      </c>
      <c r="EA407">
        <f t="shared" si="829"/>
        <v>0</v>
      </c>
      <c r="EB407">
        <f t="shared" si="829"/>
        <v>0</v>
      </c>
      <c r="EC407">
        <f t="shared" si="829"/>
        <v>0</v>
      </c>
      <c r="ED407">
        <f t="shared" si="829"/>
        <v>0</v>
      </c>
      <c r="EE407">
        <f t="shared" si="829"/>
        <v>0</v>
      </c>
      <c r="EF407">
        <f t="shared" si="829"/>
        <v>0</v>
      </c>
    </row>
    <row r="408" spans="1:136" ht="15.5">
      <c r="A408" s="90"/>
      <c r="B408" s="53" t="s">
        <v>25</v>
      </c>
      <c r="C408" s="95"/>
      <c r="D408" s="18">
        <v>0</v>
      </c>
      <c r="E408" s="18">
        <v>0</v>
      </c>
      <c r="F408" s="18">
        <v>0</v>
      </c>
      <c r="G408" s="18">
        <v>0</v>
      </c>
      <c r="H408" s="18">
        <v>0</v>
      </c>
      <c r="I408" s="18">
        <v>0</v>
      </c>
      <c r="J408" s="18">
        <v>0</v>
      </c>
      <c r="K408" s="18">
        <v>0</v>
      </c>
      <c r="L408" s="18">
        <v>0</v>
      </c>
      <c r="M408" s="18">
        <v>0</v>
      </c>
      <c r="N408" s="18">
        <v>0</v>
      </c>
      <c r="O408" s="18">
        <v>0</v>
      </c>
      <c r="P408" s="18">
        <v>0</v>
      </c>
      <c r="Q408" s="18">
        <v>0</v>
      </c>
      <c r="R408" s="18">
        <v>0</v>
      </c>
      <c r="S408" s="18">
        <v>0</v>
      </c>
      <c r="T408" s="18">
        <v>0</v>
      </c>
      <c r="U408" s="18">
        <v>0</v>
      </c>
      <c r="V408" s="18">
        <v>0</v>
      </c>
      <c r="W408" s="18">
        <v>0</v>
      </c>
      <c r="X408" s="18">
        <v>0</v>
      </c>
      <c r="Y408" s="18">
        <v>0</v>
      </c>
      <c r="Z408" s="18">
        <v>0</v>
      </c>
      <c r="AA408" s="18">
        <v>0</v>
      </c>
      <c r="AB408" s="18">
        <v>0</v>
      </c>
      <c r="AC408" s="18">
        <v>0</v>
      </c>
      <c r="AD408" s="18">
        <v>0</v>
      </c>
      <c r="AE408" s="18">
        <v>0</v>
      </c>
      <c r="AF408" s="18">
        <v>0</v>
      </c>
      <c r="AG408" s="18">
        <v>0</v>
      </c>
      <c r="AH408" s="18">
        <v>0</v>
      </c>
      <c r="AI408" s="18">
        <v>0</v>
      </c>
      <c r="AJ408" s="18">
        <v>0</v>
      </c>
      <c r="AK408" s="18">
        <v>0</v>
      </c>
      <c r="AL408" s="18">
        <v>0</v>
      </c>
      <c r="AM408" s="18">
        <v>0</v>
      </c>
      <c r="AN408" s="18">
        <v>0</v>
      </c>
      <c r="AO408" s="18">
        <v>250</v>
      </c>
      <c r="AP408" s="18">
        <v>100</v>
      </c>
      <c r="AQ408" s="18">
        <v>7960</v>
      </c>
      <c r="AR408" s="18">
        <v>6700</v>
      </c>
      <c r="AS408" s="18">
        <v>0</v>
      </c>
      <c r="AT408" s="18">
        <v>0</v>
      </c>
      <c r="AU408" s="18">
        <v>0</v>
      </c>
      <c r="AV408" s="18">
        <v>0</v>
      </c>
      <c r="AW408" s="18">
        <v>0</v>
      </c>
      <c r="AX408" s="18">
        <v>0</v>
      </c>
      <c r="AY408" s="18">
        <v>0</v>
      </c>
      <c r="AZ408" s="18">
        <v>3190</v>
      </c>
      <c r="BA408" s="18">
        <v>3251</v>
      </c>
      <c r="BB408" s="18">
        <v>31</v>
      </c>
      <c r="BC408" s="18">
        <v>33</v>
      </c>
      <c r="BD408" s="18">
        <v>35</v>
      </c>
      <c r="BE408" s="25">
        <v>37</v>
      </c>
      <c r="BF408" s="18">
        <v>39</v>
      </c>
      <c r="BG408" s="18">
        <v>41</v>
      </c>
      <c r="BH408" s="18">
        <v>43</v>
      </c>
      <c r="BI408" s="113">
        <v>46</v>
      </c>
      <c r="BJ408" s="113">
        <v>49</v>
      </c>
      <c r="BK408" s="113">
        <v>52</v>
      </c>
      <c r="BL408" s="113">
        <f>17400+55</f>
        <v>17455</v>
      </c>
      <c r="BM408" s="113">
        <v>50</v>
      </c>
      <c r="BN408" s="113">
        <v>52</v>
      </c>
      <c r="BO408" s="113">
        <v>52</v>
      </c>
      <c r="BP408" s="113">
        <v>52</v>
      </c>
      <c r="BQ408" s="113">
        <v>0</v>
      </c>
      <c r="BR408" s="101"/>
      <c r="BS408">
        <f t="shared" si="821"/>
        <v>0</v>
      </c>
      <c r="BT408">
        <f t="shared" si="821"/>
        <v>0</v>
      </c>
      <c r="BU408">
        <f t="shared" si="821"/>
        <v>0</v>
      </c>
      <c r="BV408">
        <f t="shared" si="821"/>
        <v>0</v>
      </c>
      <c r="BW408">
        <f t="shared" si="821"/>
        <v>0</v>
      </c>
      <c r="BX408">
        <f t="shared" si="821"/>
        <v>0</v>
      </c>
      <c r="BY408">
        <f t="shared" si="821"/>
        <v>0</v>
      </c>
      <c r="BZ408">
        <f t="shared" si="821"/>
        <v>0</v>
      </c>
      <c r="CA408">
        <f t="shared" si="821"/>
        <v>0</v>
      </c>
      <c r="CB408">
        <f t="shared" si="821"/>
        <v>0</v>
      </c>
      <c r="CC408">
        <f t="shared" si="822"/>
        <v>0</v>
      </c>
      <c r="CD408">
        <f t="shared" si="822"/>
        <v>0</v>
      </c>
      <c r="CE408">
        <f t="shared" si="822"/>
        <v>0</v>
      </c>
      <c r="CF408">
        <f t="shared" si="822"/>
        <v>0</v>
      </c>
      <c r="CG408">
        <f t="shared" si="822"/>
        <v>0</v>
      </c>
      <c r="CH408">
        <f t="shared" si="822"/>
        <v>0</v>
      </c>
      <c r="CI408">
        <f t="shared" si="822"/>
        <v>0</v>
      </c>
      <c r="CJ408">
        <f t="shared" si="822"/>
        <v>0</v>
      </c>
      <c r="CK408">
        <f t="shared" si="822"/>
        <v>0</v>
      </c>
      <c r="CL408">
        <f t="shared" si="822"/>
        <v>0</v>
      </c>
      <c r="CM408">
        <f t="shared" si="823"/>
        <v>0</v>
      </c>
      <c r="CN408">
        <f t="shared" si="823"/>
        <v>0</v>
      </c>
      <c r="CO408">
        <f t="shared" si="823"/>
        <v>0</v>
      </c>
      <c r="CP408">
        <f t="shared" si="823"/>
        <v>0</v>
      </c>
      <c r="CQ408">
        <f t="shared" si="823"/>
        <v>0</v>
      </c>
      <c r="CR408">
        <f t="shared" si="823"/>
        <v>0</v>
      </c>
      <c r="CS408">
        <f t="shared" si="823"/>
        <v>0</v>
      </c>
      <c r="CT408">
        <f t="shared" si="823"/>
        <v>0</v>
      </c>
      <c r="CU408">
        <f t="shared" si="823"/>
        <v>0</v>
      </c>
      <c r="CV408">
        <f t="shared" si="823"/>
        <v>0</v>
      </c>
      <c r="CW408">
        <f t="shared" si="824"/>
        <v>0</v>
      </c>
      <c r="CX408">
        <f t="shared" si="824"/>
        <v>0</v>
      </c>
      <c r="CY408">
        <f t="shared" si="824"/>
        <v>0</v>
      </c>
      <c r="CZ408">
        <f t="shared" si="824"/>
        <v>0</v>
      </c>
      <c r="DA408">
        <f t="shared" si="824"/>
        <v>0</v>
      </c>
      <c r="DB408">
        <f t="shared" si="824"/>
        <v>0</v>
      </c>
      <c r="DC408">
        <f t="shared" si="824"/>
        <v>0</v>
      </c>
      <c r="DD408">
        <f t="shared" si="824"/>
        <v>0</v>
      </c>
      <c r="DE408">
        <f t="shared" si="824"/>
        <v>0</v>
      </c>
      <c r="DF408">
        <f t="shared" si="824"/>
        <v>0</v>
      </c>
      <c r="DG408">
        <f t="shared" si="825"/>
        <v>0</v>
      </c>
      <c r="DH408">
        <f t="shared" si="825"/>
        <v>0</v>
      </c>
      <c r="DI408">
        <f t="shared" si="825"/>
        <v>0</v>
      </c>
      <c r="DJ408">
        <f t="shared" si="825"/>
        <v>0</v>
      </c>
      <c r="DK408">
        <f t="shared" si="825"/>
        <v>0</v>
      </c>
      <c r="DL408">
        <f t="shared" si="825"/>
        <v>0</v>
      </c>
      <c r="DM408">
        <f t="shared" si="825"/>
        <v>0</v>
      </c>
      <c r="DN408">
        <f t="shared" si="825"/>
        <v>0</v>
      </c>
      <c r="DO408">
        <f t="shared" si="825"/>
        <v>0</v>
      </c>
      <c r="DP408">
        <f t="shared" si="825"/>
        <v>0</v>
      </c>
      <c r="DQ408">
        <f t="shared" si="826"/>
        <v>0</v>
      </c>
      <c r="DR408">
        <f t="shared" si="826"/>
        <v>0</v>
      </c>
      <c r="DS408">
        <f t="shared" si="826"/>
        <v>0</v>
      </c>
      <c r="DT408">
        <f t="shared" si="826"/>
        <v>0</v>
      </c>
      <c r="DU408">
        <f t="shared" si="826"/>
        <v>0</v>
      </c>
      <c r="DV408">
        <f t="shared" si="826"/>
        <v>0</v>
      </c>
      <c r="DW408">
        <f t="shared" si="826"/>
        <v>0</v>
      </c>
      <c r="DX408">
        <f t="shared" si="826"/>
        <v>0</v>
      </c>
      <c r="DY408">
        <f t="shared" si="826"/>
        <v>0</v>
      </c>
      <c r="DZ408">
        <f t="shared" si="826"/>
        <v>0</v>
      </c>
      <c r="EA408">
        <f t="shared" si="829"/>
        <v>0</v>
      </c>
      <c r="EB408">
        <f t="shared" si="829"/>
        <v>0</v>
      </c>
      <c r="EC408">
        <f t="shared" si="829"/>
        <v>0</v>
      </c>
      <c r="ED408">
        <f t="shared" si="829"/>
        <v>0</v>
      </c>
      <c r="EE408">
        <f t="shared" si="829"/>
        <v>0</v>
      </c>
      <c r="EF408">
        <f t="shared" si="829"/>
        <v>0</v>
      </c>
    </row>
    <row r="409" spans="1:136" ht="15.5">
      <c r="A409" s="90"/>
      <c r="B409" s="19" t="s">
        <v>208</v>
      </c>
      <c r="C409" s="95"/>
      <c r="D409" s="18">
        <v>0</v>
      </c>
      <c r="E409" s="18">
        <v>0</v>
      </c>
      <c r="F409" s="18">
        <v>0</v>
      </c>
      <c r="G409" s="18">
        <v>0</v>
      </c>
      <c r="H409" s="18">
        <v>0</v>
      </c>
      <c r="I409" s="18">
        <v>0</v>
      </c>
      <c r="J409" s="18">
        <v>0</v>
      </c>
      <c r="K409" s="18">
        <v>0</v>
      </c>
      <c r="L409" s="18">
        <v>0</v>
      </c>
      <c r="M409" s="18">
        <v>0</v>
      </c>
      <c r="N409" s="18">
        <v>0</v>
      </c>
      <c r="O409" s="18">
        <v>0</v>
      </c>
      <c r="P409" s="18">
        <v>0.47299999999999998</v>
      </c>
      <c r="Q409" s="18">
        <v>0</v>
      </c>
      <c r="R409" s="18">
        <v>0</v>
      </c>
      <c r="S409" s="18">
        <v>0</v>
      </c>
      <c r="T409" s="18">
        <v>0</v>
      </c>
      <c r="U409" s="18">
        <v>0</v>
      </c>
      <c r="V409" s="18">
        <v>0</v>
      </c>
      <c r="W409" s="18">
        <v>0</v>
      </c>
      <c r="X409" s="18">
        <v>0.52900000000000003</v>
      </c>
      <c r="Y409" s="18">
        <v>0.56799999999999995</v>
      </c>
      <c r="Z409" s="18">
        <v>0.60699999999999998</v>
      </c>
      <c r="AA409" s="18">
        <v>3.6070000000000002</v>
      </c>
      <c r="AB409" s="18">
        <v>79.042000000000002</v>
      </c>
      <c r="AC409" s="18">
        <v>28.97</v>
      </c>
      <c r="AD409" s="18">
        <v>14.48</v>
      </c>
      <c r="AE409" s="40" t="s">
        <v>16</v>
      </c>
      <c r="AF409" s="40" t="s">
        <v>16</v>
      </c>
      <c r="AG409" s="40" t="s">
        <v>16</v>
      </c>
      <c r="AH409" s="40" t="s">
        <v>16</v>
      </c>
      <c r="AI409" s="40" t="s">
        <v>16</v>
      </c>
      <c r="AJ409" s="40" t="s">
        <v>16</v>
      </c>
      <c r="AK409" s="40" t="s">
        <v>16</v>
      </c>
      <c r="AL409" s="40" t="s">
        <v>16</v>
      </c>
      <c r="AM409" s="40" t="s">
        <v>16</v>
      </c>
      <c r="AN409" s="18">
        <v>97.786000000000001</v>
      </c>
      <c r="AO409" s="18">
        <v>129.77199999999999</v>
      </c>
      <c r="AP409" s="18">
        <v>87.894000000000005</v>
      </c>
      <c r="AQ409" s="18">
        <v>87.177999999999997</v>
      </c>
      <c r="AR409" s="18">
        <v>88.721999999999994</v>
      </c>
      <c r="AS409" s="18">
        <v>8.7220000000000013</v>
      </c>
      <c r="AT409" s="18">
        <v>6.266</v>
      </c>
      <c r="AU409" s="18">
        <v>4.819</v>
      </c>
      <c r="AV409" s="18">
        <v>4.7850000000000001</v>
      </c>
      <c r="AW409" s="18">
        <v>4.7850000000000001</v>
      </c>
      <c r="AX409" s="18">
        <v>0.61705019999999999</v>
      </c>
      <c r="AY409" s="18">
        <v>3.5017223999999998</v>
      </c>
      <c r="AZ409" s="18">
        <v>1.8932366999999999</v>
      </c>
      <c r="BA409" s="196" t="s">
        <v>16</v>
      </c>
      <c r="BB409" s="196" t="s">
        <v>16</v>
      </c>
      <c r="BC409" s="196" t="s">
        <v>16</v>
      </c>
      <c r="BD409" s="196" t="s">
        <v>16</v>
      </c>
      <c r="BE409" s="196" t="s">
        <v>16</v>
      </c>
      <c r="BF409" s="196" t="s">
        <v>16</v>
      </c>
      <c r="BG409" s="196" t="s">
        <v>16</v>
      </c>
      <c r="BH409" s="196" t="s">
        <v>16</v>
      </c>
      <c r="BI409" s="196" t="s">
        <v>16</v>
      </c>
      <c r="BJ409" s="18">
        <v>6.9845000000000004E-2</v>
      </c>
      <c r="BK409" s="113">
        <v>5.3923200000000004E-2</v>
      </c>
      <c r="BL409" s="196" t="s">
        <v>16</v>
      </c>
      <c r="BM409" s="113">
        <f>299.318-BM408</f>
        <v>249.31799999999998</v>
      </c>
      <c r="BN409" s="113">
        <f>299.318-BN408</f>
        <v>247.31799999999998</v>
      </c>
      <c r="BO409" s="113">
        <v>0</v>
      </c>
      <c r="BP409" s="113">
        <v>0</v>
      </c>
      <c r="BQ409" s="113">
        <v>0</v>
      </c>
      <c r="BR409" s="101"/>
      <c r="BS409">
        <f t="shared" si="821"/>
        <v>0</v>
      </c>
      <c r="BT409">
        <f t="shared" si="821"/>
        <v>0</v>
      </c>
      <c r="BU409">
        <f t="shared" si="821"/>
        <v>0</v>
      </c>
      <c r="BV409">
        <f t="shared" si="821"/>
        <v>0</v>
      </c>
      <c r="BW409">
        <f t="shared" si="821"/>
        <v>0</v>
      </c>
      <c r="BX409">
        <f t="shared" si="821"/>
        <v>0</v>
      </c>
      <c r="BY409">
        <f t="shared" si="821"/>
        <v>0</v>
      </c>
      <c r="BZ409">
        <f t="shared" si="821"/>
        <v>0</v>
      </c>
      <c r="CA409">
        <f t="shared" si="821"/>
        <v>0</v>
      </c>
      <c r="CB409">
        <f t="shared" si="821"/>
        <v>0</v>
      </c>
      <c r="CC409">
        <f t="shared" si="822"/>
        <v>0</v>
      </c>
      <c r="CD409">
        <f t="shared" si="822"/>
        <v>0</v>
      </c>
      <c r="CE409">
        <f t="shared" si="822"/>
        <v>0</v>
      </c>
      <c r="CF409">
        <f t="shared" si="822"/>
        <v>0</v>
      </c>
      <c r="CG409">
        <f t="shared" si="822"/>
        <v>0</v>
      </c>
      <c r="CH409">
        <f t="shared" si="822"/>
        <v>0</v>
      </c>
      <c r="CI409">
        <f t="shared" si="822"/>
        <v>0</v>
      </c>
      <c r="CJ409">
        <f t="shared" si="822"/>
        <v>0</v>
      </c>
      <c r="CK409">
        <f t="shared" si="822"/>
        <v>0</v>
      </c>
      <c r="CL409">
        <f t="shared" si="822"/>
        <v>0</v>
      </c>
      <c r="CM409">
        <f t="shared" si="823"/>
        <v>0</v>
      </c>
      <c r="CN409">
        <f t="shared" si="823"/>
        <v>0</v>
      </c>
      <c r="CO409">
        <f t="shared" si="823"/>
        <v>0</v>
      </c>
      <c r="CP409">
        <f t="shared" si="823"/>
        <v>0</v>
      </c>
      <c r="CQ409">
        <f t="shared" si="823"/>
        <v>0</v>
      </c>
      <c r="CR409">
        <f t="shared" si="823"/>
        <v>0</v>
      </c>
      <c r="CS409">
        <f t="shared" si="823"/>
        <v>0</v>
      </c>
      <c r="CT409">
        <f t="shared" si="823"/>
        <v>0</v>
      </c>
      <c r="CU409">
        <f t="shared" si="823"/>
        <v>0</v>
      </c>
      <c r="CV409">
        <f t="shared" si="823"/>
        <v>0</v>
      </c>
      <c r="CW409">
        <f t="shared" si="824"/>
        <v>0</v>
      </c>
      <c r="CX409">
        <f t="shared" si="824"/>
        <v>0</v>
      </c>
      <c r="CY409">
        <f t="shared" si="824"/>
        <v>0</v>
      </c>
      <c r="CZ409">
        <f t="shared" si="824"/>
        <v>0</v>
      </c>
      <c r="DA409">
        <f t="shared" si="824"/>
        <v>0</v>
      </c>
      <c r="DB409">
        <f t="shared" si="824"/>
        <v>0</v>
      </c>
      <c r="DC409">
        <f t="shared" si="824"/>
        <v>0</v>
      </c>
      <c r="DD409">
        <f t="shared" si="824"/>
        <v>0</v>
      </c>
      <c r="DE409">
        <f t="shared" si="824"/>
        <v>0</v>
      </c>
      <c r="DF409">
        <f t="shared" si="824"/>
        <v>0</v>
      </c>
      <c r="DG409">
        <f t="shared" si="825"/>
        <v>0</v>
      </c>
      <c r="DH409">
        <f t="shared" si="825"/>
        <v>0</v>
      </c>
      <c r="DI409">
        <f t="shared" si="825"/>
        <v>0</v>
      </c>
      <c r="DJ409">
        <f t="shared" si="825"/>
        <v>0</v>
      </c>
      <c r="DK409">
        <f t="shared" si="825"/>
        <v>0</v>
      </c>
      <c r="DL409">
        <f t="shared" si="825"/>
        <v>0</v>
      </c>
      <c r="DM409">
        <f t="shared" si="825"/>
        <v>0</v>
      </c>
      <c r="DN409">
        <f t="shared" si="825"/>
        <v>0</v>
      </c>
      <c r="DO409">
        <f t="shared" si="825"/>
        <v>0</v>
      </c>
      <c r="DP409">
        <f t="shared" si="825"/>
        <v>0</v>
      </c>
      <c r="DQ409">
        <f t="shared" si="826"/>
        <v>0</v>
      </c>
      <c r="DR409">
        <f t="shared" si="826"/>
        <v>0</v>
      </c>
      <c r="DS409">
        <f t="shared" si="826"/>
        <v>0</v>
      </c>
      <c r="DT409">
        <f t="shared" si="826"/>
        <v>0</v>
      </c>
      <c r="DU409">
        <f t="shared" si="826"/>
        <v>0</v>
      </c>
      <c r="DV409">
        <f t="shared" si="826"/>
        <v>0</v>
      </c>
      <c r="DW409">
        <f t="shared" si="826"/>
        <v>0</v>
      </c>
      <c r="DX409">
        <f t="shared" si="826"/>
        <v>0</v>
      </c>
      <c r="DY409">
        <f t="shared" si="826"/>
        <v>0</v>
      </c>
      <c r="DZ409">
        <f t="shared" si="826"/>
        <v>0</v>
      </c>
      <c r="EA409">
        <f t="shared" ref="EA409:EF411" si="830">IF($C409&lt;&gt;"",IF(BL409&gt;0,1,0),0)</f>
        <v>0</v>
      </c>
      <c r="EB409">
        <f t="shared" si="830"/>
        <v>0</v>
      </c>
      <c r="EC409">
        <f t="shared" si="830"/>
        <v>0</v>
      </c>
      <c r="ED409">
        <f t="shared" si="830"/>
        <v>0</v>
      </c>
      <c r="EE409">
        <f t="shared" si="830"/>
        <v>0</v>
      </c>
      <c r="EF409">
        <f t="shared" si="830"/>
        <v>0</v>
      </c>
    </row>
    <row r="410" spans="1:136" ht="15.5">
      <c r="A410" s="90"/>
      <c r="B410" s="53" t="s">
        <v>21</v>
      </c>
      <c r="C410" s="95"/>
      <c r="D410" s="18">
        <v>0</v>
      </c>
      <c r="E410" s="18">
        <v>0</v>
      </c>
      <c r="F410" s="18">
        <v>0</v>
      </c>
      <c r="G410" s="18">
        <v>0</v>
      </c>
      <c r="H410" s="18">
        <v>0</v>
      </c>
      <c r="I410" s="18">
        <v>0</v>
      </c>
      <c r="J410" s="18">
        <v>0</v>
      </c>
      <c r="K410" s="18">
        <v>0</v>
      </c>
      <c r="L410" s="18">
        <v>0</v>
      </c>
      <c r="M410" s="18">
        <v>0</v>
      </c>
      <c r="N410" s="18">
        <v>0</v>
      </c>
      <c r="O410" s="18">
        <v>0</v>
      </c>
      <c r="P410" s="18">
        <v>0</v>
      </c>
      <c r="Q410" s="18">
        <v>0</v>
      </c>
      <c r="R410" s="18">
        <v>0</v>
      </c>
      <c r="S410" s="18">
        <v>0</v>
      </c>
      <c r="T410" s="18">
        <v>0</v>
      </c>
      <c r="U410" s="18">
        <v>0</v>
      </c>
      <c r="V410" s="18">
        <v>0</v>
      </c>
      <c r="W410" s="18">
        <v>0</v>
      </c>
      <c r="X410" s="18">
        <v>0</v>
      </c>
      <c r="Y410" s="18">
        <v>0</v>
      </c>
      <c r="Z410" s="18">
        <v>0</v>
      </c>
      <c r="AA410" s="18">
        <v>0</v>
      </c>
      <c r="AB410" s="18">
        <v>0</v>
      </c>
      <c r="AC410" s="18">
        <v>0</v>
      </c>
      <c r="AD410" s="18">
        <v>0</v>
      </c>
      <c r="AE410" s="18">
        <v>0</v>
      </c>
      <c r="AF410" s="18">
        <v>0</v>
      </c>
      <c r="AG410" s="18">
        <v>0</v>
      </c>
      <c r="AH410" s="18">
        <v>0</v>
      </c>
      <c r="AI410" s="18">
        <v>0</v>
      </c>
      <c r="AJ410" s="18">
        <v>0</v>
      </c>
      <c r="AK410" s="18">
        <v>0</v>
      </c>
      <c r="AL410" s="18">
        <v>0</v>
      </c>
      <c r="AM410" s="18">
        <v>0</v>
      </c>
      <c r="AN410" s="18">
        <v>0</v>
      </c>
      <c r="AO410" s="18">
        <v>0</v>
      </c>
      <c r="AP410" s="18">
        <v>0</v>
      </c>
      <c r="AQ410" s="18">
        <v>346</v>
      </c>
      <c r="AR410" s="18">
        <v>696</v>
      </c>
      <c r="AS410" s="18">
        <v>0</v>
      </c>
      <c r="AT410" s="18">
        <v>0</v>
      </c>
      <c r="AU410" s="18">
        <v>0</v>
      </c>
      <c r="AV410" s="18">
        <v>0</v>
      </c>
      <c r="AW410" s="18">
        <v>0</v>
      </c>
      <c r="AX410" s="18">
        <v>0</v>
      </c>
      <c r="AY410" s="18">
        <v>0</v>
      </c>
      <c r="AZ410" s="18">
        <v>0</v>
      </c>
      <c r="BA410" s="18">
        <v>0</v>
      </c>
      <c r="BB410" s="18">
        <v>0</v>
      </c>
      <c r="BC410" s="18">
        <v>0</v>
      </c>
      <c r="BD410" s="18">
        <v>0</v>
      </c>
      <c r="BE410" s="18">
        <v>0</v>
      </c>
      <c r="BF410" s="18">
        <v>0</v>
      </c>
      <c r="BG410" s="18">
        <v>0</v>
      </c>
      <c r="BH410" s="18">
        <v>0</v>
      </c>
      <c r="BI410" s="18">
        <v>0</v>
      </c>
      <c r="BJ410" s="18">
        <v>0</v>
      </c>
      <c r="BK410" s="18">
        <v>0</v>
      </c>
      <c r="BL410" s="18">
        <v>0</v>
      </c>
      <c r="BM410" s="18">
        <v>0</v>
      </c>
      <c r="BN410" s="18">
        <v>0</v>
      </c>
      <c r="BO410" s="113">
        <v>0</v>
      </c>
      <c r="BP410" s="113">
        <v>0</v>
      </c>
      <c r="BQ410" s="113">
        <v>0</v>
      </c>
      <c r="BR410" s="101"/>
      <c r="BS410">
        <f t="shared" si="821"/>
        <v>0</v>
      </c>
      <c r="BT410">
        <f t="shared" si="821"/>
        <v>0</v>
      </c>
      <c r="BU410">
        <f t="shared" si="821"/>
        <v>0</v>
      </c>
      <c r="BV410">
        <f t="shared" si="821"/>
        <v>0</v>
      </c>
      <c r="BW410">
        <f t="shared" si="821"/>
        <v>0</v>
      </c>
      <c r="BX410">
        <f t="shared" si="821"/>
        <v>0</v>
      </c>
      <c r="BY410">
        <f t="shared" si="821"/>
        <v>0</v>
      </c>
      <c r="BZ410">
        <f t="shared" si="821"/>
        <v>0</v>
      </c>
      <c r="CA410">
        <f t="shared" si="821"/>
        <v>0</v>
      </c>
      <c r="CB410">
        <f t="shared" si="821"/>
        <v>0</v>
      </c>
      <c r="CC410">
        <f t="shared" si="822"/>
        <v>0</v>
      </c>
      <c r="CD410">
        <f t="shared" si="822"/>
        <v>0</v>
      </c>
      <c r="CE410">
        <f t="shared" si="822"/>
        <v>0</v>
      </c>
      <c r="CF410">
        <f t="shared" si="822"/>
        <v>0</v>
      </c>
      <c r="CG410">
        <f t="shared" si="822"/>
        <v>0</v>
      </c>
      <c r="CH410">
        <f t="shared" si="822"/>
        <v>0</v>
      </c>
      <c r="CI410">
        <f t="shared" si="822"/>
        <v>0</v>
      </c>
      <c r="CJ410">
        <f t="shared" si="822"/>
        <v>0</v>
      </c>
      <c r="CK410">
        <f t="shared" si="822"/>
        <v>0</v>
      </c>
      <c r="CL410">
        <f t="shared" si="822"/>
        <v>0</v>
      </c>
      <c r="CM410">
        <f t="shared" si="823"/>
        <v>0</v>
      </c>
      <c r="CN410">
        <f t="shared" si="823"/>
        <v>0</v>
      </c>
      <c r="CO410">
        <f t="shared" si="823"/>
        <v>0</v>
      </c>
      <c r="CP410">
        <f t="shared" si="823"/>
        <v>0</v>
      </c>
      <c r="CQ410">
        <f t="shared" si="823"/>
        <v>0</v>
      </c>
      <c r="CR410">
        <f t="shared" si="823"/>
        <v>0</v>
      </c>
      <c r="CS410">
        <f t="shared" si="823"/>
        <v>0</v>
      </c>
      <c r="CT410">
        <f t="shared" si="823"/>
        <v>0</v>
      </c>
      <c r="CU410">
        <f t="shared" si="823"/>
        <v>0</v>
      </c>
      <c r="CV410">
        <f t="shared" si="823"/>
        <v>0</v>
      </c>
      <c r="CW410">
        <f t="shared" si="824"/>
        <v>0</v>
      </c>
      <c r="CX410">
        <f t="shared" si="824"/>
        <v>0</v>
      </c>
      <c r="CY410">
        <f t="shared" si="824"/>
        <v>0</v>
      </c>
      <c r="CZ410">
        <f t="shared" si="824"/>
        <v>0</v>
      </c>
      <c r="DA410">
        <f t="shared" si="824"/>
        <v>0</v>
      </c>
      <c r="DB410">
        <f t="shared" si="824"/>
        <v>0</v>
      </c>
      <c r="DC410">
        <f t="shared" si="824"/>
        <v>0</v>
      </c>
      <c r="DD410">
        <f t="shared" si="824"/>
        <v>0</v>
      </c>
      <c r="DE410">
        <f t="shared" si="824"/>
        <v>0</v>
      </c>
      <c r="DF410">
        <f t="shared" si="824"/>
        <v>0</v>
      </c>
      <c r="DG410">
        <f t="shared" si="825"/>
        <v>0</v>
      </c>
      <c r="DH410">
        <f t="shared" si="825"/>
        <v>0</v>
      </c>
      <c r="DI410">
        <f t="shared" si="825"/>
        <v>0</v>
      </c>
      <c r="DJ410">
        <f t="shared" si="825"/>
        <v>0</v>
      </c>
      <c r="DK410">
        <f t="shared" si="825"/>
        <v>0</v>
      </c>
      <c r="DL410">
        <f t="shared" si="825"/>
        <v>0</v>
      </c>
      <c r="DM410">
        <f t="shared" si="825"/>
        <v>0</v>
      </c>
      <c r="DN410">
        <f t="shared" si="825"/>
        <v>0</v>
      </c>
      <c r="DO410">
        <f t="shared" si="825"/>
        <v>0</v>
      </c>
      <c r="DP410">
        <f t="shared" si="825"/>
        <v>0</v>
      </c>
      <c r="DQ410">
        <f t="shared" si="826"/>
        <v>0</v>
      </c>
      <c r="DR410">
        <f t="shared" si="826"/>
        <v>0</v>
      </c>
      <c r="DS410">
        <f t="shared" si="826"/>
        <v>0</v>
      </c>
      <c r="DT410">
        <f t="shared" si="826"/>
        <v>0</v>
      </c>
      <c r="DU410">
        <f t="shared" si="826"/>
        <v>0</v>
      </c>
      <c r="DV410">
        <f t="shared" si="826"/>
        <v>0</v>
      </c>
      <c r="DW410">
        <f t="shared" si="826"/>
        <v>0</v>
      </c>
      <c r="DX410">
        <f t="shared" si="826"/>
        <v>0</v>
      </c>
      <c r="DY410">
        <f t="shared" si="826"/>
        <v>0</v>
      </c>
      <c r="DZ410">
        <f t="shared" si="826"/>
        <v>0</v>
      </c>
      <c r="EA410">
        <f t="shared" si="830"/>
        <v>0</v>
      </c>
      <c r="EB410">
        <f t="shared" si="830"/>
        <v>0</v>
      </c>
      <c r="EC410">
        <f t="shared" si="830"/>
        <v>0</v>
      </c>
      <c r="ED410">
        <f t="shared" si="830"/>
        <v>0</v>
      </c>
      <c r="EE410">
        <f t="shared" si="830"/>
        <v>0</v>
      </c>
      <c r="EF410">
        <f t="shared" si="830"/>
        <v>0</v>
      </c>
    </row>
    <row r="411" spans="1:136" ht="15.5">
      <c r="A411" s="90"/>
      <c r="B411" s="19" t="s">
        <v>212</v>
      </c>
      <c r="C411" s="95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40"/>
      <c r="AF411" s="40"/>
      <c r="AG411" s="40"/>
      <c r="AH411" s="18">
        <v>0</v>
      </c>
      <c r="AI411" s="18">
        <v>0</v>
      </c>
      <c r="AJ411" s="18">
        <v>63</v>
      </c>
      <c r="AK411" s="18">
        <v>159</v>
      </c>
      <c r="AL411" s="18">
        <v>43</v>
      </c>
      <c r="AM411" s="18">
        <v>334</v>
      </c>
      <c r="AN411" s="18">
        <v>372</v>
      </c>
      <c r="AO411" s="18">
        <v>372</v>
      </c>
      <c r="AP411" s="18">
        <v>949</v>
      </c>
      <c r="AQ411" s="18">
        <v>1499</v>
      </c>
      <c r="AR411" s="18">
        <v>1831</v>
      </c>
      <c r="AS411" s="18">
        <v>2208</v>
      </c>
      <c r="AT411" s="18">
        <v>2184</v>
      </c>
      <c r="AU411" s="18">
        <v>2054</v>
      </c>
      <c r="AV411" s="18">
        <v>1988</v>
      </c>
      <c r="AW411" s="18">
        <v>0</v>
      </c>
      <c r="AX411" s="18">
        <v>0</v>
      </c>
      <c r="AY411" s="18">
        <v>5427</v>
      </c>
      <c r="AZ411" s="18">
        <v>5740</v>
      </c>
      <c r="BA411" s="18">
        <v>5681</v>
      </c>
      <c r="BB411" s="18">
        <v>4887</v>
      </c>
      <c r="BC411" s="18">
        <v>3313</v>
      </c>
      <c r="BD411" s="18">
        <v>3342</v>
      </c>
      <c r="BE411" s="25">
        <v>2593</v>
      </c>
      <c r="BF411" s="18">
        <v>3591</v>
      </c>
      <c r="BG411" s="18">
        <v>5273</v>
      </c>
      <c r="BH411" s="18">
        <v>3893</v>
      </c>
      <c r="BI411" s="18">
        <v>2250</v>
      </c>
      <c r="BJ411" s="18">
        <v>1427</v>
      </c>
      <c r="BK411" s="18">
        <v>1427</v>
      </c>
      <c r="BL411" s="18">
        <v>1642</v>
      </c>
      <c r="BM411" s="34">
        <v>1722</v>
      </c>
      <c r="BN411" s="34">
        <v>865</v>
      </c>
      <c r="BO411" s="154">
        <v>376</v>
      </c>
      <c r="BP411" s="154">
        <v>463</v>
      </c>
      <c r="BQ411" s="113">
        <v>252</v>
      </c>
      <c r="BR411" s="101"/>
      <c r="BS411">
        <f t="shared" ref="BS411:CN411" si="831">IF($C411&lt;&gt;"",IF(D411&gt;0,1,0),0)</f>
        <v>0</v>
      </c>
      <c r="BT411">
        <f t="shared" si="831"/>
        <v>0</v>
      </c>
      <c r="BU411">
        <f t="shared" si="831"/>
        <v>0</v>
      </c>
      <c r="BV411">
        <f t="shared" si="831"/>
        <v>0</v>
      </c>
      <c r="BW411">
        <f t="shared" si="831"/>
        <v>0</v>
      </c>
      <c r="BX411">
        <f t="shared" si="831"/>
        <v>0</v>
      </c>
      <c r="BY411">
        <f t="shared" si="831"/>
        <v>0</v>
      </c>
      <c r="BZ411">
        <f t="shared" si="831"/>
        <v>0</v>
      </c>
      <c r="CA411">
        <f t="shared" si="831"/>
        <v>0</v>
      </c>
      <c r="CB411">
        <f t="shared" si="831"/>
        <v>0</v>
      </c>
      <c r="CC411">
        <f t="shared" si="831"/>
        <v>0</v>
      </c>
      <c r="CD411">
        <f t="shared" si="831"/>
        <v>0</v>
      </c>
      <c r="CE411">
        <f t="shared" si="831"/>
        <v>0</v>
      </c>
      <c r="CF411">
        <f t="shared" si="831"/>
        <v>0</v>
      </c>
      <c r="CG411">
        <f t="shared" si="831"/>
        <v>0</v>
      </c>
      <c r="CH411">
        <f t="shared" si="831"/>
        <v>0</v>
      </c>
      <c r="CI411">
        <f t="shared" si="831"/>
        <v>0</v>
      </c>
      <c r="CJ411">
        <f t="shared" si="831"/>
        <v>0</v>
      </c>
      <c r="CK411">
        <f t="shared" si="831"/>
        <v>0</v>
      </c>
      <c r="CL411">
        <f t="shared" si="831"/>
        <v>0</v>
      </c>
      <c r="CM411">
        <f t="shared" si="831"/>
        <v>0</v>
      </c>
      <c r="CN411">
        <f t="shared" si="831"/>
        <v>0</v>
      </c>
      <c r="CO411">
        <f>IF($C411&lt;&gt;"",IF(Z419&gt;0,1,0),0)</f>
        <v>0</v>
      </c>
      <c r="CP411">
        <f>IF($C411&lt;&gt;"",IF(AA419&gt;0,1,0),0)</f>
        <v>0</v>
      </c>
      <c r="CQ411">
        <f>IF($C411&lt;&gt;"",IF(#REF!&gt;0,1,0),0)</f>
        <v>0</v>
      </c>
      <c r="CR411">
        <f>IF($C411&lt;&gt;"",IF(AB419&gt;0,1,0),0)</f>
        <v>0</v>
      </c>
      <c r="CS411">
        <f t="shared" ref="CS411:DZ411" si="832">IF($C411&lt;&gt;"",IF(AD411&gt;0,1,0),0)</f>
        <v>0</v>
      </c>
      <c r="CT411">
        <f t="shared" si="832"/>
        <v>0</v>
      </c>
      <c r="CU411">
        <f t="shared" si="832"/>
        <v>0</v>
      </c>
      <c r="CV411">
        <f t="shared" si="832"/>
        <v>0</v>
      </c>
      <c r="CW411">
        <f t="shared" si="832"/>
        <v>0</v>
      </c>
      <c r="CX411">
        <f t="shared" si="832"/>
        <v>0</v>
      </c>
      <c r="CY411">
        <f t="shared" si="832"/>
        <v>0</v>
      </c>
      <c r="CZ411">
        <f t="shared" si="832"/>
        <v>0</v>
      </c>
      <c r="DA411">
        <f t="shared" si="832"/>
        <v>0</v>
      </c>
      <c r="DB411">
        <f t="shared" si="832"/>
        <v>0</v>
      </c>
      <c r="DC411">
        <f t="shared" si="832"/>
        <v>0</v>
      </c>
      <c r="DD411">
        <f t="shared" si="832"/>
        <v>0</v>
      </c>
      <c r="DE411">
        <f t="shared" si="832"/>
        <v>0</v>
      </c>
      <c r="DF411">
        <f t="shared" si="832"/>
        <v>0</v>
      </c>
      <c r="DG411">
        <f t="shared" si="832"/>
        <v>0</v>
      </c>
      <c r="DH411">
        <f t="shared" si="832"/>
        <v>0</v>
      </c>
      <c r="DI411">
        <f t="shared" si="832"/>
        <v>0</v>
      </c>
      <c r="DJ411">
        <f t="shared" si="832"/>
        <v>0</v>
      </c>
      <c r="DK411">
        <f t="shared" si="832"/>
        <v>0</v>
      </c>
      <c r="DL411">
        <f t="shared" si="832"/>
        <v>0</v>
      </c>
      <c r="DM411">
        <f t="shared" si="832"/>
        <v>0</v>
      </c>
      <c r="DN411">
        <f t="shared" si="832"/>
        <v>0</v>
      </c>
      <c r="DO411">
        <f t="shared" si="832"/>
        <v>0</v>
      </c>
      <c r="DP411">
        <f t="shared" si="832"/>
        <v>0</v>
      </c>
      <c r="DQ411">
        <f t="shared" si="832"/>
        <v>0</v>
      </c>
      <c r="DR411">
        <f t="shared" si="832"/>
        <v>0</v>
      </c>
      <c r="DS411">
        <f t="shared" si="832"/>
        <v>0</v>
      </c>
      <c r="DT411">
        <f t="shared" si="832"/>
        <v>0</v>
      </c>
      <c r="DU411">
        <f t="shared" si="832"/>
        <v>0</v>
      </c>
      <c r="DV411">
        <f t="shared" si="832"/>
        <v>0</v>
      </c>
      <c r="DW411">
        <f t="shared" si="832"/>
        <v>0</v>
      </c>
      <c r="DX411">
        <f t="shared" si="832"/>
        <v>0</v>
      </c>
      <c r="DY411">
        <f t="shared" si="832"/>
        <v>0</v>
      </c>
      <c r="DZ411">
        <f t="shared" si="832"/>
        <v>0</v>
      </c>
      <c r="EA411">
        <f t="shared" si="830"/>
        <v>0</v>
      </c>
      <c r="EB411">
        <f t="shared" si="830"/>
        <v>0</v>
      </c>
      <c r="EC411">
        <f t="shared" si="830"/>
        <v>0</v>
      </c>
      <c r="ED411">
        <f t="shared" si="830"/>
        <v>0</v>
      </c>
      <c r="EE411">
        <f t="shared" si="830"/>
        <v>0</v>
      </c>
      <c r="EF411">
        <f t="shared" si="830"/>
        <v>0</v>
      </c>
    </row>
    <row r="412" spans="1:136" ht="15.5">
      <c r="A412" s="90"/>
      <c r="B412" s="53"/>
      <c r="C412" s="95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  <c r="AY412" s="18"/>
      <c r="AZ412" s="18"/>
      <c r="BA412" s="113"/>
      <c r="BB412" s="113"/>
      <c r="BC412" s="113"/>
      <c r="BD412" s="113"/>
      <c r="BE412" s="113"/>
      <c r="BF412" s="113"/>
      <c r="BG412" s="113"/>
      <c r="BH412" s="113"/>
      <c r="BI412" s="113"/>
      <c r="BJ412" s="2"/>
      <c r="BK412" s="2"/>
      <c r="BL412" s="22"/>
      <c r="BM412" s="2"/>
      <c r="BN412" s="2"/>
      <c r="BO412" s="2"/>
      <c r="BP412" s="2"/>
      <c r="BQ412" s="2"/>
      <c r="BR412" s="101"/>
    </row>
    <row r="413" spans="1:136" ht="15.5">
      <c r="A413" s="93">
        <v>48</v>
      </c>
      <c r="B413" s="52" t="s">
        <v>61</v>
      </c>
      <c r="C413" s="95">
        <v>4</v>
      </c>
      <c r="D413" s="22">
        <f t="shared" ref="D413:AI413" si="833">SUM(D414:D418)</f>
        <v>0</v>
      </c>
      <c r="E413" s="22">
        <f t="shared" si="833"/>
        <v>0</v>
      </c>
      <c r="F413" s="22">
        <f t="shared" si="833"/>
        <v>0</v>
      </c>
      <c r="G413" s="22">
        <f t="shared" si="833"/>
        <v>0</v>
      </c>
      <c r="H413" s="22">
        <f t="shared" si="833"/>
        <v>277</v>
      </c>
      <c r="I413" s="22">
        <f t="shared" si="833"/>
        <v>560</v>
      </c>
      <c r="J413" s="22">
        <f t="shared" si="833"/>
        <v>211.5</v>
      </c>
      <c r="K413" s="22">
        <f t="shared" si="833"/>
        <v>62.2</v>
      </c>
      <c r="L413" s="22">
        <f t="shared" si="833"/>
        <v>152.80000000000001</v>
      </c>
      <c r="M413" s="22">
        <f t="shared" si="833"/>
        <v>211</v>
      </c>
      <c r="N413" s="22">
        <f t="shared" si="833"/>
        <v>86.320999999999998</v>
      </c>
      <c r="O413" s="22">
        <f t="shared" si="833"/>
        <v>70.141000000000005</v>
      </c>
      <c r="P413" s="22">
        <f t="shared" si="833"/>
        <v>90.778999999999996</v>
      </c>
      <c r="Q413" s="22">
        <f t="shared" si="833"/>
        <v>25.604999999999997</v>
      </c>
      <c r="R413" s="22">
        <f t="shared" si="833"/>
        <v>39.661999999999999</v>
      </c>
      <c r="S413" s="22">
        <f t="shared" si="833"/>
        <v>22.073</v>
      </c>
      <c r="T413" s="22">
        <f t="shared" si="833"/>
        <v>124.98100000000001</v>
      </c>
      <c r="U413" s="22">
        <f t="shared" si="833"/>
        <v>7105.5</v>
      </c>
      <c r="V413" s="22">
        <f t="shared" si="833"/>
        <v>95.509999999999991</v>
      </c>
      <c r="W413" s="22">
        <f t="shared" si="833"/>
        <v>345.53000000000003</v>
      </c>
      <c r="X413" s="22">
        <f t="shared" si="833"/>
        <v>484.27000000000004</v>
      </c>
      <c r="Y413" s="22">
        <f t="shared" si="833"/>
        <v>641.92100000000005</v>
      </c>
      <c r="Z413" s="22">
        <f t="shared" si="833"/>
        <v>977.56499999999994</v>
      </c>
      <c r="AA413" s="22">
        <f t="shared" si="833"/>
        <v>1484.1279999999999</v>
      </c>
      <c r="AB413" s="22">
        <f t="shared" si="833"/>
        <v>2721.9690000000001</v>
      </c>
      <c r="AC413" s="22">
        <f t="shared" si="833"/>
        <v>4578.4380000000001</v>
      </c>
      <c r="AD413" s="22">
        <f t="shared" si="833"/>
        <v>13706.771000000001</v>
      </c>
      <c r="AE413" s="22">
        <f t="shared" si="833"/>
        <v>10882.291999999999</v>
      </c>
      <c r="AF413" s="22">
        <f t="shared" si="833"/>
        <v>8345.5560000000005</v>
      </c>
      <c r="AG413" s="22">
        <f t="shared" si="833"/>
        <v>11196.253000000001</v>
      </c>
      <c r="AH413" s="22">
        <f t="shared" si="833"/>
        <v>18005.132999999998</v>
      </c>
      <c r="AI413" s="22">
        <f t="shared" si="833"/>
        <v>23529.016</v>
      </c>
      <c r="AJ413" s="22">
        <f t="shared" ref="AJ413:BP413" si="834">SUM(AJ414:AJ418)</f>
        <v>877.65100000000007</v>
      </c>
      <c r="AK413" s="22">
        <f t="shared" si="834"/>
        <v>724.42200000000003</v>
      </c>
      <c r="AL413" s="22">
        <f t="shared" si="834"/>
        <v>543.1</v>
      </c>
      <c r="AM413" s="22">
        <f t="shared" si="834"/>
        <v>516.029</v>
      </c>
      <c r="AN413" s="22">
        <f t="shared" si="834"/>
        <v>366.74599999999998</v>
      </c>
      <c r="AO413" s="22">
        <f t="shared" si="834"/>
        <v>180.87299999999999</v>
      </c>
      <c r="AP413" s="22">
        <f t="shared" si="834"/>
        <v>103.104</v>
      </c>
      <c r="AQ413" s="22">
        <f t="shared" si="834"/>
        <v>113.559</v>
      </c>
      <c r="AR413" s="22">
        <f t="shared" si="834"/>
        <v>52.629999999999995</v>
      </c>
      <c r="AS413" s="22">
        <f t="shared" si="834"/>
        <v>4.2869999999999999</v>
      </c>
      <c r="AT413" s="22">
        <f t="shared" si="834"/>
        <v>2.3659999999999997</v>
      </c>
      <c r="AU413" s="22">
        <f t="shared" si="834"/>
        <v>3.98</v>
      </c>
      <c r="AV413" s="22">
        <f t="shared" si="834"/>
        <v>7.7510000000000003</v>
      </c>
      <c r="AW413" s="22">
        <f t="shared" si="834"/>
        <v>10.956</v>
      </c>
      <c r="AX413" s="22">
        <f t="shared" si="834"/>
        <v>3.1587277999999999</v>
      </c>
      <c r="AY413" s="22">
        <f t="shared" si="834"/>
        <v>2.9681604999999998</v>
      </c>
      <c r="AZ413" s="22">
        <f t="shared" si="834"/>
        <v>2.1980805000000001</v>
      </c>
      <c r="BA413" s="22">
        <f t="shared" si="834"/>
        <v>2.6181353999999999</v>
      </c>
      <c r="BB413" s="22">
        <f t="shared" si="834"/>
        <v>3.0801000000000001E-3</v>
      </c>
      <c r="BC413" s="22">
        <f t="shared" si="834"/>
        <v>1.5352999999999999E-3</v>
      </c>
      <c r="BD413" s="22">
        <f t="shared" si="834"/>
        <v>6300</v>
      </c>
      <c r="BE413" s="22">
        <f t="shared" si="834"/>
        <v>5400.0030800000004</v>
      </c>
      <c r="BF413" s="22">
        <f t="shared" si="834"/>
        <v>5900.0014487999997</v>
      </c>
      <c r="BG413" s="22">
        <f t="shared" si="834"/>
        <v>3500.0013856999999</v>
      </c>
      <c r="BH413" s="22">
        <f t="shared" si="834"/>
        <v>2400.0013442999998</v>
      </c>
      <c r="BI413" s="22">
        <f t="shared" si="834"/>
        <v>1200</v>
      </c>
      <c r="BJ413" s="4">
        <f t="shared" si="834"/>
        <v>1201.4222305999999</v>
      </c>
      <c r="BK413" s="22">
        <f t="shared" si="834"/>
        <v>1001.4350357</v>
      </c>
      <c r="BL413" s="22">
        <f t="shared" si="834"/>
        <v>208.81336590000001</v>
      </c>
      <c r="BM413" s="22">
        <f t="shared" si="834"/>
        <v>0.61726700000000001</v>
      </c>
      <c r="BN413" s="22">
        <f t="shared" si="834"/>
        <v>0</v>
      </c>
      <c r="BO413" s="22">
        <f t="shared" si="834"/>
        <v>1</v>
      </c>
      <c r="BP413" s="22">
        <f t="shared" si="834"/>
        <v>0</v>
      </c>
      <c r="BQ413" s="22">
        <f>SUM(BQ414:BQ418)</f>
        <v>0</v>
      </c>
      <c r="BR413" s="101"/>
      <c r="BS413">
        <f t="shared" ref="BS413:CX413" si="835">IF($C413&lt;&gt;"",IF(D413&gt;0,1,0),0)</f>
        <v>0</v>
      </c>
      <c r="BT413">
        <f t="shared" si="835"/>
        <v>0</v>
      </c>
      <c r="BU413">
        <f t="shared" si="835"/>
        <v>0</v>
      </c>
      <c r="BV413">
        <f t="shared" si="835"/>
        <v>0</v>
      </c>
      <c r="BW413">
        <f t="shared" si="835"/>
        <v>1</v>
      </c>
      <c r="BX413">
        <f t="shared" si="835"/>
        <v>1</v>
      </c>
      <c r="BY413">
        <f t="shared" si="835"/>
        <v>1</v>
      </c>
      <c r="BZ413">
        <f t="shared" si="835"/>
        <v>1</v>
      </c>
      <c r="CA413">
        <f t="shared" si="835"/>
        <v>1</v>
      </c>
      <c r="CB413">
        <f t="shared" si="835"/>
        <v>1</v>
      </c>
      <c r="CC413">
        <f t="shared" si="835"/>
        <v>1</v>
      </c>
      <c r="CD413">
        <f t="shared" si="835"/>
        <v>1</v>
      </c>
      <c r="CE413">
        <f t="shared" si="835"/>
        <v>1</v>
      </c>
      <c r="CF413">
        <f t="shared" si="835"/>
        <v>1</v>
      </c>
      <c r="CG413">
        <f t="shared" si="835"/>
        <v>1</v>
      </c>
      <c r="CH413">
        <f t="shared" si="835"/>
        <v>1</v>
      </c>
      <c r="CI413">
        <f t="shared" si="835"/>
        <v>1</v>
      </c>
      <c r="CJ413">
        <f t="shared" si="835"/>
        <v>1</v>
      </c>
      <c r="CK413">
        <f t="shared" si="835"/>
        <v>1</v>
      </c>
      <c r="CL413">
        <f t="shared" si="835"/>
        <v>1</v>
      </c>
      <c r="CM413">
        <f t="shared" si="835"/>
        <v>1</v>
      </c>
      <c r="CN413">
        <f t="shared" si="835"/>
        <v>1</v>
      </c>
      <c r="CO413">
        <f t="shared" si="835"/>
        <v>1</v>
      </c>
      <c r="CP413">
        <f t="shared" si="835"/>
        <v>1</v>
      </c>
      <c r="CQ413">
        <f t="shared" si="835"/>
        <v>1</v>
      </c>
      <c r="CR413">
        <f t="shared" si="835"/>
        <v>1</v>
      </c>
      <c r="CS413">
        <f t="shared" si="835"/>
        <v>1</v>
      </c>
      <c r="CT413">
        <f t="shared" si="835"/>
        <v>1</v>
      </c>
      <c r="CU413">
        <f t="shared" si="835"/>
        <v>1</v>
      </c>
      <c r="CV413">
        <f t="shared" si="835"/>
        <v>1</v>
      </c>
      <c r="CW413">
        <f t="shared" si="835"/>
        <v>1</v>
      </c>
      <c r="CX413">
        <f t="shared" si="835"/>
        <v>1</v>
      </c>
      <c r="CY413">
        <f t="shared" ref="CY413:ED413" si="836">IF($C413&lt;&gt;"",IF(AJ413&gt;0,1,0),0)</f>
        <v>1</v>
      </c>
      <c r="CZ413">
        <f t="shared" si="836"/>
        <v>1</v>
      </c>
      <c r="DA413">
        <f t="shared" si="836"/>
        <v>1</v>
      </c>
      <c r="DB413">
        <f t="shared" si="836"/>
        <v>1</v>
      </c>
      <c r="DC413">
        <f t="shared" si="836"/>
        <v>1</v>
      </c>
      <c r="DD413">
        <f t="shared" si="836"/>
        <v>1</v>
      </c>
      <c r="DE413">
        <f t="shared" si="836"/>
        <v>1</v>
      </c>
      <c r="DF413">
        <f t="shared" si="836"/>
        <v>1</v>
      </c>
      <c r="DG413">
        <f t="shared" si="836"/>
        <v>1</v>
      </c>
      <c r="DH413">
        <f t="shared" si="836"/>
        <v>1</v>
      </c>
      <c r="DI413">
        <f t="shared" si="836"/>
        <v>1</v>
      </c>
      <c r="DJ413">
        <f t="shared" si="836"/>
        <v>1</v>
      </c>
      <c r="DK413">
        <f t="shared" si="836"/>
        <v>1</v>
      </c>
      <c r="DL413">
        <f t="shared" si="836"/>
        <v>1</v>
      </c>
      <c r="DM413">
        <f t="shared" si="836"/>
        <v>1</v>
      </c>
      <c r="DN413">
        <f t="shared" si="836"/>
        <v>1</v>
      </c>
      <c r="DO413">
        <f t="shared" si="836"/>
        <v>1</v>
      </c>
      <c r="DP413">
        <f t="shared" si="836"/>
        <v>1</v>
      </c>
      <c r="DQ413">
        <f t="shared" si="836"/>
        <v>1</v>
      </c>
      <c r="DR413">
        <f t="shared" si="836"/>
        <v>1</v>
      </c>
      <c r="DS413">
        <f t="shared" si="836"/>
        <v>1</v>
      </c>
      <c r="DT413">
        <f t="shared" si="836"/>
        <v>1</v>
      </c>
      <c r="DU413">
        <f t="shared" si="836"/>
        <v>1</v>
      </c>
      <c r="DV413">
        <f t="shared" si="836"/>
        <v>1</v>
      </c>
      <c r="DW413">
        <f t="shared" si="836"/>
        <v>1</v>
      </c>
      <c r="DX413">
        <f t="shared" si="836"/>
        <v>1</v>
      </c>
      <c r="DY413">
        <f t="shared" si="836"/>
        <v>1</v>
      </c>
      <c r="DZ413">
        <f t="shared" si="836"/>
        <v>1</v>
      </c>
      <c r="EA413">
        <f t="shared" si="836"/>
        <v>1</v>
      </c>
      <c r="EB413">
        <f t="shared" si="836"/>
        <v>1</v>
      </c>
      <c r="EC413">
        <f t="shared" si="836"/>
        <v>0</v>
      </c>
      <c r="ED413">
        <f t="shared" si="836"/>
        <v>1</v>
      </c>
      <c r="EE413">
        <f t="shared" ref="EE413:EF413" si="837">IF($C413&lt;&gt;"",IF(BP413&gt;0,1,0),0)</f>
        <v>0</v>
      </c>
      <c r="EF413">
        <f t="shared" si="837"/>
        <v>0</v>
      </c>
    </row>
    <row r="414" spans="1:136" ht="15.5">
      <c r="A414" s="90"/>
      <c r="B414" s="24" t="s">
        <v>15</v>
      </c>
      <c r="C414" s="95" t="s">
        <v>24</v>
      </c>
      <c r="D414" s="18">
        <v>0</v>
      </c>
      <c r="E414" s="18">
        <v>0</v>
      </c>
      <c r="F414" s="18">
        <v>0</v>
      </c>
      <c r="G414" s="18">
        <v>0</v>
      </c>
      <c r="H414" s="18">
        <v>0</v>
      </c>
      <c r="I414" s="18">
        <v>0</v>
      </c>
      <c r="J414" s="18">
        <v>40</v>
      </c>
      <c r="K414" s="18">
        <v>14.2</v>
      </c>
      <c r="L414" s="18">
        <v>14.8</v>
      </c>
      <c r="M414" s="18">
        <v>0</v>
      </c>
      <c r="N414" s="18">
        <v>0</v>
      </c>
      <c r="O414" s="18">
        <v>0</v>
      </c>
      <c r="P414" s="18">
        <v>0</v>
      </c>
      <c r="Q414" s="18">
        <v>0</v>
      </c>
      <c r="R414" s="18">
        <v>0</v>
      </c>
      <c r="S414" s="18">
        <v>0</v>
      </c>
      <c r="T414" s="18">
        <v>0</v>
      </c>
      <c r="U414" s="18">
        <v>0</v>
      </c>
      <c r="V414" s="18">
        <v>0</v>
      </c>
      <c r="W414" s="18">
        <v>0</v>
      </c>
      <c r="X414" s="18">
        <v>27.6</v>
      </c>
      <c r="Y414" s="18">
        <v>0</v>
      </c>
      <c r="Z414" s="18">
        <v>0</v>
      </c>
      <c r="AA414" s="18">
        <v>0</v>
      </c>
      <c r="AB414" s="18">
        <v>0</v>
      </c>
      <c r="AC414" s="18">
        <v>0</v>
      </c>
      <c r="AD414" s="18">
        <v>0</v>
      </c>
      <c r="AE414" s="18">
        <v>0</v>
      </c>
      <c r="AF414" s="18">
        <v>0</v>
      </c>
      <c r="AG414" s="18">
        <v>0</v>
      </c>
      <c r="AH414" s="18">
        <v>0</v>
      </c>
      <c r="AI414" s="18">
        <v>0</v>
      </c>
      <c r="AJ414" s="18">
        <v>0</v>
      </c>
      <c r="AK414" s="18">
        <v>0</v>
      </c>
      <c r="AL414" s="18">
        <v>0</v>
      </c>
      <c r="AM414" s="18">
        <v>0</v>
      </c>
      <c r="AN414" s="18">
        <v>0</v>
      </c>
      <c r="AO414" s="18">
        <v>0</v>
      </c>
      <c r="AP414" s="18">
        <v>0</v>
      </c>
      <c r="AQ414" s="18">
        <v>0</v>
      </c>
      <c r="AR414" s="18">
        <v>0</v>
      </c>
      <c r="AS414" s="18">
        <v>0</v>
      </c>
      <c r="AT414" s="18">
        <v>0</v>
      </c>
      <c r="AU414" s="18">
        <v>0</v>
      </c>
      <c r="AV414" s="18">
        <v>0</v>
      </c>
      <c r="AW414" s="18">
        <v>0</v>
      </c>
      <c r="AX414" s="18">
        <v>0</v>
      </c>
      <c r="AY414" s="18">
        <v>0</v>
      </c>
      <c r="AZ414" s="18">
        <v>0</v>
      </c>
      <c r="BA414" s="18">
        <v>0</v>
      </c>
      <c r="BB414" s="18">
        <v>0</v>
      </c>
      <c r="BC414" s="18">
        <v>0</v>
      </c>
      <c r="BD414" s="18">
        <v>0</v>
      </c>
      <c r="BE414" s="18">
        <v>0</v>
      </c>
      <c r="BF414" s="18">
        <v>0</v>
      </c>
      <c r="BG414" s="18">
        <v>0</v>
      </c>
      <c r="BH414" s="18">
        <v>0</v>
      </c>
      <c r="BI414" s="18">
        <v>0</v>
      </c>
      <c r="BJ414" s="113">
        <v>0</v>
      </c>
      <c r="BK414" s="18">
        <v>0</v>
      </c>
      <c r="BL414" s="18">
        <v>0</v>
      </c>
      <c r="BM414" s="18">
        <v>0</v>
      </c>
      <c r="BN414" s="18">
        <v>0</v>
      </c>
      <c r="BO414" s="18">
        <v>0</v>
      </c>
      <c r="BP414" s="18">
        <v>0</v>
      </c>
      <c r="BQ414" s="18">
        <v>0</v>
      </c>
      <c r="BR414" s="101"/>
      <c r="BS414">
        <f t="shared" ref="BS414:CB417" si="838">IF($C414&lt;&gt;"",IF(D414&gt;0,1,0),0)</f>
        <v>0</v>
      </c>
      <c r="BT414">
        <f t="shared" si="838"/>
        <v>0</v>
      </c>
      <c r="BU414">
        <f t="shared" si="838"/>
        <v>0</v>
      </c>
      <c r="BV414">
        <f t="shared" si="838"/>
        <v>0</v>
      </c>
      <c r="BW414">
        <f t="shared" si="838"/>
        <v>0</v>
      </c>
      <c r="BX414">
        <f t="shared" si="838"/>
        <v>0</v>
      </c>
      <c r="BY414">
        <f t="shared" si="838"/>
        <v>1</v>
      </c>
      <c r="BZ414">
        <f t="shared" si="838"/>
        <v>1</v>
      </c>
      <c r="CA414">
        <f t="shared" si="838"/>
        <v>1</v>
      </c>
      <c r="CB414">
        <f t="shared" si="838"/>
        <v>0</v>
      </c>
      <c r="CC414">
        <f t="shared" ref="CC414:CL417" si="839">IF($C414&lt;&gt;"",IF(N414&gt;0,1,0),0)</f>
        <v>0</v>
      </c>
      <c r="CD414">
        <f t="shared" si="839"/>
        <v>0</v>
      </c>
      <c r="CE414">
        <f t="shared" si="839"/>
        <v>0</v>
      </c>
      <c r="CF414">
        <f t="shared" si="839"/>
        <v>0</v>
      </c>
      <c r="CG414">
        <f t="shared" si="839"/>
        <v>0</v>
      </c>
      <c r="CH414">
        <f t="shared" si="839"/>
        <v>0</v>
      </c>
      <c r="CI414">
        <f t="shared" si="839"/>
        <v>0</v>
      </c>
      <c r="CJ414">
        <f t="shared" si="839"/>
        <v>0</v>
      </c>
      <c r="CK414">
        <f t="shared" si="839"/>
        <v>0</v>
      </c>
      <c r="CL414">
        <f t="shared" si="839"/>
        <v>0</v>
      </c>
      <c r="CM414">
        <f t="shared" ref="CM414:CV417" si="840">IF($C414&lt;&gt;"",IF(X414&gt;0,1,0),0)</f>
        <v>1</v>
      </c>
      <c r="CN414">
        <f t="shared" si="840"/>
        <v>0</v>
      </c>
      <c r="CO414">
        <f t="shared" si="840"/>
        <v>0</v>
      </c>
      <c r="CP414">
        <f t="shared" si="840"/>
        <v>0</v>
      </c>
      <c r="CQ414">
        <f t="shared" si="840"/>
        <v>0</v>
      </c>
      <c r="CR414">
        <f t="shared" si="840"/>
        <v>0</v>
      </c>
      <c r="CS414">
        <f t="shared" si="840"/>
        <v>0</v>
      </c>
      <c r="CT414">
        <f t="shared" si="840"/>
        <v>0</v>
      </c>
      <c r="CU414">
        <f t="shared" si="840"/>
        <v>0</v>
      </c>
      <c r="CV414">
        <f t="shared" si="840"/>
        <v>0</v>
      </c>
      <c r="CW414">
        <f t="shared" ref="CW414:DF417" si="841">IF($C414&lt;&gt;"",IF(AH414&gt;0,1,0),0)</f>
        <v>0</v>
      </c>
      <c r="CX414">
        <f t="shared" si="841"/>
        <v>0</v>
      </c>
      <c r="CY414">
        <f t="shared" si="841"/>
        <v>0</v>
      </c>
      <c r="CZ414">
        <f t="shared" si="841"/>
        <v>0</v>
      </c>
      <c r="DA414">
        <f t="shared" si="841"/>
        <v>0</v>
      </c>
      <c r="DB414">
        <f t="shared" si="841"/>
        <v>0</v>
      </c>
      <c r="DC414">
        <f t="shared" si="841"/>
        <v>0</v>
      </c>
      <c r="DD414">
        <f t="shared" si="841"/>
        <v>0</v>
      </c>
      <c r="DE414">
        <f t="shared" si="841"/>
        <v>0</v>
      </c>
      <c r="DF414">
        <f t="shared" si="841"/>
        <v>0</v>
      </c>
      <c r="DG414">
        <f t="shared" ref="DG414:DP417" si="842">IF($C414&lt;&gt;"",IF(AR414&gt;0,1,0),0)</f>
        <v>0</v>
      </c>
      <c r="DH414">
        <f t="shared" si="842"/>
        <v>0</v>
      </c>
      <c r="DI414">
        <f t="shared" si="842"/>
        <v>0</v>
      </c>
      <c r="DJ414">
        <f t="shared" si="842"/>
        <v>0</v>
      </c>
      <c r="DK414">
        <f t="shared" si="842"/>
        <v>0</v>
      </c>
      <c r="DL414">
        <f t="shared" si="842"/>
        <v>0</v>
      </c>
      <c r="DM414">
        <f t="shared" si="842"/>
        <v>0</v>
      </c>
      <c r="DN414">
        <f t="shared" si="842"/>
        <v>0</v>
      </c>
      <c r="DO414">
        <f t="shared" si="842"/>
        <v>0</v>
      </c>
      <c r="DP414">
        <f t="shared" si="842"/>
        <v>0</v>
      </c>
      <c r="DQ414">
        <f t="shared" ref="DQ414:DZ417" si="843">IF($C414&lt;&gt;"",IF(BB414&gt;0,1,0),0)</f>
        <v>0</v>
      </c>
      <c r="DR414">
        <f t="shared" si="843"/>
        <v>0</v>
      </c>
      <c r="DS414">
        <f t="shared" si="843"/>
        <v>0</v>
      </c>
      <c r="DT414">
        <f t="shared" si="843"/>
        <v>0</v>
      </c>
      <c r="DU414">
        <f t="shared" si="843"/>
        <v>0</v>
      </c>
      <c r="DV414">
        <f t="shared" si="843"/>
        <v>0</v>
      </c>
      <c r="DW414">
        <f t="shared" si="843"/>
        <v>0</v>
      </c>
      <c r="DX414">
        <f t="shared" si="843"/>
        <v>0</v>
      </c>
      <c r="DY414">
        <f t="shared" si="843"/>
        <v>0</v>
      </c>
      <c r="DZ414">
        <f t="shared" si="843"/>
        <v>0</v>
      </c>
      <c r="EA414">
        <f t="shared" ref="EA414:EF415" si="844">IF($C414&lt;&gt;"",IF(BL413&gt;0,1,0),0)</f>
        <v>1</v>
      </c>
      <c r="EB414">
        <f t="shared" si="844"/>
        <v>1</v>
      </c>
      <c r="EC414">
        <f t="shared" si="844"/>
        <v>0</v>
      </c>
      <c r="ED414">
        <f t="shared" si="844"/>
        <v>1</v>
      </c>
      <c r="EE414">
        <f t="shared" si="844"/>
        <v>0</v>
      </c>
      <c r="EF414">
        <f t="shared" si="844"/>
        <v>0</v>
      </c>
    </row>
    <row r="415" spans="1:136" ht="15.5">
      <c r="A415" s="90"/>
      <c r="B415" s="19" t="s">
        <v>2</v>
      </c>
      <c r="C415" s="95"/>
      <c r="D415" s="18">
        <v>0</v>
      </c>
      <c r="E415" s="18">
        <v>0</v>
      </c>
      <c r="F415" s="18">
        <v>0</v>
      </c>
      <c r="G415" s="18">
        <v>0</v>
      </c>
      <c r="H415" s="18">
        <v>0</v>
      </c>
      <c r="I415" s="18">
        <v>0</v>
      </c>
      <c r="J415" s="18">
        <v>0</v>
      </c>
      <c r="K415" s="18">
        <v>0</v>
      </c>
      <c r="L415" s="18">
        <v>0</v>
      </c>
      <c r="M415" s="18">
        <v>0</v>
      </c>
      <c r="N415" s="18">
        <v>0</v>
      </c>
      <c r="O415" s="18">
        <v>0</v>
      </c>
      <c r="P415" s="18">
        <v>0</v>
      </c>
      <c r="Q415" s="18">
        <v>0</v>
      </c>
      <c r="R415" s="18">
        <v>0</v>
      </c>
      <c r="S415" s="18">
        <v>0</v>
      </c>
      <c r="T415" s="18">
        <v>0</v>
      </c>
      <c r="U415" s="18">
        <v>0</v>
      </c>
      <c r="V415" s="18">
        <v>0</v>
      </c>
      <c r="W415" s="18">
        <v>0</v>
      </c>
      <c r="X415" s="18">
        <v>0</v>
      </c>
      <c r="Y415" s="18">
        <v>0</v>
      </c>
      <c r="Z415" s="18">
        <v>0</v>
      </c>
      <c r="AA415" s="18">
        <v>0</v>
      </c>
      <c r="AB415" s="40" t="s">
        <v>16</v>
      </c>
      <c r="AC415" s="40" t="s">
        <v>16</v>
      </c>
      <c r="AD415" s="40" t="s">
        <v>16</v>
      </c>
      <c r="AE415" s="18">
        <v>7098</v>
      </c>
      <c r="AF415" s="40" t="s">
        <v>16</v>
      </c>
      <c r="AG415" s="40" t="s">
        <v>16</v>
      </c>
      <c r="AH415" s="40" t="s">
        <v>16</v>
      </c>
      <c r="AI415" s="18">
        <v>21164</v>
      </c>
      <c r="AJ415" s="40" t="s">
        <v>16</v>
      </c>
      <c r="AK415" s="34">
        <v>0</v>
      </c>
      <c r="AL415" s="34">
        <v>0</v>
      </c>
      <c r="AM415" s="34">
        <v>0</v>
      </c>
      <c r="AN415" s="34">
        <v>0</v>
      </c>
      <c r="AO415" s="34">
        <v>0</v>
      </c>
      <c r="AP415" s="34">
        <v>0</v>
      </c>
      <c r="AQ415" s="34">
        <v>0</v>
      </c>
      <c r="AR415" s="34">
        <v>0</v>
      </c>
      <c r="AS415" s="34">
        <v>0</v>
      </c>
      <c r="AT415" s="34">
        <v>0</v>
      </c>
      <c r="AU415" s="34">
        <v>0</v>
      </c>
      <c r="AV415" s="34">
        <v>0</v>
      </c>
      <c r="AW415" s="34">
        <v>0</v>
      </c>
      <c r="AX415" s="34">
        <v>0</v>
      </c>
      <c r="AY415" s="34">
        <v>0</v>
      </c>
      <c r="AZ415" s="34">
        <v>0</v>
      </c>
      <c r="BA415" s="34">
        <v>0</v>
      </c>
      <c r="BB415" s="34">
        <v>0</v>
      </c>
      <c r="BC415" s="34">
        <v>0</v>
      </c>
      <c r="BD415" s="34">
        <v>0</v>
      </c>
      <c r="BE415" s="34">
        <v>0</v>
      </c>
      <c r="BF415" s="18">
        <v>0</v>
      </c>
      <c r="BG415" s="18">
        <v>0</v>
      </c>
      <c r="BH415" s="18">
        <v>0</v>
      </c>
      <c r="BI415" s="18">
        <v>0</v>
      </c>
      <c r="BJ415" s="113">
        <v>0</v>
      </c>
      <c r="BK415" s="18">
        <v>0</v>
      </c>
      <c r="BL415" s="18">
        <v>0</v>
      </c>
      <c r="BM415" s="18">
        <v>0</v>
      </c>
      <c r="BN415" s="18">
        <v>0</v>
      </c>
      <c r="BO415" s="18">
        <v>0</v>
      </c>
      <c r="BP415" s="18">
        <v>0</v>
      </c>
      <c r="BQ415" s="18">
        <v>0</v>
      </c>
      <c r="BR415" s="101"/>
      <c r="BS415">
        <f t="shared" si="838"/>
        <v>0</v>
      </c>
      <c r="BT415">
        <f t="shared" si="838"/>
        <v>0</v>
      </c>
      <c r="BU415">
        <f t="shared" si="838"/>
        <v>0</v>
      </c>
      <c r="BV415">
        <f t="shared" si="838"/>
        <v>0</v>
      </c>
      <c r="BW415">
        <f t="shared" si="838"/>
        <v>0</v>
      </c>
      <c r="BX415">
        <f t="shared" si="838"/>
        <v>0</v>
      </c>
      <c r="BY415">
        <f t="shared" si="838"/>
        <v>0</v>
      </c>
      <c r="BZ415">
        <f t="shared" si="838"/>
        <v>0</v>
      </c>
      <c r="CA415">
        <f t="shared" si="838"/>
        <v>0</v>
      </c>
      <c r="CB415">
        <f t="shared" si="838"/>
        <v>0</v>
      </c>
      <c r="CC415">
        <f t="shared" si="839"/>
        <v>0</v>
      </c>
      <c r="CD415">
        <f t="shared" si="839"/>
        <v>0</v>
      </c>
      <c r="CE415">
        <f t="shared" si="839"/>
        <v>0</v>
      </c>
      <c r="CF415">
        <f t="shared" si="839"/>
        <v>0</v>
      </c>
      <c r="CG415">
        <f t="shared" si="839"/>
        <v>0</v>
      </c>
      <c r="CH415">
        <f t="shared" si="839"/>
        <v>0</v>
      </c>
      <c r="CI415">
        <f t="shared" si="839"/>
        <v>0</v>
      </c>
      <c r="CJ415">
        <f t="shared" si="839"/>
        <v>0</v>
      </c>
      <c r="CK415">
        <f t="shared" si="839"/>
        <v>0</v>
      </c>
      <c r="CL415">
        <f t="shared" si="839"/>
        <v>0</v>
      </c>
      <c r="CM415">
        <f t="shared" si="840"/>
        <v>0</v>
      </c>
      <c r="CN415">
        <f t="shared" si="840"/>
        <v>0</v>
      </c>
      <c r="CO415">
        <f t="shared" si="840"/>
        <v>0</v>
      </c>
      <c r="CP415">
        <f t="shared" si="840"/>
        <v>0</v>
      </c>
      <c r="CQ415">
        <f t="shared" si="840"/>
        <v>0</v>
      </c>
      <c r="CR415">
        <f t="shared" si="840"/>
        <v>0</v>
      </c>
      <c r="CS415">
        <f t="shared" si="840"/>
        <v>0</v>
      </c>
      <c r="CT415">
        <f t="shared" si="840"/>
        <v>0</v>
      </c>
      <c r="CU415">
        <f t="shared" si="840"/>
        <v>0</v>
      </c>
      <c r="CV415">
        <f t="shared" si="840"/>
        <v>0</v>
      </c>
      <c r="CW415">
        <f t="shared" si="841"/>
        <v>0</v>
      </c>
      <c r="CX415">
        <f t="shared" si="841"/>
        <v>0</v>
      </c>
      <c r="CY415">
        <f t="shared" si="841"/>
        <v>0</v>
      </c>
      <c r="CZ415">
        <f t="shared" si="841"/>
        <v>0</v>
      </c>
      <c r="DA415">
        <f t="shared" si="841"/>
        <v>0</v>
      </c>
      <c r="DB415">
        <f t="shared" si="841"/>
        <v>0</v>
      </c>
      <c r="DC415">
        <f t="shared" si="841"/>
        <v>0</v>
      </c>
      <c r="DD415">
        <f t="shared" si="841"/>
        <v>0</v>
      </c>
      <c r="DE415">
        <f t="shared" si="841"/>
        <v>0</v>
      </c>
      <c r="DF415">
        <f t="shared" si="841"/>
        <v>0</v>
      </c>
      <c r="DG415">
        <f t="shared" si="842"/>
        <v>0</v>
      </c>
      <c r="DH415">
        <f t="shared" si="842"/>
        <v>0</v>
      </c>
      <c r="DI415">
        <f t="shared" si="842"/>
        <v>0</v>
      </c>
      <c r="DJ415">
        <f t="shared" si="842"/>
        <v>0</v>
      </c>
      <c r="DK415">
        <f t="shared" si="842"/>
        <v>0</v>
      </c>
      <c r="DL415">
        <f t="shared" si="842"/>
        <v>0</v>
      </c>
      <c r="DM415">
        <f t="shared" si="842"/>
        <v>0</v>
      </c>
      <c r="DN415">
        <f t="shared" si="842"/>
        <v>0</v>
      </c>
      <c r="DO415">
        <f t="shared" si="842"/>
        <v>0</v>
      </c>
      <c r="DP415">
        <f t="shared" si="842"/>
        <v>0</v>
      </c>
      <c r="DQ415">
        <f t="shared" si="843"/>
        <v>0</v>
      </c>
      <c r="DR415">
        <f t="shared" si="843"/>
        <v>0</v>
      </c>
      <c r="DS415">
        <f t="shared" si="843"/>
        <v>0</v>
      </c>
      <c r="DT415">
        <f t="shared" si="843"/>
        <v>0</v>
      </c>
      <c r="DU415">
        <f t="shared" si="843"/>
        <v>0</v>
      </c>
      <c r="DV415">
        <f t="shared" si="843"/>
        <v>0</v>
      </c>
      <c r="DW415">
        <f t="shared" si="843"/>
        <v>0</v>
      </c>
      <c r="DX415">
        <f t="shared" si="843"/>
        <v>0</v>
      </c>
      <c r="DY415">
        <f t="shared" si="843"/>
        <v>0</v>
      </c>
      <c r="DZ415">
        <f t="shared" si="843"/>
        <v>0</v>
      </c>
      <c r="EA415">
        <f t="shared" si="844"/>
        <v>0</v>
      </c>
      <c r="EB415">
        <f t="shared" si="844"/>
        <v>0</v>
      </c>
      <c r="EC415">
        <f t="shared" si="844"/>
        <v>0</v>
      </c>
      <c r="ED415">
        <f t="shared" si="844"/>
        <v>0</v>
      </c>
      <c r="EE415">
        <f t="shared" si="844"/>
        <v>0</v>
      </c>
      <c r="EF415">
        <f t="shared" si="844"/>
        <v>0</v>
      </c>
    </row>
    <row r="416" spans="1:136" ht="15.5">
      <c r="A416" s="90"/>
      <c r="B416" s="19" t="s">
        <v>205</v>
      </c>
      <c r="C416" s="95"/>
      <c r="D416" s="18">
        <v>0</v>
      </c>
      <c r="E416" s="18">
        <v>0</v>
      </c>
      <c r="F416" s="18">
        <v>0</v>
      </c>
      <c r="G416" s="18">
        <v>0</v>
      </c>
      <c r="H416" s="18">
        <v>0</v>
      </c>
      <c r="I416" s="18">
        <v>0</v>
      </c>
      <c r="J416" s="18">
        <v>0</v>
      </c>
      <c r="K416" s="18">
        <v>0</v>
      </c>
      <c r="L416" s="18">
        <v>0</v>
      </c>
      <c r="M416" s="18">
        <v>0</v>
      </c>
      <c r="N416" s="18">
        <v>0</v>
      </c>
      <c r="O416" s="18">
        <v>0</v>
      </c>
      <c r="P416" s="18">
        <v>0</v>
      </c>
      <c r="Q416" s="18">
        <v>0</v>
      </c>
      <c r="R416" s="18">
        <v>0</v>
      </c>
      <c r="S416" s="18">
        <v>0</v>
      </c>
      <c r="T416" s="18">
        <v>0</v>
      </c>
      <c r="U416" s="18">
        <v>0</v>
      </c>
      <c r="V416" s="18">
        <v>0</v>
      </c>
      <c r="W416" s="18">
        <v>0</v>
      </c>
      <c r="X416" s="18">
        <v>0</v>
      </c>
      <c r="Y416" s="18">
        <v>0</v>
      </c>
      <c r="Z416" s="18">
        <v>0</v>
      </c>
      <c r="AA416" s="18">
        <v>0</v>
      </c>
      <c r="AB416" s="18">
        <v>0</v>
      </c>
      <c r="AC416" s="18">
        <v>0</v>
      </c>
      <c r="AD416" s="18">
        <v>0</v>
      </c>
      <c r="AE416" s="18">
        <v>0</v>
      </c>
      <c r="AF416" s="18">
        <v>0</v>
      </c>
      <c r="AG416" s="18">
        <v>0</v>
      </c>
      <c r="AH416" s="18">
        <v>0</v>
      </c>
      <c r="AI416" s="18">
        <v>0</v>
      </c>
      <c r="AJ416" s="34">
        <v>92</v>
      </c>
      <c r="AK416" s="34">
        <v>97</v>
      </c>
      <c r="AL416" s="34">
        <v>103</v>
      </c>
      <c r="AM416" s="34">
        <v>0</v>
      </c>
      <c r="AN416" s="34">
        <v>0</v>
      </c>
      <c r="AO416" s="34">
        <v>0</v>
      </c>
      <c r="AP416" s="34">
        <v>4.4162732</v>
      </c>
      <c r="AQ416" s="34">
        <v>7.5943984999999996</v>
      </c>
      <c r="AR416" s="34">
        <v>11.541093999999999</v>
      </c>
      <c r="AS416" s="18">
        <v>0</v>
      </c>
      <c r="AT416" s="18">
        <v>0</v>
      </c>
      <c r="AU416" s="18">
        <v>0</v>
      </c>
      <c r="AV416" s="18">
        <v>0</v>
      </c>
      <c r="AW416" s="18">
        <v>0</v>
      </c>
      <c r="AX416" s="18">
        <v>0</v>
      </c>
      <c r="AY416" s="18">
        <v>0</v>
      </c>
      <c r="AZ416" s="18">
        <v>0</v>
      </c>
      <c r="BA416" s="18">
        <v>0</v>
      </c>
      <c r="BB416" s="18">
        <v>0</v>
      </c>
      <c r="BC416" s="18">
        <v>0</v>
      </c>
      <c r="BD416" s="18">
        <v>0</v>
      </c>
      <c r="BE416" s="18">
        <v>0</v>
      </c>
      <c r="BF416" s="18">
        <v>0</v>
      </c>
      <c r="BG416" s="18">
        <v>0</v>
      </c>
      <c r="BH416" s="18">
        <v>0</v>
      </c>
      <c r="BI416" s="18">
        <v>0</v>
      </c>
      <c r="BJ416" s="18">
        <v>0</v>
      </c>
      <c r="BK416" s="18">
        <v>0</v>
      </c>
      <c r="BL416" s="18">
        <v>0</v>
      </c>
      <c r="BM416" s="18">
        <v>0</v>
      </c>
      <c r="BN416" s="18">
        <v>0</v>
      </c>
      <c r="BO416" s="18">
        <v>0</v>
      </c>
      <c r="BP416" s="18">
        <v>0</v>
      </c>
      <c r="BQ416" s="18">
        <v>0</v>
      </c>
      <c r="BR416" s="101"/>
      <c r="BS416">
        <f t="shared" si="838"/>
        <v>0</v>
      </c>
      <c r="BT416">
        <f t="shared" si="838"/>
        <v>0</v>
      </c>
      <c r="BU416">
        <f t="shared" si="838"/>
        <v>0</v>
      </c>
      <c r="BV416">
        <f t="shared" si="838"/>
        <v>0</v>
      </c>
      <c r="BW416">
        <f t="shared" si="838"/>
        <v>0</v>
      </c>
      <c r="BX416">
        <f t="shared" si="838"/>
        <v>0</v>
      </c>
      <c r="BY416">
        <f t="shared" si="838"/>
        <v>0</v>
      </c>
      <c r="BZ416">
        <f t="shared" si="838"/>
        <v>0</v>
      </c>
      <c r="CA416">
        <f t="shared" si="838"/>
        <v>0</v>
      </c>
      <c r="CB416">
        <f t="shared" si="838"/>
        <v>0</v>
      </c>
      <c r="CC416">
        <f t="shared" si="839"/>
        <v>0</v>
      </c>
      <c r="CD416">
        <f t="shared" si="839"/>
        <v>0</v>
      </c>
      <c r="CE416">
        <f t="shared" si="839"/>
        <v>0</v>
      </c>
      <c r="CF416">
        <f t="shared" si="839"/>
        <v>0</v>
      </c>
      <c r="CG416">
        <f t="shared" si="839"/>
        <v>0</v>
      </c>
      <c r="CH416">
        <f t="shared" si="839"/>
        <v>0</v>
      </c>
      <c r="CI416">
        <f t="shared" si="839"/>
        <v>0</v>
      </c>
      <c r="CJ416">
        <f t="shared" si="839"/>
        <v>0</v>
      </c>
      <c r="CK416">
        <f t="shared" si="839"/>
        <v>0</v>
      </c>
      <c r="CL416">
        <f t="shared" si="839"/>
        <v>0</v>
      </c>
      <c r="CM416">
        <f t="shared" si="840"/>
        <v>0</v>
      </c>
      <c r="CN416">
        <f t="shared" si="840"/>
        <v>0</v>
      </c>
      <c r="CO416">
        <f t="shared" si="840"/>
        <v>0</v>
      </c>
      <c r="CP416">
        <f t="shared" si="840"/>
        <v>0</v>
      </c>
      <c r="CQ416">
        <f t="shared" si="840"/>
        <v>0</v>
      </c>
      <c r="CR416">
        <f t="shared" si="840"/>
        <v>0</v>
      </c>
      <c r="CS416">
        <f t="shared" si="840"/>
        <v>0</v>
      </c>
      <c r="CT416">
        <f t="shared" si="840"/>
        <v>0</v>
      </c>
      <c r="CU416">
        <f t="shared" si="840"/>
        <v>0</v>
      </c>
      <c r="CV416">
        <f t="shared" si="840"/>
        <v>0</v>
      </c>
      <c r="CW416">
        <f t="shared" si="841"/>
        <v>0</v>
      </c>
      <c r="CX416">
        <f t="shared" si="841"/>
        <v>0</v>
      </c>
      <c r="CY416">
        <f t="shared" si="841"/>
        <v>0</v>
      </c>
      <c r="CZ416">
        <f t="shared" si="841"/>
        <v>0</v>
      </c>
      <c r="DA416">
        <f t="shared" si="841"/>
        <v>0</v>
      </c>
      <c r="DB416">
        <f t="shared" si="841"/>
        <v>0</v>
      </c>
      <c r="DC416">
        <f t="shared" si="841"/>
        <v>0</v>
      </c>
      <c r="DD416">
        <f t="shared" si="841"/>
        <v>0</v>
      </c>
      <c r="DE416">
        <f t="shared" si="841"/>
        <v>0</v>
      </c>
      <c r="DF416">
        <f t="shared" si="841"/>
        <v>0</v>
      </c>
      <c r="DG416">
        <f t="shared" si="842"/>
        <v>0</v>
      </c>
      <c r="DH416">
        <f t="shared" si="842"/>
        <v>0</v>
      </c>
      <c r="DI416">
        <f t="shared" si="842"/>
        <v>0</v>
      </c>
      <c r="DJ416">
        <f t="shared" si="842"/>
        <v>0</v>
      </c>
      <c r="DK416">
        <f t="shared" si="842"/>
        <v>0</v>
      </c>
      <c r="DL416">
        <f t="shared" si="842"/>
        <v>0</v>
      </c>
      <c r="DM416">
        <f t="shared" si="842"/>
        <v>0</v>
      </c>
      <c r="DN416">
        <f t="shared" si="842"/>
        <v>0</v>
      </c>
      <c r="DO416">
        <f t="shared" si="842"/>
        <v>0</v>
      </c>
      <c r="DP416">
        <f t="shared" si="842"/>
        <v>0</v>
      </c>
      <c r="DQ416">
        <f t="shared" si="843"/>
        <v>0</v>
      </c>
      <c r="DR416">
        <f t="shared" si="843"/>
        <v>0</v>
      </c>
      <c r="DS416">
        <f t="shared" si="843"/>
        <v>0</v>
      </c>
      <c r="DT416">
        <f t="shared" si="843"/>
        <v>0</v>
      </c>
      <c r="DU416">
        <f t="shared" si="843"/>
        <v>0</v>
      </c>
      <c r="DV416">
        <f t="shared" si="843"/>
        <v>0</v>
      </c>
      <c r="DW416">
        <f t="shared" si="843"/>
        <v>0</v>
      </c>
      <c r="DX416">
        <f t="shared" si="843"/>
        <v>0</v>
      </c>
      <c r="DY416">
        <f t="shared" si="843"/>
        <v>0</v>
      </c>
      <c r="DZ416">
        <f t="shared" si="843"/>
        <v>0</v>
      </c>
      <c r="EA416">
        <f>IF($C416&lt;&gt;"",IF(BL416&gt;0,1,0),0)</f>
        <v>0</v>
      </c>
      <c r="EB416">
        <f>IF($C416&lt;&gt;"",IF(BM416&gt;0,1,0),0)</f>
        <v>0</v>
      </c>
      <c r="EC416">
        <f>IF($C416&lt;&gt;"",IF(BN416&gt;0,1,0),0)</f>
        <v>0</v>
      </c>
      <c r="ED416">
        <f>IF($C416&lt;&gt;"",IF(BO417&gt;0,1,0),0)</f>
        <v>0</v>
      </c>
      <c r="EE416">
        <f>IF($C416&lt;&gt;"",IF(BP417&gt;0,1,0),0)</f>
        <v>0</v>
      </c>
      <c r="EF416">
        <f>IF($C416&lt;&gt;"",IF(BQ417&gt;0,1,0),0)</f>
        <v>0</v>
      </c>
    </row>
    <row r="417" spans="1:136" ht="15.5">
      <c r="A417" s="90"/>
      <c r="B417" s="53" t="s">
        <v>3</v>
      </c>
      <c r="C417" s="95"/>
      <c r="D417" s="18">
        <v>0</v>
      </c>
      <c r="E417" s="18">
        <v>0</v>
      </c>
      <c r="F417" s="18">
        <v>0</v>
      </c>
      <c r="G417" s="18">
        <v>0</v>
      </c>
      <c r="H417" s="18">
        <v>277</v>
      </c>
      <c r="I417" s="18">
        <v>560</v>
      </c>
      <c r="J417" s="18">
        <v>171.5</v>
      </c>
      <c r="K417" s="18">
        <v>48</v>
      </c>
      <c r="L417" s="18">
        <v>138</v>
      </c>
      <c r="M417" s="18">
        <v>211</v>
      </c>
      <c r="N417" s="34">
        <v>73.84</v>
      </c>
      <c r="O417" s="34">
        <v>48.510000000000005</v>
      </c>
      <c r="P417" s="34">
        <v>54.339999999999996</v>
      </c>
      <c r="Q417" s="34">
        <v>22.009999999999998</v>
      </c>
      <c r="R417" s="34">
        <v>12.56</v>
      </c>
      <c r="S417" s="34">
        <v>13.149999999999999</v>
      </c>
      <c r="T417" s="34">
        <v>120.62</v>
      </c>
      <c r="U417" s="34">
        <f>105.5+7000</f>
        <v>7105.5</v>
      </c>
      <c r="V417" s="34">
        <v>95.509999999999991</v>
      </c>
      <c r="W417" s="34">
        <v>345.53000000000003</v>
      </c>
      <c r="X417" s="34">
        <v>456.67</v>
      </c>
      <c r="Y417" s="34">
        <v>640.40000000000009</v>
      </c>
      <c r="Z417" s="34">
        <v>971.53</v>
      </c>
      <c r="AA417" s="34">
        <v>1473.23</v>
      </c>
      <c r="AB417" s="34">
        <v>2702.88</v>
      </c>
      <c r="AC417" s="34">
        <v>4531.84</v>
      </c>
      <c r="AD417" s="34">
        <f>7817.57+5000</f>
        <v>12817.57</v>
      </c>
      <c r="AE417" s="18">
        <v>3000</v>
      </c>
      <c r="AF417" s="34">
        <v>7429.77</v>
      </c>
      <c r="AG417" s="34">
        <v>9418.61</v>
      </c>
      <c r="AH417" s="34">
        <v>15702.23</v>
      </c>
      <c r="AI417" s="40" t="s">
        <v>16</v>
      </c>
      <c r="AJ417" s="34">
        <f>371.342-AJ416</f>
        <v>279.34199999999998</v>
      </c>
      <c r="AK417" s="34">
        <f>322.864-AK416</f>
        <v>225.86399999999998</v>
      </c>
      <c r="AL417" s="34">
        <f>224.784-AL416</f>
        <v>121.78399999999999</v>
      </c>
      <c r="AM417" s="34">
        <v>244.154</v>
      </c>
      <c r="AN417" s="34">
        <v>223.10399999999998</v>
      </c>
      <c r="AO417" s="34">
        <v>71.670999999999992</v>
      </c>
      <c r="AP417" s="34">
        <f>49.421-AP416</f>
        <v>45.0047268</v>
      </c>
      <c r="AQ417" s="34">
        <f>20.686-AQ416</f>
        <v>13.091601499999999</v>
      </c>
      <c r="AR417" s="34">
        <f>39.559-AR416</f>
        <v>28.017905999999996</v>
      </c>
      <c r="AS417" s="34">
        <v>3.1440000000000001</v>
      </c>
      <c r="AT417" s="34">
        <v>1.3519999999999999</v>
      </c>
      <c r="AU417" s="34">
        <v>2.899</v>
      </c>
      <c r="AV417" s="34">
        <v>6.74</v>
      </c>
      <c r="AW417" s="34">
        <v>10.012</v>
      </c>
      <c r="AX417" s="34">
        <v>8.5466200000000006E-2</v>
      </c>
      <c r="AY417" s="34">
        <v>2.8160500000000002E-2</v>
      </c>
      <c r="AZ417" s="34">
        <v>2.8080500000000001E-2</v>
      </c>
      <c r="BA417" s="34">
        <v>2.8135400000000001E-2</v>
      </c>
      <c r="BB417" s="34">
        <v>3.0801000000000001E-3</v>
      </c>
      <c r="BC417" s="34">
        <v>1.5352999999999999E-3</v>
      </c>
      <c r="BD417" s="34">
        <v>0</v>
      </c>
      <c r="BE417" s="42">
        <v>3.0799999999999998E-3</v>
      </c>
      <c r="BF417" s="34">
        <v>1.4487999999999999E-3</v>
      </c>
      <c r="BG417" s="34">
        <v>1.3857000000000001E-3</v>
      </c>
      <c r="BH417" s="18">
        <v>1.3442999999999999E-3</v>
      </c>
      <c r="BI417" s="18">
        <v>0</v>
      </c>
      <c r="BJ417" s="113">
        <v>1.4222306</v>
      </c>
      <c r="BK417" s="18">
        <v>1.4350357</v>
      </c>
      <c r="BL417" s="18">
        <v>8.8133659000000009</v>
      </c>
      <c r="BM417" s="18">
        <v>0</v>
      </c>
      <c r="BN417" s="18">
        <v>0</v>
      </c>
      <c r="BO417" s="18">
        <v>1</v>
      </c>
      <c r="BP417" s="113">
        <v>0</v>
      </c>
      <c r="BQ417" s="113">
        <v>0</v>
      </c>
      <c r="BR417" s="101"/>
      <c r="BS417">
        <f t="shared" si="838"/>
        <v>0</v>
      </c>
      <c r="BT417">
        <f t="shared" si="838"/>
        <v>0</v>
      </c>
      <c r="BU417">
        <f t="shared" si="838"/>
        <v>0</v>
      </c>
      <c r="BV417">
        <f t="shared" si="838"/>
        <v>0</v>
      </c>
      <c r="BW417">
        <f t="shared" si="838"/>
        <v>0</v>
      </c>
      <c r="BX417">
        <f t="shared" si="838"/>
        <v>0</v>
      </c>
      <c r="BY417">
        <f t="shared" si="838"/>
        <v>0</v>
      </c>
      <c r="BZ417">
        <f t="shared" si="838"/>
        <v>0</v>
      </c>
      <c r="CA417">
        <f t="shared" si="838"/>
        <v>0</v>
      </c>
      <c r="CB417">
        <f t="shared" si="838"/>
        <v>0</v>
      </c>
      <c r="CC417">
        <f t="shared" si="839"/>
        <v>0</v>
      </c>
      <c r="CD417">
        <f t="shared" si="839"/>
        <v>0</v>
      </c>
      <c r="CE417">
        <f t="shared" si="839"/>
        <v>0</v>
      </c>
      <c r="CF417">
        <f t="shared" si="839"/>
        <v>0</v>
      </c>
      <c r="CG417">
        <f t="shared" si="839"/>
        <v>0</v>
      </c>
      <c r="CH417">
        <f t="shared" si="839"/>
        <v>0</v>
      </c>
      <c r="CI417">
        <f t="shared" si="839"/>
        <v>0</v>
      </c>
      <c r="CJ417">
        <f t="shared" si="839"/>
        <v>0</v>
      </c>
      <c r="CK417">
        <f t="shared" si="839"/>
        <v>0</v>
      </c>
      <c r="CL417">
        <f t="shared" si="839"/>
        <v>0</v>
      </c>
      <c r="CM417">
        <f t="shared" si="840"/>
        <v>0</v>
      </c>
      <c r="CN417">
        <f t="shared" si="840"/>
        <v>0</v>
      </c>
      <c r="CO417">
        <f t="shared" si="840"/>
        <v>0</v>
      </c>
      <c r="CP417">
        <f t="shared" si="840"/>
        <v>0</v>
      </c>
      <c r="CQ417">
        <f t="shared" si="840"/>
        <v>0</v>
      </c>
      <c r="CR417">
        <f t="shared" si="840"/>
        <v>0</v>
      </c>
      <c r="CS417">
        <f t="shared" si="840"/>
        <v>0</v>
      </c>
      <c r="CT417">
        <f t="shared" si="840"/>
        <v>0</v>
      </c>
      <c r="CU417">
        <f t="shared" si="840"/>
        <v>0</v>
      </c>
      <c r="CV417">
        <f t="shared" si="840"/>
        <v>0</v>
      </c>
      <c r="CW417">
        <f t="shared" si="841"/>
        <v>0</v>
      </c>
      <c r="CX417">
        <f t="shared" si="841"/>
        <v>0</v>
      </c>
      <c r="CY417">
        <f t="shared" si="841"/>
        <v>0</v>
      </c>
      <c r="CZ417">
        <f t="shared" si="841"/>
        <v>0</v>
      </c>
      <c r="DA417">
        <f t="shared" si="841"/>
        <v>0</v>
      </c>
      <c r="DB417">
        <f t="shared" si="841"/>
        <v>0</v>
      </c>
      <c r="DC417">
        <f t="shared" si="841"/>
        <v>0</v>
      </c>
      <c r="DD417">
        <f t="shared" si="841"/>
        <v>0</v>
      </c>
      <c r="DE417">
        <f t="shared" si="841"/>
        <v>0</v>
      </c>
      <c r="DF417">
        <f t="shared" si="841"/>
        <v>0</v>
      </c>
      <c r="DG417">
        <f t="shared" si="842"/>
        <v>0</v>
      </c>
      <c r="DH417">
        <f t="shared" si="842"/>
        <v>0</v>
      </c>
      <c r="DI417">
        <f t="shared" si="842"/>
        <v>0</v>
      </c>
      <c r="DJ417">
        <f t="shared" si="842"/>
        <v>0</v>
      </c>
      <c r="DK417">
        <f t="shared" si="842"/>
        <v>0</v>
      </c>
      <c r="DL417">
        <f t="shared" si="842"/>
        <v>0</v>
      </c>
      <c r="DM417">
        <f t="shared" si="842"/>
        <v>0</v>
      </c>
      <c r="DN417">
        <f t="shared" si="842"/>
        <v>0</v>
      </c>
      <c r="DO417">
        <f t="shared" si="842"/>
        <v>0</v>
      </c>
      <c r="DP417">
        <f t="shared" si="842"/>
        <v>0</v>
      </c>
      <c r="DQ417">
        <f t="shared" si="843"/>
        <v>0</v>
      </c>
      <c r="DR417">
        <f t="shared" si="843"/>
        <v>0</v>
      </c>
      <c r="DS417">
        <f t="shared" si="843"/>
        <v>0</v>
      </c>
      <c r="DT417">
        <f t="shared" si="843"/>
        <v>0</v>
      </c>
      <c r="DU417">
        <f t="shared" si="843"/>
        <v>0</v>
      </c>
      <c r="DV417">
        <f t="shared" si="843"/>
        <v>0</v>
      </c>
      <c r="DW417">
        <f t="shared" si="843"/>
        <v>0</v>
      </c>
      <c r="DX417">
        <f t="shared" si="843"/>
        <v>0</v>
      </c>
      <c r="DY417">
        <f t="shared" si="843"/>
        <v>0</v>
      </c>
      <c r="DZ417">
        <f t="shared" si="843"/>
        <v>0</v>
      </c>
      <c r="EA417">
        <f t="shared" ref="EA417:EF417" si="845">IF($C417&lt;&gt;"",IF(BL415&gt;0,1,0),0)</f>
        <v>0</v>
      </c>
      <c r="EB417">
        <f t="shared" si="845"/>
        <v>0</v>
      </c>
      <c r="EC417">
        <f t="shared" si="845"/>
        <v>0</v>
      </c>
      <c r="ED417">
        <f t="shared" si="845"/>
        <v>0</v>
      </c>
      <c r="EE417">
        <f t="shared" si="845"/>
        <v>0</v>
      </c>
      <c r="EF417">
        <f t="shared" si="845"/>
        <v>0</v>
      </c>
    </row>
    <row r="418" spans="1:136" ht="15.5">
      <c r="A418" s="90"/>
      <c r="B418" s="19" t="s">
        <v>208</v>
      </c>
      <c r="C418" s="95"/>
      <c r="D418" s="18">
        <v>0</v>
      </c>
      <c r="E418" s="18">
        <v>0</v>
      </c>
      <c r="F418" s="18">
        <v>0</v>
      </c>
      <c r="G418" s="18">
        <v>0</v>
      </c>
      <c r="H418" s="18">
        <v>0</v>
      </c>
      <c r="I418" s="18">
        <v>0</v>
      </c>
      <c r="J418" s="18">
        <v>0</v>
      </c>
      <c r="K418" s="18">
        <v>0</v>
      </c>
      <c r="L418" s="18">
        <v>0</v>
      </c>
      <c r="M418" s="18">
        <v>0</v>
      </c>
      <c r="N418" s="18">
        <v>12.481</v>
      </c>
      <c r="O418" s="18">
        <v>21.631</v>
      </c>
      <c r="P418" s="18">
        <v>36.439</v>
      </c>
      <c r="Q418" s="18">
        <v>3.5949999999999998</v>
      </c>
      <c r="R418" s="18">
        <v>27.102</v>
      </c>
      <c r="S418" s="18">
        <v>8.923</v>
      </c>
      <c r="T418" s="18">
        <v>4.3609999999999998</v>
      </c>
      <c r="U418" s="18">
        <v>0</v>
      </c>
      <c r="V418" s="18">
        <v>0</v>
      </c>
      <c r="W418" s="18">
        <v>0</v>
      </c>
      <c r="X418" s="18">
        <v>0</v>
      </c>
      <c r="Y418" s="18">
        <v>1.5209999999999999</v>
      </c>
      <c r="Z418" s="18">
        <v>6.0350000000000001</v>
      </c>
      <c r="AA418" s="18">
        <v>10.898</v>
      </c>
      <c r="AB418" s="18">
        <v>19.089000000000002</v>
      </c>
      <c r="AC418" s="18">
        <v>46.597999999999999</v>
      </c>
      <c r="AD418" s="18">
        <v>889.20100000000002</v>
      </c>
      <c r="AE418" s="18">
        <v>784.29200000000003</v>
      </c>
      <c r="AF418" s="18">
        <v>915.78599999999994</v>
      </c>
      <c r="AG418" s="18">
        <v>1777.643</v>
      </c>
      <c r="AH418" s="18">
        <v>2302.9029999999998</v>
      </c>
      <c r="AI418" s="18">
        <v>2365.0160000000001</v>
      </c>
      <c r="AJ418" s="18">
        <v>506.30900000000003</v>
      </c>
      <c r="AK418" s="18">
        <v>401.55799999999999</v>
      </c>
      <c r="AL418" s="18">
        <v>318.31600000000003</v>
      </c>
      <c r="AM418" s="18">
        <v>271.875</v>
      </c>
      <c r="AN418" s="18">
        <v>143.642</v>
      </c>
      <c r="AO418" s="18">
        <v>109.202</v>
      </c>
      <c r="AP418" s="18">
        <v>53.683</v>
      </c>
      <c r="AQ418" s="18">
        <v>92.873000000000005</v>
      </c>
      <c r="AR418" s="18">
        <v>13.071000000000002</v>
      </c>
      <c r="AS418" s="18">
        <v>1.143</v>
      </c>
      <c r="AT418" s="18">
        <v>1.014</v>
      </c>
      <c r="AU418" s="18">
        <v>1.081</v>
      </c>
      <c r="AV418" s="18">
        <v>1.0109999999999999</v>
      </c>
      <c r="AW418" s="18">
        <v>0.94399999999999995</v>
      </c>
      <c r="AX418" s="18">
        <v>3.0732615999999999</v>
      </c>
      <c r="AY418" s="18">
        <v>2.94</v>
      </c>
      <c r="AZ418" s="18">
        <v>2.17</v>
      </c>
      <c r="BA418" s="18">
        <v>2.59</v>
      </c>
      <c r="BB418" s="18">
        <v>0</v>
      </c>
      <c r="BC418" s="18">
        <v>0</v>
      </c>
      <c r="BD418" s="18">
        <v>6300</v>
      </c>
      <c r="BE418" s="25">
        <v>5400</v>
      </c>
      <c r="BF418" s="18">
        <v>5900</v>
      </c>
      <c r="BG418" s="18">
        <v>3500</v>
      </c>
      <c r="BH418" s="18">
        <v>2400</v>
      </c>
      <c r="BI418" s="18">
        <v>1200</v>
      </c>
      <c r="BJ418" s="113">
        <v>1200</v>
      </c>
      <c r="BK418" s="18">
        <v>1000</v>
      </c>
      <c r="BL418" s="18">
        <v>200</v>
      </c>
      <c r="BM418" s="18">
        <v>0.61726700000000001</v>
      </c>
      <c r="BN418" s="18">
        <v>0</v>
      </c>
      <c r="BO418" s="18">
        <v>0</v>
      </c>
      <c r="BP418" s="18">
        <v>0</v>
      </c>
      <c r="BQ418" s="18">
        <v>0</v>
      </c>
      <c r="BR418" s="101"/>
      <c r="BS418">
        <f t="shared" ref="BS418:DG418" si="846">IF($C418&lt;&gt;"",IF(D418&gt;0,1,0),0)</f>
        <v>0</v>
      </c>
      <c r="BT418">
        <f t="shared" si="846"/>
        <v>0</v>
      </c>
      <c r="BU418">
        <f t="shared" si="846"/>
        <v>0</v>
      </c>
      <c r="BV418">
        <f t="shared" si="846"/>
        <v>0</v>
      </c>
      <c r="BW418">
        <f t="shared" si="846"/>
        <v>0</v>
      </c>
      <c r="BX418">
        <f t="shared" si="846"/>
        <v>0</v>
      </c>
      <c r="BY418">
        <f t="shared" si="846"/>
        <v>0</v>
      </c>
      <c r="BZ418">
        <f t="shared" si="846"/>
        <v>0</v>
      </c>
      <c r="CA418">
        <f t="shared" si="846"/>
        <v>0</v>
      </c>
      <c r="CB418">
        <f t="shared" si="846"/>
        <v>0</v>
      </c>
      <c r="CC418">
        <f t="shared" si="846"/>
        <v>0</v>
      </c>
      <c r="CD418">
        <f t="shared" si="846"/>
        <v>0</v>
      </c>
      <c r="CE418">
        <f t="shared" si="846"/>
        <v>0</v>
      </c>
      <c r="CF418">
        <f t="shared" si="846"/>
        <v>0</v>
      </c>
      <c r="CG418">
        <f t="shared" si="846"/>
        <v>0</v>
      </c>
      <c r="CH418">
        <f t="shared" si="846"/>
        <v>0</v>
      </c>
      <c r="CI418">
        <f t="shared" si="846"/>
        <v>0</v>
      </c>
      <c r="CJ418">
        <f t="shared" si="846"/>
        <v>0</v>
      </c>
      <c r="CK418">
        <f t="shared" si="846"/>
        <v>0</v>
      </c>
      <c r="CL418">
        <f t="shared" si="846"/>
        <v>0</v>
      </c>
      <c r="CM418">
        <f t="shared" si="846"/>
        <v>0</v>
      </c>
      <c r="CN418">
        <f t="shared" si="846"/>
        <v>0</v>
      </c>
      <c r="CO418">
        <f t="shared" si="846"/>
        <v>0</v>
      </c>
      <c r="CP418">
        <f t="shared" si="846"/>
        <v>0</v>
      </c>
      <c r="CQ418">
        <f t="shared" si="846"/>
        <v>0</v>
      </c>
      <c r="CR418">
        <f t="shared" si="846"/>
        <v>0</v>
      </c>
      <c r="CS418">
        <f t="shared" si="846"/>
        <v>0</v>
      </c>
      <c r="CT418">
        <f t="shared" si="846"/>
        <v>0</v>
      </c>
      <c r="CU418">
        <f t="shared" si="846"/>
        <v>0</v>
      </c>
      <c r="CV418">
        <f t="shared" si="846"/>
        <v>0</v>
      </c>
      <c r="CW418">
        <f t="shared" si="846"/>
        <v>0</v>
      </c>
      <c r="CX418">
        <f t="shared" si="846"/>
        <v>0</v>
      </c>
      <c r="CY418">
        <f t="shared" si="846"/>
        <v>0</v>
      </c>
      <c r="CZ418">
        <f t="shared" si="846"/>
        <v>0</v>
      </c>
      <c r="DA418">
        <f t="shared" si="846"/>
        <v>0</v>
      </c>
      <c r="DB418">
        <f t="shared" si="846"/>
        <v>0</v>
      </c>
      <c r="DC418">
        <f t="shared" si="846"/>
        <v>0</v>
      </c>
      <c r="DD418">
        <f t="shared" si="846"/>
        <v>0</v>
      </c>
      <c r="DE418">
        <f t="shared" si="846"/>
        <v>0</v>
      </c>
      <c r="DF418">
        <f t="shared" si="846"/>
        <v>0</v>
      </c>
      <c r="DG418">
        <f t="shared" si="846"/>
        <v>0</v>
      </c>
      <c r="DH418">
        <f>IF($C418&lt;&gt;"",IF(#REF!&gt;0,1,0),0)</f>
        <v>0</v>
      </c>
      <c r="DI418">
        <f>IF($C418&lt;&gt;"",IF(#REF!&gt;0,1,0),0)</f>
        <v>0</v>
      </c>
      <c r="DJ418">
        <f>IF($C418&lt;&gt;"",IF(#REF!&gt;0,1,0),0)</f>
        <v>0</v>
      </c>
      <c r="DK418">
        <f>IF($C418&lt;&gt;"",IF(#REF!&gt;0,1,0),0)</f>
        <v>0</v>
      </c>
      <c r="DL418">
        <f>IF($C418&lt;&gt;"",IF(#REF!&gt;0,1,0),0)</f>
        <v>0</v>
      </c>
      <c r="DM418">
        <f t="shared" ref="DM418:DZ418" si="847">IF($C418&lt;&gt;"",IF(AX418&gt;0,1,0),0)</f>
        <v>0</v>
      </c>
      <c r="DN418">
        <f t="shared" si="847"/>
        <v>0</v>
      </c>
      <c r="DO418">
        <f t="shared" si="847"/>
        <v>0</v>
      </c>
      <c r="DP418">
        <f t="shared" si="847"/>
        <v>0</v>
      </c>
      <c r="DQ418">
        <f t="shared" si="847"/>
        <v>0</v>
      </c>
      <c r="DR418">
        <f t="shared" si="847"/>
        <v>0</v>
      </c>
      <c r="DS418">
        <f t="shared" si="847"/>
        <v>0</v>
      </c>
      <c r="DT418">
        <f t="shared" si="847"/>
        <v>0</v>
      </c>
      <c r="DU418">
        <f t="shared" si="847"/>
        <v>0</v>
      </c>
      <c r="DV418">
        <f t="shared" si="847"/>
        <v>0</v>
      </c>
      <c r="DW418">
        <f t="shared" si="847"/>
        <v>0</v>
      </c>
      <c r="DX418">
        <f t="shared" si="847"/>
        <v>0</v>
      </c>
      <c r="DY418">
        <f t="shared" si="847"/>
        <v>0</v>
      </c>
      <c r="DZ418">
        <f t="shared" si="847"/>
        <v>0</v>
      </c>
      <c r="EA418">
        <f>IF($C418&lt;&gt;"",IF(BL417&gt;0,1,0),0)</f>
        <v>0</v>
      </c>
      <c r="EB418">
        <f>IF($C418&lt;&gt;"",IF(BM417&gt;0,1,0),0)</f>
        <v>0</v>
      </c>
      <c r="EC418">
        <f>IF($C418&lt;&gt;"",IF(BN417&gt;0,1,0),0)</f>
        <v>0</v>
      </c>
      <c r="ED418">
        <f>IF($C418&lt;&gt;"",IF(#REF!&gt;0,1,0),0)</f>
        <v>0</v>
      </c>
      <c r="EE418">
        <f>IF($C418&lt;&gt;"",IF(#REF!&gt;0,1,0),0)</f>
        <v>0</v>
      </c>
      <c r="EF418">
        <f>IF($C418&lt;&gt;"",IF(#REF!&gt;0,1,0),0)</f>
        <v>0</v>
      </c>
    </row>
    <row r="419" spans="1:136" ht="15.5">
      <c r="A419" s="90"/>
      <c r="B419" s="19" t="s">
        <v>212</v>
      </c>
      <c r="C419" s="95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40" t="s">
        <v>16</v>
      </c>
      <c r="AA419" s="40" t="s">
        <v>16</v>
      </c>
      <c r="AB419" s="18">
        <f>611/0.7</f>
        <v>872.85714285714289</v>
      </c>
      <c r="AC419" s="18">
        <v>0</v>
      </c>
      <c r="AD419" s="18">
        <v>0</v>
      </c>
      <c r="AE419" s="18">
        <v>0</v>
      </c>
      <c r="AF419" s="18">
        <v>0</v>
      </c>
      <c r="AG419" s="18">
        <v>0</v>
      </c>
      <c r="AH419" s="18">
        <v>0</v>
      </c>
      <c r="AI419" s="18">
        <v>0</v>
      </c>
      <c r="AJ419" s="18">
        <v>0</v>
      </c>
      <c r="AK419" s="18">
        <v>0</v>
      </c>
      <c r="AL419" s="244">
        <v>0</v>
      </c>
      <c r="AM419" s="18">
        <v>2664</v>
      </c>
      <c r="AN419" s="18">
        <v>5328</v>
      </c>
      <c r="AO419" s="18">
        <f>27092/3.39</f>
        <v>7991.7404129793504</v>
      </c>
      <c r="AP419" s="18">
        <f>25750/3.39</f>
        <v>7595.8702064896752</v>
      </c>
      <c r="AQ419" s="18">
        <f>21738/3.4</f>
        <v>6393.5294117647063</v>
      </c>
      <c r="AR419" s="18">
        <f>17094/3.472</f>
        <v>4923.3870967741932</v>
      </c>
      <c r="AS419" s="18">
        <f>11128/3.85</f>
        <v>2890.3896103896104</v>
      </c>
      <c r="AT419" s="18">
        <f>6953/4.51</f>
        <v>1541.6851441241686</v>
      </c>
      <c r="AU419" s="18">
        <f>2683/5.85</f>
        <v>458.63247863247864</v>
      </c>
      <c r="AV419" s="18">
        <v>0</v>
      </c>
      <c r="AW419" s="18">
        <v>0</v>
      </c>
      <c r="AX419" s="18">
        <v>0</v>
      </c>
      <c r="AY419" s="18">
        <f>0.035*188000</f>
        <v>6580.0000000000009</v>
      </c>
      <c r="AZ419" s="18">
        <v>0</v>
      </c>
      <c r="BA419" s="18">
        <v>0</v>
      </c>
      <c r="BB419" s="18">
        <v>0</v>
      </c>
      <c r="BC419" s="18">
        <v>0</v>
      </c>
      <c r="BD419" s="18">
        <v>0</v>
      </c>
      <c r="BE419" s="25">
        <v>0</v>
      </c>
      <c r="BF419" s="18">
        <v>0</v>
      </c>
      <c r="BG419" s="18">
        <v>0</v>
      </c>
      <c r="BH419" s="18">
        <v>0</v>
      </c>
      <c r="BI419" s="18">
        <v>0</v>
      </c>
      <c r="BJ419" s="113">
        <v>0</v>
      </c>
      <c r="BK419" s="18">
        <v>0</v>
      </c>
      <c r="BL419" s="18">
        <v>0</v>
      </c>
      <c r="BM419" s="18">
        <v>0</v>
      </c>
      <c r="BN419" s="18">
        <v>0</v>
      </c>
      <c r="BO419" s="18">
        <v>0</v>
      </c>
      <c r="BP419" s="18">
        <v>0</v>
      </c>
      <c r="BQ419" s="18">
        <v>0</v>
      </c>
      <c r="BR419" s="101"/>
      <c r="DY419">
        <f>IF($C419&lt;&gt;"",IF(BJ419&gt;0,1,0),0)</f>
        <v>0</v>
      </c>
    </row>
    <row r="420" spans="1:136" ht="15.5">
      <c r="A420" s="90"/>
      <c r="B420" s="19"/>
      <c r="C420" s="95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>
        <v>0</v>
      </c>
      <c r="AX420" s="18"/>
      <c r="AY420" s="18"/>
      <c r="AZ420" s="18"/>
      <c r="BA420" s="18"/>
      <c r="BB420" s="18"/>
      <c r="BC420" s="18"/>
      <c r="BD420" s="18"/>
      <c r="BE420" s="25"/>
      <c r="BF420" s="18"/>
      <c r="BG420" s="18"/>
      <c r="BH420" s="2"/>
      <c r="BI420" s="2"/>
      <c r="BJ420" s="2"/>
      <c r="BK420" s="2"/>
      <c r="BL420" s="22"/>
      <c r="BM420" s="2"/>
      <c r="BN420" s="2"/>
      <c r="BO420" s="2"/>
      <c r="BP420" s="18"/>
      <c r="BQ420" s="2"/>
      <c r="BR420" s="101"/>
    </row>
    <row r="421" spans="1:136" ht="15.5">
      <c r="A421" s="93">
        <v>49</v>
      </c>
      <c r="B421" s="32" t="s">
        <v>62</v>
      </c>
      <c r="C421" s="95">
        <v>3</v>
      </c>
      <c r="D421" s="22">
        <f t="shared" ref="D421:AI421" si="848">SUM(D422:D427)</f>
        <v>0</v>
      </c>
      <c r="E421" s="22">
        <f t="shared" si="848"/>
        <v>0</v>
      </c>
      <c r="F421" s="22">
        <f t="shared" si="848"/>
        <v>0</v>
      </c>
      <c r="G421" s="22">
        <f t="shared" si="848"/>
        <v>0</v>
      </c>
      <c r="H421" s="22">
        <f t="shared" si="848"/>
        <v>0</v>
      </c>
      <c r="I421" s="22">
        <f t="shared" si="848"/>
        <v>0</v>
      </c>
      <c r="J421" s="22">
        <f t="shared" si="848"/>
        <v>0</v>
      </c>
      <c r="K421" s="22">
        <f t="shared" si="848"/>
        <v>0</v>
      </c>
      <c r="L421" s="22">
        <f t="shared" si="848"/>
        <v>0</v>
      </c>
      <c r="M421" s="22">
        <f t="shared" si="848"/>
        <v>0</v>
      </c>
      <c r="N421" s="22">
        <f t="shared" si="848"/>
        <v>0</v>
      </c>
      <c r="O421" s="22">
        <f t="shared" si="848"/>
        <v>0</v>
      </c>
      <c r="P421" s="22">
        <f t="shared" si="848"/>
        <v>0</v>
      </c>
      <c r="Q421" s="22">
        <f t="shared" si="848"/>
        <v>0</v>
      </c>
      <c r="R421" s="22">
        <f t="shared" si="848"/>
        <v>0</v>
      </c>
      <c r="S421" s="22">
        <f t="shared" si="848"/>
        <v>0</v>
      </c>
      <c r="T421" s="22">
        <f t="shared" si="848"/>
        <v>0</v>
      </c>
      <c r="U421" s="22">
        <f t="shared" si="848"/>
        <v>0</v>
      </c>
      <c r="V421" s="22">
        <f t="shared" si="848"/>
        <v>0</v>
      </c>
      <c r="W421" s="22">
        <f t="shared" si="848"/>
        <v>7.1999999999999995E-2</v>
      </c>
      <c r="X421" s="22">
        <f t="shared" si="848"/>
        <v>0</v>
      </c>
      <c r="Y421" s="22">
        <f t="shared" si="848"/>
        <v>604.4</v>
      </c>
      <c r="Z421" s="22">
        <f t="shared" si="848"/>
        <v>568.90899999999999</v>
      </c>
      <c r="AA421" s="22">
        <f t="shared" si="848"/>
        <v>533.56700000000001</v>
      </c>
      <c r="AB421" s="22">
        <f t="shared" si="848"/>
        <v>542.30799999999999</v>
      </c>
      <c r="AC421" s="22">
        <f t="shared" si="848"/>
        <v>464.52199999999999</v>
      </c>
      <c r="AD421" s="22">
        <f t="shared" si="848"/>
        <v>221.51099999999997</v>
      </c>
      <c r="AE421" s="22">
        <f t="shared" si="848"/>
        <v>208.56399999999999</v>
      </c>
      <c r="AF421" s="22">
        <f t="shared" si="848"/>
        <v>199.255</v>
      </c>
      <c r="AG421" s="22">
        <f t="shared" si="848"/>
        <v>226.386</v>
      </c>
      <c r="AH421" s="22">
        <f t="shared" si="848"/>
        <v>251.25</v>
      </c>
      <c r="AI421" s="22">
        <f t="shared" si="848"/>
        <v>146.95732098765433</v>
      </c>
      <c r="AJ421" s="22">
        <f t="shared" ref="AJ421:BQ421" si="849">SUM(AJ422:AJ427)</f>
        <v>105.69530434782608</v>
      </c>
      <c r="AK421" s="22">
        <f t="shared" si="849"/>
        <v>740.01854022988516</v>
      </c>
      <c r="AL421" s="22">
        <f t="shared" si="849"/>
        <v>59.585999999999991</v>
      </c>
      <c r="AM421" s="22">
        <f t="shared" si="849"/>
        <v>51.431727272727265</v>
      </c>
      <c r="AN421" s="22">
        <f t="shared" si="849"/>
        <v>54.149885057471259</v>
      </c>
      <c r="AO421" s="22">
        <f t="shared" si="849"/>
        <v>15.243</v>
      </c>
      <c r="AP421" s="22">
        <f t="shared" si="849"/>
        <v>5.7840000000000007</v>
      </c>
      <c r="AQ421" s="22">
        <f t="shared" si="849"/>
        <v>1.476</v>
      </c>
      <c r="AR421" s="22">
        <f t="shared" si="849"/>
        <v>16.999000000000002</v>
      </c>
      <c r="AS421" s="22">
        <f t="shared" si="849"/>
        <v>0</v>
      </c>
      <c r="AT421" s="22">
        <f t="shared" si="849"/>
        <v>0</v>
      </c>
      <c r="AU421" s="22">
        <f t="shared" si="849"/>
        <v>0</v>
      </c>
      <c r="AV421" s="22">
        <f t="shared" si="849"/>
        <v>0</v>
      </c>
      <c r="AW421" s="22">
        <f t="shared" si="849"/>
        <v>0</v>
      </c>
      <c r="AX421" s="22">
        <f t="shared" si="849"/>
        <v>0</v>
      </c>
      <c r="AY421" s="22">
        <f t="shared" si="849"/>
        <v>0</v>
      </c>
      <c r="AZ421" s="22">
        <f t="shared" si="849"/>
        <v>2.5329999999999999</v>
      </c>
      <c r="BA421" s="22">
        <f t="shared" si="849"/>
        <v>0</v>
      </c>
      <c r="BB421" s="22">
        <f t="shared" si="849"/>
        <v>0</v>
      </c>
      <c r="BC421" s="22">
        <f t="shared" si="849"/>
        <v>0</v>
      </c>
      <c r="BD421" s="22">
        <f t="shared" si="849"/>
        <v>0</v>
      </c>
      <c r="BE421" s="22">
        <f t="shared" si="849"/>
        <v>0</v>
      </c>
      <c r="BF421" s="22">
        <f t="shared" si="849"/>
        <v>0</v>
      </c>
      <c r="BG421" s="22">
        <f t="shared" si="849"/>
        <v>0</v>
      </c>
      <c r="BH421" s="22">
        <f t="shared" si="849"/>
        <v>0</v>
      </c>
      <c r="BI421" s="22">
        <f t="shared" si="849"/>
        <v>6033</v>
      </c>
      <c r="BJ421" s="22">
        <f t="shared" si="849"/>
        <v>0</v>
      </c>
      <c r="BK421" s="22">
        <f t="shared" si="849"/>
        <v>0</v>
      </c>
      <c r="BL421" s="22">
        <f t="shared" si="849"/>
        <v>0</v>
      </c>
      <c r="BM421" s="22">
        <f t="shared" si="849"/>
        <v>0</v>
      </c>
      <c r="BN421" s="22">
        <f t="shared" si="849"/>
        <v>648</v>
      </c>
      <c r="BO421" s="22">
        <f t="shared" si="849"/>
        <v>1450</v>
      </c>
      <c r="BP421" s="22">
        <f t="shared" si="849"/>
        <v>0</v>
      </c>
      <c r="BQ421" s="22">
        <f t="shared" si="849"/>
        <v>0</v>
      </c>
      <c r="BR421" s="101"/>
      <c r="BS421">
        <f t="shared" ref="BS421:CX421" si="850">IF($C421&lt;&gt;"",IF(D421&gt;0,1,0),0)</f>
        <v>0</v>
      </c>
      <c r="BT421">
        <f t="shared" si="850"/>
        <v>0</v>
      </c>
      <c r="BU421">
        <f t="shared" si="850"/>
        <v>0</v>
      </c>
      <c r="BV421">
        <f t="shared" si="850"/>
        <v>0</v>
      </c>
      <c r="BW421">
        <f t="shared" si="850"/>
        <v>0</v>
      </c>
      <c r="BX421">
        <f t="shared" si="850"/>
        <v>0</v>
      </c>
      <c r="BY421">
        <f t="shared" si="850"/>
        <v>0</v>
      </c>
      <c r="BZ421">
        <f t="shared" si="850"/>
        <v>0</v>
      </c>
      <c r="CA421">
        <f t="shared" si="850"/>
        <v>0</v>
      </c>
      <c r="CB421">
        <f t="shared" si="850"/>
        <v>0</v>
      </c>
      <c r="CC421">
        <f t="shared" si="850"/>
        <v>0</v>
      </c>
      <c r="CD421">
        <f t="shared" si="850"/>
        <v>0</v>
      </c>
      <c r="CE421">
        <f t="shared" si="850"/>
        <v>0</v>
      </c>
      <c r="CF421">
        <f t="shared" si="850"/>
        <v>0</v>
      </c>
      <c r="CG421">
        <f t="shared" si="850"/>
        <v>0</v>
      </c>
      <c r="CH421">
        <f t="shared" si="850"/>
        <v>0</v>
      </c>
      <c r="CI421">
        <f t="shared" si="850"/>
        <v>0</v>
      </c>
      <c r="CJ421">
        <f t="shared" si="850"/>
        <v>0</v>
      </c>
      <c r="CK421">
        <f t="shared" si="850"/>
        <v>0</v>
      </c>
      <c r="CL421">
        <f t="shared" si="850"/>
        <v>1</v>
      </c>
      <c r="CM421">
        <f t="shared" si="850"/>
        <v>0</v>
      </c>
      <c r="CN421">
        <f t="shared" si="850"/>
        <v>1</v>
      </c>
      <c r="CO421">
        <f t="shared" si="850"/>
        <v>1</v>
      </c>
      <c r="CP421">
        <f t="shared" si="850"/>
        <v>1</v>
      </c>
      <c r="CQ421">
        <f t="shared" si="850"/>
        <v>1</v>
      </c>
      <c r="CR421">
        <f t="shared" si="850"/>
        <v>1</v>
      </c>
      <c r="CS421">
        <f t="shared" si="850"/>
        <v>1</v>
      </c>
      <c r="CT421">
        <f t="shared" si="850"/>
        <v>1</v>
      </c>
      <c r="CU421">
        <f t="shared" si="850"/>
        <v>1</v>
      </c>
      <c r="CV421">
        <f t="shared" si="850"/>
        <v>1</v>
      </c>
      <c r="CW421">
        <f t="shared" si="850"/>
        <v>1</v>
      </c>
      <c r="CX421">
        <f t="shared" si="850"/>
        <v>1</v>
      </c>
      <c r="CY421">
        <f t="shared" ref="CY421:ED421" si="851">IF($C421&lt;&gt;"",IF(AJ421&gt;0,1,0),0)</f>
        <v>1</v>
      </c>
      <c r="CZ421">
        <f t="shared" si="851"/>
        <v>1</v>
      </c>
      <c r="DA421">
        <f t="shared" si="851"/>
        <v>1</v>
      </c>
      <c r="DB421">
        <f t="shared" si="851"/>
        <v>1</v>
      </c>
      <c r="DC421">
        <f t="shared" si="851"/>
        <v>1</v>
      </c>
      <c r="DD421">
        <f t="shared" si="851"/>
        <v>1</v>
      </c>
      <c r="DE421">
        <f t="shared" si="851"/>
        <v>1</v>
      </c>
      <c r="DF421">
        <f t="shared" si="851"/>
        <v>1</v>
      </c>
      <c r="DG421">
        <f t="shared" si="851"/>
        <v>1</v>
      </c>
      <c r="DH421">
        <f t="shared" si="851"/>
        <v>0</v>
      </c>
      <c r="DI421">
        <f t="shared" si="851"/>
        <v>0</v>
      </c>
      <c r="DJ421">
        <f t="shared" si="851"/>
        <v>0</v>
      </c>
      <c r="DK421">
        <f t="shared" si="851"/>
        <v>0</v>
      </c>
      <c r="DL421">
        <f t="shared" si="851"/>
        <v>0</v>
      </c>
      <c r="DM421">
        <f t="shared" si="851"/>
        <v>0</v>
      </c>
      <c r="DN421">
        <f t="shared" si="851"/>
        <v>0</v>
      </c>
      <c r="DO421">
        <f t="shared" si="851"/>
        <v>1</v>
      </c>
      <c r="DP421">
        <f t="shared" si="851"/>
        <v>0</v>
      </c>
      <c r="DQ421">
        <f t="shared" si="851"/>
        <v>0</v>
      </c>
      <c r="DR421">
        <f t="shared" si="851"/>
        <v>0</v>
      </c>
      <c r="DS421">
        <f t="shared" si="851"/>
        <v>0</v>
      </c>
      <c r="DT421">
        <f t="shared" si="851"/>
        <v>0</v>
      </c>
      <c r="DU421">
        <f t="shared" si="851"/>
        <v>0</v>
      </c>
      <c r="DV421">
        <f t="shared" si="851"/>
        <v>0</v>
      </c>
      <c r="DW421">
        <f t="shared" si="851"/>
        <v>0</v>
      </c>
      <c r="DX421">
        <f t="shared" si="851"/>
        <v>1</v>
      </c>
      <c r="DY421">
        <f t="shared" si="851"/>
        <v>0</v>
      </c>
      <c r="DZ421">
        <f t="shared" si="851"/>
        <v>0</v>
      </c>
      <c r="EA421">
        <f t="shared" si="851"/>
        <v>0</v>
      </c>
      <c r="EB421">
        <f t="shared" si="851"/>
        <v>0</v>
      </c>
      <c r="EC421">
        <f t="shared" si="851"/>
        <v>1</v>
      </c>
      <c r="ED421">
        <f t="shared" si="851"/>
        <v>1</v>
      </c>
      <c r="EE421">
        <f t="shared" ref="EE421:EF421" si="852">IF($C421&lt;&gt;"",IF(BP421&gt;0,1,0),0)</f>
        <v>0</v>
      </c>
      <c r="EF421">
        <f t="shared" si="852"/>
        <v>0</v>
      </c>
    </row>
    <row r="422" spans="1:136" ht="15.5">
      <c r="A422" s="90"/>
      <c r="B422" s="24" t="s">
        <v>15</v>
      </c>
      <c r="C422" s="95"/>
      <c r="D422" s="18">
        <v>0</v>
      </c>
      <c r="E422" s="18">
        <v>0</v>
      </c>
      <c r="F422" s="18">
        <v>0</v>
      </c>
      <c r="G422" s="18">
        <v>0</v>
      </c>
      <c r="H422" s="18">
        <v>0</v>
      </c>
      <c r="I422" s="18">
        <v>0</v>
      </c>
      <c r="J422" s="18">
        <v>0</v>
      </c>
      <c r="K422" s="18">
        <v>0</v>
      </c>
      <c r="L422" s="18">
        <v>0</v>
      </c>
      <c r="M422" s="18">
        <v>0</v>
      </c>
      <c r="N422" s="18">
        <v>0</v>
      </c>
      <c r="O422" s="18">
        <v>0</v>
      </c>
      <c r="P422" s="18">
        <v>0</v>
      </c>
      <c r="Q422" s="18">
        <v>0</v>
      </c>
      <c r="R422" s="18">
        <v>0</v>
      </c>
      <c r="S422" s="18">
        <v>0</v>
      </c>
      <c r="T422" s="18">
        <v>0</v>
      </c>
      <c r="U422" s="18">
        <v>0</v>
      </c>
      <c r="V422" s="18">
        <v>0</v>
      </c>
      <c r="W422" s="18">
        <v>0</v>
      </c>
      <c r="X422" s="18">
        <v>0</v>
      </c>
      <c r="Y422" s="18">
        <v>0</v>
      </c>
      <c r="Z422" s="18">
        <v>0</v>
      </c>
      <c r="AA422" s="18">
        <v>0</v>
      </c>
      <c r="AB422" s="18">
        <v>0</v>
      </c>
      <c r="AC422" s="18">
        <v>0</v>
      </c>
      <c r="AD422" s="18">
        <v>0</v>
      </c>
      <c r="AE422" s="18">
        <v>0</v>
      </c>
      <c r="AF422" s="18">
        <v>0</v>
      </c>
      <c r="AG422" s="18">
        <v>1.266</v>
      </c>
      <c r="AH422" s="18">
        <v>0</v>
      </c>
      <c r="AI422" s="18">
        <v>0</v>
      </c>
      <c r="AJ422" s="18">
        <v>0</v>
      </c>
      <c r="AK422" s="18">
        <v>0</v>
      </c>
      <c r="AL422" s="18">
        <v>0</v>
      </c>
      <c r="AM422" s="18">
        <v>0</v>
      </c>
      <c r="AN422" s="18">
        <v>0</v>
      </c>
      <c r="AO422" s="18">
        <v>0</v>
      </c>
      <c r="AP422" s="18">
        <v>0</v>
      </c>
      <c r="AQ422" s="18">
        <v>0</v>
      </c>
      <c r="AR422" s="18">
        <v>0</v>
      </c>
      <c r="AS422" s="18">
        <v>0</v>
      </c>
      <c r="AT422" s="18">
        <v>0</v>
      </c>
      <c r="AU422" s="18">
        <v>0</v>
      </c>
      <c r="AV422" s="18">
        <v>0</v>
      </c>
      <c r="AW422" s="18">
        <v>0</v>
      </c>
      <c r="AX422" s="18">
        <v>0</v>
      </c>
      <c r="AY422" s="18">
        <v>0</v>
      </c>
      <c r="AZ422" s="18">
        <v>0</v>
      </c>
      <c r="BA422" s="18">
        <v>0</v>
      </c>
      <c r="BB422" s="18">
        <v>0</v>
      </c>
      <c r="BC422" s="18">
        <v>0</v>
      </c>
      <c r="BD422" s="18">
        <v>0</v>
      </c>
      <c r="BE422" s="18">
        <v>0</v>
      </c>
      <c r="BF422" s="18">
        <v>0</v>
      </c>
      <c r="BG422" s="18">
        <v>0</v>
      </c>
      <c r="BH422" s="18">
        <v>0</v>
      </c>
      <c r="BI422" s="18">
        <v>0</v>
      </c>
      <c r="BJ422" s="113">
        <v>0</v>
      </c>
      <c r="BK422" s="113">
        <v>0</v>
      </c>
      <c r="BL422" s="113">
        <v>0</v>
      </c>
      <c r="BM422" s="113">
        <v>0</v>
      </c>
      <c r="BN422" s="113">
        <v>0</v>
      </c>
      <c r="BO422" s="113">
        <v>0</v>
      </c>
      <c r="BP422" s="113">
        <v>0</v>
      </c>
      <c r="BQ422" s="113">
        <v>0</v>
      </c>
      <c r="BR422" s="101"/>
      <c r="BS422">
        <f t="shared" ref="BS422:CB428" si="853">IF($C422&lt;&gt;"",IF(D422&gt;0,1,0),0)</f>
        <v>0</v>
      </c>
      <c r="BT422">
        <f t="shared" si="853"/>
        <v>0</v>
      </c>
      <c r="BU422">
        <f t="shared" si="853"/>
        <v>0</v>
      </c>
      <c r="BV422">
        <f t="shared" si="853"/>
        <v>0</v>
      </c>
      <c r="BW422">
        <f t="shared" si="853"/>
        <v>0</v>
      </c>
      <c r="BX422">
        <f t="shared" si="853"/>
        <v>0</v>
      </c>
      <c r="BY422">
        <f t="shared" si="853"/>
        <v>0</v>
      </c>
      <c r="BZ422">
        <f t="shared" si="853"/>
        <v>0</v>
      </c>
      <c r="CA422">
        <f t="shared" si="853"/>
        <v>0</v>
      </c>
      <c r="CB422">
        <f t="shared" si="853"/>
        <v>0</v>
      </c>
      <c r="CC422">
        <f t="shared" ref="CC422:CL428" si="854">IF($C422&lt;&gt;"",IF(N422&gt;0,1,0),0)</f>
        <v>0</v>
      </c>
      <c r="CD422">
        <f t="shared" si="854"/>
        <v>0</v>
      </c>
      <c r="CE422">
        <f t="shared" si="854"/>
        <v>0</v>
      </c>
      <c r="CF422">
        <f t="shared" si="854"/>
        <v>0</v>
      </c>
      <c r="CG422">
        <f t="shared" si="854"/>
        <v>0</v>
      </c>
      <c r="CH422">
        <f t="shared" si="854"/>
        <v>0</v>
      </c>
      <c r="CI422">
        <f t="shared" si="854"/>
        <v>0</v>
      </c>
      <c r="CJ422">
        <f t="shared" si="854"/>
        <v>0</v>
      </c>
      <c r="CK422">
        <f t="shared" si="854"/>
        <v>0</v>
      </c>
      <c r="CL422">
        <f t="shared" si="854"/>
        <v>0</v>
      </c>
      <c r="CM422">
        <f t="shared" ref="CM422:CV428" si="855">IF($C422&lt;&gt;"",IF(X422&gt;0,1,0),0)</f>
        <v>0</v>
      </c>
      <c r="CN422">
        <f t="shared" si="855"/>
        <v>0</v>
      </c>
      <c r="CO422">
        <f t="shared" si="855"/>
        <v>0</v>
      </c>
      <c r="CP422">
        <f t="shared" si="855"/>
        <v>0</v>
      </c>
      <c r="CQ422">
        <f t="shared" si="855"/>
        <v>0</v>
      </c>
      <c r="CR422">
        <f t="shared" si="855"/>
        <v>0</v>
      </c>
      <c r="CS422">
        <f t="shared" si="855"/>
        <v>0</v>
      </c>
      <c r="CT422">
        <f t="shared" si="855"/>
        <v>0</v>
      </c>
      <c r="CU422">
        <f t="shared" si="855"/>
        <v>0</v>
      </c>
      <c r="CV422">
        <f t="shared" si="855"/>
        <v>0</v>
      </c>
      <c r="CW422">
        <f t="shared" ref="CW422:DF428" si="856">IF($C422&lt;&gt;"",IF(AH422&gt;0,1,0),0)</f>
        <v>0</v>
      </c>
      <c r="CX422">
        <f t="shared" si="856"/>
        <v>0</v>
      </c>
      <c r="CY422">
        <f t="shared" si="856"/>
        <v>0</v>
      </c>
      <c r="CZ422">
        <f t="shared" si="856"/>
        <v>0</v>
      </c>
      <c r="DA422">
        <f t="shared" si="856"/>
        <v>0</v>
      </c>
      <c r="DB422">
        <f t="shared" si="856"/>
        <v>0</v>
      </c>
      <c r="DC422">
        <f t="shared" si="856"/>
        <v>0</v>
      </c>
      <c r="DD422">
        <f t="shared" si="856"/>
        <v>0</v>
      </c>
      <c r="DE422">
        <f t="shared" si="856"/>
        <v>0</v>
      </c>
      <c r="DF422">
        <f t="shared" si="856"/>
        <v>0</v>
      </c>
      <c r="DG422">
        <f t="shared" ref="DG422:DP428" si="857">IF($C422&lt;&gt;"",IF(AR422&gt;0,1,0),0)</f>
        <v>0</v>
      </c>
      <c r="DH422">
        <f t="shared" si="857"/>
        <v>0</v>
      </c>
      <c r="DI422">
        <f t="shared" si="857"/>
        <v>0</v>
      </c>
      <c r="DJ422">
        <f t="shared" si="857"/>
        <v>0</v>
      </c>
      <c r="DK422">
        <f t="shared" si="857"/>
        <v>0</v>
      </c>
      <c r="DL422">
        <f t="shared" si="857"/>
        <v>0</v>
      </c>
      <c r="DM422">
        <f t="shared" si="857"/>
        <v>0</v>
      </c>
      <c r="DN422">
        <f t="shared" si="857"/>
        <v>0</v>
      </c>
      <c r="DO422">
        <f t="shared" si="857"/>
        <v>0</v>
      </c>
      <c r="DP422">
        <f t="shared" si="857"/>
        <v>0</v>
      </c>
      <c r="DQ422">
        <f t="shared" ref="DQ422:DZ428" si="858">IF($C422&lt;&gt;"",IF(BB422&gt;0,1,0),0)</f>
        <v>0</v>
      </c>
      <c r="DR422">
        <f t="shared" si="858"/>
        <v>0</v>
      </c>
      <c r="DS422">
        <f t="shared" si="858"/>
        <v>0</v>
      </c>
      <c r="DT422">
        <f t="shared" si="858"/>
        <v>0</v>
      </c>
      <c r="DU422">
        <f t="shared" si="858"/>
        <v>0</v>
      </c>
      <c r="DV422">
        <f t="shared" si="858"/>
        <v>0</v>
      </c>
      <c r="DW422">
        <f t="shared" si="858"/>
        <v>0</v>
      </c>
      <c r="DX422">
        <f t="shared" si="858"/>
        <v>0</v>
      </c>
      <c r="DY422">
        <f t="shared" si="858"/>
        <v>0</v>
      </c>
      <c r="DZ422">
        <f t="shared" si="858"/>
        <v>0</v>
      </c>
      <c r="EA422">
        <f t="shared" ref="EA422:EF424" si="859">IF($C422&lt;&gt;"",IF(BL421&gt;0,1,0),0)</f>
        <v>0</v>
      </c>
      <c r="EB422">
        <f t="shared" si="859"/>
        <v>0</v>
      </c>
      <c r="EC422">
        <f t="shared" si="859"/>
        <v>0</v>
      </c>
      <c r="ED422">
        <f t="shared" si="859"/>
        <v>0</v>
      </c>
      <c r="EE422">
        <f t="shared" si="859"/>
        <v>0</v>
      </c>
      <c r="EF422">
        <f t="shared" si="859"/>
        <v>0</v>
      </c>
    </row>
    <row r="423" spans="1:136" ht="15.5">
      <c r="A423" s="90"/>
      <c r="B423" s="19" t="s">
        <v>2</v>
      </c>
      <c r="C423" s="95"/>
      <c r="D423" s="18">
        <v>0</v>
      </c>
      <c r="E423" s="18">
        <v>0</v>
      </c>
      <c r="F423" s="18">
        <v>0</v>
      </c>
      <c r="G423" s="18">
        <v>0</v>
      </c>
      <c r="H423" s="18">
        <v>0</v>
      </c>
      <c r="I423" s="18">
        <v>0</v>
      </c>
      <c r="J423" s="18">
        <v>0</v>
      </c>
      <c r="K423" s="18">
        <v>0</v>
      </c>
      <c r="L423" s="18">
        <v>0</v>
      </c>
      <c r="M423" s="18">
        <v>0</v>
      </c>
      <c r="N423" s="18">
        <v>0</v>
      </c>
      <c r="O423" s="18">
        <v>0</v>
      </c>
      <c r="P423" s="18">
        <v>0</v>
      </c>
      <c r="Q423" s="18">
        <v>0</v>
      </c>
      <c r="R423" s="18">
        <v>0</v>
      </c>
      <c r="S423" s="18">
        <v>0</v>
      </c>
      <c r="T423" s="18">
        <v>0</v>
      </c>
      <c r="U423" s="18">
        <v>0</v>
      </c>
      <c r="V423" s="18">
        <v>0</v>
      </c>
      <c r="W423" s="18">
        <v>0</v>
      </c>
      <c r="X423" s="18">
        <v>0</v>
      </c>
      <c r="Y423" s="18">
        <v>0</v>
      </c>
      <c r="Z423" s="18">
        <v>0</v>
      </c>
      <c r="AA423" s="18">
        <v>0</v>
      </c>
      <c r="AB423" s="18">
        <v>0</v>
      </c>
      <c r="AC423" s="18">
        <v>0</v>
      </c>
      <c r="AD423" s="154">
        <v>0</v>
      </c>
      <c r="AE423" s="154">
        <v>0</v>
      </c>
      <c r="AF423" s="154">
        <v>0</v>
      </c>
      <c r="AG423" s="40" t="s">
        <v>16</v>
      </c>
      <c r="AH423" s="18">
        <v>143</v>
      </c>
      <c r="AI423" s="40" t="s">
        <v>16</v>
      </c>
      <c r="AJ423" s="34">
        <v>0</v>
      </c>
      <c r="AK423" s="34">
        <v>0</v>
      </c>
      <c r="AL423" s="34">
        <v>0</v>
      </c>
      <c r="AM423" s="34">
        <v>0</v>
      </c>
      <c r="AN423" s="34">
        <v>0</v>
      </c>
      <c r="AO423" s="34">
        <v>0</v>
      </c>
      <c r="AP423" s="34">
        <v>0</v>
      </c>
      <c r="AQ423" s="34">
        <v>0</v>
      </c>
      <c r="AR423" s="34">
        <v>0</v>
      </c>
      <c r="AS423" s="34">
        <v>0</v>
      </c>
      <c r="AT423" s="34">
        <v>0</v>
      </c>
      <c r="AU423" s="34">
        <v>0</v>
      </c>
      <c r="AV423" s="34">
        <v>0</v>
      </c>
      <c r="AW423" s="34">
        <v>0</v>
      </c>
      <c r="AX423" s="34">
        <v>0</v>
      </c>
      <c r="AY423" s="34">
        <v>0</v>
      </c>
      <c r="AZ423" s="34">
        <v>0</v>
      </c>
      <c r="BA423" s="34">
        <v>0</v>
      </c>
      <c r="BB423" s="34">
        <v>0</v>
      </c>
      <c r="BC423" s="34">
        <v>0</v>
      </c>
      <c r="BD423" s="34">
        <v>0</v>
      </c>
      <c r="BE423" s="34">
        <v>0</v>
      </c>
      <c r="BF423" s="34">
        <v>0</v>
      </c>
      <c r="BG423" s="34">
        <v>0</v>
      </c>
      <c r="BH423" s="34">
        <v>0</v>
      </c>
      <c r="BI423" s="34">
        <v>0</v>
      </c>
      <c r="BJ423" s="113">
        <v>0</v>
      </c>
      <c r="BK423" s="113">
        <v>0</v>
      </c>
      <c r="BL423" s="113">
        <v>0</v>
      </c>
      <c r="BM423" s="113">
        <v>0</v>
      </c>
      <c r="BN423" s="113">
        <v>0</v>
      </c>
      <c r="BO423" s="113">
        <v>0</v>
      </c>
      <c r="BP423" s="113">
        <v>0</v>
      </c>
      <c r="BQ423" s="113">
        <v>0</v>
      </c>
      <c r="BR423" s="101"/>
      <c r="BS423">
        <f t="shared" si="853"/>
        <v>0</v>
      </c>
      <c r="BT423">
        <f t="shared" si="853"/>
        <v>0</v>
      </c>
      <c r="BU423">
        <f t="shared" si="853"/>
        <v>0</v>
      </c>
      <c r="BV423">
        <f t="shared" si="853"/>
        <v>0</v>
      </c>
      <c r="BW423">
        <f t="shared" si="853"/>
        <v>0</v>
      </c>
      <c r="BX423">
        <f t="shared" si="853"/>
        <v>0</v>
      </c>
      <c r="BY423">
        <f t="shared" si="853"/>
        <v>0</v>
      </c>
      <c r="BZ423">
        <f t="shared" si="853"/>
        <v>0</v>
      </c>
      <c r="CA423">
        <f t="shared" si="853"/>
        <v>0</v>
      </c>
      <c r="CB423">
        <f t="shared" si="853"/>
        <v>0</v>
      </c>
      <c r="CC423">
        <f t="shared" si="854"/>
        <v>0</v>
      </c>
      <c r="CD423">
        <f t="shared" si="854"/>
        <v>0</v>
      </c>
      <c r="CE423">
        <f t="shared" si="854"/>
        <v>0</v>
      </c>
      <c r="CF423">
        <f t="shared" si="854"/>
        <v>0</v>
      </c>
      <c r="CG423">
        <f t="shared" si="854"/>
        <v>0</v>
      </c>
      <c r="CH423">
        <f t="shared" si="854"/>
        <v>0</v>
      </c>
      <c r="CI423">
        <f t="shared" si="854"/>
        <v>0</v>
      </c>
      <c r="CJ423">
        <f t="shared" si="854"/>
        <v>0</v>
      </c>
      <c r="CK423">
        <f t="shared" si="854"/>
        <v>0</v>
      </c>
      <c r="CL423">
        <f t="shared" si="854"/>
        <v>0</v>
      </c>
      <c r="CM423">
        <f t="shared" si="855"/>
        <v>0</v>
      </c>
      <c r="CN423">
        <f t="shared" si="855"/>
        <v>0</v>
      </c>
      <c r="CO423">
        <f t="shared" si="855"/>
        <v>0</v>
      </c>
      <c r="CP423">
        <f t="shared" si="855"/>
        <v>0</v>
      </c>
      <c r="CQ423">
        <f t="shared" si="855"/>
        <v>0</v>
      </c>
      <c r="CR423">
        <f t="shared" si="855"/>
        <v>0</v>
      </c>
      <c r="CS423">
        <f t="shared" si="855"/>
        <v>0</v>
      </c>
      <c r="CT423">
        <f t="shared" si="855"/>
        <v>0</v>
      </c>
      <c r="CU423">
        <f t="shared" si="855"/>
        <v>0</v>
      </c>
      <c r="CV423">
        <f t="shared" si="855"/>
        <v>0</v>
      </c>
      <c r="CW423">
        <f t="shared" si="856"/>
        <v>0</v>
      </c>
      <c r="CX423">
        <f t="shared" si="856"/>
        <v>0</v>
      </c>
      <c r="CY423">
        <f t="shared" si="856"/>
        <v>0</v>
      </c>
      <c r="CZ423">
        <f t="shared" si="856"/>
        <v>0</v>
      </c>
      <c r="DA423">
        <f t="shared" si="856"/>
        <v>0</v>
      </c>
      <c r="DB423">
        <f t="shared" si="856"/>
        <v>0</v>
      </c>
      <c r="DC423">
        <f t="shared" si="856"/>
        <v>0</v>
      </c>
      <c r="DD423">
        <f t="shared" si="856"/>
        <v>0</v>
      </c>
      <c r="DE423">
        <f t="shared" si="856"/>
        <v>0</v>
      </c>
      <c r="DF423">
        <f t="shared" si="856"/>
        <v>0</v>
      </c>
      <c r="DG423">
        <f t="shared" si="857"/>
        <v>0</v>
      </c>
      <c r="DH423">
        <f t="shared" si="857"/>
        <v>0</v>
      </c>
      <c r="DI423">
        <f t="shared" si="857"/>
        <v>0</v>
      </c>
      <c r="DJ423">
        <f t="shared" si="857"/>
        <v>0</v>
      </c>
      <c r="DK423">
        <f t="shared" si="857"/>
        <v>0</v>
      </c>
      <c r="DL423">
        <f t="shared" si="857"/>
        <v>0</v>
      </c>
      <c r="DM423">
        <f t="shared" si="857"/>
        <v>0</v>
      </c>
      <c r="DN423">
        <f t="shared" si="857"/>
        <v>0</v>
      </c>
      <c r="DO423">
        <f t="shared" si="857"/>
        <v>0</v>
      </c>
      <c r="DP423">
        <f t="shared" si="857"/>
        <v>0</v>
      </c>
      <c r="DQ423">
        <f t="shared" si="858"/>
        <v>0</v>
      </c>
      <c r="DR423">
        <f t="shared" si="858"/>
        <v>0</v>
      </c>
      <c r="DS423">
        <f t="shared" si="858"/>
        <v>0</v>
      </c>
      <c r="DT423">
        <f t="shared" si="858"/>
        <v>0</v>
      </c>
      <c r="DU423">
        <f t="shared" si="858"/>
        <v>0</v>
      </c>
      <c r="DV423">
        <f t="shared" si="858"/>
        <v>0</v>
      </c>
      <c r="DW423">
        <f t="shared" si="858"/>
        <v>0</v>
      </c>
      <c r="DX423">
        <f t="shared" si="858"/>
        <v>0</v>
      </c>
      <c r="DY423">
        <f t="shared" si="858"/>
        <v>0</v>
      </c>
      <c r="DZ423">
        <f t="shared" si="858"/>
        <v>0</v>
      </c>
      <c r="EA423">
        <f t="shared" si="859"/>
        <v>0</v>
      </c>
      <c r="EB423">
        <f t="shared" si="859"/>
        <v>0</v>
      </c>
      <c r="EC423">
        <f t="shared" si="859"/>
        <v>0</v>
      </c>
      <c r="ED423">
        <f t="shared" si="859"/>
        <v>0</v>
      </c>
      <c r="EE423">
        <f t="shared" si="859"/>
        <v>0</v>
      </c>
      <c r="EF423">
        <f t="shared" si="859"/>
        <v>0</v>
      </c>
    </row>
    <row r="424" spans="1:136" ht="15.5">
      <c r="A424" s="90"/>
      <c r="B424" s="53" t="s">
        <v>3</v>
      </c>
      <c r="C424" s="95"/>
      <c r="D424" s="18">
        <v>0</v>
      </c>
      <c r="E424" s="18">
        <v>0</v>
      </c>
      <c r="F424" s="18">
        <v>0</v>
      </c>
      <c r="G424" s="18">
        <v>0</v>
      </c>
      <c r="H424" s="18">
        <v>0</v>
      </c>
      <c r="I424" s="18">
        <v>0</v>
      </c>
      <c r="J424" s="18">
        <v>0</v>
      </c>
      <c r="K424" s="18">
        <v>0</v>
      </c>
      <c r="L424" s="18">
        <v>0</v>
      </c>
      <c r="M424" s="18">
        <v>0</v>
      </c>
      <c r="N424" s="18">
        <v>0</v>
      </c>
      <c r="O424" s="18">
        <v>0</v>
      </c>
      <c r="P424" s="18">
        <v>0</v>
      </c>
      <c r="Q424" s="18">
        <v>0</v>
      </c>
      <c r="R424" s="18">
        <v>0</v>
      </c>
      <c r="S424" s="18">
        <v>0</v>
      </c>
      <c r="T424" s="18">
        <v>0</v>
      </c>
      <c r="U424" s="18">
        <v>0</v>
      </c>
      <c r="V424" s="18">
        <v>0</v>
      </c>
      <c r="W424" s="18">
        <v>7.1999999999999995E-2</v>
      </c>
      <c r="X424" s="18">
        <v>0</v>
      </c>
      <c r="Y424" s="18">
        <v>0</v>
      </c>
      <c r="Z424" s="18">
        <v>0</v>
      </c>
      <c r="AA424" s="18">
        <v>0.159</v>
      </c>
      <c r="AB424" s="18">
        <v>0.372</v>
      </c>
      <c r="AC424" s="18">
        <v>0.65700000000000003</v>
      </c>
      <c r="AD424" s="18">
        <v>6.2959999999999994</v>
      </c>
      <c r="AE424" s="18">
        <v>11.524000000000001</v>
      </c>
      <c r="AF424" s="18">
        <v>20.738</v>
      </c>
      <c r="AG424" s="18">
        <v>59.691000000000003</v>
      </c>
      <c r="AH424" s="40" t="s">
        <v>16</v>
      </c>
      <c r="AI424" s="18">
        <v>52.65</v>
      </c>
      <c r="AJ424" s="18">
        <v>34.463000000000001</v>
      </c>
      <c r="AK424" s="18">
        <v>676.22500000000002</v>
      </c>
      <c r="AL424" s="18">
        <v>4.9720000000000004</v>
      </c>
      <c r="AM424" s="18">
        <v>5.109</v>
      </c>
      <c r="AN424" s="18">
        <v>6.3949999999999996</v>
      </c>
      <c r="AO424" s="18">
        <v>14.122</v>
      </c>
      <c r="AP424" s="18">
        <v>5.3360000000000003</v>
      </c>
      <c r="AQ424" s="18">
        <v>1.298</v>
      </c>
      <c r="AR424" s="18">
        <v>16.984000000000002</v>
      </c>
      <c r="AS424" s="18">
        <v>0</v>
      </c>
      <c r="AT424" s="18">
        <v>0</v>
      </c>
      <c r="AU424" s="18">
        <v>0</v>
      </c>
      <c r="AV424" s="18">
        <v>0</v>
      </c>
      <c r="AW424" s="18">
        <v>0</v>
      </c>
      <c r="AX424" s="18">
        <v>0</v>
      </c>
      <c r="AY424" s="18">
        <v>0</v>
      </c>
      <c r="AZ424" s="18">
        <v>2.5329999999999999</v>
      </c>
      <c r="BA424" s="18">
        <v>0</v>
      </c>
      <c r="BB424" s="18">
        <v>0</v>
      </c>
      <c r="BC424" s="18">
        <v>0</v>
      </c>
      <c r="BD424" s="18">
        <v>0</v>
      </c>
      <c r="BE424" s="25">
        <v>0</v>
      </c>
      <c r="BF424" s="18">
        <v>0</v>
      </c>
      <c r="BG424" s="18">
        <v>0</v>
      </c>
      <c r="BH424" s="18">
        <v>0</v>
      </c>
      <c r="BI424" s="18">
        <v>0</v>
      </c>
      <c r="BJ424" s="113">
        <v>0</v>
      </c>
      <c r="BK424" s="113">
        <v>0</v>
      </c>
      <c r="BL424" s="113">
        <v>0</v>
      </c>
      <c r="BM424" s="113">
        <v>0</v>
      </c>
      <c r="BN424" s="113">
        <v>0</v>
      </c>
      <c r="BO424" s="113">
        <v>0</v>
      </c>
      <c r="BP424" s="113">
        <v>0</v>
      </c>
      <c r="BQ424" s="113">
        <v>0</v>
      </c>
      <c r="BR424" s="101"/>
      <c r="BS424">
        <f t="shared" si="853"/>
        <v>0</v>
      </c>
      <c r="BT424">
        <f t="shared" si="853"/>
        <v>0</v>
      </c>
      <c r="BU424">
        <f t="shared" si="853"/>
        <v>0</v>
      </c>
      <c r="BV424">
        <f t="shared" si="853"/>
        <v>0</v>
      </c>
      <c r="BW424">
        <f t="shared" si="853"/>
        <v>0</v>
      </c>
      <c r="BX424">
        <f t="shared" si="853"/>
        <v>0</v>
      </c>
      <c r="BY424">
        <f t="shared" si="853"/>
        <v>0</v>
      </c>
      <c r="BZ424">
        <f t="shared" si="853"/>
        <v>0</v>
      </c>
      <c r="CA424">
        <f t="shared" si="853"/>
        <v>0</v>
      </c>
      <c r="CB424">
        <f t="shared" si="853"/>
        <v>0</v>
      </c>
      <c r="CC424">
        <f t="shared" si="854"/>
        <v>0</v>
      </c>
      <c r="CD424">
        <f t="shared" si="854"/>
        <v>0</v>
      </c>
      <c r="CE424">
        <f t="shared" si="854"/>
        <v>0</v>
      </c>
      <c r="CF424">
        <f t="shared" si="854"/>
        <v>0</v>
      </c>
      <c r="CG424">
        <f t="shared" si="854"/>
        <v>0</v>
      </c>
      <c r="CH424">
        <f t="shared" si="854"/>
        <v>0</v>
      </c>
      <c r="CI424">
        <f t="shared" si="854"/>
        <v>0</v>
      </c>
      <c r="CJ424">
        <f t="shared" si="854"/>
        <v>0</v>
      </c>
      <c r="CK424">
        <f t="shared" si="854"/>
        <v>0</v>
      </c>
      <c r="CL424">
        <f t="shared" si="854"/>
        <v>0</v>
      </c>
      <c r="CM424">
        <f t="shared" si="855"/>
        <v>0</v>
      </c>
      <c r="CN424">
        <f t="shared" si="855"/>
        <v>0</v>
      </c>
      <c r="CO424">
        <f t="shared" si="855"/>
        <v>0</v>
      </c>
      <c r="CP424">
        <f t="shared" si="855"/>
        <v>0</v>
      </c>
      <c r="CQ424">
        <f t="shared" si="855"/>
        <v>0</v>
      </c>
      <c r="CR424">
        <f t="shared" si="855"/>
        <v>0</v>
      </c>
      <c r="CS424">
        <f t="shared" si="855"/>
        <v>0</v>
      </c>
      <c r="CT424">
        <f t="shared" si="855"/>
        <v>0</v>
      </c>
      <c r="CU424">
        <f t="shared" si="855"/>
        <v>0</v>
      </c>
      <c r="CV424">
        <f t="shared" si="855"/>
        <v>0</v>
      </c>
      <c r="CW424">
        <f t="shared" si="856"/>
        <v>0</v>
      </c>
      <c r="CX424">
        <f t="shared" si="856"/>
        <v>0</v>
      </c>
      <c r="CY424">
        <f t="shared" si="856"/>
        <v>0</v>
      </c>
      <c r="CZ424">
        <f t="shared" si="856"/>
        <v>0</v>
      </c>
      <c r="DA424">
        <f t="shared" si="856"/>
        <v>0</v>
      </c>
      <c r="DB424">
        <f t="shared" si="856"/>
        <v>0</v>
      </c>
      <c r="DC424">
        <f t="shared" si="856"/>
        <v>0</v>
      </c>
      <c r="DD424">
        <f t="shared" si="856"/>
        <v>0</v>
      </c>
      <c r="DE424">
        <f t="shared" si="856"/>
        <v>0</v>
      </c>
      <c r="DF424">
        <f t="shared" si="856"/>
        <v>0</v>
      </c>
      <c r="DG424">
        <f t="shared" si="857"/>
        <v>0</v>
      </c>
      <c r="DH424">
        <f t="shared" si="857"/>
        <v>0</v>
      </c>
      <c r="DI424">
        <f t="shared" si="857"/>
        <v>0</v>
      </c>
      <c r="DJ424">
        <f t="shared" si="857"/>
        <v>0</v>
      </c>
      <c r="DK424">
        <f t="shared" si="857"/>
        <v>0</v>
      </c>
      <c r="DL424">
        <f t="shared" si="857"/>
        <v>0</v>
      </c>
      <c r="DM424">
        <f t="shared" si="857"/>
        <v>0</v>
      </c>
      <c r="DN424">
        <f t="shared" si="857"/>
        <v>0</v>
      </c>
      <c r="DO424">
        <f t="shared" si="857"/>
        <v>0</v>
      </c>
      <c r="DP424">
        <f t="shared" si="857"/>
        <v>0</v>
      </c>
      <c r="DQ424">
        <f t="shared" si="858"/>
        <v>0</v>
      </c>
      <c r="DR424">
        <f t="shared" si="858"/>
        <v>0</v>
      </c>
      <c r="DS424">
        <f t="shared" si="858"/>
        <v>0</v>
      </c>
      <c r="DT424">
        <f t="shared" si="858"/>
        <v>0</v>
      </c>
      <c r="DU424">
        <f t="shared" si="858"/>
        <v>0</v>
      </c>
      <c r="DV424">
        <f t="shared" si="858"/>
        <v>0</v>
      </c>
      <c r="DW424">
        <f t="shared" si="858"/>
        <v>0</v>
      </c>
      <c r="DX424">
        <f t="shared" si="858"/>
        <v>0</v>
      </c>
      <c r="DY424">
        <f t="shared" si="858"/>
        <v>0</v>
      </c>
      <c r="DZ424">
        <f t="shared" si="858"/>
        <v>0</v>
      </c>
      <c r="EA424">
        <f t="shared" si="859"/>
        <v>0</v>
      </c>
      <c r="EB424">
        <f t="shared" si="859"/>
        <v>0</v>
      </c>
      <c r="EC424">
        <f t="shared" si="859"/>
        <v>0</v>
      </c>
      <c r="ED424">
        <f t="shared" si="859"/>
        <v>0</v>
      </c>
      <c r="EE424">
        <f t="shared" si="859"/>
        <v>0</v>
      </c>
      <c r="EF424">
        <f t="shared" si="859"/>
        <v>0</v>
      </c>
    </row>
    <row r="425" spans="1:136" ht="15.5">
      <c r="A425" s="90"/>
      <c r="B425" s="53" t="s">
        <v>18</v>
      </c>
      <c r="C425" s="95"/>
      <c r="D425" s="154">
        <v>0</v>
      </c>
      <c r="E425" s="154">
        <v>0</v>
      </c>
      <c r="F425" s="154">
        <v>0</v>
      </c>
      <c r="G425" s="154">
        <v>0</v>
      </c>
      <c r="H425" s="154">
        <v>0</v>
      </c>
      <c r="I425" s="154">
        <v>0</v>
      </c>
      <c r="J425" s="154">
        <v>0</v>
      </c>
      <c r="K425" s="154">
        <v>0</v>
      </c>
      <c r="L425" s="154">
        <v>0</v>
      </c>
      <c r="M425" s="154">
        <v>0</v>
      </c>
      <c r="N425" s="154">
        <v>0</v>
      </c>
      <c r="O425" s="154">
        <v>0</v>
      </c>
      <c r="P425" s="154">
        <v>0</v>
      </c>
      <c r="Q425" s="154">
        <v>0</v>
      </c>
      <c r="R425" s="154">
        <v>0</v>
      </c>
      <c r="S425" s="154">
        <v>0</v>
      </c>
      <c r="T425" s="154">
        <v>0</v>
      </c>
      <c r="U425" s="154">
        <v>0</v>
      </c>
      <c r="V425" s="154">
        <v>0</v>
      </c>
      <c r="W425" s="154">
        <v>0</v>
      </c>
      <c r="X425" s="154">
        <v>0</v>
      </c>
      <c r="Y425" s="154">
        <v>0</v>
      </c>
      <c r="Z425" s="154">
        <v>0</v>
      </c>
      <c r="AA425" s="154">
        <v>0</v>
      </c>
      <c r="AB425" s="154">
        <v>0</v>
      </c>
      <c r="AC425" s="154">
        <v>0</v>
      </c>
      <c r="AD425" s="154">
        <v>0</v>
      </c>
      <c r="AE425" s="154">
        <v>0</v>
      </c>
      <c r="AF425" s="154">
        <v>0</v>
      </c>
      <c r="AG425" s="154">
        <v>0</v>
      </c>
      <c r="AH425" s="154">
        <v>0</v>
      </c>
      <c r="AI425" s="154">
        <v>0</v>
      </c>
      <c r="AJ425" s="154">
        <v>0</v>
      </c>
      <c r="AK425" s="154">
        <v>0</v>
      </c>
      <c r="AL425" s="154">
        <v>0</v>
      </c>
      <c r="AM425" s="154">
        <v>0</v>
      </c>
      <c r="AN425" s="154">
        <v>0</v>
      </c>
      <c r="AO425" s="154">
        <v>0</v>
      </c>
      <c r="AP425" s="154">
        <v>0</v>
      </c>
      <c r="AQ425" s="154">
        <v>0</v>
      </c>
      <c r="AR425" s="154">
        <v>0</v>
      </c>
      <c r="AS425" s="154">
        <v>0</v>
      </c>
      <c r="AT425" s="154">
        <v>0</v>
      </c>
      <c r="AU425" s="154">
        <v>0</v>
      </c>
      <c r="AV425" s="154">
        <v>0</v>
      </c>
      <c r="AW425" s="154">
        <v>0</v>
      </c>
      <c r="AX425" s="154">
        <v>0</v>
      </c>
      <c r="AY425" s="154">
        <v>0</v>
      </c>
      <c r="AZ425" s="154">
        <v>0</v>
      </c>
      <c r="BA425" s="154">
        <v>0</v>
      </c>
      <c r="BB425" s="154">
        <v>0</v>
      </c>
      <c r="BC425" s="154">
        <v>0</v>
      </c>
      <c r="BD425" s="154">
        <v>0</v>
      </c>
      <c r="BE425" s="154">
        <v>0</v>
      </c>
      <c r="BF425" s="154">
        <v>0</v>
      </c>
      <c r="BG425" s="154">
        <v>0</v>
      </c>
      <c r="BH425" s="154">
        <v>0</v>
      </c>
      <c r="BI425" s="154">
        <v>0</v>
      </c>
      <c r="BJ425" s="154">
        <v>0</v>
      </c>
      <c r="BK425" s="154">
        <v>0</v>
      </c>
      <c r="BL425" s="154">
        <v>0</v>
      </c>
      <c r="BM425" s="154">
        <v>0</v>
      </c>
      <c r="BN425" s="154">
        <v>0</v>
      </c>
      <c r="BO425" s="113">
        <v>0</v>
      </c>
      <c r="BP425" s="113">
        <v>0</v>
      </c>
      <c r="BQ425" s="113">
        <v>0</v>
      </c>
      <c r="BR425" s="101"/>
      <c r="BS425">
        <f t="shared" si="853"/>
        <v>0</v>
      </c>
      <c r="BT425">
        <f t="shared" si="853"/>
        <v>0</v>
      </c>
      <c r="BU425">
        <f t="shared" si="853"/>
        <v>0</v>
      </c>
      <c r="BV425">
        <f t="shared" si="853"/>
        <v>0</v>
      </c>
      <c r="BW425">
        <f t="shared" si="853"/>
        <v>0</v>
      </c>
      <c r="BX425">
        <f t="shared" si="853"/>
        <v>0</v>
      </c>
      <c r="BY425">
        <f t="shared" si="853"/>
        <v>0</v>
      </c>
      <c r="BZ425">
        <f t="shared" si="853"/>
        <v>0</v>
      </c>
      <c r="CA425">
        <f t="shared" si="853"/>
        <v>0</v>
      </c>
      <c r="CB425">
        <f t="shared" si="853"/>
        <v>0</v>
      </c>
      <c r="CC425">
        <f t="shared" si="854"/>
        <v>0</v>
      </c>
      <c r="CD425">
        <f t="shared" si="854"/>
        <v>0</v>
      </c>
      <c r="CE425">
        <f t="shared" si="854"/>
        <v>0</v>
      </c>
      <c r="CF425">
        <f t="shared" si="854"/>
        <v>0</v>
      </c>
      <c r="CG425">
        <f t="shared" si="854"/>
        <v>0</v>
      </c>
      <c r="CH425">
        <f t="shared" si="854"/>
        <v>0</v>
      </c>
      <c r="CI425">
        <f t="shared" si="854"/>
        <v>0</v>
      </c>
      <c r="CJ425">
        <f t="shared" si="854"/>
        <v>0</v>
      </c>
      <c r="CK425">
        <f t="shared" si="854"/>
        <v>0</v>
      </c>
      <c r="CL425">
        <f t="shared" si="854"/>
        <v>0</v>
      </c>
      <c r="CM425">
        <f t="shared" si="855"/>
        <v>0</v>
      </c>
      <c r="CN425">
        <f t="shared" si="855"/>
        <v>0</v>
      </c>
      <c r="CO425">
        <f t="shared" si="855"/>
        <v>0</v>
      </c>
      <c r="CP425">
        <f t="shared" si="855"/>
        <v>0</v>
      </c>
      <c r="CQ425">
        <f t="shared" si="855"/>
        <v>0</v>
      </c>
      <c r="CR425">
        <f t="shared" si="855"/>
        <v>0</v>
      </c>
      <c r="CS425">
        <f t="shared" si="855"/>
        <v>0</v>
      </c>
      <c r="CT425">
        <f t="shared" si="855"/>
        <v>0</v>
      </c>
      <c r="CU425">
        <f t="shared" si="855"/>
        <v>0</v>
      </c>
      <c r="CV425">
        <f t="shared" si="855"/>
        <v>0</v>
      </c>
      <c r="CW425">
        <f t="shared" si="856"/>
        <v>0</v>
      </c>
      <c r="CX425">
        <f t="shared" si="856"/>
        <v>0</v>
      </c>
      <c r="CY425">
        <f t="shared" si="856"/>
        <v>0</v>
      </c>
      <c r="CZ425">
        <f t="shared" si="856"/>
        <v>0</v>
      </c>
      <c r="DA425">
        <f t="shared" si="856"/>
        <v>0</v>
      </c>
      <c r="DB425">
        <f t="shared" si="856"/>
        <v>0</v>
      </c>
      <c r="DC425">
        <f t="shared" si="856"/>
        <v>0</v>
      </c>
      <c r="DD425">
        <f t="shared" si="856"/>
        <v>0</v>
      </c>
      <c r="DE425">
        <f t="shared" si="856"/>
        <v>0</v>
      </c>
      <c r="DF425">
        <f t="shared" si="856"/>
        <v>0</v>
      </c>
      <c r="DG425">
        <f t="shared" si="857"/>
        <v>0</v>
      </c>
      <c r="DH425">
        <f t="shared" si="857"/>
        <v>0</v>
      </c>
      <c r="DI425">
        <f t="shared" si="857"/>
        <v>0</v>
      </c>
      <c r="DJ425">
        <f t="shared" si="857"/>
        <v>0</v>
      </c>
      <c r="DK425">
        <f t="shared" si="857"/>
        <v>0</v>
      </c>
      <c r="DL425">
        <f t="shared" si="857"/>
        <v>0</v>
      </c>
      <c r="DM425">
        <f t="shared" si="857"/>
        <v>0</v>
      </c>
      <c r="DN425">
        <f t="shared" si="857"/>
        <v>0</v>
      </c>
      <c r="DO425">
        <f t="shared" si="857"/>
        <v>0</v>
      </c>
      <c r="DP425">
        <f t="shared" si="857"/>
        <v>0</v>
      </c>
      <c r="DQ425">
        <f t="shared" si="858"/>
        <v>0</v>
      </c>
      <c r="DR425">
        <f t="shared" si="858"/>
        <v>0</v>
      </c>
      <c r="DS425">
        <f t="shared" si="858"/>
        <v>0</v>
      </c>
      <c r="DT425">
        <f t="shared" si="858"/>
        <v>0</v>
      </c>
      <c r="DU425">
        <f t="shared" si="858"/>
        <v>0</v>
      </c>
      <c r="DV425">
        <f t="shared" si="858"/>
        <v>0</v>
      </c>
      <c r="DW425">
        <f t="shared" si="858"/>
        <v>0</v>
      </c>
      <c r="DX425">
        <f t="shared" si="858"/>
        <v>0</v>
      </c>
      <c r="DY425">
        <f t="shared" si="858"/>
        <v>0</v>
      </c>
      <c r="DZ425">
        <f t="shared" si="858"/>
        <v>0</v>
      </c>
      <c r="EA425">
        <f t="shared" ref="EA425:EF425" si="860">IF($C425&lt;&gt;"",IF(BL425&gt;0,1,0),0)</f>
        <v>0</v>
      </c>
      <c r="EB425">
        <f t="shared" si="860"/>
        <v>0</v>
      </c>
      <c r="EC425">
        <f t="shared" si="860"/>
        <v>0</v>
      </c>
      <c r="ED425">
        <f t="shared" si="860"/>
        <v>0</v>
      </c>
      <c r="EE425">
        <f t="shared" si="860"/>
        <v>0</v>
      </c>
      <c r="EF425">
        <f t="shared" si="860"/>
        <v>0</v>
      </c>
    </row>
    <row r="426" spans="1:136" ht="15.5">
      <c r="A426" s="90"/>
      <c r="B426" s="53" t="s">
        <v>25</v>
      </c>
      <c r="C426" s="95"/>
      <c r="D426" s="18">
        <v>0</v>
      </c>
      <c r="E426" s="18">
        <v>0</v>
      </c>
      <c r="F426" s="18">
        <v>0</v>
      </c>
      <c r="G426" s="18">
        <v>0</v>
      </c>
      <c r="H426" s="18">
        <v>0</v>
      </c>
      <c r="I426" s="18">
        <v>0</v>
      </c>
      <c r="J426" s="18">
        <v>0</v>
      </c>
      <c r="K426" s="18">
        <v>0</v>
      </c>
      <c r="L426" s="18">
        <v>0</v>
      </c>
      <c r="M426" s="18">
        <v>0</v>
      </c>
      <c r="N426" s="18">
        <v>0</v>
      </c>
      <c r="O426" s="18">
        <v>0</v>
      </c>
      <c r="P426" s="18">
        <v>0</v>
      </c>
      <c r="Q426" s="18">
        <v>0</v>
      </c>
      <c r="R426" s="18">
        <v>0</v>
      </c>
      <c r="S426" s="18">
        <v>0</v>
      </c>
      <c r="T426" s="18">
        <v>0</v>
      </c>
      <c r="U426" s="18">
        <v>0</v>
      </c>
      <c r="V426" s="18">
        <v>0</v>
      </c>
      <c r="W426" s="18">
        <v>0</v>
      </c>
      <c r="X426" s="18">
        <v>0</v>
      </c>
      <c r="Y426" s="18">
        <v>604.4</v>
      </c>
      <c r="Z426" s="18">
        <v>568.79999999999995</v>
      </c>
      <c r="AA426" s="18">
        <v>533.20000000000005</v>
      </c>
      <c r="AB426" s="18">
        <v>497.6</v>
      </c>
      <c r="AC426" s="18">
        <v>462</v>
      </c>
      <c r="AD426" s="18">
        <v>213.2</v>
      </c>
      <c r="AE426" s="18">
        <v>195.4</v>
      </c>
      <c r="AF426" s="18">
        <v>177.6</v>
      </c>
      <c r="AG426" s="18">
        <v>159.80000000000001</v>
      </c>
      <c r="AH426" s="18">
        <v>100</v>
      </c>
      <c r="AI426" s="18">
        <v>87.65432098765433</v>
      </c>
      <c r="AJ426" s="18">
        <v>67.391304347826093</v>
      </c>
      <c r="AK426" s="18">
        <v>60.919540229885065</v>
      </c>
      <c r="AL426" s="18">
        <v>49.999999999999993</v>
      </c>
      <c r="AM426" s="18">
        <v>39.772727272727266</v>
      </c>
      <c r="AN426" s="18">
        <v>40.229885057471265</v>
      </c>
      <c r="AO426" s="18">
        <v>0</v>
      </c>
      <c r="AP426" s="18">
        <v>0</v>
      </c>
      <c r="AQ426" s="18">
        <v>0</v>
      </c>
      <c r="AR426" s="18">
        <v>0</v>
      </c>
      <c r="AS426" s="18">
        <v>0</v>
      </c>
      <c r="AT426" s="18">
        <v>0</v>
      </c>
      <c r="AU426" s="18">
        <v>0</v>
      </c>
      <c r="AV426" s="18">
        <v>0</v>
      </c>
      <c r="AW426" s="18">
        <v>0</v>
      </c>
      <c r="AX426" s="18">
        <v>0</v>
      </c>
      <c r="AY426" s="18">
        <v>0</v>
      </c>
      <c r="AZ426" s="18">
        <v>0</v>
      </c>
      <c r="BA426" s="18">
        <v>0</v>
      </c>
      <c r="BB426" s="18">
        <v>0</v>
      </c>
      <c r="BC426" s="18">
        <v>0</v>
      </c>
      <c r="BD426" s="18">
        <v>0</v>
      </c>
      <c r="BE426" s="25">
        <v>0</v>
      </c>
      <c r="BF426" s="18">
        <v>0</v>
      </c>
      <c r="BG426" s="18">
        <v>0</v>
      </c>
      <c r="BH426" s="18">
        <v>0</v>
      </c>
      <c r="BI426" s="113">
        <v>6033</v>
      </c>
      <c r="BJ426" s="113">
        <v>0</v>
      </c>
      <c r="BK426" s="113">
        <v>0</v>
      </c>
      <c r="BL426" s="113">
        <v>0</v>
      </c>
      <c r="BM426" s="113">
        <v>0</v>
      </c>
      <c r="BN426" s="34">
        <v>648</v>
      </c>
      <c r="BO426" s="113">
        <v>1450</v>
      </c>
      <c r="BP426" s="113">
        <v>0</v>
      </c>
      <c r="BQ426" s="113">
        <v>0</v>
      </c>
      <c r="BR426" s="101"/>
      <c r="BS426">
        <f t="shared" si="853"/>
        <v>0</v>
      </c>
      <c r="BT426">
        <f t="shared" si="853"/>
        <v>0</v>
      </c>
      <c r="BU426">
        <f t="shared" si="853"/>
        <v>0</v>
      </c>
      <c r="BV426">
        <f t="shared" si="853"/>
        <v>0</v>
      </c>
      <c r="BW426">
        <f t="shared" si="853"/>
        <v>0</v>
      </c>
      <c r="BX426">
        <f t="shared" si="853"/>
        <v>0</v>
      </c>
      <c r="BY426">
        <f t="shared" si="853"/>
        <v>0</v>
      </c>
      <c r="BZ426">
        <f t="shared" si="853"/>
        <v>0</v>
      </c>
      <c r="CA426">
        <f t="shared" si="853"/>
        <v>0</v>
      </c>
      <c r="CB426">
        <f t="shared" si="853"/>
        <v>0</v>
      </c>
      <c r="CC426">
        <f t="shared" si="854"/>
        <v>0</v>
      </c>
      <c r="CD426">
        <f t="shared" si="854"/>
        <v>0</v>
      </c>
      <c r="CE426">
        <f t="shared" si="854"/>
        <v>0</v>
      </c>
      <c r="CF426">
        <f t="shared" si="854"/>
        <v>0</v>
      </c>
      <c r="CG426">
        <f t="shared" si="854"/>
        <v>0</v>
      </c>
      <c r="CH426">
        <f t="shared" si="854"/>
        <v>0</v>
      </c>
      <c r="CI426">
        <f t="shared" si="854"/>
        <v>0</v>
      </c>
      <c r="CJ426">
        <f t="shared" si="854"/>
        <v>0</v>
      </c>
      <c r="CK426">
        <f t="shared" si="854"/>
        <v>0</v>
      </c>
      <c r="CL426">
        <f t="shared" si="854"/>
        <v>0</v>
      </c>
      <c r="CM426">
        <f t="shared" si="855"/>
        <v>0</v>
      </c>
      <c r="CN426">
        <f t="shared" si="855"/>
        <v>0</v>
      </c>
      <c r="CO426">
        <f t="shared" si="855"/>
        <v>0</v>
      </c>
      <c r="CP426">
        <f t="shared" si="855"/>
        <v>0</v>
      </c>
      <c r="CQ426">
        <f t="shared" si="855"/>
        <v>0</v>
      </c>
      <c r="CR426">
        <f t="shared" si="855"/>
        <v>0</v>
      </c>
      <c r="CS426">
        <f t="shared" si="855"/>
        <v>0</v>
      </c>
      <c r="CT426">
        <f t="shared" si="855"/>
        <v>0</v>
      </c>
      <c r="CU426">
        <f t="shared" si="855"/>
        <v>0</v>
      </c>
      <c r="CV426">
        <f t="shared" si="855"/>
        <v>0</v>
      </c>
      <c r="CW426">
        <f t="shared" si="856"/>
        <v>0</v>
      </c>
      <c r="CX426">
        <f t="shared" si="856"/>
        <v>0</v>
      </c>
      <c r="CY426">
        <f t="shared" si="856"/>
        <v>0</v>
      </c>
      <c r="CZ426">
        <f t="shared" si="856"/>
        <v>0</v>
      </c>
      <c r="DA426">
        <f t="shared" si="856"/>
        <v>0</v>
      </c>
      <c r="DB426">
        <f t="shared" si="856"/>
        <v>0</v>
      </c>
      <c r="DC426">
        <f t="shared" si="856"/>
        <v>0</v>
      </c>
      <c r="DD426">
        <f t="shared" si="856"/>
        <v>0</v>
      </c>
      <c r="DE426">
        <f t="shared" si="856"/>
        <v>0</v>
      </c>
      <c r="DF426">
        <f t="shared" si="856"/>
        <v>0</v>
      </c>
      <c r="DG426">
        <f t="shared" si="857"/>
        <v>0</v>
      </c>
      <c r="DH426">
        <f t="shared" si="857"/>
        <v>0</v>
      </c>
      <c r="DI426">
        <f t="shared" si="857"/>
        <v>0</v>
      </c>
      <c r="DJ426">
        <f t="shared" si="857"/>
        <v>0</v>
      </c>
      <c r="DK426">
        <f t="shared" si="857"/>
        <v>0</v>
      </c>
      <c r="DL426">
        <f t="shared" si="857"/>
        <v>0</v>
      </c>
      <c r="DM426">
        <f t="shared" si="857"/>
        <v>0</v>
      </c>
      <c r="DN426">
        <f t="shared" si="857"/>
        <v>0</v>
      </c>
      <c r="DO426">
        <f t="shared" si="857"/>
        <v>0</v>
      </c>
      <c r="DP426">
        <f t="shared" si="857"/>
        <v>0</v>
      </c>
      <c r="DQ426">
        <f t="shared" si="858"/>
        <v>0</v>
      </c>
      <c r="DR426">
        <f t="shared" si="858"/>
        <v>0</v>
      </c>
      <c r="DS426">
        <f t="shared" si="858"/>
        <v>0</v>
      </c>
      <c r="DT426">
        <f t="shared" si="858"/>
        <v>0</v>
      </c>
      <c r="DU426">
        <f t="shared" si="858"/>
        <v>0</v>
      </c>
      <c r="DV426">
        <f t="shared" si="858"/>
        <v>0</v>
      </c>
      <c r="DW426">
        <f t="shared" si="858"/>
        <v>0</v>
      </c>
      <c r="DX426">
        <f t="shared" si="858"/>
        <v>0</v>
      </c>
      <c r="DY426">
        <f t="shared" si="858"/>
        <v>0</v>
      </c>
      <c r="DZ426">
        <f t="shared" si="858"/>
        <v>0</v>
      </c>
      <c r="EA426">
        <f t="shared" ref="EA426:EF426" si="861">IF($C426&lt;&gt;"",IF(BL424&gt;0,1,0),0)</f>
        <v>0</v>
      </c>
      <c r="EB426">
        <f t="shared" si="861"/>
        <v>0</v>
      </c>
      <c r="EC426">
        <f t="shared" si="861"/>
        <v>0</v>
      </c>
      <c r="ED426">
        <f t="shared" si="861"/>
        <v>0</v>
      </c>
      <c r="EE426">
        <f t="shared" si="861"/>
        <v>0</v>
      </c>
      <c r="EF426">
        <f t="shared" si="861"/>
        <v>0</v>
      </c>
    </row>
    <row r="427" spans="1:136" ht="15.5">
      <c r="A427" s="90"/>
      <c r="B427" s="19" t="s">
        <v>208</v>
      </c>
      <c r="C427" s="95"/>
      <c r="D427" s="18">
        <v>0</v>
      </c>
      <c r="E427" s="18">
        <v>0</v>
      </c>
      <c r="F427" s="18">
        <v>0</v>
      </c>
      <c r="G427" s="18">
        <v>0</v>
      </c>
      <c r="H427" s="18">
        <v>0</v>
      </c>
      <c r="I427" s="18">
        <v>0</v>
      </c>
      <c r="J427" s="18">
        <v>0</v>
      </c>
      <c r="K427" s="18">
        <v>0</v>
      </c>
      <c r="L427" s="18">
        <v>0</v>
      </c>
      <c r="M427" s="18">
        <v>0</v>
      </c>
      <c r="N427" s="18">
        <v>0</v>
      </c>
      <c r="O427" s="18">
        <v>0</v>
      </c>
      <c r="P427" s="18">
        <v>0</v>
      </c>
      <c r="Q427" s="18">
        <v>0</v>
      </c>
      <c r="R427" s="18">
        <v>0</v>
      </c>
      <c r="S427" s="18">
        <v>0</v>
      </c>
      <c r="T427" s="18">
        <v>0</v>
      </c>
      <c r="U427" s="18">
        <v>0</v>
      </c>
      <c r="V427" s="18">
        <v>0</v>
      </c>
      <c r="W427" s="18">
        <v>0</v>
      </c>
      <c r="X427" s="18">
        <v>0</v>
      </c>
      <c r="Y427" s="18">
        <v>0</v>
      </c>
      <c r="Z427" s="18">
        <v>0.109</v>
      </c>
      <c r="AA427" s="18">
        <v>0.20799999999999999</v>
      </c>
      <c r="AB427" s="18">
        <v>44.335999999999999</v>
      </c>
      <c r="AC427" s="18">
        <v>1.865</v>
      </c>
      <c r="AD427" s="18">
        <v>2.0150000000000001</v>
      </c>
      <c r="AE427" s="18">
        <v>1.6400000000000001</v>
      </c>
      <c r="AF427" s="18">
        <v>0.91700000000000004</v>
      </c>
      <c r="AG427" s="18">
        <v>5.6289999999999996</v>
      </c>
      <c r="AH427" s="18">
        <v>8.25</v>
      </c>
      <c r="AI427" s="18">
        <v>6.6529999999999996</v>
      </c>
      <c r="AJ427" s="18">
        <v>3.8410000000000002</v>
      </c>
      <c r="AK427" s="18">
        <v>2.8739999999999997</v>
      </c>
      <c r="AL427" s="18">
        <v>4.6139999999999999</v>
      </c>
      <c r="AM427" s="18">
        <v>6.55</v>
      </c>
      <c r="AN427" s="18">
        <v>7.5250000000000004</v>
      </c>
      <c r="AO427" s="18">
        <v>1.121</v>
      </c>
      <c r="AP427" s="18">
        <v>0.44800000000000001</v>
      </c>
      <c r="AQ427" s="18">
        <v>0.17799999999999999</v>
      </c>
      <c r="AR427" s="18">
        <v>1.4999999999999999E-2</v>
      </c>
      <c r="AS427" s="18">
        <v>0</v>
      </c>
      <c r="AT427" s="18">
        <v>0</v>
      </c>
      <c r="AU427" s="18">
        <v>0</v>
      </c>
      <c r="AV427" s="18">
        <v>0</v>
      </c>
      <c r="AW427" s="18">
        <v>0</v>
      </c>
      <c r="AX427" s="18">
        <v>0</v>
      </c>
      <c r="AY427" s="18">
        <v>0</v>
      </c>
      <c r="AZ427" s="18">
        <v>0</v>
      </c>
      <c r="BA427" s="18">
        <v>0</v>
      </c>
      <c r="BB427" s="18">
        <v>0</v>
      </c>
      <c r="BC427" s="18">
        <v>0</v>
      </c>
      <c r="BD427" s="18">
        <v>0</v>
      </c>
      <c r="BE427" s="25">
        <v>0</v>
      </c>
      <c r="BF427" s="18">
        <v>0</v>
      </c>
      <c r="BG427" s="18">
        <v>0</v>
      </c>
      <c r="BH427" s="18">
        <v>0</v>
      </c>
      <c r="BI427" s="18">
        <v>0</v>
      </c>
      <c r="BJ427" s="113">
        <v>0</v>
      </c>
      <c r="BK427" s="113">
        <v>0</v>
      </c>
      <c r="BL427" s="113">
        <v>0</v>
      </c>
      <c r="BM427" s="113">
        <v>0</v>
      </c>
      <c r="BN427" s="113">
        <v>0</v>
      </c>
      <c r="BO427" s="113">
        <v>0</v>
      </c>
      <c r="BP427" s="113">
        <v>0</v>
      </c>
      <c r="BQ427" s="113">
        <v>0</v>
      </c>
      <c r="BR427" s="101"/>
      <c r="BS427">
        <f t="shared" si="853"/>
        <v>0</v>
      </c>
      <c r="BT427">
        <f t="shared" si="853"/>
        <v>0</v>
      </c>
      <c r="BU427">
        <f t="shared" si="853"/>
        <v>0</v>
      </c>
      <c r="BV427">
        <f t="shared" si="853"/>
        <v>0</v>
      </c>
      <c r="BW427">
        <f t="shared" si="853"/>
        <v>0</v>
      </c>
      <c r="BX427">
        <f t="shared" si="853"/>
        <v>0</v>
      </c>
      <c r="BY427">
        <f t="shared" si="853"/>
        <v>0</v>
      </c>
      <c r="BZ427">
        <f t="shared" si="853"/>
        <v>0</v>
      </c>
      <c r="CA427">
        <f t="shared" si="853"/>
        <v>0</v>
      </c>
      <c r="CB427">
        <f t="shared" si="853"/>
        <v>0</v>
      </c>
      <c r="CC427">
        <f t="shared" si="854"/>
        <v>0</v>
      </c>
      <c r="CD427">
        <f t="shared" si="854"/>
        <v>0</v>
      </c>
      <c r="CE427">
        <f t="shared" si="854"/>
        <v>0</v>
      </c>
      <c r="CF427">
        <f t="shared" si="854"/>
        <v>0</v>
      </c>
      <c r="CG427">
        <f t="shared" si="854"/>
        <v>0</v>
      </c>
      <c r="CH427">
        <f t="shared" si="854"/>
        <v>0</v>
      </c>
      <c r="CI427">
        <f t="shared" si="854"/>
        <v>0</v>
      </c>
      <c r="CJ427">
        <f t="shared" si="854"/>
        <v>0</v>
      </c>
      <c r="CK427">
        <f t="shared" si="854"/>
        <v>0</v>
      </c>
      <c r="CL427">
        <f t="shared" si="854"/>
        <v>0</v>
      </c>
      <c r="CM427">
        <f t="shared" si="855"/>
        <v>0</v>
      </c>
      <c r="CN427">
        <f t="shared" si="855"/>
        <v>0</v>
      </c>
      <c r="CO427">
        <f t="shared" si="855"/>
        <v>0</v>
      </c>
      <c r="CP427">
        <f t="shared" si="855"/>
        <v>0</v>
      </c>
      <c r="CQ427">
        <f t="shared" si="855"/>
        <v>0</v>
      </c>
      <c r="CR427">
        <f t="shared" si="855"/>
        <v>0</v>
      </c>
      <c r="CS427">
        <f t="shared" si="855"/>
        <v>0</v>
      </c>
      <c r="CT427">
        <f t="shared" si="855"/>
        <v>0</v>
      </c>
      <c r="CU427">
        <f t="shared" si="855"/>
        <v>0</v>
      </c>
      <c r="CV427">
        <f t="shared" si="855"/>
        <v>0</v>
      </c>
      <c r="CW427">
        <f t="shared" si="856"/>
        <v>0</v>
      </c>
      <c r="CX427">
        <f t="shared" si="856"/>
        <v>0</v>
      </c>
      <c r="CY427">
        <f t="shared" si="856"/>
        <v>0</v>
      </c>
      <c r="CZ427">
        <f t="shared" si="856"/>
        <v>0</v>
      </c>
      <c r="DA427">
        <f t="shared" si="856"/>
        <v>0</v>
      </c>
      <c r="DB427">
        <f t="shared" si="856"/>
        <v>0</v>
      </c>
      <c r="DC427">
        <f t="shared" si="856"/>
        <v>0</v>
      </c>
      <c r="DD427">
        <f t="shared" si="856"/>
        <v>0</v>
      </c>
      <c r="DE427">
        <f t="shared" si="856"/>
        <v>0</v>
      </c>
      <c r="DF427">
        <f t="shared" si="856"/>
        <v>0</v>
      </c>
      <c r="DG427">
        <f t="shared" si="857"/>
        <v>0</v>
      </c>
      <c r="DH427">
        <f t="shared" si="857"/>
        <v>0</v>
      </c>
      <c r="DI427">
        <f t="shared" si="857"/>
        <v>0</v>
      </c>
      <c r="DJ427">
        <f t="shared" si="857"/>
        <v>0</v>
      </c>
      <c r="DK427">
        <f t="shared" si="857"/>
        <v>0</v>
      </c>
      <c r="DL427">
        <f t="shared" si="857"/>
        <v>0</v>
      </c>
      <c r="DM427">
        <f t="shared" si="857"/>
        <v>0</v>
      </c>
      <c r="DN427">
        <f t="shared" si="857"/>
        <v>0</v>
      </c>
      <c r="DO427">
        <f t="shared" si="857"/>
        <v>0</v>
      </c>
      <c r="DP427">
        <f t="shared" si="857"/>
        <v>0</v>
      </c>
      <c r="DQ427">
        <f t="shared" si="858"/>
        <v>0</v>
      </c>
      <c r="DR427">
        <f t="shared" si="858"/>
        <v>0</v>
      </c>
      <c r="DS427">
        <f t="shared" si="858"/>
        <v>0</v>
      </c>
      <c r="DT427">
        <f t="shared" si="858"/>
        <v>0</v>
      </c>
      <c r="DU427">
        <f t="shared" si="858"/>
        <v>0</v>
      </c>
      <c r="DV427">
        <f t="shared" si="858"/>
        <v>0</v>
      </c>
      <c r="DW427">
        <f t="shared" si="858"/>
        <v>0</v>
      </c>
      <c r="DX427">
        <f t="shared" si="858"/>
        <v>0</v>
      </c>
      <c r="DY427">
        <f t="shared" si="858"/>
        <v>0</v>
      </c>
      <c r="DZ427">
        <f t="shared" si="858"/>
        <v>0</v>
      </c>
      <c r="EA427">
        <f t="shared" ref="EA427:EF427" si="862">IF($C427&lt;&gt;"",IF(BL426&gt;0,1,0),0)</f>
        <v>0</v>
      </c>
      <c r="EB427">
        <f t="shared" si="862"/>
        <v>0</v>
      </c>
      <c r="EC427">
        <f t="shared" si="862"/>
        <v>0</v>
      </c>
      <c r="ED427">
        <f t="shared" si="862"/>
        <v>0</v>
      </c>
      <c r="EE427">
        <f t="shared" si="862"/>
        <v>0</v>
      </c>
      <c r="EF427">
        <f t="shared" si="862"/>
        <v>0</v>
      </c>
    </row>
    <row r="428" spans="1:136" ht="15.5">
      <c r="A428" s="90"/>
      <c r="B428" s="19" t="s">
        <v>212</v>
      </c>
      <c r="C428" s="95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>
        <v>0</v>
      </c>
      <c r="AG428" s="18">
        <v>0</v>
      </c>
      <c r="AH428" s="18">
        <v>0</v>
      </c>
      <c r="AI428" s="18">
        <v>0</v>
      </c>
      <c r="AJ428" s="18">
        <v>0</v>
      </c>
      <c r="AK428" s="18">
        <v>0</v>
      </c>
      <c r="AL428" s="18">
        <v>0</v>
      </c>
      <c r="AM428" s="18">
        <v>0</v>
      </c>
      <c r="AN428" s="18">
        <v>0</v>
      </c>
      <c r="AO428" s="18">
        <v>0</v>
      </c>
      <c r="AP428" s="18">
        <v>0</v>
      </c>
      <c r="AQ428" s="18">
        <v>0</v>
      </c>
      <c r="AR428" s="18">
        <v>0</v>
      </c>
      <c r="AS428" s="18">
        <v>0</v>
      </c>
      <c r="AT428" s="18">
        <v>0</v>
      </c>
      <c r="AU428" s="18">
        <v>0</v>
      </c>
      <c r="AV428" s="18">
        <v>0</v>
      </c>
      <c r="AW428" s="18">
        <v>0</v>
      </c>
      <c r="AX428" s="18">
        <v>0</v>
      </c>
      <c r="AY428" s="18">
        <v>0</v>
      </c>
      <c r="AZ428" s="18">
        <v>0</v>
      </c>
      <c r="BA428" s="18">
        <v>0</v>
      </c>
      <c r="BB428" s="18">
        <v>0</v>
      </c>
      <c r="BC428" s="18">
        <v>0</v>
      </c>
      <c r="BD428" s="18">
        <v>0</v>
      </c>
      <c r="BE428" s="25">
        <v>250</v>
      </c>
      <c r="BF428" s="18">
        <v>50</v>
      </c>
      <c r="BG428" s="18">
        <v>0</v>
      </c>
      <c r="BH428" s="18">
        <v>0</v>
      </c>
      <c r="BI428" s="18">
        <v>0</v>
      </c>
      <c r="BJ428" s="113">
        <v>0</v>
      </c>
      <c r="BK428" s="113">
        <v>0</v>
      </c>
      <c r="BL428" s="113">
        <v>0</v>
      </c>
      <c r="BM428" s="113">
        <v>0</v>
      </c>
      <c r="BN428" s="113">
        <v>0</v>
      </c>
      <c r="BO428" s="113">
        <v>0</v>
      </c>
      <c r="BP428" s="113">
        <v>0</v>
      </c>
      <c r="BQ428" s="113">
        <v>0</v>
      </c>
      <c r="BR428" s="101"/>
      <c r="BS428">
        <f t="shared" si="853"/>
        <v>0</v>
      </c>
      <c r="BT428">
        <f t="shared" si="853"/>
        <v>0</v>
      </c>
      <c r="BU428">
        <f t="shared" si="853"/>
        <v>0</v>
      </c>
      <c r="BV428">
        <f t="shared" si="853"/>
        <v>0</v>
      </c>
      <c r="BW428">
        <f t="shared" si="853"/>
        <v>0</v>
      </c>
      <c r="BX428">
        <f t="shared" si="853"/>
        <v>0</v>
      </c>
      <c r="BY428">
        <f t="shared" si="853"/>
        <v>0</v>
      </c>
      <c r="BZ428">
        <f t="shared" si="853"/>
        <v>0</v>
      </c>
      <c r="CA428">
        <f t="shared" si="853"/>
        <v>0</v>
      </c>
      <c r="CB428">
        <f t="shared" si="853"/>
        <v>0</v>
      </c>
      <c r="CC428">
        <f t="shared" si="854"/>
        <v>0</v>
      </c>
      <c r="CD428">
        <f t="shared" si="854"/>
        <v>0</v>
      </c>
      <c r="CE428">
        <f t="shared" si="854"/>
        <v>0</v>
      </c>
      <c r="CF428">
        <f t="shared" si="854"/>
        <v>0</v>
      </c>
      <c r="CG428">
        <f t="shared" si="854"/>
        <v>0</v>
      </c>
      <c r="CH428">
        <f t="shared" si="854"/>
        <v>0</v>
      </c>
      <c r="CI428">
        <f t="shared" si="854"/>
        <v>0</v>
      </c>
      <c r="CJ428">
        <f t="shared" si="854"/>
        <v>0</v>
      </c>
      <c r="CK428">
        <f t="shared" si="854"/>
        <v>0</v>
      </c>
      <c r="CL428">
        <f t="shared" si="854"/>
        <v>0</v>
      </c>
      <c r="CM428">
        <f t="shared" si="855"/>
        <v>0</v>
      </c>
      <c r="CN428">
        <f t="shared" si="855"/>
        <v>0</v>
      </c>
      <c r="CO428">
        <f t="shared" si="855"/>
        <v>0</v>
      </c>
      <c r="CP428">
        <f t="shared" si="855"/>
        <v>0</v>
      </c>
      <c r="CQ428">
        <f t="shared" si="855"/>
        <v>0</v>
      </c>
      <c r="CR428">
        <f t="shared" si="855"/>
        <v>0</v>
      </c>
      <c r="CS428">
        <f t="shared" si="855"/>
        <v>0</v>
      </c>
      <c r="CT428">
        <f t="shared" si="855"/>
        <v>0</v>
      </c>
      <c r="CU428">
        <f t="shared" si="855"/>
        <v>0</v>
      </c>
      <c r="CV428">
        <f t="shared" si="855"/>
        <v>0</v>
      </c>
      <c r="CW428">
        <f t="shared" si="856"/>
        <v>0</v>
      </c>
      <c r="CX428">
        <f t="shared" si="856"/>
        <v>0</v>
      </c>
      <c r="CY428">
        <f t="shared" si="856"/>
        <v>0</v>
      </c>
      <c r="CZ428">
        <f t="shared" si="856"/>
        <v>0</v>
      </c>
      <c r="DA428">
        <f t="shared" si="856"/>
        <v>0</v>
      </c>
      <c r="DB428">
        <f t="shared" si="856"/>
        <v>0</v>
      </c>
      <c r="DC428">
        <f t="shared" si="856"/>
        <v>0</v>
      </c>
      <c r="DD428">
        <f t="shared" si="856"/>
        <v>0</v>
      </c>
      <c r="DE428">
        <f t="shared" si="856"/>
        <v>0</v>
      </c>
      <c r="DF428">
        <f t="shared" si="856"/>
        <v>0</v>
      </c>
      <c r="DG428">
        <f t="shared" si="857"/>
        <v>0</v>
      </c>
      <c r="DH428">
        <f t="shared" si="857"/>
        <v>0</v>
      </c>
      <c r="DI428">
        <f t="shared" si="857"/>
        <v>0</v>
      </c>
      <c r="DJ428">
        <f t="shared" si="857"/>
        <v>0</v>
      </c>
      <c r="DK428">
        <f t="shared" si="857"/>
        <v>0</v>
      </c>
      <c r="DL428">
        <f t="shared" si="857"/>
        <v>0</v>
      </c>
      <c r="DM428">
        <f t="shared" si="857"/>
        <v>0</v>
      </c>
      <c r="DN428">
        <f t="shared" si="857"/>
        <v>0</v>
      </c>
      <c r="DO428">
        <f t="shared" si="857"/>
        <v>0</v>
      </c>
      <c r="DP428">
        <f t="shared" si="857"/>
        <v>0</v>
      </c>
      <c r="DQ428">
        <f t="shared" si="858"/>
        <v>0</v>
      </c>
      <c r="DR428">
        <f t="shared" si="858"/>
        <v>0</v>
      </c>
      <c r="DS428">
        <f t="shared" si="858"/>
        <v>0</v>
      </c>
      <c r="DT428">
        <f t="shared" si="858"/>
        <v>0</v>
      </c>
      <c r="DU428">
        <f t="shared" si="858"/>
        <v>0</v>
      </c>
      <c r="DV428">
        <f t="shared" si="858"/>
        <v>0</v>
      </c>
      <c r="DW428">
        <f t="shared" si="858"/>
        <v>0</v>
      </c>
      <c r="DX428">
        <f t="shared" si="858"/>
        <v>0</v>
      </c>
      <c r="DY428">
        <f t="shared" si="858"/>
        <v>0</v>
      </c>
      <c r="DZ428">
        <f t="shared" si="858"/>
        <v>0</v>
      </c>
      <c r="EA428">
        <f t="shared" ref="EA428:EF428" si="863">IF($C428&lt;&gt;"",IF(BL428&gt;0,1,0),0)</f>
        <v>0</v>
      </c>
      <c r="EB428">
        <f t="shared" si="863"/>
        <v>0</v>
      </c>
      <c r="EC428">
        <f t="shared" si="863"/>
        <v>0</v>
      </c>
      <c r="ED428">
        <f t="shared" si="863"/>
        <v>0</v>
      </c>
      <c r="EE428">
        <f t="shared" si="863"/>
        <v>0</v>
      </c>
      <c r="EF428">
        <f t="shared" si="863"/>
        <v>0</v>
      </c>
    </row>
    <row r="429" spans="1:136" ht="15.5">
      <c r="A429" s="90"/>
      <c r="B429" s="53"/>
      <c r="C429" s="95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  <c r="AA429" s="64"/>
      <c r="AB429" s="64"/>
      <c r="AC429" s="64"/>
      <c r="AD429" s="64"/>
      <c r="AE429" s="64"/>
      <c r="AF429" s="64"/>
      <c r="AG429" s="64"/>
      <c r="AH429" s="64"/>
      <c r="AI429" s="64"/>
      <c r="AJ429" s="64"/>
      <c r="AK429" s="64"/>
      <c r="AL429" s="64"/>
      <c r="AM429" s="64"/>
      <c r="AN429" s="64"/>
      <c r="AO429" s="64"/>
      <c r="AP429" s="64"/>
      <c r="AQ429" s="64"/>
      <c r="AR429" s="64"/>
      <c r="AS429" s="64"/>
      <c r="AT429" s="64"/>
      <c r="AU429" s="64"/>
      <c r="AV429" s="64"/>
      <c r="AW429" s="64"/>
      <c r="AX429" s="64"/>
      <c r="AY429" s="64"/>
      <c r="AZ429" s="64"/>
      <c r="BA429" s="64"/>
      <c r="BB429" s="64"/>
      <c r="BC429" s="64"/>
      <c r="BD429" s="65"/>
      <c r="BE429" s="66"/>
      <c r="BF429" s="65"/>
      <c r="BG429" s="65"/>
      <c r="BH429" s="2"/>
      <c r="BI429" s="2"/>
      <c r="BJ429" s="2"/>
      <c r="BK429" s="2"/>
      <c r="BL429" s="39"/>
      <c r="BM429" s="2"/>
      <c r="BN429" s="2"/>
      <c r="BO429" s="2"/>
      <c r="BP429" s="2"/>
      <c r="BQ429" s="2"/>
      <c r="BR429" s="101"/>
    </row>
    <row r="430" spans="1:136" ht="15.5">
      <c r="A430" s="93">
        <v>50</v>
      </c>
      <c r="B430" s="52" t="s">
        <v>63</v>
      </c>
      <c r="C430" s="95">
        <v>4</v>
      </c>
      <c r="D430" s="39"/>
      <c r="E430" s="39"/>
      <c r="F430" s="39"/>
      <c r="G430" s="39"/>
      <c r="H430" s="39"/>
      <c r="I430" s="39"/>
      <c r="J430" s="39"/>
      <c r="K430" s="39"/>
      <c r="L430" s="39">
        <f t="shared" ref="L430:AQ430" si="864">SUM(L431:L435)</f>
        <v>0</v>
      </c>
      <c r="M430" s="39">
        <f t="shared" si="864"/>
        <v>0</v>
      </c>
      <c r="N430" s="39">
        <f t="shared" si="864"/>
        <v>0</v>
      </c>
      <c r="O430" s="39">
        <f t="shared" si="864"/>
        <v>0</v>
      </c>
      <c r="P430" s="39">
        <f t="shared" si="864"/>
        <v>0</v>
      </c>
      <c r="Q430" s="39">
        <f t="shared" si="864"/>
        <v>0</v>
      </c>
      <c r="R430" s="39">
        <f t="shared" si="864"/>
        <v>0</v>
      </c>
      <c r="S430" s="39">
        <f t="shared" si="864"/>
        <v>0</v>
      </c>
      <c r="T430" s="39">
        <f t="shared" si="864"/>
        <v>0</v>
      </c>
      <c r="U430" s="39">
        <f t="shared" si="864"/>
        <v>0</v>
      </c>
      <c r="V430" s="39">
        <f t="shared" si="864"/>
        <v>0</v>
      </c>
      <c r="W430" s="39">
        <f t="shared" si="864"/>
        <v>0</v>
      </c>
      <c r="X430" s="39">
        <f t="shared" si="864"/>
        <v>0</v>
      </c>
      <c r="Y430" s="39">
        <f t="shared" si="864"/>
        <v>2</v>
      </c>
      <c r="Z430" s="39">
        <f t="shared" si="864"/>
        <v>22.259999999999998</v>
      </c>
      <c r="AA430" s="39">
        <f t="shared" si="864"/>
        <v>16.11</v>
      </c>
      <c r="AB430" s="39">
        <f t="shared" si="864"/>
        <v>36.33</v>
      </c>
      <c r="AC430" s="39">
        <f t="shared" si="864"/>
        <v>38</v>
      </c>
      <c r="AD430" s="39">
        <f t="shared" si="864"/>
        <v>5.8</v>
      </c>
      <c r="AE430" s="39">
        <f t="shared" si="864"/>
        <v>13.4</v>
      </c>
      <c r="AF430" s="39">
        <f t="shared" si="864"/>
        <v>23.1</v>
      </c>
      <c r="AG430" s="39">
        <f t="shared" si="864"/>
        <v>40</v>
      </c>
      <c r="AH430" s="39">
        <f t="shared" si="864"/>
        <v>13.4</v>
      </c>
      <c r="AI430" s="39">
        <f t="shared" si="864"/>
        <v>16.8</v>
      </c>
      <c r="AJ430" s="39">
        <f t="shared" si="864"/>
        <v>32</v>
      </c>
      <c r="AK430" s="39">
        <f t="shared" si="864"/>
        <v>46</v>
      </c>
      <c r="AL430" s="39">
        <f t="shared" si="864"/>
        <v>51</v>
      </c>
      <c r="AM430" s="39">
        <f t="shared" si="864"/>
        <v>27</v>
      </c>
      <c r="AN430" s="39">
        <f t="shared" si="864"/>
        <v>33.9</v>
      </c>
      <c r="AO430" s="39">
        <f t="shared" si="864"/>
        <v>35.700000000000003</v>
      </c>
      <c r="AP430" s="39">
        <f t="shared" si="864"/>
        <v>12.4</v>
      </c>
      <c r="AQ430" s="39">
        <f t="shared" si="864"/>
        <v>63</v>
      </c>
      <c r="AR430" s="39">
        <f t="shared" ref="AR430:BQ430" si="865">SUM(AR431:AR435)</f>
        <v>98</v>
      </c>
      <c r="AS430" s="39">
        <f t="shared" si="865"/>
        <v>85</v>
      </c>
      <c r="AT430" s="39">
        <f t="shared" si="865"/>
        <v>72</v>
      </c>
      <c r="AU430" s="39">
        <f t="shared" si="865"/>
        <v>64</v>
      </c>
      <c r="AV430" s="39">
        <f t="shared" si="865"/>
        <v>4.0999999999999996</v>
      </c>
      <c r="AW430" s="39">
        <f t="shared" si="865"/>
        <v>30</v>
      </c>
      <c r="AX430" s="39">
        <f t="shared" si="865"/>
        <v>0</v>
      </c>
      <c r="AY430" s="39">
        <f t="shared" si="865"/>
        <v>10</v>
      </c>
      <c r="AZ430" s="39">
        <f t="shared" si="865"/>
        <v>0</v>
      </c>
      <c r="BA430" s="39">
        <f t="shared" si="865"/>
        <v>0</v>
      </c>
      <c r="BB430" s="39">
        <f t="shared" si="865"/>
        <v>0</v>
      </c>
      <c r="BC430" s="39">
        <f t="shared" si="865"/>
        <v>0</v>
      </c>
      <c r="BD430" s="39">
        <f t="shared" si="865"/>
        <v>0</v>
      </c>
      <c r="BE430" s="39">
        <f t="shared" si="865"/>
        <v>0</v>
      </c>
      <c r="BF430" s="39">
        <f t="shared" si="865"/>
        <v>0</v>
      </c>
      <c r="BG430" s="39">
        <f t="shared" si="865"/>
        <v>0</v>
      </c>
      <c r="BH430" s="39">
        <f t="shared" si="865"/>
        <v>0</v>
      </c>
      <c r="BI430" s="39">
        <f t="shared" si="865"/>
        <v>949</v>
      </c>
      <c r="BJ430" s="39">
        <f t="shared" si="865"/>
        <v>117</v>
      </c>
      <c r="BK430" s="39">
        <f t="shared" si="865"/>
        <v>121</v>
      </c>
      <c r="BL430" s="39">
        <f t="shared" si="865"/>
        <v>130</v>
      </c>
      <c r="BM430" s="39">
        <f t="shared" si="865"/>
        <v>1122</v>
      </c>
      <c r="BN430" s="39">
        <f t="shared" si="865"/>
        <v>86</v>
      </c>
      <c r="BO430" s="39">
        <f t="shared" si="865"/>
        <v>86</v>
      </c>
      <c r="BP430" s="39">
        <f t="shared" si="865"/>
        <v>81</v>
      </c>
      <c r="BQ430" s="39">
        <f t="shared" si="865"/>
        <v>76</v>
      </c>
      <c r="BR430" s="101"/>
      <c r="BS430">
        <f t="shared" ref="BS430:CX430" si="866">IF($C430&lt;&gt;"",IF(D430&gt;0,1,0),0)</f>
        <v>0</v>
      </c>
      <c r="BT430">
        <f t="shared" si="866"/>
        <v>0</v>
      </c>
      <c r="BU430">
        <f t="shared" si="866"/>
        <v>0</v>
      </c>
      <c r="BV430">
        <f t="shared" si="866"/>
        <v>0</v>
      </c>
      <c r="BW430">
        <f t="shared" si="866"/>
        <v>0</v>
      </c>
      <c r="BX430">
        <f t="shared" si="866"/>
        <v>0</v>
      </c>
      <c r="BY430">
        <f t="shared" si="866"/>
        <v>0</v>
      </c>
      <c r="BZ430">
        <f t="shared" si="866"/>
        <v>0</v>
      </c>
      <c r="CA430">
        <f t="shared" si="866"/>
        <v>0</v>
      </c>
      <c r="CB430">
        <f t="shared" si="866"/>
        <v>0</v>
      </c>
      <c r="CC430">
        <f t="shared" si="866"/>
        <v>0</v>
      </c>
      <c r="CD430">
        <f t="shared" si="866"/>
        <v>0</v>
      </c>
      <c r="CE430">
        <f t="shared" si="866"/>
        <v>0</v>
      </c>
      <c r="CF430">
        <f t="shared" si="866"/>
        <v>0</v>
      </c>
      <c r="CG430">
        <f t="shared" si="866"/>
        <v>0</v>
      </c>
      <c r="CH430">
        <f t="shared" si="866"/>
        <v>0</v>
      </c>
      <c r="CI430">
        <f t="shared" si="866"/>
        <v>0</v>
      </c>
      <c r="CJ430">
        <f t="shared" si="866"/>
        <v>0</v>
      </c>
      <c r="CK430">
        <f t="shared" si="866"/>
        <v>0</v>
      </c>
      <c r="CL430">
        <f t="shared" si="866"/>
        <v>0</v>
      </c>
      <c r="CM430">
        <f t="shared" si="866"/>
        <v>0</v>
      </c>
      <c r="CN430">
        <f t="shared" si="866"/>
        <v>1</v>
      </c>
      <c r="CO430">
        <f t="shared" si="866"/>
        <v>1</v>
      </c>
      <c r="CP430">
        <f t="shared" si="866"/>
        <v>1</v>
      </c>
      <c r="CQ430">
        <f t="shared" si="866"/>
        <v>1</v>
      </c>
      <c r="CR430">
        <f t="shared" si="866"/>
        <v>1</v>
      </c>
      <c r="CS430">
        <f t="shared" si="866"/>
        <v>1</v>
      </c>
      <c r="CT430">
        <f t="shared" si="866"/>
        <v>1</v>
      </c>
      <c r="CU430">
        <f t="shared" si="866"/>
        <v>1</v>
      </c>
      <c r="CV430">
        <f t="shared" si="866"/>
        <v>1</v>
      </c>
      <c r="CW430">
        <f t="shared" si="866"/>
        <v>1</v>
      </c>
      <c r="CX430">
        <f t="shared" si="866"/>
        <v>1</v>
      </c>
      <c r="CY430">
        <f t="shared" ref="CY430:ED430" si="867">IF($C430&lt;&gt;"",IF(AJ430&gt;0,1,0),0)</f>
        <v>1</v>
      </c>
      <c r="CZ430">
        <f t="shared" si="867"/>
        <v>1</v>
      </c>
      <c r="DA430">
        <f t="shared" si="867"/>
        <v>1</v>
      </c>
      <c r="DB430">
        <f t="shared" si="867"/>
        <v>1</v>
      </c>
      <c r="DC430">
        <f t="shared" si="867"/>
        <v>1</v>
      </c>
      <c r="DD430">
        <f t="shared" si="867"/>
        <v>1</v>
      </c>
      <c r="DE430">
        <f t="shared" si="867"/>
        <v>1</v>
      </c>
      <c r="DF430">
        <f t="shared" si="867"/>
        <v>1</v>
      </c>
      <c r="DG430">
        <f t="shared" si="867"/>
        <v>1</v>
      </c>
      <c r="DH430">
        <f t="shared" si="867"/>
        <v>1</v>
      </c>
      <c r="DI430">
        <f t="shared" si="867"/>
        <v>1</v>
      </c>
      <c r="DJ430">
        <f t="shared" si="867"/>
        <v>1</v>
      </c>
      <c r="DK430">
        <f t="shared" si="867"/>
        <v>1</v>
      </c>
      <c r="DL430">
        <f t="shared" si="867"/>
        <v>1</v>
      </c>
      <c r="DM430">
        <f t="shared" si="867"/>
        <v>0</v>
      </c>
      <c r="DN430">
        <f t="shared" si="867"/>
        <v>1</v>
      </c>
      <c r="DO430">
        <f t="shared" si="867"/>
        <v>0</v>
      </c>
      <c r="DP430">
        <f t="shared" si="867"/>
        <v>0</v>
      </c>
      <c r="DQ430">
        <f t="shared" si="867"/>
        <v>0</v>
      </c>
      <c r="DR430">
        <f t="shared" si="867"/>
        <v>0</v>
      </c>
      <c r="DS430">
        <f t="shared" si="867"/>
        <v>0</v>
      </c>
      <c r="DT430">
        <f t="shared" si="867"/>
        <v>0</v>
      </c>
      <c r="DU430">
        <f t="shared" si="867"/>
        <v>0</v>
      </c>
      <c r="DV430">
        <f t="shared" si="867"/>
        <v>0</v>
      </c>
      <c r="DW430">
        <f t="shared" si="867"/>
        <v>0</v>
      </c>
      <c r="DX430">
        <f t="shared" si="867"/>
        <v>1</v>
      </c>
      <c r="DY430">
        <f t="shared" si="867"/>
        <v>1</v>
      </c>
      <c r="DZ430">
        <f t="shared" si="867"/>
        <v>1</v>
      </c>
      <c r="EA430">
        <f t="shared" si="867"/>
        <v>1</v>
      </c>
      <c r="EB430">
        <f t="shared" si="867"/>
        <v>1</v>
      </c>
      <c r="EC430">
        <f t="shared" si="867"/>
        <v>1</v>
      </c>
      <c r="ED430">
        <f t="shared" si="867"/>
        <v>1</v>
      </c>
      <c r="EE430">
        <f t="shared" ref="EE430:EF430" si="868">IF($C430&lt;&gt;"",IF(BP430&gt;0,1,0),0)</f>
        <v>1</v>
      </c>
      <c r="EF430">
        <f t="shared" si="868"/>
        <v>1</v>
      </c>
    </row>
    <row r="431" spans="1:136" ht="15.5">
      <c r="A431" s="90"/>
      <c r="B431" s="24" t="s">
        <v>15</v>
      </c>
      <c r="C431" s="95"/>
      <c r="D431" s="39"/>
      <c r="E431" s="39"/>
      <c r="F431" s="39"/>
      <c r="G431" s="39"/>
      <c r="H431" s="39"/>
      <c r="I431" s="39"/>
      <c r="J431" s="39"/>
      <c r="K431" s="39"/>
      <c r="L431" s="58">
        <v>0</v>
      </c>
      <c r="M431" s="58">
        <v>0</v>
      </c>
      <c r="N431" s="58">
        <v>0</v>
      </c>
      <c r="O431" s="58">
        <v>0</v>
      </c>
      <c r="P431" s="58">
        <v>0</v>
      </c>
      <c r="Q431" s="58">
        <v>0</v>
      </c>
      <c r="R431" s="58">
        <v>0</v>
      </c>
      <c r="S431" s="58">
        <v>0</v>
      </c>
      <c r="T431" s="58">
        <v>0</v>
      </c>
      <c r="U431" s="58">
        <v>0</v>
      </c>
      <c r="V431" s="58">
        <v>0</v>
      </c>
      <c r="W431" s="58">
        <v>0</v>
      </c>
      <c r="X431" s="58">
        <v>0</v>
      </c>
      <c r="Y431" s="58">
        <v>0</v>
      </c>
      <c r="Z431" s="58">
        <f>0.26+13</f>
        <v>13.26</v>
      </c>
      <c r="AA431" s="58">
        <v>1.1100000000000001</v>
      </c>
      <c r="AB431" s="58">
        <v>1.23</v>
      </c>
      <c r="AC431" s="58">
        <v>0</v>
      </c>
      <c r="AD431" s="58">
        <v>0</v>
      </c>
      <c r="AE431" s="58">
        <v>0</v>
      </c>
      <c r="AF431" s="58">
        <v>0</v>
      </c>
      <c r="AG431" s="58">
        <v>0</v>
      </c>
      <c r="AH431" s="58">
        <v>0</v>
      </c>
      <c r="AI431" s="58">
        <v>0</v>
      </c>
      <c r="AJ431" s="58">
        <v>0</v>
      </c>
      <c r="AK431" s="58">
        <v>0</v>
      </c>
      <c r="AL431" s="58">
        <v>0</v>
      </c>
      <c r="AM431" s="58">
        <v>0</v>
      </c>
      <c r="AN431" s="58">
        <v>0</v>
      </c>
      <c r="AO431" s="58">
        <v>0</v>
      </c>
      <c r="AP431" s="58">
        <v>0</v>
      </c>
      <c r="AQ431" s="58">
        <v>0</v>
      </c>
      <c r="AR431" s="58">
        <v>0</v>
      </c>
      <c r="AS431" s="58">
        <v>0</v>
      </c>
      <c r="AT431" s="58">
        <v>0</v>
      </c>
      <c r="AU431" s="58">
        <v>0</v>
      </c>
      <c r="AV431" s="58">
        <v>0</v>
      </c>
      <c r="AW431" s="58">
        <v>0</v>
      </c>
      <c r="AX431" s="58">
        <v>0</v>
      </c>
      <c r="AY431" s="58">
        <v>0</v>
      </c>
      <c r="AZ431" s="58">
        <v>0</v>
      </c>
      <c r="BA431" s="58">
        <v>0</v>
      </c>
      <c r="BB431" s="58">
        <v>0</v>
      </c>
      <c r="BC431" s="58">
        <v>0</v>
      </c>
      <c r="BD431" s="58">
        <v>0</v>
      </c>
      <c r="BE431" s="58">
        <v>0</v>
      </c>
      <c r="BF431" s="58">
        <v>0</v>
      </c>
      <c r="BG431" s="58">
        <v>0</v>
      </c>
      <c r="BH431" s="58">
        <v>0</v>
      </c>
      <c r="BI431" s="58">
        <v>0</v>
      </c>
      <c r="BJ431" s="113">
        <v>0</v>
      </c>
      <c r="BK431" s="113">
        <v>0</v>
      </c>
      <c r="BL431" s="113">
        <v>0</v>
      </c>
      <c r="BM431" s="113">
        <v>0</v>
      </c>
      <c r="BN431" s="113">
        <v>0</v>
      </c>
      <c r="BO431" s="113">
        <v>0</v>
      </c>
      <c r="BP431" s="113">
        <v>0</v>
      </c>
      <c r="BQ431" s="113">
        <v>0</v>
      </c>
      <c r="BR431" s="101"/>
      <c r="BS431">
        <f t="shared" ref="BS431:CB436" si="869">IF($C431&lt;&gt;"",IF(D431&gt;0,1,0),0)</f>
        <v>0</v>
      </c>
      <c r="BT431">
        <f t="shared" si="869"/>
        <v>0</v>
      </c>
      <c r="BU431">
        <f t="shared" si="869"/>
        <v>0</v>
      </c>
      <c r="BV431">
        <f t="shared" si="869"/>
        <v>0</v>
      </c>
      <c r="BW431">
        <f t="shared" si="869"/>
        <v>0</v>
      </c>
      <c r="BX431">
        <f t="shared" si="869"/>
        <v>0</v>
      </c>
      <c r="BY431">
        <f t="shared" si="869"/>
        <v>0</v>
      </c>
      <c r="BZ431">
        <f t="shared" si="869"/>
        <v>0</v>
      </c>
      <c r="CA431">
        <f t="shared" si="869"/>
        <v>0</v>
      </c>
      <c r="CB431">
        <f t="shared" si="869"/>
        <v>0</v>
      </c>
      <c r="CC431">
        <f t="shared" ref="CC431:CL436" si="870">IF($C431&lt;&gt;"",IF(N431&gt;0,1,0),0)</f>
        <v>0</v>
      </c>
      <c r="CD431">
        <f t="shared" si="870"/>
        <v>0</v>
      </c>
      <c r="CE431">
        <f t="shared" si="870"/>
        <v>0</v>
      </c>
      <c r="CF431">
        <f t="shared" si="870"/>
        <v>0</v>
      </c>
      <c r="CG431">
        <f t="shared" si="870"/>
        <v>0</v>
      </c>
      <c r="CH431">
        <f t="shared" si="870"/>
        <v>0</v>
      </c>
      <c r="CI431">
        <f t="shared" si="870"/>
        <v>0</v>
      </c>
      <c r="CJ431">
        <f t="shared" si="870"/>
        <v>0</v>
      </c>
      <c r="CK431">
        <f t="shared" si="870"/>
        <v>0</v>
      </c>
      <c r="CL431">
        <f t="shared" si="870"/>
        <v>0</v>
      </c>
      <c r="CM431">
        <f t="shared" ref="CM431:CV436" si="871">IF($C431&lt;&gt;"",IF(X431&gt;0,1,0),0)</f>
        <v>0</v>
      </c>
      <c r="CN431">
        <f t="shared" si="871"/>
        <v>0</v>
      </c>
      <c r="CO431">
        <f t="shared" si="871"/>
        <v>0</v>
      </c>
      <c r="CP431">
        <f t="shared" si="871"/>
        <v>0</v>
      </c>
      <c r="CQ431">
        <f t="shared" si="871"/>
        <v>0</v>
      </c>
      <c r="CR431">
        <f t="shared" si="871"/>
        <v>0</v>
      </c>
      <c r="CS431">
        <f t="shared" si="871"/>
        <v>0</v>
      </c>
      <c r="CT431">
        <f t="shared" si="871"/>
        <v>0</v>
      </c>
      <c r="CU431">
        <f t="shared" si="871"/>
        <v>0</v>
      </c>
      <c r="CV431">
        <f t="shared" si="871"/>
        <v>0</v>
      </c>
      <c r="CW431">
        <f t="shared" ref="CW431:DF436" si="872">IF($C431&lt;&gt;"",IF(AH431&gt;0,1,0),0)</f>
        <v>0</v>
      </c>
      <c r="CX431">
        <f t="shared" si="872"/>
        <v>0</v>
      </c>
      <c r="CY431">
        <f t="shared" si="872"/>
        <v>0</v>
      </c>
      <c r="CZ431">
        <f t="shared" si="872"/>
        <v>0</v>
      </c>
      <c r="DA431">
        <f t="shared" si="872"/>
        <v>0</v>
      </c>
      <c r="DB431">
        <f t="shared" si="872"/>
        <v>0</v>
      </c>
      <c r="DC431">
        <f t="shared" si="872"/>
        <v>0</v>
      </c>
      <c r="DD431">
        <f t="shared" si="872"/>
        <v>0</v>
      </c>
      <c r="DE431">
        <f t="shared" si="872"/>
        <v>0</v>
      </c>
      <c r="DF431">
        <f t="shared" si="872"/>
        <v>0</v>
      </c>
      <c r="DG431">
        <f t="shared" ref="DG431:DP436" si="873">IF($C431&lt;&gt;"",IF(AR431&gt;0,1,0),0)</f>
        <v>0</v>
      </c>
      <c r="DH431">
        <f t="shared" si="873"/>
        <v>0</v>
      </c>
      <c r="DI431">
        <f t="shared" si="873"/>
        <v>0</v>
      </c>
      <c r="DJ431">
        <f t="shared" si="873"/>
        <v>0</v>
      </c>
      <c r="DK431">
        <f t="shared" si="873"/>
        <v>0</v>
      </c>
      <c r="DL431">
        <f t="shared" si="873"/>
        <v>0</v>
      </c>
      <c r="DM431">
        <f t="shared" si="873"/>
        <v>0</v>
      </c>
      <c r="DN431">
        <f t="shared" si="873"/>
        <v>0</v>
      </c>
      <c r="DO431">
        <f t="shared" si="873"/>
        <v>0</v>
      </c>
      <c r="DP431">
        <f t="shared" si="873"/>
        <v>0</v>
      </c>
      <c r="DQ431">
        <f t="shared" ref="DQ431:DZ436" si="874">IF($C431&lt;&gt;"",IF(BB431&gt;0,1,0),0)</f>
        <v>0</v>
      </c>
      <c r="DR431">
        <f t="shared" si="874"/>
        <v>0</v>
      </c>
      <c r="DS431">
        <f t="shared" si="874"/>
        <v>0</v>
      </c>
      <c r="DT431">
        <f t="shared" si="874"/>
        <v>0</v>
      </c>
      <c r="DU431">
        <f t="shared" si="874"/>
        <v>0</v>
      </c>
      <c r="DV431">
        <f t="shared" si="874"/>
        <v>0</v>
      </c>
      <c r="DW431">
        <f t="shared" si="874"/>
        <v>0</v>
      </c>
      <c r="DX431">
        <f t="shared" si="874"/>
        <v>0</v>
      </c>
      <c r="DY431">
        <f t="shared" si="874"/>
        <v>0</v>
      </c>
      <c r="DZ431">
        <f t="shared" si="874"/>
        <v>0</v>
      </c>
      <c r="EA431">
        <f t="shared" ref="EA431:EF435" si="875">IF($C431&lt;&gt;"",IF(BL430&gt;0,1,0),0)</f>
        <v>0</v>
      </c>
      <c r="EB431">
        <f t="shared" si="875"/>
        <v>0</v>
      </c>
      <c r="EC431">
        <f t="shared" si="875"/>
        <v>0</v>
      </c>
      <c r="ED431">
        <f t="shared" si="875"/>
        <v>0</v>
      </c>
      <c r="EE431">
        <f t="shared" si="875"/>
        <v>0</v>
      </c>
      <c r="EF431">
        <f t="shared" si="875"/>
        <v>0</v>
      </c>
    </row>
    <row r="432" spans="1:136" ht="15.5">
      <c r="A432" s="90"/>
      <c r="B432" s="19" t="s">
        <v>2</v>
      </c>
      <c r="C432" s="88"/>
      <c r="D432" s="18"/>
      <c r="E432" s="18"/>
      <c r="F432" s="18"/>
      <c r="G432" s="18"/>
      <c r="H432" s="18"/>
      <c r="I432" s="18"/>
      <c r="J432" s="18"/>
      <c r="K432" s="18"/>
      <c r="L432" s="18">
        <v>0</v>
      </c>
      <c r="M432" s="18">
        <v>0</v>
      </c>
      <c r="N432" s="18">
        <v>0</v>
      </c>
      <c r="O432" s="18">
        <v>0</v>
      </c>
      <c r="P432" s="18">
        <v>0</v>
      </c>
      <c r="Q432" s="18">
        <v>0</v>
      </c>
      <c r="R432" s="18">
        <v>0</v>
      </c>
      <c r="S432" s="18">
        <v>0</v>
      </c>
      <c r="T432" s="60">
        <v>0</v>
      </c>
      <c r="U432" s="60">
        <v>0</v>
      </c>
      <c r="V432" s="60">
        <v>0</v>
      </c>
      <c r="W432" s="60">
        <v>0</v>
      </c>
      <c r="X432" s="60">
        <v>0</v>
      </c>
      <c r="Y432" s="60">
        <v>0</v>
      </c>
      <c r="Z432" s="60">
        <v>0</v>
      </c>
      <c r="AA432" s="60">
        <v>0</v>
      </c>
      <c r="AB432" s="60">
        <v>0</v>
      </c>
      <c r="AC432" s="67">
        <v>32</v>
      </c>
      <c r="AD432" s="60">
        <v>0</v>
      </c>
      <c r="AE432" s="60">
        <v>0</v>
      </c>
      <c r="AF432" s="60">
        <v>0</v>
      </c>
      <c r="AG432" s="67">
        <v>13</v>
      </c>
      <c r="AH432" s="60">
        <v>13.4</v>
      </c>
      <c r="AI432" s="18">
        <v>16.8</v>
      </c>
      <c r="AJ432" s="59">
        <v>32</v>
      </c>
      <c r="AK432" s="71">
        <f>46*0.46</f>
        <v>21.16</v>
      </c>
      <c r="AL432" s="67">
        <v>51</v>
      </c>
      <c r="AM432" s="60">
        <v>16</v>
      </c>
      <c r="AN432" s="60">
        <v>29</v>
      </c>
      <c r="AO432" s="60">
        <v>30.7</v>
      </c>
      <c r="AP432" s="60">
        <v>9.4</v>
      </c>
      <c r="AQ432" s="18">
        <v>4.2</v>
      </c>
      <c r="AR432" s="60">
        <v>27.7</v>
      </c>
      <c r="AS432" s="60">
        <v>25.6</v>
      </c>
      <c r="AT432" s="60">
        <v>36.6</v>
      </c>
      <c r="AU432" s="60">
        <v>20.9</v>
      </c>
      <c r="AV432" s="60">
        <v>4.0999999999999996</v>
      </c>
      <c r="AW432" s="60">
        <v>0</v>
      </c>
      <c r="AX432" s="60">
        <v>0</v>
      </c>
      <c r="AY432" s="60">
        <v>0</v>
      </c>
      <c r="AZ432" s="60">
        <v>0</v>
      </c>
      <c r="BA432" s="60">
        <v>0</v>
      </c>
      <c r="BB432" s="60">
        <v>0</v>
      </c>
      <c r="BC432" s="60">
        <v>0</v>
      </c>
      <c r="BD432" s="60">
        <v>0</v>
      </c>
      <c r="BE432" s="60">
        <v>0</v>
      </c>
      <c r="BF432" s="60">
        <v>0</v>
      </c>
      <c r="BG432" s="60">
        <v>0</v>
      </c>
      <c r="BH432" s="60">
        <v>0</v>
      </c>
      <c r="BI432" s="60">
        <v>0</v>
      </c>
      <c r="BJ432" s="18">
        <v>59</v>
      </c>
      <c r="BK432" s="113">
        <v>46</v>
      </c>
      <c r="BL432" s="18">
        <v>48</v>
      </c>
      <c r="BM432" s="18">
        <v>45</v>
      </c>
      <c r="BN432" s="18">
        <v>41</v>
      </c>
      <c r="BO432" s="113">
        <v>41</v>
      </c>
      <c r="BP432" s="113">
        <v>40</v>
      </c>
      <c r="BQ432" s="113">
        <v>35</v>
      </c>
      <c r="BR432" s="101"/>
      <c r="BS432">
        <f t="shared" si="869"/>
        <v>0</v>
      </c>
      <c r="BT432">
        <f t="shared" si="869"/>
        <v>0</v>
      </c>
      <c r="BU432">
        <f t="shared" si="869"/>
        <v>0</v>
      </c>
      <c r="BV432">
        <f t="shared" si="869"/>
        <v>0</v>
      </c>
      <c r="BW432">
        <f t="shared" si="869"/>
        <v>0</v>
      </c>
      <c r="BX432">
        <f t="shared" si="869"/>
        <v>0</v>
      </c>
      <c r="BY432">
        <f t="shared" si="869"/>
        <v>0</v>
      </c>
      <c r="BZ432">
        <f t="shared" si="869"/>
        <v>0</v>
      </c>
      <c r="CA432">
        <f t="shared" si="869"/>
        <v>0</v>
      </c>
      <c r="CB432">
        <f t="shared" si="869"/>
        <v>0</v>
      </c>
      <c r="CC432">
        <f t="shared" si="870"/>
        <v>0</v>
      </c>
      <c r="CD432">
        <f t="shared" si="870"/>
        <v>0</v>
      </c>
      <c r="CE432">
        <f t="shared" si="870"/>
        <v>0</v>
      </c>
      <c r="CF432">
        <f t="shared" si="870"/>
        <v>0</v>
      </c>
      <c r="CG432">
        <f t="shared" si="870"/>
        <v>0</v>
      </c>
      <c r="CH432">
        <f t="shared" si="870"/>
        <v>0</v>
      </c>
      <c r="CI432">
        <f t="shared" si="870"/>
        <v>0</v>
      </c>
      <c r="CJ432">
        <f t="shared" si="870"/>
        <v>0</v>
      </c>
      <c r="CK432">
        <f t="shared" si="870"/>
        <v>0</v>
      </c>
      <c r="CL432">
        <f t="shared" si="870"/>
        <v>0</v>
      </c>
      <c r="CM432">
        <f t="shared" si="871"/>
        <v>0</v>
      </c>
      <c r="CN432">
        <f t="shared" si="871"/>
        <v>0</v>
      </c>
      <c r="CO432">
        <f t="shared" si="871"/>
        <v>0</v>
      </c>
      <c r="CP432">
        <f t="shared" si="871"/>
        <v>0</v>
      </c>
      <c r="CQ432">
        <f t="shared" si="871"/>
        <v>0</v>
      </c>
      <c r="CR432">
        <f t="shared" si="871"/>
        <v>0</v>
      </c>
      <c r="CS432">
        <f t="shared" si="871"/>
        <v>0</v>
      </c>
      <c r="CT432">
        <f t="shared" si="871"/>
        <v>0</v>
      </c>
      <c r="CU432">
        <f t="shared" si="871"/>
        <v>0</v>
      </c>
      <c r="CV432">
        <f t="shared" si="871"/>
        <v>0</v>
      </c>
      <c r="CW432">
        <f t="shared" si="872"/>
        <v>0</v>
      </c>
      <c r="CX432">
        <f t="shared" si="872"/>
        <v>0</v>
      </c>
      <c r="CY432">
        <f t="shared" si="872"/>
        <v>0</v>
      </c>
      <c r="CZ432">
        <f t="shared" si="872"/>
        <v>0</v>
      </c>
      <c r="DA432">
        <f t="shared" si="872"/>
        <v>0</v>
      </c>
      <c r="DB432">
        <f t="shared" si="872"/>
        <v>0</v>
      </c>
      <c r="DC432">
        <f t="shared" si="872"/>
        <v>0</v>
      </c>
      <c r="DD432">
        <f t="shared" si="872"/>
        <v>0</v>
      </c>
      <c r="DE432">
        <f t="shared" si="872"/>
        <v>0</v>
      </c>
      <c r="DF432">
        <f t="shared" si="872"/>
        <v>0</v>
      </c>
      <c r="DG432">
        <f t="shared" si="873"/>
        <v>0</v>
      </c>
      <c r="DH432">
        <f t="shared" si="873"/>
        <v>0</v>
      </c>
      <c r="DI432">
        <f t="shared" si="873"/>
        <v>0</v>
      </c>
      <c r="DJ432">
        <f t="shared" si="873"/>
        <v>0</v>
      </c>
      <c r="DK432">
        <f t="shared" si="873"/>
        <v>0</v>
      </c>
      <c r="DL432">
        <f t="shared" si="873"/>
        <v>0</v>
      </c>
      <c r="DM432">
        <f t="shared" si="873"/>
        <v>0</v>
      </c>
      <c r="DN432">
        <f t="shared" si="873"/>
        <v>0</v>
      </c>
      <c r="DO432">
        <f t="shared" si="873"/>
        <v>0</v>
      </c>
      <c r="DP432">
        <f t="shared" si="873"/>
        <v>0</v>
      </c>
      <c r="DQ432">
        <f t="shared" si="874"/>
        <v>0</v>
      </c>
      <c r="DR432">
        <f t="shared" si="874"/>
        <v>0</v>
      </c>
      <c r="DS432">
        <f t="shared" si="874"/>
        <v>0</v>
      </c>
      <c r="DT432">
        <f t="shared" si="874"/>
        <v>0</v>
      </c>
      <c r="DU432">
        <f t="shared" si="874"/>
        <v>0</v>
      </c>
      <c r="DV432">
        <f t="shared" si="874"/>
        <v>0</v>
      </c>
      <c r="DW432">
        <f t="shared" si="874"/>
        <v>0</v>
      </c>
      <c r="DX432">
        <f t="shared" si="874"/>
        <v>0</v>
      </c>
      <c r="DY432">
        <f t="shared" si="874"/>
        <v>0</v>
      </c>
      <c r="DZ432">
        <f t="shared" si="874"/>
        <v>0</v>
      </c>
      <c r="EA432">
        <f t="shared" si="875"/>
        <v>0</v>
      </c>
      <c r="EB432">
        <f t="shared" si="875"/>
        <v>0</v>
      </c>
      <c r="EC432">
        <f t="shared" si="875"/>
        <v>0</v>
      </c>
      <c r="ED432">
        <f t="shared" si="875"/>
        <v>0</v>
      </c>
      <c r="EE432">
        <f t="shared" si="875"/>
        <v>0</v>
      </c>
      <c r="EF432">
        <f t="shared" si="875"/>
        <v>0</v>
      </c>
    </row>
    <row r="433" spans="1:136" ht="15.5">
      <c r="A433" s="90"/>
      <c r="B433" s="19" t="s">
        <v>205</v>
      </c>
      <c r="C433" s="88"/>
      <c r="D433" s="25"/>
      <c r="E433" s="25"/>
      <c r="F433" s="25"/>
      <c r="G433" s="25"/>
      <c r="H433" s="25"/>
      <c r="I433" s="25"/>
      <c r="J433" s="25"/>
      <c r="K433" s="25"/>
      <c r="L433" s="25">
        <v>0</v>
      </c>
      <c r="M433" s="25">
        <v>0</v>
      </c>
      <c r="N433" s="25">
        <v>0</v>
      </c>
      <c r="O433" s="25">
        <v>0</v>
      </c>
      <c r="P433" s="25">
        <v>0</v>
      </c>
      <c r="Q433" s="25">
        <v>0</v>
      </c>
      <c r="R433" s="25">
        <v>0</v>
      </c>
      <c r="S433" s="25">
        <v>0</v>
      </c>
      <c r="T433" s="25">
        <v>0</v>
      </c>
      <c r="U433" s="25">
        <v>0</v>
      </c>
      <c r="V433" s="25">
        <v>0</v>
      </c>
      <c r="W433" s="25">
        <v>0</v>
      </c>
      <c r="X433" s="25">
        <v>0</v>
      </c>
      <c r="Y433" s="40" t="s">
        <v>16</v>
      </c>
      <c r="Z433" s="40" t="s">
        <v>16</v>
      </c>
      <c r="AA433" s="40" t="s">
        <v>16</v>
      </c>
      <c r="AB433" s="25">
        <v>0</v>
      </c>
      <c r="AC433" s="25">
        <v>0</v>
      </c>
      <c r="AD433" s="25">
        <v>0</v>
      </c>
      <c r="AE433" s="25">
        <v>0</v>
      </c>
      <c r="AF433" s="25">
        <v>0</v>
      </c>
      <c r="AG433" s="25">
        <v>0</v>
      </c>
      <c r="AH433" s="25">
        <v>0</v>
      </c>
      <c r="AI433" s="25">
        <v>0</v>
      </c>
      <c r="AJ433" s="25">
        <v>0</v>
      </c>
      <c r="AK433" s="25">
        <v>0</v>
      </c>
      <c r="AL433" s="25">
        <v>0</v>
      </c>
      <c r="AM433" s="25">
        <v>0</v>
      </c>
      <c r="AN433" s="25">
        <v>0</v>
      </c>
      <c r="AO433" s="25">
        <v>0</v>
      </c>
      <c r="AP433" s="25">
        <v>0</v>
      </c>
      <c r="AQ433" s="25">
        <v>0</v>
      </c>
      <c r="AR433" s="40" t="s">
        <v>16</v>
      </c>
      <c r="AS433" s="40" t="s">
        <v>16</v>
      </c>
      <c r="AT433" s="25">
        <v>0</v>
      </c>
      <c r="AU433" s="25">
        <v>0</v>
      </c>
      <c r="AV433" s="25">
        <v>0</v>
      </c>
      <c r="AW433" s="25">
        <v>0</v>
      </c>
      <c r="AX433" s="40" t="s">
        <v>16</v>
      </c>
      <c r="AY433" s="48">
        <v>10</v>
      </c>
      <c r="AZ433" s="25">
        <v>0</v>
      </c>
      <c r="BA433" s="25">
        <v>0</v>
      </c>
      <c r="BB433" s="40" t="s">
        <v>16</v>
      </c>
      <c r="BC433" s="25">
        <v>0</v>
      </c>
      <c r="BD433" s="196" t="s">
        <v>16</v>
      </c>
      <c r="BE433" s="25">
        <v>0</v>
      </c>
      <c r="BF433" s="25">
        <v>0</v>
      </c>
      <c r="BG433" s="25">
        <v>0</v>
      </c>
      <c r="BH433" s="25">
        <v>0</v>
      </c>
      <c r="BI433" s="25">
        <v>0</v>
      </c>
      <c r="BJ433" s="25">
        <v>0</v>
      </c>
      <c r="BK433" s="25">
        <v>0</v>
      </c>
      <c r="BL433" s="25">
        <v>0</v>
      </c>
      <c r="BM433" s="25">
        <v>0</v>
      </c>
      <c r="BN433" s="25">
        <v>0</v>
      </c>
      <c r="BO433" s="25">
        <v>0</v>
      </c>
      <c r="BP433" s="113">
        <v>0</v>
      </c>
      <c r="BQ433" s="113">
        <v>0</v>
      </c>
      <c r="BR433" s="101"/>
      <c r="BS433">
        <f t="shared" si="869"/>
        <v>0</v>
      </c>
      <c r="BT433">
        <f t="shared" si="869"/>
        <v>0</v>
      </c>
      <c r="BU433">
        <f t="shared" si="869"/>
        <v>0</v>
      </c>
      <c r="BV433">
        <f t="shared" si="869"/>
        <v>0</v>
      </c>
      <c r="BW433">
        <f t="shared" si="869"/>
        <v>0</v>
      </c>
      <c r="BX433">
        <f t="shared" si="869"/>
        <v>0</v>
      </c>
      <c r="BY433">
        <f t="shared" si="869"/>
        <v>0</v>
      </c>
      <c r="BZ433">
        <f t="shared" si="869"/>
        <v>0</v>
      </c>
      <c r="CA433">
        <f t="shared" si="869"/>
        <v>0</v>
      </c>
      <c r="CB433">
        <f t="shared" si="869"/>
        <v>0</v>
      </c>
      <c r="CC433">
        <f t="shared" si="870"/>
        <v>0</v>
      </c>
      <c r="CD433">
        <f t="shared" si="870"/>
        <v>0</v>
      </c>
      <c r="CE433">
        <f t="shared" si="870"/>
        <v>0</v>
      </c>
      <c r="CF433">
        <f t="shared" si="870"/>
        <v>0</v>
      </c>
      <c r="CG433">
        <f t="shared" si="870"/>
        <v>0</v>
      </c>
      <c r="CH433">
        <f t="shared" si="870"/>
        <v>0</v>
      </c>
      <c r="CI433">
        <f t="shared" si="870"/>
        <v>0</v>
      </c>
      <c r="CJ433">
        <f t="shared" si="870"/>
        <v>0</v>
      </c>
      <c r="CK433">
        <f t="shared" si="870"/>
        <v>0</v>
      </c>
      <c r="CL433">
        <f t="shared" si="870"/>
        <v>0</v>
      </c>
      <c r="CM433">
        <f t="shared" si="871"/>
        <v>0</v>
      </c>
      <c r="CN433">
        <f t="shared" si="871"/>
        <v>0</v>
      </c>
      <c r="CO433">
        <f t="shared" si="871"/>
        <v>0</v>
      </c>
      <c r="CP433">
        <f t="shared" si="871"/>
        <v>0</v>
      </c>
      <c r="CQ433">
        <f t="shared" si="871"/>
        <v>0</v>
      </c>
      <c r="CR433">
        <f t="shared" si="871"/>
        <v>0</v>
      </c>
      <c r="CS433">
        <f t="shared" si="871"/>
        <v>0</v>
      </c>
      <c r="CT433">
        <f t="shared" si="871"/>
        <v>0</v>
      </c>
      <c r="CU433">
        <f t="shared" si="871"/>
        <v>0</v>
      </c>
      <c r="CV433">
        <f t="shared" si="871"/>
        <v>0</v>
      </c>
      <c r="CW433">
        <f t="shared" si="872"/>
        <v>0</v>
      </c>
      <c r="CX433">
        <f t="shared" si="872"/>
        <v>0</v>
      </c>
      <c r="CY433">
        <f t="shared" si="872"/>
        <v>0</v>
      </c>
      <c r="CZ433">
        <f t="shared" si="872"/>
        <v>0</v>
      </c>
      <c r="DA433">
        <f t="shared" si="872"/>
        <v>0</v>
      </c>
      <c r="DB433">
        <f t="shared" si="872"/>
        <v>0</v>
      </c>
      <c r="DC433">
        <f t="shared" si="872"/>
        <v>0</v>
      </c>
      <c r="DD433">
        <f t="shared" si="872"/>
        <v>0</v>
      </c>
      <c r="DE433">
        <f t="shared" si="872"/>
        <v>0</v>
      </c>
      <c r="DF433">
        <f t="shared" si="872"/>
        <v>0</v>
      </c>
      <c r="DG433">
        <f t="shared" si="873"/>
        <v>0</v>
      </c>
      <c r="DH433">
        <f t="shared" si="873"/>
        <v>0</v>
      </c>
      <c r="DI433">
        <f t="shared" si="873"/>
        <v>0</v>
      </c>
      <c r="DJ433">
        <f t="shared" si="873"/>
        <v>0</v>
      </c>
      <c r="DK433">
        <f t="shared" si="873"/>
        <v>0</v>
      </c>
      <c r="DL433">
        <f t="shared" si="873"/>
        <v>0</v>
      </c>
      <c r="DM433">
        <f t="shared" si="873"/>
        <v>0</v>
      </c>
      <c r="DN433">
        <f t="shared" si="873"/>
        <v>0</v>
      </c>
      <c r="DO433">
        <f t="shared" si="873"/>
        <v>0</v>
      </c>
      <c r="DP433">
        <f t="shared" si="873"/>
        <v>0</v>
      </c>
      <c r="DQ433">
        <f t="shared" si="874"/>
        <v>0</v>
      </c>
      <c r="DR433">
        <f t="shared" si="874"/>
        <v>0</v>
      </c>
      <c r="DS433">
        <f t="shared" si="874"/>
        <v>0</v>
      </c>
      <c r="DT433">
        <f t="shared" si="874"/>
        <v>0</v>
      </c>
      <c r="DU433">
        <f t="shared" si="874"/>
        <v>0</v>
      </c>
      <c r="DV433">
        <f t="shared" si="874"/>
        <v>0</v>
      </c>
      <c r="DW433">
        <f t="shared" si="874"/>
        <v>0</v>
      </c>
      <c r="DX433">
        <f t="shared" si="874"/>
        <v>0</v>
      </c>
      <c r="DY433">
        <f t="shared" si="874"/>
        <v>0</v>
      </c>
      <c r="DZ433">
        <f t="shared" si="874"/>
        <v>0</v>
      </c>
      <c r="EA433">
        <f t="shared" si="875"/>
        <v>0</v>
      </c>
      <c r="EB433">
        <f t="shared" si="875"/>
        <v>0</v>
      </c>
      <c r="EC433">
        <f t="shared" si="875"/>
        <v>0</v>
      </c>
      <c r="ED433">
        <f t="shared" si="875"/>
        <v>0</v>
      </c>
      <c r="EE433">
        <f t="shared" si="875"/>
        <v>0</v>
      </c>
      <c r="EF433">
        <f t="shared" si="875"/>
        <v>0</v>
      </c>
    </row>
    <row r="434" spans="1:136" ht="15.5">
      <c r="A434" s="90"/>
      <c r="B434" s="53" t="s">
        <v>3</v>
      </c>
      <c r="C434" s="88"/>
      <c r="D434" s="25"/>
      <c r="E434" s="25"/>
      <c r="F434" s="25"/>
      <c r="G434" s="25"/>
      <c r="H434" s="25"/>
      <c r="I434" s="25"/>
      <c r="J434" s="25"/>
      <c r="K434" s="25"/>
      <c r="L434" s="25">
        <v>0</v>
      </c>
      <c r="M434" s="25">
        <v>0</v>
      </c>
      <c r="N434" s="25">
        <v>0</v>
      </c>
      <c r="O434" s="25">
        <v>0</v>
      </c>
      <c r="P434" s="25">
        <v>0</v>
      </c>
      <c r="Q434" s="25">
        <v>0</v>
      </c>
      <c r="R434" s="25">
        <v>0</v>
      </c>
      <c r="S434" s="25">
        <v>0</v>
      </c>
      <c r="T434" s="25">
        <v>0</v>
      </c>
      <c r="U434" s="25">
        <v>0</v>
      </c>
      <c r="V434" s="25">
        <v>0</v>
      </c>
      <c r="W434" s="25">
        <v>0</v>
      </c>
      <c r="X434" s="25">
        <v>0</v>
      </c>
      <c r="Y434" s="25">
        <v>2</v>
      </c>
      <c r="Z434" s="25">
        <v>9</v>
      </c>
      <c r="AA434" s="25">
        <v>15</v>
      </c>
      <c r="AB434" s="25">
        <v>35.1</v>
      </c>
      <c r="AC434" s="71">
        <v>6</v>
      </c>
      <c r="AD434" s="25">
        <v>5.8</v>
      </c>
      <c r="AE434" s="25">
        <v>13.4</v>
      </c>
      <c r="AF434" s="25">
        <v>23.1</v>
      </c>
      <c r="AG434" s="25">
        <v>27</v>
      </c>
      <c r="AH434" s="40" t="s">
        <v>16</v>
      </c>
      <c r="AI434" s="40" t="s">
        <v>16</v>
      </c>
      <c r="AJ434" s="40" t="s">
        <v>16</v>
      </c>
      <c r="AK434" s="18">
        <f>46-AK432</f>
        <v>24.84</v>
      </c>
      <c r="AL434" s="40" t="s">
        <v>16</v>
      </c>
      <c r="AM434" s="25">
        <f>26.2-AM432</f>
        <v>10.199999999999999</v>
      </c>
      <c r="AN434" s="40" t="s">
        <v>16</v>
      </c>
      <c r="AO434" s="40" t="s">
        <v>16</v>
      </c>
      <c r="AP434" s="40" t="s">
        <v>16</v>
      </c>
      <c r="AQ434" s="18">
        <f>63-AQ432</f>
        <v>58.8</v>
      </c>
      <c r="AR434" s="18">
        <f>98-AR432</f>
        <v>70.3</v>
      </c>
      <c r="AS434" s="18">
        <f>85-AS432</f>
        <v>59.4</v>
      </c>
      <c r="AT434" s="18">
        <f>72-AT432</f>
        <v>35.4</v>
      </c>
      <c r="AU434" s="25">
        <f>64-AU432</f>
        <v>43.1</v>
      </c>
      <c r="AV434" s="25">
        <v>0</v>
      </c>
      <c r="AW434" s="25">
        <v>30</v>
      </c>
      <c r="AX434" s="25">
        <v>0</v>
      </c>
      <c r="AY434" s="25">
        <v>0</v>
      </c>
      <c r="AZ434" s="25">
        <v>0</v>
      </c>
      <c r="BA434" s="25">
        <v>0</v>
      </c>
      <c r="BB434" s="25">
        <v>0</v>
      </c>
      <c r="BC434" s="25">
        <v>0</v>
      </c>
      <c r="BD434" s="25">
        <v>0</v>
      </c>
      <c r="BE434" s="25">
        <v>0</v>
      </c>
      <c r="BF434" s="25">
        <v>0</v>
      </c>
      <c r="BG434" s="25">
        <v>0</v>
      </c>
      <c r="BH434" s="25">
        <v>0</v>
      </c>
      <c r="BI434" s="25">
        <v>949</v>
      </c>
      <c r="BJ434" s="18">
        <v>0</v>
      </c>
      <c r="BK434" s="18">
        <v>17</v>
      </c>
      <c r="BL434" s="18">
        <v>19</v>
      </c>
      <c r="BM434" s="113">
        <f>993+19</f>
        <v>1012</v>
      </c>
      <c r="BN434" s="113">
        <v>0</v>
      </c>
      <c r="BO434" s="113">
        <v>0</v>
      </c>
      <c r="BP434" s="113">
        <v>0</v>
      </c>
      <c r="BQ434" s="113">
        <v>0</v>
      </c>
      <c r="BR434" s="101"/>
      <c r="BS434">
        <f t="shared" si="869"/>
        <v>0</v>
      </c>
      <c r="BT434">
        <f t="shared" si="869"/>
        <v>0</v>
      </c>
      <c r="BU434">
        <f t="shared" si="869"/>
        <v>0</v>
      </c>
      <c r="BV434">
        <f t="shared" si="869"/>
        <v>0</v>
      </c>
      <c r="BW434">
        <f t="shared" si="869"/>
        <v>0</v>
      </c>
      <c r="BX434">
        <f t="shared" si="869"/>
        <v>0</v>
      </c>
      <c r="BY434">
        <f t="shared" si="869"/>
        <v>0</v>
      </c>
      <c r="BZ434">
        <f t="shared" si="869"/>
        <v>0</v>
      </c>
      <c r="CA434">
        <f t="shared" si="869"/>
        <v>0</v>
      </c>
      <c r="CB434">
        <f t="shared" si="869"/>
        <v>0</v>
      </c>
      <c r="CC434">
        <f t="shared" si="870"/>
        <v>0</v>
      </c>
      <c r="CD434">
        <f t="shared" si="870"/>
        <v>0</v>
      </c>
      <c r="CE434">
        <f t="shared" si="870"/>
        <v>0</v>
      </c>
      <c r="CF434">
        <f t="shared" si="870"/>
        <v>0</v>
      </c>
      <c r="CG434">
        <f t="shared" si="870"/>
        <v>0</v>
      </c>
      <c r="CH434">
        <f t="shared" si="870"/>
        <v>0</v>
      </c>
      <c r="CI434">
        <f t="shared" si="870"/>
        <v>0</v>
      </c>
      <c r="CJ434">
        <f t="shared" si="870"/>
        <v>0</v>
      </c>
      <c r="CK434">
        <f t="shared" si="870"/>
        <v>0</v>
      </c>
      <c r="CL434">
        <f t="shared" si="870"/>
        <v>0</v>
      </c>
      <c r="CM434">
        <f t="shared" si="871"/>
        <v>0</v>
      </c>
      <c r="CN434">
        <f t="shared" si="871"/>
        <v>0</v>
      </c>
      <c r="CO434">
        <f t="shared" si="871"/>
        <v>0</v>
      </c>
      <c r="CP434">
        <f t="shared" si="871"/>
        <v>0</v>
      </c>
      <c r="CQ434">
        <f t="shared" si="871"/>
        <v>0</v>
      </c>
      <c r="CR434">
        <f t="shared" si="871"/>
        <v>0</v>
      </c>
      <c r="CS434">
        <f t="shared" si="871"/>
        <v>0</v>
      </c>
      <c r="CT434">
        <f t="shared" si="871"/>
        <v>0</v>
      </c>
      <c r="CU434">
        <f t="shared" si="871"/>
        <v>0</v>
      </c>
      <c r="CV434">
        <f t="shared" si="871"/>
        <v>0</v>
      </c>
      <c r="CW434">
        <f t="shared" si="872"/>
        <v>0</v>
      </c>
      <c r="CX434">
        <f t="shared" si="872"/>
        <v>0</v>
      </c>
      <c r="CY434">
        <f t="shared" si="872"/>
        <v>0</v>
      </c>
      <c r="CZ434">
        <f t="shared" si="872"/>
        <v>0</v>
      </c>
      <c r="DA434">
        <f t="shared" si="872"/>
        <v>0</v>
      </c>
      <c r="DB434">
        <f t="shared" si="872"/>
        <v>0</v>
      </c>
      <c r="DC434">
        <f t="shared" si="872"/>
        <v>0</v>
      </c>
      <c r="DD434">
        <f t="shared" si="872"/>
        <v>0</v>
      </c>
      <c r="DE434">
        <f t="shared" si="872"/>
        <v>0</v>
      </c>
      <c r="DF434">
        <f t="shared" si="872"/>
        <v>0</v>
      </c>
      <c r="DG434">
        <f t="shared" si="873"/>
        <v>0</v>
      </c>
      <c r="DH434">
        <f t="shared" si="873"/>
        <v>0</v>
      </c>
      <c r="DI434">
        <f t="shared" si="873"/>
        <v>0</v>
      </c>
      <c r="DJ434">
        <f t="shared" si="873"/>
        <v>0</v>
      </c>
      <c r="DK434">
        <f t="shared" si="873"/>
        <v>0</v>
      </c>
      <c r="DL434">
        <f t="shared" si="873"/>
        <v>0</v>
      </c>
      <c r="DM434">
        <f t="shared" si="873"/>
        <v>0</v>
      </c>
      <c r="DN434">
        <f t="shared" si="873"/>
        <v>0</v>
      </c>
      <c r="DO434">
        <f t="shared" si="873"/>
        <v>0</v>
      </c>
      <c r="DP434">
        <f t="shared" si="873"/>
        <v>0</v>
      </c>
      <c r="DQ434">
        <f t="shared" si="874"/>
        <v>0</v>
      </c>
      <c r="DR434">
        <f t="shared" si="874"/>
        <v>0</v>
      </c>
      <c r="DS434">
        <f t="shared" si="874"/>
        <v>0</v>
      </c>
      <c r="DT434">
        <f t="shared" si="874"/>
        <v>0</v>
      </c>
      <c r="DU434">
        <f t="shared" si="874"/>
        <v>0</v>
      </c>
      <c r="DV434">
        <f t="shared" si="874"/>
        <v>0</v>
      </c>
      <c r="DW434">
        <f t="shared" si="874"/>
        <v>0</v>
      </c>
      <c r="DX434">
        <f t="shared" si="874"/>
        <v>0</v>
      </c>
      <c r="DY434">
        <f t="shared" si="874"/>
        <v>0</v>
      </c>
      <c r="DZ434">
        <f t="shared" si="874"/>
        <v>0</v>
      </c>
      <c r="EA434">
        <f t="shared" si="875"/>
        <v>0</v>
      </c>
      <c r="EB434">
        <f t="shared" si="875"/>
        <v>0</v>
      </c>
      <c r="EC434">
        <f t="shared" si="875"/>
        <v>0</v>
      </c>
      <c r="ED434">
        <f t="shared" si="875"/>
        <v>0</v>
      </c>
      <c r="EE434">
        <f t="shared" si="875"/>
        <v>0</v>
      </c>
      <c r="EF434">
        <f t="shared" si="875"/>
        <v>0</v>
      </c>
    </row>
    <row r="435" spans="1:136" ht="15.5">
      <c r="A435" s="90"/>
      <c r="B435" s="19" t="s">
        <v>208</v>
      </c>
      <c r="C435" s="88"/>
      <c r="D435" s="25"/>
      <c r="E435" s="25"/>
      <c r="F435" s="25"/>
      <c r="G435" s="25"/>
      <c r="H435" s="25"/>
      <c r="I435" s="25"/>
      <c r="J435" s="25"/>
      <c r="K435" s="25"/>
      <c r="L435" s="25">
        <v>0</v>
      </c>
      <c r="M435" s="25">
        <v>0</v>
      </c>
      <c r="N435" s="25">
        <v>0</v>
      </c>
      <c r="O435" s="25">
        <v>0</v>
      </c>
      <c r="P435" s="25">
        <v>0</v>
      </c>
      <c r="Q435" s="25">
        <v>0</v>
      </c>
      <c r="R435" s="25">
        <v>0</v>
      </c>
      <c r="S435" s="25">
        <v>0</v>
      </c>
      <c r="T435" s="25">
        <v>0</v>
      </c>
      <c r="U435" s="25">
        <v>0</v>
      </c>
      <c r="V435" s="25">
        <v>0</v>
      </c>
      <c r="W435" s="25">
        <v>0</v>
      </c>
      <c r="X435" s="25">
        <v>0</v>
      </c>
      <c r="Y435" s="25">
        <v>0</v>
      </c>
      <c r="Z435" s="25">
        <v>0</v>
      </c>
      <c r="AA435" s="25">
        <v>0</v>
      </c>
      <c r="AB435" s="25">
        <v>0</v>
      </c>
      <c r="AC435" s="25">
        <v>0</v>
      </c>
      <c r="AD435" s="25">
        <v>0</v>
      </c>
      <c r="AE435" s="25">
        <v>0</v>
      </c>
      <c r="AF435" s="25">
        <v>0</v>
      </c>
      <c r="AG435" s="25">
        <v>0</v>
      </c>
      <c r="AH435" s="25">
        <v>0</v>
      </c>
      <c r="AI435" s="25">
        <v>0</v>
      </c>
      <c r="AJ435" s="25">
        <v>0</v>
      </c>
      <c r="AK435" s="25">
        <v>0</v>
      </c>
      <c r="AL435" s="25">
        <v>0</v>
      </c>
      <c r="AM435" s="25">
        <v>0.8</v>
      </c>
      <c r="AN435" s="25">
        <v>4.9000000000000004</v>
      </c>
      <c r="AO435" s="25">
        <v>5</v>
      </c>
      <c r="AP435" s="25">
        <v>3</v>
      </c>
      <c r="AQ435" s="25">
        <v>0</v>
      </c>
      <c r="AR435" s="25" cm="1">
        <f t="array" ref="AR435:AY435">AR437:AY437</f>
        <v>0</v>
      </c>
      <c r="AS435" s="25">
        <v>0</v>
      </c>
      <c r="AT435" s="25">
        <v>0</v>
      </c>
      <c r="AU435" s="25">
        <v>0</v>
      </c>
      <c r="AV435" s="25">
        <v>0</v>
      </c>
      <c r="AW435" s="25">
        <v>0</v>
      </c>
      <c r="AX435" s="25">
        <v>0</v>
      </c>
      <c r="AY435" s="25">
        <v>0</v>
      </c>
      <c r="AZ435" s="25">
        <v>0</v>
      </c>
      <c r="BA435" s="25">
        <v>0</v>
      </c>
      <c r="BB435" s="25">
        <v>0</v>
      </c>
      <c r="BC435" s="25">
        <v>0</v>
      </c>
      <c r="BD435" s="25">
        <v>0</v>
      </c>
      <c r="BE435" s="25">
        <v>0</v>
      </c>
      <c r="BF435" s="25">
        <v>0</v>
      </c>
      <c r="BG435" s="25">
        <v>0</v>
      </c>
      <c r="BH435" s="25">
        <v>0</v>
      </c>
      <c r="BI435" s="25">
        <v>0</v>
      </c>
      <c r="BJ435" s="113">
        <v>58</v>
      </c>
      <c r="BK435" s="113">
        <v>58</v>
      </c>
      <c r="BL435" s="113">
        <v>63</v>
      </c>
      <c r="BM435" s="113">
        <v>65</v>
      </c>
      <c r="BN435" s="113">
        <v>45</v>
      </c>
      <c r="BO435" s="113">
        <v>45</v>
      </c>
      <c r="BP435" s="113">
        <v>41</v>
      </c>
      <c r="BQ435" s="113">
        <v>41</v>
      </c>
      <c r="BR435" s="101"/>
      <c r="BS435">
        <f t="shared" si="869"/>
        <v>0</v>
      </c>
      <c r="BT435">
        <f t="shared" si="869"/>
        <v>0</v>
      </c>
      <c r="BU435">
        <f t="shared" si="869"/>
        <v>0</v>
      </c>
      <c r="BV435">
        <f t="shared" si="869"/>
        <v>0</v>
      </c>
      <c r="BW435">
        <f t="shared" si="869"/>
        <v>0</v>
      </c>
      <c r="BX435">
        <f t="shared" si="869"/>
        <v>0</v>
      </c>
      <c r="BY435">
        <f t="shared" si="869"/>
        <v>0</v>
      </c>
      <c r="BZ435">
        <f t="shared" si="869"/>
        <v>0</v>
      </c>
      <c r="CA435">
        <f t="shared" si="869"/>
        <v>0</v>
      </c>
      <c r="CB435">
        <f t="shared" si="869"/>
        <v>0</v>
      </c>
      <c r="CC435">
        <f t="shared" si="870"/>
        <v>0</v>
      </c>
      <c r="CD435">
        <f t="shared" si="870"/>
        <v>0</v>
      </c>
      <c r="CE435">
        <f t="shared" si="870"/>
        <v>0</v>
      </c>
      <c r="CF435">
        <f t="shared" si="870"/>
        <v>0</v>
      </c>
      <c r="CG435">
        <f t="shared" si="870"/>
        <v>0</v>
      </c>
      <c r="CH435">
        <f t="shared" si="870"/>
        <v>0</v>
      </c>
      <c r="CI435">
        <f t="shared" si="870"/>
        <v>0</v>
      </c>
      <c r="CJ435">
        <f t="shared" si="870"/>
        <v>0</v>
      </c>
      <c r="CK435">
        <f t="shared" si="870"/>
        <v>0</v>
      </c>
      <c r="CL435">
        <f t="shared" si="870"/>
        <v>0</v>
      </c>
      <c r="CM435">
        <f t="shared" si="871"/>
        <v>0</v>
      </c>
      <c r="CN435">
        <f t="shared" si="871"/>
        <v>0</v>
      </c>
      <c r="CO435">
        <f t="shared" si="871"/>
        <v>0</v>
      </c>
      <c r="CP435">
        <f t="shared" si="871"/>
        <v>0</v>
      </c>
      <c r="CQ435">
        <f t="shared" si="871"/>
        <v>0</v>
      </c>
      <c r="CR435">
        <f t="shared" si="871"/>
        <v>0</v>
      </c>
      <c r="CS435">
        <f t="shared" si="871"/>
        <v>0</v>
      </c>
      <c r="CT435">
        <f t="shared" si="871"/>
        <v>0</v>
      </c>
      <c r="CU435">
        <f t="shared" si="871"/>
        <v>0</v>
      </c>
      <c r="CV435">
        <f t="shared" si="871"/>
        <v>0</v>
      </c>
      <c r="CW435">
        <f t="shared" si="872"/>
        <v>0</v>
      </c>
      <c r="CX435">
        <f t="shared" si="872"/>
        <v>0</v>
      </c>
      <c r="CY435">
        <f t="shared" si="872"/>
        <v>0</v>
      </c>
      <c r="CZ435">
        <f t="shared" si="872"/>
        <v>0</v>
      </c>
      <c r="DA435">
        <f t="shared" si="872"/>
        <v>0</v>
      </c>
      <c r="DB435">
        <f t="shared" si="872"/>
        <v>0</v>
      </c>
      <c r="DC435">
        <f t="shared" si="872"/>
        <v>0</v>
      </c>
      <c r="DD435">
        <f t="shared" si="872"/>
        <v>0</v>
      </c>
      <c r="DE435">
        <f t="shared" si="872"/>
        <v>0</v>
      </c>
      <c r="DF435">
        <f t="shared" si="872"/>
        <v>0</v>
      </c>
      <c r="DG435">
        <f t="shared" si="873"/>
        <v>0</v>
      </c>
      <c r="DH435">
        <f t="shared" si="873"/>
        <v>0</v>
      </c>
      <c r="DI435">
        <f t="shared" si="873"/>
        <v>0</v>
      </c>
      <c r="DJ435">
        <f t="shared" si="873"/>
        <v>0</v>
      </c>
      <c r="DK435">
        <f t="shared" si="873"/>
        <v>0</v>
      </c>
      <c r="DL435">
        <f t="shared" si="873"/>
        <v>0</v>
      </c>
      <c r="DM435">
        <f t="shared" si="873"/>
        <v>0</v>
      </c>
      <c r="DN435">
        <f t="shared" si="873"/>
        <v>0</v>
      </c>
      <c r="DO435">
        <f t="shared" si="873"/>
        <v>0</v>
      </c>
      <c r="DP435">
        <f t="shared" si="873"/>
        <v>0</v>
      </c>
      <c r="DQ435">
        <f t="shared" si="874"/>
        <v>0</v>
      </c>
      <c r="DR435">
        <f t="shared" si="874"/>
        <v>0</v>
      </c>
      <c r="DS435">
        <f t="shared" si="874"/>
        <v>0</v>
      </c>
      <c r="DT435">
        <f t="shared" si="874"/>
        <v>0</v>
      </c>
      <c r="DU435">
        <f t="shared" si="874"/>
        <v>0</v>
      </c>
      <c r="DV435">
        <f t="shared" si="874"/>
        <v>0</v>
      </c>
      <c r="DW435">
        <f t="shared" si="874"/>
        <v>0</v>
      </c>
      <c r="DX435">
        <f t="shared" si="874"/>
        <v>0</v>
      </c>
      <c r="DY435">
        <f t="shared" si="874"/>
        <v>0</v>
      </c>
      <c r="DZ435">
        <f t="shared" si="874"/>
        <v>0</v>
      </c>
      <c r="EA435">
        <f t="shared" si="875"/>
        <v>0</v>
      </c>
      <c r="EB435">
        <f t="shared" si="875"/>
        <v>0</v>
      </c>
      <c r="EC435">
        <f t="shared" si="875"/>
        <v>0</v>
      </c>
      <c r="ED435">
        <f t="shared" si="875"/>
        <v>0</v>
      </c>
      <c r="EE435">
        <f t="shared" si="875"/>
        <v>0</v>
      </c>
      <c r="EF435">
        <f t="shared" si="875"/>
        <v>0</v>
      </c>
    </row>
    <row r="436" spans="1:136" ht="15.5">
      <c r="A436" s="90"/>
      <c r="B436" s="19" t="s">
        <v>212</v>
      </c>
      <c r="C436" s="88"/>
      <c r="D436" s="25"/>
      <c r="E436" s="25"/>
      <c r="F436" s="25"/>
      <c r="G436" s="25"/>
      <c r="H436" s="25"/>
      <c r="I436" s="25"/>
      <c r="J436" s="25"/>
      <c r="K436" s="25"/>
      <c r="L436" s="25">
        <v>0</v>
      </c>
      <c r="M436" s="25">
        <v>0</v>
      </c>
      <c r="N436" s="25">
        <v>0</v>
      </c>
      <c r="O436" s="25">
        <v>0</v>
      </c>
      <c r="P436" s="25">
        <v>0</v>
      </c>
      <c r="Q436" s="25">
        <v>0</v>
      </c>
      <c r="R436" s="25">
        <v>0</v>
      </c>
      <c r="S436" s="25">
        <v>0</v>
      </c>
      <c r="T436" s="25">
        <v>0</v>
      </c>
      <c r="U436" s="25">
        <v>0</v>
      </c>
      <c r="V436" s="25">
        <v>0</v>
      </c>
      <c r="W436" s="25">
        <v>0</v>
      </c>
      <c r="X436" s="25">
        <v>0</v>
      </c>
      <c r="Y436" s="25">
        <v>0</v>
      </c>
      <c r="Z436" s="25">
        <v>0</v>
      </c>
      <c r="AA436" s="25">
        <v>0</v>
      </c>
      <c r="AB436" s="25">
        <f>1336/437</f>
        <v>3.0572082379862699</v>
      </c>
      <c r="AC436" s="25">
        <f>2425/449</f>
        <v>5.4008908685968819</v>
      </c>
      <c r="AD436" s="25">
        <f>2955/346</f>
        <v>8.5404624277456644</v>
      </c>
      <c r="AE436" s="25">
        <f>2411/300.5</f>
        <v>8.0232945091514143</v>
      </c>
      <c r="AF436" s="25">
        <v>216.10206479771696</v>
      </c>
      <c r="AG436" s="25">
        <v>223.68421052631578</v>
      </c>
      <c r="AH436" s="25">
        <v>246.81640625</v>
      </c>
      <c r="AI436" s="25">
        <v>238.77220077220076</v>
      </c>
      <c r="AJ436" s="25">
        <v>217.6</v>
      </c>
      <c r="AK436" s="25">
        <v>196.73898305084745</v>
      </c>
      <c r="AL436" s="25">
        <v>105.48598130841121</v>
      </c>
      <c r="AM436" s="25">
        <v>114.79387755102042</v>
      </c>
      <c r="AN436" s="25">
        <v>107.8587786259542</v>
      </c>
      <c r="AO436" s="18">
        <v>91.475792988313856</v>
      </c>
      <c r="AP436" s="18">
        <v>78.59964412811388</v>
      </c>
      <c r="AQ436" s="152">
        <v>113.28943089430895</v>
      </c>
      <c r="AR436" s="152">
        <v>82.377464788732397</v>
      </c>
      <c r="AS436" s="152">
        <v>68.796448087431699</v>
      </c>
      <c r="AT436" s="152">
        <v>69.408633093525182</v>
      </c>
      <c r="AU436" s="152">
        <v>81.408620689655166</v>
      </c>
      <c r="AV436" s="152">
        <v>50.456810631229231</v>
      </c>
      <c r="AW436" s="152">
        <v>21.043165467625901</v>
      </c>
      <c r="AX436" s="152">
        <v>18.269423810479822</v>
      </c>
      <c r="AY436" s="152">
        <v>0</v>
      </c>
      <c r="AZ436" s="25">
        <v>0</v>
      </c>
      <c r="BA436" s="25">
        <v>0</v>
      </c>
      <c r="BB436" s="25">
        <v>0</v>
      </c>
      <c r="BC436" s="25">
        <v>0</v>
      </c>
      <c r="BD436" s="25">
        <v>0</v>
      </c>
      <c r="BE436" s="25">
        <v>0</v>
      </c>
      <c r="BF436" s="25">
        <v>551.47058823529414</v>
      </c>
      <c r="BG436" s="113">
        <v>2074.5033112582782</v>
      </c>
      <c r="BH436" s="25">
        <v>2339.7745571658616</v>
      </c>
      <c r="BI436" s="25">
        <v>1993.8080495356037</v>
      </c>
      <c r="BJ436" s="113">
        <v>2955.4153485852107</v>
      </c>
      <c r="BK436" s="113">
        <v>2610.5442176870747</v>
      </c>
      <c r="BL436" s="18">
        <v>1414.4981412639406</v>
      </c>
      <c r="BM436" s="113">
        <v>1121.5211277326293</v>
      </c>
      <c r="BN436" s="168">
        <f>617300/647.8</f>
        <v>952.91756715035513</v>
      </c>
      <c r="BO436" s="113">
        <v>706</v>
      </c>
      <c r="BP436" s="113">
        <f>706-59</f>
        <v>647</v>
      </c>
      <c r="BQ436" s="113">
        <v>555</v>
      </c>
      <c r="BR436" s="101"/>
      <c r="BS436">
        <f t="shared" si="869"/>
        <v>0</v>
      </c>
      <c r="BT436">
        <f t="shared" si="869"/>
        <v>0</v>
      </c>
      <c r="BU436">
        <f t="shared" si="869"/>
        <v>0</v>
      </c>
      <c r="BV436">
        <f t="shared" si="869"/>
        <v>0</v>
      </c>
      <c r="BW436">
        <f t="shared" si="869"/>
        <v>0</v>
      </c>
      <c r="BX436">
        <f t="shared" si="869"/>
        <v>0</v>
      </c>
      <c r="BY436">
        <f t="shared" si="869"/>
        <v>0</v>
      </c>
      <c r="BZ436">
        <f t="shared" si="869"/>
        <v>0</v>
      </c>
      <c r="CA436">
        <f t="shared" si="869"/>
        <v>0</v>
      </c>
      <c r="CB436">
        <f t="shared" si="869"/>
        <v>0</v>
      </c>
      <c r="CC436">
        <f t="shared" si="870"/>
        <v>0</v>
      </c>
      <c r="CD436">
        <f t="shared" si="870"/>
        <v>0</v>
      </c>
      <c r="CE436">
        <f t="shared" si="870"/>
        <v>0</v>
      </c>
      <c r="CF436">
        <f t="shared" si="870"/>
        <v>0</v>
      </c>
      <c r="CG436">
        <f t="shared" si="870"/>
        <v>0</v>
      </c>
      <c r="CH436">
        <f t="shared" si="870"/>
        <v>0</v>
      </c>
      <c r="CI436">
        <f t="shared" si="870"/>
        <v>0</v>
      </c>
      <c r="CJ436">
        <f t="shared" si="870"/>
        <v>0</v>
      </c>
      <c r="CK436">
        <f t="shared" si="870"/>
        <v>0</v>
      </c>
      <c r="CL436">
        <f t="shared" si="870"/>
        <v>0</v>
      </c>
      <c r="CM436">
        <f t="shared" si="871"/>
        <v>0</v>
      </c>
      <c r="CN436">
        <f t="shared" si="871"/>
        <v>0</v>
      </c>
      <c r="CO436">
        <f t="shared" si="871"/>
        <v>0</v>
      </c>
      <c r="CP436">
        <f t="shared" si="871"/>
        <v>0</v>
      </c>
      <c r="CQ436">
        <f t="shared" si="871"/>
        <v>0</v>
      </c>
      <c r="CR436">
        <f t="shared" si="871"/>
        <v>0</v>
      </c>
      <c r="CS436">
        <f t="shared" si="871"/>
        <v>0</v>
      </c>
      <c r="CT436">
        <f t="shared" si="871"/>
        <v>0</v>
      </c>
      <c r="CU436">
        <f t="shared" si="871"/>
        <v>0</v>
      </c>
      <c r="CV436">
        <f t="shared" si="871"/>
        <v>0</v>
      </c>
      <c r="CW436">
        <f t="shared" si="872"/>
        <v>0</v>
      </c>
      <c r="CX436">
        <f t="shared" si="872"/>
        <v>0</v>
      </c>
      <c r="CY436">
        <f t="shared" si="872"/>
        <v>0</v>
      </c>
      <c r="CZ436">
        <f t="shared" si="872"/>
        <v>0</v>
      </c>
      <c r="DA436">
        <f t="shared" si="872"/>
        <v>0</v>
      </c>
      <c r="DB436">
        <f t="shared" si="872"/>
        <v>0</v>
      </c>
      <c r="DC436">
        <f t="shared" si="872"/>
        <v>0</v>
      </c>
      <c r="DD436">
        <f t="shared" si="872"/>
        <v>0</v>
      </c>
      <c r="DE436">
        <f t="shared" si="872"/>
        <v>0</v>
      </c>
      <c r="DF436">
        <f t="shared" si="872"/>
        <v>0</v>
      </c>
      <c r="DG436">
        <f t="shared" si="873"/>
        <v>0</v>
      </c>
      <c r="DH436">
        <f t="shared" si="873"/>
        <v>0</v>
      </c>
      <c r="DI436">
        <f t="shared" si="873"/>
        <v>0</v>
      </c>
      <c r="DJ436">
        <f t="shared" si="873"/>
        <v>0</v>
      </c>
      <c r="DK436">
        <f t="shared" si="873"/>
        <v>0</v>
      </c>
      <c r="DL436">
        <f t="shared" si="873"/>
        <v>0</v>
      </c>
      <c r="DM436">
        <f t="shared" si="873"/>
        <v>0</v>
      </c>
      <c r="DN436">
        <f t="shared" si="873"/>
        <v>0</v>
      </c>
      <c r="DO436">
        <f t="shared" si="873"/>
        <v>0</v>
      </c>
      <c r="DP436">
        <f t="shared" si="873"/>
        <v>0</v>
      </c>
      <c r="DQ436">
        <f t="shared" si="874"/>
        <v>0</v>
      </c>
      <c r="DR436">
        <f t="shared" si="874"/>
        <v>0</v>
      </c>
      <c r="DS436">
        <f t="shared" si="874"/>
        <v>0</v>
      </c>
      <c r="DT436">
        <f t="shared" si="874"/>
        <v>0</v>
      </c>
      <c r="DU436">
        <f t="shared" si="874"/>
        <v>0</v>
      </c>
      <c r="DV436">
        <f t="shared" si="874"/>
        <v>0</v>
      </c>
      <c r="DW436">
        <f t="shared" si="874"/>
        <v>0</v>
      </c>
      <c r="DX436">
        <f t="shared" si="874"/>
        <v>0</v>
      </c>
      <c r="DY436">
        <f t="shared" si="874"/>
        <v>0</v>
      </c>
      <c r="DZ436">
        <f t="shared" si="874"/>
        <v>0</v>
      </c>
      <c r="EA436">
        <f t="shared" ref="EA436:EF436" si="876">IF($C436&lt;&gt;"",IF(BL436&gt;0,1,0),0)</f>
        <v>0</v>
      </c>
      <c r="EB436">
        <f t="shared" si="876"/>
        <v>0</v>
      </c>
      <c r="EC436">
        <f t="shared" si="876"/>
        <v>0</v>
      </c>
      <c r="ED436">
        <f t="shared" si="876"/>
        <v>0</v>
      </c>
      <c r="EE436">
        <f t="shared" si="876"/>
        <v>0</v>
      </c>
      <c r="EF436">
        <f t="shared" si="876"/>
        <v>0</v>
      </c>
    </row>
    <row r="437" spans="1:136" ht="15.5">
      <c r="A437" s="90"/>
      <c r="B437" s="53"/>
      <c r="C437" s="94"/>
      <c r="D437" s="50"/>
      <c r="E437" s="50"/>
      <c r="F437" s="50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1"/>
      <c r="U437" s="68"/>
      <c r="V437" s="51"/>
      <c r="W437" s="68"/>
      <c r="X437" s="51"/>
      <c r="Y437" s="68"/>
      <c r="Z437" s="51"/>
      <c r="AA437" s="68"/>
      <c r="AB437" s="51"/>
      <c r="AC437" s="68"/>
      <c r="AD437" s="51"/>
      <c r="AE437" s="68"/>
      <c r="AF437" s="51"/>
      <c r="AG437" s="68"/>
      <c r="AH437" s="51"/>
      <c r="AI437" s="68"/>
      <c r="AJ437" s="51"/>
      <c r="AK437" s="51"/>
      <c r="AL437" s="51"/>
      <c r="AM437" s="51"/>
      <c r="AN437" s="51"/>
      <c r="AO437" s="51"/>
      <c r="AP437" s="51"/>
      <c r="AQ437" s="51"/>
      <c r="AR437" s="51"/>
      <c r="AS437" s="68"/>
      <c r="AT437" s="51"/>
      <c r="AU437" s="184"/>
      <c r="AV437" s="51"/>
      <c r="AW437" s="68"/>
      <c r="AX437" s="51"/>
      <c r="AY437" s="51"/>
      <c r="AZ437" s="51"/>
      <c r="BA437" s="51"/>
      <c r="BB437" s="51"/>
      <c r="BC437" s="68"/>
      <c r="BD437" s="51"/>
      <c r="BE437" s="51"/>
      <c r="BF437" s="69"/>
      <c r="BG437" s="69"/>
      <c r="BH437" s="2"/>
      <c r="BI437" s="2"/>
      <c r="BJ437" s="2"/>
      <c r="BK437" s="2"/>
      <c r="BL437" s="22"/>
      <c r="BM437" s="2"/>
      <c r="BN437" s="2"/>
      <c r="BO437" s="2"/>
      <c r="BP437" s="2"/>
      <c r="BQ437" s="2"/>
      <c r="BR437" s="101"/>
    </row>
    <row r="438" spans="1:136" ht="15.5">
      <c r="A438" s="93">
        <v>51</v>
      </c>
      <c r="B438" s="52" t="s">
        <v>64</v>
      </c>
      <c r="C438" s="94">
        <v>4</v>
      </c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>
        <f t="shared" ref="AK438:BQ438" si="877">SUM(AK439:AK443)</f>
        <v>0</v>
      </c>
      <c r="AL438" s="22">
        <f t="shared" si="877"/>
        <v>0</v>
      </c>
      <c r="AM438" s="22">
        <f t="shared" si="877"/>
        <v>0</v>
      </c>
      <c r="AN438" s="22">
        <f t="shared" si="877"/>
        <v>0</v>
      </c>
      <c r="AO438" s="22">
        <f t="shared" si="877"/>
        <v>0</v>
      </c>
      <c r="AP438" s="22">
        <f t="shared" si="877"/>
        <v>0</v>
      </c>
      <c r="AQ438" s="22">
        <f t="shared" si="877"/>
        <v>0</v>
      </c>
      <c r="AR438" s="22">
        <f t="shared" si="877"/>
        <v>6.8168045999999993</v>
      </c>
      <c r="AS438" s="22">
        <f t="shared" si="877"/>
        <v>7.1210000000000004</v>
      </c>
      <c r="AT438" s="22">
        <f t="shared" si="877"/>
        <v>7.9429999999999996</v>
      </c>
      <c r="AU438" s="22">
        <f t="shared" si="877"/>
        <v>19.294113299999999</v>
      </c>
      <c r="AV438" s="22">
        <f t="shared" si="877"/>
        <v>29.751622399999999</v>
      </c>
      <c r="AW438" s="22">
        <f t="shared" si="877"/>
        <v>15.4641193</v>
      </c>
      <c r="AX438" s="22">
        <f t="shared" si="877"/>
        <v>24.9244983</v>
      </c>
      <c r="AY438" s="22">
        <f t="shared" si="877"/>
        <v>42.318565800000002</v>
      </c>
      <c r="AZ438" s="22">
        <f t="shared" si="877"/>
        <v>33.743498000000002</v>
      </c>
      <c r="BA438" s="22">
        <f t="shared" si="877"/>
        <v>22.846494700000001</v>
      </c>
      <c r="BB438" s="22">
        <f t="shared" si="877"/>
        <v>22.489633600000001</v>
      </c>
      <c r="BC438" s="22">
        <f t="shared" si="877"/>
        <v>28.689354100000003</v>
      </c>
      <c r="BD438" s="22">
        <f t="shared" si="877"/>
        <v>222.42954700000001</v>
      </c>
      <c r="BE438" s="22">
        <f t="shared" si="877"/>
        <v>260.3857299</v>
      </c>
      <c r="BF438" s="22">
        <f t="shared" si="877"/>
        <v>299.19259210000001</v>
      </c>
      <c r="BG438" s="22">
        <f t="shared" si="877"/>
        <v>332.48670090000002</v>
      </c>
      <c r="BH438" s="22">
        <f t="shared" si="877"/>
        <v>378.35351306000007</v>
      </c>
      <c r="BI438" s="22">
        <f t="shared" si="877"/>
        <v>417.27767099620007</v>
      </c>
      <c r="BJ438" s="22">
        <f t="shared" si="877"/>
        <v>460.94898120693409</v>
      </c>
      <c r="BK438" s="22">
        <f t="shared" si="877"/>
        <v>508.03839159541951</v>
      </c>
      <c r="BL438" s="22">
        <f t="shared" si="877"/>
        <v>562.46872535209889</v>
      </c>
      <c r="BM438" s="22">
        <f t="shared" si="877"/>
        <v>621.23356806174581</v>
      </c>
      <c r="BN438" s="22">
        <f t="shared" si="877"/>
        <v>666.99554651006804</v>
      </c>
      <c r="BO438" s="22">
        <f t="shared" si="877"/>
        <v>720</v>
      </c>
      <c r="BP438" s="22">
        <f t="shared" si="877"/>
        <v>770</v>
      </c>
      <c r="BQ438" s="22">
        <f t="shared" si="877"/>
        <v>835</v>
      </c>
      <c r="BR438" s="101"/>
      <c r="BS438">
        <f t="shared" ref="BS438:CX438" si="878">IF($C438&lt;&gt;"",IF(D438&gt;0,1,0),0)</f>
        <v>0</v>
      </c>
      <c r="BT438">
        <f t="shared" si="878"/>
        <v>0</v>
      </c>
      <c r="BU438">
        <f t="shared" si="878"/>
        <v>0</v>
      </c>
      <c r="BV438">
        <f t="shared" si="878"/>
        <v>0</v>
      </c>
      <c r="BW438">
        <f t="shared" si="878"/>
        <v>0</v>
      </c>
      <c r="BX438">
        <f t="shared" si="878"/>
        <v>0</v>
      </c>
      <c r="BY438">
        <f t="shared" si="878"/>
        <v>0</v>
      </c>
      <c r="BZ438">
        <f t="shared" si="878"/>
        <v>0</v>
      </c>
      <c r="CA438">
        <f t="shared" si="878"/>
        <v>0</v>
      </c>
      <c r="CB438">
        <f t="shared" si="878"/>
        <v>0</v>
      </c>
      <c r="CC438">
        <f t="shared" si="878"/>
        <v>0</v>
      </c>
      <c r="CD438">
        <f t="shared" si="878"/>
        <v>0</v>
      </c>
      <c r="CE438">
        <f t="shared" si="878"/>
        <v>0</v>
      </c>
      <c r="CF438">
        <f t="shared" si="878"/>
        <v>0</v>
      </c>
      <c r="CG438">
        <f t="shared" si="878"/>
        <v>0</v>
      </c>
      <c r="CH438">
        <f t="shared" si="878"/>
        <v>0</v>
      </c>
      <c r="CI438">
        <f t="shared" si="878"/>
        <v>0</v>
      </c>
      <c r="CJ438">
        <f t="shared" si="878"/>
        <v>0</v>
      </c>
      <c r="CK438">
        <f t="shared" si="878"/>
        <v>0</v>
      </c>
      <c r="CL438">
        <f t="shared" si="878"/>
        <v>0</v>
      </c>
      <c r="CM438">
        <f t="shared" si="878"/>
        <v>0</v>
      </c>
      <c r="CN438">
        <f t="shared" si="878"/>
        <v>0</v>
      </c>
      <c r="CO438">
        <f t="shared" si="878"/>
        <v>0</v>
      </c>
      <c r="CP438">
        <f t="shared" si="878"/>
        <v>0</v>
      </c>
      <c r="CQ438">
        <f t="shared" si="878"/>
        <v>0</v>
      </c>
      <c r="CR438">
        <f t="shared" si="878"/>
        <v>0</v>
      </c>
      <c r="CS438">
        <f t="shared" si="878"/>
        <v>0</v>
      </c>
      <c r="CT438">
        <f t="shared" si="878"/>
        <v>0</v>
      </c>
      <c r="CU438">
        <f t="shared" si="878"/>
        <v>0</v>
      </c>
      <c r="CV438">
        <f t="shared" si="878"/>
        <v>0</v>
      </c>
      <c r="CW438">
        <f t="shared" si="878"/>
        <v>0</v>
      </c>
      <c r="CX438">
        <f t="shared" si="878"/>
        <v>0</v>
      </c>
      <c r="CY438">
        <f t="shared" ref="CY438:ED438" si="879">IF($C438&lt;&gt;"",IF(AJ438&gt;0,1,0),0)</f>
        <v>0</v>
      </c>
      <c r="CZ438">
        <f t="shared" si="879"/>
        <v>0</v>
      </c>
      <c r="DA438">
        <f t="shared" si="879"/>
        <v>0</v>
      </c>
      <c r="DB438">
        <f t="shared" si="879"/>
        <v>0</v>
      </c>
      <c r="DC438">
        <f t="shared" si="879"/>
        <v>0</v>
      </c>
      <c r="DD438">
        <f t="shared" si="879"/>
        <v>0</v>
      </c>
      <c r="DE438">
        <f t="shared" si="879"/>
        <v>0</v>
      </c>
      <c r="DF438">
        <f t="shared" si="879"/>
        <v>0</v>
      </c>
      <c r="DG438">
        <f t="shared" si="879"/>
        <v>1</v>
      </c>
      <c r="DH438">
        <f t="shared" si="879"/>
        <v>1</v>
      </c>
      <c r="DI438">
        <f t="shared" si="879"/>
        <v>1</v>
      </c>
      <c r="DJ438">
        <f t="shared" si="879"/>
        <v>1</v>
      </c>
      <c r="DK438">
        <f t="shared" si="879"/>
        <v>1</v>
      </c>
      <c r="DL438">
        <f t="shared" si="879"/>
        <v>1</v>
      </c>
      <c r="DM438">
        <f t="shared" si="879"/>
        <v>1</v>
      </c>
      <c r="DN438">
        <f t="shared" si="879"/>
        <v>1</v>
      </c>
      <c r="DO438">
        <f t="shared" si="879"/>
        <v>1</v>
      </c>
      <c r="DP438">
        <f t="shared" si="879"/>
        <v>1</v>
      </c>
      <c r="DQ438">
        <f t="shared" si="879"/>
        <v>1</v>
      </c>
      <c r="DR438">
        <f t="shared" si="879"/>
        <v>1</v>
      </c>
      <c r="DS438">
        <f t="shared" si="879"/>
        <v>1</v>
      </c>
      <c r="DT438">
        <f t="shared" si="879"/>
        <v>1</v>
      </c>
      <c r="DU438">
        <f t="shared" si="879"/>
        <v>1</v>
      </c>
      <c r="DV438">
        <f t="shared" si="879"/>
        <v>1</v>
      </c>
      <c r="DW438">
        <f t="shared" si="879"/>
        <v>1</v>
      </c>
      <c r="DX438">
        <f t="shared" si="879"/>
        <v>1</v>
      </c>
      <c r="DY438">
        <f t="shared" si="879"/>
        <v>1</v>
      </c>
      <c r="DZ438">
        <f t="shared" si="879"/>
        <v>1</v>
      </c>
      <c r="EA438">
        <f t="shared" si="879"/>
        <v>1</v>
      </c>
      <c r="EB438">
        <f t="shared" si="879"/>
        <v>1</v>
      </c>
      <c r="EC438">
        <f t="shared" si="879"/>
        <v>1</v>
      </c>
      <c r="ED438">
        <f t="shared" si="879"/>
        <v>1</v>
      </c>
      <c r="EE438">
        <f t="shared" ref="EE438:EF438" si="880">IF($C438&lt;&gt;"",IF(BP438&gt;0,1,0),0)</f>
        <v>1</v>
      </c>
      <c r="EF438">
        <f t="shared" si="880"/>
        <v>1</v>
      </c>
    </row>
    <row r="439" spans="1:136" ht="15.5">
      <c r="A439" s="90"/>
      <c r="B439" s="53" t="s">
        <v>202</v>
      </c>
      <c r="C439" s="94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0"/>
      <c r="S439" s="70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34">
        <v>0</v>
      </c>
      <c r="AL439" s="18">
        <v>0</v>
      </c>
      <c r="AM439" s="18">
        <v>0</v>
      </c>
      <c r="AN439" s="18">
        <v>0</v>
      </c>
      <c r="AO439" s="18">
        <v>0</v>
      </c>
      <c r="AP439" s="18">
        <v>0</v>
      </c>
      <c r="AQ439" s="18">
        <v>0</v>
      </c>
      <c r="AR439" s="18">
        <v>0</v>
      </c>
      <c r="AS439" s="18">
        <v>0</v>
      </c>
      <c r="AT439" s="18">
        <v>0</v>
      </c>
      <c r="AU439" s="18">
        <v>0</v>
      </c>
      <c r="AV439" s="18">
        <v>0</v>
      </c>
      <c r="AW439" s="18">
        <v>0</v>
      </c>
      <c r="AX439" s="18">
        <v>0</v>
      </c>
      <c r="AY439" s="18">
        <v>0</v>
      </c>
      <c r="AZ439" s="18">
        <v>0</v>
      </c>
      <c r="BA439" s="18">
        <v>0</v>
      </c>
      <c r="BB439" s="18">
        <v>0</v>
      </c>
      <c r="BC439" s="18">
        <v>0</v>
      </c>
      <c r="BD439" s="18">
        <v>10</v>
      </c>
      <c r="BE439" s="148">
        <v>22</v>
      </c>
      <c r="BF439" s="146">
        <v>37</v>
      </c>
      <c r="BG439" s="146">
        <v>46</v>
      </c>
      <c r="BH439" s="146">
        <v>59</v>
      </c>
      <c r="BI439" s="146">
        <v>71</v>
      </c>
      <c r="BJ439" s="142">
        <v>87</v>
      </c>
      <c r="BK439" s="142">
        <v>101</v>
      </c>
      <c r="BL439" s="142">
        <f>86+29</f>
        <v>115</v>
      </c>
      <c r="BM439" s="142">
        <v>143</v>
      </c>
      <c r="BN439" s="142">
        <v>156</v>
      </c>
      <c r="BO439" s="142">
        <v>176</v>
      </c>
      <c r="BP439" s="113">
        <v>191</v>
      </c>
      <c r="BQ439" s="113">
        <v>221</v>
      </c>
      <c r="BR439" s="101"/>
      <c r="BS439">
        <f t="shared" ref="BS439:CB443" si="881">IF($C439&lt;&gt;"",IF(D439&gt;0,1,0),0)</f>
        <v>0</v>
      </c>
      <c r="BT439">
        <f t="shared" si="881"/>
        <v>0</v>
      </c>
      <c r="BU439">
        <f t="shared" si="881"/>
        <v>0</v>
      </c>
      <c r="BV439">
        <f t="shared" si="881"/>
        <v>0</v>
      </c>
      <c r="BW439">
        <f t="shared" si="881"/>
        <v>0</v>
      </c>
      <c r="BX439">
        <f t="shared" si="881"/>
        <v>0</v>
      </c>
      <c r="BY439">
        <f t="shared" si="881"/>
        <v>0</v>
      </c>
      <c r="BZ439">
        <f t="shared" si="881"/>
        <v>0</v>
      </c>
      <c r="CA439">
        <f t="shared" si="881"/>
        <v>0</v>
      </c>
      <c r="CB439">
        <f t="shared" si="881"/>
        <v>0</v>
      </c>
      <c r="CC439">
        <f t="shared" ref="CC439:CL443" si="882">IF($C439&lt;&gt;"",IF(N439&gt;0,1,0),0)</f>
        <v>0</v>
      </c>
      <c r="CD439">
        <f t="shared" si="882"/>
        <v>0</v>
      </c>
      <c r="CE439">
        <f t="shared" si="882"/>
        <v>0</v>
      </c>
      <c r="CF439">
        <f t="shared" si="882"/>
        <v>0</v>
      </c>
      <c r="CG439">
        <f t="shared" si="882"/>
        <v>0</v>
      </c>
      <c r="CH439">
        <f t="shared" si="882"/>
        <v>0</v>
      </c>
      <c r="CI439">
        <f t="shared" si="882"/>
        <v>0</v>
      </c>
      <c r="CJ439">
        <f t="shared" si="882"/>
        <v>0</v>
      </c>
      <c r="CK439">
        <f t="shared" si="882"/>
        <v>0</v>
      </c>
      <c r="CL439">
        <f t="shared" si="882"/>
        <v>0</v>
      </c>
      <c r="CM439">
        <f t="shared" ref="CM439:CV443" si="883">IF($C439&lt;&gt;"",IF(X439&gt;0,1,0),0)</f>
        <v>0</v>
      </c>
      <c r="CN439">
        <f t="shared" si="883"/>
        <v>0</v>
      </c>
      <c r="CO439">
        <f t="shared" si="883"/>
        <v>0</v>
      </c>
      <c r="CP439">
        <f t="shared" si="883"/>
        <v>0</v>
      </c>
      <c r="CQ439">
        <f t="shared" si="883"/>
        <v>0</v>
      </c>
      <c r="CR439">
        <f t="shared" si="883"/>
        <v>0</v>
      </c>
      <c r="CS439">
        <f t="shared" si="883"/>
        <v>0</v>
      </c>
      <c r="CT439">
        <f t="shared" si="883"/>
        <v>0</v>
      </c>
      <c r="CU439">
        <f t="shared" si="883"/>
        <v>0</v>
      </c>
      <c r="CV439">
        <f t="shared" si="883"/>
        <v>0</v>
      </c>
      <c r="CW439">
        <f t="shared" ref="CW439:DF443" si="884">IF($C439&lt;&gt;"",IF(AH439&gt;0,1,0),0)</f>
        <v>0</v>
      </c>
      <c r="CX439">
        <f t="shared" si="884"/>
        <v>0</v>
      </c>
      <c r="CY439">
        <f t="shared" si="884"/>
        <v>0</v>
      </c>
      <c r="CZ439">
        <f t="shared" si="884"/>
        <v>0</v>
      </c>
      <c r="DA439">
        <f t="shared" si="884"/>
        <v>0</v>
      </c>
      <c r="DB439">
        <f t="shared" si="884"/>
        <v>0</v>
      </c>
      <c r="DC439">
        <f t="shared" si="884"/>
        <v>0</v>
      </c>
      <c r="DD439">
        <f t="shared" si="884"/>
        <v>0</v>
      </c>
      <c r="DE439">
        <f t="shared" si="884"/>
        <v>0</v>
      </c>
      <c r="DF439">
        <f t="shared" si="884"/>
        <v>0</v>
      </c>
      <c r="DG439">
        <f t="shared" ref="DG439:DP443" si="885">IF($C439&lt;&gt;"",IF(AR439&gt;0,1,0),0)</f>
        <v>0</v>
      </c>
      <c r="DH439">
        <f t="shared" si="885"/>
        <v>0</v>
      </c>
      <c r="DI439">
        <f t="shared" si="885"/>
        <v>0</v>
      </c>
      <c r="DJ439">
        <f t="shared" si="885"/>
        <v>0</v>
      </c>
      <c r="DK439">
        <f t="shared" si="885"/>
        <v>0</v>
      </c>
      <c r="DL439">
        <f t="shared" si="885"/>
        <v>0</v>
      </c>
      <c r="DM439">
        <f t="shared" si="885"/>
        <v>0</v>
      </c>
      <c r="DN439">
        <f t="shared" si="885"/>
        <v>0</v>
      </c>
      <c r="DO439">
        <f t="shared" si="885"/>
        <v>0</v>
      </c>
      <c r="DP439">
        <f t="shared" si="885"/>
        <v>0</v>
      </c>
      <c r="DQ439">
        <f t="shared" ref="DQ439:DZ443" si="886">IF($C439&lt;&gt;"",IF(BB439&gt;0,1,0),0)</f>
        <v>0</v>
      </c>
      <c r="DR439">
        <f t="shared" si="886"/>
        <v>0</v>
      </c>
      <c r="DS439">
        <f t="shared" si="886"/>
        <v>0</v>
      </c>
      <c r="DT439">
        <f t="shared" si="886"/>
        <v>0</v>
      </c>
      <c r="DU439">
        <f t="shared" si="886"/>
        <v>0</v>
      </c>
      <c r="DV439">
        <f t="shared" si="886"/>
        <v>0</v>
      </c>
      <c r="DW439">
        <f t="shared" si="886"/>
        <v>0</v>
      </c>
      <c r="DX439">
        <f t="shared" si="886"/>
        <v>0</v>
      </c>
      <c r="DY439">
        <f t="shared" si="886"/>
        <v>0</v>
      </c>
      <c r="DZ439">
        <f t="shared" si="886"/>
        <v>0</v>
      </c>
      <c r="EA439">
        <f t="shared" ref="EA439:EF441" si="887">IF($C439&lt;&gt;"",IF(BL438&gt;0,1,0),0)</f>
        <v>0</v>
      </c>
      <c r="EB439">
        <f t="shared" si="887"/>
        <v>0</v>
      </c>
      <c r="EC439">
        <f t="shared" si="887"/>
        <v>0</v>
      </c>
      <c r="ED439">
        <f t="shared" si="887"/>
        <v>0</v>
      </c>
      <c r="EE439">
        <f t="shared" si="887"/>
        <v>0</v>
      </c>
      <c r="EF439">
        <f t="shared" si="887"/>
        <v>0</v>
      </c>
    </row>
    <row r="440" spans="1:136" ht="15.5">
      <c r="A440" s="90"/>
      <c r="B440" s="53" t="s">
        <v>205</v>
      </c>
      <c r="C440" s="94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  <c r="P440" s="70"/>
      <c r="Q440" s="70"/>
      <c r="R440" s="70"/>
      <c r="S440" s="70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34">
        <v>0</v>
      </c>
      <c r="AL440" s="18">
        <v>0</v>
      </c>
      <c r="AM440" s="18">
        <v>0</v>
      </c>
      <c r="AN440" s="18">
        <v>0</v>
      </c>
      <c r="AO440" s="18">
        <v>0</v>
      </c>
      <c r="AP440" s="18">
        <v>0</v>
      </c>
      <c r="AQ440" s="18">
        <v>0</v>
      </c>
      <c r="AR440" s="18">
        <v>0</v>
      </c>
      <c r="AS440" s="18">
        <v>3</v>
      </c>
      <c r="AT440" s="18">
        <v>0</v>
      </c>
      <c r="AU440" s="18">
        <v>3</v>
      </c>
      <c r="AV440" s="18">
        <v>0</v>
      </c>
      <c r="AW440" s="18">
        <v>0</v>
      </c>
      <c r="AX440" s="40" t="s">
        <v>16</v>
      </c>
      <c r="AY440" s="18">
        <v>3.0044746</v>
      </c>
      <c r="AZ440" s="18">
        <v>0</v>
      </c>
      <c r="BA440" s="18">
        <v>0</v>
      </c>
      <c r="BB440" s="18">
        <v>0</v>
      </c>
      <c r="BC440" s="18">
        <v>0</v>
      </c>
      <c r="BD440" s="18">
        <v>0</v>
      </c>
      <c r="BE440" s="25">
        <v>0</v>
      </c>
      <c r="BF440" s="18">
        <v>0</v>
      </c>
      <c r="BG440" s="18">
        <v>0</v>
      </c>
      <c r="BH440" s="18">
        <v>7</v>
      </c>
      <c r="BI440" s="18">
        <v>0</v>
      </c>
      <c r="BJ440" s="113">
        <v>0</v>
      </c>
      <c r="BK440" s="113">
        <v>0</v>
      </c>
      <c r="BL440" s="113">
        <v>0</v>
      </c>
      <c r="BM440" s="113">
        <v>0</v>
      </c>
      <c r="BN440" s="113">
        <v>0</v>
      </c>
      <c r="BO440" s="113">
        <v>0</v>
      </c>
      <c r="BP440" s="113">
        <v>0</v>
      </c>
      <c r="BQ440" s="113">
        <v>0</v>
      </c>
      <c r="BR440" s="101"/>
      <c r="BS440">
        <f t="shared" si="881"/>
        <v>0</v>
      </c>
      <c r="BT440">
        <f t="shared" si="881"/>
        <v>0</v>
      </c>
      <c r="BU440">
        <f t="shared" si="881"/>
        <v>0</v>
      </c>
      <c r="BV440">
        <f t="shared" si="881"/>
        <v>0</v>
      </c>
      <c r="BW440">
        <f t="shared" si="881"/>
        <v>0</v>
      </c>
      <c r="BX440">
        <f t="shared" si="881"/>
        <v>0</v>
      </c>
      <c r="BY440">
        <f t="shared" si="881"/>
        <v>0</v>
      </c>
      <c r="BZ440">
        <f t="shared" si="881"/>
        <v>0</v>
      </c>
      <c r="CA440">
        <f t="shared" si="881"/>
        <v>0</v>
      </c>
      <c r="CB440">
        <f t="shared" si="881"/>
        <v>0</v>
      </c>
      <c r="CC440">
        <f t="shared" si="882"/>
        <v>0</v>
      </c>
      <c r="CD440">
        <f t="shared" si="882"/>
        <v>0</v>
      </c>
      <c r="CE440">
        <f t="shared" si="882"/>
        <v>0</v>
      </c>
      <c r="CF440">
        <f t="shared" si="882"/>
        <v>0</v>
      </c>
      <c r="CG440">
        <f t="shared" si="882"/>
        <v>0</v>
      </c>
      <c r="CH440">
        <f t="shared" si="882"/>
        <v>0</v>
      </c>
      <c r="CI440">
        <f t="shared" si="882"/>
        <v>0</v>
      </c>
      <c r="CJ440">
        <f t="shared" si="882"/>
        <v>0</v>
      </c>
      <c r="CK440">
        <f t="shared" si="882"/>
        <v>0</v>
      </c>
      <c r="CL440">
        <f t="shared" si="882"/>
        <v>0</v>
      </c>
      <c r="CM440">
        <f t="shared" si="883"/>
        <v>0</v>
      </c>
      <c r="CN440">
        <f t="shared" si="883"/>
        <v>0</v>
      </c>
      <c r="CO440">
        <f t="shared" si="883"/>
        <v>0</v>
      </c>
      <c r="CP440">
        <f t="shared" si="883"/>
        <v>0</v>
      </c>
      <c r="CQ440">
        <f t="shared" si="883"/>
        <v>0</v>
      </c>
      <c r="CR440">
        <f t="shared" si="883"/>
        <v>0</v>
      </c>
      <c r="CS440">
        <f t="shared" si="883"/>
        <v>0</v>
      </c>
      <c r="CT440">
        <f t="shared" si="883"/>
        <v>0</v>
      </c>
      <c r="CU440">
        <f t="shared" si="883"/>
        <v>0</v>
      </c>
      <c r="CV440">
        <f t="shared" si="883"/>
        <v>0</v>
      </c>
      <c r="CW440">
        <f t="shared" si="884"/>
        <v>0</v>
      </c>
      <c r="CX440">
        <f t="shared" si="884"/>
        <v>0</v>
      </c>
      <c r="CY440">
        <f t="shared" si="884"/>
        <v>0</v>
      </c>
      <c r="CZ440">
        <f t="shared" si="884"/>
        <v>0</v>
      </c>
      <c r="DA440">
        <f t="shared" si="884"/>
        <v>0</v>
      </c>
      <c r="DB440">
        <f t="shared" si="884"/>
        <v>0</v>
      </c>
      <c r="DC440">
        <f t="shared" si="884"/>
        <v>0</v>
      </c>
      <c r="DD440">
        <f t="shared" si="884"/>
        <v>0</v>
      </c>
      <c r="DE440">
        <f t="shared" si="884"/>
        <v>0</v>
      </c>
      <c r="DF440">
        <f t="shared" si="884"/>
        <v>0</v>
      </c>
      <c r="DG440">
        <f t="shared" si="885"/>
        <v>0</v>
      </c>
      <c r="DH440">
        <f t="shared" si="885"/>
        <v>0</v>
      </c>
      <c r="DI440">
        <f t="shared" si="885"/>
        <v>0</v>
      </c>
      <c r="DJ440">
        <f t="shared" si="885"/>
        <v>0</v>
      </c>
      <c r="DK440">
        <f t="shared" si="885"/>
        <v>0</v>
      </c>
      <c r="DL440">
        <f t="shared" si="885"/>
        <v>0</v>
      </c>
      <c r="DM440">
        <f t="shared" si="885"/>
        <v>0</v>
      </c>
      <c r="DN440">
        <f t="shared" si="885"/>
        <v>0</v>
      </c>
      <c r="DO440">
        <f t="shared" si="885"/>
        <v>0</v>
      </c>
      <c r="DP440">
        <f t="shared" si="885"/>
        <v>0</v>
      </c>
      <c r="DQ440">
        <f t="shared" si="886"/>
        <v>0</v>
      </c>
      <c r="DR440">
        <f t="shared" si="886"/>
        <v>0</v>
      </c>
      <c r="DS440">
        <f t="shared" si="886"/>
        <v>0</v>
      </c>
      <c r="DT440">
        <f t="shared" si="886"/>
        <v>0</v>
      </c>
      <c r="DU440">
        <f t="shared" si="886"/>
        <v>0</v>
      </c>
      <c r="DV440">
        <f t="shared" si="886"/>
        <v>0</v>
      </c>
      <c r="DW440">
        <f t="shared" si="886"/>
        <v>0</v>
      </c>
      <c r="DX440">
        <f t="shared" si="886"/>
        <v>0</v>
      </c>
      <c r="DY440">
        <f t="shared" si="886"/>
        <v>0</v>
      </c>
      <c r="DZ440">
        <f t="shared" si="886"/>
        <v>0</v>
      </c>
      <c r="EA440">
        <f t="shared" si="887"/>
        <v>0</v>
      </c>
      <c r="EB440">
        <f t="shared" si="887"/>
        <v>0</v>
      </c>
      <c r="EC440">
        <f t="shared" si="887"/>
        <v>0</v>
      </c>
      <c r="ED440">
        <f t="shared" si="887"/>
        <v>0</v>
      </c>
      <c r="EE440">
        <f t="shared" si="887"/>
        <v>0</v>
      </c>
      <c r="EF440">
        <f t="shared" si="887"/>
        <v>0</v>
      </c>
    </row>
    <row r="441" spans="1:136" ht="15.5">
      <c r="A441" s="90"/>
      <c r="B441" s="53" t="s">
        <v>3</v>
      </c>
      <c r="C441" s="9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  <c r="AI441" s="34"/>
      <c r="AJ441" s="34"/>
      <c r="AK441" s="34">
        <v>0</v>
      </c>
      <c r="AL441" s="34">
        <v>0</v>
      </c>
      <c r="AM441" s="34">
        <v>0</v>
      </c>
      <c r="AN441" s="34">
        <v>0</v>
      </c>
      <c r="AO441" s="34">
        <v>0</v>
      </c>
      <c r="AP441" s="34">
        <v>0</v>
      </c>
      <c r="AQ441" s="34">
        <v>0</v>
      </c>
      <c r="AR441" s="34">
        <v>6.8168045999999993</v>
      </c>
      <c r="AS441" s="34">
        <v>4.1210000000000004</v>
      </c>
      <c r="AT441" s="34">
        <v>7.9429999999999996</v>
      </c>
      <c r="AU441" s="34">
        <v>16.294113299999999</v>
      </c>
      <c r="AV441" s="34">
        <v>29.751622399999999</v>
      </c>
      <c r="AW441" s="34">
        <v>15.3013207</v>
      </c>
      <c r="AX441" s="34">
        <v>24.9244983</v>
      </c>
      <c r="AY441" s="34">
        <f>42.3185658-AY440</f>
        <v>39.3140912</v>
      </c>
      <c r="AZ441" s="34">
        <v>33.743498000000002</v>
      </c>
      <c r="BA441" s="34">
        <v>22.846494700000001</v>
      </c>
      <c r="BB441" s="34">
        <v>22.489633600000001</v>
      </c>
      <c r="BC441" s="34">
        <v>28.689354100000003</v>
      </c>
      <c r="BD441" s="34">
        <v>46.429546999999999</v>
      </c>
      <c r="BE441" s="42">
        <v>60.765729899999997</v>
      </c>
      <c r="BF441" s="18">
        <v>72.139192099999988</v>
      </c>
      <c r="BG441" s="18">
        <v>83.12956290000001</v>
      </c>
      <c r="BH441" s="18">
        <v>94.761375400000006</v>
      </c>
      <c r="BI441" s="18">
        <v>113.4540837</v>
      </c>
      <c r="BJ441" s="18">
        <v>124.8277428</v>
      </c>
      <c r="BK441" s="34">
        <v>140.4786665</v>
      </c>
      <c r="BL441" s="113">
        <v>162.2498195</v>
      </c>
      <c r="BM441" s="113">
        <v>173.04933880000002</v>
      </c>
      <c r="BN441" s="113">
        <v>184.44842119999998</v>
      </c>
      <c r="BO441" s="113">
        <v>195</v>
      </c>
      <c r="BP441" s="113">
        <v>206</v>
      </c>
      <c r="BQ441" s="113">
        <v>217</v>
      </c>
      <c r="BR441" s="101"/>
      <c r="BS441">
        <f t="shared" si="881"/>
        <v>0</v>
      </c>
      <c r="BT441">
        <f t="shared" si="881"/>
        <v>0</v>
      </c>
      <c r="BU441">
        <f t="shared" si="881"/>
        <v>0</v>
      </c>
      <c r="BV441">
        <f t="shared" si="881"/>
        <v>0</v>
      </c>
      <c r="BW441">
        <f t="shared" si="881"/>
        <v>0</v>
      </c>
      <c r="BX441">
        <f t="shared" si="881"/>
        <v>0</v>
      </c>
      <c r="BY441">
        <f t="shared" si="881"/>
        <v>0</v>
      </c>
      <c r="BZ441">
        <f t="shared" si="881"/>
        <v>0</v>
      </c>
      <c r="CA441">
        <f t="shared" si="881"/>
        <v>0</v>
      </c>
      <c r="CB441">
        <f t="shared" si="881"/>
        <v>0</v>
      </c>
      <c r="CC441">
        <f t="shared" si="882"/>
        <v>0</v>
      </c>
      <c r="CD441">
        <f t="shared" si="882"/>
        <v>0</v>
      </c>
      <c r="CE441">
        <f t="shared" si="882"/>
        <v>0</v>
      </c>
      <c r="CF441">
        <f t="shared" si="882"/>
        <v>0</v>
      </c>
      <c r="CG441">
        <f t="shared" si="882"/>
        <v>0</v>
      </c>
      <c r="CH441">
        <f t="shared" si="882"/>
        <v>0</v>
      </c>
      <c r="CI441">
        <f t="shared" si="882"/>
        <v>0</v>
      </c>
      <c r="CJ441">
        <f t="shared" si="882"/>
        <v>0</v>
      </c>
      <c r="CK441">
        <f t="shared" si="882"/>
        <v>0</v>
      </c>
      <c r="CL441">
        <f t="shared" si="882"/>
        <v>0</v>
      </c>
      <c r="CM441">
        <f t="shared" si="883"/>
        <v>0</v>
      </c>
      <c r="CN441">
        <f t="shared" si="883"/>
        <v>0</v>
      </c>
      <c r="CO441">
        <f t="shared" si="883"/>
        <v>0</v>
      </c>
      <c r="CP441">
        <f t="shared" si="883"/>
        <v>0</v>
      </c>
      <c r="CQ441">
        <f t="shared" si="883"/>
        <v>0</v>
      </c>
      <c r="CR441">
        <f t="shared" si="883"/>
        <v>0</v>
      </c>
      <c r="CS441">
        <f t="shared" si="883"/>
        <v>0</v>
      </c>
      <c r="CT441">
        <f t="shared" si="883"/>
        <v>0</v>
      </c>
      <c r="CU441">
        <f t="shared" si="883"/>
        <v>0</v>
      </c>
      <c r="CV441">
        <f t="shared" si="883"/>
        <v>0</v>
      </c>
      <c r="CW441">
        <f t="shared" si="884"/>
        <v>0</v>
      </c>
      <c r="CX441">
        <f t="shared" si="884"/>
        <v>0</v>
      </c>
      <c r="CY441">
        <f t="shared" si="884"/>
        <v>0</v>
      </c>
      <c r="CZ441">
        <f t="shared" si="884"/>
        <v>0</v>
      </c>
      <c r="DA441">
        <f t="shared" si="884"/>
        <v>0</v>
      </c>
      <c r="DB441">
        <f t="shared" si="884"/>
        <v>0</v>
      </c>
      <c r="DC441">
        <f t="shared" si="884"/>
        <v>0</v>
      </c>
      <c r="DD441">
        <f t="shared" si="884"/>
        <v>0</v>
      </c>
      <c r="DE441">
        <f t="shared" si="884"/>
        <v>0</v>
      </c>
      <c r="DF441">
        <f t="shared" si="884"/>
        <v>0</v>
      </c>
      <c r="DG441">
        <f t="shared" si="885"/>
        <v>0</v>
      </c>
      <c r="DH441">
        <f t="shared" si="885"/>
        <v>0</v>
      </c>
      <c r="DI441">
        <f t="shared" si="885"/>
        <v>0</v>
      </c>
      <c r="DJ441">
        <f t="shared" si="885"/>
        <v>0</v>
      </c>
      <c r="DK441">
        <f t="shared" si="885"/>
        <v>0</v>
      </c>
      <c r="DL441">
        <f t="shared" si="885"/>
        <v>0</v>
      </c>
      <c r="DM441">
        <f t="shared" si="885"/>
        <v>0</v>
      </c>
      <c r="DN441">
        <f t="shared" si="885"/>
        <v>0</v>
      </c>
      <c r="DO441">
        <f t="shared" si="885"/>
        <v>0</v>
      </c>
      <c r="DP441">
        <f t="shared" si="885"/>
        <v>0</v>
      </c>
      <c r="DQ441">
        <f t="shared" si="886"/>
        <v>0</v>
      </c>
      <c r="DR441">
        <f t="shared" si="886"/>
        <v>0</v>
      </c>
      <c r="DS441">
        <f t="shared" si="886"/>
        <v>0</v>
      </c>
      <c r="DT441">
        <f t="shared" si="886"/>
        <v>0</v>
      </c>
      <c r="DU441">
        <f t="shared" si="886"/>
        <v>0</v>
      </c>
      <c r="DV441">
        <f t="shared" si="886"/>
        <v>0</v>
      </c>
      <c r="DW441">
        <f t="shared" si="886"/>
        <v>0</v>
      </c>
      <c r="DX441">
        <f t="shared" si="886"/>
        <v>0</v>
      </c>
      <c r="DY441">
        <f t="shared" si="886"/>
        <v>0</v>
      </c>
      <c r="DZ441">
        <f t="shared" si="886"/>
        <v>0</v>
      </c>
      <c r="EA441">
        <f t="shared" si="887"/>
        <v>0</v>
      </c>
      <c r="EB441">
        <f t="shared" si="887"/>
        <v>0</v>
      </c>
      <c r="EC441">
        <f t="shared" si="887"/>
        <v>0</v>
      </c>
      <c r="ED441">
        <f t="shared" si="887"/>
        <v>0</v>
      </c>
      <c r="EE441">
        <f t="shared" si="887"/>
        <v>0</v>
      </c>
      <c r="EF441">
        <f t="shared" si="887"/>
        <v>0</v>
      </c>
    </row>
    <row r="442" spans="1:136" ht="15.5">
      <c r="A442" s="90"/>
      <c r="B442" s="53" t="s">
        <v>18</v>
      </c>
      <c r="C442" s="9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34"/>
      <c r="AJ442" s="34"/>
      <c r="AK442" s="34">
        <v>0</v>
      </c>
      <c r="AL442" s="34">
        <v>0</v>
      </c>
      <c r="AM442" s="34">
        <v>0</v>
      </c>
      <c r="AN442" s="34">
        <v>0</v>
      </c>
      <c r="AO442" s="34">
        <v>0</v>
      </c>
      <c r="AP442" s="34">
        <v>0</v>
      </c>
      <c r="AQ442" s="34">
        <v>0</v>
      </c>
      <c r="AR442" s="34">
        <v>0</v>
      </c>
      <c r="AS442" s="34">
        <v>0</v>
      </c>
      <c r="AT442" s="34">
        <v>0</v>
      </c>
      <c r="AU442" s="34">
        <v>0</v>
      </c>
      <c r="AV442" s="34">
        <v>0</v>
      </c>
      <c r="AW442" s="34">
        <v>0</v>
      </c>
      <c r="AX442" s="34">
        <v>0</v>
      </c>
      <c r="AY442" s="34">
        <v>0</v>
      </c>
      <c r="AZ442" s="34">
        <v>0</v>
      </c>
      <c r="BA442" s="34">
        <v>0</v>
      </c>
      <c r="BB442" s="34">
        <v>0</v>
      </c>
      <c r="BC442" s="34">
        <v>0</v>
      </c>
      <c r="BD442" s="34">
        <v>166</v>
      </c>
      <c r="BE442" s="42">
        <f t="shared" ref="BE442:BN442" si="888">BD442*1.07</f>
        <v>177.62</v>
      </c>
      <c r="BF442" s="42">
        <f t="shared" si="888"/>
        <v>190.05340000000001</v>
      </c>
      <c r="BG442" s="42">
        <f t="shared" si="888"/>
        <v>203.35713800000002</v>
      </c>
      <c r="BH442" s="42">
        <f t="shared" si="888"/>
        <v>217.59213766000005</v>
      </c>
      <c r="BI442" s="42">
        <f t="shared" si="888"/>
        <v>232.82358729620006</v>
      </c>
      <c r="BJ442" s="42">
        <f t="shared" si="888"/>
        <v>249.12123840693408</v>
      </c>
      <c r="BK442" s="42">
        <f t="shared" si="888"/>
        <v>266.55972509541948</v>
      </c>
      <c r="BL442" s="42">
        <f t="shared" si="888"/>
        <v>285.21890585209889</v>
      </c>
      <c r="BM442" s="42">
        <f t="shared" si="888"/>
        <v>305.18422926174583</v>
      </c>
      <c r="BN442" s="42">
        <f t="shared" si="888"/>
        <v>326.54712531006805</v>
      </c>
      <c r="BO442" s="113">
        <v>349</v>
      </c>
      <c r="BP442" s="113">
        <v>373</v>
      </c>
      <c r="BQ442" s="113">
        <v>397</v>
      </c>
      <c r="BR442" s="101"/>
      <c r="BS442">
        <f t="shared" si="881"/>
        <v>0</v>
      </c>
      <c r="BT442">
        <f t="shared" si="881"/>
        <v>0</v>
      </c>
      <c r="BU442">
        <f t="shared" si="881"/>
        <v>0</v>
      </c>
      <c r="BV442">
        <f t="shared" si="881"/>
        <v>0</v>
      </c>
      <c r="BW442">
        <f t="shared" si="881"/>
        <v>0</v>
      </c>
      <c r="BX442">
        <f t="shared" si="881"/>
        <v>0</v>
      </c>
      <c r="BY442">
        <f t="shared" si="881"/>
        <v>0</v>
      </c>
      <c r="BZ442">
        <f t="shared" si="881"/>
        <v>0</v>
      </c>
      <c r="CA442">
        <f t="shared" si="881"/>
        <v>0</v>
      </c>
      <c r="CB442">
        <f t="shared" si="881"/>
        <v>0</v>
      </c>
      <c r="CC442">
        <f t="shared" si="882"/>
        <v>0</v>
      </c>
      <c r="CD442">
        <f t="shared" si="882"/>
        <v>0</v>
      </c>
      <c r="CE442">
        <f t="shared" si="882"/>
        <v>0</v>
      </c>
      <c r="CF442">
        <f t="shared" si="882"/>
        <v>0</v>
      </c>
      <c r="CG442">
        <f t="shared" si="882"/>
        <v>0</v>
      </c>
      <c r="CH442">
        <f t="shared" si="882"/>
        <v>0</v>
      </c>
      <c r="CI442">
        <f t="shared" si="882"/>
        <v>0</v>
      </c>
      <c r="CJ442">
        <f t="shared" si="882"/>
        <v>0</v>
      </c>
      <c r="CK442">
        <f t="shared" si="882"/>
        <v>0</v>
      </c>
      <c r="CL442">
        <f t="shared" si="882"/>
        <v>0</v>
      </c>
      <c r="CM442">
        <f t="shared" si="883"/>
        <v>0</v>
      </c>
      <c r="CN442">
        <f t="shared" si="883"/>
        <v>0</v>
      </c>
      <c r="CO442">
        <f t="shared" si="883"/>
        <v>0</v>
      </c>
      <c r="CP442">
        <f t="shared" si="883"/>
        <v>0</v>
      </c>
      <c r="CQ442">
        <f t="shared" si="883"/>
        <v>0</v>
      </c>
      <c r="CR442">
        <f t="shared" si="883"/>
        <v>0</v>
      </c>
      <c r="CS442">
        <f t="shared" si="883"/>
        <v>0</v>
      </c>
      <c r="CT442">
        <f t="shared" si="883"/>
        <v>0</v>
      </c>
      <c r="CU442">
        <f t="shared" si="883"/>
        <v>0</v>
      </c>
      <c r="CV442">
        <f t="shared" si="883"/>
        <v>0</v>
      </c>
      <c r="CW442">
        <f t="shared" si="884"/>
        <v>0</v>
      </c>
      <c r="CX442">
        <f t="shared" si="884"/>
        <v>0</v>
      </c>
      <c r="CY442">
        <f t="shared" si="884"/>
        <v>0</v>
      </c>
      <c r="CZ442">
        <f t="shared" si="884"/>
        <v>0</v>
      </c>
      <c r="DA442">
        <f t="shared" si="884"/>
        <v>0</v>
      </c>
      <c r="DB442">
        <f t="shared" si="884"/>
        <v>0</v>
      </c>
      <c r="DC442">
        <f t="shared" si="884"/>
        <v>0</v>
      </c>
      <c r="DD442">
        <f t="shared" si="884"/>
        <v>0</v>
      </c>
      <c r="DE442">
        <f t="shared" si="884"/>
        <v>0</v>
      </c>
      <c r="DF442">
        <f t="shared" si="884"/>
        <v>0</v>
      </c>
      <c r="DG442">
        <f t="shared" si="885"/>
        <v>0</v>
      </c>
      <c r="DH442">
        <f t="shared" si="885"/>
        <v>0</v>
      </c>
      <c r="DI442">
        <f t="shared" si="885"/>
        <v>0</v>
      </c>
      <c r="DJ442">
        <f t="shared" si="885"/>
        <v>0</v>
      </c>
      <c r="DK442">
        <f t="shared" si="885"/>
        <v>0</v>
      </c>
      <c r="DL442">
        <f t="shared" si="885"/>
        <v>0</v>
      </c>
      <c r="DM442">
        <f t="shared" si="885"/>
        <v>0</v>
      </c>
      <c r="DN442">
        <f t="shared" si="885"/>
        <v>0</v>
      </c>
      <c r="DO442">
        <f t="shared" si="885"/>
        <v>0</v>
      </c>
      <c r="DP442">
        <f t="shared" si="885"/>
        <v>0</v>
      </c>
      <c r="DQ442">
        <f t="shared" si="886"/>
        <v>0</v>
      </c>
      <c r="DR442">
        <f t="shared" si="886"/>
        <v>0</v>
      </c>
      <c r="DS442">
        <f t="shared" si="886"/>
        <v>0</v>
      </c>
      <c r="DT442">
        <f t="shared" si="886"/>
        <v>0</v>
      </c>
      <c r="DU442">
        <f t="shared" si="886"/>
        <v>0</v>
      </c>
      <c r="DV442">
        <f t="shared" si="886"/>
        <v>0</v>
      </c>
      <c r="DW442">
        <f t="shared" si="886"/>
        <v>0</v>
      </c>
      <c r="DX442">
        <f t="shared" si="886"/>
        <v>0</v>
      </c>
      <c r="DY442">
        <f t="shared" si="886"/>
        <v>0</v>
      </c>
      <c r="DZ442">
        <f t="shared" si="886"/>
        <v>0</v>
      </c>
      <c r="EA442">
        <f t="shared" ref="EA442:EF442" si="889">IF($C442&lt;&gt;"",IF(BL442&gt;0,1,0),0)</f>
        <v>0</v>
      </c>
      <c r="EB442">
        <f t="shared" si="889"/>
        <v>0</v>
      </c>
      <c r="EC442">
        <f t="shared" si="889"/>
        <v>0</v>
      </c>
      <c r="ED442">
        <f t="shared" si="889"/>
        <v>0</v>
      </c>
      <c r="EE442">
        <f t="shared" si="889"/>
        <v>0</v>
      </c>
      <c r="EF442">
        <f t="shared" si="889"/>
        <v>0</v>
      </c>
    </row>
    <row r="443" spans="1:136" ht="15.5">
      <c r="A443" s="90"/>
      <c r="B443" s="19" t="s">
        <v>208</v>
      </c>
      <c r="C443" s="94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>
        <v>0</v>
      </c>
      <c r="AL443" s="18">
        <v>0</v>
      </c>
      <c r="AM443" s="18">
        <v>0</v>
      </c>
      <c r="AN443" s="18">
        <v>0</v>
      </c>
      <c r="AO443" s="18">
        <v>0</v>
      </c>
      <c r="AP443" s="18">
        <v>0</v>
      </c>
      <c r="AQ443" s="18">
        <v>0</v>
      </c>
      <c r="AR443" s="18">
        <v>0</v>
      </c>
      <c r="AS443" s="18">
        <v>0</v>
      </c>
      <c r="AT443" s="18">
        <v>0</v>
      </c>
      <c r="AU443" s="18">
        <v>0</v>
      </c>
      <c r="AV443" s="18">
        <v>0</v>
      </c>
      <c r="AW443" s="18">
        <v>0.16279860000000002</v>
      </c>
      <c r="AX443" s="18">
        <v>0</v>
      </c>
      <c r="AY443" s="18">
        <v>0</v>
      </c>
      <c r="AZ443" s="18">
        <v>0</v>
      </c>
      <c r="BA443" s="18">
        <v>0</v>
      </c>
      <c r="BB443" s="18">
        <v>0</v>
      </c>
      <c r="BC443" s="18">
        <v>0</v>
      </c>
      <c r="BD443" s="18">
        <v>0</v>
      </c>
      <c r="BE443" s="25">
        <v>0</v>
      </c>
      <c r="BF443" s="18">
        <v>0</v>
      </c>
      <c r="BG443" s="18">
        <v>0</v>
      </c>
      <c r="BH443" s="18">
        <v>0</v>
      </c>
      <c r="BI443" s="18">
        <v>0</v>
      </c>
      <c r="BJ443" s="18">
        <v>0</v>
      </c>
      <c r="BK443" s="34">
        <v>0</v>
      </c>
      <c r="BL443" s="34">
        <v>0</v>
      </c>
      <c r="BM443" s="34">
        <v>0</v>
      </c>
      <c r="BN443" s="113">
        <v>0</v>
      </c>
      <c r="BO443" s="113">
        <v>0</v>
      </c>
      <c r="BP443" s="113">
        <v>0</v>
      </c>
      <c r="BQ443" s="113">
        <v>0</v>
      </c>
      <c r="BR443" s="101"/>
      <c r="BS443">
        <f t="shared" si="881"/>
        <v>0</v>
      </c>
      <c r="BT443">
        <f t="shared" si="881"/>
        <v>0</v>
      </c>
      <c r="BU443">
        <f t="shared" si="881"/>
        <v>0</v>
      </c>
      <c r="BV443">
        <f t="shared" si="881"/>
        <v>0</v>
      </c>
      <c r="BW443">
        <f t="shared" si="881"/>
        <v>0</v>
      </c>
      <c r="BX443">
        <f t="shared" si="881"/>
        <v>0</v>
      </c>
      <c r="BY443">
        <f t="shared" si="881"/>
        <v>0</v>
      </c>
      <c r="BZ443">
        <f t="shared" si="881"/>
        <v>0</v>
      </c>
      <c r="CA443">
        <f t="shared" si="881"/>
        <v>0</v>
      </c>
      <c r="CB443">
        <f t="shared" si="881"/>
        <v>0</v>
      </c>
      <c r="CC443">
        <f t="shared" si="882"/>
        <v>0</v>
      </c>
      <c r="CD443">
        <f t="shared" si="882"/>
        <v>0</v>
      </c>
      <c r="CE443">
        <f t="shared" si="882"/>
        <v>0</v>
      </c>
      <c r="CF443">
        <f t="shared" si="882"/>
        <v>0</v>
      </c>
      <c r="CG443">
        <f t="shared" si="882"/>
        <v>0</v>
      </c>
      <c r="CH443">
        <f t="shared" si="882"/>
        <v>0</v>
      </c>
      <c r="CI443">
        <f t="shared" si="882"/>
        <v>0</v>
      </c>
      <c r="CJ443">
        <f t="shared" si="882"/>
        <v>0</v>
      </c>
      <c r="CK443">
        <f t="shared" si="882"/>
        <v>0</v>
      </c>
      <c r="CL443">
        <f t="shared" si="882"/>
        <v>0</v>
      </c>
      <c r="CM443">
        <f t="shared" si="883"/>
        <v>0</v>
      </c>
      <c r="CN443">
        <f t="shared" si="883"/>
        <v>0</v>
      </c>
      <c r="CO443">
        <f t="shared" si="883"/>
        <v>0</v>
      </c>
      <c r="CP443">
        <f t="shared" si="883"/>
        <v>0</v>
      </c>
      <c r="CQ443">
        <f t="shared" si="883"/>
        <v>0</v>
      </c>
      <c r="CR443">
        <f t="shared" si="883"/>
        <v>0</v>
      </c>
      <c r="CS443">
        <f t="shared" si="883"/>
        <v>0</v>
      </c>
      <c r="CT443">
        <f t="shared" si="883"/>
        <v>0</v>
      </c>
      <c r="CU443">
        <f t="shared" si="883"/>
        <v>0</v>
      </c>
      <c r="CV443">
        <f t="shared" si="883"/>
        <v>0</v>
      </c>
      <c r="CW443">
        <f t="shared" si="884"/>
        <v>0</v>
      </c>
      <c r="CX443">
        <f t="shared" si="884"/>
        <v>0</v>
      </c>
      <c r="CY443">
        <f t="shared" si="884"/>
        <v>0</v>
      </c>
      <c r="CZ443">
        <f t="shared" si="884"/>
        <v>0</v>
      </c>
      <c r="DA443">
        <f t="shared" si="884"/>
        <v>0</v>
      </c>
      <c r="DB443">
        <f t="shared" si="884"/>
        <v>0</v>
      </c>
      <c r="DC443">
        <f t="shared" si="884"/>
        <v>0</v>
      </c>
      <c r="DD443">
        <f t="shared" si="884"/>
        <v>0</v>
      </c>
      <c r="DE443">
        <f t="shared" si="884"/>
        <v>0</v>
      </c>
      <c r="DF443">
        <f t="shared" si="884"/>
        <v>0</v>
      </c>
      <c r="DG443">
        <f t="shared" si="885"/>
        <v>0</v>
      </c>
      <c r="DH443">
        <f t="shared" si="885"/>
        <v>0</v>
      </c>
      <c r="DI443">
        <f t="shared" si="885"/>
        <v>0</v>
      </c>
      <c r="DJ443">
        <f t="shared" si="885"/>
        <v>0</v>
      </c>
      <c r="DK443">
        <f t="shared" si="885"/>
        <v>0</v>
      </c>
      <c r="DL443">
        <f t="shared" si="885"/>
        <v>0</v>
      </c>
      <c r="DM443">
        <f t="shared" si="885"/>
        <v>0</v>
      </c>
      <c r="DN443">
        <f t="shared" si="885"/>
        <v>0</v>
      </c>
      <c r="DO443">
        <f t="shared" si="885"/>
        <v>0</v>
      </c>
      <c r="DP443">
        <f t="shared" si="885"/>
        <v>0</v>
      </c>
      <c r="DQ443">
        <f t="shared" si="886"/>
        <v>0</v>
      </c>
      <c r="DR443">
        <f t="shared" si="886"/>
        <v>0</v>
      </c>
      <c r="DS443">
        <f t="shared" si="886"/>
        <v>0</v>
      </c>
      <c r="DT443">
        <f t="shared" si="886"/>
        <v>0</v>
      </c>
      <c r="DU443">
        <f t="shared" si="886"/>
        <v>0</v>
      </c>
      <c r="DV443">
        <f t="shared" si="886"/>
        <v>0</v>
      </c>
      <c r="DW443">
        <f t="shared" si="886"/>
        <v>0</v>
      </c>
      <c r="DX443">
        <f t="shared" si="886"/>
        <v>0</v>
      </c>
      <c r="DY443">
        <f t="shared" si="886"/>
        <v>0</v>
      </c>
      <c r="DZ443">
        <f t="shared" si="886"/>
        <v>0</v>
      </c>
      <c r="EA443">
        <f t="shared" ref="EA443:EF443" si="890">IF($C443&lt;&gt;"",IF(BL441&gt;0,1,0),0)</f>
        <v>0</v>
      </c>
      <c r="EB443">
        <f t="shared" si="890"/>
        <v>0</v>
      </c>
      <c r="EC443">
        <f t="shared" si="890"/>
        <v>0</v>
      </c>
      <c r="ED443">
        <f t="shared" si="890"/>
        <v>0</v>
      </c>
      <c r="EE443">
        <f t="shared" si="890"/>
        <v>0</v>
      </c>
      <c r="EF443">
        <f t="shared" si="890"/>
        <v>0</v>
      </c>
    </row>
    <row r="444" spans="1:136" ht="15.5">
      <c r="A444" s="90"/>
      <c r="B444" s="52"/>
      <c r="C444" s="94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  <c r="AA444" s="58"/>
      <c r="AB444" s="58"/>
      <c r="AC444" s="58"/>
      <c r="AD444" s="58"/>
      <c r="AE444" s="58"/>
      <c r="AF444" s="58"/>
      <c r="AG444" s="58"/>
      <c r="AH444" s="58"/>
      <c r="AI444" s="58"/>
      <c r="AJ444" s="58"/>
      <c r="AK444" s="58"/>
      <c r="AL444" s="58"/>
      <c r="AM444" s="58"/>
      <c r="AN444" s="58"/>
      <c r="AO444" s="58"/>
      <c r="AP444" s="58"/>
      <c r="AQ444" s="58"/>
      <c r="AR444" s="58"/>
      <c r="AS444" s="58"/>
      <c r="AT444" s="58"/>
      <c r="AU444" s="58"/>
      <c r="AV444" s="58"/>
      <c r="AW444" s="58"/>
      <c r="AX444" s="58"/>
      <c r="AY444" s="58"/>
      <c r="AZ444" s="58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101"/>
    </row>
    <row r="445" spans="1:136" ht="15.5">
      <c r="A445" s="93">
        <v>52</v>
      </c>
      <c r="B445" s="52" t="s">
        <v>65</v>
      </c>
      <c r="C445" s="94">
        <v>4</v>
      </c>
      <c r="D445" s="22">
        <f t="shared" ref="D445:AI445" si="891">SUM(D446:D452)</f>
        <v>0</v>
      </c>
      <c r="E445" s="22">
        <f t="shared" si="891"/>
        <v>0</v>
      </c>
      <c r="F445" s="22">
        <f t="shared" si="891"/>
        <v>0</v>
      </c>
      <c r="G445" s="22">
        <f t="shared" si="891"/>
        <v>0</v>
      </c>
      <c r="H445" s="22">
        <f t="shared" si="891"/>
        <v>0</v>
      </c>
      <c r="I445" s="22">
        <f t="shared" si="891"/>
        <v>0</v>
      </c>
      <c r="J445" s="22">
        <f t="shared" si="891"/>
        <v>0</v>
      </c>
      <c r="K445" s="22">
        <f t="shared" si="891"/>
        <v>0</v>
      </c>
      <c r="L445" s="22">
        <f t="shared" si="891"/>
        <v>0</v>
      </c>
      <c r="M445" s="22">
        <f t="shared" si="891"/>
        <v>0</v>
      </c>
      <c r="N445" s="22">
        <f t="shared" si="891"/>
        <v>0.45500000000000002</v>
      </c>
      <c r="O445" s="22">
        <f t="shared" si="891"/>
        <v>0.423261</v>
      </c>
      <c r="P445" s="22">
        <f t="shared" si="891"/>
        <v>0.77272399999999997</v>
      </c>
      <c r="Q445" s="22">
        <f t="shared" si="891"/>
        <v>6.8227999999999997E-2</v>
      </c>
      <c r="R445" s="22">
        <f t="shared" si="891"/>
        <v>0.12545500000000001</v>
      </c>
      <c r="S445" s="22">
        <f t="shared" si="891"/>
        <v>0.32075200000000004</v>
      </c>
      <c r="T445" s="22">
        <f t="shared" si="891"/>
        <v>1.2016720000000001</v>
      </c>
      <c r="U445" s="22">
        <f t="shared" si="891"/>
        <v>1.261873</v>
      </c>
      <c r="V445" s="22">
        <f t="shared" si="891"/>
        <v>0.81100000000000005</v>
      </c>
      <c r="W445" s="22">
        <f t="shared" si="891"/>
        <v>1.7113640000000001</v>
      </c>
      <c r="X445" s="22">
        <f t="shared" si="891"/>
        <v>1.125</v>
      </c>
      <c r="Y445" s="22">
        <f t="shared" si="891"/>
        <v>1.2839529999999999</v>
      </c>
      <c r="Z445" s="22">
        <f t="shared" si="891"/>
        <v>1.3561510000000001</v>
      </c>
      <c r="AA445" s="22">
        <f t="shared" si="891"/>
        <v>1.2214640000000001</v>
      </c>
      <c r="AB445" s="22">
        <f t="shared" si="891"/>
        <v>1.2907649999999999</v>
      </c>
      <c r="AC445" s="22">
        <f t="shared" si="891"/>
        <v>1.4163060000000001</v>
      </c>
      <c r="AD445" s="22">
        <f t="shared" si="891"/>
        <v>1.137</v>
      </c>
      <c r="AE445" s="22">
        <f t="shared" si="891"/>
        <v>54.110320000000002</v>
      </c>
      <c r="AF445" s="22">
        <f t="shared" si="891"/>
        <v>15.693944</v>
      </c>
      <c r="AG445" s="22">
        <f t="shared" si="891"/>
        <v>68.517480000000006</v>
      </c>
      <c r="AH445" s="22">
        <f t="shared" si="891"/>
        <v>278.93998999999997</v>
      </c>
      <c r="AI445" s="22">
        <f t="shared" si="891"/>
        <v>1087.4142999999999</v>
      </c>
      <c r="AJ445" s="22">
        <f t="shared" ref="AJ445:BQ445" si="892">SUM(AJ446:AJ452)</f>
        <v>1965.4433988999999</v>
      </c>
      <c r="AK445" s="22">
        <f t="shared" si="892"/>
        <v>2517.8305</v>
      </c>
      <c r="AL445" s="22">
        <f t="shared" si="892"/>
        <v>3259.0126</v>
      </c>
      <c r="AM445" s="22">
        <f t="shared" si="892"/>
        <v>4099.5904</v>
      </c>
      <c r="AN445" s="22">
        <f t="shared" si="892"/>
        <v>4801.6143000000002</v>
      </c>
      <c r="AO445" s="22">
        <f t="shared" si="892"/>
        <v>5413.2293</v>
      </c>
      <c r="AP445" s="22">
        <f t="shared" si="892"/>
        <v>5828.3853999999992</v>
      </c>
      <c r="AQ445" s="22">
        <f t="shared" si="892"/>
        <v>1448.3972000000001</v>
      </c>
      <c r="AR445" s="22">
        <f t="shared" si="892"/>
        <v>717.09225650000008</v>
      </c>
      <c r="AS445" s="22">
        <f t="shared" si="892"/>
        <v>685.17454540000006</v>
      </c>
      <c r="AT445" s="22">
        <f t="shared" si="892"/>
        <v>722.5874354</v>
      </c>
      <c r="AU445" s="22">
        <f t="shared" si="892"/>
        <v>761.4861267</v>
      </c>
      <c r="AV445" s="22">
        <f t="shared" si="892"/>
        <v>1534.6442519</v>
      </c>
      <c r="AW445" s="22">
        <f t="shared" si="892"/>
        <v>2117.2136860999999</v>
      </c>
      <c r="AX445" s="22">
        <f t="shared" si="892"/>
        <v>4791.8392563000007</v>
      </c>
      <c r="AY445" s="22">
        <f t="shared" si="892"/>
        <v>449.11791089999997</v>
      </c>
      <c r="AZ445" s="22">
        <f t="shared" si="892"/>
        <v>465.95093810000003</v>
      </c>
      <c r="BA445" s="22">
        <f t="shared" si="892"/>
        <v>435.36245289999999</v>
      </c>
      <c r="BB445" s="22">
        <f t="shared" si="892"/>
        <v>595.54076270000007</v>
      </c>
      <c r="BC445" s="22">
        <f t="shared" si="892"/>
        <v>586.13436239999999</v>
      </c>
      <c r="BD445" s="22">
        <f t="shared" si="892"/>
        <v>407.00789029999999</v>
      </c>
      <c r="BE445" s="22">
        <f t="shared" si="892"/>
        <v>409.52272799999997</v>
      </c>
      <c r="BF445" s="22">
        <f t="shared" si="892"/>
        <v>409.44737219999996</v>
      </c>
      <c r="BG445" s="22">
        <f t="shared" si="892"/>
        <v>409.14921079999999</v>
      </c>
      <c r="BH445" s="22">
        <f t="shared" si="892"/>
        <v>409.11318510000001</v>
      </c>
      <c r="BI445" s="22">
        <f t="shared" si="892"/>
        <v>410.45360260000001</v>
      </c>
      <c r="BJ445" s="22">
        <f t="shared" si="892"/>
        <v>2909.7305043000001</v>
      </c>
      <c r="BK445" s="22">
        <f t="shared" si="892"/>
        <v>528.41608410000003</v>
      </c>
      <c r="BL445" s="22">
        <f t="shared" si="892"/>
        <v>602.63079579999999</v>
      </c>
      <c r="BM445" s="22">
        <f t="shared" si="892"/>
        <v>573.94359989999998</v>
      </c>
      <c r="BN445" s="22">
        <f t="shared" si="892"/>
        <v>917.46846849999997</v>
      </c>
      <c r="BO445" s="22">
        <f t="shared" si="892"/>
        <v>10689</v>
      </c>
      <c r="BP445" s="22">
        <f t="shared" si="892"/>
        <v>16463</v>
      </c>
      <c r="BQ445" s="22">
        <f t="shared" si="892"/>
        <v>11660</v>
      </c>
      <c r="BR445" s="101"/>
      <c r="BS445">
        <f t="shared" ref="BS445:CX445" si="893">IF($C445&lt;&gt;"",IF(D445&gt;0,1,0),0)</f>
        <v>0</v>
      </c>
      <c r="BT445">
        <f t="shared" si="893"/>
        <v>0</v>
      </c>
      <c r="BU445">
        <f t="shared" si="893"/>
        <v>0</v>
      </c>
      <c r="BV445">
        <f t="shared" si="893"/>
        <v>0</v>
      </c>
      <c r="BW445">
        <f t="shared" si="893"/>
        <v>0</v>
      </c>
      <c r="BX445">
        <f t="shared" si="893"/>
        <v>0</v>
      </c>
      <c r="BY445">
        <f t="shared" si="893"/>
        <v>0</v>
      </c>
      <c r="BZ445">
        <f t="shared" si="893"/>
        <v>0</v>
      </c>
      <c r="CA445">
        <f t="shared" si="893"/>
        <v>0</v>
      </c>
      <c r="CB445">
        <f t="shared" si="893"/>
        <v>0</v>
      </c>
      <c r="CC445">
        <f t="shared" si="893"/>
        <v>1</v>
      </c>
      <c r="CD445">
        <f t="shared" si="893"/>
        <v>1</v>
      </c>
      <c r="CE445">
        <f t="shared" si="893"/>
        <v>1</v>
      </c>
      <c r="CF445">
        <f t="shared" si="893"/>
        <v>1</v>
      </c>
      <c r="CG445">
        <f t="shared" si="893"/>
        <v>1</v>
      </c>
      <c r="CH445">
        <f t="shared" si="893"/>
        <v>1</v>
      </c>
      <c r="CI445">
        <f t="shared" si="893"/>
        <v>1</v>
      </c>
      <c r="CJ445">
        <f t="shared" si="893"/>
        <v>1</v>
      </c>
      <c r="CK445">
        <f t="shared" si="893"/>
        <v>1</v>
      </c>
      <c r="CL445">
        <f t="shared" si="893"/>
        <v>1</v>
      </c>
      <c r="CM445">
        <f t="shared" si="893"/>
        <v>1</v>
      </c>
      <c r="CN445">
        <f t="shared" si="893"/>
        <v>1</v>
      </c>
      <c r="CO445">
        <f t="shared" si="893"/>
        <v>1</v>
      </c>
      <c r="CP445">
        <f t="shared" si="893"/>
        <v>1</v>
      </c>
      <c r="CQ445">
        <f t="shared" si="893"/>
        <v>1</v>
      </c>
      <c r="CR445">
        <f t="shared" si="893"/>
        <v>1</v>
      </c>
      <c r="CS445">
        <f t="shared" si="893"/>
        <v>1</v>
      </c>
      <c r="CT445">
        <f t="shared" si="893"/>
        <v>1</v>
      </c>
      <c r="CU445">
        <f t="shared" si="893"/>
        <v>1</v>
      </c>
      <c r="CV445">
        <f t="shared" si="893"/>
        <v>1</v>
      </c>
      <c r="CW445">
        <f t="shared" si="893"/>
        <v>1</v>
      </c>
      <c r="CX445">
        <f t="shared" si="893"/>
        <v>1</v>
      </c>
      <c r="CY445">
        <f t="shared" ref="CY445:ED445" si="894">IF($C445&lt;&gt;"",IF(AJ445&gt;0,1,0),0)</f>
        <v>1</v>
      </c>
      <c r="CZ445">
        <f t="shared" si="894"/>
        <v>1</v>
      </c>
      <c r="DA445">
        <f t="shared" si="894"/>
        <v>1</v>
      </c>
      <c r="DB445">
        <f t="shared" si="894"/>
        <v>1</v>
      </c>
      <c r="DC445">
        <f t="shared" si="894"/>
        <v>1</v>
      </c>
      <c r="DD445">
        <f t="shared" si="894"/>
        <v>1</v>
      </c>
      <c r="DE445">
        <f t="shared" si="894"/>
        <v>1</v>
      </c>
      <c r="DF445">
        <f t="shared" si="894"/>
        <v>1</v>
      </c>
      <c r="DG445">
        <f t="shared" si="894"/>
        <v>1</v>
      </c>
      <c r="DH445">
        <f t="shared" si="894"/>
        <v>1</v>
      </c>
      <c r="DI445">
        <f t="shared" si="894"/>
        <v>1</v>
      </c>
      <c r="DJ445">
        <f t="shared" si="894"/>
        <v>1</v>
      </c>
      <c r="DK445">
        <f t="shared" si="894"/>
        <v>1</v>
      </c>
      <c r="DL445">
        <f t="shared" si="894"/>
        <v>1</v>
      </c>
      <c r="DM445">
        <f t="shared" si="894"/>
        <v>1</v>
      </c>
      <c r="DN445">
        <f t="shared" si="894"/>
        <v>1</v>
      </c>
      <c r="DO445">
        <f t="shared" si="894"/>
        <v>1</v>
      </c>
      <c r="DP445">
        <f t="shared" si="894"/>
        <v>1</v>
      </c>
      <c r="DQ445">
        <f t="shared" si="894"/>
        <v>1</v>
      </c>
      <c r="DR445">
        <f t="shared" si="894"/>
        <v>1</v>
      </c>
      <c r="DS445">
        <f t="shared" si="894"/>
        <v>1</v>
      </c>
      <c r="DT445">
        <f t="shared" si="894"/>
        <v>1</v>
      </c>
      <c r="DU445">
        <f t="shared" si="894"/>
        <v>1</v>
      </c>
      <c r="DV445">
        <f t="shared" si="894"/>
        <v>1</v>
      </c>
      <c r="DW445">
        <f t="shared" si="894"/>
        <v>1</v>
      </c>
      <c r="DX445">
        <f t="shared" si="894"/>
        <v>1</v>
      </c>
      <c r="DY445">
        <f t="shared" si="894"/>
        <v>1</v>
      </c>
      <c r="DZ445">
        <f t="shared" si="894"/>
        <v>1</v>
      </c>
      <c r="EA445">
        <f t="shared" si="894"/>
        <v>1</v>
      </c>
      <c r="EB445">
        <f t="shared" si="894"/>
        <v>1</v>
      </c>
      <c r="EC445">
        <f t="shared" si="894"/>
        <v>1</v>
      </c>
      <c r="ED445">
        <f t="shared" si="894"/>
        <v>1</v>
      </c>
      <c r="EE445">
        <f t="shared" ref="EE445:EF445" si="895">IF($C445&lt;&gt;"",IF(BP445&gt;0,1,0),0)</f>
        <v>1</v>
      </c>
      <c r="EF445">
        <f t="shared" si="895"/>
        <v>1</v>
      </c>
    </row>
    <row r="446" spans="1:136" ht="15.5">
      <c r="A446" s="90"/>
      <c r="B446" s="19" t="s">
        <v>2</v>
      </c>
      <c r="C446" s="96"/>
      <c r="D446" s="18">
        <v>0</v>
      </c>
      <c r="E446" s="18">
        <v>0</v>
      </c>
      <c r="F446" s="18">
        <v>0</v>
      </c>
      <c r="G446" s="18">
        <v>0</v>
      </c>
      <c r="H446" s="18">
        <v>0</v>
      </c>
      <c r="I446" s="18">
        <v>0</v>
      </c>
      <c r="J446" s="18">
        <v>0</v>
      </c>
      <c r="K446" s="18">
        <v>0</v>
      </c>
      <c r="L446" s="18">
        <v>0</v>
      </c>
      <c r="M446" s="18">
        <v>0</v>
      </c>
      <c r="N446" s="18">
        <v>0</v>
      </c>
      <c r="O446" s="18">
        <v>0</v>
      </c>
      <c r="P446" s="18">
        <v>0</v>
      </c>
      <c r="Q446" s="18">
        <v>0</v>
      </c>
      <c r="R446" s="18">
        <v>0</v>
      </c>
      <c r="S446" s="18">
        <v>0</v>
      </c>
      <c r="T446" s="60">
        <v>0</v>
      </c>
      <c r="U446" s="60">
        <v>0</v>
      </c>
      <c r="V446" s="60">
        <v>0</v>
      </c>
      <c r="W446" s="60">
        <v>0</v>
      </c>
      <c r="X446" s="60">
        <v>0</v>
      </c>
      <c r="Y446" s="60">
        <v>0</v>
      </c>
      <c r="Z446" s="60">
        <v>0</v>
      </c>
      <c r="AA446" s="60">
        <v>0</v>
      </c>
      <c r="AB446" s="60">
        <v>0</v>
      </c>
      <c r="AC446" s="60">
        <v>0</v>
      </c>
      <c r="AD446" s="60">
        <v>0</v>
      </c>
      <c r="AE446" s="60">
        <v>0</v>
      </c>
      <c r="AF446" s="60">
        <v>0</v>
      </c>
      <c r="AG446" s="60">
        <v>0</v>
      </c>
      <c r="AH446" s="40" t="s">
        <v>16</v>
      </c>
      <c r="AI446" s="40" t="s">
        <v>16</v>
      </c>
      <c r="AJ446" s="18">
        <v>441</v>
      </c>
      <c r="AK446" s="40" t="s">
        <v>16</v>
      </c>
      <c r="AL446" s="40" t="s">
        <v>16</v>
      </c>
      <c r="AM446" s="40" t="s">
        <v>16</v>
      </c>
      <c r="AN446" s="40" t="s">
        <v>16</v>
      </c>
      <c r="AO446" s="18">
        <v>183</v>
      </c>
      <c r="AP446" s="113">
        <v>164</v>
      </c>
      <c r="AQ446" s="113">
        <v>164</v>
      </c>
      <c r="AR446" s="113">
        <v>164</v>
      </c>
      <c r="AS446" s="18">
        <v>432</v>
      </c>
      <c r="AT446" s="18">
        <v>171</v>
      </c>
      <c r="AU446" s="113">
        <v>164</v>
      </c>
      <c r="AV446" s="18">
        <v>1487</v>
      </c>
      <c r="AW446" s="113">
        <v>164</v>
      </c>
      <c r="AX446" s="113">
        <v>164</v>
      </c>
      <c r="AY446" s="113">
        <v>164</v>
      </c>
      <c r="AZ446" s="113">
        <v>164</v>
      </c>
      <c r="BA446" s="113">
        <v>164</v>
      </c>
      <c r="BB446" s="113">
        <v>164</v>
      </c>
      <c r="BC446" s="113">
        <v>164</v>
      </c>
      <c r="BD446" s="113">
        <v>164</v>
      </c>
      <c r="BE446" s="113">
        <v>164</v>
      </c>
      <c r="BF446" s="113">
        <v>164</v>
      </c>
      <c r="BG446" s="113">
        <v>164</v>
      </c>
      <c r="BH446" s="113">
        <v>164</v>
      </c>
      <c r="BI446" s="113">
        <v>164</v>
      </c>
      <c r="BJ446" s="113">
        <v>164</v>
      </c>
      <c r="BK446" s="113">
        <v>164</v>
      </c>
      <c r="BL446" s="113">
        <v>21</v>
      </c>
      <c r="BM446" s="113">
        <v>13</v>
      </c>
      <c r="BN446" s="113">
        <v>0</v>
      </c>
      <c r="BO446" s="113">
        <v>1925</v>
      </c>
      <c r="BP446" s="113">
        <v>2002</v>
      </c>
      <c r="BQ446" s="113">
        <v>2099</v>
      </c>
      <c r="BR446" s="101"/>
      <c r="BS446">
        <f t="shared" ref="BS446:CB451" si="896">IF($C446&lt;&gt;"",IF(D446&gt;0,1,0),0)</f>
        <v>0</v>
      </c>
      <c r="BT446">
        <f t="shared" si="896"/>
        <v>0</v>
      </c>
      <c r="BU446">
        <f t="shared" si="896"/>
        <v>0</v>
      </c>
      <c r="BV446">
        <f t="shared" si="896"/>
        <v>0</v>
      </c>
      <c r="BW446">
        <f t="shared" si="896"/>
        <v>0</v>
      </c>
      <c r="BX446">
        <f t="shared" si="896"/>
        <v>0</v>
      </c>
      <c r="BY446">
        <f t="shared" si="896"/>
        <v>0</v>
      </c>
      <c r="BZ446">
        <f t="shared" si="896"/>
        <v>0</v>
      </c>
      <c r="CA446">
        <f t="shared" si="896"/>
        <v>0</v>
      </c>
      <c r="CB446">
        <f t="shared" si="896"/>
        <v>0</v>
      </c>
      <c r="CC446">
        <f t="shared" ref="CC446:CL451" si="897">IF($C446&lt;&gt;"",IF(N446&gt;0,1,0),0)</f>
        <v>0</v>
      </c>
      <c r="CD446">
        <f t="shared" si="897"/>
        <v>0</v>
      </c>
      <c r="CE446">
        <f t="shared" si="897"/>
        <v>0</v>
      </c>
      <c r="CF446">
        <f t="shared" si="897"/>
        <v>0</v>
      </c>
      <c r="CG446">
        <f t="shared" si="897"/>
        <v>0</v>
      </c>
      <c r="CH446">
        <f t="shared" si="897"/>
        <v>0</v>
      </c>
      <c r="CI446">
        <f t="shared" si="897"/>
        <v>0</v>
      </c>
      <c r="CJ446">
        <f t="shared" si="897"/>
        <v>0</v>
      </c>
      <c r="CK446">
        <f t="shared" si="897"/>
        <v>0</v>
      </c>
      <c r="CL446">
        <f t="shared" si="897"/>
        <v>0</v>
      </c>
      <c r="CM446">
        <f t="shared" ref="CM446:CV451" si="898">IF($C446&lt;&gt;"",IF(X446&gt;0,1,0),0)</f>
        <v>0</v>
      </c>
      <c r="CN446">
        <f t="shared" si="898"/>
        <v>0</v>
      </c>
      <c r="CO446">
        <f t="shared" si="898"/>
        <v>0</v>
      </c>
      <c r="CP446">
        <f t="shared" si="898"/>
        <v>0</v>
      </c>
      <c r="CQ446">
        <f t="shared" si="898"/>
        <v>0</v>
      </c>
      <c r="CR446">
        <f t="shared" si="898"/>
        <v>0</v>
      </c>
      <c r="CS446">
        <f t="shared" si="898"/>
        <v>0</v>
      </c>
      <c r="CT446">
        <f t="shared" si="898"/>
        <v>0</v>
      </c>
      <c r="CU446">
        <f t="shared" si="898"/>
        <v>0</v>
      </c>
      <c r="CV446">
        <f t="shared" si="898"/>
        <v>0</v>
      </c>
      <c r="CW446">
        <f t="shared" ref="CW446:DF451" si="899">IF($C446&lt;&gt;"",IF(AH446&gt;0,1,0),0)</f>
        <v>0</v>
      </c>
      <c r="CX446">
        <f t="shared" si="899"/>
        <v>0</v>
      </c>
      <c r="CY446">
        <f t="shared" si="899"/>
        <v>0</v>
      </c>
      <c r="CZ446">
        <f t="shared" si="899"/>
        <v>0</v>
      </c>
      <c r="DA446">
        <f t="shared" si="899"/>
        <v>0</v>
      </c>
      <c r="DB446">
        <f t="shared" si="899"/>
        <v>0</v>
      </c>
      <c r="DC446">
        <f t="shared" si="899"/>
        <v>0</v>
      </c>
      <c r="DD446">
        <f t="shared" si="899"/>
        <v>0</v>
      </c>
      <c r="DE446">
        <f t="shared" si="899"/>
        <v>0</v>
      </c>
      <c r="DF446">
        <f t="shared" si="899"/>
        <v>0</v>
      </c>
      <c r="DG446">
        <f t="shared" ref="DG446:DP451" si="900">IF($C446&lt;&gt;"",IF(AR446&gt;0,1,0),0)</f>
        <v>0</v>
      </c>
      <c r="DH446">
        <f t="shared" si="900"/>
        <v>0</v>
      </c>
      <c r="DI446">
        <f t="shared" si="900"/>
        <v>0</v>
      </c>
      <c r="DJ446">
        <f t="shared" si="900"/>
        <v>0</v>
      </c>
      <c r="DK446">
        <f t="shared" si="900"/>
        <v>0</v>
      </c>
      <c r="DL446">
        <f t="shared" si="900"/>
        <v>0</v>
      </c>
      <c r="DM446">
        <f t="shared" si="900"/>
        <v>0</v>
      </c>
      <c r="DN446">
        <f t="shared" si="900"/>
        <v>0</v>
      </c>
      <c r="DO446">
        <f t="shared" si="900"/>
        <v>0</v>
      </c>
      <c r="DP446">
        <f t="shared" si="900"/>
        <v>0</v>
      </c>
      <c r="DQ446">
        <f t="shared" ref="DQ446:DZ451" si="901">IF($C446&lt;&gt;"",IF(BB446&gt;0,1,0),0)</f>
        <v>0</v>
      </c>
      <c r="DR446">
        <f t="shared" si="901"/>
        <v>0</v>
      </c>
      <c r="DS446">
        <f t="shared" si="901"/>
        <v>0</v>
      </c>
      <c r="DT446">
        <f t="shared" si="901"/>
        <v>0</v>
      </c>
      <c r="DU446">
        <f t="shared" si="901"/>
        <v>0</v>
      </c>
      <c r="DV446">
        <f t="shared" si="901"/>
        <v>0</v>
      </c>
      <c r="DW446">
        <f t="shared" si="901"/>
        <v>0</v>
      </c>
      <c r="DX446">
        <f t="shared" si="901"/>
        <v>0</v>
      </c>
      <c r="DY446">
        <f t="shared" si="901"/>
        <v>0</v>
      </c>
      <c r="DZ446">
        <f t="shared" si="901"/>
        <v>0</v>
      </c>
      <c r="EA446">
        <f t="shared" ref="EA446:EF448" si="902">IF($C446&lt;&gt;"",IF(BL445&gt;0,1,0),0)</f>
        <v>0</v>
      </c>
      <c r="EB446">
        <f t="shared" si="902"/>
        <v>0</v>
      </c>
      <c r="EC446">
        <f t="shared" si="902"/>
        <v>0</v>
      </c>
      <c r="ED446">
        <f t="shared" si="902"/>
        <v>0</v>
      </c>
      <c r="EE446">
        <f t="shared" si="902"/>
        <v>0</v>
      </c>
      <c r="EF446">
        <f t="shared" si="902"/>
        <v>0</v>
      </c>
    </row>
    <row r="447" spans="1:136" ht="15.5">
      <c r="A447" s="90"/>
      <c r="B447" s="19" t="s">
        <v>205</v>
      </c>
      <c r="C447" s="96"/>
      <c r="D447" s="60">
        <v>0</v>
      </c>
      <c r="E447" s="60">
        <v>0</v>
      </c>
      <c r="F447" s="60">
        <v>0</v>
      </c>
      <c r="G447" s="60">
        <v>0</v>
      </c>
      <c r="H447" s="60">
        <v>0</v>
      </c>
      <c r="I447" s="60">
        <v>0</v>
      </c>
      <c r="J447" s="60">
        <v>0</v>
      </c>
      <c r="K447" s="60">
        <v>0</v>
      </c>
      <c r="L447" s="60">
        <v>0</v>
      </c>
      <c r="M447" s="60">
        <v>0</v>
      </c>
      <c r="N447" s="60">
        <v>0</v>
      </c>
      <c r="O447" s="60">
        <v>0</v>
      </c>
      <c r="P447" s="60">
        <v>0</v>
      </c>
      <c r="Q447" s="60">
        <v>0</v>
      </c>
      <c r="R447" s="60">
        <v>0</v>
      </c>
      <c r="S447" s="60">
        <v>0</v>
      </c>
      <c r="T447" s="60">
        <v>0</v>
      </c>
      <c r="U447" s="60">
        <v>0</v>
      </c>
      <c r="V447" s="60">
        <v>0</v>
      </c>
      <c r="W447" s="60">
        <v>0</v>
      </c>
      <c r="X447" s="60">
        <v>0</v>
      </c>
      <c r="Y447" s="60">
        <v>0</v>
      </c>
      <c r="Z447" s="60">
        <v>0</v>
      </c>
      <c r="AA447" s="60">
        <v>0</v>
      </c>
      <c r="AB447" s="60">
        <v>0</v>
      </c>
      <c r="AC447" s="60">
        <v>0</v>
      </c>
      <c r="AD447" s="60">
        <v>0</v>
      </c>
      <c r="AE447" s="60">
        <v>0</v>
      </c>
      <c r="AF447" s="60">
        <v>0</v>
      </c>
      <c r="AG447" s="60">
        <v>0</v>
      </c>
      <c r="AH447" s="18">
        <v>1.6E-2</v>
      </c>
      <c r="AI447" s="18">
        <v>24.1462866</v>
      </c>
      <c r="AJ447" s="18">
        <v>32.972398900000002</v>
      </c>
      <c r="AK447" s="18">
        <v>33.414000299999998</v>
      </c>
      <c r="AL447" s="18">
        <v>43.500771299999997</v>
      </c>
      <c r="AM447" s="18">
        <v>46.316727899999997</v>
      </c>
      <c r="AN447" s="18">
        <v>48.2680042</v>
      </c>
      <c r="AO447" s="18">
        <v>49.7923361</v>
      </c>
      <c r="AP447" s="18">
        <v>51.293789500000003</v>
      </c>
      <c r="AQ447" s="18">
        <v>52.760485000000003</v>
      </c>
      <c r="AR447" s="71">
        <v>52.763274200000005</v>
      </c>
      <c r="AS447" s="18">
        <v>123</v>
      </c>
      <c r="AT447" s="71">
        <v>41.786999999999999</v>
      </c>
      <c r="AU447" s="71">
        <v>37.104477200000005</v>
      </c>
      <c r="AV447" s="71">
        <v>30.927</v>
      </c>
      <c r="AW447" s="71">
        <v>30.927</v>
      </c>
      <c r="AX447" s="71">
        <v>28.125</v>
      </c>
      <c r="AY447" s="18">
        <v>18.5</v>
      </c>
      <c r="AZ447" s="71">
        <v>0</v>
      </c>
      <c r="BA447" s="71">
        <v>0</v>
      </c>
      <c r="BB447" s="71">
        <v>0</v>
      </c>
      <c r="BC447" s="71">
        <v>0</v>
      </c>
      <c r="BD447" s="71">
        <v>0</v>
      </c>
      <c r="BE447" s="71">
        <v>0</v>
      </c>
      <c r="BF447" s="71">
        <v>0</v>
      </c>
      <c r="BG447" s="71">
        <v>0</v>
      </c>
      <c r="BH447" s="71">
        <v>0</v>
      </c>
      <c r="BI447" s="71">
        <v>0</v>
      </c>
      <c r="BJ447" s="113">
        <v>2491</v>
      </c>
      <c r="BK447" s="18">
        <v>109.84296879999999</v>
      </c>
      <c r="BL447" s="113">
        <v>51.7</v>
      </c>
      <c r="BM447" s="113">
        <v>63</v>
      </c>
      <c r="BN447" s="154">
        <v>503</v>
      </c>
      <c r="BO447" s="154">
        <v>5175</v>
      </c>
      <c r="BP447" s="113">
        <v>5382</v>
      </c>
      <c r="BQ447" s="113">
        <v>5598</v>
      </c>
      <c r="BR447" s="101"/>
      <c r="BS447">
        <f t="shared" si="896"/>
        <v>0</v>
      </c>
      <c r="BT447">
        <f t="shared" si="896"/>
        <v>0</v>
      </c>
      <c r="BU447">
        <f t="shared" si="896"/>
        <v>0</v>
      </c>
      <c r="BV447">
        <f t="shared" si="896"/>
        <v>0</v>
      </c>
      <c r="BW447">
        <f t="shared" si="896"/>
        <v>0</v>
      </c>
      <c r="BX447">
        <f t="shared" si="896"/>
        <v>0</v>
      </c>
      <c r="BY447">
        <f t="shared" si="896"/>
        <v>0</v>
      </c>
      <c r="BZ447">
        <f t="shared" si="896"/>
        <v>0</v>
      </c>
      <c r="CA447">
        <f t="shared" si="896"/>
        <v>0</v>
      </c>
      <c r="CB447">
        <f t="shared" si="896"/>
        <v>0</v>
      </c>
      <c r="CC447">
        <f t="shared" si="897"/>
        <v>0</v>
      </c>
      <c r="CD447">
        <f t="shared" si="897"/>
        <v>0</v>
      </c>
      <c r="CE447">
        <f t="shared" si="897"/>
        <v>0</v>
      </c>
      <c r="CF447">
        <f t="shared" si="897"/>
        <v>0</v>
      </c>
      <c r="CG447">
        <f t="shared" si="897"/>
        <v>0</v>
      </c>
      <c r="CH447">
        <f t="shared" si="897"/>
        <v>0</v>
      </c>
      <c r="CI447">
        <f t="shared" si="897"/>
        <v>0</v>
      </c>
      <c r="CJ447">
        <f t="shared" si="897"/>
        <v>0</v>
      </c>
      <c r="CK447">
        <f t="shared" si="897"/>
        <v>0</v>
      </c>
      <c r="CL447">
        <f t="shared" si="897"/>
        <v>0</v>
      </c>
      <c r="CM447">
        <f t="shared" si="898"/>
        <v>0</v>
      </c>
      <c r="CN447">
        <f t="shared" si="898"/>
        <v>0</v>
      </c>
      <c r="CO447">
        <f t="shared" si="898"/>
        <v>0</v>
      </c>
      <c r="CP447">
        <f t="shared" si="898"/>
        <v>0</v>
      </c>
      <c r="CQ447">
        <f t="shared" si="898"/>
        <v>0</v>
      </c>
      <c r="CR447">
        <f t="shared" si="898"/>
        <v>0</v>
      </c>
      <c r="CS447">
        <f t="shared" si="898"/>
        <v>0</v>
      </c>
      <c r="CT447">
        <f t="shared" si="898"/>
        <v>0</v>
      </c>
      <c r="CU447">
        <f t="shared" si="898"/>
        <v>0</v>
      </c>
      <c r="CV447">
        <f t="shared" si="898"/>
        <v>0</v>
      </c>
      <c r="CW447">
        <f t="shared" si="899"/>
        <v>0</v>
      </c>
      <c r="CX447">
        <f t="shared" si="899"/>
        <v>0</v>
      </c>
      <c r="CY447">
        <f t="shared" si="899"/>
        <v>0</v>
      </c>
      <c r="CZ447">
        <f t="shared" si="899"/>
        <v>0</v>
      </c>
      <c r="DA447">
        <f t="shared" si="899"/>
        <v>0</v>
      </c>
      <c r="DB447">
        <f t="shared" si="899"/>
        <v>0</v>
      </c>
      <c r="DC447">
        <f t="shared" si="899"/>
        <v>0</v>
      </c>
      <c r="DD447">
        <f t="shared" si="899"/>
        <v>0</v>
      </c>
      <c r="DE447">
        <f t="shared" si="899"/>
        <v>0</v>
      </c>
      <c r="DF447">
        <f t="shared" si="899"/>
        <v>0</v>
      </c>
      <c r="DG447">
        <f t="shared" si="900"/>
        <v>0</v>
      </c>
      <c r="DH447">
        <f t="shared" si="900"/>
        <v>0</v>
      </c>
      <c r="DI447">
        <f t="shared" si="900"/>
        <v>0</v>
      </c>
      <c r="DJ447">
        <f t="shared" si="900"/>
        <v>0</v>
      </c>
      <c r="DK447">
        <f t="shared" si="900"/>
        <v>0</v>
      </c>
      <c r="DL447">
        <f t="shared" si="900"/>
        <v>0</v>
      </c>
      <c r="DM447">
        <f t="shared" si="900"/>
        <v>0</v>
      </c>
      <c r="DN447">
        <f t="shared" si="900"/>
        <v>0</v>
      </c>
      <c r="DO447">
        <f t="shared" si="900"/>
        <v>0</v>
      </c>
      <c r="DP447">
        <f t="shared" si="900"/>
        <v>0</v>
      </c>
      <c r="DQ447">
        <f t="shared" si="901"/>
        <v>0</v>
      </c>
      <c r="DR447">
        <f t="shared" si="901"/>
        <v>0</v>
      </c>
      <c r="DS447">
        <f t="shared" si="901"/>
        <v>0</v>
      </c>
      <c r="DT447">
        <f t="shared" si="901"/>
        <v>0</v>
      </c>
      <c r="DU447">
        <f t="shared" si="901"/>
        <v>0</v>
      </c>
      <c r="DV447">
        <f t="shared" si="901"/>
        <v>0</v>
      </c>
      <c r="DW447">
        <f t="shared" si="901"/>
        <v>0</v>
      </c>
      <c r="DX447">
        <f t="shared" si="901"/>
        <v>0</v>
      </c>
      <c r="DY447">
        <f t="shared" si="901"/>
        <v>0</v>
      </c>
      <c r="DZ447">
        <f t="shared" si="901"/>
        <v>0</v>
      </c>
      <c r="EA447">
        <f t="shared" si="902"/>
        <v>0</v>
      </c>
      <c r="EB447">
        <f t="shared" si="902"/>
        <v>0</v>
      </c>
      <c r="EC447">
        <f t="shared" si="902"/>
        <v>0</v>
      </c>
      <c r="ED447">
        <f t="shared" si="902"/>
        <v>0</v>
      </c>
      <c r="EE447">
        <f t="shared" si="902"/>
        <v>0</v>
      </c>
      <c r="EF447">
        <f t="shared" si="902"/>
        <v>0</v>
      </c>
    </row>
    <row r="448" spans="1:136" ht="15.5">
      <c r="A448" s="90"/>
      <c r="B448" s="53" t="s">
        <v>3</v>
      </c>
      <c r="C448" s="96"/>
      <c r="D448" s="18">
        <v>0</v>
      </c>
      <c r="E448" s="18">
        <v>0</v>
      </c>
      <c r="F448" s="18">
        <v>0</v>
      </c>
      <c r="G448" s="18">
        <v>0</v>
      </c>
      <c r="H448" s="18">
        <v>0</v>
      </c>
      <c r="I448" s="18">
        <v>0</v>
      </c>
      <c r="J448" s="18">
        <v>0</v>
      </c>
      <c r="K448" s="18">
        <v>0</v>
      </c>
      <c r="L448" s="18">
        <v>0</v>
      </c>
      <c r="M448" s="18">
        <v>0</v>
      </c>
      <c r="N448" s="18">
        <v>0.45500000000000002</v>
      </c>
      <c r="O448" s="18">
        <v>0.1</v>
      </c>
      <c r="P448" s="18">
        <v>2.5829000000000001E-2</v>
      </c>
      <c r="Q448" s="18">
        <v>2.7902E-2</v>
      </c>
      <c r="R448" s="18">
        <v>3.2878999999999999E-2</v>
      </c>
      <c r="S448" s="18">
        <v>2.2259000000000001E-2</v>
      </c>
      <c r="T448" s="18">
        <v>0</v>
      </c>
      <c r="U448" s="18">
        <v>0</v>
      </c>
      <c r="V448" s="18">
        <v>0</v>
      </c>
      <c r="W448" s="18">
        <v>0.22900000000000001</v>
      </c>
      <c r="X448" s="18">
        <v>0.22500000000000001</v>
      </c>
      <c r="Y448" s="18">
        <v>0.32730599999999999</v>
      </c>
      <c r="Z448" s="18">
        <v>0.606267</v>
      </c>
      <c r="AA448" s="18">
        <v>0.47722100000000001</v>
      </c>
      <c r="AB448" s="18">
        <v>0.45</v>
      </c>
      <c r="AC448" s="18">
        <v>0</v>
      </c>
      <c r="AD448" s="18">
        <v>0</v>
      </c>
      <c r="AE448" s="18">
        <v>42.958019999999998</v>
      </c>
      <c r="AF448" s="18">
        <v>9.0910089999999997</v>
      </c>
      <c r="AG448" s="18">
        <v>55.42324</v>
      </c>
      <c r="AH448" s="18">
        <v>236.12459999999999</v>
      </c>
      <c r="AI448" s="18">
        <f>968.6216-AI447</f>
        <v>944.47531339999989</v>
      </c>
      <c r="AJ448" s="18">
        <f>1739.735-AJ446</f>
        <v>1298.7349999999999</v>
      </c>
      <c r="AK448" s="18">
        <f>2334.773-AK447</f>
        <v>2301.3589996999999</v>
      </c>
      <c r="AL448" s="18">
        <f>3049.254-AL447</f>
        <v>3005.7532286999999</v>
      </c>
      <c r="AM448" s="18">
        <f>3889.19-AM447</f>
        <v>3842.8732721000001</v>
      </c>
      <c r="AN448" s="18">
        <f>4585.303-AN447</f>
        <v>4537.0349957999997</v>
      </c>
      <c r="AO448" s="18">
        <f>5146.283-AO446-AO447</f>
        <v>4913.4906639000001</v>
      </c>
      <c r="AP448" s="18">
        <f>5571.254-AP447-AP446</f>
        <v>5355.9602104999994</v>
      </c>
      <c r="AQ448" s="18">
        <f>1384.38-AQ447-AQ446</f>
        <v>1167.6195150000001</v>
      </c>
      <c r="AR448" s="18">
        <f>667.3009322-AR447-AR446</f>
        <v>450.53765800000008</v>
      </c>
      <c r="AS448" s="18">
        <f>629.6773679-AS446-AS447</f>
        <v>74.677367900000036</v>
      </c>
      <c r="AT448" s="18">
        <f>684.3443013-AT447-AT446</f>
        <v>471.55730129999995</v>
      </c>
      <c r="AU448" s="18">
        <f>722.2625254-AU446-AU447</f>
        <v>521.15804819999994</v>
      </c>
      <c r="AV448" s="40" t="s">
        <v>16</v>
      </c>
      <c r="AW448" s="18">
        <f>1103.5427817+1000-AW447-AW446</f>
        <v>1908.6157816999998</v>
      </c>
      <c r="AX448" s="18">
        <f>4748.0143561-AX447-AX446</f>
        <v>4555.8893561000004</v>
      </c>
      <c r="AY448" s="18">
        <f>408.9378369-AY447-AY446</f>
        <v>226.43783689999998</v>
      </c>
      <c r="AZ448" s="18">
        <f>426.2403335-AZ447-AZ446</f>
        <v>262.24033350000002</v>
      </c>
      <c r="BA448" s="18">
        <f>395.581165-BA447-BA446</f>
        <v>231.581165</v>
      </c>
      <c r="BB448" s="18">
        <v>393.64598549999999</v>
      </c>
      <c r="BC448" s="18">
        <v>384.52889429999993</v>
      </c>
      <c r="BD448" s="18">
        <f>373.3326413-BD447-BD446</f>
        <v>209.33264129999998</v>
      </c>
      <c r="BE448" s="55">
        <f>374.2485056-BE447-BE446</f>
        <v>210.24850559999999</v>
      </c>
      <c r="BF448" s="18">
        <f>374.2342389-BF447-BF446</f>
        <v>210.23423889999998</v>
      </c>
      <c r="BG448" s="18">
        <f>374.0504937-BG447-BG446</f>
        <v>210.0504937</v>
      </c>
      <c r="BH448" s="18">
        <f>374.0490237-BH447-BH446</f>
        <v>210.04902370000002</v>
      </c>
      <c r="BI448" s="18">
        <f>375.2916076-BI447-BI446</f>
        <v>211.29160760000002</v>
      </c>
      <c r="BJ448" s="113">
        <f>383.1372492-BJ446</f>
        <v>219.13724919999999</v>
      </c>
      <c r="BK448" s="113">
        <f>492.8603504-BK446-BK447</f>
        <v>219.01738160000002</v>
      </c>
      <c r="BL448" s="113">
        <f>484.6371918-BL447-BL446</f>
        <v>411.93719179999999</v>
      </c>
      <c r="BM448" s="113">
        <f>484.6371918-BM447-BM446</f>
        <v>408.63719179999998</v>
      </c>
      <c r="BN448" s="18">
        <v>377.0956923</v>
      </c>
      <c r="BO448" s="113">
        <v>525</v>
      </c>
      <c r="BP448" s="113">
        <v>552</v>
      </c>
      <c r="BQ448" s="113">
        <v>579</v>
      </c>
      <c r="BR448" s="101"/>
      <c r="BS448">
        <f t="shared" si="896"/>
        <v>0</v>
      </c>
      <c r="BT448">
        <f t="shared" si="896"/>
        <v>0</v>
      </c>
      <c r="BU448">
        <f t="shared" si="896"/>
        <v>0</v>
      </c>
      <c r="BV448">
        <f t="shared" si="896"/>
        <v>0</v>
      </c>
      <c r="BW448">
        <f t="shared" si="896"/>
        <v>0</v>
      </c>
      <c r="BX448">
        <f t="shared" si="896"/>
        <v>0</v>
      </c>
      <c r="BY448">
        <f t="shared" si="896"/>
        <v>0</v>
      </c>
      <c r="BZ448">
        <f t="shared" si="896"/>
        <v>0</v>
      </c>
      <c r="CA448">
        <f t="shared" si="896"/>
        <v>0</v>
      </c>
      <c r="CB448">
        <f t="shared" si="896"/>
        <v>0</v>
      </c>
      <c r="CC448">
        <f t="shared" si="897"/>
        <v>0</v>
      </c>
      <c r="CD448">
        <f t="shared" si="897"/>
        <v>0</v>
      </c>
      <c r="CE448">
        <f t="shared" si="897"/>
        <v>0</v>
      </c>
      <c r="CF448">
        <f t="shared" si="897"/>
        <v>0</v>
      </c>
      <c r="CG448">
        <f t="shared" si="897"/>
        <v>0</v>
      </c>
      <c r="CH448">
        <f t="shared" si="897"/>
        <v>0</v>
      </c>
      <c r="CI448">
        <f t="shared" si="897"/>
        <v>0</v>
      </c>
      <c r="CJ448">
        <f t="shared" si="897"/>
        <v>0</v>
      </c>
      <c r="CK448">
        <f t="shared" si="897"/>
        <v>0</v>
      </c>
      <c r="CL448">
        <f t="shared" si="897"/>
        <v>0</v>
      </c>
      <c r="CM448">
        <f t="shared" si="898"/>
        <v>0</v>
      </c>
      <c r="CN448">
        <f t="shared" si="898"/>
        <v>0</v>
      </c>
      <c r="CO448">
        <f t="shared" si="898"/>
        <v>0</v>
      </c>
      <c r="CP448">
        <f t="shared" si="898"/>
        <v>0</v>
      </c>
      <c r="CQ448">
        <f t="shared" si="898"/>
        <v>0</v>
      </c>
      <c r="CR448">
        <f t="shared" si="898"/>
        <v>0</v>
      </c>
      <c r="CS448">
        <f t="shared" si="898"/>
        <v>0</v>
      </c>
      <c r="CT448">
        <f t="shared" si="898"/>
        <v>0</v>
      </c>
      <c r="CU448">
        <f t="shared" si="898"/>
        <v>0</v>
      </c>
      <c r="CV448">
        <f t="shared" si="898"/>
        <v>0</v>
      </c>
      <c r="CW448">
        <f t="shared" si="899"/>
        <v>0</v>
      </c>
      <c r="CX448">
        <f t="shared" si="899"/>
        <v>0</v>
      </c>
      <c r="CY448">
        <f t="shared" si="899"/>
        <v>0</v>
      </c>
      <c r="CZ448">
        <f t="shared" si="899"/>
        <v>0</v>
      </c>
      <c r="DA448">
        <f t="shared" si="899"/>
        <v>0</v>
      </c>
      <c r="DB448">
        <f t="shared" si="899"/>
        <v>0</v>
      </c>
      <c r="DC448">
        <f t="shared" si="899"/>
        <v>0</v>
      </c>
      <c r="DD448">
        <f t="shared" si="899"/>
        <v>0</v>
      </c>
      <c r="DE448">
        <f t="shared" si="899"/>
        <v>0</v>
      </c>
      <c r="DF448">
        <f t="shared" si="899"/>
        <v>0</v>
      </c>
      <c r="DG448">
        <f t="shared" si="900"/>
        <v>0</v>
      </c>
      <c r="DH448">
        <f t="shared" si="900"/>
        <v>0</v>
      </c>
      <c r="DI448">
        <f t="shared" si="900"/>
        <v>0</v>
      </c>
      <c r="DJ448">
        <f t="shared" si="900"/>
        <v>0</v>
      </c>
      <c r="DK448">
        <f t="shared" si="900"/>
        <v>0</v>
      </c>
      <c r="DL448">
        <f t="shared" si="900"/>
        <v>0</v>
      </c>
      <c r="DM448">
        <f t="shared" si="900"/>
        <v>0</v>
      </c>
      <c r="DN448">
        <f t="shared" si="900"/>
        <v>0</v>
      </c>
      <c r="DO448">
        <f t="shared" si="900"/>
        <v>0</v>
      </c>
      <c r="DP448">
        <f t="shared" si="900"/>
        <v>0</v>
      </c>
      <c r="DQ448">
        <f t="shared" si="901"/>
        <v>0</v>
      </c>
      <c r="DR448">
        <f t="shared" si="901"/>
        <v>0</v>
      </c>
      <c r="DS448">
        <f t="shared" si="901"/>
        <v>0</v>
      </c>
      <c r="DT448">
        <f t="shared" si="901"/>
        <v>0</v>
      </c>
      <c r="DU448">
        <f t="shared" si="901"/>
        <v>0</v>
      </c>
      <c r="DV448">
        <f t="shared" si="901"/>
        <v>0</v>
      </c>
      <c r="DW448">
        <f t="shared" si="901"/>
        <v>0</v>
      </c>
      <c r="DX448">
        <f t="shared" si="901"/>
        <v>0</v>
      </c>
      <c r="DY448">
        <f t="shared" si="901"/>
        <v>0</v>
      </c>
      <c r="DZ448">
        <f t="shared" si="901"/>
        <v>0</v>
      </c>
      <c r="EA448">
        <f t="shared" si="902"/>
        <v>0</v>
      </c>
      <c r="EB448">
        <f t="shared" si="902"/>
        <v>0</v>
      </c>
      <c r="EC448">
        <f t="shared" si="902"/>
        <v>0</v>
      </c>
      <c r="ED448">
        <f t="shared" si="902"/>
        <v>0</v>
      </c>
      <c r="EE448">
        <f t="shared" si="902"/>
        <v>0</v>
      </c>
      <c r="EF448">
        <f t="shared" si="902"/>
        <v>0</v>
      </c>
    </row>
    <row r="449" spans="1:136" ht="15.5">
      <c r="A449" s="90"/>
      <c r="B449" s="53" t="s">
        <v>25</v>
      </c>
      <c r="C449" s="96"/>
      <c r="D449" s="18">
        <v>0</v>
      </c>
      <c r="E449" s="18">
        <v>0</v>
      </c>
      <c r="F449" s="18">
        <v>0</v>
      </c>
      <c r="G449" s="18">
        <v>0</v>
      </c>
      <c r="H449" s="18">
        <v>0</v>
      </c>
      <c r="I449" s="18">
        <v>0</v>
      </c>
      <c r="J449" s="18">
        <v>0</v>
      </c>
      <c r="K449" s="18">
        <v>0</v>
      </c>
      <c r="L449" s="18">
        <v>0</v>
      </c>
      <c r="M449" s="18">
        <v>0</v>
      </c>
      <c r="N449" s="18">
        <v>0</v>
      </c>
      <c r="O449" s="18">
        <v>0</v>
      </c>
      <c r="P449" s="18">
        <v>0</v>
      </c>
      <c r="Q449" s="18">
        <v>0</v>
      </c>
      <c r="R449" s="18">
        <v>0</v>
      </c>
      <c r="S449" s="18">
        <v>0</v>
      </c>
      <c r="T449" s="18">
        <v>0</v>
      </c>
      <c r="U449" s="18">
        <v>0</v>
      </c>
      <c r="V449" s="18">
        <v>0</v>
      </c>
      <c r="W449" s="18">
        <v>0</v>
      </c>
      <c r="X449" s="18">
        <v>0</v>
      </c>
      <c r="Y449" s="18">
        <v>0</v>
      </c>
      <c r="Z449" s="18">
        <v>0</v>
      </c>
      <c r="AA449" s="18">
        <v>0</v>
      </c>
      <c r="AB449" s="18">
        <v>0</v>
      </c>
      <c r="AC449" s="18">
        <v>0</v>
      </c>
      <c r="AD449" s="18">
        <v>0</v>
      </c>
      <c r="AE449" s="18">
        <v>0</v>
      </c>
      <c r="AF449" s="18">
        <v>0</v>
      </c>
      <c r="AG449" s="18">
        <v>0</v>
      </c>
      <c r="AH449" s="18">
        <v>0</v>
      </c>
      <c r="AI449" s="18">
        <v>0</v>
      </c>
      <c r="AJ449" s="18">
        <v>0</v>
      </c>
      <c r="AK449" s="18">
        <v>0</v>
      </c>
      <c r="AL449" s="18">
        <v>0</v>
      </c>
      <c r="AM449" s="18">
        <v>0</v>
      </c>
      <c r="AN449" s="18">
        <v>0</v>
      </c>
      <c r="AO449" s="18">
        <v>0</v>
      </c>
      <c r="AP449" s="18">
        <v>0</v>
      </c>
      <c r="AQ449" s="18">
        <v>0</v>
      </c>
      <c r="AR449" s="18">
        <v>0</v>
      </c>
      <c r="AS449" s="18">
        <v>0</v>
      </c>
      <c r="AT449" s="18">
        <v>0</v>
      </c>
      <c r="AU449" s="18">
        <v>0</v>
      </c>
      <c r="AV449" s="18">
        <v>0</v>
      </c>
      <c r="AW449" s="18">
        <v>0</v>
      </c>
      <c r="AX449" s="18">
        <v>0</v>
      </c>
      <c r="AY449" s="18">
        <v>0</v>
      </c>
      <c r="AZ449" s="18">
        <v>0</v>
      </c>
      <c r="BA449" s="18">
        <v>0</v>
      </c>
      <c r="BB449" s="18">
        <v>0</v>
      </c>
      <c r="BC449" s="18">
        <v>0</v>
      </c>
      <c r="BD449" s="18">
        <v>0</v>
      </c>
      <c r="BE449" s="55">
        <v>0</v>
      </c>
      <c r="BF449" s="18">
        <v>0</v>
      </c>
      <c r="BG449" s="18">
        <v>0</v>
      </c>
      <c r="BH449" s="18">
        <v>0</v>
      </c>
      <c r="BI449" s="18">
        <v>0</v>
      </c>
      <c r="BJ449" s="113">
        <v>0</v>
      </c>
      <c r="BK449" s="113">
        <v>0</v>
      </c>
      <c r="BL449" s="113">
        <v>0</v>
      </c>
      <c r="BM449" s="113">
        <v>0</v>
      </c>
      <c r="BN449" s="113">
        <v>0</v>
      </c>
      <c r="BO449" s="113">
        <v>1066</v>
      </c>
      <c r="BP449" s="113">
        <v>1132</v>
      </c>
      <c r="BQ449" s="113">
        <v>1198</v>
      </c>
      <c r="BR449" s="101"/>
      <c r="BS449">
        <f t="shared" si="896"/>
        <v>0</v>
      </c>
      <c r="BT449">
        <f t="shared" si="896"/>
        <v>0</v>
      </c>
      <c r="BU449">
        <f t="shared" si="896"/>
        <v>0</v>
      </c>
      <c r="BV449">
        <f t="shared" si="896"/>
        <v>0</v>
      </c>
      <c r="BW449">
        <f t="shared" si="896"/>
        <v>0</v>
      </c>
      <c r="BX449">
        <f t="shared" si="896"/>
        <v>0</v>
      </c>
      <c r="BY449">
        <f t="shared" si="896"/>
        <v>0</v>
      </c>
      <c r="BZ449">
        <f t="shared" si="896"/>
        <v>0</v>
      </c>
      <c r="CA449">
        <f t="shared" si="896"/>
        <v>0</v>
      </c>
      <c r="CB449">
        <f t="shared" si="896"/>
        <v>0</v>
      </c>
      <c r="CC449">
        <f t="shared" si="897"/>
        <v>0</v>
      </c>
      <c r="CD449">
        <f t="shared" si="897"/>
        <v>0</v>
      </c>
      <c r="CE449">
        <f t="shared" si="897"/>
        <v>0</v>
      </c>
      <c r="CF449">
        <f t="shared" si="897"/>
        <v>0</v>
      </c>
      <c r="CG449">
        <f t="shared" si="897"/>
        <v>0</v>
      </c>
      <c r="CH449">
        <f t="shared" si="897"/>
        <v>0</v>
      </c>
      <c r="CI449">
        <f t="shared" si="897"/>
        <v>0</v>
      </c>
      <c r="CJ449">
        <f t="shared" si="897"/>
        <v>0</v>
      </c>
      <c r="CK449">
        <f t="shared" si="897"/>
        <v>0</v>
      </c>
      <c r="CL449">
        <f t="shared" si="897"/>
        <v>0</v>
      </c>
      <c r="CM449">
        <f t="shared" si="898"/>
        <v>0</v>
      </c>
      <c r="CN449">
        <f t="shared" si="898"/>
        <v>0</v>
      </c>
      <c r="CO449">
        <f t="shared" si="898"/>
        <v>0</v>
      </c>
      <c r="CP449">
        <f t="shared" si="898"/>
        <v>0</v>
      </c>
      <c r="CQ449">
        <f t="shared" si="898"/>
        <v>0</v>
      </c>
      <c r="CR449">
        <f t="shared" si="898"/>
        <v>0</v>
      </c>
      <c r="CS449">
        <f t="shared" si="898"/>
        <v>0</v>
      </c>
      <c r="CT449">
        <f t="shared" si="898"/>
        <v>0</v>
      </c>
      <c r="CU449">
        <f t="shared" si="898"/>
        <v>0</v>
      </c>
      <c r="CV449">
        <f t="shared" si="898"/>
        <v>0</v>
      </c>
      <c r="CW449">
        <f t="shared" si="899"/>
        <v>0</v>
      </c>
      <c r="CX449">
        <f t="shared" si="899"/>
        <v>0</v>
      </c>
      <c r="CY449">
        <f t="shared" si="899"/>
        <v>0</v>
      </c>
      <c r="CZ449">
        <f t="shared" si="899"/>
        <v>0</v>
      </c>
      <c r="DA449">
        <f t="shared" si="899"/>
        <v>0</v>
      </c>
      <c r="DB449">
        <f t="shared" si="899"/>
        <v>0</v>
      </c>
      <c r="DC449">
        <f t="shared" si="899"/>
        <v>0</v>
      </c>
      <c r="DD449">
        <f t="shared" si="899"/>
        <v>0</v>
      </c>
      <c r="DE449">
        <f t="shared" si="899"/>
        <v>0</v>
      </c>
      <c r="DF449">
        <f t="shared" si="899"/>
        <v>0</v>
      </c>
      <c r="DG449">
        <f t="shared" si="900"/>
        <v>0</v>
      </c>
      <c r="DH449">
        <f t="shared" si="900"/>
        <v>0</v>
      </c>
      <c r="DI449">
        <f t="shared" si="900"/>
        <v>0</v>
      </c>
      <c r="DJ449">
        <f t="shared" si="900"/>
        <v>0</v>
      </c>
      <c r="DK449">
        <f t="shared" si="900"/>
        <v>0</v>
      </c>
      <c r="DL449">
        <f t="shared" si="900"/>
        <v>0</v>
      </c>
      <c r="DM449">
        <f t="shared" si="900"/>
        <v>0</v>
      </c>
      <c r="DN449">
        <f t="shared" si="900"/>
        <v>0</v>
      </c>
      <c r="DO449">
        <f t="shared" si="900"/>
        <v>0</v>
      </c>
      <c r="DP449">
        <f t="shared" si="900"/>
        <v>0</v>
      </c>
      <c r="DQ449">
        <f t="shared" si="901"/>
        <v>0</v>
      </c>
      <c r="DR449">
        <f t="shared" si="901"/>
        <v>0</v>
      </c>
      <c r="DS449">
        <f t="shared" si="901"/>
        <v>0</v>
      </c>
      <c r="DT449">
        <f t="shared" si="901"/>
        <v>0</v>
      </c>
      <c r="DU449">
        <f t="shared" si="901"/>
        <v>0</v>
      </c>
      <c r="DV449">
        <f t="shared" si="901"/>
        <v>0</v>
      </c>
      <c r="DW449">
        <f t="shared" si="901"/>
        <v>0</v>
      </c>
      <c r="DX449">
        <f t="shared" si="901"/>
        <v>0</v>
      </c>
      <c r="DY449">
        <f t="shared" si="901"/>
        <v>0</v>
      </c>
      <c r="DZ449">
        <f t="shared" si="901"/>
        <v>0</v>
      </c>
      <c r="EA449">
        <f t="shared" ref="EA449:EF451" si="903">IF($C449&lt;&gt;"",IF(BL449&gt;0,1,0),0)</f>
        <v>0</v>
      </c>
      <c r="EB449">
        <f t="shared" si="903"/>
        <v>0</v>
      </c>
      <c r="EC449">
        <f t="shared" si="903"/>
        <v>0</v>
      </c>
      <c r="ED449">
        <f t="shared" si="903"/>
        <v>0</v>
      </c>
      <c r="EE449">
        <f t="shared" si="903"/>
        <v>0</v>
      </c>
      <c r="EF449">
        <f t="shared" si="903"/>
        <v>0</v>
      </c>
    </row>
    <row r="450" spans="1:136" ht="15.5">
      <c r="A450" s="90"/>
      <c r="B450" s="19" t="s">
        <v>18</v>
      </c>
      <c r="C450" s="94"/>
      <c r="D450" s="18">
        <v>0</v>
      </c>
      <c r="E450" s="18">
        <v>0</v>
      </c>
      <c r="F450" s="18">
        <v>0</v>
      </c>
      <c r="G450" s="18">
        <v>0</v>
      </c>
      <c r="H450" s="18">
        <v>0</v>
      </c>
      <c r="I450" s="18">
        <v>0</v>
      </c>
      <c r="J450" s="18">
        <v>0</v>
      </c>
      <c r="K450" s="18">
        <v>0</v>
      </c>
      <c r="L450" s="18">
        <v>0</v>
      </c>
      <c r="M450" s="18">
        <v>0</v>
      </c>
      <c r="N450" s="18">
        <v>0</v>
      </c>
      <c r="O450" s="18">
        <v>0</v>
      </c>
      <c r="P450" s="18">
        <v>0</v>
      </c>
      <c r="Q450" s="18">
        <v>0</v>
      </c>
      <c r="R450" s="18">
        <v>0</v>
      </c>
      <c r="S450" s="18">
        <v>0</v>
      </c>
      <c r="T450" s="18">
        <v>0</v>
      </c>
      <c r="U450" s="18">
        <v>0</v>
      </c>
      <c r="V450" s="18">
        <v>0</v>
      </c>
      <c r="W450" s="18">
        <v>0</v>
      </c>
      <c r="X450" s="18">
        <v>0</v>
      </c>
      <c r="Y450" s="18">
        <v>0</v>
      </c>
      <c r="Z450" s="18">
        <v>0</v>
      </c>
      <c r="AA450" s="18">
        <v>0</v>
      </c>
      <c r="AB450" s="18">
        <v>0</v>
      </c>
      <c r="AC450" s="18">
        <v>0</v>
      </c>
      <c r="AD450" s="18">
        <v>0</v>
      </c>
      <c r="AE450" s="18">
        <v>0</v>
      </c>
      <c r="AF450" s="18">
        <v>0</v>
      </c>
      <c r="AG450" s="18">
        <v>0</v>
      </c>
      <c r="AH450" s="40" t="s">
        <v>16</v>
      </c>
      <c r="AI450" s="40" t="s">
        <v>16</v>
      </c>
      <c r="AJ450" s="18">
        <v>12.3</v>
      </c>
      <c r="AK450" s="18">
        <v>7.08</v>
      </c>
      <c r="AL450" s="18">
        <v>5.5</v>
      </c>
      <c r="AM450" s="18">
        <v>3.22</v>
      </c>
      <c r="AN450" s="18">
        <v>0</v>
      </c>
      <c r="AO450" s="18">
        <v>5.32</v>
      </c>
      <c r="AP450" s="18">
        <v>1.67</v>
      </c>
      <c r="AQ450" s="18">
        <v>0.65</v>
      </c>
      <c r="AR450" s="18">
        <v>0</v>
      </c>
      <c r="AS450" s="18">
        <v>0</v>
      </c>
      <c r="AT450" s="18">
        <v>0</v>
      </c>
      <c r="AU450" s="18">
        <v>0</v>
      </c>
      <c r="AV450" s="18">
        <v>0</v>
      </c>
      <c r="AW450" s="18">
        <v>0</v>
      </c>
      <c r="AX450" s="18">
        <v>0</v>
      </c>
      <c r="AY450" s="18">
        <v>0</v>
      </c>
      <c r="AZ450" s="18">
        <v>0</v>
      </c>
      <c r="BA450" s="18">
        <v>0</v>
      </c>
      <c r="BB450" s="18">
        <v>0</v>
      </c>
      <c r="BC450" s="18">
        <v>0</v>
      </c>
      <c r="BD450" s="18">
        <v>0</v>
      </c>
      <c r="BE450" s="55">
        <v>0</v>
      </c>
      <c r="BF450" s="18">
        <v>0</v>
      </c>
      <c r="BG450" s="18">
        <v>0</v>
      </c>
      <c r="BH450" s="18">
        <v>0</v>
      </c>
      <c r="BI450" s="18">
        <v>0</v>
      </c>
      <c r="BJ450" s="18">
        <v>0</v>
      </c>
      <c r="BK450" s="18">
        <v>0</v>
      </c>
      <c r="BL450" s="18">
        <v>0</v>
      </c>
      <c r="BM450" s="18">
        <v>0</v>
      </c>
      <c r="BN450" s="18">
        <v>0</v>
      </c>
      <c r="BO450" s="147">
        <v>1966</v>
      </c>
      <c r="BP450" s="113">
        <v>2060</v>
      </c>
      <c r="BQ450" s="113">
        <v>2154</v>
      </c>
      <c r="BR450" s="101"/>
      <c r="BS450">
        <f t="shared" si="896"/>
        <v>0</v>
      </c>
      <c r="BT450">
        <f t="shared" si="896"/>
        <v>0</v>
      </c>
      <c r="BU450">
        <f t="shared" si="896"/>
        <v>0</v>
      </c>
      <c r="BV450">
        <f t="shared" si="896"/>
        <v>0</v>
      </c>
      <c r="BW450">
        <f t="shared" si="896"/>
        <v>0</v>
      </c>
      <c r="BX450">
        <f t="shared" si="896"/>
        <v>0</v>
      </c>
      <c r="BY450">
        <f t="shared" si="896"/>
        <v>0</v>
      </c>
      <c r="BZ450">
        <f t="shared" si="896"/>
        <v>0</v>
      </c>
      <c r="CA450">
        <f t="shared" si="896"/>
        <v>0</v>
      </c>
      <c r="CB450">
        <f t="shared" si="896"/>
        <v>0</v>
      </c>
      <c r="CC450">
        <f t="shared" si="897"/>
        <v>0</v>
      </c>
      <c r="CD450">
        <f t="shared" si="897"/>
        <v>0</v>
      </c>
      <c r="CE450">
        <f t="shared" si="897"/>
        <v>0</v>
      </c>
      <c r="CF450">
        <f t="shared" si="897"/>
        <v>0</v>
      </c>
      <c r="CG450">
        <f t="shared" si="897"/>
        <v>0</v>
      </c>
      <c r="CH450">
        <f t="shared" si="897"/>
        <v>0</v>
      </c>
      <c r="CI450">
        <f t="shared" si="897"/>
        <v>0</v>
      </c>
      <c r="CJ450">
        <f t="shared" si="897"/>
        <v>0</v>
      </c>
      <c r="CK450">
        <f t="shared" si="897"/>
        <v>0</v>
      </c>
      <c r="CL450">
        <f t="shared" si="897"/>
        <v>0</v>
      </c>
      <c r="CM450">
        <f t="shared" si="898"/>
        <v>0</v>
      </c>
      <c r="CN450">
        <f t="shared" si="898"/>
        <v>0</v>
      </c>
      <c r="CO450">
        <f t="shared" si="898"/>
        <v>0</v>
      </c>
      <c r="CP450">
        <f t="shared" si="898"/>
        <v>0</v>
      </c>
      <c r="CQ450">
        <f t="shared" si="898"/>
        <v>0</v>
      </c>
      <c r="CR450">
        <f t="shared" si="898"/>
        <v>0</v>
      </c>
      <c r="CS450">
        <f t="shared" si="898"/>
        <v>0</v>
      </c>
      <c r="CT450">
        <f t="shared" si="898"/>
        <v>0</v>
      </c>
      <c r="CU450">
        <f t="shared" si="898"/>
        <v>0</v>
      </c>
      <c r="CV450">
        <f t="shared" si="898"/>
        <v>0</v>
      </c>
      <c r="CW450">
        <f t="shared" si="899"/>
        <v>0</v>
      </c>
      <c r="CX450">
        <f t="shared" si="899"/>
        <v>0</v>
      </c>
      <c r="CY450">
        <f t="shared" si="899"/>
        <v>0</v>
      </c>
      <c r="CZ450">
        <f t="shared" si="899"/>
        <v>0</v>
      </c>
      <c r="DA450">
        <f t="shared" si="899"/>
        <v>0</v>
      </c>
      <c r="DB450">
        <f t="shared" si="899"/>
        <v>0</v>
      </c>
      <c r="DC450">
        <f t="shared" si="899"/>
        <v>0</v>
      </c>
      <c r="DD450">
        <f t="shared" si="899"/>
        <v>0</v>
      </c>
      <c r="DE450">
        <f t="shared" si="899"/>
        <v>0</v>
      </c>
      <c r="DF450">
        <f t="shared" si="899"/>
        <v>0</v>
      </c>
      <c r="DG450">
        <f t="shared" si="900"/>
        <v>0</v>
      </c>
      <c r="DH450">
        <f t="shared" si="900"/>
        <v>0</v>
      </c>
      <c r="DI450">
        <f t="shared" si="900"/>
        <v>0</v>
      </c>
      <c r="DJ450">
        <f t="shared" si="900"/>
        <v>0</v>
      </c>
      <c r="DK450">
        <f t="shared" si="900"/>
        <v>0</v>
      </c>
      <c r="DL450">
        <f t="shared" si="900"/>
        <v>0</v>
      </c>
      <c r="DM450">
        <f t="shared" si="900"/>
        <v>0</v>
      </c>
      <c r="DN450">
        <f t="shared" si="900"/>
        <v>0</v>
      </c>
      <c r="DO450">
        <f t="shared" si="900"/>
        <v>0</v>
      </c>
      <c r="DP450">
        <f t="shared" si="900"/>
        <v>0</v>
      </c>
      <c r="DQ450">
        <f t="shared" si="901"/>
        <v>0</v>
      </c>
      <c r="DR450">
        <f t="shared" si="901"/>
        <v>0</v>
      </c>
      <c r="DS450">
        <f t="shared" si="901"/>
        <v>0</v>
      </c>
      <c r="DT450">
        <f t="shared" si="901"/>
        <v>0</v>
      </c>
      <c r="DU450">
        <f t="shared" si="901"/>
        <v>0</v>
      </c>
      <c r="DV450">
        <f t="shared" si="901"/>
        <v>0</v>
      </c>
      <c r="DW450">
        <f t="shared" si="901"/>
        <v>0</v>
      </c>
      <c r="DX450">
        <f t="shared" si="901"/>
        <v>0</v>
      </c>
      <c r="DY450">
        <f t="shared" si="901"/>
        <v>0</v>
      </c>
      <c r="DZ450">
        <f t="shared" si="901"/>
        <v>0</v>
      </c>
      <c r="EA450">
        <f t="shared" si="903"/>
        <v>0</v>
      </c>
      <c r="EB450">
        <f t="shared" si="903"/>
        <v>0</v>
      </c>
      <c r="EC450">
        <f t="shared" si="903"/>
        <v>0</v>
      </c>
      <c r="ED450">
        <f t="shared" si="903"/>
        <v>0</v>
      </c>
      <c r="EE450">
        <f t="shared" si="903"/>
        <v>0</v>
      </c>
      <c r="EF450">
        <f t="shared" si="903"/>
        <v>0</v>
      </c>
    </row>
    <row r="451" spans="1:136" ht="15.5">
      <c r="A451" s="90"/>
      <c r="B451" s="19" t="s">
        <v>21</v>
      </c>
      <c r="C451" s="94"/>
      <c r="D451" s="18">
        <v>0</v>
      </c>
      <c r="E451" s="18">
        <v>0</v>
      </c>
      <c r="F451" s="18">
        <v>0</v>
      </c>
      <c r="G451" s="18">
        <v>0</v>
      </c>
      <c r="H451" s="18">
        <v>0</v>
      </c>
      <c r="I451" s="18">
        <v>0</v>
      </c>
      <c r="J451" s="18">
        <v>0</v>
      </c>
      <c r="K451" s="18">
        <v>0</v>
      </c>
      <c r="L451" s="18">
        <v>0</v>
      </c>
      <c r="M451" s="18">
        <v>0</v>
      </c>
      <c r="N451" s="18">
        <v>0</v>
      </c>
      <c r="O451" s="18">
        <v>0</v>
      </c>
      <c r="P451" s="18">
        <v>0</v>
      </c>
      <c r="Q451" s="18">
        <v>0</v>
      </c>
      <c r="R451" s="18">
        <v>0</v>
      </c>
      <c r="S451" s="18">
        <v>0</v>
      </c>
      <c r="T451" s="18">
        <v>0</v>
      </c>
      <c r="U451" s="18">
        <v>0</v>
      </c>
      <c r="V451" s="18">
        <v>0</v>
      </c>
      <c r="W451" s="18">
        <v>0</v>
      </c>
      <c r="X451" s="18">
        <v>0</v>
      </c>
      <c r="Y451" s="18">
        <v>0</v>
      </c>
      <c r="Z451" s="18">
        <v>0</v>
      </c>
      <c r="AA451" s="18">
        <v>0</v>
      </c>
      <c r="AB451" s="18">
        <v>0</v>
      </c>
      <c r="AC451" s="18">
        <v>0</v>
      </c>
      <c r="AD451" s="18">
        <v>0</v>
      </c>
      <c r="AE451" s="18">
        <v>0</v>
      </c>
      <c r="AF451" s="18">
        <v>0</v>
      </c>
      <c r="AG451" s="18">
        <v>0</v>
      </c>
      <c r="AH451" s="18">
        <v>0</v>
      </c>
      <c r="AI451" s="18">
        <v>0</v>
      </c>
      <c r="AJ451" s="18">
        <v>0</v>
      </c>
      <c r="AK451" s="18">
        <v>0</v>
      </c>
      <c r="AL451" s="18">
        <v>0</v>
      </c>
      <c r="AM451" s="18">
        <v>0</v>
      </c>
      <c r="AN451" s="18">
        <v>0</v>
      </c>
      <c r="AO451" s="18">
        <v>0</v>
      </c>
      <c r="AP451" s="18">
        <v>0</v>
      </c>
      <c r="AQ451" s="18">
        <v>0</v>
      </c>
      <c r="AR451" s="18">
        <v>0</v>
      </c>
      <c r="AS451" s="18">
        <v>0</v>
      </c>
      <c r="AT451" s="18">
        <v>0</v>
      </c>
      <c r="AU451" s="18">
        <v>0</v>
      </c>
      <c r="AV451" s="18">
        <v>0</v>
      </c>
      <c r="AW451" s="18">
        <v>0</v>
      </c>
      <c r="AX451" s="18">
        <v>0</v>
      </c>
      <c r="AY451" s="18">
        <v>0</v>
      </c>
      <c r="AZ451" s="18">
        <v>0</v>
      </c>
      <c r="BA451" s="18">
        <v>0</v>
      </c>
      <c r="BB451" s="18">
        <v>0</v>
      </c>
      <c r="BC451" s="18">
        <v>0</v>
      </c>
      <c r="BD451" s="18">
        <v>0</v>
      </c>
      <c r="BE451" s="18">
        <v>0</v>
      </c>
      <c r="BF451" s="18">
        <v>0</v>
      </c>
      <c r="BG451" s="18">
        <v>0</v>
      </c>
      <c r="BH451" s="18">
        <v>0</v>
      </c>
      <c r="BI451" s="18">
        <v>0</v>
      </c>
      <c r="BJ451" s="18">
        <v>0</v>
      </c>
      <c r="BK451" s="18">
        <v>0</v>
      </c>
      <c r="BL451" s="18">
        <v>0</v>
      </c>
      <c r="BM451" s="18">
        <v>0</v>
      </c>
      <c r="BN451" s="18">
        <v>0</v>
      </c>
      <c r="BO451" s="18">
        <v>0</v>
      </c>
      <c r="BP451" s="113">
        <v>5303</v>
      </c>
      <c r="BQ451" s="113">
        <v>0</v>
      </c>
      <c r="BR451" s="101"/>
      <c r="BS451">
        <f t="shared" si="896"/>
        <v>0</v>
      </c>
      <c r="BT451">
        <f t="shared" si="896"/>
        <v>0</v>
      </c>
      <c r="BU451">
        <f t="shared" si="896"/>
        <v>0</v>
      </c>
      <c r="BV451">
        <f t="shared" si="896"/>
        <v>0</v>
      </c>
      <c r="BW451">
        <f t="shared" si="896"/>
        <v>0</v>
      </c>
      <c r="BX451">
        <f t="shared" si="896"/>
        <v>0</v>
      </c>
      <c r="BY451">
        <f t="shared" si="896"/>
        <v>0</v>
      </c>
      <c r="BZ451">
        <f t="shared" si="896"/>
        <v>0</v>
      </c>
      <c r="CA451">
        <f t="shared" si="896"/>
        <v>0</v>
      </c>
      <c r="CB451">
        <f t="shared" si="896"/>
        <v>0</v>
      </c>
      <c r="CC451">
        <f t="shared" si="897"/>
        <v>0</v>
      </c>
      <c r="CD451">
        <f t="shared" si="897"/>
        <v>0</v>
      </c>
      <c r="CE451">
        <f t="shared" si="897"/>
        <v>0</v>
      </c>
      <c r="CF451">
        <f t="shared" si="897"/>
        <v>0</v>
      </c>
      <c r="CG451">
        <f t="shared" si="897"/>
        <v>0</v>
      </c>
      <c r="CH451">
        <f t="shared" si="897"/>
        <v>0</v>
      </c>
      <c r="CI451">
        <f t="shared" si="897"/>
        <v>0</v>
      </c>
      <c r="CJ451">
        <f t="shared" si="897"/>
        <v>0</v>
      </c>
      <c r="CK451">
        <f t="shared" si="897"/>
        <v>0</v>
      </c>
      <c r="CL451">
        <f t="shared" si="897"/>
        <v>0</v>
      </c>
      <c r="CM451">
        <f t="shared" si="898"/>
        <v>0</v>
      </c>
      <c r="CN451">
        <f t="shared" si="898"/>
        <v>0</v>
      </c>
      <c r="CO451">
        <f t="shared" si="898"/>
        <v>0</v>
      </c>
      <c r="CP451">
        <f t="shared" si="898"/>
        <v>0</v>
      </c>
      <c r="CQ451">
        <f t="shared" si="898"/>
        <v>0</v>
      </c>
      <c r="CR451">
        <f t="shared" si="898"/>
        <v>0</v>
      </c>
      <c r="CS451">
        <f t="shared" si="898"/>
        <v>0</v>
      </c>
      <c r="CT451">
        <f t="shared" si="898"/>
        <v>0</v>
      </c>
      <c r="CU451">
        <f t="shared" si="898"/>
        <v>0</v>
      </c>
      <c r="CV451">
        <f t="shared" si="898"/>
        <v>0</v>
      </c>
      <c r="CW451">
        <f t="shared" si="899"/>
        <v>0</v>
      </c>
      <c r="CX451">
        <f t="shared" si="899"/>
        <v>0</v>
      </c>
      <c r="CY451">
        <f t="shared" si="899"/>
        <v>0</v>
      </c>
      <c r="CZ451">
        <f t="shared" si="899"/>
        <v>0</v>
      </c>
      <c r="DA451">
        <f t="shared" si="899"/>
        <v>0</v>
      </c>
      <c r="DB451">
        <f t="shared" si="899"/>
        <v>0</v>
      </c>
      <c r="DC451">
        <f t="shared" si="899"/>
        <v>0</v>
      </c>
      <c r="DD451">
        <f t="shared" si="899"/>
        <v>0</v>
      </c>
      <c r="DE451">
        <f t="shared" si="899"/>
        <v>0</v>
      </c>
      <c r="DF451">
        <f t="shared" si="899"/>
        <v>0</v>
      </c>
      <c r="DG451">
        <f t="shared" si="900"/>
        <v>0</v>
      </c>
      <c r="DH451">
        <f t="shared" si="900"/>
        <v>0</v>
      </c>
      <c r="DI451">
        <f t="shared" si="900"/>
        <v>0</v>
      </c>
      <c r="DJ451">
        <f t="shared" si="900"/>
        <v>0</v>
      </c>
      <c r="DK451">
        <f t="shared" si="900"/>
        <v>0</v>
      </c>
      <c r="DL451">
        <f t="shared" si="900"/>
        <v>0</v>
      </c>
      <c r="DM451">
        <f t="shared" si="900"/>
        <v>0</v>
      </c>
      <c r="DN451">
        <f t="shared" si="900"/>
        <v>0</v>
      </c>
      <c r="DO451">
        <f t="shared" si="900"/>
        <v>0</v>
      </c>
      <c r="DP451">
        <f t="shared" si="900"/>
        <v>0</v>
      </c>
      <c r="DQ451">
        <f t="shared" si="901"/>
        <v>0</v>
      </c>
      <c r="DR451">
        <f t="shared" si="901"/>
        <v>0</v>
      </c>
      <c r="DS451">
        <f t="shared" si="901"/>
        <v>0</v>
      </c>
      <c r="DT451">
        <f t="shared" si="901"/>
        <v>0</v>
      </c>
      <c r="DU451">
        <f t="shared" si="901"/>
        <v>0</v>
      </c>
      <c r="DV451">
        <f t="shared" si="901"/>
        <v>0</v>
      </c>
      <c r="DW451">
        <f t="shared" si="901"/>
        <v>0</v>
      </c>
      <c r="DX451">
        <f t="shared" si="901"/>
        <v>0</v>
      </c>
      <c r="DY451">
        <f t="shared" si="901"/>
        <v>0</v>
      </c>
      <c r="DZ451">
        <f t="shared" si="901"/>
        <v>0</v>
      </c>
      <c r="EA451">
        <f t="shared" si="903"/>
        <v>0</v>
      </c>
      <c r="EB451">
        <f t="shared" si="903"/>
        <v>0</v>
      </c>
      <c r="EC451">
        <f t="shared" si="903"/>
        <v>0</v>
      </c>
      <c r="ED451">
        <f t="shared" si="903"/>
        <v>0</v>
      </c>
      <c r="EE451">
        <f t="shared" si="903"/>
        <v>0</v>
      </c>
      <c r="EF451">
        <f t="shared" si="903"/>
        <v>0</v>
      </c>
    </row>
    <row r="452" spans="1:136" ht="15.5">
      <c r="A452" s="90"/>
      <c r="B452" s="19" t="s">
        <v>208</v>
      </c>
      <c r="C452" s="94"/>
      <c r="D452" s="18">
        <v>0</v>
      </c>
      <c r="E452" s="18">
        <v>0</v>
      </c>
      <c r="F452" s="18">
        <v>0</v>
      </c>
      <c r="G452" s="18">
        <v>0</v>
      </c>
      <c r="H452" s="18">
        <v>0</v>
      </c>
      <c r="I452" s="18">
        <v>0</v>
      </c>
      <c r="J452" s="18">
        <v>0</v>
      </c>
      <c r="K452" s="18">
        <v>0</v>
      </c>
      <c r="L452" s="18">
        <v>0</v>
      </c>
      <c r="M452" s="18">
        <v>0</v>
      </c>
      <c r="N452" s="18">
        <v>0</v>
      </c>
      <c r="O452" s="18">
        <v>0.32326100000000002</v>
      </c>
      <c r="P452" s="18">
        <v>0.74689499999999998</v>
      </c>
      <c r="Q452" s="18">
        <v>4.0326000000000001E-2</v>
      </c>
      <c r="R452" s="18">
        <v>9.2576000000000006E-2</v>
      </c>
      <c r="S452" s="18">
        <v>0.29849300000000001</v>
      </c>
      <c r="T452" s="18">
        <v>1.2016720000000001</v>
      </c>
      <c r="U452" s="18">
        <v>1.261873</v>
      </c>
      <c r="V452" s="18">
        <v>0.81100000000000005</v>
      </c>
      <c r="W452" s="18">
        <v>1.482364</v>
      </c>
      <c r="X452" s="18">
        <v>0.9</v>
      </c>
      <c r="Y452" s="18">
        <v>0.95664700000000003</v>
      </c>
      <c r="Z452" s="18">
        <v>0.749884</v>
      </c>
      <c r="AA452" s="18">
        <v>0.74424299999999999</v>
      </c>
      <c r="AB452" s="18">
        <v>0.84076499999999998</v>
      </c>
      <c r="AC452" s="18">
        <v>1.4163060000000001</v>
      </c>
      <c r="AD452" s="18">
        <v>1.137</v>
      </c>
      <c r="AE452" s="18">
        <v>11.1523</v>
      </c>
      <c r="AF452" s="18">
        <v>6.6029350000000004</v>
      </c>
      <c r="AG452" s="18">
        <v>13.094239999999999</v>
      </c>
      <c r="AH452" s="18">
        <v>42.799390000000002</v>
      </c>
      <c r="AI452" s="18">
        <v>118.7927</v>
      </c>
      <c r="AJ452" s="18">
        <v>180.43600000000001</v>
      </c>
      <c r="AK452" s="18">
        <v>175.97749999999999</v>
      </c>
      <c r="AL452" s="18">
        <v>204.2586</v>
      </c>
      <c r="AM452" s="18">
        <v>207.18039999999999</v>
      </c>
      <c r="AN452" s="18">
        <v>216.31129999999999</v>
      </c>
      <c r="AO452" s="18">
        <v>261.62630000000001</v>
      </c>
      <c r="AP452" s="18">
        <v>255.4614</v>
      </c>
      <c r="AQ452" s="18">
        <v>63.367199999999997</v>
      </c>
      <c r="AR452" s="18">
        <v>49.791324299999999</v>
      </c>
      <c r="AS452" s="18">
        <v>55.497177499999999</v>
      </c>
      <c r="AT452" s="18">
        <v>38.243134099999999</v>
      </c>
      <c r="AU452" s="18">
        <v>39.223601300000006</v>
      </c>
      <c r="AV452" s="18">
        <v>16.717251900000001</v>
      </c>
      <c r="AW452" s="18">
        <v>13.670904399999998</v>
      </c>
      <c r="AX452" s="18">
        <v>43.824900200000002</v>
      </c>
      <c r="AY452" s="18">
        <v>40.180073999999998</v>
      </c>
      <c r="AZ452" s="18">
        <v>39.710604600000003</v>
      </c>
      <c r="BA452" s="18">
        <v>39.781287899999995</v>
      </c>
      <c r="BB452" s="18">
        <v>37.8947772</v>
      </c>
      <c r="BC452" s="18">
        <v>37.605468100000003</v>
      </c>
      <c r="BD452" s="18">
        <v>33.675249000000001</v>
      </c>
      <c r="BE452" s="55">
        <v>35.274222399999999</v>
      </c>
      <c r="BF452" s="31">
        <v>35.213133300000003</v>
      </c>
      <c r="BG452" s="31">
        <v>35.098717099999995</v>
      </c>
      <c r="BH452" s="31">
        <v>35.064161399999996</v>
      </c>
      <c r="BI452" s="31">
        <v>35.161994999999997</v>
      </c>
      <c r="BJ452" s="31">
        <v>35.5932551</v>
      </c>
      <c r="BK452" s="113">
        <v>35.555733700000005</v>
      </c>
      <c r="BL452" s="18">
        <v>117.993604</v>
      </c>
      <c r="BM452" s="113">
        <v>89.306408099999999</v>
      </c>
      <c r="BN452" s="113">
        <v>37.372776199999997</v>
      </c>
      <c r="BO452" s="113">
        <v>32</v>
      </c>
      <c r="BP452" s="113">
        <v>32</v>
      </c>
      <c r="BQ452" s="113">
        <v>32</v>
      </c>
      <c r="BR452" s="101"/>
      <c r="BS452">
        <f t="shared" ref="BS452:CX452" si="904">IF($C452&lt;&gt;"",IF(D452&gt;0,1,0),0)</f>
        <v>0</v>
      </c>
      <c r="BT452">
        <f t="shared" si="904"/>
        <v>0</v>
      </c>
      <c r="BU452">
        <f t="shared" si="904"/>
        <v>0</v>
      </c>
      <c r="BV452">
        <f t="shared" si="904"/>
        <v>0</v>
      </c>
      <c r="BW452">
        <f t="shared" si="904"/>
        <v>0</v>
      </c>
      <c r="BX452">
        <f t="shared" si="904"/>
        <v>0</v>
      </c>
      <c r="BY452">
        <f t="shared" si="904"/>
        <v>0</v>
      </c>
      <c r="BZ452">
        <f t="shared" si="904"/>
        <v>0</v>
      </c>
      <c r="CA452">
        <f t="shared" si="904"/>
        <v>0</v>
      </c>
      <c r="CB452">
        <f t="shared" si="904"/>
        <v>0</v>
      </c>
      <c r="CC452">
        <f t="shared" si="904"/>
        <v>0</v>
      </c>
      <c r="CD452">
        <f t="shared" si="904"/>
        <v>0</v>
      </c>
      <c r="CE452">
        <f t="shared" si="904"/>
        <v>0</v>
      </c>
      <c r="CF452">
        <f t="shared" si="904"/>
        <v>0</v>
      </c>
      <c r="CG452">
        <f t="shared" si="904"/>
        <v>0</v>
      </c>
      <c r="CH452">
        <f t="shared" si="904"/>
        <v>0</v>
      </c>
      <c r="CI452">
        <f t="shared" si="904"/>
        <v>0</v>
      </c>
      <c r="CJ452">
        <f t="shared" si="904"/>
        <v>0</v>
      </c>
      <c r="CK452">
        <f t="shared" si="904"/>
        <v>0</v>
      </c>
      <c r="CL452">
        <f t="shared" si="904"/>
        <v>0</v>
      </c>
      <c r="CM452">
        <f t="shared" si="904"/>
        <v>0</v>
      </c>
      <c r="CN452">
        <f t="shared" si="904"/>
        <v>0</v>
      </c>
      <c r="CO452">
        <f t="shared" si="904"/>
        <v>0</v>
      </c>
      <c r="CP452">
        <f t="shared" si="904"/>
        <v>0</v>
      </c>
      <c r="CQ452">
        <f t="shared" si="904"/>
        <v>0</v>
      </c>
      <c r="CR452">
        <f t="shared" si="904"/>
        <v>0</v>
      </c>
      <c r="CS452">
        <f t="shared" si="904"/>
        <v>0</v>
      </c>
      <c r="CT452">
        <f t="shared" si="904"/>
        <v>0</v>
      </c>
      <c r="CU452">
        <f t="shared" si="904"/>
        <v>0</v>
      </c>
      <c r="CV452">
        <f t="shared" si="904"/>
        <v>0</v>
      </c>
      <c r="CW452">
        <f t="shared" si="904"/>
        <v>0</v>
      </c>
      <c r="CX452">
        <f t="shared" si="904"/>
        <v>0</v>
      </c>
      <c r="CY452">
        <f t="shared" ref="CY452:DY452" si="905">IF($C452&lt;&gt;"",IF(AJ452&gt;0,1,0),0)</f>
        <v>0</v>
      </c>
      <c r="CZ452">
        <f t="shared" si="905"/>
        <v>0</v>
      </c>
      <c r="DA452">
        <f t="shared" si="905"/>
        <v>0</v>
      </c>
      <c r="DB452">
        <f t="shared" si="905"/>
        <v>0</v>
      </c>
      <c r="DC452">
        <f t="shared" si="905"/>
        <v>0</v>
      </c>
      <c r="DD452">
        <f t="shared" si="905"/>
        <v>0</v>
      </c>
      <c r="DE452">
        <f t="shared" si="905"/>
        <v>0</v>
      </c>
      <c r="DF452">
        <f t="shared" si="905"/>
        <v>0</v>
      </c>
      <c r="DG452">
        <f t="shared" si="905"/>
        <v>0</v>
      </c>
      <c r="DH452">
        <f t="shared" si="905"/>
        <v>0</v>
      </c>
      <c r="DI452">
        <f t="shared" si="905"/>
        <v>0</v>
      </c>
      <c r="DJ452">
        <f t="shared" si="905"/>
        <v>0</v>
      </c>
      <c r="DK452">
        <f t="shared" si="905"/>
        <v>0</v>
      </c>
      <c r="DL452">
        <f t="shared" si="905"/>
        <v>0</v>
      </c>
      <c r="DM452">
        <f t="shared" si="905"/>
        <v>0</v>
      </c>
      <c r="DN452">
        <f t="shared" si="905"/>
        <v>0</v>
      </c>
      <c r="DO452">
        <f t="shared" si="905"/>
        <v>0</v>
      </c>
      <c r="DP452">
        <f t="shared" si="905"/>
        <v>0</v>
      </c>
      <c r="DQ452">
        <f t="shared" si="905"/>
        <v>0</v>
      </c>
      <c r="DR452">
        <f t="shared" si="905"/>
        <v>0</v>
      </c>
      <c r="DS452">
        <f t="shared" si="905"/>
        <v>0</v>
      </c>
      <c r="DT452">
        <f t="shared" si="905"/>
        <v>0</v>
      </c>
      <c r="DU452">
        <f t="shared" si="905"/>
        <v>0</v>
      </c>
      <c r="DV452">
        <f t="shared" si="905"/>
        <v>0</v>
      </c>
      <c r="DW452">
        <f t="shared" si="905"/>
        <v>0</v>
      </c>
      <c r="DX452">
        <f t="shared" si="905"/>
        <v>0</v>
      </c>
      <c r="DY452">
        <f t="shared" si="905"/>
        <v>0</v>
      </c>
      <c r="DZ452">
        <f>IF($C452&lt;&gt;"",IF(#REF!&gt;0,1,0),0)</f>
        <v>0</v>
      </c>
      <c r="EA452">
        <f>IF($C452&lt;&gt;"",IF(#REF!&gt;0,1,0),0)</f>
        <v>0</v>
      </c>
      <c r="EB452">
        <f>IF($C452&lt;&gt;"",IF(#REF!&gt;0,1,0),0)</f>
        <v>0</v>
      </c>
      <c r="EC452">
        <f>IF($C452&lt;&gt;"",IF(#REF!&gt;0,1,0),0)</f>
        <v>0</v>
      </c>
      <c r="ED452">
        <f>IF($C452&lt;&gt;"",IF(#REF!&gt;0,1,0),0)</f>
        <v>0</v>
      </c>
      <c r="EE452">
        <f>IF($C452&lt;&gt;"",IF(#REF!&gt;0,1,0),0)</f>
        <v>0</v>
      </c>
      <c r="EF452">
        <f>IF($C452&lt;&gt;"",IF(#REF!&gt;0,1,0),0)</f>
        <v>0</v>
      </c>
    </row>
    <row r="453" spans="1:136" ht="15.5">
      <c r="A453" s="90"/>
      <c r="B453" s="53"/>
      <c r="C453" s="94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4"/>
      <c r="BM453" s="2"/>
      <c r="BN453" s="2"/>
      <c r="BO453" s="2"/>
      <c r="BP453" s="2"/>
      <c r="BQ453" s="2"/>
      <c r="BR453" s="101"/>
    </row>
    <row r="454" spans="1:136" ht="15.5">
      <c r="A454" s="93">
        <v>53</v>
      </c>
      <c r="B454" s="54" t="s">
        <v>66</v>
      </c>
      <c r="C454" s="94">
        <v>3</v>
      </c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4">
        <f t="shared" ref="N454:AS454" si="906">SUM(N455:N458)</f>
        <v>0</v>
      </c>
      <c r="O454" s="4">
        <f t="shared" si="906"/>
        <v>0</v>
      </c>
      <c r="P454" s="4">
        <f t="shared" si="906"/>
        <v>0</v>
      </c>
      <c r="Q454" s="4">
        <f t="shared" si="906"/>
        <v>0</v>
      </c>
      <c r="R454" s="4">
        <f t="shared" si="906"/>
        <v>0</v>
      </c>
      <c r="S454" s="4">
        <f t="shared" si="906"/>
        <v>0</v>
      </c>
      <c r="T454" s="4">
        <f t="shared" si="906"/>
        <v>3.0419000000000002E-2</v>
      </c>
      <c r="U454" s="4">
        <f t="shared" si="906"/>
        <v>0.19403799999999999</v>
      </c>
      <c r="V454" s="4">
        <f t="shared" si="906"/>
        <v>0</v>
      </c>
      <c r="W454" s="4">
        <f t="shared" si="906"/>
        <v>0.699932</v>
      </c>
      <c r="X454" s="4">
        <f t="shared" si="906"/>
        <v>0.29812499999999997</v>
      </c>
      <c r="Y454" s="4">
        <f t="shared" si="906"/>
        <v>0</v>
      </c>
      <c r="Z454" s="4">
        <f t="shared" si="906"/>
        <v>1E-3</v>
      </c>
      <c r="AA454" s="4">
        <f t="shared" si="906"/>
        <v>0</v>
      </c>
      <c r="AB454" s="4">
        <f t="shared" si="906"/>
        <v>0</v>
      </c>
      <c r="AC454" s="4">
        <f t="shared" si="906"/>
        <v>0</v>
      </c>
      <c r="AD454" s="4">
        <f t="shared" si="906"/>
        <v>0</v>
      </c>
      <c r="AE454" s="4">
        <f t="shared" si="906"/>
        <v>0</v>
      </c>
      <c r="AF454" s="4">
        <f t="shared" si="906"/>
        <v>0</v>
      </c>
      <c r="AG454" s="4">
        <f t="shared" si="906"/>
        <v>0</v>
      </c>
      <c r="AH454" s="4">
        <f t="shared" si="906"/>
        <v>1.9085999999999999E-2</v>
      </c>
      <c r="AI454" s="4">
        <f t="shared" si="906"/>
        <v>4.5591E-2</v>
      </c>
      <c r="AJ454" s="4">
        <f t="shared" si="906"/>
        <v>6.5389000000000003E-2</v>
      </c>
      <c r="AK454" s="4">
        <f t="shared" si="906"/>
        <v>8.0638000000000001E-2</v>
      </c>
      <c r="AL454" s="4">
        <f t="shared" si="906"/>
        <v>0.110704</v>
      </c>
      <c r="AM454" s="4">
        <f t="shared" si="906"/>
        <v>0.13930899999999999</v>
      </c>
      <c r="AN454" s="4">
        <f t="shared" si="906"/>
        <v>0.15035899999999999</v>
      </c>
      <c r="AO454" s="4">
        <f t="shared" si="906"/>
        <v>0.14796400000000001</v>
      </c>
      <c r="AP454" s="4">
        <f t="shared" si="906"/>
        <v>0.203015</v>
      </c>
      <c r="AQ454" s="4">
        <f t="shared" si="906"/>
        <v>0.19489200000000001</v>
      </c>
      <c r="AR454" s="4">
        <f t="shared" si="906"/>
        <v>0.199127</v>
      </c>
      <c r="AS454" s="4">
        <f t="shared" si="906"/>
        <v>0.21366540000000001</v>
      </c>
      <c r="AT454" s="4">
        <f t="shared" ref="AT454:BO454" si="907">SUM(AT455:AT458)</f>
        <v>0.55776409999999998</v>
      </c>
      <c r="AU454" s="4">
        <f t="shared" si="907"/>
        <v>0.72389049999999999</v>
      </c>
      <c r="AV454" s="4">
        <f t="shared" si="907"/>
        <v>0.40045740000000002</v>
      </c>
      <c r="AW454" s="4">
        <f t="shared" si="907"/>
        <v>0.37042579999999997</v>
      </c>
      <c r="AX454" s="4">
        <f t="shared" si="907"/>
        <v>3.9862517999999998</v>
      </c>
      <c r="AY454" s="4">
        <f t="shared" si="907"/>
        <v>3.4088032000000004</v>
      </c>
      <c r="AZ454" s="4">
        <f t="shared" si="907"/>
        <v>2.9018401999999996</v>
      </c>
      <c r="BA454" s="4">
        <f t="shared" si="907"/>
        <v>4.1360332000000009</v>
      </c>
      <c r="BB454" s="4">
        <f t="shared" si="907"/>
        <v>0.141489</v>
      </c>
      <c r="BC454" s="4">
        <f t="shared" si="907"/>
        <v>0.57567140000000006</v>
      </c>
      <c r="BD454" s="4">
        <f t="shared" si="907"/>
        <v>0.34112900000000002</v>
      </c>
      <c r="BE454" s="4">
        <f t="shared" si="907"/>
        <v>1.1749733999999998</v>
      </c>
      <c r="BF454" s="4">
        <f t="shared" si="907"/>
        <v>5.6000000000000001E-2</v>
      </c>
      <c r="BG454" s="4">
        <f t="shared" si="907"/>
        <v>0</v>
      </c>
      <c r="BH454" s="4">
        <f t="shared" si="907"/>
        <v>0</v>
      </c>
      <c r="BI454" s="4">
        <f t="shared" si="907"/>
        <v>6.1443932411674353</v>
      </c>
      <c r="BJ454" s="4">
        <f t="shared" si="907"/>
        <v>0</v>
      </c>
      <c r="BK454" s="4">
        <f t="shared" si="907"/>
        <v>0</v>
      </c>
      <c r="BL454" s="4">
        <f t="shared" si="907"/>
        <v>19.088164500000005</v>
      </c>
      <c r="BM454" s="4">
        <f t="shared" si="907"/>
        <v>63.651440400000006</v>
      </c>
      <c r="BN454" s="4">
        <f t="shared" si="907"/>
        <v>0</v>
      </c>
      <c r="BO454" s="4">
        <f t="shared" si="907"/>
        <v>0</v>
      </c>
      <c r="BP454" s="4">
        <f>SUM(BP455:BP458)</f>
        <v>0</v>
      </c>
      <c r="BQ454" s="4">
        <f>SUM(BQ455:BQ458)</f>
        <v>0</v>
      </c>
      <c r="BR454" s="101"/>
      <c r="BS454">
        <f t="shared" ref="BS454:CB455" si="908">IF($C454&lt;&gt;"",IF(D454&gt;0,1,0),0)</f>
        <v>0</v>
      </c>
      <c r="BT454">
        <f t="shared" si="908"/>
        <v>0</v>
      </c>
      <c r="BU454">
        <f t="shared" si="908"/>
        <v>0</v>
      </c>
      <c r="BV454">
        <f t="shared" si="908"/>
        <v>0</v>
      </c>
      <c r="BW454">
        <f t="shared" si="908"/>
        <v>0</v>
      </c>
      <c r="BX454">
        <f t="shared" si="908"/>
        <v>0</v>
      </c>
      <c r="BY454">
        <f t="shared" si="908"/>
        <v>0</v>
      </c>
      <c r="BZ454">
        <f t="shared" si="908"/>
        <v>0</v>
      </c>
      <c r="CA454">
        <f t="shared" si="908"/>
        <v>0</v>
      </c>
      <c r="CB454">
        <f t="shared" si="908"/>
        <v>0</v>
      </c>
      <c r="CC454">
        <f t="shared" ref="CC454:CL455" si="909">IF($C454&lt;&gt;"",IF(N454&gt;0,1,0),0)</f>
        <v>0</v>
      </c>
      <c r="CD454">
        <f t="shared" si="909"/>
        <v>0</v>
      </c>
      <c r="CE454">
        <f t="shared" si="909"/>
        <v>0</v>
      </c>
      <c r="CF454">
        <f t="shared" si="909"/>
        <v>0</v>
      </c>
      <c r="CG454">
        <f t="shared" si="909"/>
        <v>0</v>
      </c>
      <c r="CH454">
        <f t="shared" si="909"/>
        <v>0</v>
      </c>
      <c r="CI454">
        <f t="shared" si="909"/>
        <v>1</v>
      </c>
      <c r="CJ454">
        <f t="shared" si="909"/>
        <v>1</v>
      </c>
      <c r="CK454">
        <f t="shared" si="909"/>
        <v>0</v>
      </c>
      <c r="CL454">
        <f t="shared" si="909"/>
        <v>1</v>
      </c>
      <c r="CM454">
        <f t="shared" ref="CM454:CV455" si="910">IF($C454&lt;&gt;"",IF(X454&gt;0,1,0),0)</f>
        <v>1</v>
      </c>
      <c r="CN454">
        <f t="shared" si="910"/>
        <v>0</v>
      </c>
      <c r="CO454">
        <f t="shared" si="910"/>
        <v>1</v>
      </c>
      <c r="CP454">
        <f t="shared" si="910"/>
        <v>0</v>
      </c>
      <c r="CQ454">
        <f t="shared" si="910"/>
        <v>0</v>
      </c>
      <c r="CR454">
        <f t="shared" si="910"/>
        <v>0</v>
      </c>
      <c r="CS454">
        <f t="shared" si="910"/>
        <v>0</v>
      </c>
      <c r="CT454">
        <f t="shared" si="910"/>
        <v>0</v>
      </c>
      <c r="CU454">
        <f t="shared" si="910"/>
        <v>0</v>
      </c>
      <c r="CV454">
        <f t="shared" si="910"/>
        <v>0</v>
      </c>
      <c r="CW454">
        <f t="shared" ref="CW454:DF455" si="911">IF($C454&lt;&gt;"",IF(AH454&gt;0,1,0),0)</f>
        <v>1</v>
      </c>
      <c r="CX454">
        <f t="shared" si="911"/>
        <v>1</v>
      </c>
      <c r="CY454">
        <f t="shared" si="911"/>
        <v>1</v>
      </c>
      <c r="CZ454">
        <f t="shared" si="911"/>
        <v>1</v>
      </c>
      <c r="DA454">
        <f t="shared" si="911"/>
        <v>1</v>
      </c>
      <c r="DB454">
        <f t="shared" si="911"/>
        <v>1</v>
      </c>
      <c r="DC454">
        <f t="shared" si="911"/>
        <v>1</v>
      </c>
      <c r="DD454">
        <f t="shared" si="911"/>
        <v>1</v>
      </c>
      <c r="DE454">
        <f t="shared" si="911"/>
        <v>1</v>
      </c>
      <c r="DF454">
        <f t="shared" si="911"/>
        <v>1</v>
      </c>
      <c r="DG454">
        <f t="shared" ref="DG454:DP455" si="912">IF($C454&lt;&gt;"",IF(AR454&gt;0,1,0),0)</f>
        <v>1</v>
      </c>
      <c r="DH454">
        <f t="shared" si="912"/>
        <v>1</v>
      </c>
      <c r="DI454">
        <f t="shared" si="912"/>
        <v>1</v>
      </c>
      <c r="DJ454">
        <f t="shared" si="912"/>
        <v>1</v>
      </c>
      <c r="DK454">
        <f t="shared" si="912"/>
        <v>1</v>
      </c>
      <c r="DL454">
        <f t="shared" si="912"/>
        <v>1</v>
      </c>
      <c r="DM454">
        <f t="shared" si="912"/>
        <v>1</v>
      </c>
      <c r="DN454">
        <f t="shared" si="912"/>
        <v>1</v>
      </c>
      <c r="DO454">
        <f t="shared" si="912"/>
        <v>1</v>
      </c>
      <c r="DP454">
        <f t="shared" si="912"/>
        <v>1</v>
      </c>
      <c r="DQ454">
        <f t="shared" ref="DQ454:DZ455" si="913">IF($C454&lt;&gt;"",IF(BB454&gt;0,1,0),0)</f>
        <v>1</v>
      </c>
      <c r="DR454">
        <f t="shared" si="913"/>
        <v>1</v>
      </c>
      <c r="DS454">
        <f t="shared" si="913"/>
        <v>1</v>
      </c>
      <c r="DT454">
        <f t="shared" si="913"/>
        <v>1</v>
      </c>
      <c r="DU454">
        <f t="shared" si="913"/>
        <v>1</v>
      </c>
      <c r="DV454">
        <f t="shared" si="913"/>
        <v>0</v>
      </c>
      <c r="DW454">
        <f t="shared" si="913"/>
        <v>0</v>
      </c>
      <c r="DX454">
        <f t="shared" si="913"/>
        <v>1</v>
      </c>
      <c r="DY454">
        <f t="shared" si="913"/>
        <v>0</v>
      </c>
      <c r="DZ454">
        <f t="shared" si="913"/>
        <v>0</v>
      </c>
      <c r="EA454">
        <f t="shared" ref="EA454:EF455" si="914">IF($C454&lt;&gt;"",IF(BL454&gt;0,1,0),0)</f>
        <v>1</v>
      </c>
      <c r="EB454">
        <f t="shared" si="914"/>
        <v>1</v>
      </c>
      <c r="EC454">
        <f t="shared" si="914"/>
        <v>0</v>
      </c>
      <c r="ED454">
        <f t="shared" si="914"/>
        <v>0</v>
      </c>
      <c r="EE454">
        <f t="shared" si="914"/>
        <v>0</v>
      </c>
      <c r="EF454">
        <f t="shared" si="914"/>
        <v>0</v>
      </c>
    </row>
    <row r="455" spans="1:136" ht="15.5">
      <c r="A455" s="90"/>
      <c r="B455" s="19" t="s">
        <v>205</v>
      </c>
      <c r="C455" s="94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18">
        <v>0</v>
      </c>
      <c r="O455" s="18">
        <v>0</v>
      </c>
      <c r="P455" s="18">
        <v>0</v>
      </c>
      <c r="Q455" s="18">
        <v>0</v>
      </c>
      <c r="R455" s="18">
        <v>0</v>
      </c>
      <c r="S455" s="18">
        <v>0</v>
      </c>
      <c r="T455" s="18">
        <v>0</v>
      </c>
      <c r="U455" s="18">
        <v>0</v>
      </c>
      <c r="V455" s="18">
        <v>0</v>
      </c>
      <c r="W455" s="18">
        <v>0</v>
      </c>
      <c r="X455" s="18">
        <v>0</v>
      </c>
      <c r="Y455" s="18">
        <v>0</v>
      </c>
      <c r="Z455" s="18">
        <v>0</v>
      </c>
      <c r="AA455" s="18">
        <v>0</v>
      </c>
      <c r="AB455" s="18">
        <v>0</v>
      </c>
      <c r="AC455" s="18">
        <v>0</v>
      </c>
      <c r="AD455" s="18">
        <v>0</v>
      </c>
      <c r="AE455" s="18">
        <v>0</v>
      </c>
      <c r="AF455" s="18">
        <v>0</v>
      </c>
      <c r="AG455" s="18">
        <v>0</v>
      </c>
      <c r="AH455" s="18">
        <v>0</v>
      </c>
      <c r="AI455" s="18">
        <v>0</v>
      </c>
      <c r="AJ455" s="18">
        <v>0</v>
      </c>
      <c r="AK455" s="18">
        <v>0</v>
      </c>
      <c r="AL455" s="18">
        <v>0</v>
      </c>
      <c r="AM455" s="18">
        <v>0</v>
      </c>
      <c r="AN455" s="18">
        <v>0</v>
      </c>
      <c r="AO455" s="18">
        <v>0</v>
      </c>
      <c r="AP455" s="18">
        <v>0</v>
      </c>
      <c r="AQ455" s="18">
        <v>0</v>
      </c>
      <c r="AR455" s="18">
        <v>0</v>
      </c>
      <c r="AS455" s="18">
        <v>0</v>
      </c>
      <c r="AT455" s="18">
        <v>0</v>
      </c>
      <c r="AU455" s="18">
        <v>0</v>
      </c>
      <c r="AV455" s="18">
        <v>0</v>
      </c>
      <c r="AW455" s="18">
        <v>0</v>
      </c>
      <c r="AX455" s="18">
        <v>0</v>
      </c>
      <c r="AY455" s="18">
        <v>0</v>
      </c>
      <c r="AZ455" s="18">
        <v>0</v>
      </c>
      <c r="BA455" s="18">
        <v>0</v>
      </c>
      <c r="BB455" s="18">
        <v>0</v>
      </c>
      <c r="BC455" s="18">
        <v>0</v>
      </c>
      <c r="BD455" s="18">
        <v>0</v>
      </c>
      <c r="BE455" s="18">
        <v>0</v>
      </c>
      <c r="BF455" s="18">
        <v>0</v>
      </c>
      <c r="BG455" s="18">
        <v>0</v>
      </c>
      <c r="BH455" s="18">
        <v>0</v>
      </c>
      <c r="BI455" s="18">
        <f>40/6.51</f>
        <v>6.1443932411674353</v>
      </c>
      <c r="BJ455" s="18">
        <v>0</v>
      </c>
      <c r="BK455" s="18">
        <v>0</v>
      </c>
      <c r="BL455" s="113">
        <v>10.545566700000002</v>
      </c>
      <c r="BM455" s="113">
        <v>22</v>
      </c>
      <c r="BN455" s="113">
        <v>0</v>
      </c>
      <c r="BO455" s="113">
        <v>0</v>
      </c>
      <c r="BP455" s="113">
        <v>0</v>
      </c>
      <c r="BQ455" s="113">
        <v>0</v>
      </c>
      <c r="BR455" s="101"/>
      <c r="BS455">
        <f t="shared" si="908"/>
        <v>0</v>
      </c>
      <c r="BT455">
        <f t="shared" si="908"/>
        <v>0</v>
      </c>
      <c r="BU455">
        <f t="shared" si="908"/>
        <v>0</v>
      </c>
      <c r="BV455">
        <f t="shared" si="908"/>
        <v>0</v>
      </c>
      <c r="BW455">
        <f t="shared" si="908"/>
        <v>0</v>
      </c>
      <c r="BX455">
        <f t="shared" si="908"/>
        <v>0</v>
      </c>
      <c r="BY455">
        <f t="shared" si="908"/>
        <v>0</v>
      </c>
      <c r="BZ455">
        <f t="shared" si="908"/>
        <v>0</v>
      </c>
      <c r="CA455">
        <f t="shared" si="908"/>
        <v>0</v>
      </c>
      <c r="CB455">
        <f t="shared" si="908"/>
        <v>0</v>
      </c>
      <c r="CC455">
        <f t="shared" si="909"/>
        <v>0</v>
      </c>
      <c r="CD455">
        <f t="shared" si="909"/>
        <v>0</v>
      </c>
      <c r="CE455">
        <f t="shared" si="909"/>
        <v>0</v>
      </c>
      <c r="CF455">
        <f t="shared" si="909"/>
        <v>0</v>
      </c>
      <c r="CG455">
        <f t="shared" si="909"/>
        <v>0</v>
      </c>
      <c r="CH455">
        <f t="shared" si="909"/>
        <v>0</v>
      </c>
      <c r="CI455">
        <f t="shared" si="909"/>
        <v>0</v>
      </c>
      <c r="CJ455">
        <f t="shared" si="909"/>
        <v>0</v>
      </c>
      <c r="CK455">
        <f t="shared" si="909"/>
        <v>0</v>
      </c>
      <c r="CL455">
        <f t="shared" si="909"/>
        <v>0</v>
      </c>
      <c r="CM455">
        <f t="shared" si="910"/>
        <v>0</v>
      </c>
      <c r="CN455">
        <f t="shared" si="910"/>
        <v>0</v>
      </c>
      <c r="CO455">
        <f t="shared" si="910"/>
        <v>0</v>
      </c>
      <c r="CP455">
        <f t="shared" si="910"/>
        <v>0</v>
      </c>
      <c r="CQ455">
        <f t="shared" si="910"/>
        <v>0</v>
      </c>
      <c r="CR455">
        <f t="shared" si="910"/>
        <v>0</v>
      </c>
      <c r="CS455">
        <f t="shared" si="910"/>
        <v>0</v>
      </c>
      <c r="CT455">
        <f t="shared" si="910"/>
        <v>0</v>
      </c>
      <c r="CU455">
        <f t="shared" si="910"/>
        <v>0</v>
      </c>
      <c r="CV455">
        <f t="shared" si="910"/>
        <v>0</v>
      </c>
      <c r="CW455">
        <f t="shared" si="911"/>
        <v>0</v>
      </c>
      <c r="CX455">
        <f t="shared" si="911"/>
        <v>0</v>
      </c>
      <c r="CY455">
        <f t="shared" si="911"/>
        <v>0</v>
      </c>
      <c r="CZ455">
        <f t="shared" si="911"/>
        <v>0</v>
      </c>
      <c r="DA455">
        <f t="shared" si="911"/>
        <v>0</v>
      </c>
      <c r="DB455">
        <f t="shared" si="911"/>
        <v>0</v>
      </c>
      <c r="DC455">
        <f t="shared" si="911"/>
        <v>0</v>
      </c>
      <c r="DD455">
        <f t="shared" si="911"/>
        <v>0</v>
      </c>
      <c r="DE455">
        <f t="shared" si="911"/>
        <v>0</v>
      </c>
      <c r="DF455">
        <f t="shared" si="911"/>
        <v>0</v>
      </c>
      <c r="DG455">
        <f t="shared" si="912"/>
        <v>0</v>
      </c>
      <c r="DH455">
        <f t="shared" si="912"/>
        <v>0</v>
      </c>
      <c r="DI455">
        <f t="shared" si="912"/>
        <v>0</v>
      </c>
      <c r="DJ455">
        <f t="shared" si="912"/>
        <v>0</v>
      </c>
      <c r="DK455">
        <f t="shared" si="912"/>
        <v>0</v>
      </c>
      <c r="DL455">
        <f t="shared" si="912"/>
        <v>0</v>
      </c>
      <c r="DM455">
        <f t="shared" si="912"/>
        <v>0</v>
      </c>
      <c r="DN455">
        <f t="shared" si="912"/>
        <v>0</v>
      </c>
      <c r="DO455">
        <f t="shared" si="912"/>
        <v>0</v>
      </c>
      <c r="DP455">
        <f t="shared" si="912"/>
        <v>0</v>
      </c>
      <c r="DQ455">
        <f t="shared" si="913"/>
        <v>0</v>
      </c>
      <c r="DR455">
        <f t="shared" si="913"/>
        <v>0</v>
      </c>
      <c r="DS455">
        <f t="shared" si="913"/>
        <v>0</v>
      </c>
      <c r="DT455">
        <f t="shared" si="913"/>
        <v>0</v>
      </c>
      <c r="DU455">
        <f t="shared" si="913"/>
        <v>0</v>
      </c>
      <c r="DV455">
        <f t="shared" si="913"/>
        <v>0</v>
      </c>
      <c r="DW455">
        <f t="shared" si="913"/>
        <v>0</v>
      </c>
      <c r="DX455">
        <f t="shared" si="913"/>
        <v>0</v>
      </c>
      <c r="DY455">
        <f t="shared" si="913"/>
        <v>0</v>
      </c>
      <c r="DZ455">
        <f t="shared" si="913"/>
        <v>0</v>
      </c>
      <c r="EA455">
        <f t="shared" si="914"/>
        <v>0</v>
      </c>
      <c r="EB455">
        <f t="shared" si="914"/>
        <v>0</v>
      </c>
      <c r="EC455">
        <f t="shared" si="914"/>
        <v>0</v>
      </c>
      <c r="ED455">
        <f t="shared" si="914"/>
        <v>0</v>
      </c>
      <c r="EE455">
        <f t="shared" si="914"/>
        <v>0</v>
      </c>
      <c r="EF455">
        <f t="shared" si="914"/>
        <v>0</v>
      </c>
    </row>
    <row r="456" spans="1:136" ht="15.5">
      <c r="A456" s="90"/>
      <c r="B456" s="53" t="s">
        <v>3</v>
      </c>
      <c r="C456" s="94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>
        <v>0</v>
      </c>
      <c r="O456" s="18">
        <v>0</v>
      </c>
      <c r="P456" s="18">
        <v>0</v>
      </c>
      <c r="Q456" s="18">
        <v>0</v>
      </c>
      <c r="R456" s="18">
        <v>0</v>
      </c>
      <c r="S456" s="18">
        <v>0</v>
      </c>
      <c r="T456" s="18">
        <v>3.0419000000000002E-2</v>
      </c>
      <c r="U456" s="18">
        <v>0.19403799999999999</v>
      </c>
      <c r="V456" s="18">
        <v>0</v>
      </c>
      <c r="W456" s="18">
        <v>0.699932</v>
      </c>
      <c r="X456" s="18">
        <v>0.29812499999999997</v>
      </c>
      <c r="Y456" s="18">
        <v>0</v>
      </c>
      <c r="Z456" s="18">
        <v>0</v>
      </c>
      <c r="AA456" s="18">
        <v>0</v>
      </c>
      <c r="AB456" s="18">
        <v>0</v>
      </c>
      <c r="AC456" s="18">
        <v>0</v>
      </c>
      <c r="AD456" s="18">
        <v>0</v>
      </c>
      <c r="AE456" s="18">
        <v>0</v>
      </c>
      <c r="AF456" s="18">
        <v>0</v>
      </c>
      <c r="AG456" s="18">
        <v>0</v>
      </c>
      <c r="AH456" s="18">
        <v>1.9085999999999999E-2</v>
      </c>
      <c r="AI456" s="18">
        <v>4.5591E-2</v>
      </c>
      <c r="AJ456" s="18">
        <v>6.5389000000000003E-2</v>
      </c>
      <c r="AK456" s="18">
        <v>8.0638000000000001E-2</v>
      </c>
      <c r="AL456" s="18">
        <v>0.110704</v>
      </c>
      <c r="AM456" s="18">
        <v>0.13930899999999999</v>
      </c>
      <c r="AN456" s="18">
        <v>0.15035899999999999</v>
      </c>
      <c r="AO456" s="18">
        <v>0.14796400000000001</v>
      </c>
      <c r="AP456" s="18">
        <v>0.203015</v>
      </c>
      <c r="AQ456" s="18">
        <v>0.19489200000000001</v>
      </c>
      <c r="AR456" s="18">
        <v>0.199127</v>
      </c>
      <c r="AS456" s="18">
        <v>0.21366540000000001</v>
      </c>
      <c r="AT456" s="18">
        <v>0.55776409999999998</v>
      </c>
      <c r="AU456" s="18">
        <v>0.72389049999999999</v>
      </c>
      <c r="AV456" s="18">
        <v>0.40045740000000002</v>
      </c>
      <c r="AW456" s="18">
        <v>0.37042579999999997</v>
      </c>
      <c r="AX456" s="18">
        <v>2.9927288999999999</v>
      </c>
      <c r="AY456" s="18">
        <v>3.1312672000000004</v>
      </c>
      <c r="AZ456" s="18">
        <v>2.5011292999999997</v>
      </c>
      <c r="BA456" s="18">
        <v>4.0355645000000004</v>
      </c>
      <c r="BB456" s="18">
        <v>3.5244499999999998E-2</v>
      </c>
      <c r="BC456" s="18">
        <v>0.45593590000000001</v>
      </c>
      <c r="BD456" s="18">
        <v>0.1295645</v>
      </c>
      <c r="BE456" s="25">
        <v>0.55498669999999994</v>
      </c>
      <c r="BF456" s="18">
        <v>2.8000000000000001E-2</v>
      </c>
      <c r="BG456" s="18">
        <v>0</v>
      </c>
      <c r="BH456" s="18">
        <v>0</v>
      </c>
      <c r="BI456" s="18">
        <v>0</v>
      </c>
      <c r="BJ456" s="113">
        <v>0</v>
      </c>
      <c r="BK456" s="113">
        <v>0</v>
      </c>
      <c r="BL456" s="113">
        <f>10.5455667-BL455</f>
        <v>0</v>
      </c>
      <c r="BM456" s="113">
        <v>22.8245763</v>
      </c>
      <c r="BN456" s="113">
        <v>0</v>
      </c>
      <c r="BO456" s="113">
        <v>0</v>
      </c>
      <c r="BP456" s="113">
        <v>0</v>
      </c>
      <c r="BQ456" s="113">
        <v>0</v>
      </c>
      <c r="BR456" s="101"/>
      <c r="BS456">
        <f t="shared" ref="BS456:CB457" si="915">IF($C456&lt;&gt;"",IF(D456&gt;0,1,0),0)</f>
        <v>0</v>
      </c>
      <c r="BT456">
        <f t="shared" si="915"/>
        <v>0</v>
      </c>
      <c r="BU456">
        <f t="shared" si="915"/>
        <v>0</v>
      </c>
      <c r="BV456">
        <f t="shared" si="915"/>
        <v>0</v>
      </c>
      <c r="BW456">
        <f t="shared" si="915"/>
        <v>0</v>
      </c>
      <c r="BX456">
        <f t="shared" si="915"/>
        <v>0</v>
      </c>
      <c r="BY456">
        <f t="shared" si="915"/>
        <v>0</v>
      </c>
      <c r="BZ456">
        <f t="shared" si="915"/>
        <v>0</v>
      </c>
      <c r="CA456">
        <f t="shared" si="915"/>
        <v>0</v>
      </c>
      <c r="CB456">
        <f t="shared" si="915"/>
        <v>0</v>
      </c>
      <c r="CC456">
        <f t="shared" ref="CC456:CL457" si="916">IF($C456&lt;&gt;"",IF(N456&gt;0,1,0),0)</f>
        <v>0</v>
      </c>
      <c r="CD456">
        <f t="shared" si="916"/>
        <v>0</v>
      </c>
      <c r="CE456">
        <f t="shared" si="916"/>
        <v>0</v>
      </c>
      <c r="CF456">
        <f t="shared" si="916"/>
        <v>0</v>
      </c>
      <c r="CG456">
        <f t="shared" si="916"/>
        <v>0</v>
      </c>
      <c r="CH456">
        <f t="shared" si="916"/>
        <v>0</v>
      </c>
      <c r="CI456">
        <f t="shared" si="916"/>
        <v>0</v>
      </c>
      <c r="CJ456">
        <f t="shared" si="916"/>
        <v>0</v>
      </c>
      <c r="CK456">
        <f t="shared" si="916"/>
        <v>0</v>
      </c>
      <c r="CL456">
        <f t="shared" si="916"/>
        <v>0</v>
      </c>
      <c r="CM456">
        <f t="shared" ref="CM456:CV457" si="917">IF($C456&lt;&gt;"",IF(X456&gt;0,1,0),0)</f>
        <v>0</v>
      </c>
      <c r="CN456">
        <f t="shared" si="917"/>
        <v>0</v>
      </c>
      <c r="CO456">
        <f t="shared" si="917"/>
        <v>0</v>
      </c>
      <c r="CP456">
        <f t="shared" si="917"/>
        <v>0</v>
      </c>
      <c r="CQ456">
        <f t="shared" si="917"/>
        <v>0</v>
      </c>
      <c r="CR456">
        <f t="shared" si="917"/>
        <v>0</v>
      </c>
      <c r="CS456">
        <f t="shared" si="917"/>
        <v>0</v>
      </c>
      <c r="CT456">
        <f t="shared" si="917"/>
        <v>0</v>
      </c>
      <c r="CU456">
        <f t="shared" si="917"/>
        <v>0</v>
      </c>
      <c r="CV456">
        <f t="shared" si="917"/>
        <v>0</v>
      </c>
      <c r="CW456">
        <f t="shared" ref="CW456:DF457" si="918">IF($C456&lt;&gt;"",IF(AH456&gt;0,1,0),0)</f>
        <v>0</v>
      </c>
      <c r="CX456">
        <f t="shared" si="918"/>
        <v>0</v>
      </c>
      <c r="CY456">
        <f t="shared" si="918"/>
        <v>0</v>
      </c>
      <c r="CZ456">
        <f t="shared" si="918"/>
        <v>0</v>
      </c>
      <c r="DA456">
        <f t="shared" si="918"/>
        <v>0</v>
      </c>
      <c r="DB456">
        <f t="shared" si="918"/>
        <v>0</v>
      </c>
      <c r="DC456">
        <f t="shared" si="918"/>
        <v>0</v>
      </c>
      <c r="DD456">
        <f t="shared" si="918"/>
        <v>0</v>
      </c>
      <c r="DE456">
        <f t="shared" si="918"/>
        <v>0</v>
      </c>
      <c r="DF456">
        <f t="shared" si="918"/>
        <v>0</v>
      </c>
      <c r="DG456">
        <f t="shared" ref="DG456:DP457" si="919">IF($C456&lt;&gt;"",IF(AR456&gt;0,1,0),0)</f>
        <v>0</v>
      </c>
      <c r="DH456">
        <f t="shared" si="919"/>
        <v>0</v>
      </c>
      <c r="DI456">
        <f t="shared" si="919"/>
        <v>0</v>
      </c>
      <c r="DJ456">
        <f t="shared" si="919"/>
        <v>0</v>
      </c>
      <c r="DK456">
        <f t="shared" si="919"/>
        <v>0</v>
      </c>
      <c r="DL456">
        <f t="shared" si="919"/>
        <v>0</v>
      </c>
      <c r="DM456">
        <f t="shared" si="919"/>
        <v>0</v>
      </c>
      <c r="DN456">
        <f t="shared" si="919"/>
        <v>0</v>
      </c>
      <c r="DO456">
        <f t="shared" si="919"/>
        <v>0</v>
      </c>
      <c r="DP456">
        <f t="shared" si="919"/>
        <v>0</v>
      </c>
      <c r="DQ456">
        <f t="shared" ref="DQ456:DZ457" si="920">IF($C456&lt;&gt;"",IF(BB456&gt;0,1,0),0)</f>
        <v>0</v>
      </c>
      <c r="DR456">
        <f t="shared" si="920"/>
        <v>0</v>
      </c>
      <c r="DS456">
        <f t="shared" si="920"/>
        <v>0</v>
      </c>
      <c r="DT456">
        <f t="shared" si="920"/>
        <v>0</v>
      </c>
      <c r="DU456">
        <f t="shared" si="920"/>
        <v>0</v>
      </c>
      <c r="DV456">
        <f t="shared" si="920"/>
        <v>0</v>
      </c>
      <c r="DW456">
        <f t="shared" si="920"/>
        <v>0</v>
      </c>
      <c r="DX456">
        <f t="shared" si="920"/>
        <v>0</v>
      </c>
      <c r="DY456">
        <f t="shared" si="920"/>
        <v>0</v>
      </c>
      <c r="DZ456">
        <f t="shared" si="920"/>
        <v>0</v>
      </c>
      <c r="EA456">
        <f t="shared" ref="EA456:EF456" si="921">IF($C456&lt;&gt;"",IF(BL454&gt;0,1,0),0)</f>
        <v>0</v>
      </c>
      <c r="EB456">
        <f t="shared" si="921"/>
        <v>0</v>
      </c>
      <c r="EC456">
        <f t="shared" si="921"/>
        <v>0</v>
      </c>
      <c r="ED456">
        <f t="shared" si="921"/>
        <v>0</v>
      </c>
      <c r="EE456">
        <f t="shared" si="921"/>
        <v>0</v>
      </c>
      <c r="EF456">
        <f t="shared" si="921"/>
        <v>0</v>
      </c>
    </row>
    <row r="457" spans="1:136" ht="15.5">
      <c r="A457" s="90"/>
      <c r="B457" s="19" t="s">
        <v>208</v>
      </c>
      <c r="C457" s="94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>
        <v>0</v>
      </c>
      <c r="O457" s="18">
        <v>0</v>
      </c>
      <c r="P457" s="18">
        <v>0</v>
      </c>
      <c r="Q457" s="18">
        <v>0</v>
      </c>
      <c r="R457" s="18">
        <v>0</v>
      </c>
      <c r="S457" s="18">
        <v>0</v>
      </c>
      <c r="T457" s="18">
        <v>0</v>
      </c>
      <c r="U457" s="18">
        <v>0</v>
      </c>
      <c r="V457" s="18">
        <v>0</v>
      </c>
      <c r="W457" s="18">
        <v>0</v>
      </c>
      <c r="X457" s="18">
        <v>0</v>
      </c>
      <c r="Y457" s="18">
        <v>0</v>
      </c>
      <c r="Z457" s="18">
        <v>1E-3</v>
      </c>
      <c r="AA457" s="18">
        <v>0</v>
      </c>
      <c r="AB457" s="18">
        <v>0</v>
      </c>
      <c r="AC457" s="18">
        <v>0</v>
      </c>
      <c r="AD457" s="18">
        <v>0</v>
      </c>
      <c r="AE457" s="18">
        <v>0</v>
      </c>
      <c r="AF457" s="18">
        <v>0</v>
      </c>
      <c r="AG457" s="18">
        <v>0</v>
      </c>
      <c r="AH457" s="18">
        <v>0</v>
      </c>
      <c r="AI457" s="18">
        <v>0</v>
      </c>
      <c r="AJ457" s="18">
        <v>0</v>
      </c>
      <c r="AK457" s="18">
        <v>0</v>
      </c>
      <c r="AL457" s="18">
        <v>0</v>
      </c>
      <c r="AM457" s="18">
        <v>0</v>
      </c>
      <c r="AN457" s="18">
        <v>0</v>
      </c>
      <c r="AO457" s="18">
        <v>0</v>
      </c>
      <c r="AP457" s="18">
        <v>0</v>
      </c>
      <c r="AQ457" s="18">
        <v>0</v>
      </c>
      <c r="AR457" s="18">
        <v>0</v>
      </c>
      <c r="AS457" s="18">
        <v>0</v>
      </c>
      <c r="AT457" s="18">
        <v>0</v>
      </c>
      <c r="AU457" s="18">
        <v>0</v>
      </c>
      <c r="AV457" s="18">
        <v>0</v>
      </c>
      <c r="AW457" s="18">
        <v>0</v>
      </c>
      <c r="AX457" s="18">
        <v>0.99352289999999999</v>
      </c>
      <c r="AY457" s="18">
        <v>0.277536</v>
      </c>
      <c r="AZ457" s="18">
        <v>0.40071090000000004</v>
      </c>
      <c r="BA457" s="18">
        <v>0.10046870000000001</v>
      </c>
      <c r="BB457" s="18">
        <v>0.10624450000000001</v>
      </c>
      <c r="BC457" s="18">
        <v>0.11973549999999999</v>
      </c>
      <c r="BD457" s="18">
        <v>0.21156449999999999</v>
      </c>
      <c r="BE457" s="25">
        <v>0.6199867</v>
      </c>
      <c r="BF457" s="18">
        <v>2.8000000000000001E-2</v>
      </c>
      <c r="BG457" s="18">
        <v>0</v>
      </c>
      <c r="BH457" s="18">
        <v>0</v>
      </c>
      <c r="BI457" s="18">
        <v>0</v>
      </c>
      <c r="BJ457" s="113">
        <v>0</v>
      </c>
      <c r="BK457" s="113">
        <v>0</v>
      </c>
      <c r="BL457" s="113">
        <v>8.5425978000000011</v>
      </c>
      <c r="BM457" s="113">
        <v>18.826864100000002</v>
      </c>
      <c r="BN457" s="113">
        <v>0</v>
      </c>
      <c r="BO457" s="113">
        <v>0</v>
      </c>
      <c r="BP457" s="113">
        <v>0</v>
      </c>
      <c r="BQ457" s="113">
        <v>0</v>
      </c>
      <c r="BR457" s="101"/>
      <c r="BS457">
        <f t="shared" si="915"/>
        <v>0</v>
      </c>
      <c r="BT457">
        <f t="shared" si="915"/>
        <v>0</v>
      </c>
      <c r="BU457">
        <f t="shared" si="915"/>
        <v>0</v>
      </c>
      <c r="BV457">
        <f t="shared" si="915"/>
        <v>0</v>
      </c>
      <c r="BW457">
        <f t="shared" si="915"/>
        <v>0</v>
      </c>
      <c r="BX457">
        <f t="shared" si="915"/>
        <v>0</v>
      </c>
      <c r="BY457">
        <f t="shared" si="915"/>
        <v>0</v>
      </c>
      <c r="BZ457">
        <f t="shared" si="915"/>
        <v>0</v>
      </c>
      <c r="CA457">
        <f t="shared" si="915"/>
        <v>0</v>
      </c>
      <c r="CB457">
        <f t="shared" si="915"/>
        <v>0</v>
      </c>
      <c r="CC457">
        <f t="shared" si="916"/>
        <v>0</v>
      </c>
      <c r="CD457">
        <f t="shared" si="916"/>
        <v>0</v>
      </c>
      <c r="CE457">
        <f t="shared" si="916"/>
        <v>0</v>
      </c>
      <c r="CF457">
        <f t="shared" si="916"/>
        <v>0</v>
      </c>
      <c r="CG457">
        <f t="shared" si="916"/>
        <v>0</v>
      </c>
      <c r="CH457">
        <f t="shared" si="916"/>
        <v>0</v>
      </c>
      <c r="CI457">
        <f t="shared" si="916"/>
        <v>0</v>
      </c>
      <c r="CJ457">
        <f t="shared" si="916"/>
        <v>0</v>
      </c>
      <c r="CK457">
        <f t="shared" si="916"/>
        <v>0</v>
      </c>
      <c r="CL457">
        <f t="shared" si="916"/>
        <v>0</v>
      </c>
      <c r="CM457">
        <f t="shared" si="917"/>
        <v>0</v>
      </c>
      <c r="CN457">
        <f t="shared" si="917"/>
        <v>0</v>
      </c>
      <c r="CO457">
        <f t="shared" si="917"/>
        <v>0</v>
      </c>
      <c r="CP457">
        <f t="shared" si="917"/>
        <v>0</v>
      </c>
      <c r="CQ457">
        <f t="shared" si="917"/>
        <v>0</v>
      </c>
      <c r="CR457">
        <f t="shared" si="917"/>
        <v>0</v>
      </c>
      <c r="CS457">
        <f t="shared" si="917"/>
        <v>0</v>
      </c>
      <c r="CT457">
        <f t="shared" si="917"/>
        <v>0</v>
      </c>
      <c r="CU457">
        <f t="shared" si="917"/>
        <v>0</v>
      </c>
      <c r="CV457">
        <f t="shared" si="917"/>
        <v>0</v>
      </c>
      <c r="CW457">
        <f t="shared" si="918"/>
        <v>0</v>
      </c>
      <c r="CX457">
        <f t="shared" si="918"/>
        <v>0</v>
      </c>
      <c r="CY457">
        <f t="shared" si="918"/>
        <v>0</v>
      </c>
      <c r="CZ457">
        <f t="shared" si="918"/>
        <v>0</v>
      </c>
      <c r="DA457">
        <f t="shared" si="918"/>
        <v>0</v>
      </c>
      <c r="DB457">
        <f t="shared" si="918"/>
        <v>0</v>
      </c>
      <c r="DC457">
        <f t="shared" si="918"/>
        <v>0</v>
      </c>
      <c r="DD457">
        <f t="shared" si="918"/>
        <v>0</v>
      </c>
      <c r="DE457">
        <f t="shared" si="918"/>
        <v>0</v>
      </c>
      <c r="DF457">
        <f t="shared" si="918"/>
        <v>0</v>
      </c>
      <c r="DG457">
        <f t="shared" si="919"/>
        <v>0</v>
      </c>
      <c r="DH457">
        <f t="shared" si="919"/>
        <v>0</v>
      </c>
      <c r="DI457">
        <f t="shared" si="919"/>
        <v>0</v>
      </c>
      <c r="DJ457">
        <f t="shared" si="919"/>
        <v>0</v>
      </c>
      <c r="DK457">
        <f t="shared" si="919"/>
        <v>0</v>
      </c>
      <c r="DL457">
        <f t="shared" si="919"/>
        <v>0</v>
      </c>
      <c r="DM457">
        <f t="shared" si="919"/>
        <v>0</v>
      </c>
      <c r="DN457">
        <f t="shared" si="919"/>
        <v>0</v>
      </c>
      <c r="DO457">
        <f t="shared" si="919"/>
        <v>0</v>
      </c>
      <c r="DP457">
        <f t="shared" si="919"/>
        <v>0</v>
      </c>
      <c r="DQ457">
        <f t="shared" si="920"/>
        <v>0</v>
      </c>
      <c r="DR457">
        <f t="shared" si="920"/>
        <v>0</v>
      </c>
      <c r="DS457">
        <f t="shared" si="920"/>
        <v>0</v>
      </c>
      <c r="DT457">
        <f t="shared" si="920"/>
        <v>0</v>
      </c>
      <c r="DU457">
        <f t="shared" si="920"/>
        <v>0</v>
      </c>
      <c r="DV457">
        <f t="shared" si="920"/>
        <v>0</v>
      </c>
      <c r="DW457">
        <f t="shared" si="920"/>
        <v>0</v>
      </c>
      <c r="DX457">
        <f t="shared" si="920"/>
        <v>0</v>
      </c>
      <c r="DY457">
        <f t="shared" si="920"/>
        <v>0</v>
      </c>
      <c r="DZ457">
        <f t="shared" si="920"/>
        <v>0</v>
      </c>
      <c r="EA457">
        <f t="shared" ref="EA457:EF457" si="922">IF($C457&lt;&gt;"",IF(BL456&gt;0,1,0),0)</f>
        <v>0</v>
      </c>
      <c r="EB457">
        <f t="shared" si="922"/>
        <v>0</v>
      </c>
      <c r="EC457">
        <f t="shared" si="922"/>
        <v>0</v>
      </c>
      <c r="ED457">
        <f t="shared" si="922"/>
        <v>0</v>
      </c>
      <c r="EE457">
        <f t="shared" si="922"/>
        <v>0</v>
      </c>
      <c r="EF457">
        <f t="shared" si="922"/>
        <v>0</v>
      </c>
    </row>
    <row r="458" spans="1:136" ht="15.5">
      <c r="A458" s="90"/>
      <c r="B458" s="52"/>
      <c r="C458" s="94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18"/>
      <c r="AW458" s="18"/>
      <c r="AX458" s="18"/>
      <c r="AY458" s="18"/>
      <c r="AZ458" s="18"/>
      <c r="BA458" s="18"/>
      <c r="BB458" s="18"/>
      <c r="BC458" s="18"/>
      <c r="BD458" s="18"/>
      <c r="BE458" s="25"/>
      <c r="BF458" s="18"/>
      <c r="BG458" s="18"/>
      <c r="BH458" s="2"/>
      <c r="BI458" s="2"/>
      <c r="BJ458" s="2"/>
      <c r="BK458" s="2"/>
      <c r="BL458" s="39"/>
      <c r="BM458" s="2"/>
      <c r="BN458" s="2"/>
      <c r="BO458" s="2"/>
      <c r="BP458" s="2"/>
      <c r="BQ458" s="2"/>
      <c r="BR458" s="101"/>
    </row>
    <row r="459" spans="1:136" ht="15.5">
      <c r="A459" s="93">
        <v>54</v>
      </c>
      <c r="B459" s="52" t="s">
        <v>67</v>
      </c>
      <c r="C459" s="94">
        <v>3</v>
      </c>
      <c r="D459" s="39">
        <f t="shared" ref="D459:AI459" si="923">SUM(D460:D465)</f>
        <v>0</v>
      </c>
      <c r="E459" s="39">
        <f t="shared" si="923"/>
        <v>0</v>
      </c>
      <c r="F459" s="39">
        <f t="shared" si="923"/>
        <v>0</v>
      </c>
      <c r="G459" s="39">
        <f t="shared" si="923"/>
        <v>0</v>
      </c>
      <c r="H459" s="39">
        <f t="shared" si="923"/>
        <v>0</v>
      </c>
      <c r="I459" s="39">
        <f t="shared" si="923"/>
        <v>0</v>
      </c>
      <c r="J459" s="39">
        <f t="shared" si="923"/>
        <v>0</v>
      </c>
      <c r="K459" s="39">
        <f t="shared" si="923"/>
        <v>0</v>
      </c>
      <c r="L459" s="39">
        <f t="shared" si="923"/>
        <v>0</v>
      </c>
      <c r="M459" s="39">
        <f t="shared" si="923"/>
        <v>0</v>
      </c>
      <c r="N459" s="39">
        <f t="shared" si="923"/>
        <v>0</v>
      </c>
      <c r="O459" s="39">
        <f t="shared" si="923"/>
        <v>0</v>
      </c>
      <c r="P459" s="39">
        <f t="shared" si="923"/>
        <v>0</v>
      </c>
      <c r="Q459" s="39">
        <f t="shared" si="923"/>
        <v>0</v>
      </c>
      <c r="R459" s="39">
        <f t="shared" si="923"/>
        <v>0</v>
      </c>
      <c r="S459" s="39">
        <f t="shared" si="923"/>
        <v>0.18287500000000001</v>
      </c>
      <c r="T459" s="39">
        <f t="shared" si="923"/>
        <v>4.9148999999999998E-2</v>
      </c>
      <c r="U459" s="39">
        <f t="shared" si="923"/>
        <v>0</v>
      </c>
      <c r="V459" s="39">
        <f t="shared" si="923"/>
        <v>60</v>
      </c>
      <c r="W459" s="39">
        <f t="shared" si="923"/>
        <v>0</v>
      </c>
      <c r="X459" s="39">
        <f t="shared" si="923"/>
        <v>2.8059000000000001E-2</v>
      </c>
      <c r="Y459" s="39">
        <f t="shared" si="923"/>
        <v>1.52674</v>
      </c>
      <c r="Z459" s="39">
        <f t="shared" si="923"/>
        <v>5.0761380000000003</v>
      </c>
      <c r="AA459" s="39">
        <f t="shared" si="923"/>
        <v>0.40119899999999997</v>
      </c>
      <c r="AB459" s="39">
        <f t="shared" si="923"/>
        <v>8.9712E-2</v>
      </c>
      <c r="AC459" s="39">
        <f t="shared" si="923"/>
        <v>0.29087299999999999</v>
      </c>
      <c r="AD459" s="39">
        <f t="shared" si="923"/>
        <v>128.22163</v>
      </c>
      <c r="AE459" s="39">
        <f t="shared" si="923"/>
        <v>370.58756099999999</v>
      </c>
      <c r="AF459" s="39">
        <f t="shared" si="923"/>
        <v>462.35484099999991</v>
      </c>
      <c r="AG459" s="39">
        <f t="shared" si="923"/>
        <v>1003.9435719999999</v>
      </c>
      <c r="AH459" s="39">
        <f t="shared" si="923"/>
        <v>719.62044058399988</v>
      </c>
      <c r="AI459" s="39">
        <f t="shared" si="923"/>
        <v>927.02875940000001</v>
      </c>
      <c r="AJ459" s="39">
        <f t="shared" ref="AJ459:BQ459" si="924">SUM(AJ460:AJ465)</f>
        <v>890.93830000000003</v>
      </c>
      <c r="AK459" s="39">
        <f t="shared" si="924"/>
        <v>1291.7050999999999</v>
      </c>
      <c r="AL459" s="39">
        <f t="shared" si="924"/>
        <v>2066.0824000000002</v>
      </c>
      <c r="AM459" s="39">
        <f t="shared" si="924"/>
        <v>1061.2155700000001</v>
      </c>
      <c r="AN459" s="39">
        <f t="shared" si="924"/>
        <v>333.70295299999998</v>
      </c>
      <c r="AO459" s="39">
        <f t="shared" si="924"/>
        <v>263.86630600000001</v>
      </c>
      <c r="AP459" s="39">
        <f t="shared" si="924"/>
        <v>292.34000200000003</v>
      </c>
      <c r="AQ459" s="39">
        <f t="shared" si="924"/>
        <v>284.57869383739842</v>
      </c>
      <c r="AR459" s="39">
        <f t="shared" si="924"/>
        <v>940.70442242253523</v>
      </c>
      <c r="AS459" s="39">
        <f t="shared" si="924"/>
        <v>213.05282491639346</v>
      </c>
      <c r="AT459" s="39">
        <f t="shared" si="924"/>
        <v>114.41825429208635</v>
      </c>
      <c r="AU459" s="39">
        <f t="shared" si="924"/>
        <v>771.4387239758621</v>
      </c>
      <c r="AV459" s="39">
        <f t="shared" si="924"/>
        <v>1139.1240568641194</v>
      </c>
      <c r="AW459" s="39">
        <f t="shared" si="924"/>
        <v>835.92530869999996</v>
      </c>
      <c r="AX459" s="39">
        <f t="shared" si="924"/>
        <v>1104.303116</v>
      </c>
      <c r="AY459" s="39">
        <f t="shared" si="924"/>
        <v>2371.0875440999998</v>
      </c>
      <c r="AZ459" s="39">
        <f t="shared" si="924"/>
        <v>2286.1846813000002</v>
      </c>
      <c r="BA459" s="39">
        <f t="shared" si="924"/>
        <v>54.575220999999999</v>
      </c>
      <c r="BB459" s="39">
        <f t="shared" si="924"/>
        <v>8.5105796999999992</v>
      </c>
      <c r="BC459" s="39">
        <f t="shared" si="924"/>
        <v>9.2354854999999993</v>
      </c>
      <c r="BD459" s="39">
        <f t="shared" si="924"/>
        <v>10.958382400000001</v>
      </c>
      <c r="BE459" s="39">
        <f t="shared" si="924"/>
        <v>24.622249199999999</v>
      </c>
      <c r="BF459" s="39">
        <f t="shared" si="924"/>
        <v>0</v>
      </c>
      <c r="BG459" s="39">
        <f t="shared" si="924"/>
        <v>25.437936399999998</v>
      </c>
      <c r="BH459" s="39">
        <f t="shared" si="924"/>
        <v>175.45522050101343</v>
      </c>
      <c r="BI459" s="39">
        <f t="shared" si="924"/>
        <v>90.910896000000008</v>
      </c>
      <c r="BJ459" s="39">
        <f t="shared" si="924"/>
        <v>51.849624055944055</v>
      </c>
      <c r="BK459" s="39">
        <f t="shared" si="924"/>
        <v>31.662806</v>
      </c>
      <c r="BL459" s="39">
        <f t="shared" si="924"/>
        <v>142.42598100000001</v>
      </c>
      <c r="BM459" s="39">
        <f t="shared" si="924"/>
        <v>75.539518299999997</v>
      </c>
      <c r="BN459" s="39">
        <f t="shared" si="924"/>
        <v>35.644756100000002</v>
      </c>
      <c r="BO459" s="39">
        <f t="shared" si="924"/>
        <v>210</v>
      </c>
      <c r="BP459" s="39">
        <f t="shared" si="924"/>
        <v>360.60123470000002</v>
      </c>
      <c r="BQ459" s="39">
        <f t="shared" si="924"/>
        <v>275</v>
      </c>
      <c r="BR459" s="101"/>
      <c r="BS459">
        <f t="shared" ref="BS459:CX459" si="925">IF($C459&lt;&gt;"",IF(D459&gt;0,1,0),0)</f>
        <v>0</v>
      </c>
      <c r="BT459">
        <f t="shared" si="925"/>
        <v>0</v>
      </c>
      <c r="BU459">
        <f t="shared" si="925"/>
        <v>0</v>
      </c>
      <c r="BV459">
        <f t="shared" si="925"/>
        <v>0</v>
      </c>
      <c r="BW459">
        <f t="shared" si="925"/>
        <v>0</v>
      </c>
      <c r="BX459">
        <f t="shared" si="925"/>
        <v>0</v>
      </c>
      <c r="BY459">
        <f t="shared" si="925"/>
        <v>0</v>
      </c>
      <c r="BZ459">
        <f t="shared" si="925"/>
        <v>0</v>
      </c>
      <c r="CA459">
        <f t="shared" si="925"/>
        <v>0</v>
      </c>
      <c r="CB459">
        <f t="shared" si="925"/>
        <v>0</v>
      </c>
      <c r="CC459">
        <f t="shared" si="925"/>
        <v>0</v>
      </c>
      <c r="CD459">
        <f t="shared" si="925"/>
        <v>0</v>
      </c>
      <c r="CE459">
        <f t="shared" si="925"/>
        <v>0</v>
      </c>
      <c r="CF459">
        <f t="shared" si="925"/>
        <v>0</v>
      </c>
      <c r="CG459">
        <f t="shared" si="925"/>
        <v>0</v>
      </c>
      <c r="CH459">
        <f t="shared" si="925"/>
        <v>1</v>
      </c>
      <c r="CI459">
        <f t="shared" si="925"/>
        <v>1</v>
      </c>
      <c r="CJ459">
        <f t="shared" si="925"/>
        <v>0</v>
      </c>
      <c r="CK459">
        <f t="shared" si="925"/>
        <v>1</v>
      </c>
      <c r="CL459">
        <f t="shared" si="925"/>
        <v>0</v>
      </c>
      <c r="CM459">
        <f t="shared" si="925"/>
        <v>1</v>
      </c>
      <c r="CN459">
        <f t="shared" si="925"/>
        <v>1</v>
      </c>
      <c r="CO459">
        <f t="shared" si="925"/>
        <v>1</v>
      </c>
      <c r="CP459">
        <f t="shared" si="925"/>
        <v>1</v>
      </c>
      <c r="CQ459">
        <f t="shared" si="925"/>
        <v>1</v>
      </c>
      <c r="CR459">
        <f t="shared" si="925"/>
        <v>1</v>
      </c>
      <c r="CS459">
        <f t="shared" si="925"/>
        <v>1</v>
      </c>
      <c r="CT459">
        <f t="shared" si="925"/>
        <v>1</v>
      </c>
      <c r="CU459">
        <f t="shared" si="925"/>
        <v>1</v>
      </c>
      <c r="CV459">
        <f t="shared" si="925"/>
        <v>1</v>
      </c>
      <c r="CW459">
        <f t="shared" si="925"/>
        <v>1</v>
      </c>
      <c r="CX459">
        <f t="shared" si="925"/>
        <v>1</v>
      </c>
      <c r="CY459">
        <f t="shared" ref="CY459:ED459" si="926">IF($C459&lt;&gt;"",IF(AJ459&gt;0,1,0),0)</f>
        <v>1</v>
      </c>
      <c r="CZ459">
        <f t="shared" si="926"/>
        <v>1</v>
      </c>
      <c r="DA459">
        <f t="shared" si="926"/>
        <v>1</v>
      </c>
      <c r="DB459">
        <f t="shared" si="926"/>
        <v>1</v>
      </c>
      <c r="DC459">
        <f t="shared" si="926"/>
        <v>1</v>
      </c>
      <c r="DD459">
        <f t="shared" si="926"/>
        <v>1</v>
      </c>
      <c r="DE459">
        <f t="shared" si="926"/>
        <v>1</v>
      </c>
      <c r="DF459">
        <f t="shared" si="926"/>
        <v>1</v>
      </c>
      <c r="DG459">
        <f t="shared" si="926"/>
        <v>1</v>
      </c>
      <c r="DH459">
        <f t="shared" si="926"/>
        <v>1</v>
      </c>
      <c r="DI459">
        <f t="shared" si="926"/>
        <v>1</v>
      </c>
      <c r="DJ459">
        <f t="shared" si="926"/>
        <v>1</v>
      </c>
      <c r="DK459">
        <f t="shared" si="926"/>
        <v>1</v>
      </c>
      <c r="DL459">
        <f t="shared" si="926"/>
        <v>1</v>
      </c>
      <c r="DM459">
        <f t="shared" si="926"/>
        <v>1</v>
      </c>
      <c r="DN459">
        <f t="shared" si="926"/>
        <v>1</v>
      </c>
      <c r="DO459">
        <f t="shared" si="926"/>
        <v>1</v>
      </c>
      <c r="DP459">
        <f t="shared" si="926"/>
        <v>1</v>
      </c>
      <c r="DQ459">
        <f t="shared" si="926"/>
        <v>1</v>
      </c>
      <c r="DR459">
        <f t="shared" si="926"/>
        <v>1</v>
      </c>
      <c r="DS459">
        <f t="shared" si="926"/>
        <v>1</v>
      </c>
      <c r="DT459">
        <f t="shared" si="926"/>
        <v>1</v>
      </c>
      <c r="DU459">
        <f t="shared" si="926"/>
        <v>0</v>
      </c>
      <c r="DV459">
        <f t="shared" si="926"/>
        <v>1</v>
      </c>
      <c r="DW459">
        <f t="shared" si="926"/>
        <v>1</v>
      </c>
      <c r="DX459">
        <f t="shared" si="926"/>
        <v>1</v>
      </c>
      <c r="DY459">
        <f t="shared" si="926"/>
        <v>1</v>
      </c>
      <c r="DZ459">
        <f t="shared" si="926"/>
        <v>1</v>
      </c>
      <c r="EA459">
        <f t="shared" si="926"/>
        <v>1</v>
      </c>
      <c r="EB459">
        <f t="shared" si="926"/>
        <v>1</v>
      </c>
      <c r="EC459">
        <f t="shared" si="926"/>
        <v>1</v>
      </c>
      <c r="ED459">
        <f t="shared" si="926"/>
        <v>1</v>
      </c>
      <c r="EE459">
        <f t="shared" ref="EE459:EF459" si="927">IF($C459&lt;&gt;"",IF(BP459&gt;0,1,0),0)</f>
        <v>1</v>
      </c>
      <c r="EF459">
        <f t="shared" si="927"/>
        <v>1</v>
      </c>
    </row>
    <row r="460" spans="1:136" ht="15.5">
      <c r="A460" s="90"/>
      <c r="B460" s="19" t="s">
        <v>2</v>
      </c>
      <c r="C460" s="94"/>
      <c r="D460" s="18">
        <v>0</v>
      </c>
      <c r="E460" s="18">
        <v>0</v>
      </c>
      <c r="F460" s="18">
        <v>0</v>
      </c>
      <c r="G460" s="18">
        <v>0</v>
      </c>
      <c r="H460" s="18">
        <v>0</v>
      </c>
      <c r="I460" s="18">
        <v>0</v>
      </c>
      <c r="J460" s="18">
        <v>0</v>
      </c>
      <c r="K460" s="18">
        <v>0</v>
      </c>
      <c r="L460" s="18">
        <v>0</v>
      </c>
      <c r="M460" s="18">
        <v>0</v>
      </c>
      <c r="N460" s="18">
        <v>0</v>
      </c>
      <c r="O460" s="18">
        <v>0</v>
      </c>
      <c r="P460" s="18">
        <v>0</v>
      </c>
      <c r="Q460" s="18">
        <v>0</v>
      </c>
      <c r="R460" s="18">
        <v>0</v>
      </c>
      <c r="S460" s="18">
        <v>0</v>
      </c>
      <c r="T460" s="18">
        <v>0</v>
      </c>
      <c r="U460" s="40" t="s">
        <v>16</v>
      </c>
      <c r="V460" s="18">
        <v>60</v>
      </c>
      <c r="W460" s="18">
        <v>0</v>
      </c>
      <c r="X460" s="18">
        <v>0</v>
      </c>
      <c r="Y460" s="18">
        <v>0</v>
      </c>
      <c r="Z460" s="18">
        <v>0</v>
      </c>
      <c r="AA460" s="18">
        <v>0</v>
      </c>
      <c r="AB460" s="18">
        <v>0</v>
      </c>
      <c r="AC460" s="18">
        <v>0</v>
      </c>
      <c r="AD460" s="18">
        <v>0</v>
      </c>
      <c r="AE460" s="59">
        <v>330</v>
      </c>
      <c r="AF460" s="59">
        <v>235</v>
      </c>
      <c r="AG460" s="59">
        <v>545</v>
      </c>
      <c r="AH460" s="40" t="s">
        <v>16</v>
      </c>
      <c r="AI460" s="59">
        <v>481</v>
      </c>
      <c r="AJ460" s="40" t="s">
        <v>16</v>
      </c>
      <c r="AK460" s="40" t="s">
        <v>16</v>
      </c>
      <c r="AL460" s="59">
        <v>1359</v>
      </c>
      <c r="AM460" s="59">
        <v>1031</v>
      </c>
      <c r="AN460" s="139"/>
      <c r="AO460" s="139"/>
      <c r="AP460" s="40" t="s">
        <v>16</v>
      </c>
      <c r="AQ460" s="40" t="s">
        <v>16</v>
      </c>
      <c r="AR460" s="59">
        <v>532</v>
      </c>
      <c r="AS460" s="139"/>
      <c r="AT460" s="139"/>
      <c r="AU460" s="40" t="s">
        <v>16</v>
      </c>
      <c r="AV460" s="59">
        <v>716</v>
      </c>
      <c r="AW460" s="40" t="s">
        <v>16</v>
      </c>
      <c r="AX460" s="40" t="s">
        <v>16</v>
      </c>
      <c r="AY460" s="18">
        <v>2337</v>
      </c>
      <c r="AZ460" s="18">
        <v>0</v>
      </c>
      <c r="BA460" s="18">
        <v>0</v>
      </c>
      <c r="BB460" s="18">
        <v>0</v>
      </c>
      <c r="BC460" s="18">
        <v>0</v>
      </c>
      <c r="BD460" s="18">
        <v>0</v>
      </c>
      <c r="BE460" s="18">
        <v>0</v>
      </c>
      <c r="BF460" s="18">
        <v>0</v>
      </c>
      <c r="BG460" s="18">
        <v>0</v>
      </c>
      <c r="BH460" s="18">
        <v>0</v>
      </c>
      <c r="BI460" s="18">
        <v>0</v>
      </c>
      <c r="BJ460" s="113">
        <v>0</v>
      </c>
      <c r="BK460" s="113">
        <v>0</v>
      </c>
      <c r="BL460" s="113">
        <v>0</v>
      </c>
      <c r="BM460" s="113">
        <v>0</v>
      </c>
      <c r="BN460" s="113">
        <v>14</v>
      </c>
      <c r="BO460" s="113">
        <v>0</v>
      </c>
      <c r="BP460" s="113">
        <v>15</v>
      </c>
      <c r="BQ460" s="113">
        <v>20</v>
      </c>
      <c r="BR460" s="101"/>
      <c r="BS460">
        <f t="shared" ref="BS460:CB466" si="928">IF($C460&lt;&gt;"",IF(D460&gt;0,1,0),0)</f>
        <v>0</v>
      </c>
      <c r="BT460">
        <f t="shared" si="928"/>
        <v>0</v>
      </c>
      <c r="BU460">
        <f t="shared" si="928"/>
        <v>0</v>
      </c>
      <c r="BV460">
        <f t="shared" si="928"/>
        <v>0</v>
      </c>
      <c r="BW460">
        <f t="shared" si="928"/>
        <v>0</v>
      </c>
      <c r="BX460">
        <f t="shared" si="928"/>
        <v>0</v>
      </c>
      <c r="BY460">
        <f t="shared" si="928"/>
        <v>0</v>
      </c>
      <c r="BZ460">
        <f t="shared" si="928"/>
        <v>0</v>
      </c>
      <c r="CA460">
        <f t="shared" si="928"/>
        <v>0</v>
      </c>
      <c r="CB460">
        <f t="shared" si="928"/>
        <v>0</v>
      </c>
      <c r="CC460">
        <f t="shared" ref="CC460:CL466" si="929">IF($C460&lt;&gt;"",IF(N460&gt;0,1,0),0)</f>
        <v>0</v>
      </c>
      <c r="CD460">
        <f t="shared" si="929"/>
        <v>0</v>
      </c>
      <c r="CE460">
        <f t="shared" si="929"/>
        <v>0</v>
      </c>
      <c r="CF460">
        <f t="shared" si="929"/>
        <v>0</v>
      </c>
      <c r="CG460">
        <f t="shared" si="929"/>
        <v>0</v>
      </c>
      <c r="CH460">
        <f t="shared" si="929"/>
        <v>0</v>
      </c>
      <c r="CI460">
        <f t="shared" si="929"/>
        <v>0</v>
      </c>
      <c r="CJ460">
        <f t="shared" si="929"/>
        <v>0</v>
      </c>
      <c r="CK460">
        <f t="shared" si="929"/>
        <v>0</v>
      </c>
      <c r="CL460">
        <f t="shared" si="929"/>
        <v>0</v>
      </c>
      <c r="CM460">
        <f t="shared" ref="CM460:CV466" si="930">IF($C460&lt;&gt;"",IF(X460&gt;0,1,0),0)</f>
        <v>0</v>
      </c>
      <c r="CN460">
        <f t="shared" si="930"/>
        <v>0</v>
      </c>
      <c r="CO460">
        <f t="shared" si="930"/>
        <v>0</v>
      </c>
      <c r="CP460">
        <f t="shared" si="930"/>
        <v>0</v>
      </c>
      <c r="CQ460">
        <f t="shared" si="930"/>
        <v>0</v>
      </c>
      <c r="CR460">
        <f t="shared" si="930"/>
        <v>0</v>
      </c>
      <c r="CS460">
        <f t="shared" si="930"/>
        <v>0</v>
      </c>
      <c r="CT460">
        <f t="shared" si="930"/>
        <v>0</v>
      </c>
      <c r="CU460">
        <f t="shared" si="930"/>
        <v>0</v>
      </c>
      <c r="CV460">
        <f t="shared" si="930"/>
        <v>0</v>
      </c>
      <c r="CW460">
        <f t="shared" ref="CW460:DF466" si="931">IF($C460&lt;&gt;"",IF(AH460&gt;0,1,0),0)</f>
        <v>0</v>
      </c>
      <c r="CX460">
        <f t="shared" si="931"/>
        <v>0</v>
      </c>
      <c r="CY460">
        <f t="shared" si="931"/>
        <v>0</v>
      </c>
      <c r="CZ460">
        <f t="shared" si="931"/>
        <v>0</v>
      </c>
      <c r="DA460">
        <f t="shared" si="931"/>
        <v>0</v>
      </c>
      <c r="DB460">
        <f t="shared" si="931"/>
        <v>0</v>
      </c>
      <c r="DC460">
        <f t="shared" si="931"/>
        <v>0</v>
      </c>
      <c r="DD460">
        <f t="shared" si="931"/>
        <v>0</v>
      </c>
      <c r="DE460">
        <f t="shared" si="931"/>
        <v>0</v>
      </c>
      <c r="DF460">
        <f t="shared" si="931"/>
        <v>0</v>
      </c>
      <c r="DG460">
        <f t="shared" ref="DG460:DP466" si="932">IF($C460&lt;&gt;"",IF(AR460&gt;0,1,0),0)</f>
        <v>0</v>
      </c>
      <c r="DH460">
        <f t="shared" si="932"/>
        <v>0</v>
      </c>
      <c r="DI460">
        <f t="shared" si="932"/>
        <v>0</v>
      </c>
      <c r="DJ460">
        <f t="shared" si="932"/>
        <v>0</v>
      </c>
      <c r="DK460">
        <f t="shared" si="932"/>
        <v>0</v>
      </c>
      <c r="DL460">
        <f t="shared" si="932"/>
        <v>0</v>
      </c>
      <c r="DM460">
        <f t="shared" si="932"/>
        <v>0</v>
      </c>
      <c r="DN460">
        <f t="shared" si="932"/>
        <v>0</v>
      </c>
      <c r="DO460">
        <f t="shared" si="932"/>
        <v>0</v>
      </c>
      <c r="DP460">
        <f t="shared" si="932"/>
        <v>0</v>
      </c>
      <c r="DQ460">
        <f t="shared" ref="DQ460:DZ466" si="933">IF($C460&lt;&gt;"",IF(BB460&gt;0,1,0),0)</f>
        <v>0</v>
      </c>
      <c r="DR460">
        <f t="shared" si="933"/>
        <v>0</v>
      </c>
      <c r="DS460">
        <f t="shared" si="933"/>
        <v>0</v>
      </c>
      <c r="DT460">
        <f t="shared" si="933"/>
        <v>0</v>
      </c>
      <c r="DU460">
        <f t="shared" si="933"/>
        <v>0</v>
      </c>
      <c r="DV460">
        <f t="shared" si="933"/>
        <v>0</v>
      </c>
      <c r="DW460">
        <f t="shared" si="933"/>
        <v>0</v>
      </c>
      <c r="DX460">
        <f t="shared" si="933"/>
        <v>0</v>
      </c>
      <c r="DY460">
        <f t="shared" si="933"/>
        <v>0</v>
      </c>
      <c r="DZ460">
        <f t="shared" si="933"/>
        <v>0</v>
      </c>
      <c r="EA460">
        <f t="shared" ref="EA460:EF462" si="934">IF($C460&lt;&gt;"",IF(BL459&gt;0,1,0),0)</f>
        <v>0</v>
      </c>
      <c r="EB460">
        <f t="shared" si="934"/>
        <v>0</v>
      </c>
      <c r="EC460">
        <f t="shared" si="934"/>
        <v>0</v>
      </c>
      <c r="ED460">
        <f t="shared" si="934"/>
        <v>0</v>
      </c>
      <c r="EE460">
        <f t="shared" si="934"/>
        <v>0</v>
      </c>
      <c r="EF460">
        <f t="shared" si="934"/>
        <v>0</v>
      </c>
    </row>
    <row r="461" spans="1:136" ht="15.5">
      <c r="A461" s="90"/>
      <c r="B461" s="19" t="s">
        <v>205</v>
      </c>
      <c r="C461" s="94"/>
      <c r="D461" s="18">
        <v>0</v>
      </c>
      <c r="E461" s="18">
        <v>0</v>
      </c>
      <c r="F461" s="18">
        <v>0</v>
      </c>
      <c r="G461" s="18">
        <v>0</v>
      </c>
      <c r="H461" s="18">
        <v>0</v>
      </c>
      <c r="I461" s="18">
        <v>0</v>
      </c>
      <c r="J461" s="18">
        <v>0</v>
      </c>
      <c r="K461" s="18">
        <v>0</v>
      </c>
      <c r="L461" s="18">
        <v>0</v>
      </c>
      <c r="M461" s="18">
        <v>0</v>
      </c>
      <c r="N461" s="18">
        <v>0</v>
      </c>
      <c r="O461" s="18">
        <v>0</v>
      </c>
      <c r="P461" s="18">
        <v>0</v>
      </c>
      <c r="Q461" s="18">
        <v>0</v>
      </c>
      <c r="R461" s="18">
        <v>0</v>
      </c>
      <c r="S461" s="18">
        <v>0</v>
      </c>
      <c r="T461" s="18">
        <v>0</v>
      </c>
      <c r="U461" s="18">
        <v>0</v>
      </c>
      <c r="V461" s="18">
        <v>0</v>
      </c>
      <c r="W461" s="18">
        <v>0</v>
      </c>
      <c r="X461" s="18">
        <v>0</v>
      </c>
      <c r="Y461" s="18">
        <v>0</v>
      </c>
      <c r="Z461" s="18">
        <v>0</v>
      </c>
      <c r="AA461" s="18">
        <v>0</v>
      </c>
      <c r="AB461" s="18">
        <v>0</v>
      </c>
      <c r="AC461" s="18">
        <v>0</v>
      </c>
      <c r="AD461" s="18">
        <v>0</v>
      </c>
      <c r="AE461" s="18">
        <v>0</v>
      </c>
      <c r="AF461" s="18">
        <v>0</v>
      </c>
      <c r="AG461" s="18">
        <v>0</v>
      </c>
      <c r="AH461" s="248">
        <v>1.0080233000000001</v>
      </c>
      <c r="AI461" s="245">
        <v>1.9373593999999998</v>
      </c>
      <c r="AJ461" s="246">
        <v>0</v>
      </c>
      <c r="AK461" s="246">
        <v>0</v>
      </c>
      <c r="AL461" s="247">
        <v>0</v>
      </c>
      <c r="AM461" s="59">
        <v>0</v>
      </c>
      <c r="AN461" s="59">
        <v>0</v>
      </c>
      <c r="AO461" s="246">
        <v>0</v>
      </c>
      <c r="AP461" s="240">
        <v>0</v>
      </c>
      <c r="AQ461" s="240">
        <v>1</v>
      </c>
      <c r="AR461" s="240">
        <v>1</v>
      </c>
      <c r="AS461" s="59">
        <v>2.6888603999999998</v>
      </c>
      <c r="AT461" s="59">
        <v>4.0330952999999994</v>
      </c>
      <c r="AU461" s="18">
        <v>4.3359068000000001</v>
      </c>
      <c r="AV461" s="59">
        <v>5.4481155000000001</v>
      </c>
      <c r="AW461" s="18">
        <v>8.2847545</v>
      </c>
      <c r="AX461" s="18">
        <v>10.3161857</v>
      </c>
      <c r="AY461" s="18">
        <v>15.118281699999999</v>
      </c>
      <c r="AZ461" s="18">
        <v>19.063734499999999</v>
      </c>
      <c r="BA461" s="18">
        <v>7.2193257000000006</v>
      </c>
      <c r="BB461" s="18">
        <v>7.4431139999999996</v>
      </c>
      <c r="BC461" s="18">
        <v>7.8234855000000003</v>
      </c>
      <c r="BD461" s="18">
        <v>9.5626814000000007</v>
      </c>
      <c r="BE461" s="25">
        <v>21.7819155</v>
      </c>
      <c r="BF461" s="18">
        <v>0</v>
      </c>
      <c r="BG461" s="18">
        <v>6.6611902000000001</v>
      </c>
      <c r="BH461" s="18">
        <v>10</v>
      </c>
      <c r="BI461" s="147">
        <v>0</v>
      </c>
      <c r="BJ461" s="113">
        <v>1</v>
      </c>
      <c r="BK461" s="113">
        <v>0</v>
      </c>
      <c r="BL461" s="154">
        <f>112+3</f>
        <v>115</v>
      </c>
      <c r="BM461" s="113">
        <v>13.744191800000001</v>
      </c>
      <c r="BN461" s="168">
        <v>20.444756099999999</v>
      </c>
      <c r="BO461" s="113">
        <v>60.121509000000003</v>
      </c>
      <c r="BP461" s="113">
        <v>160.60123470000002</v>
      </c>
      <c r="BQ461" s="113">
        <v>60</v>
      </c>
      <c r="BR461" s="101"/>
      <c r="BS461">
        <f t="shared" si="928"/>
        <v>0</v>
      </c>
      <c r="BT461">
        <f t="shared" si="928"/>
        <v>0</v>
      </c>
      <c r="BU461">
        <f t="shared" si="928"/>
        <v>0</v>
      </c>
      <c r="BV461">
        <f t="shared" si="928"/>
        <v>0</v>
      </c>
      <c r="BW461">
        <f t="shared" si="928"/>
        <v>0</v>
      </c>
      <c r="BX461">
        <f t="shared" si="928"/>
        <v>0</v>
      </c>
      <c r="BY461">
        <f t="shared" si="928"/>
        <v>0</v>
      </c>
      <c r="BZ461">
        <f t="shared" si="928"/>
        <v>0</v>
      </c>
      <c r="CA461">
        <f t="shared" si="928"/>
        <v>0</v>
      </c>
      <c r="CB461">
        <f t="shared" si="928"/>
        <v>0</v>
      </c>
      <c r="CC461">
        <f t="shared" si="929"/>
        <v>0</v>
      </c>
      <c r="CD461">
        <f t="shared" si="929"/>
        <v>0</v>
      </c>
      <c r="CE461">
        <f t="shared" si="929"/>
        <v>0</v>
      </c>
      <c r="CF461">
        <f t="shared" si="929"/>
        <v>0</v>
      </c>
      <c r="CG461">
        <f t="shared" si="929"/>
        <v>0</v>
      </c>
      <c r="CH461">
        <f t="shared" si="929"/>
        <v>0</v>
      </c>
      <c r="CI461">
        <f t="shared" si="929"/>
        <v>0</v>
      </c>
      <c r="CJ461">
        <f t="shared" si="929"/>
        <v>0</v>
      </c>
      <c r="CK461">
        <f t="shared" si="929"/>
        <v>0</v>
      </c>
      <c r="CL461">
        <f t="shared" si="929"/>
        <v>0</v>
      </c>
      <c r="CM461">
        <f t="shared" si="930"/>
        <v>0</v>
      </c>
      <c r="CN461">
        <f t="shared" si="930"/>
        <v>0</v>
      </c>
      <c r="CO461">
        <f t="shared" si="930"/>
        <v>0</v>
      </c>
      <c r="CP461">
        <f t="shared" si="930"/>
        <v>0</v>
      </c>
      <c r="CQ461">
        <f t="shared" si="930"/>
        <v>0</v>
      </c>
      <c r="CR461">
        <f t="shared" si="930"/>
        <v>0</v>
      </c>
      <c r="CS461">
        <f t="shared" si="930"/>
        <v>0</v>
      </c>
      <c r="CT461">
        <f t="shared" si="930"/>
        <v>0</v>
      </c>
      <c r="CU461">
        <f t="shared" si="930"/>
        <v>0</v>
      </c>
      <c r="CV461">
        <f t="shared" si="930"/>
        <v>0</v>
      </c>
      <c r="CW461">
        <f t="shared" si="931"/>
        <v>0</v>
      </c>
      <c r="CX461">
        <f t="shared" si="931"/>
        <v>0</v>
      </c>
      <c r="CY461">
        <f t="shared" si="931"/>
        <v>0</v>
      </c>
      <c r="CZ461">
        <f t="shared" si="931"/>
        <v>0</v>
      </c>
      <c r="DA461">
        <f t="shared" si="931"/>
        <v>0</v>
      </c>
      <c r="DB461">
        <f t="shared" si="931"/>
        <v>0</v>
      </c>
      <c r="DC461">
        <f t="shared" si="931"/>
        <v>0</v>
      </c>
      <c r="DD461">
        <f t="shared" si="931"/>
        <v>0</v>
      </c>
      <c r="DE461">
        <f t="shared" si="931"/>
        <v>0</v>
      </c>
      <c r="DF461">
        <f t="shared" si="931"/>
        <v>0</v>
      </c>
      <c r="DG461">
        <f t="shared" si="932"/>
        <v>0</v>
      </c>
      <c r="DH461">
        <f t="shared" si="932"/>
        <v>0</v>
      </c>
      <c r="DI461">
        <f t="shared" si="932"/>
        <v>0</v>
      </c>
      <c r="DJ461">
        <f t="shared" si="932"/>
        <v>0</v>
      </c>
      <c r="DK461">
        <f t="shared" si="932"/>
        <v>0</v>
      </c>
      <c r="DL461">
        <f t="shared" si="932"/>
        <v>0</v>
      </c>
      <c r="DM461">
        <f t="shared" si="932"/>
        <v>0</v>
      </c>
      <c r="DN461">
        <f t="shared" si="932"/>
        <v>0</v>
      </c>
      <c r="DO461">
        <f t="shared" si="932"/>
        <v>0</v>
      </c>
      <c r="DP461">
        <f t="shared" si="932"/>
        <v>0</v>
      </c>
      <c r="DQ461">
        <f t="shared" si="933"/>
        <v>0</v>
      </c>
      <c r="DR461">
        <f t="shared" si="933"/>
        <v>0</v>
      </c>
      <c r="DS461">
        <f t="shared" si="933"/>
        <v>0</v>
      </c>
      <c r="DT461">
        <f t="shared" si="933"/>
        <v>0</v>
      </c>
      <c r="DU461">
        <f t="shared" si="933"/>
        <v>0</v>
      </c>
      <c r="DV461">
        <f t="shared" si="933"/>
        <v>0</v>
      </c>
      <c r="DW461">
        <f t="shared" si="933"/>
        <v>0</v>
      </c>
      <c r="DX461">
        <f t="shared" si="933"/>
        <v>0</v>
      </c>
      <c r="DY461">
        <f t="shared" si="933"/>
        <v>0</v>
      </c>
      <c r="DZ461">
        <f t="shared" si="933"/>
        <v>0</v>
      </c>
      <c r="EA461">
        <f t="shared" si="934"/>
        <v>0</v>
      </c>
      <c r="EB461">
        <f t="shared" si="934"/>
        <v>0</v>
      </c>
      <c r="EC461">
        <f t="shared" si="934"/>
        <v>0</v>
      </c>
      <c r="ED461">
        <f t="shared" si="934"/>
        <v>0</v>
      </c>
      <c r="EE461">
        <f t="shared" si="934"/>
        <v>0</v>
      </c>
      <c r="EF461">
        <f t="shared" si="934"/>
        <v>0</v>
      </c>
    </row>
    <row r="462" spans="1:136" ht="15.5">
      <c r="A462" s="90"/>
      <c r="B462" s="53" t="s">
        <v>3</v>
      </c>
      <c r="C462" s="94"/>
      <c r="D462" s="18">
        <v>0</v>
      </c>
      <c r="E462" s="18">
        <v>0</v>
      </c>
      <c r="F462" s="18">
        <v>0</v>
      </c>
      <c r="G462" s="18">
        <v>0</v>
      </c>
      <c r="H462" s="18">
        <v>0</v>
      </c>
      <c r="I462" s="18">
        <v>0</v>
      </c>
      <c r="J462" s="18">
        <v>0</v>
      </c>
      <c r="K462" s="18">
        <v>0</v>
      </c>
      <c r="L462" s="18">
        <v>0</v>
      </c>
      <c r="M462" s="18">
        <v>0</v>
      </c>
      <c r="N462" s="18">
        <v>0</v>
      </c>
      <c r="O462" s="18">
        <v>0</v>
      </c>
      <c r="P462" s="18">
        <v>0</v>
      </c>
      <c r="Q462" s="18">
        <v>0</v>
      </c>
      <c r="R462" s="18">
        <v>0</v>
      </c>
      <c r="S462" s="18">
        <v>0</v>
      </c>
      <c r="T462" s="18">
        <v>0</v>
      </c>
      <c r="U462" s="18">
        <v>0</v>
      </c>
      <c r="V462" s="18">
        <v>0</v>
      </c>
      <c r="W462" s="18">
        <v>0</v>
      </c>
      <c r="X462" s="18">
        <v>2.8059000000000001E-2</v>
      </c>
      <c r="Y462" s="18">
        <v>1.52674</v>
      </c>
      <c r="Z462" s="18">
        <v>0.40743499999999999</v>
      </c>
      <c r="AA462" s="18">
        <v>0.29948999999999998</v>
      </c>
      <c r="AB462" s="18">
        <v>0</v>
      </c>
      <c r="AC462" s="18">
        <v>0.18202499999999999</v>
      </c>
      <c r="AD462" s="18">
        <v>24.69435</v>
      </c>
      <c r="AE462" s="18">
        <v>1.267336</v>
      </c>
      <c r="AF462" s="18">
        <v>9.9322890000000008</v>
      </c>
      <c r="AG462" s="40" t="s">
        <v>16</v>
      </c>
      <c r="AH462" s="18">
        <f>186.5925-AH461</f>
        <v>185.58447670000001</v>
      </c>
      <c r="AI462" s="40" t="s">
        <v>16</v>
      </c>
      <c r="AJ462" s="18">
        <v>354.30309999999997</v>
      </c>
      <c r="AK462" s="18">
        <v>669.94179999999994</v>
      </c>
      <c r="AL462" s="40" t="s">
        <v>16</v>
      </c>
      <c r="AM462" s="40" t="s">
        <v>16</v>
      </c>
      <c r="AN462" s="18">
        <v>329.63619999999997</v>
      </c>
      <c r="AO462" s="18">
        <v>237.03120000000001</v>
      </c>
      <c r="AP462" s="18">
        <v>263.49990000000003</v>
      </c>
      <c r="AQ462" s="18">
        <v>201.51560000000001</v>
      </c>
      <c r="AR462" s="18">
        <f>916.1407116-AR460</f>
        <v>384.14071160000003</v>
      </c>
      <c r="AS462" s="18">
        <f>180.8243659-AS461</f>
        <v>178.13550549999999</v>
      </c>
      <c r="AT462" s="18">
        <f>53.376617-AT461</f>
        <v>49.343521700000004</v>
      </c>
      <c r="AU462" s="18">
        <f>664.2017922-AU461</f>
        <v>659.86588540000002</v>
      </c>
      <c r="AV462" s="18">
        <f>1067.1205436-AV460</f>
        <v>351.12054360000002</v>
      </c>
      <c r="AW462" s="18">
        <f>797.8707631-AW461</f>
        <v>789.58600860000001</v>
      </c>
      <c r="AX462" s="18">
        <f>1071.5014914-AX461</f>
        <v>1061.1853057000001</v>
      </c>
      <c r="AY462" s="40" t="s">
        <v>16</v>
      </c>
      <c r="AZ462" s="18">
        <f>2282.4085703-AZ461</f>
        <v>2263.3448358000001</v>
      </c>
      <c r="BA462" s="18">
        <f>53.9298322-BA461</f>
        <v>46.710506500000001</v>
      </c>
      <c r="BB462" s="18">
        <f>7.8852381-BB461</f>
        <v>0.44212410000000002</v>
      </c>
      <c r="BC462" s="18">
        <f>8.0434855-BC461</f>
        <v>0.21999999999999886</v>
      </c>
      <c r="BD462" s="18">
        <f>10.9478272-BD461</f>
        <v>1.3851458000000001</v>
      </c>
      <c r="BE462" s="25">
        <f>24.6222492-BE461</f>
        <v>2.8403336999999986</v>
      </c>
      <c r="BF462" s="18">
        <v>0</v>
      </c>
      <c r="BG462" s="18">
        <f>10.4062555-BG461</f>
        <v>3.7450653000000003</v>
      </c>
      <c r="BH462" s="18">
        <f>27.4045485-BH461</f>
        <v>17.404548500000001</v>
      </c>
      <c r="BI462" s="18">
        <v>7.0921614000000002</v>
      </c>
      <c r="BJ462" s="18">
        <f>8-BJ461</f>
        <v>7</v>
      </c>
      <c r="BK462" s="18">
        <v>31</v>
      </c>
      <c r="BL462" s="113">
        <f>130-BL461</f>
        <v>15</v>
      </c>
      <c r="BM462" s="113">
        <f>54.1271461-BM461</f>
        <v>40.382954299999994</v>
      </c>
      <c r="BN462" s="154"/>
      <c r="BO462" s="113">
        <f>200-BO461</f>
        <v>139.878491</v>
      </c>
      <c r="BP462" s="113">
        <v>165</v>
      </c>
      <c r="BQ462" s="113">
        <v>175</v>
      </c>
      <c r="BR462" s="101"/>
      <c r="BS462">
        <f t="shared" si="928"/>
        <v>0</v>
      </c>
      <c r="BT462">
        <f t="shared" si="928"/>
        <v>0</v>
      </c>
      <c r="BU462">
        <f t="shared" si="928"/>
        <v>0</v>
      </c>
      <c r="BV462">
        <f t="shared" si="928"/>
        <v>0</v>
      </c>
      <c r="BW462">
        <f t="shared" si="928"/>
        <v>0</v>
      </c>
      <c r="BX462">
        <f t="shared" si="928"/>
        <v>0</v>
      </c>
      <c r="BY462">
        <f t="shared" si="928"/>
        <v>0</v>
      </c>
      <c r="BZ462">
        <f t="shared" si="928"/>
        <v>0</v>
      </c>
      <c r="CA462">
        <f t="shared" si="928"/>
        <v>0</v>
      </c>
      <c r="CB462">
        <f t="shared" si="928"/>
        <v>0</v>
      </c>
      <c r="CC462">
        <f t="shared" si="929"/>
        <v>0</v>
      </c>
      <c r="CD462">
        <f t="shared" si="929"/>
        <v>0</v>
      </c>
      <c r="CE462">
        <f t="shared" si="929"/>
        <v>0</v>
      </c>
      <c r="CF462">
        <f t="shared" si="929"/>
        <v>0</v>
      </c>
      <c r="CG462">
        <f t="shared" si="929"/>
        <v>0</v>
      </c>
      <c r="CH462">
        <f t="shared" si="929"/>
        <v>0</v>
      </c>
      <c r="CI462">
        <f t="shared" si="929"/>
        <v>0</v>
      </c>
      <c r="CJ462">
        <f t="shared" si="929"/>
        <v>0</v>
      </c>
      <c r="CK462">
        <f t="shared" si="929"/>
        <v>0</v>
      </c>
      <c r="CL462">
        <f t="shared" si="929"/>
        <v>0</v>
      </c>
      <c r="CM462">
        <f t="shared" si="930"/>
        <v>0</v>
      </c>
      <c r="CN462">
        <f t="shared" si="930"/>
        <v>0</v>
      </c>
      <c r="CO462">
        <f t="shared" si="930"/>
        <v>0</v>
      </c>
      <c r="CP462">
        <f t="shared" si="930"/>
        <v>0</v>
      </c>
      <c r="CQ462">
        <f t="shared" si="930"/>
        <v>0</v>
      </c>
      <c r="CR462">
        <f t="shared" si="930"/>
        <v>0</v>
      </c>
      <c r="CS462">
        <f t="shared" si="930"/>
        <v>0</v>
      </c>
      <c r="CT462">
        <f t="shared" si="930"/>
        <v>0</v>
      </c>
      <c r="CU462">
        <f t="shared" si="930"/>
        <v>0</v>
      </c>
      <c r="CV462">
        <f t="shared" si="930"/>
        <v>0</v>
      </c>
      <c r="CW462">
        <f t="shared" si="931"/>
        <v>0</v>
      </c>
      <c r="CX462">
        <f t="shared" si="931"/>
        <v>0</v>
      </c>
      <c r="CY462">
        <f t="shared" si="931"/>
        <v>0</v>
      </c>
      <c r="CZ462">
        <f t="shared" si="931"/>
        <v>0</v>
      </c>
      <c r="DA462">
        <f t="shared" si="931"/>
        <v>0</v>
      </c>
      <c r="DB462">
        <f t="shared" si="931"/>
        <v>0</v>
      </c>
      <c r="DC462">
        <f t="shared" si="931"/>
        <v>0</v>
      </c>
      <c r="DD462">
        <f t="shared" si="931"/>
        <v>0</v>
      </c>
      <c r="DE462">
        <f t="shared" si="931"/>
        <v>0</v>
      </c>
      <c r="DF462">
        <f t="shared" si="931"/>
        <v>0</v>
      </c>
      <c r="DG462">
        <f t="shared" si="932"/>
        <v>0</v>
      </c>
      <c r="DH462">
        <f t="shared" si="932"/>
        <v>0</v>
      </c>
      <c r="DI462">
        <f t="shared" si="932"/>
        <v>0</v>
      </c>
      <c r="DJ462">
        <f t="shared" si="932"/>
        <v>0</v>
      </c>
      <c r="DK462">
        <f t="shared" si="932"/>
        <v>0</v>
      </c>
      <c r="DL462">
        <f t="shared" si="932"/>
        <v>0</v>
      </c>
      <c r="DM462">
        <f t="shared" si="932"/>
        <v>0</v>
      </c>
      <c r="DN462">
        <f t="shared" si="932"/>
        <v>0</v>
      </c>
      <c r="DO462">
        <f t="shared" si="932"/>
        <v>0</v>
      </c>
      <c r="DP462">
        <f t="shared" si="932"/>
        <v>0</v>
      </c>
      <c r="DQ462">
        <f t="shared" si="933"/>
        <v>0</v>
      </c>
      <c r="DR462">
        <f t="shared" si="933"/>
        <v>0</v>
      </c>
      <c r="DS462">
        <f t="shared" si="933"/>
        <v>0</v>
      </c>
      <c r="DT462">
        <f t="shared" si="933"/>
        <v>0</v>
      </c>
      <c r="DU462">
        <f t="shared" si="933"/>
        <v>0</v>
      </c>
      <c r="DV462">
        <f t="shared" si="933"/>
        <v>0</v>
      </c>
      <c r="DW462">
        <f t="shared" si="933"/>
        <v>0</v>
      </c>
      <c r="DX462">
        <f t="shared" si="933"/>
        <v>0</v>
      </c>
      <c r="DY462">
        <f t="shared" si="933"/>
        <v>0</v>
      </c>
      <c r="DZ462">
        <f t="shared" si="933"/>
        <v>0</v>
      </c>
      <c r="EA462">
        <f t="shared" si="934"/>
        <v>0</v>
      </c>
      <c r="EB462">
        <f t="shared" si="934"/>
        <v>0</v>
      </c>
      <c r="EC462">
        <f t="shared" si="934"/>
        <v>0</v>
      </c>
      <c r="ED462">
        <f t="shared" si="934"/>
        <v>0</v>
      </c>
      <c r="EE462">
        <f t="shared" si="934"/>
        <v>0</v>
      </c>
      <c r="EF462">
        <f t="shared" si="934"/>
        <v>0</v>
      </c>
    </row>
    <row r="463" spans="1:136" ht="15.5">
      <c r="A463" s="90"/>
      <c r="B463" s="53" t="s">
        <v>25</v>
      </c>
      <c r="C463" s="94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40"/>
      <c r="AH463" s="18"/>
      <c r="AI463" s="40"/>
      <c r="AJ463" s="18"/>
      <c r="AK463" s="18"/>
      <c r="AL463" s="40"/>
      <c r="AM463" s="40"/>
      <c r="AN463" s="18"/>
      <c r="AO463" s="18"/>
      <c r="AP463" s="18"/>
      <c r="AQ463" s="18">
        <f>8600/615</f>
        <v>13.983739837398375</v>
      </c>
      <c r="AR463" s="18">
        <f>7700/710</f>
        <v>10.845070422535212</v>
      </c>
      <c r="AS463" s="18">
        <f>13800/732</f>
        <v>18.852459016393443</v>
      </c>
      <c r="AT463" s="18">
        <f>27900/695</f>
        <v>40.143884892086334</v>
      </c>
      <c r="AU463" s="18">
        <f>16300/580</f>
        <v>28.103448275862068</v>
      </c>
      <c r="AV463" s="18">
        <f>900/481.6</f>
        <v>1.8687707641196012</v>
      </c>
      <c r="AW463" s="18">
        <v>0</v>
      </c>
      <c r="AX463" s="18">
        <v>0</v>
      </c>
      <c r="AY463" s="18">
        <v>0</v>
      </c>
      <c r="AZ463" s="18">
        <v>0</v>
      </c>
      <c r="BA463" s="18">
        <v>0</v>
      </c>
      <c r="BB463" s="18">
        <v>0</v>
      </c>
      <c r="BC463" s="18">
        <v>0</v>
      </c>
      <c r="BD463" s="18">
        <v>0</v>
      </c>
      <c r="BE463" s="25">
        <v>0</v>
      </c>
      <c r="BF463" s="18">
        <v>0</v>
      </c>
      <c r="BG463" s="18">
        <v>0</v>
      </c>
      <c r="BH463" s="18">
        <f>42000/627.57</f>
        <v>66.924805201013427</v>
      </c>
      <c r="BI463" s="18">
        <v>0</v>
      </c>
      <c r="BJ463" s="18">
        <f>10900/572</f>
        <v>19.055944055944057</v>
      </c>
      <c r="BK463" s="18">
        <v>0</v>
      </c>
      <c r="BL463" s="113">
        <v>0</v>
      </c>
      <c r="BM463" s="113">
        <v>0</v>
      </c>
      <c r="BN463" s="113">
        <v>0</v>
      </c>
      <c r="BO463" s="113">
        <v>0</v>
      </c>
      <c r="BP463" s="113">
        <v>0</v>
      </c>
      <c r="BQ463" s="113">
        <v>0</v>
      </c>
      <c r="BR463" s="101"/>
      <c r="BS463">
        <f t="shared" si="928"/>
        <v>0</v>
      </c>
      <c r="BT463">
        <f t="shared" si="928"/>
        <v>0</v>
      </c>
      <c r="BU463">
        <f t="shared" si="928"/>
        <v>0</v>
      </c>
      <c r="BV463">
        <f t="shared" si="928"/>
        <v>0</v>
      </c>
      <c r="BW463">
        <f t="shared" si="928"/>
        <v>0</v>
      </c>
      <c r="BX463">
        <f t="shared" si="928"/>
        <v>0</v>
      </c>
      <c r="BY463">
        <f t="shared" si="928"/>
        <v>0</v>
      </c>
      <c r="BZ463">
        <f t="shared" si="928"/>
        <v>0</v>
      </c>
      <c r="CA463">
        <f t="shared" si="928"/>
        <v>0</v>
      </c>
      <c r="CB463">
        <f t="shared" si="928"/>
        <v>0</v>
      </c>
      <c r="CC463">
        <f t="shared" si="929"/>
        <v>0</v>
      </c>
      <c r="CD463">
        <f t="shared" si="929"/>
        <v>0</v>
      </c>
      <c r="CE463">
        <f t="shared" si="929"/>
        <v>0</v>
      </c>
      <c r="CF463">
        <f t="shared" si="929"/>
        <v>0</v>
      </c>
      <c r="CG463">
        <f t="shared" si="929"/>
        <v>0</v>
      </c>
      <c r="CH463">
        <f t="shared" si="929"/>
        <v>0</v>
      </c>
      <c r="CI463">
        <f t="shared" si="929"/>
        <v>0</v>
      </c>
      <c r="CJ463">
        <f t="shared" si="929"/>
        <v>0</v>
      </c>
      <c r="CK463">
        <f t="shared" si="929"/>
        <v>0</v>
      </c>
      <c r="CL463">
        <f t="shared" si="929"/>
        <v>0</v>
      </c>
      <c r="CM463">
        <f t="shared" si="930"/>
        <v>0</v>
      </c>
      <c r="CN463">
        <f t="shared" si="930"/>
        <v>0</v>
      </c>
      <c r="CO463">
        <f t="shared" si="930"/>
        <v>0</v>
      </c>
      <c r="CP463">
        <f t="shared" si="930"/>
        <v>0</v>
      </c>
      <c r="CQ463">
        <f t="shared" si="930"/>
        <v>0</v>
      </c>
      <c r="CR463">
        <f t="shared" si="930"/>
        <v>0</v>
      </c>
      <c r="CS463">
        <f t="shared" si="930"/>
        <v>0</v>
      </c>
      <c r="CT463">
        <f t="shared" si="930"/>
        <v>0</v>
      </c>
      <c r="CU463">
        <f t="shared" si="930"/>
        <v>0</v>
      </c>
      <c r="CV463">
        <f t="shared" si="930"/>
        <v>0</v>
      </c>
      <c r="CW463">
        <f t="shared" si="931"/>
        <v>0</v>
      </c>
      <c r="CX463">
        <f t="shared" si="931"/>
        <v>0</v>
      </c>
      <c r="CY463">
        <f t="shared" si="931"/>
        <v>0</v>
      </c>
      <c r="CZ463">
        <f t="shared" si="931"/>
        <v>0</v>
      </c>
      <c r="DA463">
        <f t="shared" si="931"/>
        <v>0</v>
      </c>
      <c r="DB463">
        <f t="shared" si="931"/>
        <v>0</v>
      </c>
      <c r="DC463">
        <f t="shared" si="931"/>
        <v>0</v>
      </c>
      <c r="DD463">
        <f t="shared" si="931"/>
        <v>0</v>
      </c>
      <c r="DE463">
        <f t="shared" si="931"/>
        <v>0</v>
      </c>
      <c r="DF463">
        <f t="shared" si="931"/>
        <v>0</v>
      </c>
      <c r="DG463">
        <f t="shared" si="932"/>
        <v>0</v>
      </c>
      <c r="DH463">
        <f t="shared" si="932"/>
        <v>0</v>
      </c>
      <c r="DI463">
        <f t="shared" si="932"/>
        <v>0</v>
      </c>
      <c r="DJ463">
        <f t="shared" si="932"/>
        <v>0</v>
      </c>
      <c r="DK463">
        <f t="shared" si="932"/>
        <v>0</v>
      </c>
      <c r="DL463">
        <f t="shared" si="932"/>
        <v>0</v>
      </c>
      <c r="DM463">
        <f t="shared" si="932"/>
        <v>0</v>
      </c>
      <c r="DN463">
        <f t="shared" si="932"/>
        <v>0</v>
      </c>
      <c r="DO463">
        <f t="shared" si="932"/>
        <v>0</v>
      </c>
      <c r="DP463">
        <f t="shared" si="932"/>
        <v>0</v>
      </c>
      <c r="DQ463">
        <f t="shared" si="933"/>
        <v>0</v>
      </c>
      <c r="DR463">
        <f t="shared" si="933"/>
        <v>0</v>
      </c>
      <c r="DS463">
        <f t="shared" si="933"/>
        <v>0</v>
      </c>
      <c r="DT463">
        <f t="shared" si="933"/>
        <v>0</v>
      </c>
      <c r="DU463">
        <f t="shared" si="933"/>
        <v>0</v>
      </c>
      <c r="DV463">
        <f t="shared" si="933"/>
        <v>0</v>
      </c>
      <c r="DW463">
        <f t="shared" si="933"/>
        <v>0</v>
      </c>
      <c r="DX463">
        <f t="shared" si="933"/>
        <v>0</v>
      </c>
      <c r="DY463">
        <f t="shared" si="933"/>
        <v>0</v>
      </c>
      <c r="DZ463">
        <f t="shared" si="933"/>
        <v>0</v>
      </c>
      <c r="EA463">
        <f t="shared" ref="EA463:EF463" si="935">IF($C463&lt;&gt;"",IF(BL463&gt;0,1,0),0)</f>
        <v>0</v>
      </c>
      <c r="EB463">
        <f t="shared" si="935"/>
        <v>0</v>
      </c>
      <c r="EC463">
        <f t="shared" si="935"/>
        <v>0</v>
      </c>
      <c r="ED463">
        <f t="shared" si="935"/>
        <v>0</v>
      </c>
      <c r="EE463">
        <f t="shared" si="935"/>
        <v>0</v>
      </c>
      <c r="EF463">
        <f t="shared" si="935"/>
        <v>0</v>
      </c>
    </row>
    <row r="464" spans="1:136" ht="15.5">
      <c r="A464" s="90"/>
      <c r="B464" s="53" t="s">
        <v>18</v>
      </c>
      <c r="C464" s="94"/>
      <c r="D464" s="18">
        <v>0</v>
      </c>
      <c r="E464" s="18">
        <v>0</v>
      </c>
      <c r="F464" s="18">
        <v>0</v>
      </c>
      <c r="G464" s="18">
        <v>0</v>
      </c>
      <c r="H464" s="18">
        <v>0</v>
      </c>
      <c r="I464" s="18">
        <v>0</v>
      </c>
      <c r="J464" s="18">
        <v>0</v>
      </c>
      <c r="K464" s="18">
        <v>0</v>
      </c>
      <c r="L464" s="18">
        <v>0</v>
      </c>
      <c r="M464" s="18">
        <v>0</v>
      </c>
      <c r="N464" s="18">
        <v>0</v>
      </c>
      <c r="O464" s="18">
        <v>0</v>
      </c>
      <c r="P464" s="18">
        <v>0</v>
      </c>
      <c r="Q464" s="18">
        <v>0</v>
      </c>
      <c r="R464" s="18">
        <v>0</v>
      </c>
      <c r="S464" s="18">
        <v>0</v>
      </c>
      <c r="T464" s="18">
        <v>0</v>
      </c>
      <c r="U464" s="18">
        <v>0</v>
      </c>
      <c r="V464" s="18">
        <v>0</v>
      </c>
      <c r="W464" s="18">
        <v>0</v>
      </c>
      <c r="X464" s="18">
        <v>0</v>
      </c>
      <c r="Y464" s="18">
        <v>0</v>
      </c>
      <c r="Z464" s="18">
        <v>0</v>
      </c>
      <c r="AA464" s="18">
        <v>0</v>
      </c>
      <c r="AB464" s="18">
        <v>0</v>
      </c>
      <c r="AC464" s="18">
        <v>0</v>
      </c>
      <c r="AD464" s="18">
        <v>35.646000000000001</v>
      </c>
      <c r="AE464" s="18">
        <v>39</v>
      </c>
      <c r="AF464" s="18">
        <v>216.61199999999997</v>
      </c>
      <c r="AG464" s="18">
        <v>225.57287199999993</v>
      </c>
      <c r="AH464" s="18">
        <v>242.45344058399991</v>
      </c>
      <c r="AI464" s="18">
        <v>158</v>
      </c>
      <c r="AJ464" s="18">
        <v>160</v>
      </c>
      <c r="AK464" s="18">
        <v>161</v>
      </c>
      <c r="AL464" s="18">
        <v>187</v>
      </c>
      <c r="AM464" s="18">
        <v>0</v>
      </c>
      <c r="AN464" s="18">
        <v>0</v>
      </c>
      <c r="AO464" s="18">
        <v>26</v>
      </c>
      <c r="AP464" s="18">
        <v>26</v>
      </c>
      <c r="AQ464" s="18">
        <v>63</v>
      </c>
      <c r="AR464" s="18">
        <v>0</v>
      </c>
      <c r="AS464" s="18">
        <v>10</v>
      </c>
      <c r="AT464" s="18">
        <v>10</v>
      </c>
      <c r="AU464" s="18">
        <v>10</v>
      </c>
      <c r="AV464" s="18">
        <v>10</v>
      </c>
      <c r="AW464" s="18">
        <v>0</v>
      </c>
      <c r="AX464" s="18">
        <v>0</v>
      </c>
      <c r="AY464" s="18">
        <v>0</v>
      </c>
      <c r="AZ464" s="18">
        <v>0</v>
      </c>
      <c r="BA464" s="18">
        <v>0</v>
      </c>
      <c r="BB464" s="18">
        <v>0</v>
      </c>
      <c r="BC464" s="18">
        <v>0</v>
      </c>
      <c r="BD464" s="18">
        <v>0</v>
      </c>
      <c r="BE464" s="25">
        <v>0</v>
      </c>
      <c r="BF464" s="18">
        <v>0</v>
      </c>
      <c r="BG464" s="18">
        <v>0</v>
      </c>
      <c r="BH464" s="18">
        <v>0</v>
      </c>
      <c r="BI464" s="18">
        <v>0</v>
      </c>
      <c r="BJ464" s="113">
        <v>0</v>
      </c>
      <c r="BK464" s="113">
        <v>0</v>
      </c>
      <c r="BL464" s="113">
        <v>0</v>
      </c>
      <c r="BM464" s="113">
        <v>0</v>
      </c>
      <c r="BN464" s="113">
        <v>0</v>
      </c>
      <c r="BO464" s="113">
        <v>0</v>
      </c>
      <c r="BP464" s="113">
        <v>0</v>
      </c>
      <c r="BQ464" s="113">
        <v>0</v>
      </c>
      <c r="BR464" s="101"/>
      <c r="BS464">
        <f t="shared" si="928"/>
        <v>0</v>
      </c>
      <c r="BT464">
        <f t="shared" si="928"/>
        <v>0</v>
      </c>
      <c r="BU464">
        <f t="shared" si="928"/>
        <v>0</v>
      </c>
      <c r="BV464">
        <f t="shared" si="928"/>
        <v>0</v>
      </c>
      <c r="BW464">
        <f t="shared" si="928"/>
        <v>0</v>
      </c>
      <c r="BX464">
        <f t="shared" si="928"/>
        <v>0</v>
      </c>
      <c r="BY464">
        <f t="shared" si="928"/>
        <v>0</v>
      </c>
      <c r="BZ464">
        <f t="shared" si="928"/>
        <v>0</v>
      </c>
      <c r="CA464">
        <f t="shared" si="928"/>
        <v>0</v>
      </c>
      <c r="CB464">
        <f t="shared" si="928"/>
        <v>0</v>
      </c>
      <c r="CC464">
        <f t="shared" si="929"/>
        <v>0</v>
      </c>
      <c r="CD464">
        <f t="shared" si="929"/>
        <v>0</v>
      </c>
      <c r="CE464">
        <f t="shared" si="929"/>
        <v>0</v>
      </c>
      <c r="CF464">
        <f t="shared" si="929"/>
        <v>0</v>
      </c>
      <c r="CG464">
        <f t="shared" si="929"/>
        <v>0</v>
      </c>
      <c r="CH464">
        <f t="shared" si="929"/>
        <v>0</v>
      </c>
      <c r="CI464">
        <f t="shared" si="929"/>
        <v>0</v>
      </c>
      <c r="CJ464">
        <f t="shared" si="929"/>
        <v>0</v>
      </c>
      <c r="CK464">
        <f t="shared" si="929"/>
        <v>0</v>
      </c>
      <c r="CL464">
        <f t="shared" si="929"/>
        <v>0</v>
      </c>
      <c r="CM464">
        <f t="shared" si="930"/>
        <v>0</v>
      </c>
      <c r="CN464">
        <f t="shared" si="930"/>
        <v>0</v>
      </c>
      <c r="CO464">
        <f t="shared" si="930"/>
        <v>0</v>
      </c>
      <c r="CP464">
        <f t="shared" si="930"/>
        <v>0</v>
      </c>
      <c r="CQ464">
        <f t="shared" si="930"/>
        <v>0</v>
      </c>
      <c r="CR464">
        <f t="shared" si="930"/>
        <v>0</v>
      </c>
      <c r="CS464">
        <f t="shared" si="930"/>
        <v>0</v>
      </c>
      <c r="CT464">
        <f t="shared" si="930"/>
        <v>0</v>
      </c>
      <c r="CU464">
        <f t="shared" si="930"/>
        <v>0</v>
      </c>
      <c r="CV464">
        <f t="shared" si="930"/>
        <v>0</v>
      </c>
      <c r="CW464">
        <f t="shared" si="931"/>
        <v>0</v>
      </c>
      <c r="CX464">
        <f t="shared" si="931"/>
        <v>0</v>
      </c>
      <c r="CY464">
        <f t="shared" si="931"/>
        <v>0</v>
      </c>
      <c r="CZ464">
        <f t="shared" si="931"/>
        <v>0</v>
      </c>
      <c r="DA464">
        <f t="shared" si="931"/>
        <v>0</v>
      </c>
      <c r="DB464">
        <f t="shared" si="931"/>
        <v>0</v>
      </c>
      <c r="DC464">
        <f t="shared" si="931"/>
        <v>0</v>
      </c>
      <c r="DD464">
        <f t="shared" si="931"/>
        <v>0</v>
      </c>
      <c r="DE464">
        <f t="shared" si="931"/>
        <v>0</v>
      </c>
      <c r="DF464">
        <f t="shared" si="931"/>
        <v>0</v>
      </c>
      <c r="DG464">
        <f t="shared" si="932"/>
        <v>0</v>
      </c>
      <c r="DH464">
        <f t="shared" si="932"/>
        <v>0</v>
      </c>
      <c r="DI464">
        <f t="shared" si="932"/>
        <v>0</v>
      </c>
      <c r="DJ464">
        <f t="shared" si="932"/>
        <v>0</v>
      </c>
      <c r="DK464">
        <f t="shared" si="932"/>
        <v>0</v>
      </c>
      <c r="DL464">
        <f t="shared" si="932"/>
        <v>0</v>
      </c>
      <c r="DM464">
        <f t="shared" si="932"/>
        <v>0</v>
      </c>
      <c r="DN464">
        <f t="shared" si="932"/>
        <v>0</v>
      </c>
      <c r="DO464">
        <f t="shared" si="932"/>
        <v>0</v>
      </c>
      <c r="DP464">
        <f t="shared" si="932"/>
        <v>0</v>
      </c>
      <c r="DQ464">
        <f t="shared" si="933"/>
        <v>0</v>
      </c>
      <c r="DR464">
        <f t="shared" si="933"/>
        <v>0</v>
      </c>
      <c r="DS464">
        <f t="shared" si="933"/>
        <v>0</v>
      </c>
      <c r="DT464">
        <f t="shared" si="933"/>
        <v>0</v>
      </c>
      <c r="DU464">
        <f t="shared" si="933"/>
        <v>0</v>
      </c>
      <c r="DV464">
        <f t="shared" si="933"/>
        <v>0</v>
      </c>
      <c r="DW464">
        <f t="shared" si="933"/>
        <v>0</v>
      </c>
      <c r="DX464">
        <f t="shared" si="933"/>
        <v>0</v>
      </c>
      <c r="DY464">
        <f t="shared" si="933"/>
        <v>0</v>
      </c>
      <c r="DZ464">
        <f t="shared" si="933"/>
        <v>0</v>
      </c>
      <c r="EA464">
        <f t="shared" ref="EA464:EF464" si="936">IF($C464&lt;&gt;"",IF(BL462&gt;0,1,0),0)</f>
        <v>0</v>
      </c>
      <c r="EB464">
        <f t="shared" si="936"/>
        <v>0</v>
      </c>
      <c r="EC464">
        <f t="shared" si="936"/>
        <v>0</v>
      </c>
      <c r="ED464">
        <f t="shared" si="936"/>
        <v>0</v>
      </c>
      <c r="EE464">
        <f t="shared" si="936"/>
        <v>0</v>
      </c>
      <c r="EF464">
        <f t="shared" si="936"/>
        <v>0</v>
      </c>
    </row>
    <row r="465" spans="1:136" ht="15.5">
      <c r="A465" s="90"/>
      <c r="B465" s="19" t="s">
        <v>208</v>
      </c>
      <c r="C465" s="94"/>
      <c r="D465" s="18">
        <v>0</v>
      </c>
      <c r="E465" s="18">
        <v>0</v>
      </c>
      <c r="F465" s="18">
        <v>0</v>
      </c>
      <c r="G465" s="18">
        <v>0</v>
      </c>
      <c r="H465" s="18">
        <v>0</v>
      </c>
      <c r="I465" s="18">
        <v>0</v>
      </c>
      <c r="J465" s="18">
        <v>0</v>
      </c>
      <c r="K465" s="18">
        <v>0</v>
      </c>
      <c r="L465" s="18">
        <v>0</v>
      </c>
      <c r="M465" s="18">
        <v>0</v>
      </c>
      <c r="N465" s="18">
        <v>0</v>
      </c>
      <c r="O465" s="18">
        <v>0</v>
      </c>
      <c r="P465" s="18">
        <v>0</v>
      </c>
      <c r="Q465" s="18">
        <v>0</v>
      </c>
      <c r="R465" s="18">
        <v>0</v>
      </c>
      <c r="S465" s="18">
        <v>0.18287500000000001</v>
      </c>
      <c r="T465" s="18">
        <v>4.9148999999999998E-2</v>
      </c>
      <c r="U465" s="18">
        <v>0</v>
      </c>
      <c r="V465" s="18">
        <v>0</v>
      </c>
      <c r="W465" s="18">
        <v>0</v>
      </c>
      <c r="X465" s="18">
        <v>0</v>
      </c>
      <c r="Y465" s="18">
        <v>0</v>
      </c>
      <c r="Z465" s="18">
        <v>4.6687029999999998</v>
      </c>
      <c r="AA465" s="18">
        <v>0.10170899999999999</v>
      </c>
      <c r="AB465" s="18">
        <v>8.9712E-2</v>
      </c>
      <c r="AC465" s="18">
        <v>0.108848</v>
      </c>
      <c r="AD465" s="18">
        <v>67.881280000000004</v>
      </c>
      <c r="AE465" s="40">
        <v>0.32022499999999998</v>
      </c>
      <c r="AF465" s="18">
        <v>0.81055200000000005</v>
      </c>
      <c r="AG465" s="18">
        <v>233.3707</v>
      </c>
      <c r="AH465" s="18">
        <v>290.5745</v>
      </c>
      <c r="AI465" s="18">
        <v>286.09140000000002</v>
      </c>
      <c r="AJ465" s="18">
        <v>376.6352</v>
      </c>
      <c r="AK465" s="18">
        <v>460.76330000000002</v>
      </c>
      <c r="AL465" s="18">
        <v>520.08240000000001</v>
      </c>
      <c r="AM465" s="18">
        <v>30.21557</v>
      </c>
      <c r="AN465" s="18">
        <v>4.0667530000000003</v>
      </c>
      <c r="AO465" s="18">
        <v>0.83510600000000001</v>
      </c>
      <c r="AP465" s="18">
        <v>2.8401019999999999</v>
      </c>
      <c r="AQ465" s="18">
        <v>5.0793540000000004</v>
      </c>
      <c r="AR465" s="18">
        <v>12.7186404</v>
      </c>
      <c r="AS465" s="18">
        <v>3.3759999999999999</v>
      </c>
      <c r="AT465" s="18">
        <v>10.8977524</v>
      </c>
      <c r="AU465" s="18">
        <v>69.133483499999997</v>
      </c>
      <c r="AV465" s="18">
        <v>54.686627000000001</v>
      </c>
      <c r="AW465" s="18">
        <v>38.054545600000004</v>
      </c>
      <c r="AX465" s="18">
        <v>32.801624600000004</v>
      </c>
      <c r="AY465" s="18">
        <v>18.969262399999998</v>
      </c>
      <c r="AZ465" s="18">
        <v>3.7761110000000002</v>
      </c>
      <c r="BA465" s="18">
        <v>0.6453888000000001</v>
      </c>
      <c r="BB465" s="18">
        <v>0.62534159999999994</v>
      </c>
      <c r="BC465" s="18">
        <v>1.1919999999999999</v>
      </c>
      <c r="BD465" s="18">
        <v>1.0555200000000001E-2</v>
      </c>
      <c r="BE465" s="25">
        <v>0</v>
      </c>
      <c r="BF465" s="18">
        <v>0</v>
      </c>
      <c r="BG465" s="113">
        <v>15.0316809</v>
      </c>
      <c r="BH465" s="113">
        <v>81.125866799999997</v>
      </c>
      <c r="BI465" s="113">
        <v>83.818734600000013</v>
      </c>
      <c r="BJ465" s="113">
        <v>24.793679999999998</v>
      </c>
      <c r="BK465" s="113">
        <v>0.66280600000000001</v>
      </c>
      <c r="BL465" s="113">
        <v>12.425981</v>
      </c>
      <c r="BM465" s="113">
        <v>21.4123722</v>
      </c>
      <c r="BN465" s="113">
        <v>1.2</v>
      </c>
      <c r="BO465" s="113">
        <v>10</v>
      </c>
      <c r="BP465" s="113">
        <v>20</v>
      </c>
      <c r="BQ465" s="113">
        <v>20</v>
      </c>
      <c r="BR465" s="101"/>
      <c r="BS465">
        <f t="shared" si="928"/>
        <v>0</v>
      </c>
      <c r="BT465">
        <f t="shared" si="928"/>
        <v>0</v>
      </c>
      <c r="BU465">
        <f t="shared" si="928"/>
        <v>0</v>
      </c>
      <c r="BV465">
        <f t="shared" si="928"/>
        <v>0</v>
      </c>
      <c r="BW465">
        <f t="shared" si="928"/>
        <v>0</v>
      </c>
      <c r="BX465">
        <f t="shared" si="928"/>
        <v>0</v>
      </c>
      <c r="BY465">
        <f t="shared" si="928"/>
        <v>0</v>
      </c>
      <c r="BZ465">
        <f t="shared" si="928"/>
        <v>0</v>
      </c>
      <c r="CA465">
        <f t="shared" si="928"/>
        <v>0</v>
      </c>
      <c r="CB465">
        <f t="shared" si="928"/>
        <v>0</v>
      </c>
      <c r="CC465">
        <f t="shared" si="929"/>
        <v>0</v>
      </c>
      <c r="CD465">
        <f t="shared" si="929"/>
        <v>0</v>
      </c>
      <c r="CE465">
        <f t="shared" si="929"/>
        <v>0</v>
      </c>
      <c r="CF465">
        <f t="shared" si="929"/>
        <v>0</v>
      </c>
      <c r="CG465">
        <f t="shared" si="929"/>
        <v>0</v>
      </c>
      <c r="CH465">
        <f t="shared" si="929"/>
        <v>0</v>
      </c>
      <c r="CI465">
        <f t="shared" si="929"/>
        <v>0</v>
      </c>
      <c r="CJ465">
        <f t="shared" si="929"/>
        <v>0</v>
      </c>
      <c r="CK465">
        <f t="shared" si="929"/>
        <v>0</v>
      </c>
      <c r="CL465">
        <f t="shared" si="929"/>
        <v>0</v>
      </c>
      <c r="CM465">
        <f t="shared" si="930"/>
        <v>0</v>
      </c>
      <c r="CN465">
        <f t="shared" si="930"/>
        <v>0</v>
      </c>
      <c r="CO465">
        <f t="shared" si="930"/>
        <v>0</v>
      </c>
      <c r="CP465">
        <f t="shared" si="930"/>
        <v>0</v>
      </c>
      <c r="CQ465">
        <f t="shared" si="930"/>
        <v>0</v>
      </c>
      <c r="CR465">
        <f t="shared" si="930"/>
        <v>0</v>
      </c>
      <c r="CS465">
        <f t="shared" si="930"/>
        <v>0</v>
      </c>
      <c r="CT465">
        <f t="shared" si="930"/>
        <v>0</v>
      </c>
      <c r="CU465">
        <f t="shared" si="930"/>
        <v>0</v>
      </c>
      <c r="CV465">
        <f t="shared" si="930"/>
        <v>0</v>
      </c>
      <c r="CW465">
        <f t="shared" si="931"/>
        <v>0</v>
      </c>
      <c r="CX465">
        <f t="shared" si="931"/>
        <v>0</v>
      </c>
      <c r="CY465">
        <f t="shared" si="931"/>
        <v>0</v>
      </c>
      <c r="CZ465">
        <f t="shared" si="931"/>
        <v>0</v>
      </c>
      <c r="DA465">
        <f t="shared" si="931"/>
        <v>0</v>
      </c>
      <c r="DB465">
        <f t="shared" si="931"/>
        <v>0</v>
      </c>
      <c r="DC465">
        <f t="shared" si="931"/>
        <v>0</v>
      </c>
      <c r="DD465">
        <f t="shared" si="931"/>
        <v>0</v>
      </c>
      <c r="DE465">
        <f t="shared" si="931"/>
        <v>0</v>
      </c>
      <c r="DF465">
        <f t="shared" si="931"/>
        <v>0</v>
      </c>
      <c r="DG465">
        <f t="shared" si="932"/>
        <v>0</v>
      </c>
      <c r="DH465">
        <f t="shared" si="932"/>
        <v>0</v>
      </c>
      <c r="DI465">
        <f t="shared" si="932"/>
        <v>0</v>
      </c>
      <c r="DJ465">
        <f t="shared" si="932"/>
        <v>0</v>
      </c>
      <c r="DK465">
        <f t="shared" si="932"/>
        <v>0</v>
      </c>
      <c r="DL465">
        <f t="shared" si="932"/>
        <v>0</v>
      </c>
      <c r="DM465">
        <f t="shared" si="932"/>
        <v>0</v>
      </c>
      <c r="DN465">
        <f t="shared" si="932"/>
        <v>0</v>
      </c>
      <c r="DO465">
        <f t="shared" si="932"/>
        <v>0</v>
      </c>
      <c r="DP465">
        <f t="shared" si="932"/>
        <v>0</v>
      </c>
      <c r="DQ465">
        <f t="shared" si="933"/>
        <v>0</v>
      </c>
      <c r="DR465">
        <f t="shared" si="933"/>
        <v>0</v>
      </c>
      <c r="DS465">
        <f t="shared" si="933"/>
        <v>0</v>
      </c>
      <c r="DT465">
        <f t="shared" si="933"/>
        <v>0</v>
      </c>
      <c r="DU465">
        <f t="shared" si="933"/>
        <v>0</v>
      </c>
      <c r="DV465">
        <f t="shared" si="933"/>
        <v>0</v>
      </c>
      <c r="DW465">
        <f t="shared" si="933"/>
        <v>0</v>
      </c>
      <c r="DX465">
        <f t="shared" si="933"/>
        <v>0</v>
      </c>
      <c r="DY465">
        <f t="shared" si="933"/>
        <v>0</v>
      </c>
      <c r="DZ465">
        <f t="shared" si="933"/>
        <v>0</v>
      </c>
      <c r="EA465">
        <f>IF($C465&lt;&gt;"",IF(#REF!&gt;0,1,0),0)</f>
        <v>0</v>
      </c>
      <c r="EB465">
        <f>IF($C465&lt;&gt;"",IF(#REF!&gt;0,1,0),0)</f>
        <v>0</v>
      </c>
      <c r="EC465">
        <f>IF($C465&lt;&gt;"",IF(#REF!&gt;0,1,0),0)</f>
        <v>0</v>
      </c>
      <c r="ED465">
        <f>IF($C465&lt;&gt;"",IF(#REF!&gt;0,1,0),0)</f>
        <v>0</v>
      </c>
      <c r="EE465">
        <f>IF($C465&lt;&gt;"",IF(#REF!&gt;0,1,0),0)</f>
        <v>0</v>
      </c>
      <c r="EF465">
        <f>IF($C465&lt;&gt;"",IF(#REF!&gt;0,1,0),0)</f>
        <v>0</v>
      </c>
    </row>
    <row r="466" spans="1:136" ht="15.5">
      <c r="A466" s="90"/>
      <c r="B466" s="19" t="s">
        <v>212</v>
      </c>
      <c r="C466" s="94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>
        <v>2221.7136580007323</v>
      </c>
      <c r="AC466" s="18">
        <v>2183.8133820059652</v>
      </c>
      <c r="AD466" s="18">
        <v>3055.6437873581472</v>
      </c>
      <c r="AE466" s="71">
        <v>3445.7975643841082</v>
      </c>
      <c r="AF466" s="18">
        <v>3489.0045324827929</v>
      </c>
      <c r="AG466" s="18">
        <v>3673.3333333333335</v>
      </c>
      <c r="AH466" s="18">
        <v>4092.578125</v>
      </c>
      <c r="AI466" s="18">
        <v>4053.2818532818533</v>
      </c>
      <c r="AJ466" s="18">
        <v>3886.909090909091</v>
      </c>
      <c r="AK466" s="18">
        <v>3643.0508474576272</v>
      </c>
      <c r="AL466" s="18">
        <v>1842.2429906542056</v>
      </c>
      <c r="AM466" s="18">
        <v>1902.0408163265306</v>
      </c>
      <c r="AN466" s="18">
        <v>1575</v>
      </c>
      <c r="AO466" s="18">
        <v>928.04674457429053</v>
      </c>
      <c r="AP466" s="18">
        <v>863.16725978647685</v>
      </c>
      <c r="AQ466" s="18">
        <v>625.85365853658539</v>
      </c>
      <c r="AR466" s="18">
        <v>436.61971830985914</v>
      </c>
      <c r="AS466" s="18">
        <v>462.43169398907105</v>
      </c>
      <c r="AT466" s="147">
        <v>372.08633093525179</v>
      </c>
      <c r="AU466" s="18">
        <v>3825.1724137931033</v>
      </c>
      <c r="AV466" s="18">
        <v>4682.7422145328719</v>
      </c>
      <c r="AW466" s="18">
        <v>3827.3381294964029</v>
      </c>
      <c r="AX466" s="146">
        <v>4204.9789198956032</v>
      </c>
      <c r="AY466" s="146">
        <v>4664.0334150549352</v>
      </c>
      <c r="AZ466" s="18">
        <v>4163.636363636364</v>
      </c>
      <c r="BA466" s="18">
        <v>3825.8303902722519</v>
      </c>
      <c r="BB466" s="18">
        <v>3353.9434751555964</v>
      </c>
      <c r="BC466" s="18">
        <v>3077.8225806451615</v>
      </c>
      <c r="BD466" s="18">
        <v>3028.1690140845071</v>
      </c>
      <c r="BE466" s="18">
        <v>2776.518218623482</v>
      </c>
      <c r="BF466" s="18">
        <v>1920.2205882352941</v>
      </c>
      <c r="BG466" s="18">
        <v>1191.6274756574153</v>
      </c>
      <c r="BH466" s="18">
        <v>1017.5757286039803</v>
      </c>
      <c r="BI466" s="18">
        <v>791.51568390615284</v>
      </c>
      <c r="BJ466" s="18">
        <v>1352.4104779155637</v>
      </c>
      <c r="BK466" s="18">
        <v>1222.3168654173764</v>
      </c>
      <c r="BL466" s="113">
        <v>1396.9873663751214</v>
      </c>
      <c r="BM466" s="113">
        <v>969.53125</v>
      </c>
      <c r="BN466" s="113">
        <v>1893</v>
      </c>
      <c r="BO466" s="113">
        <v>2251</v>
      </c>
      <c r="BP466" s="113">
        <v>1267</v>
      </c>
      <c r="BQ466" s="113">
        <v>1350</v>
      </c>
      <c r="BR466" s="101"/>
      <c r="BS466">
        <f t="shared" si="928"/>
        <v>0</v>
      </c>
      <c r="BT466">
        <f t="shared" si="928"/>
        <v>0</v>
      </c>
      <c r="BU466">
        <f t="shared" si="928"/>
        <v>0</v>
      </c>
      <c r="BV466">
        <f t="shared" si="928"/>
        <v>0</v>
      </c>
      <c r="BW466">
        <f t="shared" si="928"/>
        <v>0</v>
      </c>
      <c r="BX466">
        <f t="shared" si="928"/>
        <v>0</v>
      </c>
      <c r="BY466">
        <f t="shared" si="928"/>
        <v>0</v>
      </c>
      <c r="BZ466">
        <f t="shared" si="928"/>
        <v>0</v>
      </c>
      <c r="CA466">
        <f t="shared" si="928"/>
        <v>0</v>
      </c>
      <c r="CB466">
        <f t="shared" si="928"/>
        <v>0</v>
      </c>
      <c r="CC466">
        <f t="shared" si="929"/>
        <v>0</v>
      </c>
      <c r="CD466">
        <f t="shared" si="929"/>
        <v>0</v>
      </c>
      <c r="CE466">
        <f t="shared" si="929"/>
        <v>0</v>
      </c>
      <c r="CF466">
        <f t="shared" si="929"/>
        <v>0</v>
      </c>
      <c r="CG466">
        <f t="shared" si="929"/>
        <v>0</v>
      </c>
      <c r="CH466">
        <f t="shared" si="929"/>
        <v>0</v>
      </c>
      <c r="CI466">
        <f t="shared" si="929"/>
        <v>0</v>
      </c>
      <c r="CJ466">
        <f t="shared" si="929"/>
        <v>0</v>
      </c>
      <c r="CK466">
        <f t="shared" si="929"/>
        <v>0</v>
      </c>
      <c r="CL466">
        <f t="shared" si="929"/>
        <v>0</v>
      </c>
      <c r="CM466">
        <f t="shared" si="930"/>
        <v>0</v>
      </c>
      <c r="CN466">
        <f t="shared" si="930"/>
        <v>0</v>
      </c>
      <c r="CO466">
        <f t="shared" si="930"/>
        <v>0</v>
      </c>
      <c r="CP466">
        <f t="shared" si="930"/>
        <v>0</v>
      </c>
      <c r="CQ466">
        <f t="shared" si="930"/>
        <v>0</v>
      </c>
      <c r="CR466">
        <f t="shared" si="930"/>
        <v>0</v>
      </c>
      <c r="CS466">
        <f t="shared" si="930"/>
        <v>0</v>
      </c>
      <c r="CT466">
        <f t="shared" si="930"/>
        <v>0</v>
      </c>
      <c r="CU466">
        <f t="shared" si="930"/>
        <v>0</v>
      </c>
      <c r="CV466">
        <f t="shared" si="930"/>
        <v>0</v>
      </c>
      <c r="CW466">
        <f t="shared" si="931"/>
        <v>0</v>
      </c>
      <c r="CX466">
        <f t="shared" si="931"/>
        <v>0</v>
      </c>
      <c r="CY466">
        <f t="shared" si="931"/>
        <v>0</v>
      </c>
      <c r="CZ466">
        <f t="shared" si="931"/>
        <v>0</v>
      </c>
      <c r="DA466">
        <f t="shared" si="931"/>
        <v>0</v>
      </c>
      <c r="DB466">
        <f t="shared" si="931"/>
        <v>0</v>
      </c>
      <c r="DC466">
        <f t="shared" si="931"/>
        <v>0</v>
      </c>
      <c r="DD466">
        <f t="shared" si="931"/>
        <v>0</v>
      </c>
      <c r="DE466">
        <f t="shared" si="931"/>
        <v>0</v>
      </c>
      <c r="DF466">
        <f t="shared" si="931"/>
        <v>0</v>
      </c>
      <c r="DG466">
        <f t="shared" si="932"/>
        <v>0</v>
      </c>
      <c r="DH466">
        <f t="shared" si="932"/>
        <v>0</v>
      </c>
      <c r="DI466">
        <f t="shared" si="932"/>
        <v>0</v>
      </c>
      <c r="DJ466">
        <f t="shared" si="932"/>
        <v>0</v>
      </c>
      <c r="DK466">
        <f t="shared" si="932"/>
        <v>0</v>
      </c>
      <c r="DL466">
        <f t="shared" si="932"/>
        <v>0</v>
      </c>
      <c r="DM466">
        <f t="shared" si="932"/>
        <v>0</v>
      </c>
      <c r="DN466">
        <f t="shared" si="932"/>
        <v>0</v>
      </c>
      <c r="DO466">
        <f t="shared" si="932"/>
        <v>0</v>
      </c>
      <c r="DP466">
        <f t="shared" si="932"/>
        <v>0</v>
      </c>
      <c r="DQ466">
        <f t="shared" si="933"/>
        <v>0</v>
      </c>
      <c r="DR466">
        <f t="shared" si="933"/>
        <v>0</v>
      </c>
      <c r="DS466">
        <f t="shared" si="933"/>
        <v>0</v>
      </c>
      <c r="DT466">
        <f t="shared" si="933"/>
        <v>0</v>
      </c>
      <c r="DU466">
        <f t="shared" si="933"/>
        <v>0</v>
      </c>
      <c r="DV466">
        <f t="shared" si="933"/>
        <v>0</v>
      </c>
      <c r="DW466">
        <f t="shared" si="933"/>
        <v>0</v>
      </c>
      <c r="DX466">
        <f t="shared" si="933"/>
        <v>0</v>
      </c>
      <c r="DY466">
        <f t="shared" si="933"/>
        <v>0</v>
      </c>
      <c r="DZ466">
        <f t="shared" si="933"/>
        <v>0</v>
      </c>
      <c r="EA466">
        <f t="shared" ref="EA466:EF466" si="937">IF($C466&lt;&gt;"",IF(BL466&gt;0,1,0),0)</f>
        <v>0</v>
      </c>
      <c r="EB466">
        <f t="shared" si="937"/>
        <v>0</v>
      </c>
      <c r="EC466">
        <f t="shared" si="937"/>
        <v>0</v>
      </c>
      <c r="ED466">
        <f t="shared" si="937"/>
        <v>0</v>
      </c>
      <c r="EE466">
        <f t="shared" si="937"/>
        <v>0</v>
      </c>
      <c r="EF466">
        <f t="shared" si="937"/>
        <v>0</v>
      </c>
    </row>
    <row r="467" spans="1:136" ht="15.5">
      <c r="A467" s="90"/>
      <c r="B467" s="53"/>
      <c r="C467" s="94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113"/>
      <c r="AR467" s="113"/>
      <c r="AS467" s="113"/>
      <c r="AT467" s="113"/>
      <c r="AU467" s="113"/>
      <c r="AV467" s="113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39"/>
      <c r="BM467" s="2"/>
      <c r="BN467" s="2"/>
      <c r="BO467" s="2"/>
      <c r="BP467" s="2"/>
      <c r="BQ467" s="2"/>
      <c r="BR467" s="101"/>
    </row>
    <row r="468" spans="1:136" ht="15.5">
      <c r="A468" s="93">
        <v>55</v>
      </c>
      <c r="B468" s="32" t="s">
        <v>229</v>
      </c>
      <c r="C468" s="94">
        <v>3</v>
      </c>
      <c r="D468" s="18"/>
      <c r="E468" s="39"/>
      <c r="F468" s="39"/>
      <c r="G468" s="39"/>
      <c r="H468" s="39"/>
      <c r="I468" s="39">
        <f t="shared" ref="I468:AN468" si="938">SUM(I469:I475)</f>
        <v>0</v>
      </c>
      <c r="J468" s="39">
        <f t="shared" si="938"/>
        <v>0</v>
      </c>
      <c r="K468" s="39">
        <f t="shared" si="938"/>
        <v>0</v>
      </c>
      <c r="L468" s="39">
        <f t="shared" si="938"/>
        <v>0</v>
      </c>
      <c r="M468" s="39">
        <f t="shared" si="938"/>
        <v>0</v>
      </c>
      <c r="N468" s="39">
        <f t="shared" si="938"/>
        <v>0</v>
      </c>
      <c r="O468" s="39">
        <f t="shared" si="938"/>
        <v>0</v>
      </c>
      <c r="P468" s="39">
        <f t="shared" si="938"/>
        <v>0</v>
      </c>
      <c r="Q468" s="39">
        <f t="shared" si="938"/>
        <v>0</v>
      </c>
      <c r="R468" s="39">
        <f t="shared" si="938"/>
        <v>0</v>
      </c>
      <c r="S468" s="39">
        <f t="shared" si="938"/>
        <v>0</v>
      </c>
      <c r="T468" s="39">
        <f t="shared" si="938"/>
        <v>0</v>
      </c>
      <c r="U468" s="39">
        <f t="shared" si="938"/>
        <v>1.5202E-2</v>
      </c>
      <c r="V468" s="39">
        <f t="shared" si="938"/>
        <v>3.7746000000000002E-2</v>
      </c>
      <c r="W468" s="39">
        <f t="shared" si="938"/>
        <v>0</v>
      </c>
      <c r="X468" s="39">
        <f t="shared" si="938"/>
        <v>0.29392099999999999</v>
      </c>
      <c r="Y468" s="39">
        <f t="shared" si="938"/>
        <v>0.57428600000000007</v>
      </c>
      <c r="Z468" s="39">
        <f t="shared" si="938"/>
        <v>2.4249109999999998</v>
      </c>
      <c r="AA468" s="39">
        <f t="shared" si="938"/>
        <v>4.9468829999999997</v>
      </c>
      <c r="AB468" s="39">
        <f t="shared" si="938"/>
        <v>11.380641999999998</v>
      </c>
      <c r="AC468" s="39">
        <f t="shared" si="938"/>
        <v>56.860374025705241</v>
      </c>
      <c r="AD468" s="39">
        <f t="shared" si="938"/>
        <v>49.601820200738132</v>
      </c>
      <c r="AE468" s="39">
        <f t="shared" si="938"/>
        <v>11.626441</v>
      </c>
      <c r="AF468" s="39">
        <f t="shared" si="938"/>
        <v>28.834692999999998</v>
      </c>
      <c r="AG468" s="39">
        <f t="shared" si="938"/>
        <v>11.362513</v>
      </c>
      <c r="AH468" s="39">
        <f t="shared" si="938"/>
        <v>2.4897143000000002</v>
      </c>
      <c r="AI468" s="39">
        <f t="shared" si="938"/>
        <v>4.0887304000000002</v>
      </c>
      <c r="AJ468" s="39">
        <f t="shared" si="938"/>
        <v>2.1982300000000001</v>
      </c>
      <c r="AK468" s="39">
        <f t="shared" si="938"/>
        <v>4.4644909999999998</v>
      </c>
      <c r="AL468" s="39">
        <f t="shared" si="938"/>
        <v>6.3970589999999996</v>
      </c>
      <c r="AM468" s="39">
        <f t="shared" si="938"/>
        <v>2.8854920000000002</v>
      </c>
      <c r="AN468" s="39">
        <f t="shared" si="938"/>
        <v>2.0451619999999999</v>
      </c>
      <c r="AO468" s="39">
        <f t="shared" ref="AO468:BO468" si="939">SUM(AO469:AO475)</f>
        <v>1.1485080000000001</v>
      </c>
      <c r="AP468" s="39">
        <f t="shared" si="939"/>
        <v>0.87192099999999995</v>
      </c>
      <c r="AQ468" s="39">
        <f t="shared" si="939"/>
        <v>1.4290240000000001</v>
      </c>
      <c r="AR468" s="39">
        <f t="shared" si="939"/>
        <v>3.292316</v>
      </c>
      <c r="AS468" s="39">
        <f t="shared" si="939"/>
        <v>6.5579586000000001</v>
      </c>
      <c r="AT468" s="39">
        <f t="shared" si="939"/>
        <v>11.033095299999999</v>
      </c>
      <c r="AU468" s="39">
        <f t="shared" si="939"/>
        <v>17.812746300000001</v>
      </c>
      <c r="AV468" s="39">
        <f t="shared" si="939"/>
        <v>19.544358899999999</v>
      </c>
      <c r="AW468" s="39">
        <f t="shared" si="939"/>
        <v>29.746571199999998</v>
      </c>
      <c r="AX468" s="39">
        <f t="shared" si="939"/>
        <v>33.185082899999998</v>
      </c>
      <c r="AY468" s="39">
        <f t="shared" si="939"/>
        <v>45.149500799999998</v>
      </c>
      <c r="AZ468" s="39">
        <f t="shared" si="939"/>
        <v>267.22710130000002</v>
      </c>
      <c r="BA468" s="39">
        <f t="shared" si="939"/>
        <v>31.181761299999998</v>
      </c>
      <c r="BB468" s="39">
        <f t="shared" si="939"/>
        <v>45.263732100000006</v>
      </c>
      <c r="BC468" s="39">
        <f t="shared" si="939"/>
        <v>27.4663951</v>
      </c>
      <c r="BD468" s="39">
        <f t="shared" si="939"/>
        <v>34.503419399999999</v>
      </c>
      <c r="BE468" s="39">
        <f t="shared" si="939"/>
        <v>21.460649700000001</v>
      </c>
      <c r="BF468" s="39">
        <f t="shared" si="939"/>
        <v>16.2412299</v>
      </c>
      <c r="BG468" s="39">
        <f t="shared" si="939"/>
        <v>13.969088299999999</v>
      </c>
      <c r="BH468" s="39">
        <f t="shared" si="939"/>
        <v>1.5033466000000002</v>
      </c>
      <c r="BI468" s="39">
        <f t="shared" si="939"/>
        <v>47.928082400000001</v>
      </c>
      <c r="BJ468" s="39">
        <f t="shared" si="939"/>
        <v>9.6701420999999996</v>
      </c>
      <c r="BK468" s="39">
        <f t="shared" si="939"/>
        <v>6.4796469999999999</v>
      </c>
      <c r="BL468" s="39">
        <f t="shared" si="939"/>
        <v>20.894071199999999</v>
      </c>
      <c r="BM468" s="39">
        <f t="shared" si="939"/>
        <v>21.886309499999999</v>
      </c>
      <c r="BN468" s="39">
        <f t="shared" si="939"/>
        <v>22.4345988</v>
      </c>
      <c r="BO468" s="39">
        <f t="shared" si="939"/>
        <v>36</v>
      </c>
      <c r="BP468" s="4">
        <v>35</v>
      </c>
      <c r="BQ468" s="4">
        <v>35</v>
      </c>
      <c r="BR468" s="101"/>
      <c r="BS468">
        <f t="shared" ref="BS468:CX468" si="940">IF($C468&lt;&gt;"",IF(D468&gt;0,1,0),0)</f>
        <v>0</v>
      </c>
      <c r="BT468">
        <f t="shared" si="940"/>
        <v>0</v>
      </c>
      <c r="BU468">
        <f t="shared" si="940"/>
        <v>0</v>
      </c>
      <c r="BV468">
        <f t="shared" si="940"/>
        <v>0</v>
      </c>
      <c r="BW468">
        <f t="shared" si="940"/>
        <v>0</v>
      </c>
      <c r="BX468">
        <f t="shared" si="940"/>
        <v>0</v>
      </c>
      <c r="BY468">
        <f t="shared" si="940"/>
        <v>0</v>
      </c>
      <c r="BZ468">
        <f t="shared" si="940"/>
        <v>0</v>
      </c>
      <c r="CA468">
        <f t="shared" si="940"/>
        <v>0</v>
      </c>
      <c r="CB468">
        <f t="shared" si="940"/>
        <v>0</v>
      </c>
      <c r="CC468">
        <f t="shared" si="940"/>
        <v>0</v>
      </c>
      <c r="CD468">
        <f t="shared" si="940"/>
        <v>0</v>
      </c>
      <c r="CE468">
        <f t="shared" si="940"/>
        <v>0</v>
      </c>
      <c r="CF468">
        <f t="shared" si="940"/>
        <v>0</v>
      </c>
      <c r="CG468">
        <f t="shared" si="940"/>
        <v>0</v>
      </c>
      <c r="CH468">
        <f t="shared" si="940"/>
        <v>0</v>
      </c>
      <c r="CI468">
        <f t="shared" si="940"/>
        <v>0</v>
      </c>
      <c r="CJ468">
        <f t="shared" si="940"/>
        <v>1</v>
      </c>
      <c r="CK468">
        <f t="shared" si="940"/>
        <v>1</v>
      </c>
      <c r="CL468">
        <f t="shared" si="940"/>
        <v>0</v>
      </c>
      <c r="CM468">
        <f t="shared" si="940"/>
        <v>1</v>
      </c>
      <c r="CN468">
        <f t="shared" si="940"/>
        <v>1</v>
      </c>
      <c r="CO468">
        <f t="shared" si="940"/>
        <v>1</v>
      </c>
      <c r="CP468">
        <f t="shared" si="940"/>
        <v>1</v>
      </c>
      <c r="CQ468">
        <f t="shared" si="940"/>
        <v>1</v>
      </c>
      <c r="CR468">
        <f t="shared" si="940"/>
        <v>1</v>
      </c>
      <c r="CS468">
        <f t="shared" si="940"/>
        <v>1</v>
      </c>
      <c r="CT468">
        <f t="shared" si="940"/>
        <v>1</v>
      </c>
      <c r="CU468">
        <f t="shared" si="940"/>
        <v>1</v>
      </c>
      <c r="CV468">
        <f t="shared" si="940"/>
        <v>1</v>
      </c>
      <c r="CW468">
        <f t="shared" si="940"/>
        <v>1</v>
      </c>
      <c r="CX468">
        <f t="shared" si="940"/>
        <v>1</v>
      </c>
      <c r="CY468">
        <f t="shared" ref="CY468:ED468" si="941">IF($C468&lt;&gt;"",IF(AJ468&gt;0,1,0),0)</f>
        <v>1</v>
      </c>
      <c r="CZ468">
        <f t="shared" si="941"/>
        <v>1</v>
      </c>
      <c r="DA468">
        <f t="shared" si="941"/>
        <v>1</v>
      </c>
      <c r="DB468">
        <f t="shared" si="941"/>
        <v>1</v>
      </c>
      <c r="DC468">
        <f t="shared" si="941"/>
        <v>1</v>
      </c>
      <c r="DD468">
        <f t="shared" si="941"/>
        <v>1</v>
      </c>
      <c r="DE468">
        <f t="shared" si="941"/>
        <v>1</v>
      </c>
      <c r="DF468">
        <f t="shared" si="941"/>
        <v>1</v>
      </c>
      <c r="DG468">
        <f t="shared" si="941"/>
        <v>1</v>
      </c>
      <c r="DH468">
        <f t="shared" si="941"/>
        <v>1</v>
      </c>
      <c r="DI468">
        <f t="shared" si="941"/>
        <v>1</v>
      </c>
      <c r="DJ468">
        <f t="shared" si="941"/>
        <v>1</v>
      </c>
      <c r="DK468">
        <f t="shared" si="941"/>
        <v>1</v>
      </c>
      <c r="DL468">
        <f t="shared" si="941"/>
        <v>1</v>
      </c>
      <c r="DM468">
        <f t="shared" si="941"/>
        <v>1</v>
      </c>
      <c r="DN468">
        <f t="shared" si="941"/>
        <v>1</v>
      </c>
      <c r="DO468">
        <f t="shared" si="941"/>
        <v>1</v>
      </c>
      <c r="DP468">
        <f t="shared" si="941"/>
        <v>1</v>
      </c>
      <c r="DQ468">
        <f t="shared" si="941"/>
        <v>1</v>
      </c>
      <c r="DR468">
        <f t="shared" si="941"/>
        <v>1</v>
      </c>
      <c r="DS468">
        <f t="shared" si="941"/>
        <v>1</v>
      </c>
      <c r="DT468">
        <f t="shared" si="941"/>
        <v>1</v>
      </c>
      <c r="DU468">
        <f t="shared" si="941"/>
        <v>1</v>
      </c>
      <c r="DV468">
        <f t="shared" si="941"/>
        <v>1</v>
      </c>
      <c r="DW468">
        <f t="shared" si="941"/>
        <v>1</v>
      </c>
      <c r="DX468">
        <f t="shared" si="941"/>
        <v>1</v>
      </c>
      <c r="DY468">
        <f t="shared" si="941"/>
        <v>1</v>
      </c>
      <c r="DZ468">
        <f t="shared" si="941"/>
        <v>1</v>
      </c>
      <c r="EA468">
        <f t="shared" si="941"/>
        <v>1</v>
      </c>
      <c r="EB468">
        <f t="shared" si="941"/>
        <v>1</v>
      </c>
      <c r="EC468">
        <f t="shared" si="941"/>
        <v>1</v>
      </c>
      <c r="ED468">
        <f t="shared" si="941"/>
        <v>1</v>
      </c>
      <c r="EE468">
        <f t="shared" ref="EE468:EF468" si="942">IF($C468&lt;&gt;"",IF(BP468&gt;0,1,0),0)</f>
        <v>1</v>
      </c>
      <c r="EF468">
        <f t="shared" si="942"/>
        <v>1</v>
      </c>
    </row>
    <row r="469" spans="1:136" ht="15.5">
      <c r="A469" s="90"/>
      <c r="B469" s="24" t="s">
        <v>15</v>
      </c>
      <c r="C469" s="94"/>
      <c r="D469" s="18"/>
      <c r="E469" s="18"/>
      <c r="F469" s="18"/>
      <c r="G469" s="18"/>
      <c r="H469" s="18"/>
      <c r="I469" s="18">
        <v>0</v>
      </c>
      <c r="J469" s="18">
        <v>0</v>
      </c>
      <c r="K469" s="18">
        <v>0</v>
      </c>
      <c r="L469" s="18">
        <v>0</v>
      </c>
      <c r="M469" s="18">
        <v>0</v>
      </c>
      <c r="N469" s="18">
        <v>0</v>
      </c>
      <c r="O469" s="18">
        <v>0</v>
      </c>
      <c r="P469" s="18">
        <v>0</v>
      </c>
      <c r="Q469" s="18">
        <v>0</v>
      </c>
      <c r="R469" s="18">
        <v>0</v>
      </c>
      <c r="S469" s="18">
        <v>0</v>
      </c>
      <c r="T469" s="18">
        <v>0</v>
      </c>
      <c r="U469" s="18">
        <v>0</v>
      </c>
      <c r="V469" s="18">
        <v>0</v>
      </c>
      <c r="W469" s="18">
        <v>0</v>
      </c>
      <c r="X469" s="18">
        <v>0</v>
      </c>
      <c r="Y469" s="18">
        <v>0</v>
      </c>
      <c r="Z469" s="18">
        <v>1</v>
      </c>
      <c r="AA469" s="18">
        <v>0</v>
      </c>
      <c r="AB469" s="18">
        <v>0</v>
      </c>
      <c r="AC469" s="18">
        <v>37.298856025705234</v>
      </c>
      <c r="AD469" s="18">
        <v>45.101820200738132</v>
      </c>
      <c r="AE469" s="18">
        <v>0</v>
      </c>
      <c r="AF469" s="18">
        <v>0</v>
      </c>
      <c r="AG469" s="18">
        <v>0</v>
      </c>
      <c r="AH469" s="18">
        <v>0</v>
      </c>
      <c r="AI469" s="18">
        <v>0</v>
      </c>
      <c r="AJ469" s="18">
        <v>0</v>
      </c>
      <c r="AK469" s="18">
        <v>0</v>
      </c>
      <c r="AL469" s="18">
        <v>0</v>
      </c>
      <c r="AM469" s="18">
        <v>0</v>
      </c>
      <c r="AN469" s="18">
        <v>0</v>
      </c>
      <c r="AO469" s="18">
        <v>0</v>
      </c>
      <c r="AP469" s="18">
        <v>0</v>
      </c>
      <c r="AQ469" s="18">
        <v>0</v>
      </c>
      <c r="AR469" s="18">
        <v>0</v>
      </c>
      <c r="AS469" s="18">
        <v>0</v>
      </c>
      <c r="AT469" s="18">
        <v>0</v>
      </c>
      <c r="AU469" s="18">
        <v>0</v>
      </c>
      <c r="AV469" s="18">
        <v>0</v>
      </c>
      <c r="AW469" s="18">
        <v>0</v>
      </c>
      <c r="AX469" s="18">
        <v>0</v>
      </c>
      <c r="AY469" s="18">
        <v>0</v>
      </c>
      <c r="AZ469" s="18">
        <v>0</v>
      </c>
      <c r="BA469" s="18">
        <v>0</v>
      </c>
      <c r="BB469" s="18">
        <v>0</v>
      </c>
      <c r="BC469" s="18">
        <v>0</v>
      </c>
      <c r="BD469" s="18">
        <v>0</v>
      </c>
      <c r="BE469" s="25">
        <v>0</v>
      </c>
      <c r="BF469" s="18">
        <v>0</v>
      </c>
      <c r="BG469" s="18">
        <v>0</v>
      </c>
      <c r="BH469" s="18">
        <v>0</v>
      </c>
      <c r="BI469" s="18">
        <v>0</v>
      </c>
      <c r="BJ469" s="113">
        <v>0</v>
      </c>
      <c r="BK469" s="113">
        <v>0</v>
      </c>
      <c r="BL469" s="113">
        <v>0</v>
      </c>
      <c r="BM469" s="113">
        <v>0</v>
      </c>
      <c r="BN469" s="113">
        <v>0</v>
      </c>
      <c r="BO469" s="113">
        <v>0</v>
      </c>
      <c r="BP469" s="113">
        <v>0</v>
      </c>
      <c r="BQ469" s="113">
        <v>0</v>
      </c>
      <c r="BR469" s="101"/>
      <c r="BS469">
        <f t="shared" ref="BS469:CB470" si="943">IF($C469&lt;&gt;"",IF(D469&gt;0,1,0),0)</f>
        <v>0</v>
      </c>
      <c r="BT469">
        <f t="shared" si="943"/>
        <v>0</v>
      </c>
      <c r="BU469">
        <f t="shared" si="943"/>
        <v>0</v>
      </c>
      <c r="BV469">
        <f t="shared" si="943"/>
        <v>0</v>
      </c>
      <c r="BW469">
        <f t="shared" si="943"/>
        <v>0</v>
      </c>
      <c r="BX469">
        <f t="shared" si="943"/>
        <v>0</v>
      </c>
      <c r="BY469">
        <f t="shared" si="943"/>
        <v>0</v>
      </c>
      <c r="BZ469">
        <f t="shared" si="943"/>
        <v>0</v>
      </c>
      <c r="CA469">
        <f t="shared" si="943"/>
        <v>0</v>
      </c>
      <c r="CB469">
        <f t="shared" si="943"/>
        <v>0</v>
      </c>
      <c r="CC469">
        <f t="shared" ref="CC469:CL470" si="944">IF($C469&lt;&gt;"",IF(N469&gt;0,1,0),0)</f>
        <v>0</v>
      </c>
      <c r="CD469">
        <f t="shared" si="944"/>
        <v>0</v>
      </c>
      <c r="CE469">
        <f t="shared" si="944"/>
        <v>0</v>
      </c>
      <c r="CF469">
        <f t="shared" si="944"/>
        <v>0</v>
      </c>
      <c r="CG469">
        <f t="shared" si="944"/>
        <v>0</v>
      </c>
      <c r="CH469">
        <f t="shared" si="944"/>
        <v>0</v>
      </c>
      <c r="CI469">
        <f t="shared" si="944"/>
        <v>0</v>
      </c>
      <c r="CJ469">
        <f t="shared" si="944"/>
        <v>0</v>
      </c>
      <c r="CK469">
        <f t="shared" si="944"/>
        <v>0</v>
      </c>
      <c r="CL469">
        <f t="shared" si="944"/>
        <v>0</v>
      </c>
      <c r="CM469">
        <f t="shared" ref="CM469:CV470" si="945">IF($C469&lt;&gt;"",IF(X469&gt;0,1,0),0)</f>
        <v>0</v>
      </c>
      <c r="CN469">
        <f t="shared" si="945"/>
        <v>0</v>
      </c>
      <c r="CO469">
        <f t="shared" si="945"/>
        <v>0</v>
      </c>
      <c r="CP469">
        <f t="shared" si="945"/>
        <v>0</v>
      </c>
      <c r="CQ469">
        <f t="shared" si="945"/>
        <v>0</v>
      </c>
      <c r="CR469">
        <f t="shared" si="945"/>
        <v>0</v>
      </c>
      <c r="CS469">
        <f t="shared" si="945"/>
        <v>0</v>
      </c>
      <c r="CT469">
        <f t="shared" si="945"/>
        <v>0</v>
      </c>
      <c r="CU469">
        <f t="shared" si="945"/>
        <v>0</v>
      </c>
      <c r="CV469">
        <f t="shared" si="945"/>
        <v>0</v>
      </c>
      <c r="CW469">
        <f t="shared" ref="CW469:DF470" si="946">IF($C469&lt;&gt;"",IF(AH469&gt;0,1,0),0)</f>
        <v>0</v>
      </c>
      <c r="CX469">
        <f t="shared" si="946"/>
        <v>0</v>
      </c>
      <c r="CY469">
        <f t="shared" si="946"/>
        <v>0</v>
      </c>
      <c r="CZ469">
        <f t="shared" si="946"/>
        <v>0</v>
      </c>
      <c r="DA469">
        <f t="shared" si="946"/>
        <v>0</v>
      </c>
      <c r="DB469">
        <f t="shared" si="946"/>
        <v>0</v>
      </c>
      <c r="DC469">
        <f t="shared" si="946"/>
        <v>0</v>
      </c>
      <c r="DD469">
        <f t="shared" si="946"/>
        <v>0</v>
      </c>
      <c r="DE469">
        <f t="shared" si="946"/>
        <v>0</v>
      </c>
      <c r="DF469">
        <f t="shared" si="946"/>
        <v>0</v>
      </c>
      <c r="DG469">
        <f t="shared" ref="DG469:DP470" si="947">IF($C469&lt;&gt;"",IF(AR469&gt;0,1,0),0)</f>
        <v>0</v>
      </c>
      <c r="DH469">
        <f t="shared" si="947"/>
        <v>0</v>
      </c>
      <c r="DI469">
        <f t="shared" si="947"/>
        <v>0</v>
      </c>
      <c r="DJ469">
        <f t="shared" si="947"/>
        <v>0</v>
      </c>
      <c r="DK469">
        <f t="shared" si="947"/>
        <v>0</v>
      </c>
      <c r="DL469">
        <f t="shared" si="947"/>
        <v>0</v>
      </c>
      <c r="DM469">
        <f t="shared" si="947"/>
        <v>0</v>
      </c>
      <c r="DN469">
        <f t="shared" si="947"/>
        <v>0</v>
      </c>
      <c r="DO469">
        <f t="shared" si="947"/>
        <v>0</v>
      </c>
      <c r="DP469">
        <f t="shared" si="947"/>
        <v>0</v>
      </c>
      <c r="DQ469">
        <f t="shared" ref="DQ469:DZ470" si="948">IF($C469&lt;&gt;"",IF(BB469&gt;0,1,0),0)</f>
        <v>0</v>
      </c>
      <c r="DR469">
        <f t="shared" si="948"/>
        <v>0</v>
      </c>
      <c r="DS469">
        <f t="shared" si="948"/>
        <v>0</v>
      </c>
      <c r="DT469">
        <f t="shared" si="948"/>
        <v>0</v>
      </c>
      <c r="DU469">
        <f t="shared" si="948"/>
        <v>0</v>
      </c>
      <c r="DV469">
        <f t="shared" si="948"/>
        <v>0</v>
      </c>
      <c r="DW469">
        <f t="shared" si="948"/>
        <v>0</v>
      </c>
      <c r="DX469">
        <f t="shared" si="948"/>
        <v>0</v>
      </c>
      <c r="DY469">
        <f t="shared" si="948"/>
        <v>0</v>
      </c>
      <c r="DZ469">
        <f t="shared" si="948"/>
        <v>0</v>
      </c>
      <c r="EA469">
        <f t="shared" ref="EA469:EF470" si="949">IF($C469&lt;&gt;"",IF(BL468&gt;0,1,0),0)</f>
        <v>0</v>
      </c>
      <c r="EB469">
        <f t="shared" si="949"/>
        <v>0</v>
      </c>
      <c r="EC469">
        <f t="shared" si="949"/>
        <v>0</v>
      </c>
      <c r="ED469">
        <f t="shared" si="949"/>
        <v>0</v>
      </c>
      <c r="EE469">
        <f t="shared" si="949"/>
        <v>0</v>
      </c>
      <c r="EF469">
        <f t="shared" si="949"/>
        <v>0</v>
      </c>
    </row>
    <row r="470" spans="1:136" ht="15.5">
      <c r="A470" s="90"/>
      <c r="B470" s="19" t="s">
        <v>2</v>
      </c>
      <c r="C470" s="94"/>
      <c r="D470" s="18"/>
      <c r="E470" s="18"/>
      <c r="F470" s="18"/>
      <c r="G470" s="18"/>
      <c r="H470" s="18"/>
      <c r="I470" s="18">
        <v>0</v>
      </c>
      <c r="J470" s="18">
        <v>0</v>
      </c>
      <c r="K470" s="18">
        <v>0</v>
      </c>
      <c r="L470" s="18">
        <v>0</v>
      </c>
      <c r="M470" s="18">
        <v>0</v>
      </c>
      <c r="N470" s="18">
        <v>0</v>
      </c>
      <c r="O470" s="18">
        <v>0</v>
      </c>
      <c r="P470" s="18">
        <v>0</v>
      </c>
      <c r="Q470" s="18">
        <v>0</v>
      </c>
      <c r="R470" s="18">
        <v>0</v>
      </c>
      <c r="S470" s="18">
        <v>0</v>
      </c>
      <c r="T470" s="18">
        <v>0</v>
      </c>
      <c r="U470" s="18">
        <v>0</v>
      </c>
      <c r="V470" s="18">
        <v>0</v>
      </c>
      <c r="W470" s="18">
        <v>0</v>
      </c>
      <c r="X470" s="18">
        <v>0</v>
      </c>
      <c r="Y470" s="18">
        <v>0</v>
      </c>
      <c r="Z470" s="18">
        <v>0</v>
      </c>
      <c r="AA470" s="18">
        <v>0</v>
      </c>
      <c r="AB470" s="18">
        <v>0</v>
      </c>
      <c r="AC470" s="18">
        <v>0</v>
      </c>
      <c r="AD470" s="18">
        <v>0</v>
      </c>
      <c r="AE470" s="18">
        <v>0</v>
      </c>
      <c r="AF470" s="18">
        <v>0</v>
      </c>
      <c r="AG470" s="18">
        <v>0</v>
      </c>
      <c r="AH470" s="18">
        <v>1.0080233000000001</v>
      </c>
      <c r="AI470" s="18">
        <v>1.9373593999999998</v>
      </c>
      <c r="AJ470" s="18">
        <v>0</v>
      </c>
      <c r="AK470" s="18">
        <v>0</v>
      </c>
      <c r="AL470" s="18">
        <v>0</v>
      </c>
      <c r="AM470" s="18">
        <v>0</v>
      </c>
      <c r="AN470" s="18">
        <v>0</v>
      </c>
      <c r="AO470" s="18">
        <v>0</v>
      </c>
      <c r="AP470" s="18">
        <v>0</v>
      </c>
      <c r="AQ470" s="18">
        <v>0</v>
      </c>
      <c r="AR470" s="18">
        <v>1.3443160000000001</v>
      </c>
      <c r="AS470" s="18">
        <v>2.6888603999999998</v>
      </c>
      <c r="AT470" s="18">
        <v>4.0330952999999994</v>
      </c>
      <c r="AU470" s="18">
        <v>4.3359068000000001</v>
      </c>
      <c r="AV470" s="18">
        <v>5.4481155000000001</v>
      </c>
      <c r="AW470" s="18">
        <v>8.2847545</v>
      </c>
      <c r="AX470" s="18">
        <v>10.3161857</v>
      </c>
      <c r="AY470" s="18">
        <v>15.118281699999999</v>
      </c>
      <c r="AZ470" s="18">
        <v>19.063734499999999</v>
      </c>
      <c r="BA470" s="18">
        <v>7.2193257000000006</v>
      </c>
      <c r="BB470" s="18">
        <v>7.4431139999999996</v>
      </c>
      <c r="BC470" s="18">
        <v>7.8234855000000003</v>
      </c>
      <c r="BD470" s="18">
        <v>9.5626814000000007</v>
      </c>
      <c r="BE470" s="18">
        <v>0</v>
      </c>
      <c r="BF470" s="18">
        <v>0</v>
      </c>
      <c r="BG470" s="18">
        <v>6.6611902000000001</v>
      </c>
      <c r="BH470" s="18">
        <v>0</v>
      </c>
      <c r="BI470" s="18">
        <v>2.4571999999999997E-3</v>
      </c>
      <c r="BJ470" s="113">
        <v>0.66377120000000001</v>
      </c>
      <c r="BK470" s="113">
        <v>0</v>
      </c>
      <c r="BL470" s="113">
        <v>0</v>
      </c>
      <c r="BM470" s="113">
        <v>0</v>
      </c>
      <c r="BN470" s="113">
        <v>0</v>
      </c>
      <c r="BO470" s="113">
        <v>0</v>
      </c>
      <c r="BP470" s="113">
        <v>0</v>
      </c>
      <c r="BQ470" s="113">
        <v>0</v>
      </c>
      <c r="BR470" s="101"/>
      <c r="BS470">
        <f t="shared" si="943"/>
        <v>0</v>
      </c>
      <c r="BT470">
        <f t="shared" si="943"/>
        <v>0</v>
      </c>
      <c r="BU470">
        <f t="shared" si="943"/>
        <v>0</v>
      </c>
      <c r="BV470">
        <f t="shared" si="943"/>
        <v>0</v>
      </c>
      <c r="BW470">
        <f t="shared" si="943"/>
        <v>0</v>
      </c>
      <c r="BX470">
        <f t="shared" si="943"/>
        <v>0</v>
      </c>
      <c r="BY470">
        <f t="shared" si="943"/>
        <v>0</v>
      </c>
      <c r="BZ470">
        <f t="shared" si="943"/>
        <v>0</v>
      </c>
      <c r="CA470">
        <f t="shared" si="943"/>
        <v>0</v>
      </c>
      <c r="CB470">
        <f t="shared" si="943"/>
        <v>0</v>
      </c>
      <c r="CC470">
        <f t="shared" si="944"/>
        <v>0</v>
      </c>
      <c r="CD470">
        <f t="shared" si="944"/>
        <v>0</v>
      </c>
      <c r="CE470">
        <f t="shared" si="944"/>
        <v>0</v>
      </c>
      <c r="CF470">
        <f t="shared" si="944"/>
        <v>0</v>
      </c>
      <c r="CG470">
        <f t="shared" si="944"/>
        <v>0</v>
      </c>
      <c r="CH470">
        <f t="shared" si="944"/>
        <v>0</v>
      </c>
      <c r="CI470">
        <f t="shared" si="944"/>
        <v>0</v>
      </c>
      <c r="CJ470">
        <f t="shared" si="944"/>
        <v>0</v>
      </c>
      <c r="CK470">
        <f t="shared" si="944"/>
        <v>0</v>
      </c>
      <c r="CL470">
        <f t="shared" si="944"/>
        <v>0</v>
      </c>
      <c r="CM470">
        <f t="shared" si="945"/>
        <v>0</v>
      </c>
      <c r="CN470">
        <f t="shared" si="945"/>
        <v>0</v>
      </c>
      <c r="CO470">
        <f t="shared" si="945"/>
        <v>0</v>
      </c>
      <c r="CP470">
        <f t="shared" si="945"/>
        <v>0</v>
      </c>
      <c r="CQ470">
        <f t="shared" si="945"/>
        <v>0</v>
      </c>
      <c r="CR470">
        <f t="shared" si="945"/>
        <v>0</v>
      </c>
      <c r="CS470">
        <f t="shared" si="945"/>
        <v>0</v>
      </c>
      <c r="CT470">
        <f t="shared" si="945"/>
        <v>0</v>
      </c>
      <c r="CU470">
        <f t="shared" si="945"/>
        <v>0</v>
      </c>
      <c r="CV470">
        <f t="shared" si="945"/>
        <v>0</v>
      </c>
      <c r="CW470">
        <f t="shared" si="946"/>
        <v>0</v>
      </c>
      <c r="CX470">
        <f t="shared" si="946"/>
        <v>0</v>
      </c>
      <c r="CY470">
        <f t="shared" si="946"/>
        <v>0</v>
      </c>
      <c r="CZ470">
        <f t="shared" si="946"/>
        <v>0</v>
      </c>
      <c r="DA470">
        <f t="shared" si="946"/>
        <v>0</v>
      </c>
      <c r="DB470">
        <f t="shared" si="946"/>
        <v>0</v>
      </c>
      <c r="DC470">
        <f t="shared" si="946"/>
        <v>0</v>
      </c>
      <c r="DD470">
        <f t="shared" si="946"/>
        <v>0</v>
      </c>
      <c r="DE470">
        <f t="shared" si="946"/>
        <v>0</v>
      </c>
      <c r="DF470">
        <f t="shared" si="946"/>
        <v>0</v>
      </c>
      <c r="DG470">
        <f t="shared" si="947"/>
        <v>0</v>
      </c>
      <c r="DH470">
        <f t="shared" si="947"/>
        <v>0</v>
      </c>
      <c r="DI470">
        <f t="shared" si="947"/>
        <v>0</v>
      </c>
      <c r="DJ470">
        <f t="shared" si="947"/>
        <v>0</v>
      </c>
      <c r="DK470">
        <f t="shared" si="947"/>
        <v>0</v>
      </c>
      <c r="DL470">
        <f t="shared" si="947"/>
        <v>0</v>
      </c>
      <c r="DM470">
        <f t="shared" si="947"/>
        <v>0</v>
      </c>
      <c r="DN470">
        <f t="shared" si="947"/>
        <v>0</v>
      </c>
      <c r="DO470">
        <f t="shared" si="947"/>
        <v>0</v>
      </c>
      <c r="DP470">
        <f t="shared" si="947"/>
        <v>0</v>
      </c>
      <c r="DQ470">
        <f t="shared" si="948"/>
        <v>0</v>
      </c>
      <c r="DR470">
        <f t="shared" si="948"/>
        <v>0</v>
      </c>
      <c r="DS470">
        <f t="shared" si="948"/>
        <v>0</v>
      </c>
      <c r="DT470">
        <f t="shared" si="948"/>
        <v>0</v>
      </c>
      <c r="DU470">
        <f t="shared" si="948"/>
        <v>0</v>
      </c>
      <c r="DV470">
        <f t="shared" si="948"/>
        <v>0</v>
      </c>
      <c r="DW470">
        <f t="shared" si="948"/>
        <v>0</v>
      </c>
      <c r="DX470">
        <f t="shared" si="948"/>
        <v>0</v>
      </c>
      <c r="DY470">
        <f t="shared" si="948"/>
        <v>0</v>
      </c>
      <c r="DZ470">
        <f t="shared" si="948"/>
        <v>0</v>
      </c>
      <c r="EA470">
        <f t="shared" si="949"/>
        <v>0</v>
      </c>
      <c r="EB470">
        <f t="shared" si="949"/>
        <v>0</v>
      </c>
      <c r="EC470">
        <f t="shared" si="949"/>
        <v>0</v>
      </c>
      <c r="ED470">
        <f t="shared" si="949"/>
        <v>0</v>
      </c>
      <c r="EE470">
        <f t="shared" si="949"/>
        <v>0</v>
      </c>
      <c r="EF470">
        <f t="shared" si="949"/>
        <v>0</v>
      </c>
    </row>
    <row r="471" spans="1:136" ht="15.5">
      <c r="A471" s="90"/>
      <c r="B471" s="19" t="s">
        <v>205</v>
      </c>
      <c r="C471" s="94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>
        <v>0</v>
      </c>
      <c r="AD471" s="18">
        <v>0</v>
      </c>
      <c r="AE471" s="18">
        <v>0</v>
      </c>
      <c r="AF471" s="18">
        <v>0</v>
      </c>
      <c r="AG471" s="18">
        <v>0</v>
      </c>
      <c r="AH471" s="18">
        <v>0</v>
      </c>
      <c r="AI471" s="18">
        <v>0</v>
      </c>
      <c r="AJ471" s="18">
        <v>0</v>
      </c>
      <c r="AK471" s="18">
        <v>0</v>
      </c>
      <c r="AL471" s="18">
        <v>0</v>
      </c>
      <c r="AM471" s="18">
        <v>0</v>
      </c>
      <c r="AN471" s="18">
        <v>0</v>
      </c>
      <c r="AO471" s="18">
        <v>0</v>
      </c>
      <c r="AP471" s="18">
        <v>0</v>
      </c>
      <c r="AQ471" s="18">
        <v>1.282</v>
      </c>
      <c r="AR471" s="18">
        <v>1.948</v>
      </c>
      <c r="AS471" s="18">
        <v>3.8690982000000003</v>
      </c>
      <c r="AT471" s="18">
        <v>5.7881234000000008</v>
      </c>
      <c r="AU471" s="18">
        <v>7.7053165000000003</v>
      </c>
      <c r="AV471" s="18">
        <v>9.6981908000000008</v>
      </c>
      <c r="AW471" s="18">
        <v>11.4618167</v>
      </c>
      <c r="AX471" s="18">
        <v>13.501868699999999</v>
      </c>
      <c r="AY471" s="18">
        <v>4.7915011999999999</v>
      </c>
      <c r="AZ471" s="18">
        <v>10.871003999999999</v>
      </c>
      <c r="BA471" s="18">
        <v>12.241861</v>
      </c>
      <c r="BB471" s="168">
        <v>13.337300599999999</v>
      </c>
      <c r="BC471" s="168">
        <v>13.954598900000001</v>
      </c>
      <c r="BD471" s="168">
        <v>13.9774098</v>
      </c>
      <c r="BE471" s="168">
        <v>14.367596199999999</v>
      </c>
      <c r="BF471" s="265">
        <v>0</v>
      </c>
      <c r="BG471" s="265">
        <v>0</v>
      </c>
      <c r="BH471" s="186">
        <v>0</v>
      </c>
      <c r="BI471" s="18">
        <v>0</v>
      </c>
      <c r="BJ471" s="113">
        <v>0</v>
      </c>
      <c r="BK471" s="113">
        <v>0</v>
      </c>
      <c r="BL471" s="113">
        <v>0</v>
      </c>
      <c r="BM471" s="113">
        <v>0</v>
      </c>
      <c r="BN471" s="113">
        <v>0</v>
      </c>
      <c r="BO471" s="113">
        <v>0</v>
      </c>
      <c r="BP471" s="113">
        <v>0</v>
      </c>
      <c r="BQ471" s="113">
        <v>0</v>
      </c>
      <c r="BR471" s="101"/>
      <c r="BS471">
        <f t="shared" ref="BS471:CB476" si="950">IF($C471&lt;&gt;"",IF(D471&gt;0,1,0),0)</f>
        <v>0</v>
      </c>
      <c r="BT471">
        <f t="shared" si="950"/>
        <v>0</v>
      </c>
      <c r="BU471">
        <f t="shared" si="950"/>
        <v>0</v>
      </c>
      <c r="BV471">
        <f t="shared" si="950"/>
        <v>0</v>
      </c>
      <c r="BW471">
        <f t="shared" si="950"/>
        <v>0</v>
      </c>
      <c r="BX471">
        <f t="shared" si="950"/>
        <v>0</v>
      </c>
      <c r="BY471">
        <f t="shared" si="950"/>
        <v>0</v>
      </c>
      <c r="BZ471">
        <f t="shared" si="950"/>
        <v>0</v>
      </c>
      <c r="CA471">
        <f t="shared" si="950"/>
        <v>0</v>
      </c>
      <c r="CB471">
        <f t="shared" si="950"/>
        <v>0</v>
      </c>
      <c r="CC471">
        <f t="shared" ref="CC471:CL476" si="951">IF($C471&lt;&gt;"",IF(N471&gt;0,1,0),0)</f>
        <v>0</v>
      </c>
      <c r="CD471">
        <f t="shared" si="951"/>
        <v>0</v>
      </c>
      <c r="CE471">
        <f t="shared" si="951"/>
        <v>0</v>
      </c>
      <c r="CF471">
        <f t="shared" si="951"/>
        <v>0</v>
      </c>
      <c r="CG471">
        <f t="shared" si="951"/>
        <v>0</v>
      </c>
      <c r="CH471">
        <f t="shared" si="951"/>
        <v>0</v>
      </c>
      <c r="CI471">
        <f t="shared" si="951"/>
        <v>0</v>
      </c>
      <c r="CJ471">
        <f t="shared" si="951"/>
        <v>0</v>
      </c>
      <c r="CK471">
        <f t="shared" si="951"/>
        <v>0</v>
      </c>
      <c r="CL471">
        <f t="shared" si="951"/>
        <v>0</v>
      </c>
      <c r="CM471">
        <f t="shared" ref="CM471:CV476" si="952">IF($C471&lt;&gt;"",IF(X471&gt;0,1,0),0)</f>
        <v>0</v>
      </c>
      <c r="CN471">
        <f t="shared" si="952"/>
        <v>0</v>
      </c>
      <c r="CO471">
        <f t="shared" si="952"/>
        <v>0</v>
      </c>
      <c r="CP471">
        <f t="shared" si="952"/>
        <v>0</v>
      </c>
      <c r="CQ471">
        <f t="shared" si="952"/>
        <v>0</v>
      </c>
      <c r="CR471">
        <f t="shared" si="952"/>
        <v>0</v>
      </c>
      <c r="CS471">
        <f t="shared" si="952"/>
        <v>0</v>
      </c>
      <c r="CT471">
        <f t="shared" si="952"/>
        <v>0</v>
      </c>
      <c r="CU471">
        <f t="shared" si="952"/>
        <v>0</v>
      </c>
      <c r="CV471">
        <f t="shared" si="952"/>
        <v>0</v>
      </c>
      <c r="CW471">
        <f t="shared" ref="CW471:DF476" si="953">IF($C471&lt;&gt;"",IF(AH471&gt;0,1,0),0)</f>
        <v>0</v>
      </c>
      <c r="CX471">
        <f t="shared" si="953"/>
        <v>0</v>
      </c>
      <c r="CY471">
        <f t="shared" si="953"/>
        <v>0</v>
      </c>
      <c r="CZ471">
        <f t="shared" si="953"/>
        <v>0</v>
      </c>
      <c r="DA471">
        <f t="shared" si="953"/>
        <v>0</v>
      </c>
      <c r="DB471">
        <f t="shared" si="953"/>
        <v>0</v>
      </c>
      <c r="DC471">
        <f t="shared" si="953"/>
        <v>0</v>
      </c>
      <c r="DD471">
        <f t="shared" si="953"/>
        <v>0</v>
      </c>
      <c r="DE471">
        <f t="shared" si="953"/>
        <v>0</v>
      </c>
      <c r="DF471">
        <f t="shared" si="953"/>
        <v>0</v>
      </c>
      <c r="DG471">
        <f t="shared" ref="DG471:DP476" si="954">IF($C471&lt;&gt;"",IF(AR471&gt;0,1,0),0)</f>
        <v>0</v>
      </c>
      <c r="DH471">
        <f t="shared" si="954"/>
        <v>0</v>
      </c>
      <c r="DI471">
        <f t="shared" si="954"/>
        <v>0</v>
      </c>
      <c r="DJ471">
        <f t="shared" si="954"/>
        <v>0</v>
      </c>
      <c r="DK471">
        <f t="shared" si="954"/>
        <v>0</v>
      </c>
      <c r="DL471">
        <f t="shared" si="954"/>
        <v>0</v>
      </c>
      <c r="DM471">
        <f t="shared" si="954"/>
        <v>0</v>
      </c>
      <c r="DN471">
        <f t="shared" si="954"/>
        <v>0</v>
      </c>
      <c r="DO471">
        <f t="shared" si="954"/>
        <v>0</v>
      </c>
      <c r="DP471">
        <f t="shared" si="954"/>
        <v>0</v>
      </c>
      <c r="DQ471">
        <f t="shared" ref="DQ471:DW476" si="955">IF($C471&lt;&gt;"",IF(BB471&gt;0,1,0),0)</f>
        <v>0</v>
      </c>
      <c r="DR471">
        <f t="shared" si="955"/>
        <v>0</v>
      </c>
      <c r="DS471">
        <f t="shared" si="955"/>
        <v>0</v>
      </c>
      <c r="DT471">
        <f t="shared" si="955"/>
        <v>0</v>
      </c>
      <c r="DU471">
        <f t="shared" si="955"/>
        <v>0</v>
      </c>
      <c r="DV471">
        <f t="shared" si="955"/>
        <v>0</v>
      </c>
      <c r="DW471">
        <f t="shared" si="955"/>
        <v>0</v>
      </c>
      <c r="DX471">
        <f>IF($C471&lt;&gt;"",IF(BI477&gt;0,1,0),0)</f>
        <v>0</v>
      </c>
      <c r="DY471">
        <f>IF($C471&lt;&gt;"",IF(BJ471&gt;0,1,0),0)</f>
        <v>0</v>
      </c>
      <c r="DZ471">
        <f>IF($C471&lt;&gt;"",IF(BK471&gt;0,1,0),0)</f>
        <v>0</v>
      </c>
      <c r="EA471">
        <f>IF($C471&lt;&gt;"",IF(BL471&gt;0,1,0),0)</f>
        <v>0</v>
      </c>
      <c r="EB471">
        <f t="shared" ref="EB471:EF474" si="956">IF($C471&lt;&gt;"",IF(BM470&gt;0,1,0),0)</f>
        <v>0</v>
      </c>
      <c r="EC471">
        <f t="shared" si="956"/>
        <v>0</v>
      </c>
      <c r="ED471">
        <f t="shared" si="956"/>
        <v>0</v>
      </c>
      <c r="EE471">
        <f t="shared" si="956"/>
        <v>0</v>
      </c>
      <c r="EF471">
        <f t="shared" si="956"/>
        <v>0</v>
      </c>
    </row>
    <row r="472" spans="1:136" ht="15.5">
      <c r="A472" s="90"/>
      <c r="B472" s="57" t="s">
        <v>3</v>
      </c>
      <c r="C472" s="94"/>
      <c r="D472" s="18"/>
      <c r="E472" s="18"/>
      <c r="F472" s="18"/>
      <c r="G472" s="18"/>
      <c r="H472" s="18"/>
      <c r="I472" s="18">
        <v>0</v>
      </c>
      <c r="J472" s="18">
        <v>0</v>
      </c>
      <c r="K472" s="18">
        <v>0</v>
      </c>
      <c r="L472" s="18">
        <v>0</v>
      </c>
      <c r="M472" s="18">
        <v>0</v>
      </c>
      <c r="N472" s="18">
        <v>0</v>
      </c>
      <c r="O472" s="18">
        <v>0</v>
      </c>
      <c r="P472" s="18">
        <v>0</v>
      </c>
      <c r="Q472" s="18">
        <v>0</v>
      </c>
      <c r="R472" s="18">
        <v>0</v>
      </c>
      <c r="S472" s="18">
        <v>0</v>
      </c>
      <c r="T472" s="18">
        <v>0</v>
      </c>
      <c r="U472" s="18">
        <v>1.5202E-2</v>
      </c>
      <c r="V472" s="18">
        <v>3.7746000000000002E-2</v>
      </c>
      <c r="W472" s="18">
        <v>0</v>
      </c>
      <c r="X472" s="18">
        <v>0.19392100000000001</v>
      </c>
      <c r="Y472" s="18">
        <v>0.37428600000000001</v>
      </c>
      <c r="Z472" s="18">
        <v>1.0249109999999999</v>
      </c>
      <c r="AA472" s="18">
        <v>2.9468830000000001</v>
      </c>
      <c r="AB472" s="18">
        <v>4.6806419999999997</v>
      </c>
      <c r="AC472" s="18">
        <v>9.7615180000000006</v>
      </c>
      <c r="AD472" s="40" t="s">
        <v>16</v>
      </c>
      <c r="AE472" s="18">
        <v>9.0264410000000002</v>
      </c>
      <c r="AF472" s="18">
        <v>7.9346930000000002</v>
      </c>
      <c r="AG472" s="18">
        <v>4.7625130000000002</v>
      </c>
      <c r="AH472" s="18">
        <v>1.4816910000000001</v>
      </c>
      <c r="AI472" s="18">
        <v>2.1513710000000001</v>
      </c>
      <c r="AJ472" s="18">
        <v>2.1982300000000001</v>
      </c>
      <c r="AK472" s="18">
        <v>4.4644909999999998</v>
      </c>
      <c r="AL472" s="18">
        <v>6.297059</v>
      </c>
      <c r="AM472" s="18">
        <v>2.7854920000000001</v>
      </c>
      <c r="AN472" s="18">
        <v>2.0451619999999999</v>
      </c>
      <c r="AO472" s="18">
        <v>1.1485080000000001</v>
      </c>
      <c r="AP472" s="18">
        <v>0.87192099999999995</v>
      </c>
      <c r="AQ472" s="18">
        <f>1.429024-AQ471</f>
        <v>0.14702400000000004</v>
      </c>
      <c r="AR472" s="18">
        <v>0</v>
      </c>
      <c r="AS472" s="18">
        <v>0</v>
      </c>
      <c r="AT472" s="18">
        <f>7-AT471</f>
        <v>1.2118765999999992</v>
      </c>
      <c r="AU472" s="18">
        <f>13-AU471</f>
        <v>5.2946834999999997</v>
      </c>
      <c r="AV472" s="18">
        <f>14-10</f>
        <v>4</v>
      </c>
      <c r="AW472" s="18">
        <v>10</v>
      </c>
      <c r="AX472" s="18">
        <f>22.8688972-AX471</f>
        <v>9.3670285</v>
      </c>
      <c r="AY472" s="18">
        <f>30.0312191-AY471</f>
        <v>25.239717900000002</v>
      </c>
      <c r="AZ472" s="18">
        <f>248.0575976-AZ471</f>
        <v>237.18659360000001</v>
      </c>
      <c r="BA472" s="18">
        <f>22.5103108-BA471</f>
        <v>10.268449799999999</v>
      </c>
      <c r="BB472" s="18">
        <f>37.4063961-BB471</f>
        <v>24.069095500000003</v>
      </c>
      <c r="BC472" s="18">
        <f>19.6105621-BC471</f>
        <v>5.6559631999999986</v>
      </c>
      <c r="BD472" s="18">
        <f>24.940738-BD471</f>
        <v>10.963328199999999</v>
      </c>
      <c r="BE472" s="55">
        <f>21.4606497-BE471</f>
        <v>7.0930535000000017</v>
      </c>
      <c r="BF472" s="18">
        <v>16.2412299</v>
      </c>
      <c r="BG472" s="18">
        <v>7.3078981000000001</v>
      </c>
      <c r="BH472" s="18">
        <v>1.5033466000000002</v>
      </c>
      <c r="BI472" s="18">
        <v>5.9256251999999989</v>
      </c>
      <c r="BJ472" s="18">
        <v>9.0063709000000003</v>
      </c>
      <c r="BK472" s="34">
        <v>6.4796469999999999</v>
      </c>
      <c r="BL472" s="113">
        <v>20.894071199999999</v>
      </c>
      <c r="BM472" s="113">
        <v>21.886309499999999</v>
      </c>
      <c r="BN472" s="34">
        <v>22.4345988</v>
      </c>
      <c r="BO472" s="34">
        <v>36</v>
      </c>
      <c r="BP472" s="113">
        <v>35</v>
      </c>
      <c r="BQ472" s="113">
        <v>35</v>
      </c>
      <c r="BR472" s="101"/>
      <c r="BS472">
        <f t="shared" si="950"/>
        <v>0</v>
      </c>
      <c r="BT472">
        <f t="shared" si="950"/>
        <v>0</v>
      </c>
      <c r="BU472">
        <f t="shared" si="950"/>
        <v>0</v>
      </c>
      <c r="BV472">
        <f t="shared" si="950"/>
        <v>0</v>
      </c>
      <c r="BW472">
        <f t="shared" si="950"/>
        <v>0</v>
      </c>
      <c r="BX472">
        <f t="shared" si="950"/>
        <v>0</v>
      </c>
      <c r="BY472">
        <f t="shared" si="950"/>
        <v>0</v>
      </c>
      <c r="BZ472">
        <f t="shared" si="950"/>
        <v>0</v>
      </c>
      <c r="CA472">
        <f t="shared" si="950"/>
        <v>0</v>
      </c>
      <c r="CB472">
        <f t="shared" si="950"/>
        <v>0</v>
      </c>
      <c r="CC472">
        <f t="shared" si="951"/>
        <v>0</v>
      </c>
      <c r="CD472">
        <f t="shared" si="951"/>
        <v>0</v>
      </c>
      <c r="CE472">
        <f t="shared" si="951"/>
        <v>0</v>
      </c>
      <c r="CF472">
        <f t="shared" si="951"/>
        <v>0</v>
      </c>
      <c r="CG472">
        <f t="shared" si="951"/>
        <v>0</v>
      </c>
      <c r="CH472">
        <f t="shared" si="951"/>
        <v>0</v>
      </c>
      <c r="CI472">
        <f t="shared" si="951"/>
        <v>0</v>
      </c>
      <c r="CJ472">
        <f t="shared" si="951"/>
        <v>0</v>
      </c>
      <c r="CK472">
        <f t="shared" si="951"/>
        <v>0</v>
      </c>
      <c r="CL472">
        <f t="shared" si="951"/>
        <v>0</v>
      </c>
      <c r="CM472">
        <f t="shared" si="952"/>
        <v>0</v>
      </c>
      <c r="CN472">
        <f t="shared" si="952"/>
        <v>0</v>
      </c>
      <c r="CO472">
        <f t="shared" si="952"/>
        <v>0</v>
      </c>
      <c r="CP472">
        <f t="shared" si="952"/>
        <v>0</v>
      </c>
      <c r="CQ472">
        <f t="shared" si="952"/>
        <v>0</v>
      </c>
      <c r="CR472">
        <f t="shared" si="952"/>
        <v>0</v>
      </c>
      <c r="CS472">
        <f t="shared" si="952"/>
        <v>0</v>
      </c>
      <c r="CT472">
        <f t="shared" si="952"/>
        <v>0</v>
      </c>
      <c r="CU472">
        <f t="shared" si="952"/>
        <v>0</v>
      </c>
      <c r="CV472">
        <f t="shared" si="952"/>
        <v>0</v>
      </c>
      <c r="CW472">
        <f t="shared" si="953"/>
        <v>0</v>
      </c>
      <c r="CX472">
        <f t="shared" si="953"/>
        <v>0</v>
      </c>
      <c r="CY472">
        <f t="shared" si="953"/>
        <v>0</v>
      </c>
      <c r="CZ472">
        <f t="shared" si="953"/>
        <v>0</v>
      </c>
      <c r="DA472">
        <f t="shared" si="953"/>
        <v>0</v>
      </c>
      <c r="DB472">
        <f t="shared" si="953"/>
        <v>0</v>
      </c>
      <c r="DC472">
        <f t="shared" si="953"/>
        <v>0</v>
      </c>
      <c r="DD472">
        <f t="shared" si="953"/>
        <v>0</v>
      </c>
      <c r="DE472">
        <f t="shared" si="953"/>
        <v>0</v>
      </c>
      <c r="DF472">
        <f t="shared" si="953"/>
        <v>0</v>
      </c>
      <c r="DG472">
        <f t="shared" si="954"/>
        <v>0</v>
      </c>
      <c r="DH472">
        <f t="shared" si="954"/>
        <v>0</v>
      </c>
      <c r="DI472">
        <f t="shared" si="954"/>
        <v>0</v>
      </c>
      <c r="DJ472">
        <f t="shared" si="954"/>
        <v>0</v>
      </c>
      <c r="DK472">
        <f t="shared" si="954"/>
        <v>0</v>
      </c>
      <c r="DL472">
        <f t="shared" si="954"/>
        <v>0</v>
      </c>
      <c r="DM472">
        <f t="shared" si="954"/>
        <v>0</v>
      </c>
      <c r="DN472">
        <f t="shared" si="954"/>
        <v>0</v>
      </c>
      <c r="DO472">
        <f t="shared" si="954"/>
        <v>0</v>
      </c>
      <c r="DP472">
        <f t="shared" si="954"/>
        <v>0</v>
      </c>
      <c r="DQ472">
        <f t="shared" si="955"/>
        <v>0</v>
      </c>
      <c r="DR472">
        <f t="shared" si="955"/>
        <v>0</v>
      </c>
      <c r="DS472">
        <f t="shared" si="955"/>
        <v>0</v>
      </c>
      <c r="DT472">
        <f t="shared" si="955"/>
        <v>0</v>
      </c>
      <c r="DU472">
        <f t="shared" si="955"/>
        <v>0</v>
      </c>
      <c r="DV472">
        <f t="shared" si="955"/>
        <v>0</v>
      </c>
      <c r="DW472">
        <f t="shared" si="955"/>
        <v>0</v>
      </c>
      <c r="DX472">
        <f t="shared" ref="DX472:DZ476" si="957">IF($C472&lt;&gt;"",IF(BI472&gt;0,1,0),0)</f>
        <v>0</v>
      </c>
      <c r="DY472">
        <f t="shared" si="957"/>
        <v>0</v>
      </c>
      <c r="DZ472">
        <f t="shared" si="957"/>
        <v>0</v>
      </c>
      <c r="EA472">
        <f>IF($C472&lt;&gt;"",IF(#REF!&gt;0,1,0),0)</f>
        <v>0</v>
      </c>
      <c r="EB472">
        <f t="shared" si="956"/>
        <v>0</v>
      </c>
      <c r="EC472">
        <f t="shared" si="956"/>
        <v>0</v>
      </c>
      <c r="ED472">
        <f t="shared" si="956"/>
        <v>0</v>
      </c>
      <c r="EE472">
        <f t="shared" si="956"/>
        <v>0</v>
      </c>
      <c r="EF472">
        <f t="shared" si="956"/>
        <v>0</v>
      </c>
    </row>
    <row r="473" spans="1:136" ht="15.5">
      <c r="A473" s="90"/>
      <c r="B473" s="53" t="s">
        <v>18</v>
      </c>
      <c r="C473" s="94"/>
      <c r="D473" s="18"/>
      <c r="E473" s="18"/>
      <c r="F473" s="18"/>
      <c r="G473" s="18"/>
      <c r="H473" s="18"/>
      <c r="I473" s="18">
        <v>0</v>
      </c>
      <c r="J473" s="18">
        <v>0</v>
      </c>
      <c r="K473" s="18">
        <v>0</v>
      </c>
      <c r="L473" s="18">
        <v>0</v>
      </c>
      <c r="M473" s="18">
        <v>0</v>
      </c>
      <c r="N473" s="18">
        <v>0</v>
      </c>
      <c r="O473" s="18">
        <v>0</v>
      </c>
      <c r="P473" s="18">
        <v>0</v>
      </c>
      <c r="Q473" s="18">
        <v>0</v>
      </c>
      <c r="R473" s="18">
        <v>0</v>
      </c>
      <c r="S473" s="18">
        <v>0</v>
      </c>
      <c r="T473" s="18">
        <v>0</v>
      </c>
      <c r="U473" s="18">
        <v>0</v>
      </c>
      <c r="V473" s="18">
        <v>0</v>
      </c>
      <c r="W473" s="18">
        <v>0</v>
      </c>
      <c r="X473" s="18"/>
      <c r="Y473" s="18"/>
      <c r="Z473" s="18"/>
      <c r="AA473" s="18"/>
      <c r="AB473" s="40" t="s">
        <v>16</v>
      </c>
      <c r="AC473" s="40" t="s">
        <v>16</v>
      </c>
      <c r="AD473" s="40" t="s">
        <v>16</v>
      </c>
      <c r="AE473" s="40" t="s">
        <v>16</v>
      </c>
      <c r="AF473" s="18">
        <v>19</v>
      </c>
      <c r="AG473" s="40" t="s">
        <v>16</v>
      </c>
      <c r="AH473" s="18">
        <v>0</v>
      </c>
      <c r="AI473" s="18">
        <v>0</v>
      </c>
      <c r="AJ473" s="18">
        <v>0</v>
      </c>
      <c r="AK473" s="18">
        <v>0</v>
      </c>
      <c r="AL473" s="18">
        <v>0</v>
      </c>
      <c r="AM473" s="18">
        <v>0</v>
      </c>
      <c r="AN473" s="18">
        <v>0</v>
      </c>
      <c r="AO473" s="18">
        <v>0</v>
      </c>
      <c r="AP473" s="18">
        <v>0</v>
      </c>
      <c r="AQ473" s="18">
        <v>0</v>
      </c>
      <c r="AR473" s="18">
        <v>0</v>
      </c>
      <c r="AS473" s="18">
        <v>0</v>
      </c>
      <c r="AT473" s="18">
        <v>0</v>
      </c>
      <c r="AU473" s="18">
        <v>0</v>
      </c>
      <c r="AV473" s="18">
        <v>0</v>
      </c>
      <c r="AW473" s="18">
        <v>0</v>
      </c>
      <c r="AX473" s="18">
        <v>0</v>
      </c>
      <c r="AY473" s="18">
        <v>0</v>
      </c>
      <c r="AZ473" s="18">
        <v>0</v>
      </c>
      <c r="BA473" s="18">
        <v>0</v>
      </c>
      <c r="BB473" s="18">
        <v>0</v>
      </c>
      <c r="BC473" s="18">
        <v>0</v>
      </c>
      <c r="BD473" s="18">
        <v>0</v>
      </c>
      <c r="BE473" s="18">
        <v>0</v>
      </c>
      <c r="BF473" s="18">
        <v>0</v>
      </c>
      <c r="BG473" s="18">
        <v>0</v>
      </c>
      <c r="BH473" s="18">
        <v>0</v>
      </c>
      <c r="BI473" s="113">
        <v>0</v>
      </c>
      <c r="BJ473" s="113">
        <v>0</v>
      </c>
      <c r="BK473" s="113">
        <v>0</v>
      </c>
      <c r="BL473" s="113">
        <v>0</v>
      </c>
      <c r="BM473" s="113">
        <v>0</v>
      </c>
      <c r="BN473" s="113">
        <v>0</v>
      </c>
      <c r="BO473" s="113">
        <v>0</v>
      </c>
      <c r="BP473" s="257">
        <v>0</v>
      </c>
      <c r="BQ473" s="113">
        <v>0</v>
      </c>
      <c r="BR473" s="101"/>
      <c r="BS473">
        <f t="shared" si="950"/>
        <v>0</v>
      </c>
      <c r="BT473">
        <f t="shared" si="950"/>
        <v>0</v>
      </c>
      <c r="BU473">
        <f t="shared" si="950"/>
        <v>0</v>
      </c>
      <c r="BV473">
        <f t="shared" si="950"/>
        <v>0</v>
      </c>
      <c r="BW473">
        <f t="shared" si="950"/>
        <v>0</v>
      </c>
      <c r="BX473">
        <f t="shared" si="950"/>
        <v>0</v>
      </c>
      <c r="BY473">
        <f t="shared" si="950"/>
        <v>0</v>
      </c>
      <c r="BZ473">
        <f t="shared" si="950"/>
        <v>0</v>
      </c>
      <c r="CA473">
        <f t="shared" si="950"/>
        <v>0</v>
      </c>
      <c r="CB473">
        <f t="shared" si="950"/>
        <v>0</v>
      </c>
      <c r="CC473">
        <f t="shared" si="951"/>
        <v>0</v>
      </c>
      <c r="CD473">
        <f t="shared" si="951"/>
        <v>0</v>
      </c>
      <c r="CE473">
        <f t="shared" si="951"/>
        <v>0</v>
      </c>
      <c r="CF473">
        <f t="shared" si="951"/>
        <v>0</v>
      </c>
      <c r="CG473">
        <f t="shared" si="951"/>
        <v>0</v>
      </c>
      <c r="CH473">
        <f t="shared" si="951"/>
        <v>0</v>
      </c>
      <c r="CI473">
        <f t="shared" si="951"/>
        <v>0</v>
      </c>
      <c r="CJ473">
        <f t="shared" si="951"/>
        <v>0</v>
      </c>
      <c r="CK473">
        <f t="shared" si="951"/>
        <v>0</v>
      </c>
      <c r="CL473">
        <f t="shared" si="951"/>
        <v>0</v>
      </c>
      <c r="CM473">
        <f t="shared" si="952"/>
        <v>0</v>
      </c>
      <c r="CN473">
        <f t="shared" si="952"/>
        <v>0</v>
      </c>
      <c r="CO473">
        <f t="shared" si="952"/>
        <v>0</v>
      </c>
      <c r="CP473">
        <f t="shared" si="952"/>
        <v>0</v>
      </c>
      <c r="CQ473">
        <f t="shared" si="952"/>
        <v>0</v>
      </c>
      <c r="CR473">
        <f t="shared" si="952"/>
        <v>0</v>
      </c>
      <c r="CS473">
        <f t="shared" si="952"/>
        <v>0</v>
      </c>
      <c r="CT473">
        <f t="shared" si="952"/>
        <v>0</v>
      </c>
      <c r="CU473">
        <f t="shared" si="952"/>
        <v>0</v>
      </c>
      <c r="CV473">
        <f t="shared" si="952"/>
        <v>0</v>
      </c>
      <c r="CW473">
        <f t="shared" si="953"/>
        <v>0</v>
      </c>
      <c r="CX473">
        <f t="shared" si="953"/>
        <v>0</v>
      </c>
      <c r="CY473">
        <f t="shared" si="953"/>
        <v>0</v>
      </c>
      <c r="CZ473">
        <f t="shared" si="953"/>
        <v>0</v>
      </c>
      <c r="DA473">
        <f t="shared" si="953"/>
        <v>0</v>
      </c>
      <c r="DB473">
        <f t="shared" si="953"/>
        <v>0</v>
      </c>
      <c r="DC473">
        <f t="shared" si="953"/>
        <v>0</v>
      </c>
      <c r="DD473">
        <f t="shared" si="953"/>
        <v>0</v>
      </c>
      <c r="DE473">
        <f t="shared" si="953"/>
        <v>0</v>
      </c>
      <c r="DF473">
        <f t="shared" si="953"/>
        <v>0</v>
      </c>
      <c r="DG473">
        <f t="shared" si="954"/>
        <v>0</v>
      </c>
      <c r="DH473">
        <f t="shared" si="954"/>
        <v>0</v>
      </c>
      <c r="DI473">
        <f t="shared" si="954"/>
        <v>0</v>
      </c>
      <c r="DJ473">
        <f t="shared" si="954"/>
        <v>0</v>
      </c>
      <c r="DK473">
        <f t="shared" si="954"/>
        <v>0</v>
      </c>
      <c r="DL473">
        <f t="shared" si="954"/>
        <v>0</v>
      </c>
      <c r="DM473">
        <f t="shared" si="954"/>
        <v>0</v>
      </c>
      <c r="DN473">
        <f t="shared" si="954"/>
        <v>0</v>
      </c>
      <c r="DO473">
        <f t="shared" si="954"/>
        <v>0</v>
      </c>
      <c r="DP473">
        <f t="shared" si="954"/>
        <v>0</v>
      </c>
      <c r="DQ473">
        <f t="shared" si="955"/>
        <v>0</v>
      </c>
      <c r="DR473">
        <f t="shared" si="955"/>
        <v>0</v>
      </c>
      <c r="DS473">
        <f t="shared" si="955"/>
        <v>0</v>
      </c>
      <c r="DT473">
        <f t="shared" si="955"/>
        <v>0</v>
      </c>
      <c r="DU473">
        <f t="shared" si="955"/>
        <v>0</v>
      </c>
      <c r="DV473">
        <f t="shared" si="955"/>
        <v>0</v>
      </c>
      <c r="DW473">
        <f t="shared" si="955"/>
        <v>0</v>
      </c>
      <c r="DX473">
        <f t="shared" si="957"/>
        <v>0</v>
      </c>
      <c r="DY473">
        <f t="shared" si="957"/>
        <v>0</v>
      </c>
      <c r="DZ473">
        <f t="shared" si="957"/>
        <v>0</v>
      </c>
      <c r="EA473">
        <f>IF($C473&lt;&gt;"",IF(BL472&gt;0,1,0),0)</f>
        <v>0</v>
      </c>
      <c r="EB473">
        <f t="shared" si="956"/>
        <v>0</v>
      </c>
      <c r="EC473">
        <f t="shared" si="956"/>
        <v>0</v>
      </c>
      <c r="ED473">
        <f t="shared" si="956"/>
        <v>0</v>
      </c>
      <c r="EE473">
        <f t="shared" si="956"/>
        <v>0</v>
      </c>
      <c r="EF473">
        <f t="shared" si="956"/>
        <v>0</v>
      </c>
    </row>
    <row r="474" spans="1:136" ht="15.5">
      <c r="A474" s="90"/>
      <c r="B474" s="19" t="s">
        <v>208</v>
      </c>
      <c r="C474" s="94"/>
      <c r="D474" s="18"/>
      <c r="E474" s="18"/>
      <c r="F474" s="18"/>
      <c r="G474" s="18"/>
      <c r="H474" s="18"/>
      <c r="I474" s="18">
        <v>0</v>
      </c>
      <c r="J474" s="18">
        <v>0</v>
      </c>
      <c r="K474" s="18">
        <v>0</v>
      </c>
      <c r="L474" s="18">
        <v>0</v>
      </c>
      <c r="M474" s="18">
        <v>0</v>
      </c>
      <c r="N474" s="18">
        <v>0</v>
      </c>
      <c r="O474" s="18">
        <v>0</v>
      </c>
      <c r="P474" s="18">
        <v>0</v>
      </c>
      <c r="Q474" s="18">
        <v>0</v>
      </c>
      <c r="R474" s="18">
        <v>0</v>
      </c>
      <c r="S474" s="18">
        <v>0</v>
      </c>
      <c r="T474" s="18">
        <v>0</v>
      </c>
      <c r="U474" s="18">
        <v>0</v>
      </c>
      <c r="V474" s="18">
        <v>0</v>
      </c>
      <c r="W474" s="18">
        <v>0</v>
      </c>
      <c r="X474" s="18">
        <v>0.1</v>
      </c>
      <c r="Y474" s="18">
        <v>0.2</v>
      </c>
      <c r="Z474" s="18">
        <v>0.4</v>
      </c>
      <c r="AA474" s="18">
        <v>2</v>
      </c>
      <c r="AB474" s="18">
        <v>6.6999999999999993</v>
      </c>
      <c r="AC474" s="18">
        <v>9.8000000000000007</v>
      </c>
      <c r="AD474" s="18">
        <v>4.5</v>
      </c>
      <c r="AE474" s="18">
        <v>2.6</v>
      </c>
      <c r="AF474" s="18">
        <v>1.9000000000000001</v>
      </c>
      <c r="AG474" s="18">
        <v>6.6</v>
      </c>
      <c r="AH474" s="18">
        <v>0</v>
      </c>
      <c r="AI474" s="18">
        <v>0</v>
      </c>
      <c r="AJ474" s="18">
        <v>0</v>
      </c>
      <c r="AK474" s="18">
        <v>0</v>
      </c>
      <c r="AL474" s="18">
        <v>0.1</v>
      </c>
      <c r="AM474" s="18">
        <v>0.1</v>
      </c>
      <c r="AN474" s="18">
        <v>0</v>
      </c>
      <c r="AO474" s="18">
        <v>0</v>
      </c>
      <c r="AP474" s="18">
        <v>0</v>
      </c>
      <c r="AQ474" s="18">
        <v>0</v>
      </c>
      <c r="AR474" s="18">
        <v>0</v>
      </c>
      <c r="AS474" s="18">
        <v>0</v>
      </c>
      <c r="AT474" s="18">
        <v>0</v>
      </c>
      <c r="AU474" s="18">
        <v>0.47683950000000003</v>
      </c>
      <c r="AV474" s="18">
        <v>0.39805259999999998</v>
      </c>
      <c r="AW474" s="18">
        <v>0</v>
      </c>
      <c r="AX474" s="18">
        <v>0</v>
      </c>
      <c r="AY474" s="18">
        <v>0</v>
      </c>
      <c r="AZ474" s="18">
        <v>0.10576919999999999</v>
      </c>
      <c r="BA474" s="18">
        <v>1.4521248</v>
      </c>
      <c r="BB474" s="18">
        <v>0.41422199999999998</v>
      </c>
      <c r="BC474" s="18">
        <v>3.2347500000000001E-2</v>
      </c>
      <c r="BD474" s="18">
        <v>0</v>
      </c>
      <c r="BE474" s="25">
        <v>0</v>
      </c>
      <c r="BF474" s="18">
        <v>0</v>
      </c>
      <c r="BG474" s="18">
        <v>0</v>
      </c>
      <c r="BH474" s="18">
        <v>0</v>
      </c>
      <c r="BI474" s="113">
        <v>0</v>
      </c>
      <c r="BJ474" s="113">
        <v>0</v>
      </c>
      <c r="BK474" s="113">
        <v>0</v>
      </c>
      <c r="BL474" s="113">
        <v>0</v>
      </c>
      <c r="BM474" s="113">
        <v>0</v>
      </c>
      <c r="BN474" s="113">
        <v>0</v>
      </c>
      <c r="BO474" s="113">
        <v>0</v>
      </c>
      <c r="BP474" s="257">
        <v>0</v>
      </c>
      <c r="BQ474" s="113">
        <v>0</v>
      </c>
      <c r="BR474" s="101"/>
      <c r="BS474">
        <f t="shared" si="950"/>
        <v>0</v>
      </c>
      <c r="BT474">
        <f t="shared" si="950"/>
        <v>0</v>
      </c>
      <c r="BU474">
        <f t="shared" si="950"/>
        <v>0</v>
      </c>
      <c r="BV474">
        <f t="shared" si="950"/>
        <v>0</v>
      </c>
      <c r="BW474">
        <f t="shared" si="950"/>
        <v>0</v>
      </c>
      <c r="BX474">
        <f t="shared" si="950"/>
        <v>0</v>
      </c>
      <c r="BY474">
        <f t="shared" si="950"/>
        <v>0</v>
      </c>
      <c r="BZ474">
        <f t="shared" si="950"/>
        <v>0</v>
      </c>
      <c r="CA474">
        <f t="shared" si="950"/>
        <v>0</v>
      </c>
      <c r="CB474">
        <f t="shared" si="950"/>
        <v>0</v>
      </c>
      <c r="CC474">
        <f t="shared" si="951"/>
        <v>0</v>
      </c>
      <c r="CD474">
        <f t="shared" si="951"/>
        <v>0</v>
      </c>
      <c r="CE474">
        <f t="shared" si="951"/>
        <v>0</v>
      </c>
      <c r="CF474">
        <f t="shared" si="951"/>
        <v>0</v>
      </c>
      <c r="CG474">
        <f t="shared" si="951"/>
        <v>0</v>
      </c>
      <c r="CH474">
        <f t="shared" si="951"/>
        <v>0</v>
      </c>
      <c r="CI474">
        <f t="shared" si="951"/>
        <v>0</v>
      </c>
      <c r="CJ474">
        <f t="shared" si="951"/>
        <v>0</v>
      </c>
      <c r="CK474">
        <f t="shared" si="951"/>
        <v>0</v>
      </c>
      <c r="CL474">
        <f t="shared" si="951"/>
        <v>0</v>
      </c>
      <c r="CM474">
        <f t="shared" si="952"/>
        <v>0</v>
      </c>
      <c r="CN474">
        <f t="shared" si="952"/>
        <v>0</v>
      </c>
      <c r="CO474">
        <f t="shared" si="952"/>
        <v>0</v>
      </c>
      <c r="CP474">
        <f t="shared" si="952"/>
        <v>0</v>
      </c>
      <c r="CQ474">
        <f t="shared" si="952"/>
        <v>0</v>
      </c>
      <c r="CR474">
        <f t="shared" si="952"/>
        <v>0</v>
      </c>
      <c r="CS474">
        <f t="shared" si="952"/>
        <v>0</v>
      </c>
      <c r="CT474">
        <f t="shared" si="952"/>
        <v>0</v>
      </c>
      <c r="CU474">
        <f t="shared" si="952"/>
        <v>0</v>
      </c>
      <c r="CV474">
        <f t="shared" si="952"/>
        <v>0</v>
      </c>
      <c r="CW474">
        <f t="shared" si="953"/>
        <v>0</v>
      </c>
      <c r="CX474">
        <f t="shared" si="953"/>
        <v>0</v>
      </c>
      <c r="CY474">
        <f t="shared" si="953"/>
        <v>0</v>
      </c>
      <c r="CZ474">
        <f t="shared" si="953"/>
        <v>0</v>
      </c>
      <c r="DA474">
        <f t="shared" si="953"/>
        <v>0</v>
      </c>
      <c r="DB474">
        <f t="shared" si="953"/>
        <v>0</v>
      </c>
      <c r="DC474">
        <f t="shared" si="953"/>
        <v>0</v>
      </c>
      <c r="DD474">
        <f t="shared" si="953"/>
        <v>0</v>
      </c>
      <c r="DE474">
        <f t="shared" si="953"/>
        <v>0</v>
      </c>
      <c r="DF474">
        <f t="shared" si="953"/>
        <v>0</v>
      </c>
      <c r="DG474">
        <f t="shared" si="954"/>
        <v>0</v>
      </c>
      <c r="DH474">
        <f t="shared" si="954"/>
        <v>0</v>
      </c>
      <c r="DI474">
        <f t="shared" si="954"/>
        <v>0</v>
      </c>
      <c r="DJ474">
        <f t="shared" si="954"/>
        <v>0</v>
      </c>
      <c r="DK474">
        <f t="shared" si="954"/>
        <v>0</v>
      </c>
      <c r="DL474">
        <f t="shared" si="954"/>
        <v>0</v>
      </c>
      <c r="DM474">
        <f t="shared" si="954"/>
        <v>0</v>
      </c>
      <c r="DN474">
        <f t="shared" si="954"/>
        <v>0</v>
      </c>
      <c r="DO474">
        <f t="shared" si="954"/>
        <v>0</v>
      </c>
      <c r="DP474">
        <f t="shared" si="954"/>
        <v>0</v>
      </c>
      <c r="DQ474">
        <f t="shared" si="955"/>
        <v>0</v>
      </c>
      <c r="DR474">
        <f t="shared" si="955"/>
        <v>0</v>
      </c>
      <c r="DS474">
        <f t="shared" si="955"/>
        <v>0</v>
      </c>
      <c r="DT474">
        <f t="shared" si="955"/>
        <v>0</v>
      </c>
      <c r="DU474">
        <f t="shared" si="955"/>
        <v>0</v>
      </c>
      <c r="DV474">
        <f t="shared" si="955"/>
        <v>0</v>
      </c>
      <c r="DW474">
        <f t="shared" si="955"/>
        <v>0</v>
      </c>
      <c r="DX474">
        <f t="shared" si="957"/>
        <v>0</v>
      </c>
      <c r="DY474">
        <f t="shared" si="957"/>
        <v>0</v>
      </c>
      <c r="DZ474">
        <f t="shared" si="957"/>
        <v>0</v>
      </c>
      <c r="EA474">
        <f>IF($C474&lt;&gt;"",IF(BL473&gt;0,1,0),0)</f>
        <v>0</v>
      </c>
      <c r="EB474">
        <f t="shared" si="956"/>
        <v>0</v>
      </c>
      <c r="EC474">
        <f t="shared" si="956"/>
        <v>0</v>
      </c>
      <c r="ED474">
        <f t="shared" si="956"/>
        <v>0</v>
      </c>
      <c r="EE474">
        <f t="shared" si="956"/>
        <v>0</v>
      </c>
      <c r="EF474">
        <f t="shared" si="956"/>
        <v>0</v>
      </c>
    </row>
    <row r="475" spans="1:136" ht="15.5">
      <c r="A475" s="90"/>
      <c r="B475" s="53" t="s">
        <v>21</v>
      </c>
      <c r="C475" s="94"/>
      <c r="D475" s="18"/>
      <c r="E475" s="18"/>
      <c r="F475" s="18"/>
      <c r="G475" s="18"/>
      <c r="H475" s="18"/>
      <c r="I475" s="18">
        <v>0</v>
      </c>
      <c r="J475" s="18">
        <v>0</v>
      </c>
      <c r="K475" s="18">
        <v>0</v>
      </c>
      <c r="L475" s="18">
        <v>0</v>
      </c>
      <c r="M475" s="18">
        <v>0</v>
      </c>
      <c r="N475" s="18">
        <v>0</v>
      </c>
      <c r="O475" s="18">
        <v>0</v>
      </c>
      <c r="P475" s="18">
        <v>0</v>
      </c>
      <c r="Q475" s="18">
        <v>0</v>
      </c>
      <c r="R475" s="18">
        <v>0</v>
      </c>
      <c r="S475" s="18">
        <v>0</v>
      </c>
      <c r="T475" s="18">
        <v>0</v>
      </c>
      <c r="U475" s="18">
        <v>0</v>
      </c>
      <c r="V475" s="18">
        <v>0</v>
      </c>
      <c r="W475" s="18">
        <v>0</v>
      </c>
      <c r="X475" s="18">
        <v>0</v>
      </c>
      <c r="Y475" s="18">
        <v>0</v>
      </c>
      <c r="Z475" s="18">
        <v>0</v>
      </c>
      <c r="AA475" s="18">
        <v>0</v>
      </c>
      <c r="AB475" s="18">
        <v>0</v>
      </c>
      <c r="AC475" s="18">
        <v>0</v>
      </c>
      <c r="AD475" s="18">
        <v>0</v>
      </c>
      <c r="AE475" s="18">
        <v>0</v>
      </c>
      <c r="AF475" s="18">
        <v>0</v>
      </c>
      <c r="AG475" s="18">
        <v>0</v>
      </c>
      <c r="AH475" s="18">
        <v>0</v>
      </c>
      <c r="AI475" s="18">
        <v>0</v>
      </c>
      <c r="AJ475" s="18">
        <v>0</v>
      </c>
      <c r="AK475" s="18">
        <v>0</v>
      </c>
      <c r="AL475" s="18">
        <v>0</v>
      </c>
      <c r="AM475" s="18">
        <v>0</v>
      </c>
      <c r="AN475" s="18">
        <v>0</v>
      </c>
      <c r="AO475" s="18">
        <v>0</v>
      </c>
      <c r="AP475" s="18">
        <v>0</v>
      </c>
      <c r="AQ475" s="18">
        <v>0</v>
      </c>
      <c r="AR475" s="18">
        <v>0</v>
      </c>
      <c r="AS475" s="18">
        <v>0</v>
      </c>
      <c r="AT475" s="18">
        <v>0</v>
      </c>
      <c r="AU475" s="18">
        <v>0</v>
      </c>
      <c r="AV475" s="18">
        <v>0</v>
      </c>
      <c r="AW475" s="18">
        <v>0</v>
      </c>
      <c r="AX475" s="18">
        <v>0</v>
      </c>
      <c r="AY475" s="18">
        <v>0</v>
      </c>
      <c r="AZ475" s="18">
        <v>0</v>
      </c>
      <c r="BA475" s="18">
        <v>0</v>
      </c>
      <c r="BB475" s="18">
        <v>0</v>
      </c>
      <c r="BC475" s="18">
        <v>0</v>
      </c>
      <c r="BD475" s="18">
        <v>0</v>
      </c>
      <c r="BE475" s="18">
        <v>0</v>
      </c>
      <c r="BF475" s="18">
        <v>0</v>
      </c>
      <c r="BG475" s="18">
        <v>0</v>
      </c>
      <c r="BH475" s="18">
        <v>0</v>
      </c>
      <c r="BI475" s="113">
        <v>42</v>
      </c>
      <c r="BJ475" s="18">
        <v>0</v>
      </c>
      <c r="BK475" s="18">
        <v>0</v>
      </c>
      <c r="BL475" s="18">
        <v>0</v>
      </c>
      <c r="BM475" s="18">
        <v>0</v>
      </c>
      <c r="BN475" s="18">
        <v>0</v>
      </c>
      <c r="BO475" s="18">
        <v>0</v>
      </c>
      <c r="BP475" s="257">
        <v>0</v>
      </c>
      <c r="BQ475" s="113">
        <v>0</v>
      </c>
      <c r="BR475" s="101"/>
      <c r="BS475">
        <f t="shared" si="950"/>
        <v>0</v>
      </c>
      <c r="BT475">
        <f t="shared" si="950"/>
        <v>0</v>
      </c>
      <c r="BU475">
        <f t="shared" si="950"/>
        <v>0</v>
      </c>
      <c r="BV475">
        <f t="shared" si="950"/>
        <v>0</v>
      </c>
      <c r="BW475">
        <f t="shared" si="950"/>
        <v>0</v>
      </c>
      <c r="BX475">
        <f t="shared" si="950"/>
        <v>0</v>
      </c>
      <c r="BY475">
        <f t="shared" si="950"/>
        <v>0</v>
      </c>
      <c r="BZ475">
        <f t="shared" si="950"/>
        <v>0</v>
      </c>
      <c r="CA475">
        <f t="shared" si="950"/>
        <v>0</v>
      </c>
      <c r="CB475">
        <f t="shared" si="950"/>
        <v>0</v>
      </c>
      <c r="CC475">
        <f t="shared" si="951"/>
        <v>0</v>
      </c>
      <c r="CD475">
        <f t="shared" si="951"/>
        <v>0</v>
      </c>
      <c r="CE475">
        <f t="shared" si="951"/>
        <v>0</v>
      </c>
      <c r="CF475">
        <f t="shared" si="951"/>
        <v>0</v>
      </c>
      <c r="CG475">
        <f t="shared" si="951"/>
        <v>0</v>
      </c>
      <c r="CH475">
        <f t="shared" si="951"/>
        <v>0</v>
      </c>
      <c r="CI475">
        <f t="shared" si="951"/>
        <v>0</v>
      </c>
      <c r="CJ475">
        <f t="shared" si="951"/>
        <v>0</v>
      </c>
      <c r="CK475">
        <f t="shared" si="951"/>
        <v>0</v>
      </c>
      <c r="CL475">
        <f t="shared" si="951"/>
        <v>0</v>
      </c>
      <c r="CM475">
        <f t="shared" si="952"/>
        <v>0</v>
      </c>
      <c r="CN475">
        <f t="shared" si="952"/>
        <v>0</v>
      </c>
      <c r="CO475">
        <f t="shared" si="952"/>
        <v>0</v>
      </c>
      <c r="CP475">
        <f t="shared" si="952"/>
        <v>0</v>
      </c>
      <c r="CQ475">
        <f t="shared" si="952"/>
        <v>0</v>
      </c>
      <c r="CR475">
        <f t="shared" si="952"/>
        <v>0</v>
      </c>
      <c r="CS475">
        <f t="shared" si="952"/>
        <v>0</v>
      </c>
      <c r="CT475">
        <f t="shared" si="952"/>
        <v>0</v>
      </c>
      <c r="CU475">
        <f t="shared" si="952"/>
        <v>0</v>
      </c>
      <c r="CV475">
        <f t="shared" si="952"/>
        <v>0</v>
      </c>
      <c r="CW475">
        <f t="shared" si="953"/>
        <v>0</v>
      </c>
      <c r="CX475">
        <f t="shared" si="953"/>
        <v>0</v>
      </c>
      <c r="CY475">
        <f t="shared" si="953"/>
        <v>0</v>
      </c>
      <c r="CZ475">
        <f t="shared" si="953"/>
        <v>0</v>
      </c>
      <c r="DA475">
        <f t="shared" si="953"/>
        <v>0</v>
      </c>
      <c r="DB475">
        <f t="shared" si="953"/>
        <v>0</v>
      </c>
      <c r="DC475">
        <f t="shared" si="953"/>
        <v>0</v>
      </c>
      <c r="DD475">
        <f t="shared" si="953"/>
        <v>0</v>
      </c>
      <c r="DE475">
        <f t="shared" si="953"/>
        <v>0</v>
      </c>
      <c r="DF475">
        <f t="shared" si="953"/>
        <v>0</v>
      </c>
      <c r="DG475">
        <f t="shared" si="954"/>
        <v>0</v>
      </c>
      <c r="DH475">
        <f t="shared" si="954"/>
        <v>0</v>
      </c>
      <c r="DI475">
        <f t="shared" si="954"/>
        <v>0</v>
      </c>
      <c r="DJ475">
        <f t="shared" si="954"/>
        <v>0</v>
      </c>
      <c r="DK475">
        <f t="shared" si="954"/>
        <v>0</v>
      </c>
      <c r="DL475">
        <f t="shared" si="954"/>
        <v>0</v>
      </c>
      <c r="DM475">
        <f t="shared" si="954"/>
        <v>0</v>
      </c>
      <c r="DN475">
        <f t="shared" si="954"/>
        <v>0</v>
      </c>
      <c r="DO475">
        <f t="shared" si="954"/>
        <v>0</v>
      </c>
      <c r="DP475">
        <f t="shared" si="954"/>
        <v>0</v>
      </c>
      <c r="DQ475">
        <f t="shared" si="955"/>
        <v>0</v>
      </c>
      <c r="DR475">
        <f t="shared" si="955"/>
        <v>0</v>
      </c>
      <c r="DS475">
        <f t="shared" si="955"/>
        <v>0</v>
      </c>
      <c r="DT475">
        <f t="shared" si="955"/>
        <v>0</v>
      </c>
      <c r="DU475">
        <f t="shared" si="955"/>
        <v>0</v>
      </c>
      <c r="DV475">
        <f t="shared" si="955"/>
        <v>0</v>
      </c>
      <c r="DW475">
        <f t="shared" si="955"/>
        <v>0</v>
      </c>
      <c r="DX475">
        <f t="shared" si="957"/>
        <v>0</v>
      </c>
      <c r="DY475">
        <f t="shared" si="957"/>
        <v>0</v>
      </c>
      <c r="DZ475">
        <f t="shared" si="957"/>
        <v>0</v>
      </c>
      <c r="EA475">
        <f t="shared" ref="EA475:EF475" si="958">IF($C475&lt;&gt;"",IF(BL475&gt;0,1,0),0)</f>
        <v>0</v>
      </c>
      <c r="EB475">
        <f t="shared" si="958"/>
        <v>0</v>
      </c>
      <c r="EC475">
        <f t="shared" si="958"/>
        <v>0</v>
      </c>
      <c r="ED475">
        <f t="shared" si="958"/>
        <v>0</v>
      </c>
      <c r="EE475">
        <f t="shared" si="958"/>
        <v>0</v>
      </c>
      <c r="EF475">
        <f t="shared" si="958"/>
        <v>0</v>
      </c>
    </row>
    <row r="476" spans="1:136" ht="15.5">
      <c r="A476" s="90"/>
      <c r="B476" s="19" t="s">
        <v>212</v>
      </c>
      <c r="C476" s="94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>
        <v>21.515151515151512</v>
      </c>
      <c r="AB476" s="18">
        <v>30.303030303030301</v>
      </c>
      <c r="AC476" s="18">
        <v>11.568123393316196</v>
      </c>
      <c r="AD476" s="18">
        <v>4.4653179190751446</v>
      </c>
      <c r="AE476" s="18">
        <v>3.6067892503536068</v>
      </c>
      <c r="AF476" s="18">
        <v>0</v>
      </c>
      <c r="AG476" s="18">
        <v>0</v>
      </c>
      <c r="AH476" s="18">
        <v>0</v>
      </c>
      <c r="AI476" s="18">
        <v>0</v>
      </c>
      <c r="AJ476" s="18">
        <v>0</v>
      </c>
      <c r="AK476" s="18">
        <v>0</v>
      </c>
      <c r="AL476" s="18">
        <v>0</v>
      </c>
      <c r="AM476" s="18">
        <v>0</v>
      </c>
      <c r="AN476" s="18">
        <v>0</v>
      </c>
      <c r="AO476" s="18">
        <v>88.223552894211579</v>
      </c>
      <c r="AP476" s="18">
        <v>84.210526315789465</v>
      </c>
      <c r="AQ476" s="147">
        <v>79.824561403508767</v>
      </c>
      <c r="AR476" s="18">
        <v>68.02189210320563</v>
      </c>
      <c r="AS476" s="18">
        <v>52.198852772466537</v>
      </c>
      <c r="AT476" s="18">
        <v>39.257028112449795</v>
      </c>
      <c r="AU476" s="18">
        <v>25.747508305647838</v>
      </c>
      <c r="AV476" s="18">
        <v>28.917910447761194</v>
      </c>
      <c r="AW476" s="18">
        <v>27.480371163454677</v>
      </c>
      <c r="AX476" s="18">
        <v>20.88607594936709</v>
      </c>
      <c r="AY476" s="18">
        <v>8.8560885608856097</v>
      </c>
      <c r="AZ476" s="18">
        <v>0</v>
      </c>
      <c r="BA476" s="18">
        <v>82.452830188679243</v>
      </c>
      <c r="BB476" s="18">
        <v>78.644067796610173</v>
      </c>
      <c r="BC476" s="18">
        <v>73.772791023842913</v>
      </c>
      <c r="BD476" s="18">
        <v>66.978297161936567</v>
      </c>
      <c r="BE476" s="152">
        <v>53.797814207650269</v>
      </c>
      <c r="BF476" s="147">
        <v>44.953051643192488</v>
      </c>
      <c r="BG476" s="258">
        <f>2001/38.8</f>
        <v>51.572164948453612</v>
      </c>
      <c r="BH476" s="258">
        <f>3123/41.85</f>
        <v>74.623655913978496</v>
      </c>
      <c r="BI476" s="268">
        <f>3123/47.36</f>
        <v>65.941722972972968</v>
      </c>
      <c r="BJ476" s="268">
        <f>2879/48.93</f>
        <v>58.839157980788883</v>
      </c>
      <c r="BK476" s="268">
        <f>2268/50.93</f>
        <v>44.531710190457488</v>
      </c>
      <c r="BL476" s="268">
        <f>1840/51.5</f>
        <v>35.728155339805824</v>
      </c>
      <c r="BM476" s="268">
        <f>1497/51.51</f>
        <v>29.062317996505534</v>
      </c>
      <c r="BN476" s="168">
        <v>39</v>
      </c>
      <c r="BO476" s="199">
        <v>13</v>
      </c>
      <c r="BP476" s="154">
        <f>1999/73</f>
        <v>27.383561643835616</v>
      </c>
      <c r="BQ476" s="113">
        <v>27</v>
      </c>
      <c r="BR476" s="259"/>
      <c r="BS476">
        <f t="shared" si="950"/>
        <v>0</v>
      </c>
      <c r="BT476">
        <f t="shared" si="950"/>
        <v>0</v>
      </c>
      <c r="BU476">
        <f t="shared" si="950"/>
        <v>0</v>
      </c>
      <c r="BV476">
        <f t="shared" si="950"/>
        <v>0</v>
      </c>
      <c r="BW476">
        <f t="shared" si="950"/>
        <v>0</v>
      </c>
      <c r="BX476">
        <f t="shared" si="950"/>
        <v>0</v>
      </c>
      <c r="BY476">
        <f t="shared" si="950"/>
        <v>0</v>
      </c>
      <c r="BZ476">
        <f t="shared" si="950"/>
        <v>0</v>
      </c>
      <c r="CA476">
        <f t="shared" si="950"/>
        <v>0</v>
      </c>
      <c r="CB476">
        <f t="shared" si="950"/>
        <v>0</v>
      </c>
      <c r="CC476">
        <f t="shared" si="951"/>
        <v>0</v>
      </c>
      <c r="CD476">
        <f t="shared" si="951"/>
        <v>0</v>
      </c>
      <c r="CE476">
        <f t="shared" si="951"/>
        <v>0</v>
      </c>
      <c r="CF476">
        <f t="shared" si="951"/>
        <v>0</v>
      </c>
      <c r="CG476">
        <f t="shared" si="951"/>
        <v>0</v>
      </c>
      <c r="CH476">
        <f t="shared" si="951"/>
        <v>0</v>
      </c>
      <c r="CI476">
        <f t="shared" si="951"/>
        <v>0</v>
      </c>
      <c r="CJ476">
        <f t="shared" si="951"/>
        <v>0</v>
      </c>
      <c r="CK476">
        <f t="shared" si="951"/>
        <v>0</v>
      </c>
      <c r="CL476">
        <f t="shared" si="951"/>
        <v>0</v>
      </c>
      <c r="CM476">
        <f t="shared" si="952"/>
        <v>0</v>
      </c>
      <c r="CN476">
        <f t="shared" si="952"/>
        <v>0</v>
      </c>
      <c r="CO476">
        <f t="shared" si="952"/>
        <v>0</v>
      </c>
      <c r="CP476">
        <f t="shared" si="952"/>
        <v>0</v>
      </c>
      <c r="CQ476">
        <f t="shared" si="952"/>
        <v>0</v>
      </c>
      <c r="CR476">
        <f t="shared" si="952"/>
        <v>0</v>
      </c>
      <c r="CS476">
        <f t="shared" si="952"/>
        <v>0</v>
      </c>
      <c r="CT476">
        <f t="shared" si="952"/>
        <v>0</v>
      </c>
      <c r="CU476">
        <f t="shared" si="952"/>
        <v>0</v>
      </c>
      <c r="CV476">
        <f t="shared" si="952"/>
        <v>0</v>
      </c>
      <c r="CW476">
        <f t="shared" si="953"/>
        <v>0</v>
      </c>
      <c r="CX476">
        <f t="shared" si="953"/>
        <v>0</v>
      </c>
      <c r="CY476">
        <f t="shared" si="953"/>
        <v>0</v>
      </c>
      <c r="CZ476">
        <f t="shared" si="953"/>
        <v>0</v>
      </c>
      <c r="DA476">
        <f t="shared" si="953"/>
        <v>0</v>
      </c>
      <c r="DB476">
        <f t="shared" si="953"/>
        <v>0</v>
      </c>
      <c r="DC476">
        <f t="shared" si="953"/>
        <v>0</v>
      </c>
      <c r="DD476">
        <f t="shared" si="953"/>
        <v>0</v>
      </c>
      <c r="DE476">
        <f t="shared" si="953"/>
        <v>0</v>
      </c>
      <c r="DF476">
        <f t="shared" si="953"/>
        <v>0</v>
      </c>
      <c r="DG476">
        <f t="shared" si="954"/>
        <v>0</v>
      </c>
      <c r="DH476">
        <f t="shared" si="954"/>
        <v>0</v>
      </c>
      <c r="DI476">
        <f t="shared" si="954"/>
        <v>0</v>
      </c>
      <c r="DJ476">
        <f t="shared" si="954"/>
        <v>0</v>
      </c>
      <c r="DK476">
        <f t="shared" si="954"/>
        <v>0</v>
      </c>
      <c r="DL476">
        <f t="shared" si="954"/>
        <v>0</v>
      </c>
      <c r="DM476">
        <f t="shared" si="954"/>
        <v>0</v>
      </c>
      <c r="DN476">
        <f t="shared" si="954"/>
        <v>0</v>
      </c>
      <c r="DO476">
        <f t="shared" si="954"/>
        <v>0</v>
      </c>
      <c r="DP476">
        <f t="shared" si="954"/>
        <v>0</v>
      </c>
      <c r="DQ476">
        <f t="shared" si="955"/>
        <v>0</v>
      </c>
      <c r="DR476">
        <f t="shared" si="955"/>
        <v>0</v>
      </c>
      <c r="DS476">
        <f t="shared" si="955"/>
        <v>0</v>
      </c>
      <c r="DT476">
        <f t="shared" si="955"/>
        <v>0</v>
      </c>
      <c r="DU476">
        <f t="shared" si="955"/>
        <v>0</v>
      </c>
      <c r="DV476">
        <f t="shared" si="955"/>
        <v>0</v>
      </c>
      <c r="DW476">
        <f t="shared" si="955"/>
        <v>0</v>
      </c>
      <c r="DX476">
        <f t="shared" si="957"/>
        <v>0</v>
      </c>
      <c r="DY476">
        <f t="shared" si="957"/>
        <v>0</v>
      </c>
      <c r="DZ476">
        <f t="shared" si="957"/>
        <v>0</v>
      </c>
      <c r="EA476">
        <f>IF($C476&lt;&gt;"",IF(BL476&gt;0,1,0),0)</f>
        <v>0</v>
      </c>
      <c r="EB476">
        <f>IF($C476&lt;&gt;"",IF(BM476&gt;0,1,0),0)</f>
        <v>0</v>
      </c>
      <c r="EC476">
        <f>IF($C476&lt;&gt;"",IF(BN476&gt;0,1,0),0)</f>
        <v>0</v>
      </c>
      <c r="ED476">
        <f>IF($C476&lt;&gt;"",IF(BN477&gt;0,1,0),0)</f>
        <v>0</v>
      </c>
      <c r="EE476">
        <f>IF($C476&lt;&gt;"",IF(BP476&gt;0,1,0),0)</f>
        <v>0</v>
      </c>
      <c r="EF476">
        <f>IF($C476&lt;&gt;"",IF(BQ476&gt;0,1,0),0)</f>
        <v>0</v>
      </c>
    </row>
    <row r="477" spans="1:136" ht="15.5">
      <c r="A477" s="90"/>
      <c r="B477" s="53"/>
      <c r="C477" s="94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113"/>
      <c r="AQ477" s="113"/>
      <c r="AR477" s="113"/>
      <c r="AS477" s="113"/>
      <c r="AT477" s="113"/>
      <c r="AU477" s="113"/>
      <c r="AV477" s="113"/>
      <c r="AW477" s="113"/>
      <c r="AX477" s="113"/>
      <c r="AY477" s="113"/>
      <c r="AZ477" s="113"/>
      <c r="BA477" s="113"/>
      <c r="BB477" s="113"/>
      <c r="BC477" s="113"/>
      <c r="BD477" s="113"/>
      <c r="BE477" s="113"/>
      <c r="BF477" s="113"/>
      <c r="BG477" s="113"/>
      <c r="BH477" s="113"/>
      <c r="BI477" s="18"/>
      <c r="BJ477" s="113"/>
      <c r="BK477" s="113"/>
      <c r="BL477" s="18"/>
      <c r="BM477" s="113"/>
      <c r="BN477" s="257"/>
      <c r="BO477" s="2"/>
      <c r="BP477" s="2"/>
      <c r="BQ477" s="2"/>
      <c r="BR477" s="101"/>
    </row>
    <row r="478" spans="1:136" ht="15.5">
      <c r="A478" s="93">
        <v>56</v>
      </c>
      <c r="B478" s="52" t="s">
        <v>69</v>
      </c>
      <c r="C478" s="94">
        <v>3</v>
      </c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>
        <f t="shared" ref="AI478:BP478" si="959">SUM(AI479:AI482)</f>
        <v>0</v>
      </c>
      <c r="AJ478" s="9">
        <f t="shared" si="959"/>
        <v>1.1000000000000001</v>
      </c>
      <c r="AK478" s="9">
        <f t="shared" si="959"/>
        <v>0.2</v>
      </c>
      <c r="AL478" s="9">
        <f t="shared" si="959"/>
        <v>58.354680000000002</v>
      </c>
      <c r="AM478" s="9">
        <f t="shared" si="959"/>
        <v>274.41312419999997</v>
      </c>
      <c r="AN478" s="9">
        <f t="shared" si="959"/>
        <v>452.22313080000004</v>
      </c>
      <c r="AO478" s="9">
        <f t="shared" si="959"/>
        <v>154.74122309999998</v>
      </c>
      <c r="AP478" s="9">
        <f t="shared" si="959"/>
        <v>59.176789999999997</v>
      </c>
      <c r="AQ478" s="9">
        <f t="shared" si="959"/>
        <v>113.42619999999999</v>
      </c>
      <c r="AR478" s="9">
        <f t="shared" si="959"/>
        <v>180.66941800000001</v>
      </c>
      <c r="AS478" s="9">
        <f t="shared" si="959"/>
        <v>357.45203230000004</v>
      </c>
      <c r="AT478" s="9">
        <f t="shared" si="959"/>
        <v>351.53639390000001</v>
      </c>
      <c r="AU478" s="9">
        <f t="shared" si="959"/>
        <v>322.9294132</v>
      </c>
      <c r="AV478" s="9">
        <f t="shared" si="959"/>
        <v>423.89161369999999</v>
      </c>
      <c r="AW478" s="9">
        <f>SUM(AW480:AW482)</f>
        <v>221.73870580000002</v>
      </c>
      <c r="AX478" s="9">
        <f>SUM(AX479:AX482)</f>
        <v>214.76483450000001</v>
      </c>
      <c r="AY478" s="9">
        <f t="shared" si="959"/>
        <v>41.871582800000006</v>
      </c>
      <c r="AZ478" s="9">
        <f t="shared" si="959"/>
        <v>35.365000000000002</v>
      </c>
      <c r="BA478" s="9">
        <f t="shared" si="959"/>
        <v>35.365000000000002</v>
      </c>
      <c r="BB478" s="9">
        <f t="shared" si="959"/>
        <v>35.365000000000002</v>
      </c>
      <c r="BC478" s="9">
        <f t="shared" si="959"/>
        <v>35.365000000000002</v>
      </c>
      <c r="BD478" s="9">
        <f t="shared" si="959"/>
        <v>35.675937399999995</v>
      </c>
      <c r="BE478" s="9">
        <f t="shared" si="959"/>
        <v>51.604010500000001</v>
      </c>
      <c r="BF478" s="9">
        <f t="shared" si="959"/>
        <v>35.365000000000002</v>
      </c>
      <c r="BG478" s="9">
        <f t="shared" si="959"/>
        <v>35.365000000000002</v>
      </c>
      <c r="BH478" s="9">
        <f t="shared" si="959"/>
        <v>35.365000000000002</v>
      </c>
      <c r="BI478" s="22">
        <f t="shared" si="959"/>
        <v>35.365000000000002</v>
      </c>
      <c r="BJ478" s="22">
        <f t="shared" si="959"/>
        <v>7.2949999999999999</v>
      </c>
      <c r="BK478" s="22">
        <f t="shared" si="959"/>
        <v>7.2949999999999999</v>
      </c>
      <c r="BL478" s="22">
        <f t="shared" si="959"/>
        <v>7.2949999999999999</v>
      </c>
      <c r="BM478" s="22">
        <f t="shared" si="959"/>
        <v>7.2949999999999999</v>
      </c>
      <c r="BN478" s="22">
        <f t="shared" si="959"/>
        <v>7.2949999999999999</v>
      </c>
      <c r="BO478" s="22">
        <f t="shared" si="959"/>
        <v>7</v>
      </c>
      <c r="BP478" s="22">
        <f t="shared" si="959"/>
        <v>7</v>
      </c>
      <c r="BQ478" s="22">
        <f>SUM(BQ479:BQ482)</f>
        <v>7</v>
      </c>
      <c r="BR478" s="101"/>
      <c r="BS478">
        <f t="shared" ref="BS478:CX478" si="960">IF($C478&lt;&gt;"",IF(D478&gt;0,1,0),0)</f>
        <v>0</v>
      </c>
      <c r="BT478">
        <f t="shared" si="960"/>
        <v>0</v>
      </c>
      <c r="BU478">
        <f t="shared" si="960"/>
        <v>0</v>
      </c>
      <c r="BV478">
        <f t="shared" si="960"/>
        <v>0</v>
      </c>
      <c r="BW478">
        <f t="shared" si="960"/>
        <v>0</v>
      </c>
      <c r="BX478">
        <f t="shared" si="960"/>
        <v>0</v>
      </c>
      <c r="BY478">
        <f t="shared" si="960"/>
        <v>0</v>
      </c>
      <c r="BZ478">
        <f t="shared" si="960"/>
        <v>0</v>
      </c>
      <c r="CA478">
        <f t="shared" si="960"/>
        <v>0</v>
      </c>
      <c r="CB478">
        <f t="shared" si="960"/>
        <v>0</v>
      </c>
      <c r="CC478">
        <f t="shared" si="960"/>
        <v>0</v>
      </c>
      <c r="CD478">
        <f t="shared" si="960"/>
        <v>0</v>
      </c>
      <c r="CE478">
        <f t="shared" si="960"/>
        <v>0</v>
      </c>
      <c r="CF478">
        <f t="shared" si="960"/>
        <v>0</v>
      </c>
      <c r="CG478">
        <f t="shared" si="960"/>
        <v>0</v>
      </c>
      <c r="CH478">
        <f t="shared" si="960"/>
        <v>0</v>
      </c>
      <c r="CI478">
        <f t="shared" si="960"/>
        <v>0</v>
      </c>
      <c r="CJ478">
        <f t="shared" si="960"/>
        <v>0</v>
      </c>
      <c r="CK478">
        <f t="shared" si="960"/>
        <v>0</v>
      </c>
      <c r="CL478">
        <f t="shared" si="960"/>
        <v>0</v>
      </c>
      <c r="CM478">
        <f t="shared" si="960"/>
        <v>0</v>
      </c>
      <c r="CN478">
        <f t="shared" si="960"/>
        <v>0</v>
      </c>
      <c r="CO478">
        <f t="shared" si="960"/>
        <v>0</v>
      </c>
      <c r="CP478">
        <f t="shared" si="960"/>
        <v>0</v>
      </c>
      <c r="CQ478">
        <f t="shared" si="960"/>
        <v>0</v>
      </c>
      <c r="CR478">
        <f t="shared" si="960"/>
        <v>0</v>
      </c>
      <c r="CS478">
        <f t="shared" si="960"/>
        <v>0</v>
      </c>
      <c r="CT478">
        <f t="shared" si="960"/>
        <v>0</v>
      </c>
      <c r="CU478">
        <f t="shared" si="960"/>
        <v>0</v>
      </c>
      <c r="CV478">
        <f t="shared" si="960"/>
        <v>0</v>
      </c>
      <c r="CW478">
        <f t="shared" si="960"/>
        <v>0</v>
      </c>
      <c r="CX478">
        <f t="shared" si="960"/>
        <v>0</v>
      </c>
      <c r="CY478">
        <f t="shared" ref="CY478:ED478" si="961">IF($C478&lt;&gt;"",IF(AJ478&gt;0,1,0),0)</f>
        <v>1</v>
      </c>
      <c r="CZ478">
        <f t="shared" si="961"/>
        <v>1</v>
      </c>
      <c r="DA478">
        <f t="shared" si="961"/>
        <v>1</v>
      </c>
      <c r="DB478">
        <f t="shared" si="961"/>
        <v>1</v>
      </c>
      <c r="DC478">
        <f t="shared" si="961"/>
        <v>1</v>
      </c>
      <c r="DD478">
        <f t="shared" si="961"/>
        <v>1</v>
      </c>
      <c r="DE478">
        <f t="shared" si="961"/>
        <v>1</v>
      </c>
      <c r="DF478">
        <f t="shared" si="961"/>
        <v>1</v>
      </c>
      <c r="DG478">
        <f t="shared" si="961"/>
        <v>1</v>
      </c>
      <c r="DH478">
        <f t="shared" si="961"/>
        <v>1</v>
      </c>
      <c r="DI478">
        <f t="shared" si="961"/>
        <v>1</v>
      </c>
      <c r="DJ478">
        <f t="shared" si="961"/>
        <v>1</v>
      </c>
      <c r="DK478">
        <f t="shared" si="961"/>
        <v>1</v>
      </c>
      <c r="DL478">
        <f t="shared" si="961"/>
        <v>1</v>
      </c>
      <c r="DM478">
        <f t="shared" si="961"/>
        <v>1</v>
      </c>
      <c r="DN478">
        <f t="shared" si="961"/>
        <v>1</v>
      </c>
      <c r="DO478">
        <f t="shared" si="961"/>
        <v>1</v>
      </c>
      <c r="DP478">
        <f t="shared" si="961"/>
        <v>1</v>
      </c>
      <c r="DQ478">
        <f t="shared" si="961"/>
        <v>1</v>
      </c>
      <c r="DR478">
        <f t="shared" si="961"/>
        <v>1</v>
      </c>
      <c r="DS478">
        <f t="shared" si="961"/>
        <v>1</v>
      </c>
      <c r="DT478">
        <f t="shared" si="961"/>
        <v>1</v>
      </c>
      <c r="DU478">
        <f t="shared" si="961"/>
        <v>1</v>
      </c>
      <c r="DV478">
        <f t="shared" si="961"/>
        <v>1</v>
      </c>
      <c r="DW478">
        <f t="shared" si="961"/>
        <v>1</v>
      </c>
      <c r="DX478">
        <f t="shared" si="961"/>
        <v>1</v>
      </c>
      <c r="DY478">
        <f t="shared" si="961"/>
        <v>1</v>
      </c>
      <c r="DZ478">
        <f t="shared" si="961"/>
        <v>1</v>
      </c>
      <c r="EA478">
        <f t="shared" si="961"/>
        <v>1</v>
      </c>
      <c r="EB478">
        <f t="shared" si="961"/>
        <v>1</v>
      </c>
      <c r="EC478">
        <f t="shared" si="961"/>
        <v>1</v>
      </c>
      <c r="ED478">
        <f t="shared" si="961"/>
        <v>1</v>
      </c>
      <c r="EE478">
        <f t="shared" ref="EE478:EF478" si="962">IF($C478&lt;&gt;"",IF(BP478&gt;0,1,0),0)</f>
        <v>1</v>
      </c>
      <c r="EF478">
        <f t="shared" si="962"/>
        <v>1</v>
      </c>
    </row>
    <row r="479" spans="1:136" ht="15.5">
      <c r="A479" s="90"/>
      <c r="B479" s="19" t="s">
        <v>2</v>
      </c>
      <c r="C479" s="94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18">
        <v>0</v>
      </c>
      <c r="AJ479" s="18">
        <v>0</v>
      </c>
      <c r="AK479" s="18">
        <v>0</v>
      </c>
      <c r="AL479" s="34">
        <v>0</v>
      </c>
      <c r="AM479" s="34">
        <v>0</v>
      </c>
      <c r="AN479" s="34">
        <v>0</v>
      </c>
      <c r="AO479" s="34">
        <v>0</v>
      </c>
      <c r="AP479" s="34">
        <v>0</v>
      </c>
      <c r="AQ479" s="34">
        <v>0</v>
      </c>
      <c r="AR479" s="40" t="s">
        <v>16</v>
      </c>
      <c r="AS479" s="34">
        <v>58</v>
      </c>
      <c r="AT479" s="40" t="s">
        <v>16</v>
      </c>
      <c r="AU479" s="40" t="s">
        <v>16</v>
      </c>
      <c r="AV479" s="34">
        <v>161</v>
      </c>
      <c r="AW479" s="18">
        <v>0</v>
      </c>
      <c r="AX479" s="18">
        <v>0</v>
      </c>
      <c r="AY479" s="18">
        <v>0</v>
      </c>
      <c r="AZ479" s="18">
        <v>0</v>
      </c>
      <c r="BA479" s="18">
        <v>0</v>
      </c>
      <c r="BB479" s="18">
        <v>0</v>
      </c>
      <c r="BC479" s="18">
        <v>0</v>
      </c>
      <c r="BD479" s="18">
        <v>0</v>
      </c>
      <c r="BE479" s="18">
        <v>0</v>
      </c>
      <c r="BF479" s="18">
        <v>0</v>
      </c>
      <c r="BG479" s="18">
        <v>0</v>
      </c>
      <c r="BH479" s="18">
        <v>0</v>
      </c>
      <c r="BI479" s="113">
        <v>0</v>
      </c>
      <c r="BJ479" s="113">
        <v>0</v>
      </c>
      <c r="BK479" s="113">
        <v>0</v>
      </c>
      <c r="BL479" s="113">
        <v>0</v>
      </c>
      <c r="BM479" s="113">
        <v>0</v>
      </c>
      <c r="BN479" s="113">
        <v>0</v>
      </c>
      <c r="BO479" s="113">
        <v>0</v>
      </c>
      <c r="BP479" s="113">
        <v>0</v>
      </c>
      <c r="BQ479" s="113">
        <v>0</v>
      </c>
      <c r="BR479" s="101"/>
      <c r="BS479">
        <f t="shared" ref="BS479:CB483" si="963">IF($C479&lt;&gt;"",IF(D479&gt;0,1,0),0)</f>
        <v>0</v>
      </c>
      <c r="BT479">
        <f t="shared" si="963"/>
        <v>0</v>
      </c>
      <c r="BU479">
        <f t="shared" si="963"/>
        <v>0</v>
      </c>
      <c r="BV479">
        <f t="shared" si="963"/>
        <v>0</v>
      </c>
      <c r="BW479">
        <f t="shared" si="963"/>
        <v>0</v>
      </c>
      <c r="BX479">
        <f t="shared" si="963"/>
        <v>0</v>
      </c>
      <c r="BY479">
        <f t="shared" si="963"/>
        <v>0</v>
      </c>
      <c r="BZ479">
        <f t="shared" si="963"/>
        <v>0</v>
      </c>
      <c r="CA479">
        <f t="shared" si="963"/>
        <v>0</v>
      </c>
      <c r="CB479">
        <f t="shared" si="963"/>
        <v>0</v>
      </c>
      <c r="CC479">
        <f t="shared" ref="CC479:CL483" si="964">IF($C479&lt;&gt;"",IF(N479&gt;0,1,0),0)</f>
        <v>0</v>
      </c>
      <c r="CD479">
        <f t="shared" si="964"/>
        <v>0</v>
      </c>
      <c r="CE479">
        <f t="shared" si="964"/>
        <v>0</v>
      </c>
      <c r="CF479">
        <f t="shared" si="964"/>
        <v>0</v>
      </c>
      <c r="CG479">
        <f t="shared" si="964"/>
        <v>0</v>
      </c>
      <c r="CH479">
        <f t="shared" si="964"/>
        <v>0</v>
      </c>
      <c r="CI479">
        <f t="shared" si="964"/>
        <v>0</v>
      </c>
      <c r="CJ479">
        <f t="shared" si="964"/>
        <v>0</v>
      </c>
      <c r="CK479">
        <f t="shared" si="964"/>
        <v>0</v>
      </c>
      <c r="CL479">
        <f t="shared" si="964"/>
        <v>0</v>
      </c>
      <c r="CM479">
        <f t="shared" ref="CM479:CV483" si="965">IF($C479&lt;&gt;"",IF(X479&gt;0,1,0),0)</f>
        <v>0</v>
      </c>
      <c r="CN479">
        <f t="shared" si="965"/>
        <v>0</v>
      </c>
      <c r="CO479">
        <f t="shared" si="965"/>
        <v>0</v>
      </c>
      <c r="CP479">
        <f t="shared" si="965"/>
        <v>0</v>
      </c>
      <c r="CQ479">
        <f t="shared" si="965"/>
        <v>0</v>
      </c>
      <c r="CR479">
        <f t="shared" si="965"/>
        <v>0</v>
      </c>
      <c r="CS479">
        <f t="shared" si="965"/>
        <v>0</v>
      </c>
      <c r="CT479">
        <f t="shared" si="965"/>
        <v>0</v>
      </c>
      <c r="CU479">
        <f t="shared" si="965"/>
        <v>0</v>
      </c>
      <c r="CV479">
        <f t="shared" si="965"/>
        <v>0</v>
      </c>
      <c r="CW479">
        <f t="shared" ref="CW479:DF483" si="966">IF($C479&lt;&gt;"",IF(AH479&gt;0,1,0),0)</f>
        <v>0</v>
      </c>
      <c r="CX479">
        <f t="shared" si="966"/>
        <v>0</v>
      </c>
      <c r="CY479">
        <f t="shared" si="966"/>
        <v>0</v>
      </c>
      <c r="CZ479">
        <f t="shared" si="966"/>
        <v>0</v>
      </c>
      <c r="DA479">
        <f t="shared" si="966"/>
        <v>0</v>
      </c>
      <c r="DB479">
        <f t="shared" si="966"/>
        <v>0</v>
      </c>
      <c r="DC479">
        <f t="shared" si="966"/>
        <v>0</v>
      </c>
      <c r="DD479">
        <f t="shared" si="966"/>
        <v>0</v>
      </c>
      <c r="DE479">
        <f t="shared" si="966"/>
        <v>0</v>
      </c>
      <c r="DF479">
        <f t="shared" si="966"/>
        <v>0</v>
      </c>
      <c r="DG479">
        <f t="shared" ref="DG479:DK483" si="967">IF($C479&lt;&gt;"",IF(AR479&gt;0,1,0),0)</f>
        <v>0</v>
      </c>
      <c r="DH479">
        <f t="shared" si="967"/>
        <v>0</v>
      </c>
      <c r="DI479">
        <f t="shared" si="967"/>
        <v>0</v>
      </c>
      <c r="DJ479">
        <f t="shared" si="967"/>
        <v>0</v>
      </c>
      <c r="DK479">
        <f t="shared" si="967"/>
        <v>0</v>
      </c>
      <c r="DL479">
        <f>IF($C479&lt;&gt;"",IF(AW480&gt;0,1,0),0)</f>
        <v>0</v>
      </c>
      <c r="DM479">
        <f t="shared" ref="DM479:DZ483" si="968">IF($C479&lt;&gt;"",IF(AX479&gt;0,1,0),0)</f>
        <v>0</v>
      </c>
      <c r="DN479">
        <f t="shared" si="968"/>
        <v>0</v>
      </c>
      <c r="DO479">
        <f t="shared" si="968"/>
        <v>0</v>
      </c>
      <c r="DP479">
        <f t="shared" si="968"/>
        <v>0</v>
      </c>
      <c r="DQ479">
        <f t="shared" si="968"/>
        <v>0</v>
      </c>
      <c r="DR479">
        <f t="shared" si="968"/>
        <v>0</v>
      </c>
      <c r="DS479">
        <f t="shared" si="968"/>
        <v>0</v>
      </c>
      <c r="DT479">
        <f t="shared" si="968"/>
        <v>0</v>
      </c>
      <c r="DU479">
        <f t="shared" si="968"/>
        <v>0</v>
      </c>
      <c r="DV479">
        <f t="shared" si="968"/>
        <v>0</v>
      </c>
      <c r="DW479">
        <f t="shared" si="968"/>
        <v>0</v>
      </c>
      <c r="DX479">
        <f t="shared" si="968"/>
        <v>0</v>
      </c>
      <c r="DY479">
        <f t="shared" si="968"/>
        <v>0</v>
      </c>
      <c r="DZ479">
        <f t="shared" si="968"/>
        <v>0</v>
      </c>
      <c r="EA479">
        <f t="shared" ref="EA479:EF482" si="969">IF($C479&lt;&gt;"",IF(BL478&gt;0,1,0),0)</f>
        <v>0</v>
      </c>
      <c r="EB479">
        <f t="shared" si="969"/>
        <v>0</v>
      </c>
      <c r="EC479">
        <f t="shared" si="969"/>
        <v>0</v>
      </c>
      <c r="ED479">
        <f t="shared" si="969"/>
        <v>0</v>
      </c>
      <c r="EE479">
        <f t="shared" si="969"/>
        <v>0</v>
      </c>
      <c r="EF479">
        <f t="shared" si="969"/>
        <v>0</v>
      </c>
    </row>
    <row r="480" spans="1:136" ht="15.5">
      <c r="A480" s="90"/>
      <c r="B480" s="19" t="s">
        <v>205</v>
      </c>
      <c r="C480" s="94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18">
        <v>0</v>
      </c>
      <c r="AJ480" s="18">
        <v>0</v>
      </c>
      <c r="AK480" s="18">
        <v>0</v>
      </c>
      <c r="AL480" s="34">
        <v>0</v>
      </c>
      <c r="AM480" s="34">
        <v>1.8244241999999999</v>
      </c>
      <c r="AN480" s="34">
        <v>2.9560307999999997</v>
      </c>
      <c r="AO480" s="34">
        <v>3.9161231000000001</v>
      </c>
      <c r="AP480" s="34">
        <v>0</v>
      </c>
      <c r="AQ480" s="34">
        <v>0</v>
      </c>
      <c r="AR480" s="18">
        <v>0</v>
      </c>
      <c r="AS480" s="34">
        <v>0.60394680000000001</v>
      </c>
      <c r="AT480" s="18">
        <v>1.3772713999999999</v>
      </c>
      <c r="AU480" s="18">
        <v>2.3162746000000003</v>
      </c>
      <c r="AV480" s="34">
        <v>3.3766349</v>
      </c>
      <c r="AW480" s="71">
        <v>2.907251</v>
      </c>
      <c r="AX480" s="18">
        <v>2.6</v>
      </c>
      <c r="AY480" s="18">
        <v>0</v>
      </c>
      <c r="AZ480" s="18">
        <v>0</v>
      </c>
      <c r="BA480" s="18">
        <v>0</v>
      </c>
      <c r="BB480" s="18">
        <v>0</v>
      </c>
      <c r="BC480" s="18">
        <v>0</v>
      </c>
      <c r="BD480" s="18">
        <v>0</v>
      </c>
      <c r="BE480" s="25">
        <v>0</v>
      </c>
      <c r="BF480" s="18">
        <v>0</v>
      </c>
      <c r="BG480" s="18">
        <v>0</v>
      </c>
      <c r="BH480" s="18">
        <v>0</v>
      </c>
      <c r="BI480" s="113">
        <v>0</v>
      </c>
      <c r="BJ480" s="113">
        <v>0</v>
      </c>
      <c r="BK480" s="113">
        <v>0</v>
      </c>
      <c r="BL480" s="113">
        <v>0</v>
      </c>
      <c r="BM480" s="113">
        <v>0</v>
      </c>
      <c r="BN480" s="113">
        <v>0</v>
      </c>
      <c r="BO480" s="113">
        <v>0</v>
      </c>
      <c r="BP480" s="113">
        <v>0</v>
      </c>
      <c r="BQ480" s="113">
        <v>0</v>
      </c>
      <c r="BR480" s="101"/>
      <c r="BS480">
        <f t="shared" si="963"/>
        <v>0</v>
      </c>
      <c r="BT480">
        <f t="shared" si="963"/>
        <v>0</v>
      </c>
      <c r="BU480">
        <f t="shared" si="963"/>
        <v>0</v>
      </c>
      <c r="BV480">
        <f t="shared" si="963"/>
        <v>0</v>
      </c>
      <c r="BW480">
        <f t="shared" si="963"/>
        <v>0</v>
      </c>
      <c r="BX480">
        <f t="shared" si="963"/>
        <v>0</v>
      </c>
      <c r="BY480">
        <f t="shared" si="963"/>
        <v>0</v>
      </c>
      <c r="BZ480">
        <f t="shared" si="963"/>
        <v>0</v>
      </c>
      <c r="CA480">
        <f t="shared" si="963"/>
        <v>0</v>
      </c>
      <c r="CB480">
        <f t="shared" si="963"/>
        <v>0</v>
      </c>
      <c r="CC480">
        <f t="shared" si="964"/>
        <v>0</v>
      </c>
      <c r="CD480">
        <f t="shared" si="964"/>
        <v>0</v>
      </c>
      <c r="CE480">
        <f t="shared" si="964"/>
        <v>0</v>
      </c>
      <c r="CF480">
        <f t="shared" si="964"/>
        <v>0</v>
      </c>
      <c r="CG480">
        <f t="shared" si="964"/>
        <v>0</v>
      </c>
      <c r="CH480">
        <f t="shared" si="964"/>
        <v>0</v>
      </c>
      <c r="CI480">
        <f t="shared" si="964"/>
        <v>0</v>
      </c>
      <c r="CJ480">
        <f t="shared" si="964"/>
        <v>0</v>
      </c>
      <c r="CK480">
        <f t="shared" si="964"/>
        <v>0</v>
      </c>
      <c r="CL480">
        <f t="shared" si="964"/>
        <v>0</v>
      </c>
      <c r="CM480">
        <f t="shared" si="965"/>
        <v>0</v>
      </c>
      <c r="CN480">
        <f t="shared" si="965"/>
        <v>0</v>
      </c>
      <c r="CO480">
        <f t="shared" si="965"/>
        <v>0</v>
      </c>
      <c r="CP480">
        <f t="shared" si="965"/>
        <v>0</v>
      </c>
      <c r="CQ480">
        <f t="shared" si="965"/>
        <v>0</v>
      </c>
      <c r="CR480">
        <f t="shared" si="965"/>
        <v>0</v>
      </c>
      <c r="CS480">
        <f t="shared" si="965"/>
        <v>0</v>
      </c>
      <c r="CT480">
        <f t="shared" si="965"/>
        <v>0</v>
      </c>
      <c r="CU480">
        <f t="shared" si="965"/>
        <v>0</v>
      </c>
      <c r="CV480">
        <f t="shared" si="965"/>
        <v>0</v>
      </c>
      <c r="CW480">
        <f t="shared" si="966"/>
        <v>0</v>
      </c>
      <c r="CX480">
        <f t="shared" si="966"/>
        <v>0</v>
      </c>
      <c r="CY480">
        <f t="shared" si="966"/>
        <v>0</v>
      </c>
      <c r="CZ480">
        <f t="shared" si="966"/>
        <v>0</v>
      </c>
      <c r="DA480">
        <f t="shared" si="966"/>
        <v>0</v>
      </c>
      <c r="DB480">
        <f t="shared" si="966"/>
        <v>0</v>
      </c>
      <c r="DC480">
        <f t="shared" si="966"/>
        <v>0</v>
      </c>
      <c r="DD480">
        <f t="shared" si="966"/>
        <v>0</v>
      </c>
      <c r="DE480">
        <f t="shared" si="966"/>
        <v>0</v>
      </c>
      <c r="DF480">
        <f t="shared" si="966"/>
        <v>0</v>
      </c>
      <c r="DG480">
        <f t="shared" si="967"/>
        <v>0</v>
      </c>
      <c r="DH480">
        <f t="shared" si="967"/>
        <v>0</v>
      </c>
      <c r="DI480">
        <f t="shared" si="967"/>
        <v>0</v>
      </c>
      <c r="DJ480">
        <f t="shared" si="967"/>
        <v>0</v>
      </c>
      <c r="DK480">
        <f t="shared" si="967"/>
        <v>0</v>
      </c>
      <c r="DL480">
        <f>IF($C480&lt;&gt;"",IF(#REF!&gt;0,1,0),0)</f>
        <v>0</v>
      </c>
      <c r="DM480">
        <f t="shared" si="968"/>
        <v>0</v>
      </c>
      <c r="DN480">
        <f t="shared" si="968"/>
        <v>0</v>
      </c>
      <c r="DO480">
        <f t="shared" si="968"/>
        <v>0</v>
      </c>
      <c r="DP480">
        <f t="shared" si="968"/>
        <v>0</v>
      </c>
      <c r="DQ480">
        <f t="shared" si="968"/>
        <v>0</v>
      </c>
      <c r="DR480">
        <f t="shared" si="968"/>
        <v>0</v>
      </c>
      <c r="DS480">
        <f t="shared" si="968"/>
        <v>0</v>
      </c>
      <c r="DT480">
        <f t="shared" si="968"/>
        <v>0</v>
      </c>
      <c r="DU480">
        <f t="shared" si="968"/>
        <v>0</v>
      </c>
      <c r="DV480">
        <f t="shared" si="968"/>
        <v>0</v>
      </c>
      <c r="DW480">
        <f t="shared" si="968"/>
        <v>0</v>
      </c>
      <c r="DX480">
        <f t="shared" si="968"/>
        <v>0</v>
      </c>
      <c r="DY480">
        <f t="shared" si="968"/>
        <v>0</v>
      </c>
      <c r="DZ480">
        <f t="shared" si="968"/>
        <v>0</v>
      </c>
      <c r="EA480">
        <f t="shared" si="969"/>
        <v>0</v>
      </c>
      <c r="EB480">
        <f t="shared" si="969"/>
        <v>0</v>
      </c>
      <c r="EC480">
        <f t="shared" si="969"/>
        <v>0</v>
      </c>
      <c r="ED480">
        <f t="shared" si="969"/>
        <v>0</v>
      </c>
      <c r="EE480">
        <f t="shared" si="969"/>
        <v>0</v>
      </c>
      <c r="EF480">
        <f t="shared" si="969"/>
        <v>0</v>
      </c>
    </row>
    <row r="481" spans="1:136" ht="15.5">
      <c r="A481" s="90"/>
      <c r="B481" s="57" t="s">
        <v>3</v>
      </c>
      <c r="C481" s="94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>
        <v>0</v>
      </c>
      <c r="AJ481" s="18">
        <v>0</v>
      </c>
      <c r="AK481" s="18">
        <v>0</v>
      </c>
      <c r="AL481" s="18">
        <v>57.354680000000002</v>
      </c>
      <c r="AM481" s="18">
        <v>256.68869999999998</v>
      </c>
      <c r="AN481" s="18">
        <v>418.96710000000002</v>
      </c>
      <c r="AO481" s="18">
        <v>139.47409999999999</v>
      </c>
      <c r="AP481" s="18">
        <v>59.176789999999997</v>
      </c>
      <c r="AQ481" s="18">
        <v>113.42619999999999</v>
      </c>
      <c r="AR481" s="18">
        <v>180.66941800000001</v>
      </c>
      <c r="AS481" s="18">
        <v>298.84808550000002</v>
      </c>
      <c r="AT481" s="18">
        <v>350.15912250000002</v>
      </c>
      <c r="AU481" s="18">
        <v>320.61313860000001</v>
      </c>
      <c r="AV481" s="18">
        <v>259.51497879999999</v>
      </c>
      <c r="AW481" s="18">
        <v>218.83145480000002</v>
      </c>
      <c r="AX481" s="18">
        <v>212.16483450000001</v>
      </c>
      <c r="AY481" s="18">
        <v>41.871582800000006</v>
      </c>
      <c r="AZ481" s="18">
        <v>35.365000000000002</v>
      </c>
      <c r="BA481" s="18">
        <v>35.365000000000002</v>
      </c>
      <c r="BB481" s="18">
        <v>35.365000000000002</v>
      </c>
      <c r="BC481" s="18">
        <v>35.365000000000002</v>
      </c>
      <c r="BD481" s="18">
        <v>35.675937399999995</v>
      </c>
      <c r="BE481" s="25">
        <v>51.604010500000001</v>
      </c>
      <c r="BF481" s="18">
        <v>35.365000000000002</v>
      </c>
      <c r="BG481" s="18">
        <v>35.365000000000002</v>
      </c>
      <c r="BH481" s="18">
        <v>35.365000000000002</v>
      </c>
      <c r="BI481" s="18">
        <v>35.365000000000002</v>
      </c>
      <c r="BJ481" s="18">
        <v>7.2949999999999999</v>
      </c>
      <c r="BK481" s="34">
        <v>7.2949999999999999</v>
      </c>
      <c r="BL481" s="113">
        <v>7.2949999999999999</v>
      </c>
      <c r="BM481" s="113">
        <v>7.2949999999999999</v>
      </c>
      <c r="BN481" s="113">
        <v>7.2949999999999999</v>
      </c>
      <c r="BO481" s="113">
        <v>7</v>
      </c>
      <c r="BP481" s="113">
        <v>7</v>
      </c>
      <c r="BQ481" s="113">
        <v>7</v>
      </c>
      <c r="BR481" s="101"/>
      <c r="BS481">
        <f t="shared" si="963"/>
        <v>0</v>
      </c>
      <c r="BT481">
        <f t="shared" si="963"/>
        <v>0</v>
      </c>
      <c r="BU481">
        <f t="shared" si="963"/>
        <v>0</v>
      </c>
      <c r="BV481">
        <f t="shared" si="963"/>
        <v>0</v>
      </c>
      <c r="BW481">
        <f t="shared" si="963"/>
        <v>0</v>
      </c>
      <c r="BX481">
        <f t="shared" si="963"/>
        <v>0</v>
      </c>
      <c r="BY481">
        <f t="shared" si="963"/>
        <v>0</v>
      </c>
      <c r="BZ481">
        <f t="shared" si="963"/>
        <v>0</v>
      </c>
      <c r="CA481">
        <f t="shared" si="963"/>
        <v>0</v>
      </c>
      <c r="CB481">
        <f t="shared" si="963"/>
        <v>0</v>
      </c>
      <c r="CC481">
        <f t="shared" si="964"/>
        <v>0</v>
      </c>
      <c r="CD481">
        <f t="shared" si="964"/>
        <v>0</v>
      </c>
      <c r="CE481">
        <f t="shared" si="964"/>
        <v>0</v>
      </c>
      <c r="CF481">
        <f t="shared" si="964"/>
        <v>0</v>
      </c>
      <c r="CG481">
        <f t="shared" si="964"/>
        <v>0</v>
      </c>
      <c r="CH481">
        <f t="shared" si="964"/>
        <v>0</v>
      </c>
      <c r="CI481">
        <f t="shared" si="964"/>
        <v>0</v>
      </c>
      <c r="CJ481">
        <f t="shared" si="964"/>
        <v>0</v>
      </c>
      <c r="CK481">
        <f t="shared" si="964"/>
        <v>0</v>
      </c>
      <c r="CL481">
        <f t="shared" si="964"/>
        <v>0</v>
      </c>
      <c r="CM481">
        <f t="shared" si="965"/>
        <v>0</v>
      </c>
      <c r="CN481">
        <f t="shared" si="965"/>
        <v>0</v>
      </c>
      <c r="CO481">
        <f t="shared" si="965"/>
        <v>0</v>
      </c>
      <c r="CP481">
        <f t="shared" si="965"/>
        <v>0</v>
      </c>
      <c r="CQ481">
        <f t="shared" si="965"/>
        <v>0</v>
      </c>
      <c r="CR481">
        <f t="shared" si="965"/>
        <v>0</v>
      </c>
      <c r="CS481">
        <f t="shared" si="965"/>
        <v>0</v>
      </c>
      <c r="CT481">
        <f t="shared" si="965"/>
        <v>0</v>
      </c>
      <c r="CU481">
        <f t="shared" si="965"/>
        <v>0</v>
      </c>
      <c r="CV481">
        <f t="shared" si="965"/>
        <v>0</v>
      </c>
      <c r="CW481">
        <f t="shared" si="966"/>
        <v>0</v>
      </c>
      <c r="CX481">
        <f t="shared" si="966"/>
        <v>0</v>
      </c>
      <c r="CY481">
        <f t="shared" si="966"/>
        <v>0</v>
      </c>
      <c r="CZ481">
        <f t="shared" si="966"/>
        <v>0</v>
      </c>
      <c r="DA481">
        <f t="shared" si="966"/>
        <v>0</v>
      </c>
      <c r="DB481">
        <f t="shared" si="966"/>
        <v>0</v>
      </c>
      <c r="DC481">
        <f t="shared" si="966"/>
        <v>0</v>
      </c>
      <c r="DD481">
        <f t="shared" si="966"/>
        <v>0</v>
      </c>
      <c r="DE481">
        <f t="shared" si="966"/>
        <v>0</v>
      </c>
      <c r="DF481">
        <f t="shared" si="966"/>
        <v>0</v>
      </c>
      <c r="DG481">
        <f t="shared" si="967"/>
        <v>0</v>
      </c>
      <c r="DH481">
        <f t="shared" si="967"/>
        <v>0</v>
      </c>
      <c r="DI481">
        <f t="shared" si="967"/>
        <v>0</v>
      </c>
      <c r="DJ481">
        <f t="shared" si="967"/>
        <v>0</v>
      </c>
      <c r="DK481">
        <f t="shared" si="967"/>
        <v>0</v>
      </c>
      <c r="DL481">
        <f>IF($C481&lt;&gt;"",IF(AW481&gt;0,1,0),0)</f>
        <v>0</v>
      </c>
      <c r="DM481">
        <f t="shared" si="968"/>
        <v>0</v>
      </c>
      <c r="DN481">
        <f t="shared" si="968"/>
        <v>0</v>
      </c>
      <c r="DO481">
        <f t="shared" si="968"/>
        <v>0</v>
      </c>
      <c r="DP481">
        <f t="shared" si="968"/>
        <v>0</v>
      </c>
      <c r="DQ481">
        <f t="shared" si="968"/>
        <v>0</v>
      </c>
      <c r="DR481">
        <f t="shared" si="968"/>
        <v>0</v>
      </c>
      <c r="DS481">
        <f t="shared" si="968"/>
        <v>0</v>
      </c>
      <c r="DT481">
        <f t="shared" si="968"/>
        <v>0</v>
      </c>
      <c r="DU481">
        <f t="shared" si="968"/>
        <v>0</v>
      </c>
      <c r="DV481">
        <f t="shared" si="968"/>
        <v>0</v>
      </c>
      <c r="DW481">
        <f t="shared" si="968"/>
        <v>0</v>
      </c>
      <c r="DX481">
        <f t="shared" si="968"/>
        <v>0</v>
      </c>
      <c r="DY481">
        <f t="shared" si="968"/>
        <v>0</v>
      </c>
      <c r="DZ481">
        <f t="shared" si="968"/>
        <v>0</v>
      </c>
      <c r="EA481">
        <f t="shared" si="969"/>
        <v>0</v>
      </c>
      <c r="EB481">
        <f t="shared" si="969"/>
        <v>0</v>
      </c>
      <c r="EC481">
        <f t="shared" si="969"/>
        <v>0</v>
      </c>
      <c r="ED481">
        <f t="shared" si="969"/>
        <v>0</v>
      </c>
      <c r="EE481">
        <f t="shared" si="969"/>
        <v>0</v>
      </c>
      <c r="EF481">
        <f t="shared" si="969"/>
        <v>0</v>
      </c>
    </row>
    <row r="482" spans="1:136" ht="15.5">
      <c r="A482" s="90"/>
      <c r="B482" s="19" t="s">
        <v>208</v>
      </c>
      <c r="C482" s="94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>
        <v>0</v>
      </c>
      <c r="AJ482" s="18">
        <v>1.1000000000000001</v>
      </c>
      <c r="AK482" s="18">
        <v>0.2</v>
      </c>
      <c r="AL482" s="18">
        <v>1</v>
      </c>
      <c r="AM482" s="18">
        <v>15.899999999999999</v>
      </c>
      <c r="AN482" s="18">
        <v>30.3</v>
      </c>
      <c r="AO482" s="18">
        <v>11.351000000000001</v>
      </c>
      <c r="AP482" s="18">
        <v>0</v>
      </c>
      <c r="AQ482" s="18">
        <v>0</v>
      </c>
      <c r="AR482" s="18">
        <v>0</v>
      </c>
      <c r="AS482" s="18">
        <v>0</v>
      </c>
      <c r="AT482" s="18">
        <v>0</v>
      </c>
      <c r="AU482" s="18">
        <v>0</v>
      </c>
      <c r="AV482" s="18">
        <v>0</v>
      </c>
      <c r="AW482" s="18">
        <v>0</v>
      </c>
      <c r="AX482" s="18">
        <v>0</v>
      </c>
      <c r="AY482" s="18">
        <v>0</v>
      </c>
      <c r="AZ482" s="18">
        <v>0</v>
      </c>
      <c r="BA482" s="18">
        <v>0</v>
      </c>
      <c r="BB482" s="18">
        <v>0</v>
      </c>
      <c r="BC482" s="18">
        <v>0</v>
      </c>
      <c r="BD482" s="18">
        <v>0</v>
      </c>
      <c r="BE482" s="18">
        <v>0</v>
      </c>
      <c r="BF482" s="18">
        <v>0</v>
      </c>
      <c r="BG482" s="18">
        <v>0</v>
      </c>
      <c r="BH482" s="18">
        <v>0</v>
      </c>
      <c r="BI482" s="113">
        <v>0</v>
      </c>
      <c r="BJ482" s="113">
        <v>0</v>
      </c>
      <c r="BK482" s="113">
        <v>0</v>
      </c>
      <c r="BL482" s="113">
        <v>0</v>
      </c>
      <c r="BM482" s="113">
        <v>0</v>
      </c>
      <c r="BN482" s="113">
        <v>0</v>
      </c>
      <c r="BO482" s="113">
        <v>0</v>
      </c>
      <c r="BP482" s="113">
        <v>0</v>
      </c>
      <c r="BQ482" s="113">
        <v>0</v>
      </c>
      <c r="BR482" s="101"/>
      <c r="BS482">
        <f t="shared" si="963"/>
        <v>0</v>
      </c>
      <c r="BT482">
        <f t="shared" si="963"/>
        <v>0</v>
      </c>
      <c r="BU482">
        <f t="shared" si="963"/>
        <v>0</v>
      </c>
      <c r="BV482">
        <f t="shared" si="963"/>
        <v>0</v>
      </c>
      <c r="BW482">
        <f t="shared" si="963"/>
        <v>0</v>
      </c>
      <c r="BX482">
        <f t="shared" si="963"/>
        <v>0</v>
      </c>
      <c r="BY482">
        <f t="shared" si="963"/>
        <v>0</v>
      </c>
      <c r="BZ482">
        <f t="shared" si="963"/>
        <v>0</v>
      </c>
      <c r="CA482">
        <f t="shared" si="963"/>
        <v>0</v>
      </c>
      <c r="CB482">
        <f t="shared" si="963"/>
        <v>0</v>
      </c>
      <c r="CC482">
        <f t="shared" si="964"/>
        <v>0</v>
      </c>
      <c r="CD482">
        <f t="shared" si="964"/>
        <v>0</v>
      </c>
      <c r="CE482">
        <f t="shared" si="964"/>
        <v>0</v>
      </c>
      <c r="CF482">
        <f t="shared" si="964"/>
        <v>0</v>
      </c>
      <c r="CG482">
        <f t="shared" si="964"/>
        <v>0</v>
      </c>
      <c r="CH482">
        <f t="shared" si="964"/>
        <v>0</v>
      </c>
      <c r="CI482">
        <f t="shared" si="964"/>
        <v>0</v>
      </c>
      <c r="CJ482">
        <f t="shared" si="964"/>
        <v>0</v>
      </c>
      <c r="CK482">
        <f t="shared" si="964"/>
        <v>0</v>
      </c>
      <c r="CL482">
        <f t="shared" si="964"/>
        <v>0</v>
      </c>
      <c r="CM482">
        <f t="shared" si="965"/>
        <v>0</v>
      </c>
      <c r="CN482">
        <f t="shared" si="965"/>
        <v>0</v>
      </c>
      <c r="CO482">
        <f t="shared" si="965"/>
        <v>0</v>
      </c>
      <c r="CP482">
        <f t="shared" si="965"/>
        <v>0</v>
      </c>
      <c r="CQ482">
        <f t="shared" si="965"/>
        <v>0</v>
      </c>
      <c r="CR482">
        <f t="shared" si="965"/>
        <v>0</v>
      </c>
      <c r="CS482">
        <f t="shared" si="965"/>
        <v>0</v>
      </c>
      <c r="CT482">
        <f t="shared" si="965"/>
        <v>0</v>
      </c>
      <c r="CU482">
        <f t="shared" si="965"/>
        <v>0</v>
      </c>
      <c r="CV482">
        <f t="shared" si="965"/>
        <v>0</v>
      </c>
      <c r="CW482">
        <f t="shared" si="966"/>
        <v>0</v>
      </c>
      <c r="CX482">
        <f t="shared" si="966"/>
        <v>0</v>
      </c>
      <c r="CY482">
        <f t="shared" si="966"/>
        <v>0</v>
      </c>
      <c r="CZ482">
        <f t="shared" si="966"/>
        <v>0</v>
      </c>
      <c r="DA482">
        <f t="shared" si="966"/>
        <v>0</v>
      </c>
      <c r="DB482">
        <f t="shared" si="966"/>
        <v>0</v>
      </c>
      <c r="DC482">
        <f t="shared" si="966"/>
        <v>0</v>
      </c>
      <c r="DD482">
        <f t="shared" si="966"/>
        <v>0</v>
      </c>
      <c r="DE482">
        <f t="shared" si="966"/>
        <v>0</v>
      </c>
      <c r="DF482">
        <f t="shared" si="966"/>
        <v>0</v>
      </c>
      <c r="DG482">
        <f t="shared" si="967"/>
        <v>0</v>
      </c>
      <c r="DH482">
        <f t="shared" si="967"/>
        <v>0</v>
      </c>
      <c r="DI482">
        <f t="shared" si="967"/>
        <v>0</v>
      </c>
      <c r="DJ482">
        <f t="shared" si="967"/>
        <v>0</v>
      </c>
      <c r="DK482">
        <f t="shared" si="967"/>
        <v>0</v>
      </c>
      <c r="DL482">
        <f>IF($C482&lt;&gt;"",IF(AW482&gt;0,1,0),0)</f>
        <v>0</v>
      </c>
      <c r="DM482">
        <f t="shared" si="968"/>
        <v>0</v>
      </c>
      <c r="DN482">
        <f t="shared" si="968"/>
        <v>0</v>
      </c>
      <c r="DO482">
        <f t="shared" si="968"/>
        <v>0</v>
      </c>
      <c r="DP482">
        <f t="shared" si="968"/>
        <v>0</v>
      </c>
      <c r="DQ482">
        <f t="shared" si="968"/>
        <v>0</v>
      </c>
      <c r="DR482">
        <f t="shared" si="968"/>
        <v>0</v>
      </c>
      <c r="DS482">
        <f t="shared" si="968"/>
        <v>0</v>
      </c>
      <c r="DT482">
        <f t="shared" si="968"/>
        <v>0</v>
      </c>
      <c r="DU482">
        <f t="shared" si="968"/>
        <v>0</v>
      </c>
      <c r="DV482">
        <f t="shared" si="968"/>
        <v>0</v>
      </c>
      <c r="DW482">
        <f t="shared" si="968"/>
        <v>0</v>
      </c>
      <c r="DX482">
        <f t="shared" si="968"/>
        <v>0</v>
      </c>
      <c r="DY482">
        <f t="shared" si="968"/>
        <v>0</v>
      </c>
      <c r="DZ482">
        <f t="shared" si="968"/>
        <v>0</v>
      </c>
      <c r="EA482">
        <f t="shared" si="969"/>
        <v>0</v>
      </c>
      <c r="EB482">
        <f t="shared" si="969"/>
        <v>0</v>
      </c>
      <c r="EC482">
        <f t="shared" si="969"/>
        <v>0</v>
      </c>
      <c r="ED482">
        <f t="shared" si="969"/>
        <v>0</v>
      </c>
      <c r="EE482">
        <f t="shared" si="969"/>
        <v>0</v>
      </c>
      <c r="EF482">
        <f t="shared" si="969"/>
        <v>0</v>
      </c>
    </row>
    <row r="483" spans="1:136" ht="15.5">
      <c r="A483" s="90"/>
      <c r="B483" s="19" t="s">
        <v>212</v>
      </c>
      <c r="C483" s="94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>
        <v>2.4096385542168677</v>
      </c>
      <c r="AJ483" s="18">
        <v>2.4096385542168677</v>
      </c>
      <c r="AK483" s="18">
        <v>2.4096385542168677</v>
      </c>
      <c r="AL483" s="18">
        <v>21.951219512195124</v>
      </c>
      <c r="AM483" s="147">
        <v>18.8</v>
      </c>
      <c r="AN483" s="147">
        <v>241.26984126984127</v>
      </c>
      <c r="AO483" s="147">
        <v>255.38461538461539</v>
      </c>
      <c r="AP483" s="147">
        <v>289.20863309352518</v>
      </c>
      <c r="AQ483" s="147">
        <v>199.009900990099</v>
      </c>
      <c r="AR483" s="147">
        <v>245.45454545454547</v>
      </c>
      <c r="AS483" s="147">
        <v>241.06280193236717</v>
      </c>
      <c r="AT483" s="147">
        <v>213.18181818181816</v>
      </c>
      <c r="AU483" s="147">
        <v>215.81395348837211</v>
      </c>
      <c r="AV483" s="147">
        <v>107.8125</v>
      </c>
      <c r="AW483" s="147">
        <v>47.906976744186046</v>
      </c>
      <c r="AX483" s="18">
        <v>83.707865168539328</v>
      </c>
      <c r="AY483" s="18">
        <v>83.233532934131745</v>
      </c>
      <c r="AZ483" s="18">
        <v>78.523489932885909</v>
      </c>
      <c r="BA483" s="18">
        <v>0</v>
      </c>
      <c r="BB483" s="18">
        <v>0</v>
      </c>
      <c r="BC483" s="18">
        <v>0</v>
      </c>
      <c r="BD483" s="18">
        <v>0</v>
      </c>
      <c r="BE483" s="25">
        <v>16.144578313253014</v>
      </c>
      <c r="BF483" s="18">
        <v>16.497175141242938</v>
      </c>
      <c r="BG483" s="18">
        <v>0</v>
      </c>
      <c r="BH483" s="18">
        <v>0</v>
      </c>
      <c r="BI483" s="113">
        <v>560</v>
      </c>
      <c r="BJ483" s="113">
        <v>375.93984962406012</v>
      </c>
      <c r="BK483" s="113">
        <v>0</v>
      </c>
      <c r="BL483" s="113">
        <v>0</v>
      </c>
      <c r="BM483" s="113">
        <v>0</v>
      </c>
      <c r="BN483" s="113">
        <v>0</v>
      </c>
      <c r="BO483" s="113">
        <v>0</v>
      </c>
      <c r="BP483" s="113">
        <v>0</v>
      </c>
      <c r="BQ483" s="113">
        <v>0</v>
      </c>
      <c r="BR483" s="101"/>
      <c r="BS483">
        <f t="shared" si="963"/>
        <v>0</v>
      </c>
      <c r="BT483">
        <f t="shared" si="963"/>
        <v>0</v>
      </c>
      <c r="BU483">
        <f t="shared" si="963"/>
        <v>0</v>
      </c>
      <c r="BV483">
        <f t="shared" si="963"/>
        <v>0</v>
      </c>
      <c r="BW483">
        <f t="shared" si="963"/>
        <v>0</v>
      </c>
      <c r="BX483">
        <f t="shared" si="963"/>
        <v>0</v>
      </c>
      <c r="BY483">
        <f t="shared" si="963"/>
        <v>0</v>
      </c>
      <c r="BZ483">
        <f t="shared" si="963"/>
        <v>0</v>
      </c>
      <c r="CA483">
        <f t="shared" si="963"/>
        <v>0</v>
      </c>
      <c r="CB483">
        <f t="shared" si="963"/>
        <v>0</v>
      </c>
      <c r="CC483">
        <f t="shared" si="964"/>
        <v>0</v>
      </c>
      <c r="CD483">
        <f t="shared" si="964"/>
        <v>0</v>
      </c>
      <c r="CE483">
        <f t="shared" si="964"/>
        <v>0</v>
      </c>
      <c r="CF483">
        <f t="shared" si="964"/>
        <v>0</v>
      </c>
      <c r="CG483">
        <f t="shared" si="964"/>
        <v>0</v>
      </c>
      <c r="CH483">
        <f t="shared" si="964"/>
        <v>0</v>
      </c>
      <c r="CI483">
        <f t="shared" si="964"/>
        <v>0</v>
      </c>
      <c r="CJ483">
        <f t="shared" si="964"/>
        <v>0</v>
      </c>
      <c r="CK483">
        <f t="shared" si="964"/>
        <v>0</v>
      </c>
      <c r="CL483">
        <f t="shared" si="964"/>
        <v>0</v>
      </c>
      <c r="CM483">
        <f t="shared" si="965"/>
        <v>0</v>
      </c>
      <c r="CN483">
        <f t="shared" si="965"/>
        <v>0</v>
      </c>
      <c r="CO483">
        <f t="shared" si="965"/>
        <v>0</v>
      </c>
      <c r="CP483">
        <f t="shared" si="965"/>
        <v>0</v>
      </c>
      <c r="CQ483">
        <f t="shared" si="965"/>
        <v>0</v>
      </c>
      <c r="CR483">
        <f t="shared" si="965"/>
        <v>0</v>
      </c>
      <c r="CS483">
        <f t="shared" si="965"/>
        <v>0</v>
      </c>
      <c r="CT483">
        <f t="shared" si="965"/>
        <v>0</v>
      </c>
      <c r="CU483">
        <f t="shared" si="965"/>
        <v>0</v>
      </c>
      <c r="CV483">
        <f t="shared" si="965"/>
        <v>0</v>
      </c>
      <c r="CW483">
        <f t="shared" si="966"/>
        <v>0</v>
      </c>
      <c r="CX483">
        <f t="shared" si="966"/>
        <v>0</v>
      </c>
      <c r="CY483">
        <f t="shared" si="966"/>
        <v>0</v>
      </c>
      <c r="CZ483">
        <f t="shared" si="966"/>
        <v>0</v>
      </c>
      <c r="DA483">
        <f t="shared" si="966"/>
        <v>0</v>
      </c>
      <c r="DB483">
        <f t="shared" si="966"/>
        <v>0</v>
      </c>
      <c r="DC483">
        <f t="shared" si="966"/>
        <v>0</v>
      </c>
      <c r="DD483">
        <f t="shared" si="966"/>
        <v>0</v>
      </c>
      <c r="DE483">
        <f t="shared" si="966"/>
        <v>0</v>
      </c>
      <c r="DF483">
        <f t="shared" si="966"/>
        <v>0</v>
      </c>
      <c r="DG483">
        <f t="shared" si="967"/>
        <v>0</v>
      </c>
      <c r="DH483">
        <f t="shared" si="967"/>
        <v>0</v>
      </c>
      <c r="DI483">
        <f t="shared" si="967"/>
        <v>0</v>
      </c>
      <c r="DJ483">
        <f t="shared" si="967"/>
        <v>0</v>
      </c>
      <c r="DK483">
        <f t="shared" si="967"/>
        <v>0</v>
      </c>
      <c r="DL483">
        <f>IF($C483&lt;&gt;"",IF(AW483&gt;0,1,0),0)</f>
        <v>0</v>
      </c>
      <c r="DM483">
        <f t="shared" si="968"/>
        <v>0</v>
      </c>
      <c r="DN483">
        <f t="shared" si="968"/>
        <v>0</v>
      </c>
      <c r="DO483">
        <f t="shared" si="968"/>
        <v>0</v>
      </c>
      <c r="DP483">
        <f t="shared" si="968"/>
        <v>0</v>
      </c>
      <c r="DQ483">
        <f t="shared" si="968"/>
        <v>0</v>
      </c>
      <c r="DR483">
        <f t="shared" si="968"/>
        <v>0</v>
      </c>
      <c r="DS483">
        <f t="shared" si="968"/>
        <v>0</v>
      </c>
      <c r="DT483">
        <f t="shared" si="968"/>
        <v>0</v>
      </c>
      <c r="DU483">
        <f t="shared" si="968"/>
        <v>0</v>
      </c>
      <c r="DV483">
        <f t="shared" si="968"/>
        <v>0</v>
      </c>
      <c r="DW483">
        <f t="shared" si="968"/>
        <v>0</v>
      </c>
      <c r="DX483">
        <f t="shared" si="968"/>
        <v>0</v>
      </c>
      <c r="DY483">
        <f t="shared" si="968"/>
        <v>0</v>
      </c>
      <c r="DZ483">
        <f t="shared" si="968"/>
        <v>0</v>
      </c>
      <c r="EA483">
        <f t="shared" ref="EA483:EF483" si="970">IF($C483&lt;&gt;"",IF(BL483&gt;0,1,0),0)</f>
        <v>0</v>
      </c>
      <c r="EB483">
        <f t="shared" si="970"/>
        <v>0</v>
      </c>
      <c r="EC483">
        <f t="shared" si="970"/>
        <v>0</v>
      </c>
      <c r="ED483">
        <f t="shared" si="970"/>
        <v>0</v>
      </c>
      <c r="EE483">
        <f t="shared" si="970"/>
        <v>0</v>
      </c>
      <c r="EF483">
        <f t="shared" si="970"/>
        <v>0</v>
      </c>
    </row>
    <row r="484" spans="1:136" ht="15.5">
      <c r="A484" s="90"/>
      <c r="B484" s="19"/>
      <c r="C484" s="94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47"/>
      <c r="AN484" s="147"/>
      <c r="AO484" s="147"/>
      <c r="AP484" s="147"/>
      <c r="AQ484" s="147"/>
      <c r="AR484" s="147"/>
      <c r="AS484" s="147"/>
      <c r="AT484" s="147"/>
      <c r="AU484" s="147"/>
      <c r="AV484" s="147"/>
      <c r="AW484" s="147"/>
      <c r="AX484" s="18"/>
      <c r="AY484" s="18"/>
      <c r="AZ484" s="18"/>
      <c r="BA484" s="18"/>
      <c r="BB484" s="18"/>
      <c r="BC484" s="18"/>
      <c r="BD484" s="18"/>
      <c r="BE484" s="18"/>
      <c r="BF484" s="18"/>
      <c r="BG484" s="18"/>
      <c r="BH484" s="18"/>
      <c r="BI484" s="18"/>
      <c r="BJ484" s="18"/>
      <c r="BK484" s="18"/>
      <c r="BL484" s="18"/>
      <c r="BM484" s="18"/>
      <c r="BN484" s="2"/>
      <c r="BO484" s="2"/>
      <c r="BP484" s="2"/>
      <c r="BQ484" s="2"/>
      <c r="BR484" s="101"/>
    </row>
    <row r="485" spans="1:136" ht="15.5">
      <c r="A485" s="93">
        <v>57</v>
      </c>
      <c r="B485" s="52" t="s">
        <v>70</v>
      </c>
      <c r="C485" s="94">
        <v>3</v>
      </c>
      <c r="D485" s="22">
        <f t="shared" ref="D485:AI485" si="971">SUM(D486:D492)</f>
        <v>0</v>
      </c>
      <c r="E485" s="22">
        <f t="shared" si="971"/>
        <v>0</v>
      </c>
      <c r="F485" s="22">
        <f t="shared" si="971"/>
        <v>0</v>
      </c>
      <c r="G485" s="22">
        <f t="shared" si="971"/>
        <v>0</v>
      </c>
      <c r="H485" s="22">
        <f t="shared" si="971"/>
        <v>0</v>
      </c>
      <c r="I485" s="22">
        <f t="shared" si="971"/>
        <v>116</v>
      </c>
      <c r="J485" s="22">
        <f t="shared" si="971"/>
        <v>178.65</v>
      </c>
      <c r="K485" s="22">
        <f t="shared" si="971"/>
        <v>57</v>
      </c>
      <c r="L485" s="22">
        <f t="shared" si="971"/>
        <v>246</v>
      </c>
      <c r="M485" s="22">
        <f t="shared" si="971"/>
        <v>50</v>
      </c>
      <c r="N485" s="22">
        <f t="shared" si="971"/>
        <v>43.442139999999995</v>
      </c>
      <c r="O485" s="22">
        <f t="shared" si="971"/>
        <v>34.717939999999999</v>
      </c>
      <c r="P485" s="22">
        <f t="shared" si="971"/>
        <v>76.117080000000001</v>
      </c>
      <c r="Q485" s="22">
        <f t="shared" si="971"/>
        <v>112.68011999999999</v>
      </c>
      <c r="R485" s="22">
        <f t="shared" si="971"/>
        <v>221.26566</v>
      </c>
      <c r="S485" s="22">
        <f t="shared" si="971"/>
        <v>54.964820000000003</v>
      </c>
      <c r="T485" s="22">
        <f t="shared" si="971"/>
        <v>34.116019999999999</v>
      </c>
      <c r="U485" s="22">
        <f t="shared" si="971"/>
        <v>38.359840000000005</v>
      </c>
      <c r="V485" s="22">
        <f t="shared" si="971"/>
        <v>28.606256999999999</v>
      </c>
      <c r="W485" s="22">
        <f t="shared" si="971"/>
        <v>924.62383</v>
      </c>
      <c r="X485" s="22">
        <f t="shared" si="971"/>
        <v>9.2875149999999991</v>
      </c>
      <c r="Y485" s="22">
        <f t="shared" si="971"/>
        <v>18.316590999999999</v>
      </c>
      <c r="Z485" s="22">
        <f t="shared" si="971"/>
        <v>2553.0473050000001</v>
      </c>
      <c r="AA485" s="22">
        <f t="shared" si="971"/>
        <v>17.894639000000002</v>
      </c>
      <c r="AB485" s="22">
        <f t="shared" si="971"/>
        <v>29.699199</v>
      </c>
      <c r="AC485" s="22">
        <f t="shared" si="971"/>
        <v>44.139189999999999</v>
      </c>
      <c r="AD485" s="22">
        <f t="shared" si="971"/>
        <v>54.115387999999996</v>
      </c>
      <c r="AE485" s="22">
        <f t="shared" si="971"/>
        <v>76.118049999999997</v>
      </c>
      <c r="AF485" s="22">
        <f t="shared" si="971"/>
        <v>77.448239999999998</v>
      </c>
      <c r="AG485" s="22">
        <f t="shared" si="971"/>
        <v>113.48197999999999</v>
      </c>
      <c r="AH485" s="22">
        <f t="shared" si="971"/>
        <v>132.97018</v>
      </c>
      <c r="AI485" s="22">
        <f t="shared" si="971"/>
        <v>167.23686000000001</v>
      </c>
      <c r="AJ485" s="22">
        <f t="shared" ref="AJ485:BQ485" si="972">SUM(AJ486:AJ492)</f>
        <v>121.9357</v>
      </c>
      <c r="AK485" s="22">
        <f t="shared" si="972"/>
        <v>158.64017999999999</v>
      </c>
      <c r="AL485" s="22">
        <f t="shared" si="972"/>
        <v>150.98286000000002</v>
      </c>
      <c r="AM485" s="22">
        <f t="shared" si="972"/>
        <v>117.10605000000001</v>
      </c>
      <c r="AN485" s="22">
        <f t="shared" si="972"/>
        <v>134.78825000000001</v>
      </c>
      <c r="AO485" s="22">
        <f t="shared" si="972"/>
        <v>27.131129999999999</v>
      </c>
      <c r="AP485" s="22">
        <f t="shared" si="972"/>
        <v>79.171429999999987</v>
      </c>
      <c r="AQ485" s="22">
        <f t="shared" si="972"/>
        <v>107.99444</v>
      </c>
      <c r="AR485" s="22">
        <f t="shared" si="972"/>
        <v>111.1107323</v>
      </c>
      <c r="AS485" s="22">
        <f t="shared" si="972"/>
        <v>463.00295069999999</v>
      </c>
      <c r="AT485" s="22">
        <f t="shared" si="972"/>
        <v>361.1504655</v>
      </c>
      <c r="AU485" s="22">
        <f t="shared" si="972"/>
        <v>260.61630279999997</v>
      </c>
      <c r="AV485" s="22">
        <f t="shared" si="972"/>
        <v>1642.9932577</v>
      </c>
      <c r="AW485" s="22">
        <f t="shared" si="972"/>
        <v>145.38873180000002</v>
      </c>
      <c r="AX485" s="22">
        <f t="shared" si="972"/>
        <v>4731.0728582000002</v>
      </c>
      <c r="AY485" s="22">
        <f t="shared" si="972"/>
        <v>70.456237600000009</v>
      </c>
      <c r="AZ485" s="22">
        <f t="shared" si="972"/>
        <v>38.187275900000003</v>
      </c>
      <c r="BA485" s="22">
        <f t="shared" si="972"/>
        <v>45.494009800000001</v>
      </c>
      <c r="BB485" s="22">
        <f t="shared" si="972"/>
        <v>82.210402500000015</v>
      </c>
      <c r="BC485" s="22">
        <f t="shared" si="972"/>
        <v>140.3338938</v>
      </c>
      <c r="BD485" s="22">
        <f t="shared" si="972"/>
        <v>214.88320069999997</v>
      </c>
      <c r="BE485" s="22">
        <f t="shared" si="972"/>
        <v>468.3469245</v>
      </c>
      <c r="BF485" s="22">
        <f t="shared" si="972"/>
        <v>1827.8479568</v>
      </c>
      <c r="BG485" s="22">
        <f t="shared" si="972"/>
        <v>567.6360181</v>
      </c>
      <c r="BH485" s="22">
        <f t="shared" si="972"/>
        <v>600.90851010000006</v>
      </c>
      <c r="BI485" s="22">
        <f t="shared" si="972"/>
        <v>893.03356900000006</v>
      </c>
      <c r="BJ485" s="22">
        <f t="shared" si="972"/>
        <v>1213</v>
      </c>
      <c r="BK485" s="22">
        <f t="shared" si="972"/>
        <v>1011.4641162</v>
      </c>
      <c r="BL485" s="22">
        <f t="shared" si="972"/>
        <v>1625.7675852000002</v>
      </c>
      <c r="BM485" s="22">
        <f t="shared" si="972"/>
        <v>158.82649609999999</v>
      </c>
      <c r="BN485" s="22">
        <f t="shared" si="972"/>
        <v>27235</v>
      </c>
      <c r="BO485" s="22">
        <f t="shared" si="972"/>
        <v>37831.800000000003</v>
      </c>
      <c r="BP485" s="22">
        <f t="shared" si="972"/>
        <v>12238</v>
      </c>
      <c r="BQ485" s="22">
        <f t="shared" si="972"/>
        <v>2235</v>
      </c>
      <c r="BR485" s="101"/>
      <c r="BS485">
        <f t="shared" ref="BS485:CX485" si="973">IF($C485&lt;&gt;"",IF(D485&gt;0,1,0),0)</f>
        <v>0</v>
      </c>
      <c r="BT485">
        <f t="shared" si="973"/>
        <v>0</v>
      </c>
      <c r="BU485">
        <f t="shared" si="973"/>
        <v>0</v>
      </c>
      <c r="BV485">
        <f t="shared" si="973"/>
        <v>0</v>
      </c>
      <c r="BW485">
        <f t="shared" si="973"/>
        <v>0</v>
      </c>
      <c r="BX485">
        <f t="shared" si="973"/>
        <v>1</v>
      </c>
      <c r="BY485">
        <f t="shared" si="973"/>
        <v>1</v>
      </c>
      <c r="BZ485">
        <f t="shared" si="973"/>
        <v>1</v>
      </c>
      <c r="CA485">
        <f t="shared" si="973"/>
        <v>1</v>
      </c>
      <c r="CB485">
        <f t="shared" si="973"/>
        <v>1</v>
      </c>
      <c r="CC485">
        <f t="shared" si="973"/>
        <v>1</v>
      </c>
      <c r="CD485">
        <f t="shared" si="973"/>
        <v>1</v>
      </c>
      <c r="CE485">
        <f t="shared" si="973"/>
        <v>1</v>
      </c>
      <c r="CF485">
        <f t="shared" si="973"/>
        <v>1</v>
      </c>
      <c r="CG485">
        <f t="shared" si="973"/>
        <v>1</v>
      </c>
      <c r="CH485">
        <f t="shared" si="973"/>
        <v>1</v>
      </c>
      <c r="CI485">
        <f t="shared" si="973"/>
        <v>1</v>
      </c>
      <c r="CJ485">
        <f t="shared" si="973"/>
        <v>1</v>
      </c>
      <c r="CK485">
        <f t="shared" si="973"/>
        <v>1</v>
      </c>
      <c r="CL485">
        <f t="shared" si="973"/>
        <v>1</v>
      </c>
      <c r="CM485">
        <f t="shared" si="973"/>
        <v>1</v>
      </c>
      <c r="CN485">
        <f t="shared" si="973"/>
        <v>1</v>
      </c>
      <c r="CO485">
        <f t="shared" si="973"/>
        <v>1</v>
      </c>
      <c r="CP485">
        <f t="shared" si="973"/>
        <v>1</v>
      </c>
      <c r="CQ485">
        <f t="shared" si="973"/>
        <v>1</v>
      </c>
      <c r="CR485">
        <f t="shared" si="973"/>
        <v>1</v>
      </c>
      <c r="CS485">
        <f t="shared" si="973"/>
        <v>1</v>
      </c>
      <c r="CT485">
        <f t="shared" si="973"/>
        <v>1</v>
      </c>
      <c r="CU485">
        <f t="shared" si="973"/>
        <v>1</v>
      </c>
      <c r="CV485">
        <f t="shared" si="973"/>
        <v>1</v>
      </c>
      <c r="CW485">
        <f t="shared" si="973"/>
        <v>1</v>
      </c>
      <c r="CX485">
        <f t="shared" si="973"/>
        <v>1</v>
      </c>
      <c r="CY485">
        <f t="shared" ref="CY485:ED485" si="974">IF($C485&lt;&gt;"",IF(AJ485&gt;0,1,0),0)</f>
        <v>1</v>
      </c>
      <c r="CZ485">
        <f t="shared" si="974"/>
        <v>1</v>
      </c>
      <c r="DA485">
        <f t="shared" si="974"/>
        <v>1</v>
      </c>
      <c r="DB485">
        <f t="shared" si="974"/>
        <v>1</v>
      </c>
      <c r="DC485">
        <f t="shared" si="974"/>
        <v>1</v>
      </c>
      <c r="DD485">
        <f t="shared" si="974"/>
        <v>1</v>
      </c>
      <c r="DE485">
        <f t="shared" si="974"/>
        <v>1</v>
      </c>
      <c r="DF485">
        <f t="shared" si="974"/>
        <v>1</v>
      </c>
      <c r="DG485">
        <f t="shared" si="974"/>
        <v>1</v>
      </c>
      <c r="DH485">
        <f t="shared" si="974"/>
        <v>1</v>
      </c>
      <c r="DI485">
        <f t="shared" si="974"/>
        <v>1</v>
      </c>
      <c r="DJ485">
        <f t="shared" si="974"/>
        <v>1</v>
      </c>
      <c r="DK485">
        <f t="shared" si="974"/>
        <v>1</v>
      </c>
      <c r="DL485">
        <f t="shared" si="974"/>
        <v>1</v>
      </c>
      <c r="DM485">
        <f t="shared" si="974"/>
        <v>1</v>
      </c>
      <c r="DN485">
        <f t="shared" si="974"/>
        <v>1</v>
      </c>
      <c r="DO485">
        <f t="shared" si="974"/>
        <v>1</v>
      </c>
      <c r="DP485">
        <f t="shared" si="974"/>
        <v>1</v>
      </c>
      <c r="DQ485">
        <f t="shared" si="974"/>
        <v>1</v>
      </c>
      <c r="DR485">
        <f t="shared" si="974"/>
        <v>1</v>
      </c>
      <c r="DS485">
        <f t="shared" si="974"/>
        <v>1</v>
      </c>
      <c r="DT485">
        <f t="shared" si="974"/>
        <v>1</v>
      </c>
      <c r="DU485">
        <f t="shared" si="974"/>
        <v>1</v>
      </c>
      <c r="DV485">
        <f t="shared" si="974"/>
        <v>1</v>
      </c>
      <c r="DW485">
        <f t="shared" si="974"/>
        <v>1</v>
      </c>
      <c r="DX485">
        <f t="shared" si="974"/>
        <v>1</v>
      </c>
      <c r="DY485">
        <f t="shared" si="974"/>
        <v>1</v>
      </c>
      <c r="DZ485">
        <f t="shared" si="974"/>
        <v>1</v>
      </c>
      <c r="EA485">
        <f t="shared" si="974"/>
        <v>1</v>
      </c>
      <c r="EB485">
        <f t="shared" si="974"/>
        <v>1</v>
      </c>
      <c r="EC485">
        <f t="shared" si="974"/>
        <v>1</v>
      </c>
      <c r="ED485">
        <f t="shared" si="974"/>
        <v>1</v>
      </c>
      <c r="EE485">
        <f t="shared" ref="EE485:EF485" si="975">IF($C485&lt;&gt;"",IF(BP485&gt;0,1,0),0)</f>
        <v>1</v>
      </c>
      <c r="EF485">
        <f t="shared" si="975"/>
        <v>1</v>
      </c>
    </row>
    <row r="486" spans="1:136" ht="15.5">
      <c r="A486" s="90"/>
      <c r="B486" s="19" t="s">
        <v>15</v>
      </c>
      <c r="C486" s="94"/>
      <c r="D486" s="18">
        <v>0</v>
      </c>
      <c r="E486" s="18">
        <v>0</v>
      </c>
      <c r="F486" s="18">
        <v>0</v>
      </c>
      <c r="G486" s="18">
        <v>0</v>
      </c>
      <c r="H486" s="18">
        <v>0</v>
      </c>
      <c r="I486" s="18">
        <v>0</v>
      </c>
      <c r="J486" s="18">
        <v>8.65</v>
      </c>
      <c r="K486" s="18">
        <v>0</v>
      </c>
      <c r="L486" s="18">
        <v>0</v>
      </c>
      <c r="M486" s="18">
        <v>0</v>
      </c>
      <c r="N486" s="18">
        <v>0</v>
      </c>
      <c r="O486" s="18">
        <v>0</v>
      </c>
      <c r="P486" s="18">
        <v>0</v>
      </c>
      <c r="Q486" s="18">
        <v>0</v>
      </c>
      <c r="R486" s="18">
        <v>0</v>
      </c>
      <c r="S486" s="18">
        <v>0</v>
      </c>
      <c r="T486" s="18">
        <v>0</v>
      </c>
      <c r="U486" s="18">
        <v>0</v>
      </c>
      <c r="V486" s="18">
        <v>0</v>
      </c>
      <c r="W486" s="18">
        <v>0</v>
      </c>
      <c r="X486" s="18">
        <v>0</v>
      </c>
      <c r="Y486" s="18">
        <v>0</v>
      </c>
      <c r="Z486" s="18">
        <v>0</v>
      </c>
      <c r="AA486" s="18">
        <v>0</v>
      </c>
      <c r="AB486" s="18">
        <v>0</v>
      </c>
      <c r="AC486" s="18">
        <v>0</v>
      </c>
      <c r="AD486" s="18">
        <v>0</v>
      </c>
      <c r="AE486" s="18">
        <v>0</v>
      </c>
      <c r="AF486" s="18">
        <v>0</v>
      </c>
      <c r="AG486" s="18">
        <v>0</v>
      </c>
      <c r="AH486" s="18">
        <v>0</v>
      </c>
      <c r="AI486" s="18">
        <v>0</v>
      </c>
      <c r="AJ486" s="18">
        <v>0</v>
      </c>
      <c r="AK486" s="18">
        <v>0</v>
      </c>
      <c r="AL486" s="18">
        <v>0</v>
      </c>
      <c r="AM486" s="18">
        <v>0</v>
      </c>
      <c r="AN486" s="18">
        <v>0</v>
      </c>
      <c r="AO486" s="18">
        <v>0</v>
      </c>
      <c r="AP486" s="18">
        <v>0</v>
      </c>
      <c r="AQ486" s="18">
        <v>0</v>
      </c>
      <c r="AR486" s="18">
        <v>0</v>
      </c>
      <c r="AS486" s="18">
        <v>0</v>
      </c>
      <c r="AT486" s="18">
        <v>0</v>
      </c>
      <c r="AU486" s="18">
        <v>0</v>
      </c>
      <c r="AV486" s="18">
        <v>0</v>
      </c>
      <c r="AW486" s="18">
        <v>0</v>
      </c>
      <c r="AX486" s="18">
        <v>0</v>
      </c>
      <c r="AY486" s="18">
        <v>0</v>
      </c>
      <c r="AZ486" s="18">
        <v>0</v>
      </c>
      <c r="BA486" s="18">
        <v>0</v>
      </c>
      <c r="BB486" s="18">
        <v>0</v>
      </c>
      <c r="BC486" s="18">
        <v>0</v>
      </c>
      <c r="BD486" s="18">
        <v>0</v>
      </c>
      <c r="BE486" s="18">
        <v>0</v>
      </c>
      <c r="BF486" s="18">
        <v>0</v>
      </c>
      <c r="BG486" s="18">
        <v>0</v>
      </c>
      <c r="BH486" s="18">
        <v>0</v>
      </c>
      <c r="BI486" s="18">
        <v>0</v>
      </c>
      <c r="BJ486" s="113">
        <v>0</v>
      </c>
      <c r="BK486" s="113">
        <v>0</v>
      </c>
      <c r="BL486" s="113">
        <v>0</v>
      </c>
      <c r="BM486" s="113">
        <v>0</v>
      </c>
      <c r="BN486" s="113">
        <v>0</v>
      </c>
      <c r="BO486" s="113">
        <v>0</v>
      </c>
      <c r="BP486" s="130">
        <v>0</v>
      </c>
      <c r="BQ486" s="130">
        <v>0</v>
      </c>
      <c r="BR486" s="101"/>
      <c r="BS486">
        <f t="shared" ref="BS486:CB493" si="976">IF($C486&lt;&gt;"",IF(D486&gt;0,1,0),0)</f>
        <v>0</v>
      </c>
      <c r="BT486">
        <f t="shared" si="976"/>
        <v>0</v>
      </c>
      <c r="BU486">
        <f t="shared" si="976"/>
        <v>0</v>
      </c>
      <c r="BV486">
        <f t="shared" si="976"/>
        <v>0</v>
      </c>
      <c r="BW486">
        <f t="shared" si="976"/>
        <v>0</v>
      </c>
      <c r="BX486">
        <f t="shared" si="976"/>
        <v>0</v>
      </c>
      <c r="BY486">
        <f t="shared" si="976"/>
        <v>0</v>
      </c>
      <c r="BZ486">
        <f t="shared" si="976"/>
        <v>0</v>
      </c>
      <c r="CA486">
        <f t="shared" si="976"/>
        <v>0</v>
      </c>
      <c r="CB486">
        <f t="shared" si="976"/>
        <v>0</v>
      </c>
      <c r="CC486">
        <f t="shared" ref="CC486:CL493" si="977">IF($C486&lt;&gt;"",IF(N486&gt;0,1,0),0)</f>
        <v>0</v>
      </c>
      <c r="CD486">
        <f t="shared" si="977"/>
        <v>0</v>
      </c>
      <c r="CE486">
        <f t="shared" si="977"/>
        <v>0</v>
      </c>
      <c r="CF486">
        <f t="shared" si="977"/>
        <v>0</v>
      </c>
      <c r="CG486">
        <f t="shared" si="977"/>
        <v>0</v>
      </c>
      <c r="CH486">
        <f t="shared" si="977"/>
        <v>0</v>
      </c>
      <c r="CI486">
        <f t="shared" si="977"/>
        <v>0</v>
      </c>
      <c r="CJ486">
        <f t="shared" si="977"/>
        <v>0</v>
      </c>
      <c r="CK486">
        <f t="shared" si="977"/>
        <v>0</v>
      </c>
      <c r="CL486">
        <f t="shared" si="977"/>
        <v>0</v>
      </c>
      <c r="CM486">
        <f t="shared" ref="CM486:CV493" si="978">IF($C486&lt;&gt;"",IF(X486&gt;0,1,0),0)</f>
        <v>0</v>
      </c>
      <c r="CN486">
        <f t="shared" si="978"/>
        <v>0</v>
      </c>
      <c r="CO486">
        <f t="shared" si="978"/>
        <v>0</v>
      </c>
      <c r="CP486">
        <f t="shared" si="978"/>
        <v>0</v>
      </c>
      <c r="CQ486">
        <f t="shared" si="978"/>
        <v>0</v>
      </c>
      <c r="CR486">
        <f t="shared" si="978"/>
        <v>0</v>
      </c>
      <c r="CS486">
        <f t="shared" si="978"/>
        <v>0</v>
      </c>
      <c r="CT486">
        <f t="shared" si="978"/>
        <v>0</v>
      </c>
      <c r="CU486">
        <f t="shared" si="978"/>
        <v>0</v>
      </c>
      <c r="CV486">
        <f t="shared" si="978"/>
        <v>0</v>
      </c>
      <c r="CW486">
        <f t="shared" ref="CW486:DF493" si="979">IF($C486&lt;&gt;"",IF(AH486&gt;0,1,0),0)</f>
        <v>0</v>
      </c>
      <c r="CX486">
        <f t="shared" si="979"/>
        <v>0</v>
      </c>
      <c r="CY486">
        <f t="shared" si="979"/>
        <v>0</v>
      </c>
      <c r="CZ486">
        <f t="shared" si="979"/>
        <v>0</v>
      </c>
      <c r="DA486">
        <f t="shared" si="979"/>
        <v>0</v>
      </c>
      <c r="DB486">
        <f t="shared" si="979"/>
        <v>0</v>
      </c>
      <c r="DC486">
        <f t="shared" si="979"/>
        <v>0</v>
      </c>
      <c r="DD486">
        <f t="shared" si="979"/>
        <v>0</v>
      </c>
      <c r="DE486">
        <f t="shared" si="979"/>
        <v>0</v>
      </c>
      <c r="DF486">
        <f t="shared" si="979"/>
        <v>0</v>
      </c>
      <c r="DG486">
        <f t="shared" ref="DG486:DP493" si="980">IF($C486&lt;&gt;"",IF(AR486&gt;0,1,0),0)</f>
        <v>0</v>
      </c>
      <c r="DH486">
        <f t="shared" si="980"/>
        <v>0</v>
      </c>
      <c r="DI486">
        <f t="shared" si="980"/>
        <v>0</v>
      </c>
      <c r="DJ486">
        <f t="shared" si="980"/>
        <v>0</v>
      </c>
      <c r="DK486">
        <f t="shared" si="980"/>
        <v>0</v>
      </c>
      <c r="DL486">
        <f t="shared" si="980"/>
        <v>0</v>
      </c>
      <c r="DM486">
        <f t="shared" si="980"/>
        <v>0</v>
      </c>
      <c r="DN486">
        <f t="shared" si="980"/>
        <v>0</v>
      </c>
      <c r="DO486">
        <f t="shared" si="980"/>
        <v>0</v>
      </c>
      <c r="DP486">
        <f t="shared" si="980"/>
        <v>0</v>
      </c>
      <c r="DQ486">
        <f t="shared" ref="DQ486:DZ493" si="981">IF($C486&lt;&gt;"",IF(BB486&gt;0,1,0),0)</f>
        <v>0</v>
      </c>
      <c r="DR486">
        <f t="shared" si="981"/>
        <v>0</v>
      </c>
      <c r="DS486">
        <f t="shared" si="981"/>
        <v>0</v>
      </c>
      <c r="DT486">
        <f t="shared" si="981"/>
        <v>0</v>
      </c>
      <c r="DU486">
        <f t="shared" si="981"/>
        <v>0</v>
      </c>
      <c r="DV486">
        <f t="shared" si="981"/>
        <v>0</v>
      </c>
      <c r="DW486">
        <f t="shared" si="981"/>
        <v>0</v>
      </c>
      <c r="DX486">
        <f t="shared" si="981"/>
        <v>0</v>
      </c>
      <c r="DY486">
        <f t="shared" si="981"/>
        <v>0</v>
      </c>
      <c r="DZ486">
        <f t="shared" si="981"/>
        <v>0</v>
      </c>
      <c r="EA486">
        <f t="shared" ref="EA486:EF489" si="982">IF($C486&lt;&gt;"",IF(BL485&gt;0,1,0),0)</f>
        <v>0</v>
      </c>
      <c r="EB486">
        <f t="shared" si="982"/>
        <v>0</v>
      </c>
      <c r="EC486">
        <f t="shared" si="982"/>
        <v>0</v>
      </c>
      <c r="ED486">
        <f t="shared" si="982"/>
        <v>0</v>
      </c>
      <c r="EE486">
        <f t="shared" si="982"/>
        <v>0</v>
      </c>
      <c r="EF486">
        <f t="shared" si="982"/>
        <v>0</v>
      </c>
    </row>
    <row r="487" spans="1:136" ht="15.5">
      <c r="A487" s="90"/>
      <c r="B487" s="19" t="s">
        <v>2</v>
      </c>
      <c r="C487" s="94"/>
      <c r="D487" s="18">
        <v>0</v>
      </c>
      <c r="E487" s="18">
        <v>0</v>
      </c>
      <c r="F487" s="18">
        <v>0</v>
      </c>
      <c r="G487" s="18">
        <v>0</v>
      </c>
      <c r="H487" s="18">
        <v>0</v>
      </c>
      <c r="I487" s="18">
        <v>116</v>
      </c>
      <c r="J487" s="18">
        <v>170</v>
      </c>
      <c r="K487" s="40" t="s">
        <v>16</v>
      </c>
      <c r="L487" s="18">
        <v>184</v>
      </c>
      <c r="M487" s="40" t="s">
        <v>16</v>
      </c>
      <c r="N487" s="18">
        <v>22</v>
      </c>
      <c r="O487" s="40" t="s">
        <v>16</v>
      </c>
      <c r="P487" s="40" t="s">
        <v>16</v>
      </c>
      <c r="Q487" s="40" t="s">
        <v>16</v>
      </c>
      <c r="R487" s="18">
        <v>190</v>
      </c>
      <c r="S487" s="18">
        <v>0</v>
      </c>
      <c r="T487" s="18">
        <v>0</v>
      </c>
      <c r="U487" s="18">
        <v>0</v>
      </c>
      <c r="V487" s="18">
        <v>0</v>
      </c>
      <c r="W487" s="18">
        <v>0</v>
      </c>
      <c r="X487" s="18">
        <v>0</v>
      </c>
      <c r="Y487" s="18">
        <v>0</v>
      </c>
      <c r="Z487" s="18">
        <v>0</v>
      </c>
      <c r="AA487" s="18">
        <v>0</v>
      </c>
      <c r="AB487" s="18">
        <v>0</v>
      </c>
      <c r="AC487" s="18">
        <v>0</v>
      </c>
      <c r="AD487" s="18">
        <v>0</v>
      </c>
      <c r="AE487" s="18">
        <v>0</v>
      </c>
      <c r="AF487" s="18">
        <v>0</v>
      </c>
      <c r="AG487" s="18">
        <v>0</v>
      </c>
      <c r="AH487" s="18">
        <v>0</v>
      </c>
      <c r="AI487" s="18">
        <v>0</v>
      </c>
      <c r="AJ487" s="18">
        <v>0</v>
      </c>
      <c r="AK487" s="18">
        <v>0</v>
      </c>
      <c r="AL487" s="18">
        <v>0</v>
      </c>
      <c r="AM487" s="18">
        <v>0</v>
      </c>
      <c r="AN487" s="18">
        <v>93</v>
      </c>
      <c r="AO487" s="18">
        <v>0</v>
      </c>
      <c r="AP487" s="18">
        <v>0</v>
      </c>
      <c r="AQ487" s="18">
        <v>0</v>
      </c>
      <c r="AR487" s="40" t="s">
        <v>16</v>
      </c>
      <c r="AS487" s="18">
        <v>199</v>
      </c>
      <c r="AT487" s="18">
        <v>163</v>
      </c>
      <c r="AU487" s="40" t="s">
        <v>16</v>
      </c>
      <c r="AV487" s="18">
        <v>1560</v>
      </c>
      <c r="AW487" s="40" t="s">
        <v>16</v>
      </c>
      <c r="AX487" s="40" t="s">
        <v>16</v>
      </c>
      <c r="AY487" s="18">
        <v>0</v>
      </c>
      <c r="AZ487" s="18">
        <v>0</v>
      </c>
      <c r="BA487" s="18">
        <v>0</v>
      </c>
      <c r="BB487" s="18">
        <v>0</v>
      </c>
      <c r="BC487" s="18">
        <v>0</v>
      </c>
      <c r="BD487" s="18">
        <v>0</v>
      </c>
      <c r="BE487" s="18">
        <v>0</v>
      </c>
      <c r="BF487" s="18">
        <v>0</v>
      </c>
      <c r="BG487" s="18">
        <v>0</v>
      </c>
      <c r="BH487" s="18">
        <v>0</v>
      </c>
      <c r="BI487" s="18">
        <v>0</v>
      </c>
      <c r="BJ487" s="113">
        <v>0</v>
      </c>
      <c r="BK487" s="113">
        <v>0</v>
      </c>
      <c r="BL487" s="113">
        <v>0</v>
      </c>
      <c r="BM487" s="113">
        <v>0</v>
      </c>
      <c r="BN487" s="71">
        <v>3454</v>
      </c>
      <c r="BO487" s="113">
        <v>3009</v>
      </c>
      <c r="BP487" s="113">
        <v>3009</v>
      </c>
      <c r="BQ487" s="113">
        <v>0</v>
      </c>
      <c r="BR487" s="101"/>
      <c r="BS487">
        <f t="shared" si="976"/>
        <v>0</v>
      </c>
      <c r="BT487">
        <f t="shared" si="976"/>
        <v>0</v>
      </c>
      <c r="BU487">
        <f t="shared" si="976"/>
        <v>0</v>
      </c>
      <c r="BV487">
        <f t="shared" si="976"/>
        <v>0</v>
      </c>
      <c r="BW487">
        <f t="shared" si="976"/>
        <v>0</v>
      </c>
      <c r="BX487">
        <f t="shared" si="976"/>
        <v>0</v>
      </c>
      <c r="BY487">
        <f t="shared" si="976"/>
        <v>0</v>
      </c>
      <c r="BZ487">
        <f t="shared" si="976"/>
        <v>0</v>
      </c>
      <c r="CA487">
        <f t="shared" si="976"/>
        <v>0</v>
      </c>
      <c r="CB487">
        <f t="shared" si="976"/>
        <v>0</v>
      </c>
      <c r="CC487">
        <f t="shared" si="977"/>
        <v>0</v>
      </c>
      <c r="CD487">
        <f t="shared" si="977"/>
        <v>0</v>
      </c>
      <c r="CE487">
        <f t="shared" si="977"/>
        <v>0</v>
      </c>
      <c r="CF487">
        <f t="shared" si="977"/>
        <v>0</v>
      </c>
      <c r="CG487">
        <f t="shared" si="977"/>
        <v>0</v>
      </c>
      <c r="CH487">
        <f t="shared" si="977"/>
        <v>0</v>
      </c>
      <c r="CI487">
        <f t="shared" si="977"/>
        <v>0</v>
      </c>
      <c r="CJ487">
        <f t="shared" si="977"/>
        <v>0</v>
      </c>
      <c r="CK487">
        <f t="shared" si="977"/>
        <v>0</v>
      </c>
      <c r="CL487">
        <f t="shared" si="977"/>
        <v>0</v>
      </c>
      <c r="CM487">
        <f t="shared" si="978"/>
        <v>0</v>
      </c>
      <c r="CN487">
        <f t="shared" si="978"/>
        <v>0</v>
      </c>
      <c r="CO487">
        <f t="shared" si="978"/>
        <v>0</v>
      </c>
      <c r="CP487">
        <f t="shared" si="978"/>
        <v>0</v>
      </c>
      <c r="CQ487">
        <f t="shared" si="978"/>
        <v>0</v>
      </c>
      <c r="CR487">
        <f t="shared" si="978"/>
        <v>0</v>
      </c>
      <c r="CS487">
        <f t="shared" si="978"/>
        <v>0</v>
      </c>
      <c r="CT487">
        <f t="shared" si="978"/>
        <v>0</v>
      </c>
      <c r="CU487">
        <f t="shared" si="978"/>
        <v>0</v>
      </c>
      <c r="CV487">
        <f t="shared" si="978"/>
        <v>0</v>
      </c>
      <c r="CW487">
        <f t="shared" si="979"/>
        <v>0</v>
      </c>
      <c r="CX487">
        <f t="shared" si="979"/>
        <v>0</v>
      </c>
      <c r="CY487">
        <f t="shared" si="979"/>
        <v>0</v>
      </c>
      <c r="CZ487">
        <f t="shared" si="979"/>
        <v>0</v>
      </c>
      <c r="DA487">
        <f t="shared" si="979"/>
        <v>0</v>
      </c>
      <c r="DB487">
        <f t="shared" si="979"/>
        <v>0</v>
      </c>
      <c r="DC487">
        <f t="shared" si="979"/>
        <v>0</v>
      </c>
      <c r="DD487">
        <f t="shared" si="979"/>
        <v>0</v>
      </c>
      <c r="DE487">
        <f t="shared" si="979"/>
        <v>0</v>
      </c>
      <c r="DF487">
        <f t="shared" si="979"/>
        <v>0</v>
      </c>
      <c r="DG487">
        <f t="shared" si="980"/>
        <v>0</v>
      </c>
      <c r="DH487">
        <f t="shared" si="980"/>
        <v>0</v>
      </c>
      <c r="DI487">
        <f t="shared" si="980"/>
        <v>0</v>
      </c>
      <c r="DJ487">
        <f t="shared" si="980"/>
        <v>0</v>
      </c>
      <c r="DK487">
        <f t="shared" si="980"/>
        <v>0</v>
      </c>
      <c r="DL487">
        <f t="shared" si="980"/>
        <v>0</v>
      </c>
      <c r="DM487">
        <f t="shared" si="980"/>
        <v>0</v>
      </c>
      <c r="DN487">
        <f t="shared" si="980"/>
        <v>0</v>
      </c>
      <c r="DO487">
        <f t="shared" si="980"/>
        <v>0</v>
      </c>
      <c r="DP487">
        <f t="shared" si="980"/>
        <v>0</v>
      </c>
      <c r="DQ487">
        <f t="shared" si="981"/>
        <v>0</v>
      </c>
      <c r="DR487">
        <f t="shared" si="981"/>
        <v>0</v>
      </c>
      <c r="DS487">
        <f t="shared" si="981"/>
        <v>0</v>
      </c>
      <c r="DT487">
        <f t="shared" si="981"/>
        <v>0</v>
      </c>
      <c r="DU487">
        <f t="shared" si="981"/>
        <v>0</v>
      </c>
      <c r="DV487">
        <f t="shared" si="981"/>
        <v>0</v>
      </c>
      <c r="DW487">
        <f t="shared" si="981"/>
        <v>0</v>
      </c>
      <c r="DX487">
        <f t="shared" si="981"/>
        <v>0</v>
      </c>
      <c r="DY487">
        <f t="shared" si="981"/>
        <v>0</v>
      </c>
      <c r="DZ487">
        <f t="shared" si="981"/>
        <v>0</v>
      </c>
      <c r="EA487">
        <f t="shared" si="982"/>
        <v>0</v>
      </c>
      <c r="EB487">
        <f t="shared" si="982"/>
        <v>0</v>
      </c>
      <c r="EC487">
        <f t="shared" si="982"/>
        <v>0</v>
      </c>
      <c r="ED487">
        <f t="shared" si="982"/>
        <v>0</v>
      </c>
      <c r="EE487">
        <f t="shared" si="982"/>
        <v>0</v>
      </c>
      <c r="EF487">
        <f t="shared" si="982"/>
        <v>0</v>
      </c>
    </row>
    <row r="488" spans="1:136" ht="15.5">
      <c r="A488" s="90"/>
      <c r="B488" s="19" t="s">
        <v>205</v>
      </c>
      <c r="C488" s="94"/>
      <c r="D488" s="18"/>
      <c r="E488" s="18"/>
      <c r="F488" s="18"/>
      <c r="G488" s="18"/>
      <c r="H488" s="18"/>
      <c r="I488" s="18"/>
      <c r="J488" s="18"/>
      <c r="K488" s="40"/>
      <c r="L488" s="18"/>
      <c r="M488" s="40"/>
      <c r="N488" s="18"/>
      <c r="O488" s="40"/>
      <c r="P488" s="40"/>
      <c r="Q488" s="40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>
        <v>0</v>
      </c>
      <c r="AD488" s="18">
        <v>0</v>
      </c>
      <c r="AE488" s="18">
        <v>0</v>
      </c>
      <c r="AF488" s="18">
        <v>0</v>
      </c>
      <c r="AG488" s="18">
        <v>0</v>
      </c>
      <c r="AH488" s="18">
        <v>0</v>
      </c>
      <c r="AI488" s="18">
        <v>0</v>
      </c>
      <c r="AJ488" s="18">
        <v>0</v>
      </c>
      <c r="AK488" s="18">
        <v>0</v>
      </c>
      <c r="AL488" s="18">
        <v>0</v>
      </c>
      <c r="AM488" s="18">
        <v>0</v>
      </c>
      <c r="AN488" s="18">
        <v>0</v>
      </c>
      <c r="AO488" s="18">
        <v>0</v>
      </c>
      <c r="AP488" s="18">
        <v>0</v>
      </c>
      <c r="AQ488" s="18">
        <v>0</v>
      </c>
      <c r="AR488" s="71">
        <v>0</v>
      </c>
      <c r="AS488" s="18">
        <v>0</v>
      </c>
      <c r="AT488" s="18">
        <v>53.5</v>
      </c>
      <c r="AU488" s="18">
        <v>66</v>
      </c>
      <c r="AV488" s="18">
        <v>0</v>
      </c>
      <c r="AW488" s="71">
        <v>0</v>
      </c>
      <c r="AX488" s="71">
        <v>83</v>
      </c>
      <c r="AY488" s="18">
        <v>24</v>
      </c>
      <c r="AZ488" s="18">
        <v>0.79867710000000003</v>
      </c>
      <c r="BA488" s="18">
        <v>0.85677550000000002</v>
      </c>
      <c r="BB488" s="18">
        <v>1.2120233</v>
      </c>
      <c r="BC488" s="18">
        <v>9.4619106999999989</v>
      </c>
      <c r="BD488" s="18">
        <v>17.150562300000001</v>
      </c>
      <c r="BE488" s="25">
        <v>71.291185099999993</v>
      </c>
      <c r="BF488" s="18">
        <v>1500</v>
      </c>
      <c r="BG488" s="18">
        <v>372</v>
      </c>
      <c r="BH488" s="18">
        <v>366.2746626</v>
      </c>
      <c r="BI488" s="18">
        <v>533</v>
      </c>
      <c r="BJ488" s="113">
        <v>787</v>
      </c>
      <c r="BK488" s="113">
        <v>545.73265879999997</v>
      </c>
      <c r="BL488" s="113">
        <v>905</v>
      </c>
      <c r="BM488" s="113">
        <v>13</v>
      </c>
      <c r="BN488" s="113">
        <v>1263</v>
      </c>
      <c r="BO488" s="113">
        <v>1372</v>
      </c>
      <c r="BP488" s="113">
        <v>1381</v>
      </c>
      <c r="BQ488" s="113">
        <v>0</v>
      </c>
      <c r="BR488" s="101"/>
      <c r="BS488">
        <f t="shared" si="976"/>
        <v>0</v>
      </c>
      <c r="BT488">
        <f t="shared" si="976"/>
        <v>0</v>
      </c>
      <c r="BU488">
        <f t="shared" si="976"/>
        <v>0</v>
      </c>
      <c r="BV488">
        <f t="shared" si="976"/>
        <v>0</v>
      </c>
      <c r="BW488">
        <f t="shared" si="976"/>
        <v>0</v>
      </c>
      <c r="BX488">
        <f t="shared" si="976"/>
        <v>0</v>
      </c>
      <c r="BY488">
        <f t="shared" si="976"/>
        <v>0</v>
      </c>
      <c r="BZ488">
        <f t="shared" si="976"/>
        <v>0</v>
      </c>
      <c r="CA488">
        <f t="shared" si="976"/>
        <v>0</v>
      </c>
      <c r="CB488">
        <f t="shared" si="976"/>
        <v>0</v>
      </c>
      <c r="CC488">
        <f t="shared" si="977"/>
        <v>0</v>
      </c>
      <c r="CD488">
        <f t="shared" si="977"/>
        <v>0</v>
      </c>
      <c r="CE488">
        <f t="shared" si="977"/>
        <v>0</v>
      </c>
      <c r="CF488">
        <f t="shared" si="977"/>
        <v>0</v>
      </c>
      <c r="CG488">
        <f t="shared" si="977"/>
        <v>0</v>
      </c>
      <c r="CH488">
        <f t="shared" si="977"/>
        <v>0</v>
      </c>
      <c r="CI488">
        <f t="shared" si="977"/>
        <v>0</v>
      </c>
      <c r="CJ488">
        <f t="shared" si="977"/>
        <v>0</v>
      </c>
      <c r="CK488">
        <f t="shared" si="977"/>
        <v>0</v>
      </c>
      <c r="CL488">
        <f t="shared" si="977"/>
        <v>0</v>
      </c>
      <c r="CM488">
        <f t="shared" si="978"/>
        <v>0</v>
      </c>
      <c r="CN488">
        <f t="shared" si="978"/>
        <v>0</v>
      </c>
      <c r="CO488">
        <f t="shared" si="978"/>
        <v>0</v>
      </c>
      <c r="CP488">
        <f t="shared" si="978"/>
        <v>0</v>
      </c>
      <c r="CQ488">
        <f t="shared" si="978"/>
        <v>0</v>
      </c>
      <c r="CR488">
        <f t="shared" si="978"/>
        <v>0</v>
      </c>
      <c r="CS488">
        <f t="shared" si="978"/>
        <v>0</v>
      </c>
      <c r="CT488">
        <f t="shared" si="978"/>
        <v>0</v>
      </c>
      <c r="CU488">
        <f t="shared" si="978"/>
        <v>0</v>
      </c>
      <c r="CV488">
        <f t="shared" si="978"/>
        <v>0</v>
      </c>
      <c r="CW488">
        <f t="shared" si="979"/>
        <v>0</v>
      </c>
      <c r="CX488">
        <f t="shared" si="979"/>
        <v>0</v>
      </c>
      <c r="CY488">
        <f t="shared" si="979"/>
        <v>0</v>
      </c>
      <c r="CZ488">
        <f t="shared" si="979"/>
        <v>0</v>
      </c>
      <c r="DA488">
        <f t="shared" si="979"/>
        <v>0</v>
      </c>
      <c r="DB488">
        <f t="shared" si="979"/>
        <v>0</v>
      </c>
      <c r="DC488">
        <f t="shared" si="979"/>
        <v>0</v>
      </c>
      <c r="DD488">
        <f t="shared" si="979"/>
        <v>0</v>
      </c>
      <c r="DE488">
        <f t="shared" si="979"/>
        <v>0</v>
      </c>
      <c r="DF488">
        <f t="shared" si="979"/>
        <v>0</v>
      </c>
      <c r="DG488">
        <f t="shared" si="980"/>
        <v>0</v>
      </c>
      <c r="DH488">
        <f t="shared" si="980"/>
        <v>0</v>
      </c>
      <c r="DI488">
        <f t="shared" si="980"/>
        <v>0</v>
      </c>
      <c r="DJ488">
        <f t="shared" si="980"/>
        <v>0</v>
      </c>
      <c r="DK488">
        <f t="shared" si="980"/>
        <v>0</v>
      </c>
      <c r="DL488">
        <f t="shared" si="980"/>
        <v>0</v>
      </c>
      <c r="DM488">
        <f t="shared" si="980"/>
        <v>0</v>
      </c>
      <c r="DN488">
        <f t="shared" si="980"/>
        <v>0</v>
      </c>
      <c r="DO488">
        <f t="shared" si="980"/>
        <v>0</v>
      </c>
      <c r="DP488">
        <f t="shared" si="980"/>
        <v>0</v>
      </c>
      <c r="DQ488">
        <f t="shared" si="981"/>
        <v>0</v>
      </c>
      <c r="DR488">
        <f t="shared" si="981"/>
        <v>0</v>
      </c>
      <c r="DS488">
        <f t="shared" si="981"/>
        <v>0</v>
      </c>
      <c r="DT488">
        <f t="shared" si="981"/>
        <v>0</v>
      </c>
      <c r="DU488">
        <f t="shared" si="981"/>
        <v>0</v>
      </c>
      <c r="DV488">
        <f t="shared" si="981"/>
        <v>0</v>
      </c>
      <c r="DW488">
        <f t="shared" si="981"/>
        <v>0</v>
      </c>
      <c r="DX488">
        <f t="shared" si="981"/>
        <v>0</v>
      </c>
      <c r="DY488">
        <f t="shared" si="981"/>
        <v>0</v>
      </c>
      <c r="DZ488">
        <f t="shared" si="981"/>
        <v>0</v>
      </c>
      <c r="EA488">
        <f t="shared" si="982"/>
        <v>0</v>
      </c>
      <c r="EB488">
        <f t="shared" si="982"/>
        <v>0</v>
      </c>
      <c r="EC488">
        <f t="shared" si="982"/>
        <v>0</v>
      </c>
      <c r="ED488">
        <f t="shared" si="982"/>
        <v>0</v>
      </c>
      <c r="EE488">
        <f t="shared" si="982"/>
        <v>0</v>
      </c>
      <c r="EF488">
        <f t="shared" si="982"/>
        <v>0</v>
      </c>
    </row>
    <row r="489" spans="1:136" ht="15.5">
      <c r="A489" s="90"/>
      <c r="B489" s="57" t="s">
        <v>3</v>
      </c>
      <c r="C489" s="94"/>
      <c r="D489" s="18">
        <v>0</v>
      </c>
      <c r="E489" s="18">
        <v>0</v>
      </c>
      <c r="F489" s="18">
        <v>0</v>
      </c>
      <c r="G489" s="18">
        <v>0</v>
      </c>
      <c r="H489" s="18">
        <v>0</v>
      </c>
      <c r="I489" s="18">
        <v>0</v>
      </c>
      <c r="J489" s="18">
        <v>0</v>
      </c>
      <c r="K489" s="18">
        <v>57</v>
      </c>
      <c r="L489" s="18">
        <v>62</v>
      </c>
      <c r="M489" s="18">
        <v>50</v>
      </c>
      <c r="N489" s="40" t="s">
        <v>16</v>
      </c>
      <c r="O489" s="18">
        <v>11.390140000000001</v>
      </c>
      <c r="P489" s="18">
        <v>31.043569999999999</v>
      </c>
      <c r="Q489" s="18">
        <v>48.449779999999997</v>
      </c>
      <c r="R489" s="40" t="s">
        <v>16</v>
      </c>
      <c r="S489" s="18">
        <v>26.274889999999999</v>
      </c>
      <c r="T489" s="18">
        <v>18.61309</v>
      </c>
      <c r="U489" s="18">
        <v>21.68261</v>
      </c>
      <c r="V489" s="18">
        <v>18.827629999999999</v>
      </c>
      <c r="W489" s="18">
        <v>14.86252</v>
      </c>
      <c r="X489" s="18">
        <v>6.4116039999999996</v>
      </c>
      <c r="Y489" s="18">
        <v>13.624969999999999</v>
      </c>
      <c r="Z489" s="18">
        <v>18.994420000000002</v>
      </c>
      <c r="AA489" s="18">
        <v>15.43534</v>
      </c>
      <c r="AB489" s="18">
        <v>23.960059999999999</v>
      </c>
      <c r="AC489" s="18">
        <v>38.445259999999998</v>
      </c>
      <c r="AD489" s="18">
        <v>46.28154</v>
      </c>
      <c r="AE489" s="18">
        <v>60.97307</v>
      </c>
      <c r="AF489" s="18">
        <v>59.42445</v>
      </c>
      <c r="AG489" s="18">
        <v>75.806539999999998</v>
      </c>
      <c r="AH489" s="18">
        <v>95.026920000000004</v>
      </c>
      <c r="AI489" s="18">
        <v>111.8058</v>
      </c>
      <c r="AJ489" s="18">
        <v>62.007489999999997</v>
      </c>
      <c r="AK489" s="18">
        <v>88.173990000000003</v>
      </c>
      <c r="AL489" s="18">
        <v>70.719279999999998</v>
      </c>
      <c r="AM489" s="18">
        <v>67.616020000000006</v>
      </c>
      <c r="AN489" s="40" t="s">
        <v>16</v>
      </c>
      <c r="AO489" s="18">
        <v>12.040710000000001</v>
      </c>
      <c r="AP489" s="18">
        <v>65.166079999999994</v>
      </c>
      <c r="AQ489" s="18">
        <v>76.337159999999997</v>
      </c>
      <c r="AR489" s="18">
        <v>79.889353700000001</v>
      </c>
      <c r="AS489" s="18">
        <v>157.75801240000001</v>
      </c>
      <c r="AT489" s="18">
        <f>242.4517305-AT487</f>
        <v>79.451730499999996</v>
      </c>
      <c r="AU489" s="18">
        <f>112.7155835-AU488</f>
        <v>46.715583499999994</v>
      </c>
      <c r="AV489" s="40" t="s">
        <v>16</v>
      </c>
      <c r="AW489" s="18">
        <v>104.72408440000001</v>
      </c>
      <c r="AX489" s="18">
        <f>4677.9753348-AX488</f>
        <v>4594.9753348000004</v>
      </c>
      <c r="AY489" s="18">
        <v>13.456648400000001</v>
      </c>
      <c r="AZ489" s="18">
        <f>25.0785538-AZ488</f>
        <v>24.279876700000003</v>
      </c>
      <c r="BA489" s="18">
        <f>15.2934032-BA488</f>
        <v>14.436627700000001</v>
      </c>
      <c r="BB489" s="18">
        <f>25.6899046-BB488</f>
        <v>24.4778813</v>
      </c>
      <c r="BC489" s="18">
        <f>63.5873777-BC488</f>
        <v>54.125467</v>
      </c>
      <c r="BD489" s="18">
        <f>143.5741486-BD488</f>
        <v>126.4235863</v>
      </c>
      <c r="BE489" s="25">
        <f>397.0320023-BE488</f>
        <v>325.74081719999998</v>
      </c>
      <c r="BF489" s="18">
        <v>222.07052659999999</v>
      </c>
      <c r="BG489" s="18">
        <f>403.9022637-BG488</f>
        <v>31.902263699999992</v>
      </c>
      <c r="BH489" s="18">
        <f>409.9085101-BH488</f>
        <v>43.633847500000002</v>
      </c>
      <c r="BI489" s="18">
        <f>605.033569-BI488</f>
        <v>72.033569000000057</v>
      </c>
      <c r="BJ489" s="18">
        <f>861-BJ488</f>
        <v>74</v>
      </c>
      <c r="BK489" s="18">
        <f>648-BK488</f>
        <v>102.26734120000003</v>
      </c>
      <c r="BL489" s="18">
        <f>1029-BL488</f>
        <v>124</v>
      </c>
      <c r="BM489" s="113">
        <f>86-BM488</f>
        <v>73</v>
      </c>
      <c r="BN489" s="18">
        <f>1620-BN488</f>
        <v>357</v>
      </c>
      <c r="BO489" s="113">
        <v>1933</v>
      </c>
      <c r="BP489" s="113">
        <v>0</v>
      </c>
      <c r="BQ489" s="113">
        <v>0</v>
      </c>
      <c r="BR489" s="101"/>
      <c r="BS489">
        <f t="shared" si="976"/>
        <v>0</v>
      </c>
      <c r="BT489">
        <f t="shared" si="976"/>
        <v>0</v>
      </c>
      <c r="BU489">
        <f t="shared" si="976"/>
        <v>0</v>
      </c>
      <c r="BV489">
        <f t="shared" si="976"/>
        <v>0</v>
      </c>
      <c r="BW489">
        <f t="shared" si="976"/>
        <v>0</v>
      </c>
      <c r="BX489">
        <f t="shared" si="976"/>
        <v>0</v>
      </c>
      <c r="BY489">
        <f t="shared" si="976"/>
        <v>0</v>
      </c>
      <c r="BZ489">
        <f t="shared" si="976"/>
        <v>0</v>
      </c>
      <c r="CA489">
        <f t="shared" si="976"/>
        <v>0</v>
      </c>
      <c r="CB489">
        <f t="shared" si="976"/>
        <v>0</v>
      </c>
      <c r="CC489">
        <f t="shared" si="977"/>
        <v>0</v>
      </c>
      <c r="CD489">
        <f t="shared" si="977"/>
        <v>0</v>
      </c>
      <c r="CE489">
        <f t="shared" si="977"/>
        <v>0</v>
      </c>
      <c r="CF489">
        <f t="shared" si="977"/>
        <v>0</v>
      </c>
      <c r="CG489">
        <f t="shared" si="977"/>
        <v>0</v>
      </c>
      <c r="CH489">
        <f t="shared" si="977"/>
        <v>0</v>
      </c>
      <c r="CI489">
        <f t="shared" si="977"/>
        <v>0</v>
      </c>
      <c r="CJ489">
        <f t="shared" si="977"/>
        <v>0</v>
      </c>
      <c r="CK489">
        <f t="shared" si="977"/>
        <v>0</v>
      </c>
      <c r="CL489">
        <f t="shared" si="977"/>
        <v>0</v>
      </c>
      <c r="CM489">
        <f t="shared" si="978"/>
        <v>0</v>
      </c>
      <c r="CN489">
        <f t="shared" si="978"/>
        <v>0</v>
      </c>
      <c r="CO489">
        <f t="shared" si="978"/>
        <v>0</v>
      </c>
      <c r="CP489">
        <f t="shared" si="978"/>
        <v>0</v>
      </c>
      <c r="CQ489">
        <f t="shared" si="978"/>
        <v>0</v>
      </c>
      <c r="CR489">
        <f t="shared" si="978"/>
        <v>0</v>
      </c>
      <c r="CS489">
        <f t="shared" si="978"/>
        <v>0</v>
      </c>
      <c r="CT489">
        <f t="shared" si="978"/>
        <v>0</v>
      </c>
      <c r="CU489">
        <f t="shared" si="978"/>
        <v>0</v>
      </c>
      <c r="CV489">
        <f t="shared" si="978"/>
        <v>0</v>
      </c>
      <c r="CW489">
        <f t="shared" si="979"/>
        <v>0</v>
      </c>
      <c r="CX489">
        <f t="shared" si="979"/>
        <v>0</v>
      </c>
      <c r="CY489">
        <f t="shared" si="979"/>
        <v>0</v>
      </c>
      <c r="CZ489">
        <f t="shared" si="979"/>
        <v>0</v>
      </c>
      <c r="DA489">
        <f t="shared" si="979"/>
        <v>0</v>
      </c>
      <c r="DB489">
        <f t="shared" si="979"/>
        <v>0</v>
      </c>
      <c r="DC489">
        <f t="shared" si="979"/>
        <v>0</v>
      </c>
      <c r="DD489">
        <f t="shared" si="979"/>
        <v>0</v>
      </c>
      <c r="DE489">
        <f t="shared" si="979"/>
        <v>0</v>
      </c>
      <c r="DF489">
        <f t="shared" si="979"/>
        <v>0</v>
      </c>
      <c r="DG489">
        <f t="shared" si="980"/>
        <v>0</v>
      </c>
      <c r="DH489">
        <f t="shared" si="980"/>
        <v>0</v>
      </c>
      <c r="DI489">
        <f t="shared" si="980"/>
        <v>0</v>
      </c>
      <c r="DJ489">
        <f t="shared" si="980"/>
        <v>0</v>
      </c>
      <c r="DK489">
        <f t="shared" si="980"/>
        <v>0</v>
      </c>
      <c r="DL489">
        <f t="shared" si="980"/>
        <v>0</v>
      </c>
      <c r="DM489">
        <f t="shared" si="980"/>
        <v>0</v>
      </c>
      <c r="DN489">
        <f t="shared" si="980"/>
        <v>0</v>
      </c>
      <c r="DO489">
        <f t="shared" si="980"/>
        <v>0</v>
      </c>
      <c r="DP489">
        <f t="shared" si="980"/>
        <v>0</v>
      </c>
      <c r="DQ489">
        <f t="shared" si="981"/>
        <v>0</v>
      </c>
      <c r="DR489">
        <f t="shared" si="981"/>
        <v>0</v>
      </c>
      <c r="DS489">
        <f t="shared" si="981"/>
        <v>0</v>
      </c>
      <c r="DT489">
        <f t="shared" si="981"/>
        <v>0</v>
      </c>
      <c r="DU489">
        <f t="shared" si="981"/>
        <v>0</v>
      </c>
      <c r="DV489">
        <f t="shared" si="981"/>
        <v>0</v>
      </c>
      <c r="DW489">
        <f t="shared" si="981"/>
        <v>0</v>
      </c>
      <c r="DX489">
        <f t="shared" si="981"/>
        <v>0</v>
      </c>
      <c r="DY489">
        <f t="shared" si="981"/>
        <v>0</v>
      </c>
      <c r="DZ489">
        <f t="shared" si="981"/>
        <v>0</v>
      </c>
      <c r="EA489">
        <f t="shared" si="982"/>
        <v>0</v>
      </c>
      <c r="EB489">
        <f t="shared" si="982"/>
        <v>0</v>
      </c>
      <c r="EC489">
        <f t="shared" si="982"/>
        <v>0</v>
      </c>
      <c r="ED489">
        <f t="shared" si="982"/>
        <v>0</v>
      </c>
      <c r="EE489">
        <f t="shared" si="982"/>
        <v>0</v>
      </c>
      <c r="EF489">
        <f t="shared" si="982"/>
        <v>0</v>
      </c>
    </row>
    <row r="490" spans="1:136" ht="15.5">
      <c r="A490" s="90"/>
      <c r="B490" s="53" t="s">
        <v>25</v>
      </c>
      <c r="C490" s="94"/>
      <c r="D490" s="18">
        <v>0</v>
      </c>
      <c r="E490" s="18">
        <v>0</v>
      </c>
      <c r="F490" s="18">
        <v>0</v>
      </c>
      <c r="G490" s="18">
        <v>0</v>
      </c>
      <c r="H490" s="18">
        <v>0</v>
      </c>
      <c r="I490" s="18">
        <v>0</v>
      </c>
      <c r="J490" s="18">
        <v>0</v>
      </c>
      <c r="K490" s="18">
        <v>0</v>
      </c>
      <c r="L490" s="18">
        <v>0</v>
      </c>
      <c r="M490" s="18">
        <v>0</v>
      </c>
      <c r="N490" s="18">
        <v>0</v>
      </c>
      <c r="O490" s="18">
        <v>0</v>
      </c>
      <c r="P490" s="18">
        <v>0</v>
      </c>
      <c r="Q490" s="18">
        <v>0</v>
      </c>
      <c r="R490" s="18">
        <v>0</v>
      </c>
      <c r="S490" s="18">
        <v>0</v>
      </c>
      <c r="T490" s="18">
        <v>0</v>
      </c>
      <c r="U490" s="18">
        <v>0</v>
      </c>
      <c r="V490" s="18">
        <v>0</v>
      </c>
      <c r="W490" s="18">
        <v>0</v>
      </c>
      <c r="X490" s="18">
        <v>0</v>
      </c>
      <c r="Y490" s="18">
        <v>0</v>
      </c>
      <c r="Z490" s="18">
        <v>0</v>
      </c>
      <c r="AA490" s="18">
        <v>0</v>
      </c>
      <c r="AB490" s="18">
        <v>0</v>
      </c>
      <c r="AC490" s="18">
        <v>0</v>
      </c>
      <c r="AD490" s="18">
        <v>0</v>
      </c>
      <c r="AE490" s="18">
        <v>0</v>
      </c>
      <c r="AF490" s="18">
        <v>0</v>
      </c>
      <c r="AG490" s="18">
        <v>0</v>
      </c>
      <c r="AH490" s="18">
        <v>0</v>
      </c>
      <c r="AI490" s="18">
        <v>0</v>
      </c>
      <c r="AJ490" s="18">
        <v>0</v>
      </c>
      <c r="AK490" s="18">
        <v>0</v>
      </c>
      <c r="AL490" s="18">
        <v>0</v>
      </c>
      <c r="AM490" s="18">
        <v>0</v>
      </c>
      <c r="AN490" s="18">
        <v>0</v>
      </c>
      <c r="AO490" s="18">
        <v>0</v>
      </c>
      <c r="AP490" s="18">
        <v>0</v>
      </c>
      <c r="AQ490" s="18">
        <v>0</v>
      </c>
      <c r="AR490" s="18">
        <v>0</v>
      </c>
      <c r="AS490" s="18">
        <v>0</v>
      </c>
      <c r="AT490" s="18">
        <v>0</v>
      </c>
      <c r="AU490" s="18">
        <v>0</v>
      </c>
      <c r="AV490" s="18">
        <v>0</v>
      </c>
      <c r="AW490" s="18">
        <v>0</v>
      </c>
      <c r="AX490" s="18">
        <v>0</v>
      </c>
      <c r="AY490" s="18">
        <v>0</v>
      </c>
      <c r="AZ490" s="18">
        <v>0</v>
      </c>
      <c r="BA490" s="18">
        <v>0</v>
      </c>
      <c r="BB490" s="18">
        <v>0</v>
      </c>
      <c r="BC490" s="18">
        <v>0</v>
      </c>
      <c r="BD490" s="18">
        <v>0</v>
      </c>
      <c r="BE490" s="18">
        <v>0</v>
      </c>
      <c r="BF490" s="18">
        <v>0</v>
      </c>
      <c r="BG490" s="18">
        <v>0</v>
      </c>
      <c r="BH490" s="18">
        <v>0</v>
      </c>
      <c r="BI490" s="18">
        <v>0</v>
      </c>
      <c r="BJ490" s="18">
        <v>0</v>
      </c>
      <c r="BK490" s="18">
        <v>0</v>
      </c>
      <c r="BL490" s="18">
        <v>0</v>
      </c>
      <c r="BM490" s="18">
        <v>0</v>
      </c>
      <c r="BN490" s="113">
        <v>5168</v>
      </c>
      <c r="BO490" s="113">
        <v>13124</v>
      </c>
      <c r="BP490" s="113">
        <v>0</v>
      </c>
      <c r="BQ490" s="113">
        <v>0</v>
      </c>
      <c r="BR490" s="101"/>
      <c r="BS490">
        <f t="shared" si="976"/>
        <v>0</v>
      </c>
      <c r="BT490">
        <f t="shared" si="976"/>
        <v>0</v>
      </c>
      <c r="BU490">
        <f t="shared" si="976"/>
        <v>0</v>
      </c>
      <c r="BV490">
        <f t="shared" si="976"/>
        <v>0</v>
      </c>
      <c r="BW490">
        <f t="shared" si="976"/>
        <v>0</v>
      </c>
      <c r="BX490">
        <f t="shared" si="976"/>
        <v>0</v>
      </c>
      <c r="BY490">
        <f t="shared" si="976"/>
        <v>0</v>
      </c>
      <c r="BZ490">
        <f t="shared" si="976"/>
        <v>0</v>
      </c>
      <c r="CA490">
        <f t="shared" si="976"/>
        <v>0</v>
      </c>
      <c r="CB490">
        <f t="shared" si="976"/>
        <v>0</v>
      </c>
      <c r="CC490">
        <f t="shared" si="977"/>
        <v>0</v>
      </c>
      <c r="CD490">
        <f t="shared" si="977"/>
        <v>0</v>
      </c>
      <c r="CE490">
        <f t="shared" si="977"/>
        <v>0</v>
      </c>
      <c r="CF490">
        <f t="shared" si="977"/>
        <v>0</v>
      </c>
      <c r="CG490">
        <f t="shared" si="977"/>
        <v>0</v>
      </c>
      <c r="CH490">
        <f t="shared" si="977"/>
        <v>0</v>
      </c>
      <c r="CI490">
        <f t="shared" si="977"/>
        <v>0</v>
      </c>
      <c r="CJ490">
        <f t="shared" si="977"/>
        <v>0</v>
      </c>
      <c r="CK490">
        <f t="shared" si="977"/>
        <v>0</v>
      </c>
      <c r="CL490">
        <f t="shared" si="977"/>
        <v>0</v>
      </c>
      <c r="CM490">
        <f t="shared" si="978"/>
        <v>0</v>
      </c>
      <c r="CN490">
        <f t="shared" si="978"/>
        <v>0</v>
      </c>
      <c r="CO490">
        <f t="shared" si="978"/>
        <v>0</v>
      </c>
      <c r="CP490">
        <f t="shared" si="978"/>
        <v>0</v>
      </c>
      <c r="CQ490">
        <f t="shared" si="978"/>
        <v>0</v>
      </c>
      <c r="CR490">
        <f t="shared" si="978"/>
        <v>0</v>
      </c>
      <c r="CS490">
        <f t="shared" si="978"/>
        <v>0</v>
      </c>
      <c r="CT490">
        <f t="shared" si="978"/>
        <v>0</v>
      </c>
      <c r="CU490">
        <f t="shared" si="978"/>
        <v>0</v>
      </c>
      <c r="CV490">
        <f t="shared" si="978"/>
        <v>0</v>
      </c>
      <c r="CW490">
        <f t="shared" si="979"/>
        <v>0</v>
      </c>
      <c r="CX490">
        <f t="shared" si="979"/>
        <v>0</v>
      </c>
      <c r="CY490">
        <f t="shared" si="979"/>
        <v>0</v>
      </c>
      <c r="CZ490">
        <f t="shared" si="979"/>
        <v>0</v>
      </c>
      <c r="DA490">
        <f t="shared" si="979"/>
        <v>0</v>
      </c>
      <c r="DB490">
        <f t="shared" si="979"/>
        <v>0</v>
      </c>
      <c r="DC490">
        <f t="shared" si="979"/>
        <v>0</v>
      </c>
      <c r="DD490">
        <f t="shared" si="979"/>
        <v>0</v>
      </c>
      <c r="DE490">
        <f t="shared" si="979"/>
        <v>0</v>
      </c>
      <c r="DF490">
        <f t="shared" si="979"/>
        <v>0</v>
      </c>
      <c r="DG490">
        <f t="shared" si="980"/>
        <v>0</v>
      </c>
      <c r="DH490">
        <f t="shared" si="980"/>
        <v>0</v>
      </c>
      <c r="DI490">
        <f t="shared" si="980"/>
        <v>0</v>
      </c>
      <c r="DJ490">
        <f t="shared" si="980"/>
        <v>0</v>
      </c>
      <c r="DK490">
        <f t="shared" si="980"/>
        <v>0</v>
      </c>
      <c r="DL490">
        <f t="shared" si="980"/>
        <v>0</v>
      </c>
      <c r="DM490">
        <f t="shared" si="980"/>
        <v>0</v>
      </c>
      <c r="DN490">
        <f t="shared" si="980"/>
        <v>0</v>
      </c>
      <c r="DO490">
        <f t="shared" si="980"/>
        <v>0</v>
      </c>
      <c r="DP490">
        <f t="shared" si="980"/>
        <v>0</v>
      </c>
      <c r="DQ490">
        <f t="shared" si="981"/>
        <v>0</v>
      </c>
      <c r="DR490">
        <f t="shared" si="981"/>
        <v>0</v>
      </c>
      <c r="DS490">
        <f t="shared" si="981"/>
        <v>0</v>
      </c>
      <c r="DT490">
        <f t="shared" si="981"/>
        <v>0</v>
      </c>
      <c r="DU490">
        <f t="shared" si="981"/>
        <v>0</v>
      </c>
      <c r="DV490">
        <f t="shared" si="981"/>
        <v>0</v>
      </c>
      <c r="DW490">
        <f t="shared" si="981"/>
        <v>0</v>
      </c>
      <c r="DX490">
        <f t="shared" si="981"/>
        <v>0</v>
      </c>
      <c r="DY490">
        <f t="shared" si="981"/>
        <v>0</v>
      </c>
      <c r="DZ490">
        <f t="shared" si="981"/>
        <v>0</v>
      </c>
      <c r="EA490">
        <f t="shared" ref="EA490:EF490" si="983">IF($C490&lt;&gt;"",IF(BL490&gt;0,1,0),0)</f>
        <v>0</v>
      </c>
      <c r="EB490">
        <f t="shared" si="983"/>
        <v>0</v>
      </c>
      <c r="EC490">
        <f t="shared" si="983"/>
        <v>0</v>
      </c>
      <c r="ED490">
        <f t="shared" si="983"/>
        <v>0</v>
      </c>
      <c r="EE490">
        <f t="shared" si="983"/>
        <v>0</v>
      </c>
      <c r="EF490">
        <f t="shared" si="983"/>
        <v>0</v>
      </c>
    </row>
    <row r="491" spans="1:136" ht="15.5">
      <c r="A491" s="90"/>
      <c r="B491" s="19" t="s">
        <v>208</v>
      </c>
      <c r="C491" s="94"/>
      <c r="D491" s="18">
        <v>0</v>
      </c>
      <c r="E491" s="18">
        <v>0</v>
      </c>
      <c r="F491" s="18">
        <v>0</v>
      </c>
      <c r="G491" s="18">
        <v>0</v>
      </c>
      <c r="H491" s="18">
        <v>0</v>
      </c>
      <c r="I491" s="18">
        <v>0</v>
      </c>
      <c r="J491" s="18">
        <v>0</v>
      </c>
      <c r="K491" s="18">
        <v>0</v>
      </c>
      <c r="L491" s="18">
        <v>0</v>
      </c>
      <c r="M491" s="18">
        <v>0</v>
      </c>
      <c r="N491" s="18">
        <v>21.442139999999998</v>
      </c>
      <c r="O491" s="18">
        <v>23.3278</v>
      </c>
      <c r="P491" s="18">
        <v>45.073509999999999</v>
      </c>
      <c r="Q491" s="18">
        <v>64.230339999999998</v>
      </c>
      <c r="R491" s="18">
        <v>31.26566</v>
      </c>
      <c r="S491" s="18">
        <v>28.68993</v>
      </c>
      <c r="T491" s="18">
        <v>15.502929999999999</v>
      </c>
      <c r="U491" s="18">
        <v>16.677230000000002</v>
      </c>
      <c r="V491" s="18">
        <v>9.7786270000000002</v>
      </c>
      <c r="W491" s="18">
        <v>15.76131</v>
      </c>
      <c r="X491" s="18">
        <v>2.8759109999999999</v>
      </c>
      <c r="Y491" s="18">
        <v>4.6916209999999996</v>
      </c>
      <c r="Z491" s="18">
        <v>4.0528849999999998</v>
      </c>
      <c r="AA491" s="18">
        <v>2.4592990000000001</v>
      </c>
      <c r="AB491" s="18">
        <v>5.7391389999999998</v>
      </c>
      <c r="AC491" s="18">
        <v>5.6939299999999999</v>
      </c>
      <c r="AD491" s="18">
        <v>7.8338479999999997</v>
      </c>
      <c r="AE491" s="18">
        <v>15.14498</v>
      </c>
      <c r="AF491" s="18">
        <v>18.023790000000002</v>
      </c>
      <c r="AG491" s="18">
        <v>37.675440000000002</v>
      </c>
      <c r="AH491" s="18">
        <v>37.943260000000002</v>
      </c>
      <c r="AI491" s="18">
        <v>55.431060000000002</v>
      </c>
      <c r="AJ491" s="18">
        <v>59.92821</v>
      </c>
      <c r="AK491" s="18">
        <v>70.466189999999997</v>
      </c>
      <c r="AL491" s="18">
        <v>80.263580000000005</v>
      </c>
      <c r="AM491" s="18">
        <v>49.490029999999997</v>
      </c>
      <c r="AN491" s="18">
        <v>41.788249999999998</v>
      </c>
      <c r="AO491" s="18">
        <v>15.09042</v>
      </c>
      <c r="AP491" s="18">
        <v>14.00535</v>
      </c>
      <c r="AQ491" s="18">
        <v>31.65728</v>
      </c>
      <c r="AR491" s="18">
        <v>31.221378600000001</v>
      </c>
      <c r="AS491" s="18">
        <v>106.2449383</v>
      </c>
      <c r="AT491" s="18">
        <v>65.198734999999999</v>
      </c>
      <c r="AU491" s="18">
        <v>147.90071929999999</v>
      </c>
      <c r="AV491" s="18">
        <v>82.993257700000001</v>
      </c>
      <c r="AW491" s="18">
        <v>40.6646474</v>
      </c>
      <c r="AX491" s="18">
        <v>53.0975234</v>
      </c>
      <c r="AY491" s="18">
        <v>32.999589200000003</v>
      </c>
      <c r="AZ491" s="18">
        <v>13.1087221</v>
      </c>
      <c r="BA491" s="18">
        <v>30.2006066</v>
      </c>
      <c r="BB491" s="18">
        <v>56.520497900000009</v>
      </c>
      <c r="BC491" s="18">
        <v>76.746516099999994</v>
      </c>
      <c r="BD491" s="18">
        <v>71.309052099999988</v>
      </c>
      <c r="BE491" s="25">
        <v>71.314922199999998</v>
      </c>
      <c r="BF491" s="18">
        <v>105.7774302</v>
      </c>
      <c r="BG491" s="18">
        <v>163.73375440000001</v>
      </c>
      <c r="BH491" s="18">
        <v>191</v>
      </c>
      <c r="BI491" s="18">
        <v>288</v>
      </c>
      <c r="BJ491" s="18">
        <v>352</v>
      </c>
      <c r="BK491" s="34">
        <v>363.46411619999998</v>
      </c>
      <c r="BL491" s="18">
        <v>596.7675852000001</v>
      </c>
      <c r="BM491" s="113">
        <v>72.8264961</v>
      </c>
      <c r="BN491" s="113">
        <v>1228</v>
      </c>
      <c r="BO491" s="113">
        <v>1841</v>
      </c>
      <c r="BP491" s="113">
        <v>1955</v>
      </c>
      <c r="BQ491" s="113">
        <v>2235</v>
      </c>
      <c r="BR491" s="101"/>
      <c r="BS491">
        <f t="shared" si="976"/>
        <v>0</v>
      </c>
      <c r="BT491">
        <f t="shared" si="976"/>
        <v>0</v>
      </c>
      <c r="BU491">
        <f t="shared" si="976"/>
        <v>0</v>
      </c>
      <c r="BV491">
        <f t="shared" si="976"/>
        <v>0</v>
      </c>
      <c r="BW491">
        <f t="shared" si="976"/>
        <v>0</v>
      </c>
      <c r="BX491">
        <f t="shared" si="976"/>
        <v>0</v>
      </c>
      <c r="BY491">
        <f t="shared" si="976"/>
        <v>0</v>
      </c>
      <c r="BZ491">
        <f t="shared" si="976"/>
        <v>0</v>
      </c>
      <c r="CA491">
        <f t="shared" si="976"/>
        <v>0</v>
      </c>
      <c r="CB491">
        <f t="shared" si="976"/>
        <v>0</v>
      </c>
      <c r="CC491">
        <f t="shared" si="977"/>
        <v>0</v>
      </c>
      <c r="CD491">
        <f t="shared" si="977"/>
        <v>0</v>
      </c>
      <c r="CE491">
        <f t="shared" si="977"/>
        <v>0</v>
      </c>
      <c r="CF491">
        <f t="shared" si="977"/>
        <v>0</v>
      </c>
      <c r="CG491">
        <f t="shared" si="977"/>
        <v>0</v>
      </c>
      <c r="CH491">
        <f t="shared" si="977"/>
        <v>0</v>
      </c>
      <c r="CI491">
        <f t="shared" si="977"/>
        <v>0</v>
      </c>
      <c r="CJ491">
        <f t="shared" si="977"/>
        <v>0</v>
      </c>
      <c r="CK491">
        <f t="shared" si="977"/>
        <v>0</v>
      </c>
      <c r="CL491">
        <f t="shared" si="977"/>
        <v>0</v>
      </c>
      <c r="CM491">
        <f t="shared" si="978"/>
        <v>0</v>
      </c>
      <c r="CN491">
        <f t="shared" si="978"/>
        <v>0</v>
      </c>
      <c r="CO491">
        <f t="shared" si="978"/>
        <v>0</v>
      </c>
      <c r="CP491">
        <f t="shared" si="978"/>
        <v>0</v>
      </c>
      <c r="CQ491">
        <f t="shared" si="978"/>
        <v>0</v>
      </c>
      <c r="CR491">
        <f t="shared" si="978"/>
        <v>0</v>
      </c>
      <c r="CS491">
        <f t="shared" si="978"/>
        <v>0</v>
      </c>
      <c r="CT491">
        <f t="shared" si="978"/>
        <v>0</v>
      </c>
      <c r="CU491">
        <f t="shared" si="978"/>
        <v>0</v>
      </c>
      <c r="CV491">
        <f t="shared" si="978"/>
        <v>0</v>
      </c>
      <c r="CW491">
        <f t="shared" si="979"/>
        <v>0</v>
      </c>
      <c r="CX491">
        <f t="shared" si="979"/>
        <v>0</v>
      </c>
      <c r="CY491">
        <f t="shared" si="979"/>
        <v>0</v>
      </c>
      <c r="CZ491">
        <f t="shared" si="979"/>
        <v>0</v>
      </c>
      <c r="DA491">
        <f t="shared" si="979"/>
        <v>0</v>
      </c>
      <c r="DB491">
        <f t="shared" si="979"/>
        <v>0</v>
      </c>
      <c r="DC491">
        <f t="shared" si="979"/>
        <v>0</v>
      </c>
      <c r="DD491">
        <f t="shared" si="979"/>
        <v>0</v>
      </c>
      <c r="DE491">
        <f t="shared" si="979"/>
        <v>0</v>
      </c>
      <c r="DF491">
        <f t="shared" si="979"/>
        <v>0</v>
      </c>
      <c r="DG491">
        <f t="shared" si="980"/>
        <v>0</v>
      </c>
      <c r="DH491">
        <f t="shared" si="980"/>
        <v>0</v>
      </c>
      <c r="DI491">
        <f t="shared" si="980"/>
        <v>0</v>
      </c>
      <c r="DJ491">
        <f t="shared" si="980"/>
        <v>0</v>
      </c>
      <c r="DK491">
        <f t="shared" si="980"/>
        <v>0</v>
      </c>
      <c r="DL491">
        <f t="shared" si="980"/>
        <v>0</v>
      </c>
      <c r="DM491">
        <f t="shared" si="980"/>
        <v>0</v>
      </c>
      <c r="DN491">
        <f t="shared" si="980"/>
        <v>0</v>
      </c>
      <c r="DO491">
        <f t="shared" si="980"/>
        <v>0</v>
      </c>
      <c r="DP491">
        <f t="shared" si="980"/>
        <v>0</v>
      </c>
      <c r="DQ491">
        <f t="shared" si="981"/>
        <v>0</v>
      </c>
      <c r="DR491">
        <f t="shared" si="981"/>
        <v>0</v>
      </c>
      <c r="DS491">
        <f t="shared" si="981"/>
        <v>0</v>
      </c>
      <c r="DT491">
        <f t="shared" si="981"/>
        <v>0</v>
      </c>
      <c r="DU491">
        <f t="shared" si="981"/>
        <v>0</v>
      </c>
      <c r="DV491">
        <f t="shared" si="981"/>
        <v>0</v>
      </c>
      <c r="DW491">
        <f t="shared" si="981"/>
        <v>0</v>
      </c>
      <c r="DX491">
        <f t="shared" si="981"/>
        <v>0</v>
      </c>
      <c r="DY491">
        <f t="shared" si="981"/>
        <v>0</v>
      </c>
      <c r="DZ491">
        <f t="shared" si="981"/>
        <v>0</v>
      </c>
      <c r="EA491">
        <f t="shared" ref="EA491:EF491" si="984">IF($C491&lt;&gt;"",IF(BL489&gt;0,1,0),0)</f>
        <v>0</v>
      </c>
      <c r="EB491">
        <f t="shared" si="984"/>
        <v>0</v>
      </c>
      <c r="EC491">
        <f t="shared" si="984"/>
        <v>0</v>
      </c>
      <c r="ED491">
        <f t="shared" si="984"/>
        <v>0</v>
      </c>
      <c r="EE491">
        <f t="shared" si="984"/>
        <v>0</v>
      </c>
      <c r="EF491">
        <f t="shared" si="984"/>
        <v>0</v>
      </c>
    </row>
    <row r="492" spans="1:136" ht="15.5">
      <c r="A492" s="90"/>
      <c r="B492" s="53" t="s">
        <v>21</v>
      </c>
      <c r="C492" s="94"/>
      <c r="D492" s="18">
        <v>0</v>
      </c>
      <c r="E492" s="18">
        <v>0</v>
      </c>
      <c r="F492" s="18">
        <v>0</v>
      </c>
      <c r="G492" s="18">
        <v>0</v>
      </c>
      <c r="H492" s="18">
        <v>0</v>
      </c>
      <c r="I492" s="18">
        <v>0</v>
      </c>
      <c r="J492" s="18">
        <v>0</v>
      </c>
      <c r="K492" s="18">
        <v>0</v>
      </c>
      <c r="L492" s="18">
        <v>0</v>
      </c>
      <c r="M492" s="18">
        <v>0</v>
      </c>
      <c r="N492" s="18">
        <v>0</v>
      </c>
      <c r="O492" s="18">
        <v>0</v>
      </c>
      <c r="P492" s="18">
        <v>0</v>
      </c>
      <c r="Q492" s="18">
        <v>0</v>
      </c>
      <c r="R492" s="18">
        <v>0</v>
      </c>
      <c r="S492" s="18">
        <v>0</v>
      </c>
      <c r="T492" s="18">
        <v>0</v>
      </c>
      <c r="U492" s="18">
        <v>0</v>
      </c>
      <c r="V492" s="18">
        <v>0</v>
      </c>
      <c r="W492" s="18">
        <v>894</v>
      </c>
      <c r="X492" s="18">
        <v>0</v>
      </c>
      <c r="Y492" s="18">
        <v>0</v>
      </c>
      <c r="Z492" s="18">
        <v>2530</v>
      </c>
      <c r="AA492" s="18">
        <v>0</v>
      </c>
      <c r="AB492" s="18">
        <v>0</v>
      </c>
      <c r="AC492" s="18">
        <v>0</v>
      </c>
      <c r="AD492" s="18">
        <v>0</v>
      </c>
      <c r="AE492" s="18">
        <v>0</v>
      </c>
      <c r="AF492" s="18">
        <v>0</v>
      </c>
      <c r="AG492" s="18">
        <v>0</v>
      </c>
      <c r="AH492" s="18">
        <v>0</v>
      </c>
      <c r="AI492" s="18">
        <v>0</v>
      </c>
      <c r="AJ492" s="18">
        <v>0</v>
      </c>
      <c r="AK492" s="18">
        <v>0</v>
      </c>
      <c r="AL492" s="18">
        <v>0</v>
      </c>
      <c r="AM492" s="18">
        <v>0</v>
      </c>
      <c r="AN492" s="18">
        <v>0</v>
      </c>
      <c r="AO492" s="18">
        <v>0</v>
      </c>
      <c r="AP492" s="18">
        <v>0</v>
      </c>
      <c r="AQ492" s="18">
        <v>0</v>
      </c>
      <c r="AR492" s="18">
        <v>0</v>
      </c>
      <c r="AS492" s="18">
        <v>0</v>
      </c>
      <c r="AT492" s="18">
        <v>0</v>
      </c>
      <c r="AU492" s="18">
        <v>0</v>
      </c>
      <c r="AV492" s="18">
        <v>0</v>
      </c>
      <c r="AW492" s="18">
        <v>0</v>
      </c>
      <c r="AX492" s="18">
        <v>0</v>
      </c>
      <c r="AY492" s="18">
        <v>0</v>
      </c>
      <c r="AZ492" s="18">
        <v>0</v>
      </c>
      <c r="BA492" s="18">
        <v>0</v>
      </c>
      <c r="BB492" s="18">
        <v>0</v>
      </c>
      <c r="BC492" s="18">
        <v>0</v>
      </c>
      <c r="BD492" s="18">
        <v>0</v>
      </c>
      <c r="BE492" s="18">
        <v>0</v>
      </c>
      <c r="BF492" s="18">
        <v>0</v>
      </c>
      <c r="BG492" s="18">
        <v>0</v>
      </c>
      <c r="BH492" s="18">
        <v>0</v>
      </c>
      <c r="BI492" s="18">
        <v>0</v>
      </c>
      <c r="BJ492" s="113">
        <v>0</v>
      </c>
      <c r="BK492" s="113">
        <v>0</v>
      </c>
      <c r="BL492" s="113">
        <v>0</v>
      </c>
      <c r="BM492" s="113">
        <v>0</v>
      </c>
      <c r="BN492" s="113">
        <v>15765</v>
      </c>
      <c r="BO492" s="113">
        <f>18392*0.9</f>
        <v>16552.8</v>
      </c>
      <c r="BP492" s="113">
        <v>5893</v>
      </c>
      <c r="BQ492" s="113">
        <v>0</v>
      </c>
      <c r="BR492" s="101"/>
      <c r="BS492">
        <f t="shared" si="976"/>
        <v>0</v>
      </c>
      <c r="BT492">
        <f t="shared" si="976"/>
        <v>0</v>
      </c>
      <c r="BU492">
        <f t="shared" si="976"/>
        <v>0</v>
      </c>
      <c r="BV492">
        <f t="shared" si="976"/>
        <v>0</v>
      </c>
      <c r="BW492">
        <f t="shared" si="976"/>
        <v>0</v>
      </c>
      <c r="BX492">
        <f t="shared" si="976"/>
        <v>0</v>
      </c>
      <c r="BY492">
        <f t="shared" si="976"/>
        <v>0</v>
      </c>
      <c r="BZ492">
        <f t="shared" si="976"/>
        <v>0</v>
      </c>
      <c r="CA492">
        <f t="shared" si="976"/>
        <v>0</v>
      </c>
      <c r="CB492">
        <f t="shared" si="976"/>
        <v>0</v>
      </c>
      <c r="CC492">
        <f t="shared" si="977"/>
        <v>0</v>
      </c>
      <c r="CD492">
        <f t="shared" si="977"/>
        <v>0</v>
      </c>
      <c r="CE492">
        <f t="shared" si="977"/>
        <v>0</v>
      </c>
      <c r="CF492">
        <f t="shared" si="977"/>
        <v>0</v>
      </c>
      <c r="CG492">
        <f t="shared" si="977"/>
        <v>0</v>
      </c>
      <c r="CH492">
        <f t="shared" si="977"/>
        <v>0</v>
      </c>
      <c r="CI492">
        <f t="shared" si="977"/>
        <v>0</v>
      </c>
      <c r="CJ492">
        <f t="shared" si="977"/>
        <v>0</v>
      </c>
      <c r="CK492">
        <f t="shared" si="977"/>
        <v>0</v>
      </c>
      <c r="CL492">
        <f t="shared" si="977"/>
        <v>0</v>
      </c>
      <c r="CM492">
        <f t="shared" si="978"/>
        <v>0</v>
      </c>
      <c r="CN492">
        <f t="shared" si="978"/>
        <v>0</v>
      </c>
      <c r="CO492">
        <f t="shared" si="978"/>
        <v>0</v>
      </c>
      <c r="CP492">
        <f t="shared" si="978"/>
        <v>0</v>
      </c>
      <c r="CQ492">
        <f t="shared" si="978"/>
        <v>0</v>
      </c>
      <c r="CR492">
        <f t="shared" si="978"/>
        <v>0</v>
      </c>
      <c r="CS492">
        <f t="shared" si="978"/>
        <v>0</v>
      </c>
      <c r="CT492">
        <f t="shared" si="978"/>
        <v>0</v>
      </c>
      <c r="CU492">
        <f t="shared" si="978"/>
        <v>0</v>
      </c>
      <c r="CV492">
        <f t="shared" si="978"/>
        <v>0</v>
      </c>
      <c r="CW492">
        <f t="shared" si="979"/>
        <v>0</v>
      </c>
      <c r="CX492">
        <f t="shared" si="979"/>
        <v>0</v>
      </c>
      <c r="CY492">
        <f t="shared" si="979"/>
        <v>0</v>
      </c>
      <c r="CZ492">
        <f t="shared" si="979"/>
        <v>0</v>
      </c>
      <c r="DA492">
        <f t="shared" si="979"/>
        <v>0</v>
      </c>
      <c r="DB492">
        <f t="shared" si="979"/>
        <v>0</v>
      </c>
      <c r="DC492">
        <f t="shared" si="979"/>
        <v>0</v>
      </c>
      <c r="DD492">
        <f t="shared" si="979"/>
        <v>0</v>
      </c>
      <c r="DE492">
        <f t="shared" si="979"/>
        <v>0</v>
      </c>
      <c r="DF492">
        <f t="shared" si="979"/>
        <v>0</v>
      </c>
      <c r="DG492">
        <f t="shared" si="980"/>
        <v>0</v>
      </c>
      <c r="DH492">
        <f t="shared" si="980"/>
        <v>0</v>
      </c>
      <c r="DI492">
        <f t="shared" si="980"/>
        <v>0</v>
      </c>
      <c r="DJ492">
        <f t="shared" si="980"/>
        <v>0</v>
      </c>
      <c r="DK492">
        <f t="shared" si="980"/>
        <v>0</v>
      </c>
      <c r="DL492">
        <f t="shared" si="980"/>
        <v>0</v>
      </c>
      <c r="DM492">
        <f t="shared" si="980"/>
        <v>0</v>
      </c>
      <c r="DN492">
        <f t="shared" si="980"/>
        <v>0</v>
      </c>
      <c r="DO492">
        <f t="shared" si="980"/>
        <v>0</v>
      </c>
      <c r="DP492">
        <f t="shared" si="980"/>
        <v>0</v>
      </c>
      <c r="DQ492">
        <f t="shared" si="981"/>
        <v>0</v>
      </c>
      <c r="DR492">
        <f t="shared" si="981"/>
        <v>0</v>
      </c>
      <c r="DS492">
        <f t="shared" si="981"/>
        <v>0</v>
      </c>
      <c r="DT492">
        <f t="shared" si="981"/>
        <v>0</v>
      </c>
      <c r="DU492">
        <f t="shared" si="981"/>
        <v>0</v>
      </c>
      <c r="DV492">
        <f t="shared" si="981"/>
        <v>0</v>
      </c>
      <c r="DW492">
        <f t="shared" si="981"/>
        <v>0</v>
      </c>
      <c r="DX492">
        <f t="shared" si="981"/>
        <v>0</v>
      </c>
      <c r="DY492">
        <f t="shared" si="981"/>
        <v>0</v>
      </c>
      <c r="DZ492">
        <f t="shared" si="981"/>
        <v>0</v>
      </c>
      <c r="EA492">
        <f t="shared" ref="EA492:EF492" si="985">IF($C492&lt;&gt;"",IF(BL491&gt;0,1,0),0)</f>
        <v>0</v>
      </c>
      <c r="EB492">
        <f t="shared" si="985"/>
        <v>0</v>
      </c>
      <c r="EC492">
        <f t="shared" si="985"/>
        <v>0</v>
      </c>
      <c r="ED492">
        <f t="shared" si="985"/>
        <v>0</v>
      </c>
      <c r="EE492">
        <f t="shared" si="985"/>
        <v>0</v>
      </c>
      <c r="EF492">
        <f t="shared" si="985"/>
        <v>0</v>
      </c>
    </row>
    <row r="493" spans="1:136" ht="15.5">
      <c r="A493" s="90"/>
      <c r="B493" s="19" t="s">
        <v>212</v>
      </c>
      <c r="C493" s="94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40" t="s">
        <v>16</v>
      </c>
      <c r="X493" s="31"/>
      <c r="Y493" s="31"/>
      <c r="Z493" s="40" t="s">
        <v>16</v>
      </c>
      <c r="AA493" s="18"/>
      <c r="AB493" s="18"/>
      <c r="AC493" s="18"/>
      <c r="AD493" s="18"/>
      <c r="AE493" s="18"/>
      <c r="AF493" s="18"/>
      <c r="AG493" s="18"/>
      <c r="AH493" s="18">
        <v>1559.5649350649351</v>
      </c>
      <c r="AI493" s="18">
        <v>1356.9096045197741</v>
      </c>
      <c r="AJ493" s="18">
        <v>1275.6895674300254</v>
      </c>
      <c r="AK493" s="18">
        <v>629.37469586374698</v>
      </c>
      <c r="AL493" s="18">
        <v>500.80494766888677</v>
      </c>
      <c r="AM493" s="18">
        <v>420.01798063623789</v>
      </c>
      <c r="AN493" s="18">
        <v>342.32528735632184</v>
      </c>
      <c r="AO493" s="18">
        <v>227.39822222222222</v>
      </c>
      <c r="AP493" s="147">
        <v>173.93265132139811</v>
      </c>
      <c r="AQ493" s="147">
        <v>92.409197360017032</v>
      </c>
      <c r="AR493" s="147">
        <v>930.35655505107832</v>
      </c>
      <c r="AS493" s="147">
        <v>824.11267413275061</v>
      </c>
      <c r="AT493" s="147">
        <v>609.33202986135802</v>
      </c>
      <c r="AU493" s="147">
        <v>498.69125621328516</v>
      </c>
      <c r="AV493" s="147">
        <v>452.27115087254253</v>
      </c>
      <c r="AW493" s="147">
        <v>437.38840515816156</v>
      </c>
      <c r="AX493" s="147">
        <v>425.78677991941629</v>
      </c>
      <c r="AY493" s="147">
        <v>307.36842105263162</v>
      </c>
      <c r="AZ493" s="147">
        <v>113.6</v>
      </c>
      <c r="BA493" s="154">
        <v>951.4084507042254</v>
      </c>
      <c r="BB493" s="18">
        <v>1097.2413793103449</v>
      </c>
      <c r="BC493" s="18">
        <v>1398.7654320987654</v>
      </c>
      <c r="BD493" s="18">
        <v>4248.9361702127662</v>
      </c>
      <c r="BE493" s="18">
        <v>3687.6068376068379</v>
      </c>
      <c r="BF493" s="18">
        <v>3000.3134796238246</v>
      </c>
      <c r="BG493" s="18">
        <v>1936.4116094986807</v>
      </c>
      <c r="BH493" s="18">
        <v>1521.8604651162791</v>
      </c>
      <c r="BI493" s="18">
        <v>1061.1973392461198</v>
      </c>
      <c r="BJ493" s="113">
        <v>817.90123456790116</v>
      </c>
      <c r="BK493" s="113">
        <v>574.33628318584067</v>
      </c>
      <c r="BL493" s="113">
        <v>1931.2820512820515</v>
      </c>
      <c r="BM493" s="113">
        <v>1761.1382113821137</v>
      </c>
      <c r="BN493" s="113">
        <v>5744</v>
      </c>
      <c r="BO493" s="113">
        <v>5182</v>
      </c>
      <c r="BP493" s="113">
        <v>6736</v>
      </c>
      <c r="BQ493" s="113">
        <v>5052</v>
      </c>
      <c r="BR493" s="101"/>
      <c r="BS493">
        <f t="shared" si="976"/>
        <v>0</v>
      </c>
      <c r="BT493">
        <f t="shared" si="976"/>
        <v>0</v>
      </c>
      <c r="BU493">
        <f t="shared" si="976"/>
        <v>0</v>
      </c>
      <c r="BV493">
        <f t="shared" si="976"/>
        <v>0</v>
      </c>
      <c r="BW493">
        <f t="shared" si="976"/>
        <v>0</v>
      </c>
      <c r="BX493">
        <f t="shared" si="976"/>
        <v>0</v>
      </c>
      <c r="BY493">
        <f t="shared" si="976"/>
        <v>0</v>
      </c>
      <c r="BZ493">
        <f t="shared" si="976"/>
        <v>0</v>
      </c>
      <c r="CA493">
        <f t="shared" si="976"/>
        <v>0</v>
      </c>
      <c r="CB493">
        <f t="shared" si="976"/>
        <v>0</v>
      </c>
      <c r="CC493">
        <f t="shared" si="977"/>
        <v>0</v>
      </c>
      <c r="CD493">
        <f t="shared" si="977"/>
        <v>0</v>
      </c>
      <c r="CE493">
        <f t="shared" si="977"/>
        <v>0</v>
      </c>
      <c r="CF493">
        <f t="shared" si="977"/>
        <v>0</v>
      </c>
      <c r="CG493">
        <f t="shared" si="977"/>
        <v>0</v>
      </c>
      <c r="CH493">
        <f t="shared" si="977"/>
        <v>0</v>
      </c>
      <c r="CI493">
        <f t="shared" si="977"/>
        <v>0</v>
      </c>
      <c r="CJ493">
        <f t="shared" si="977"/>
        <v>0</v>
      </c>
      <c r="CK493">
        <f t="shared" si="977"/>
        <v>0</v>
      </c>
      <c r="CL493">
        <f t="shared" si="977"/>
        <v>0</v>
      </c>
      <c r="CM493">
        <f t="shared" si="978"/>
        <v>0</v>
      </c>
      <c r="CN493">
        <f t="shared" si="978"/>
        <v>0</v>
      </c>
      <c r="CO493">
        <f t="shared" si="978"/>
        <v>0</v>
      </c>
      <c r="CP493">
        <f t="shared" si="978"/>
        <v>0</v>
      </c>
      <c r="CQ493">
        <f t="shared" si="978"/>
        <v>0</v>
      </c>
      <c r="CR493">
        <f t="shared" si="978"/>
        <v>0</v>
      </c>
      <c r="CS493">
        <f t="shared" si="978"/>
        <v>0</v>
      </c>
      <c r="CT493">
        <f t="shared" si="978"/>
        <v>0</v>
      </c>
      <c r="CU493">
        <f t="shared" si="978"/>
        <v>0</v>
      </c>
      <c r="CV493">
        <f t="shared" si="978"/>
        <v>0</v>
      </c>
      <c r="CW493">
        <f t="shared" si="979"/>
        <v>0</v>
      </c>
      <c r="CX493">
        <f t="shared" si="979"/>
        <v>0</v>
      </c>
      <c r="CY493">
        <f t="shared" si="979"/>
        <v>0</v>
      </c>
      <c r="CZ493">
        <f t="shared" si="979"/>
        <v>0</v>
      </c>
      <c r="DA493">
        <f t="shared" si="979"/>
        <v>0</v>
      </c>
      <c r="DB493">
        <f t="shared" si="979"/>
        <v>0</v>
      </c>
      <c r="DC493">
        <f t="shared" si="979"/>
        <v>0</v>
      </c>
      <c r="DD493">
        <f t="shared" si="979"/>
        <v>0</v>
      </c>
      <c r="DE493">
        <f t="shared" si="979"/>
        <v>0</v>
      </c>
      <c r="DF493">
        <f t="shared" si="979"/>
        <v>0</v>
      </c>
      <c r="DG493">
        <f t="shared" si="980"/>
        <v>0</v>
      </c>
      <c r="DH493">
        <f t="shared" si="980"/>
        <v>0</v>
      </c>
      <c r="DI493">
        <f t="shared" si="980"/>
        <v>0</v>
      </c>
      <c r="DJ493">
        <f t="shared" si="980"/>
        <v>0</v>
      </c>
      <c r="DK493">
        <f t="shared" si="980"/>
        <v>0</v>
      </c>
      <c r="DL493">
        <f t="shared" si="980"/>
        <v>0</v>
      </c>
      <c r="DM493">
        <f t="shared" si="980"/>
        <v>0</v>
      </c>
      <c r="DN493">
        <f t="shared" si="980"/>
        <v>0</v>
      </c>
      <c r="DO493">
        <f t="shared" si="980"/>
        <v>0</v>
      </c>
      <c r="DP493">
        <f t="shared" si="980"/>
        <v>0</v>
      </c>
      <c r="DQ493">
        <f t="shared" si="981"/>
        <v>0</v>
      </c>
      <c r="DR493">
        <f t="shared" si="981"/>
        <v>0</v>
      </c>
      <c r="DS493">
        <f t="shared" si="981"/>
        <v>0</v>
      </c>
      <c r="DT493">
        <f t="shared" si="981"/>
        <v>0</v>
      </c>
      <c r="DU493">
        <f t="shared" si="981"/>
        <v>0</v>
      </c>
      <c r="DV493">
        <f t="shared" si="981"/>
        <v>0</v>
      </c>
      <c r="DW493">
        <f t="shared" si="981"/>
        <v>0</v>
      </c>
      <c r="DX493">
        <f t="shared" si="981"/>
        <v>0</v>
      </c>
      <c r="DY493">
        <f t="shared" si="981"/>
        <v>0</v>
      </c>
      <c r="DZ493">
        <f t="shared" si="981"/>
        <v>0</v>
      </c>
      <c r="EA493">
        <f t="shared" ref="EA493:EF493" si="986">IF($C493&lt;&gt;"",IF(BL493&gt;0,1,0),0)</f>
        <v>0</v>
      </c>
      <c r="EB493">
        <f t="shared" si="986"/>
        <v>0</v>
      </c>
      <c r="EC493">
        <f t="shared" si="986"/>
        <v>0</v>
      </c>
      <c r="ED493">
        <f t="shared" si="986"/>
        <v>0</v>
      </c>
      <c r="EE493">
        <f t="shared" si="986"/>
        <v>0</v>
      </c>
      <c r="EF493">
        <f t="shared" si="986"/>
        <v>0</v>
      </c>
    </row>
    <row r="494" spans="1:136" ht="15.5">
      <c r="A494" s="90"/>
      <c r="B494" s="19"/>
      <c r="C494" s="94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  <c r="AK494" s="31"/>
      <c r="AL494" s="31"/>
      <c r="AM494" s="31"/>
      <c r="AN494" s="31"/>
      <c r="AO494" s="31"/>
      <c r="AP494" s="31"/>
      <c r="AQ494" s="31"/>
      <c r="AR494" s="31"/>
      <c r="AS494" s="31"/>
      <c r="AT494" s="31"/>
      <c r="AU494" s="31"/>
      <c r="AV494" s="31"/>
      <c r="AW494" s="31"/>
      <c r="AX494" s="31"/>
      <c r="AY494" s="31"/>
      <c r="AZ494" s="31"/>
      <c r="BA494" s="2"/>
      <c r="BB494" s="2"/>
      <c r="BC494" s="113"/>
      <c r="BD494" s="113"/>
      <c r="BE494" s="113"/>
      <c r="BF494" s="113"/>
      <c r="BG494" s="113"/>
      <c r="BH494" s="113"/>
      <c r="BI494" s="113"/>
      <c r="BJ494" s="113"/>
      <c r="BK494" s="113"/>
      <c r="BL494" s="34"/>
      <c r="BM494" s="113"/>
      <c r="BN494" s="2"/>
      <c r="BO494" s="2"/>
      <c r="BP494" s="2"/>
      <c r="BQ494" s="2"/>
      <c r="BR494" s="101"/>
    </row>
    <row r="495" spans="1:136" ht="15.5">
      <c r="A495" s="93">
        <v>58</v>
      </c>
      <c r="B495" s="32" t="s">
        <v>71</v>
      </c>
      <c r="C495" s="94">
        <v>1</v>
      </c>
      <c r="D495" s="9">
        <f t="shared" ref="D495:AI495" si="987">SUM(D496:D499)</f>
        <v>368.60159999999996</v>
      </c>
      <c r="E495" s="9">
        <f t="shared" si="987"/>
        <v>377.75479999999999</v>
      </c>
      <c r="F495" s="9">
        <f t="shared" si="987"/>
        <v>386.90800000000002</v>
      </c>
      <c r="G495" s="9">
        <f t="shared" si="987"/>
        <v>301.08119999999991</v>
      </c>
      <c r="H495" s="9">
        <f t="shared" si="987"/>
        <v>307.64439999999991</v>
      </c>
      <c r="I495" s="9">
        <f t="shared" si="987"/>
        <v>314.2075999999999</v>
      </c>
      <c r="J495" s="9">
        <f t="shared" si="987"/>
        <v>0</v>
      </c>
      <c r="K495" s="9">
        <f t="shared" si="987"/>
        <v>0</v>
      </c>
      <c r="L495" s="9">
        <f t="shared" si="987"/>
        <v>0</v>
      </c>
      <c r="M495" s="9">
        <f t="shared" si="987"/>
        <v>0</v>
      </c>
      <c r="N495" s="9">
        <f t="shared" si="987"/>
        <v>0</v>
      </c>
      <c r="O495" s="9">
        <f t="shared" si="987"/>
        <v>0</v>
      </c>
      <c r="P495" s="9">
        <f t="shared" si="987"/>
        <v>0</v>
      </c>
      <c r="Q495" s="9">
        <f t="shared" si="987"/>
        <v>0</v>
      </c>
      <c r="R495" s="9">
        <f t="shared" si="987"/>
        <v>0</v>
      </c>
      <c r="S495" s="9">
        <f t="shared" si="987"/>
        <v>0</v>
      </c>
      <c r="T495" s="9">
        <f t="shared" si="987"/>
        <v>0</v>
      </c>
      <c r="U495" s="9">
        <f t="shared" si="987"/>
        <v>0</v>
      </c>
      <c r="V495" s="9">
        <f t="shared" si="987"/>
        <v>0</v>
      </c>
      <c r="W495" s="9">
        <f t="shared" si="987"/>
        <v>0</v>
      </c>
      <c r="X495" s="9">
        <f t="shared" si="987"/>
        <v>0</v>
      </c>
      <c r="Y495" s="9">
        <f t="shared" si="987"/>
        <v>0</v>
      </c>
      <c r="Z495" s="9">
        <f t="shared" si="987"/>
        <v>0</v>
      </c>
      <c r="AA495" s="9">
        <f t="shared" si="987"/>
        <v>0</v>
      </c>
      <c r="AB495" s="9">
        <f t="shared" si="987"/>
        <v>0</v>
      </c>
      <c r="AC495" s="9">
        <f t="shared" si="987"/>
        <v>0</v>
      </c>
      <c r="AD495" s="9">
        <f t="shared" si="987"/>
        <v>0</v>
      </c>
      <c r="AE495" s="9">
        <f t="shared" si="987"/>
        <v>0</v>
      </c>
      <c r="AF495" s="9">
        <f t="shared" si="987"/>
        <v>0</v>
      </c>
      <c r="AG495" s="9">
        <f t="shared" si="987"/>
        <v>0</v>
      </c>
      <c r="AH495" s="9">
        <f t="shared" si="987"/>
        <v>0</v>
      </c>
      <c r="AI495" s="9">
        <f t="shared" si="987"/>
        <v>0</v>
      </c>
      <c r="AJ495" s="9">
        <f t="shared" ref="AJ495:BO495" si="988">SUM(AJ496:AJ499)</f>
        <v>0</v>
      </c>
      <c r="AK495" s="9">
        <f t="shared" si="988"/>
        <v>0</v>
      </c>
      <c r="AL495" s="9">
        <f t="shared" si="988"/>
        <v>0</v>
      </c>
      <c r="AM495" s="9">
        <f t="shared" si="988"/>
        <v>0</v>
      </c>
      <c r="AN495" s="9">
        <f t="shared" si="988"/>
        <v>0</v>
      </c>
      <c r="AO495" s="9">
        <f t="shared" si="988"/>
        <v>0</v>
      </c>
      <c r="AP495" s="9">
        <f t="shared" si="988"/>
        <v>0</v>
      </c>
      <c r="AQ495" s="9">
        <f t="shared" si="988"/>
        <v>0</v>
      </c>
      <c r="AR495" s="9">
        <f t="shared" si="988"/>
        <v>0</v>
      </c>
      <c r="AS495" s="9">
        <f t="shared" si="988"/>
        <v>0</v>
      </c>
      <c r="AT495" s="9">
        <f t="shared" si="988"/>
        <v>0</v>
      </c>
      <c r="AU495" s="9">
        <f t="shared" si="988"/>
        <v>0</v>
      </c>
      <c r="AV495" s="9">
        <f t="shared" si="988"/>
        <v>0</v>
      </c>
      <c r="AW495" s="9">
        <f t="shared" si="988"/>
        <v>0</v>
      </c>
      <c r="AX495" s="9">
        <f t="shared" si="988"/>
        <v>0</v>
      </c>
      <c r="AY495" s="9">
        <f t="shared" si="988"/>
        <v>0</v>
      </c>
      <c r="AZ495" s="9">
        <f t="shared" si="988"/>
        <v>0</v>
      </c>
      <c r="BA495" s="9">
        <f t="shared" si="988"/>
        <v>0</v>
      </c>
      <c r="BB495" s="9">
        <f t="shared" si="988"/>
        <v>0</v>
      </c>
      <c r="BC495" s="9">
        <f t="shared" si="988"/>
        <v>0</v>
      </c>
      <c r="BD495" s="9">
        <f t="shared" si="988"/>
        <v>312420</v>
      </c>
      <c r="BE495" s="9">
        <f t="shared" si="988"/>
        <v>212819</v>
      </c>
      <c r="BF495" s="9">
        <f t="shared" si="988"/>
        <v>0</v>
      </c>
      <c r="BG495" s="9">
        <f t="shared" si="988"/>
        <v>2222</v>
      </c>
      <c r="BH495" s="9">
        <f t="shared" si="988"/>
        <v>0</v>
      </c>
      <c r="BI495" s="9">
        <f t="shared" si="988"/>
        <v>0</v>
      </c>
      <c r="BJ495" s="9">
        <f t="shared" si="988"/>
        <v>110938</v>
      </c>
      <c r="BK495" s="9">
        <f t="shared" si="988"/>
        <v>0</v>
      </c>
      <c r="BL495" s="9">
        <f t="shared" si="988"/>
        <v>0</v>
      </c>
      <c r="BM495" s="9">
        <f t="shared" si="988"/>
        <v>0</v>
      </c>
      <c r="BN495" s="9">
        <f t="shared" si="988"/>
        <v>0</v>
      </c>
      <c r="BO495" s="9">
        <f t="shared" si="988"/>
        <v>0</v>
      </c>
      <c r="BP495" s="9">
        <f>SUM(BP496:BP499)</f>
        <v>0</v>
      </c>
      <c r="BQ495" s="9">
        <f>SUM(BQ496:BQ499)</f>
        <v>0</v>
      </c>
      <c r="BR495" s="101"/>
      <c r="BS495">
        <f t="shared" ref="BS495:CX495" si="989">IF($C495&lt;&gt;"",IF(D495&gt;0,1,0),0)</f>
        <v>1</v>
      </c>
      <c r="BT495">
        <f t="shared" si="989"/>
        <v>1</v>
      </c>
      <c r="BU495">
        <f t="shared" si="989"/>
        <v>1</v>
      </c>
      <c r="BV495">
        <f t="shared" si="989"/>
        <v>1</v>
      </c>
      <c r="BW495">
        <f t="shared" si="989"/>
        <v>1</v>
      </c>
      <c r="BX495">
        <f t="shared" si="989"/>
        <v>1</v>
      </c>
      <c r="BY495">
        <f t="shared" si="989"/>
        <v>0</v>
      </c>
      <c r="BZ495">
        <f t="shared" si="989"/>
        <v>0</v>
      </c>
      <c r="CA495">
        <f t="shared" si="989"/>
        <v>0</v>
      </c>
      <c r="CB495">
        <f t="shared" si="989"/>
        <v>0</v>
      </c>
      <c r="CC495">
        <f t="shared" si="989"/>
        <v>0</v>
      </c>
      <c r="CD495">
        <f t="shared" si="989"/>
        <v>0</v>
      </c>
      <c r="CE495">
        <f t="shared" si="989"/>
        <v>0</v>
      </c>
      <c r="CF495">
        <f t="shared" si="989"/>
        <v>0</v>
      </c>
      <c r="CG495">
        <f t="shared" si="989"/>
        <v>0</v>
      </c>
      <c r="CH495">
        <f t="shared" si="989"/>
        <v>0</v>
      </c>
      <c r="CI495">
        <f t="shared" si="989"/>
        <v>0</v>
      </c>
      <c r="CJ495">
        <f t="shared" si="989"/>
        <v>0</v>
      </c>
      <c r="CK495">
        <f t="shared" si="989"/>
        <v>0</v>
      </c>
      <c r="CL495">
        <f t="shared" si="989"/>
        <v>0</v>
      </c>
      <c r="CM495">
        <f t="shared" si="989"/>
        <v>0</v>
      </c>
      <c r="CN495">
        <f t="shared" si="989"/>
        <v>0</v>
      </c>
      <c r="CO495">
        <f t="shared" si="989"/>
        <v>0</v>
      </c>
      <c r="CP495">
        <f t="shared" si="989"/>
        <v>0</v>
      </c>
      <c r="CQ495">
        <f t="shared" si="989"/>
        <v>0</v>
      </c>
      <c r="CR495">
        <f t="shared" si="989"/>
        <v>0</v>
      </c>
      <c r="CS495">
        <f t="shared" si="989"/>
        <v>0</v>
      </c>
      <c r="CT495">
        <f t="shared" si="989"/>
        <v>0</v>
      </c>
      <c r="CU495">
        <f t="shared" si="989"/>
        <v>0</v>
      </c>
      <c r="CV495">
        <f t="shared" si="989"/>
        <v>0</v>
      </c>
      <c r="CW495">
        <f t="shared" si="989"/>
        <v>0</v>
      </c>
      <c r="CX495">
        <f t="shared" si="989"/>
        <v>0</v>
      </c>
      <c r="CY495">
        <f t="shared" ref="CY495:ED495" si="990">IF($C495&lt;&gt;"",IF(AJ495&gt;0,1,0),0)</f>
        <v>0</v>
      </c>
      <c r="CZ495">
        <f t="shared" si="990"/>
        <v>0</v>
      </c>
      <c r="DA495">
        <f t="shared" si="990"/>
        <v>0</v>
      </c>
      <c r="DB495">
        <f t="shared" si="990"/>
        <v>0</v>
      </c>
      <c r="DC495">
        <f t="shared" si="990"/>
        <v>0</v>
      </c>
      <c r="DD495">
        <f t="shared" si="990"/>
        <v>0</v>
      </c>
      <c r="DE495">
        <f t="shared" si="990"/>
        <v>0</v>
      </c>
      <c r="DF495">
        <f t="shared" si="990"/>
        <v>0</v>
      </c>
      <c r="DG495">
        <f t="shared" si="990"/>
        <v>0</v>
      </c>
      <c r="DH495">
        <f t="shared" si="990"/>
        <v>0</v>
      </c>
      <c r="DI495">
        <f t="shared" si="990"/>
        <v>0</v>
      </c>
      <c r="DJ495">
        <f t="shared" si="990"/>
        <v>0</v>
      </c>
      <c r="DK495">
        <f t="shared" si="990"/>
        <v>0</v>
      </c>
      <c r="DL495">
        <f t="shared" si="990"/>
        <v>0</v>
      </c>
      <c r="DM495">
        <f t="shared" si="990"/>
        <v>0</v>
      </c>
      <c r="DN495">
        <f t="shared" si="990"/>
        <v>0</v>
      </c>
      <c r="DO495">
        <f t="shared" si="990"/>
        <v>0</v>
      </c>
      <c r="DP495">
        <f t="shared" si="990"/>
        <v>0</v>
      </c>
      <c r="DQ495">
        <f t="shared" si="990"/>
        <v>0</v>
      </c>
      <c r="DR495">
        <f t="shared" si="990"/>
        <v>0</v>
      </c>
      <c r="DS495">
        <f t="shared" si="990"/>
        <v>1</v>
      </c>
      <c r="DT495">
        <f t="shared" si="990"/>
        <v>1</v>
      </c>
      <c r="DU495">
        <f t="shared" si="990"/>
        <v>0</v>
      </c>
      <c r="DV495">
        <f t="shared" si="990"/>
        <v>1</v>
      </c>
      <c r="DW495">
        <f t="shared" si="990"/>
        <v>0</v>
      </c>
      <c r="DX495">
        <f t="shared" si="990"/>
        <v>0</v>
      </c>
      <c r="DY495">
        <f t="shared" si="990"/>
        <v>1</v>
      </c>
      <c r="DZ495">
        <f t="shared" si="990"/>
        <v>0</v>
      </c>
      <c r="EA495">
        <f t="shared" si="990"/>
        <v>0</v>
      </c>
      <c r="EB495">
        <f t="shared" si="990"/>
        <v>0</v>
      </c>
      <c r="EC495">
        <f t="shared" si="990"/>
        <v>0</v>
      </c>
      <c r="ED495">
        <f t="shared" si="990"/>
        <v>0</v>
      </c>
      <c r="EE495">
        <f t="shared" ref="EE495:EF495" si="991">IF($C495&lt;&gt;"",IF(BP495&gt;0,1,0),0)</f>
        <v>0</v>
      </c>
      <c r="EF495">
        <f t="shared" si="991"/>
        <v>0</v>
      </c>
    </row>
    <row r="496" spans="1:136" ht="15.5">
      <c r="A496" s="90"/>
      <c r="B496" s="19" t="s">
        <v>15</v>
      </c>
      <c r="C496" s="94"/>
      <c r="D496" s="18">
        <v>0</v>
      </c>
      <c r="E496" s="18">
        <v>0</v>
      </c>
      <c r="F496" s="18">
        <v>0</v>
      </c>
      <c r="G496" s="18">
        <v>0</v>
      </c>
      <c r="H496" s="18">
        <v>0</v>
      </c>
      <c r="I496" s="18">
        <v>0</v>
      </c>
      <c r="J496" s="18">
        <v>0</v>
      </c>
      <c r="K496" s="18">
        <v>0</v>
      </c>
      <c r="L496" s="18">
        <v>0</v>
      </c>
      <c r="M496" s="18">
        <v>0</v>
      </c>
      <c r="N496" s="18">
        <v>0</v>
      </c>
      <c r="O496" s="18">
        <v>0</v>
      </c>
      <c r="P496" s="18">
        <v>0</v>
      </c>
      <c r="Q496" s="18">
        <v>0</v>
      </c>
      <c r="R496" s="18">
        <v>0</v>
      </c>
      <c r="S496" s="18">
        <v>0</v>
      </c>
      <c r="T496" s="18">
        <v>0</v>
      </c>
      <c r="U496" s="18">
        <v>0</v>
      </c>
      <c r="V496" s="18">
        <v>0</v>
      </c>
      <c r="W496" s="18">
        <v>0</v>
      </c>
      <c r="X496" s="18">
        <v>0</v>
      </c>
      <c r="Y496" s="18">
        <v>0</v>
      </c>
      <c r="Z496" s="18">
        <v>0</v>
      </c>
      <c r="AA496" s="18">
        <v>0</v>
      </c>
      <c r="AB496" s="18">
        <v>0</v>
      </c>
      <c r="AC496" s="18">
        <v>0</v>
      </c>
      <c r="AD496" s="18">
        <v>0</v>
      </c>
      <c r="AE496" s="18">
        <v>0</v>
      </c>
      <c r="AF496" s="18">
        <v>0</v>
      </c>
      <c r="AG496" s="18">
        <v>0</v>
      </c>
      <c r="AH496" s="18">
        <v>0</v>
      </c>
      <c r="AI496" s="18">
        <v>0</v>
      </c>
      <c r="AJ496" s="18">
        <v>0</v>
      </c>
      <c r="AK496" s="18">
        <v>0</v>
      </c>
      <c r="AL496" s="18">
        <v>0</v>
      </c>
      <c r="AM496" s="18">
        <v>0</v>
      </c>
      <c r="AN496" s="18">
        <v>0</v>
      </c>
      <c r="AO496" s="18">
        <v>0</v>
      </c>
      <c r="AP496" s="18">
        <v>0</v>
      </c>
      <c r="AQ496" s="18">
        <v>0</v>
      </c>
      <c r="AR496" s="18">
        <v>0</v>
      </c>
      <c r="AS496" s="18">
        <v>0</v>
      </c>
      <c r="AT496" s="18">
        <v>0</v>
      </c>
      <c r="AU496" s="18">
        <v>0</v>
      </c>
      <c r="AV496" s="18">
        <v>0</v>
      </c>
      <c r="AW496" s="18">
        <v>0</v>
      </c>
      <c r="AX496" s="18">
        <v>0</v>
      </c>
      <c r="AY496" s="18">
        <v>0</v>
      </c>
      <c r="AZ496" s="18">
        <v>0</v>
      </c>
      <c r="BA496" s="18">
        <v>0</v>
      </c>
      <c r="BB496" s="18">
        <v>0</v>
      </c>
      <c r="BC496" s="18">
        <v>0</v>
      </c>
      <c r="BD496" s="18">
        <v>0</v>
      </c>
      <c r="BE496" s="18">
        <v>0</v>
      </c>
      <c r="BF496" s="18">
        <v>0</v>
      </c>
      <c r="BG496" s="18">
        <v>2222</v>
      </c>
      <c r="BH496" s="18">
        <v>0</v>
      </c>
      <c r="BI496" s="18">
        <v>0</v>
      </c>
      <c r="BJ496" s="18">
        <v>0</v>
      </c>
      <c r="BK496" s="18">
        <v>0</v>
      </c>
      <c r="BL496" s="18">
        <v>0</v>
      </c>
      <c r="BM496" s="18">
        <v>0</v>
      </c>
      <c r="BN496" s="18">
        <v>0</v>
      </c>
      <c r="BO496" s="18">
        <v>0</v>
      </c>
      <c r="BP496" s="18">
        <v>0</v>
      </c>
      <c r="BQ496" s="18">
        <v>0</v>
      </c>
      <c r="BR496" s="101"/>
      <c r="BS496">
        <f t="shared" ref="BS496:CB500" si="992">IF($C496&lt;&gt;"",IF(D496&gt;0,1,0),0)</f>
        <v>0</v>
      </c>
      <c r="BT496">
        <f t="shared" si="992"/>
        <v>0</v>
      </c>
      <c r="BU496">
        <f t="shared" si="992"/>
        <v>0</v>
      </c>
      <c r="BV496">
        <f t="shared" si="992"/>
        <v>0</v>
      </c>
      <c r="BW496">
        <f t="shared" si="992"/>
        <v>0</v>
      </c>
      <c r="BX496">
        <f t="shared" si="992"/>
        <v>0</v>
      </c>
      <c r="BY496">
        <f t="shared" si="992"/>
        <v>0</v>
      </c>
      <c r="BZ496">
        <f t="shared" si="992"/>
        <v>0</v>
      </c>
      <c r="CA496">
        <f t="shared" si="992"/>
        <v>0</v>
      </c>
      <c r="CB496">
        <f t="shared" si="992"/>
        <v>0</v>
      </c>
      <c r="CC496">
        <f t="shared" ref="CC496:CL500" si="993">IF($C496&lt;&gt;"",IF(N496&gt;0,1,0),0)</f>
        <v>0</v>
      </c>
      <c r="CD496">
        <f t="shared" si="993"/>
        <v>0</v>
      </c>
      <c r="CE496">
        <f t="shared" si="993"/>
        <v>0</v>
      </c>
      <c r="CF496">
        <f t="shared" si="993"/>
        <v>0</v>
      </c>
      <c r="CG496">
        <f t="shared" si="993"/>
        <v>0</v>
      </c>
      <c r="CH496">
        <f t="shared" si="993"/>
        <v>0</v>
      </c>
      <c r="CI496">
        <f t="shared" si="993"/>
        <v>0</v>
      </c>
      <c r="CJ496">
        <f t="shared" si="993"/>
        <v>0</v>
      </c>
      <c r="CK496">
        <f t="shared" si="993"/>
        <v>0</v>
      </c>
      <c r="CL496">
        <f t="shared" si="993"/>
        <v>0</v>
      </c>
      <c r="CM496">
        <f t="shared" ref="CM496:CV500" si="994">IF($C496&lt;&gt;"",IF(X496&gt;0,1,0),0)</f>
        <v>0</v>
      </c>
      <c r="CN496">
        <f t="shared" si="994"/>
        <v>0</v>
      </c>
      <c r="CO496">
        <f t="shared" si="994"/>
        <v>0</v>
      </c>
      <c r="CP496">
        <f t="shared" si="994"/>
        <v>0</v>
      </c>
      <c r="CQ496">
        <f t="shared" si="994"/>
        <v>0</v>
      </c>
      <c r="CR496">
        <f t="shared" si="994"/>
        <v>0</v>
      </c>
      <c r="CS496">
        <f t="shared" si="994"/>
        <v>0</v>
      </c>
      <c r="CT496">
        <f t="shared" si="994"/>
        <v>0</v>
      </c>
      <c r="CU496">
        <f t="shared" si="994"/>
        <v>0</v>
      </c>
      <c r="CV496">
        <f t="shared" si="994"/>
        <v>0</v>
      </c>
      <c r="CW496">
        <f t="shared" ref="CW496:DF500" si="995">IF($C496&lt;&gt;"",IF(AH496&gt;0,1,0),0)</f>
        <v>0</v>
      </c>
      <c r="CX496">
        <f t="shared" si="995"/>
        <v>0</v>
      </c>
      <c r="CY496">
        <f t="shared" si="995"/>
        <v>0</v>
      </c>
      <c r="CZ496">
        <f t="shared" si="995"/>
        <v>0</v>
      </c>
      <c r="DA496">
        <f t="shared" si="995"/>
        <v>0</v>
      </c>
      <c r="DB496">
        <f t="shared" si="995"/>
        <v>0</v>
      </c>
      <c r="DC496">
        <f t="shared" si="995"/>
        <v>0</v>
      </c>
      <c r="DD496">
        <f t="shared" si="995"/>
        <v>0</v>
      </c>
      <c r="DE496">
        <f t="shared" si="995"/>
        <v>0</v>
      </c>
      <c r="DF496">
        <f t="shared" si="995"/>
        <v>0</v>
      </c>
      <c r="DG496">
        <f t="shared" ref="DG496:DP500" si="996">IF($C496&lt;&gt;"",IF(AR496&gt;0,1,0),0)</f>
        <v>0</v>
      </c>
      <c r="DH496">
        <f t="shared" si="996"/>
        <v>0</v>
      </c>
      <c r="DI496">
        <f t="shared" si="996"/>
        <v>0</v>
      </c>
      <c r="DJ496">
        <f t="shared" si="996"/>
        <v>0</v>
      </c>
      <c r="DK496">
        <f t="shared" si="996"/>
        <v>0</v>
      </c>
      <c r="DL496">
        <f t="shared" si="996"/>
        <v>0</v>
      </c>
      <c r="DM496">
        <f t="shared" si="996"/>
        <v>0</v>
      </c>
      <c r="DN496">
        <f t="shared" si="996"/>
        <v>0</v>
      </c>
      <c r="DO496">
        <f t="shared" si="996"/>
        <v>0</v>
      </c>
      <c r="DP496">
        <f t="shared" si="996"/>
        <v>0</v>
      </c>
      <c r="DQ496">
        <f t="shared" ref="DQ496:DZ500" si="997">IF($C496&lt;&gt;"",IF(BB496&gt;0,1,0),0)</f>
        <v>0</v>
      </c>
      <c r="DR496">
        <f t="shared" si="997"/>
        <v>0</v>
      </c>
      <c r="DS496">
        <f t="shared" si="997"/>
        <v>0</v>
      </c>
      <c r="DT496">
        <f t="shared" si="997"/>
        <v>0</v>
      </c>
      <c r="DU496">
        <f t="shared" si="997"/>
        <v>0</v>
      </c>
      <c r="DV496">
        <f t="shared" si="997"/>
        <v>0</v>
      </c>
      <c r="DW496">
        <f t="shared" si="997"/>
        <v>0</v>
      </c>
      <c r="DX496">
        <f t="shared" si="997"/>
        <v>0</v>
      </c>
      <c r="DY496">
        <f t="shared" si="997"/>
        <v>0</v>
      </c>
      <c r="DZ496">
        <f t="shared" si="997"/>
        <v>0</v>
      </c>
      <c r="EA496">
        <f t="shared" ref="EA496:EF499" si="998">IF($C496&lt;&gt;"",IF(BL495&gt;0,1,0),0)</f>
        <v>0</v>
      </c>
      <c r="EB496">
        <f t="shared" si="998"/>
        <v>0</v>
      </c>
      <c r="EC496">
        <f t="shared" si="998"/>
        <v>0</v>
      </c>
      <c r="ED496">
        <f t="shared" si="998"/>
        <v>0</v>
      </c>
      <c r="EE496">
        <f t="shared" si="998"/>
        <v>0</v>
      </c>
      <c r="EF496">
        <f t="shared" si="998"/>
        <v>0</v>
      </c>
    </row>
    <row r="497" spans="1:136" ht="15.5">
      <c r="A497" s="90"/>
      <c r="B497" s="19" t="s">
        <v>205</v>
      </c>
      <c r="C497" s="94"/>
      <c r="D497" s="18">
        <v>0</v>
      </c>
      <c r="E497" s="18">
        <v>0</v>
      </c>
      <c r="F497" s="18">
        <v>0</v>
      </c>
      <c r="G497" s="18">
        <v>0</v>
      </c>
      <c r="H497" s="18">
        <v>0</v>
      </c>
      <c r="I497" s="18">
        <v>0</v>
      </c>
      <c r="J497" s="18">
        <v>0</v>
      </c>
      <c r="K497" s="18">
        <v>0</v>
      </c>
      <c r="L497" s="18">
        <v>0</v>
      </c>
      <c r="M497" s="18">
        <v>0</v>
      </c>
      <c r="N497" s="18">
        <v>0</v>
      </c>
      <c r="O497" s="18">
        <v>0</v>
      </c>
      <c r="P497" s="18">
        <v>0</v>
      </c>
      <c r="Q497" s="18">
        <v>0</v>
      </c>
      <c r="R497" s="18">
        <v>0</v>
      </c>
      <c r="S497" s="18">
        <v>0</v>
      </c>
      <c r="T497" s="18">
        <v>0</v>
      </c>
      <c r="U497" s="18">
        <v>0</v>
      </c>
      <c r="V497" s="18">
        <v>0</v>
      </c>
      <c r="W497" s="18">
        <v>0</v>
      </c>
      <c r="X497" s="18">
        <v>0</v>
      </c>
      <c r="Y497" s="18">
        <v>0</v>
      </c>
      <c r="Z497" s="18">
        <v>0</v>
      </c>
      <c r="AA497" s="18">
        <v>0</v>
      </c>
      <c r="AB497" s="18">
        <v>0</v>
      </c>
      <c r="AC497" s="18">
        <v>0</v>
      </c>
      <c r="AD497" s="18">
        <v>0</v>
      </c>
      <c r="AE497" s="18">
        <v>0</v>
      </c>
      <c r="AF497" s="18">
        <v>0</v>
      </c>
      <c r="AG497" s="18">
        <v>0</v>
      </c>
      <c r="AH497" s="18">
        <v>0</v>
      </c>
      <c r="AI497" s="18">
        <v>0</v>
      </c>
      <c r="AJ497" s="18">
        <v>0</v>
      </c>
      <c r="AK497" s="18">
        <v>0</v>
      </c>
      <c r="AL497" s="18">
        <v>0</v>
      </c>
      <c r="AM497" s="18">
        <v>0</v>
      </c>
      <c r="AN497" s="18">
        <v>0</v>
      </c>
      <c r="AO497" s="18">
        <v>0</v>
      </c>
      <c r="AP497" s="18">
        <v>0</v>
      </c>
      <c r="AQ497" s="18">
        <v>0</v>
      </c>
      <c r="AR497" s="18">
        <v>0</v>
      </c>
      <c r="AS497" s="18">
        <v>0</v>
      </c>
      <c r="AT497" s="18">
        <v>0</v>
      </c>
      <c r="AU497" s="18">
        <v>0</v>
      </c>
      <c r="AV497" s="18">
        <v>0</v>
      </c>
      <c r="AW497" s="18">
        <v>0</v>
      </c>
      <c r="AX497" s="18">
        <v>0</v>
      </c>
      <c r="AY497" s="18">
        <v>0</v>
      </c>
      <c r="AZ497" s="18">
        <v>0</v>
      </c>
      <c r="BA497" s="18">
        <v>0</v>
      </c>
      <c r="BB497" s="18">
        <v>0</v>
      </c>
      <c r="BC497" s="18">
        <v>0</v>
      </c>
      <c r="BD497" s="40" t="s">
        <v>16</v>
      </c>
      <c r="BE497" s="18">
        <v>0</v>
      </c>
      <c r="BF497" s="18">
        <v>0</v>
      </c>
      <c r="BG497" s="18">
        <v>0</v>
      </c>
      <c r="BH497" s="18">
        <v>0</v>
      </c>
      <c r="BI497" s="18">
        <v>0</v>
      </c>
      <c r="BJ497" s="18">
        <v>0</v>
      </c>
      <c r="BK497" s="18">
        <v>0</v>
      </c>
      <c r="BL497" s="18">
        <v>0</v>
      </c>
      <c r="BM497" s="18">
        <v>0</v>
      </c>
      <c r="BN497" s="18">
        <v>0</v>
      </c>
      <c r="BO497" s="18">
        <v>0</v>
      </c>
      <c r="BP497" s="18">
        <v>0</v>
      </c>
      <c r="BQ497" s="18">
        <v>0</v>
      </c>
      <c r="BR497" s="101"/>
      <c r="BS497">
        <f t="shared" si="992"/>
        <v>0</v>
      </c>
      <c r="BT497">
        <f t="shared" si="992"/>
        <v>0</v>
      </c>
      <c r="BU497">
        <f t="shared" si="992"/>
        <v>0</v>
      </c>
      <c r="BV497">
        <f t="shared" si="992"/>
        <v>0</v>
      </c>
      <c r="BW497">
        <f t="shared" si="992"/>
        <v>0</v>
      </c>
      <c r="BX497">
        <f t="shared" si="992"/>
        <v>0</v>
      </c>
      <c r="BY497">
        <f t="shared" si="992"/>
        <v>0</v>
      </c>
      <c r="BZ497">
        <f t="shared" si="992"/>
        <v>0</v>
      </c>
      <c r="CA497">
        <f t="shared" si="992"/>
        <v>0</v>
      </c>
      <c r="CB497">
        <f t="shared" si="992"/>
        <v>0</v>
      </c>
      <c r="CC497">
        <f t="shared" si="993"/>
        <v>0</v>
      </c>
      <c r="CD497">
        <f t="shared" si="993"/>
        <v>0</v>
      </c>
      <c r="CE497">
        <f t="shared" si="993"/>
        <v>0</v>
      </c>
      <c r="CF497">
        <f t="shared" si="993"/>
        <v>0</v>
      </c>
      <c r="CG497">
        <f t="shared" si="993"/>
        <v>0</v>
      </c>
      <c r="CH497">
        <f t="shared" si="993"/>
        <v>0</v>
      </c>
      <c r="CI497">
        <f t="shared" si="993"/>
        <v>0</v>
      </c>
      <c r="CJ497">
        <f t="shared" si="993"/>
        <v>0</v>
      </c>
      <c r="CK497">
        <f t="shared" si="993"/>
        <v>0</v>
      </c>
      <c r="CL497">
        <f t="shared" si="993"/>
        <v>0</v>
      </c>
      <c r="CM497">
        <f t="shared" si="994"/>
        <v>0</v>
      </c>
      <c r="CN497">
        <f t="shared" si="994"/>
        <v>0</v>
      </c>
      <c r="CO497">
        <f t="shared" si="994"/>
        <v>0</v>
      </c>
      <c r="CP497">
        <f t="shared" si="994"/>
        <v>0</v>
      </c>
      <c r="CQ497">
        <f t="shared" si="994"/>
        <v>0</v>
      </c>
      <c r="CR497">
        <f t="shared" si="994"/>
        <v>0</v>
      </c>
      <c r="CS497">
        <f t="shared" si="994"/>
        <v>0</v>
      </c>
      <c r="CT497">
        <f t="shared" si="994"/>
        <v>0</v>
      </c>
      <c r="CU497">
        <f t="shared" si="994"/>
        <v>0</v>
      </c>
      <c r="CV497">
        <f t="shared" si="994"/>
        <v>0</v>
      </c>
      <c r="CW497">
        <f t="shared" si="995"/>
        <v>0</v>
      </c>
      <c r="CX497">
        <f t="shared" si="995"/>
        <v>0</v>
      </c>
      <c r="CY497">
        <f t="shared" si="995"/>
        <v>0</v>
      </c>
      <c r="CZ497">
        <f t="shared" si="995"/>
        <v>0</v>
      </c>
      <c r="DA497">
        <f t="shared" si="995"/>
        <v>0</v>
      </c>
      <c r="DB497">
        <f t="shared" si="995"/>
        <v>0</v>
      </c>
      <c r="DC497">
        <f t="shared" si="995"/>
        <v>0</v>
      </c>
      <c r="DD497">
        <f t="shared" si="995"/>
        <v>0</v>
      </c>
      <c r="DE497">
        <f t="shared" si="995"/>
        <v>0</v>
      </c>
      <c r="DF497">
        <f t="shared" si="995"/>
        <v>0</v>
      </c>
      <c r="DG497">
        <f t="shared" si="996"/>
        <v>0</v>
      </c>
      <c r="DH497">
        <f t="shared" si="996"/>
        <v>0</v>
      </c>
      <c r="DI497">
        <f t="shared" si="996"/>
        <v>0</v>
      </c>
      <c r="DJ497">
        <f t="shared" si="996"/>
        <v>0</v>
      </c>
      <c r="DK497">
        <f t="shared" si="996"/>
        <v>0</v>
      </c>
      <c r="DL497">
        <f t="shared" si="996"/>
        <v>0</v>
      </c>
      <c r="DM497">
        <f t="shared" si="996"/>
        <v>0</v>
      </c>
      <c r="DN497">
        <f t="shared" si="996"/>
        <v>0</v>
      </c>
      <c r="DO497">
        <f t="shared" si="996"/>
        <v>0</v>
      </c>
      <c r="DP497">
        <f t="shared" si="996"/>
        <v>0</v>
      </c>
      <c r="DQ497">
        <f t="shared" si="997"/>
        <v>0</v>
      </c>
      <c r="DR497">
        <f t="shared" si="997"/>
        <v>0</v>
      </c>
      <c r="DS497">
        <f t="shared" si="997"/>
        <v>0</v>
      </c>
      <c r="DT497">
        <f t="shared" si="997"/>
        <v>0</v>
      </c>
      <c r="DU497">
        <f t="shared" si="997"/>
        <v>0</v>
      </c>
      <c r="DV497">
        <f t="shared" si="997"/>
        <v>0</v>
      </c>
      <c r="DW497">
        <f t="shared" si="997"/>
        <v>0</v>
      </c>
      <c r="DX497">
        <f t="shared" si="997"/>
        <v>0</v>
      </c>
      <c r="DY497">
        <f t="shared" si="997"/>
        <v>0</v>
      </c>
      <c r="DZ497">
        <f t="shared" si="997"/>
        <v>0</v>
      </c>
      <c r="EA497">
        <f t="shared" si="998"/>
        <v>0</v>
      </c>
      <c r="EB497">
        <f t="shared" si="998"/>
        <v>0</v>
      </c>
      <c r="EC497">
        <f t="shared" si="998"/>
        <v>0</v>
      </c>
      <c r="ED497">
        <f t="shared" si="998"/>
        <v>0</v>
      </c>
      <c r="EE497">
        <f t="shared" si="998"/>
        <v>0</v>
      </c>
      <c r="EF497">
        <f t="shared" si="998"/>
        <v>0</v>
      </c>
    </row>
    <row r="498" spans="1:136" ht="15.5">
      <c r="A498" s="90"/>
      <c r="B498" s="57" t="s">
        <v>3</v>
      </c>
      <c r="C498" s="94"/>
      <c r="D498" s="18">
        <v>0</v>
      </c>
      <c r="E498" s="18">
        <v>0</v>
      </c>
      <c r="F498" s="18">
        <v>0</v>
      </c>
      <c r="G498" s="18">
        <v>0</v>
      </c>
      <c r="H498" s="18">
        <v>0</v>
      </c>
      <c r="I498" s="18">
        <v>0</v>
      </c>
      <c r="J498" s="18">
        <v>0</v>
      </c>
      <c r="K498" s="18">
        <v>0</v>
      </c>
      <c r="L498" s="18">
        <v>0</v>
      </c>
      <c r="M498" s="18">
        <v>0</v>
      </c>
      <c r="N498" s="18">
        <v>0</v>
      </c>
      <c r="O498" s="18">
        <v>0</v>
      </c>
      <c r="P498" s="18">
        <v>0</v>
      </c>
      <c r="Q498" s="18">
        <v>0</v>
      </c>
      <c r="R498" s="18">
        <v>0</v>
      </c>
      <c r="S498" s="18">
        <v>0</v>
      </c>
      <c r="T498" s="18">
        <v>0</v>
      </c>
      <c r="U498" s="18">
        <v>0</v>
      </c>
      <c r="V498" s="18">
        <v>0</v>
      </c>
      <c r="W498" s="18">
        <v>0</v>
      </c>
      <c r="X498" s="18">
        <v>0</v>
      </c>
      <c r="Y498" s="18">
        <v>0</v>
      </c>
      <c r="Z498" s="18">
        <v>0</v>
      </c>
      <c r="AA498" s="18">
        <v>0</v>
      </c>
      <c r="AB498" s="18">
        <v>0</v>
      </c>
      <c r="AC498" s="18">
        <v>0</v>
      </c>
      <c r="AD498" s="18">
        <v>0</v>
      </c>
      <c r="AE498" s="18">
        <v>0</v>
      </c>
      <c r="AF498" s="18">
        <v>0</v>
      </c>
      <c r="AG498" s="18">
        <v>0</v>
      </c>
      <c r="AH498" s="18">
        <v>0</v>
      </c>
      <c r="AI498" s="18">
        <v>0</v>
      </c>
      <c r="AJ498" s="18">
        <v>0</v>
      </c>
      <c r="AK498" s="18">
        <v>0</v>
      </c>
      <c r="AL498" s="18">
        <v>0</v>
      </c>
      <c r="AM498" s="18">
        <v>0</v>
      </c>
      <c r="AN498" s="18">
        <v>0</v>
      </c>
      <c r="AO498" s="18">
        <v>0</v>
      </c>
      <c r="AP498" s="18">
        <v>0</v>
      </c>
      <c r="AQ498" s="18">
        <v>0</v>
      </c>
      <c r="AR498" s="18">
        <v>0</v>
      </c>
      <c r="AS498" s="18">
        <v>0</v>
      </c>
      <c r="AT498" s="18">
        <v>0</v>
      </c>
      <c r="AU498" s="18">
        <v>0</v>
      </c>
      <c r="AV498" s="18">
        <v>0</v>
      </c>
      <c r="AW498" s="18">
        <v>0</v>
      </c>
      <c r="AX498" s="18">
        <v>0</v>
      </c>
      <c r="AY498" s="18">
        <v>0</v>
      </c>
      <c r="AZ498" s="18">
        <v>0</v>
      </c>
      <c r="BA498" s="18">
        <v>0</v>
      </c>
      <c r="BB498" s="18">
        <v>0</v>
      </c>
      <c r="BC498" s="18">
        <v>0</v>
      </c>
      <c r="BD498" s="18">
        <v>0</v>
      </c>
      <c r="BE498" s="25">
        <v>212819</v>
      </c>
      <c r="BF498" s="18">
        <v>0</v>
      </c>
      <c r="BG498" s="18">
        <v>0</v>
      </c>
      <c r="BH498" s="18">
        <v>0</v>
      </c>
      <c r="BI498" s="18">
        <v>0</v>
      </c>
      <c r="BJ498" s="113">
        <v>110938</v>
      </c>
      <c r="BK498" s="18">
        <v>0</v>
      </c>
      <c r="BL498" s="18">
        <v>0</v>
      </c>
      <c r="BM498" s="18">
        <v>0</v>
      </c>
      <c r="BN498" s="18">
        <v>0</v>
      </c>
      <c r="BO498" s="18">
        <v>0</v>
      </c>
      <c r="BP498" s="18">
        <v>0</v>
      </c>
      <c r="BQ498" s="18">
        <v>0</v>
      </c>
      <c r="BR498" s="101"/>
      <c r="BS498">
        <f t="shared" si="992"/>
        <v>0</v>
      </c>
      <c r="BT498">
        <f t="shared" si="992"/>
        <v>0</v>
      </c>
      <c r="BU498">
        <f t="shared" si="992"/>
        <v>0</v>
      </c>
      <c r="BV498">
        <f t="shared" si="992"/>
        <v>0</v>
      </c>
      <c r="BW498">
        <f t="shared" si="992"/>
        <v>0</v>
      </c>
      <c r="BX498">
        <f t="shared" si="992"/>
        <v>0</v>
      </c>
      <c r="BY498">
        <f t="shared" si="992"/>
        <v>0</v>
      </c>
      <c r="BZ498">
        <f t="shared" si="992"/>
        <v>0</v>
      </c>
      <c r="CA498">
        <f t="shared" si="992"/>
        <v>0</v>
      </c>
      <c r="CB498">
        <f t="shared" si="992"/>
        <v>0</v>
      </c>
      <c r="CC498">
        <f t="shared" si="993"/>
        <v>0</v>
      </c>
      <c r="CD498">
        <f t="shared" si="993"/>
        <v>0</v>
      </c>
      <c r="CE498">
        <f t="shared" si="993"/>
        <v>0</v>
      </c>
      <c r="CF498">
        <f t="shared" si="993"/>
        <v>0</v>
      </c>
      <c r="CG498">
        <f t="shared" si="993"/>
        <v>0</v>
      </c>
      <c r="CH498">
        <f t="shared" si="993"/>
        <v>0</v>
      </c>
      <c r="CI498">
        <f t="shared" si="993"/>
        <v>0</v>
      </c>
      <c r="CJ498">
        <f t="shared" si="993"/>
        <v>0</v>
      </c>
      <c r="CK498">
        <f t="shared" si="993"/>
        <v>0</v>
      </c>
      <c r="CL498">
        <f t="shared" si="993"/>
        <v>0</v>
      </c>
      <c r="CM498">
        <f t="shared" si="994"/>
        <v>0</v>
      </c>
      <c r="CN498">
        <f t="shared" si="994"/>
        <v>0</v>
      </c>
      <c r="CO498">
        <f t="shared" si="994"/>
        <v>0</v>
      </c>
      <c r="CP498">
        <f t="shared" si="994"/>
        <v>0</v>
      </c>
      <c r="CQ498">
        <f t="shared" si="994"/>
        <v>0</v>
      </c>
      <c r="CR498">
        <f t="shared" si="994"/>
        <v>0</v>
      </c>
      <c r="CS498">
        <f t="shared" si="994"/>
        <v>0</v>
      </c>
      <c r="CT498">
        <f t="shared" si="994"/>
        <v>0</v>
      </c>
      <c r="CU498">
        <f t="shared" si="994"/>
        <v>0</v>
      </c>
      <c r="CV498">
        <f t="shared" si="994"/>
        <v>0</v>
      </c>
      <c r="CW498">
        <f t="shared" si="995"/>
        <v>0</v>
      </c>
      <c r="CX498">
        <f t="shared" si="995"/>
        <v>0</v>
      </c>
      <c r="CY498">
        <f t="shared" si="995"/>
        <v>0</v>
      </c>
      <c r="CZ498">
        <f t="shared" si="995"/>
        <v>0</v>
      </c>
      <c r="DA498">
        <f t="shared" si="995"/>
        <v>0</v>
      </c>
      <c r="DB498">
        <f t="shared" si="995"/>
        <v>0</v>
      </c>
      <c r="DC498">
        <f t="shared" si="995"/>
        <v>0</v>
      </c>
      <c r="DD498">
        <f t="shared" si="995"/>
        <v>0</v>
      </c>
      <c r="DE498">
        <f t="shared" si="995"/>
        <v>0</v>
      </c>
      <c r="DF498">
        <f t="shared" si="995"/>
        <v>0</v>
      </c>
      <c r="DG498">
        <f t="shared" si="996"/>
        <v>0</v>
      </c>
      <c r="DH498">
        <f t="shared" si="996"/>
        <v>0</v>
      </c>
      <c r="DI498">
        <f t="shared" si="996"/>
        <v>0</v>
      </c>
      <c r="DJ498">
        <f t="shared" si="996"/>
        <v>0</v>
      </c>
      <c r="DK498">
        <f t="shared" si="996"/>
        <v>0</v>
      </c>
      <c r="DL498">
        <f t="shared" si="996"/>
        <v>0</v>
      </c>
      <c r="DM498">
        <f t="shared" si="996"/>
        <v>0</v>
      </c>
      <c r="DN498">
        <f t="shared" si="996"/>
        <v>0</v>
      </c>
      <c r="DO498">
        <f t="shared" si="996"/>
        <v>0</v>
      </c>
      <c r="DP498">
        <f t="shared" si="996"/>
        <v>0</v>
      </c>
      <c r="DQ498">
        <f t="shared" si="997"/>
        <v>0</v>
      </c>
      <c r="DR498">
        <f t="shared" si="997"/>
        <v>0</v>
      </c>
      <c r="DS498">
        <f t="shared" si="997"/>
        <v>0</v>
      </c>
      <c r="DT498">
        <f t="shared" si="997"/>
        <v>0</v>
      </c>
      <c r="DU498">
        <f t="shared" si="997"/>
        <v>0</v>
      </c>
      <c r="DV498">
        <f t="shared" si="997"/>
        <v>0</v>
      </c>
      <c r="DW498">
        <f t="shared" si="997"/>
        <v>0</v>
      </c>
      <c r="DX498">
        <f t="shared" si="997"/>
        <v>0</v>
      </c>
      <c r="DY498">
        <f t="shared" si="997"/>
        <v>0</v>
      </c>
      <c r="DZ498">
        <f t="shared" si="997"/>
        <v>0</v>
      </c>
      <c r="EA498">
        <f t="shared" si="998"/>
        <v>0</v>
      </c>
      <c r="EB498">
        <f t="shared" si="998"/>
        <v>0</v>
      </c>
      <c r="EC498">
        <f t="shared" si="998"/>
        <v>0</v>
      </c>
      <c r="ED498">
        <f t="shared" si="998"/>
        <v>0</v>
      </c>
      <c r="EE498">
        <f t="shared" si="998"/>
        <v>0</v>
      </c>
      <c r="EF498">
        <f t="shared" si="998"/>
        <v>0</v>
      </c>
    </row>
    <row r="499" spans="1:136" ht="15.5">
      <c r="A499" s="90"/>
      <c r="B499" s="53" t="s">
        <v>25</v>
      </c>
      <c r="C499" s="94"/>
      <c r="D499" s="18">
        <v>368.60159999999996</v>
      </c>
      <c r="E499" s="18">
        <v>377.75479999999999</v>
      </c>
      <c r="F499" s="18">
        <v>386.90800000000002</v>
      </c>
      <c r="G499" s="18">
        <v>301.08119999999991</v>
      </c>
      <c r="H499" s="18">
        <v>307.64439999999991</v>
      </c>
      <c r="I499" s="18">
        <v>314.2075999999999</v>
      </c>
      <c r="J499" s="18">
        <v>0</v>
      </c>
      <c r="K499" s="18">
        <v>0</v>
      </c>
      <c r="L499" s="18">
        <v>0</v>
      </c>
      <c r="M499" s="18">
        <v>0</v>
      </c>
      <c r="N499" s="18">
        <v>0</v>
      </c>
      <c r="O499" s="18">
        <v>0</v>
      </c>
      <c r="P499" s="18">
        <v>0</v>
      </c>
      <c r="Q499" s="18">
        <v>0</v>
      </c>
      <c r="R499" s="18">
        <v>0</v>
      </c>
      <c r="S499" s="18">
        <v>0</v>
      </c>
      <c r="T499" s="18">
        <v>0</v>
      </c>
      <c r="U499" s="18">
        <v>0</v>
      </c>
      <c r="V499" s="18">
        <v>0</v>
      </c>
      <c r="W499" s="18">
        <v>0</v>
      </c>
      <c r="X499" s="18">
        <v>0</v>
      </c>
      <c r="Y499" s="18">
        <v>0</v>
      </c>
      <c r="Z499" s="18">
        <v>0</v>
      </c>
      <c r="AA499" s="18">
        <v>0</v>
      </c>
      <c r="AB499" s="18">
        <v>0</v>
      </c>
      <c r="AC499" s="18">
        <v>0</v>
      </c>
      <c r="AD499" s="18">
        <v>0</v>
      </c>
      <c r="AE499" s="18">
        <v>0</v>
      </c>
      <c r="AF499" s="18">
        <v>0</v>
      </c>
      <c r="AG499" s="18">
        <v>0</v>
      </c>
      <c r="AH499" s="18">
        <v>0</v>
      </c>
      <c r="AI499" s="18">
        <v>0</v>
      </c>
      <c r="AJ499" s="18">
        <v>0</v>
      </c>
      <c r="AK499" s="18">
        <v>0</v>
      </c>
      <c r="AL499" s="18">
        <v>0</v>
      </c>
      <c r="AM499" s="18">
        <v>0</v>
      </c>
      <c r="AN499" s="18">
        <v>0</v>
      </c>
      <c r="AO499" s="18">
        <v>0</v>
      </c>
      <c r="AP499" s="18">
        <v>0</v>
      </c>
      <c r="AQ499" s="18">
        <v>0</v>
      </c>
      <c r="AR499" s="18">
        <v>0</v>
      </c>
      <c r="AS499" s="18">
        <v>0</v>
      </c>
      <c r="AT499" s="18">
        <v>0</v>
      </c>
      <c r="AU499" s="18">
        <v>0</v>
      </c>
      <c r="AV499" s="18">
        <v>0</v>
      </c>
      <c r="AW499" s="18">
        <v>0</v>
      </c>
      <c r="AX499" s="18">
        <v>0</v>
      </c>
      <c r="AY499" s="18">
        <v>0</v>
      </c>
      <c r="AZ499" s="18">
        <v>0</v>
      </c>
      <c r="BA499" s="18">
        <v>0</v>
      </c>
      <c r="BB499" s="18">
        <v>0</v>
      </c>
      <c r="BC499" s="18">
        <v>0</v>
      </c>
      <c r="BD499" s="18">
        <v>312420</v>
      </c>
      <c r="BE499" s="25">
        <v>0</v>
      </c>
      <c r="BF499" s="18">
        <v>0</v>
      </c>
      <c r="BG499" s="18">
        <v>0</v>
      </c>
      <c r="BH499" s="18">
        <v>0</v>
      </c>
      <c r="BI499" s="18">
        <v>0</v>
      </c>
      <c r="BJ499" s="18">
        <v>0</v>
      </c>
      <c r="BK499" s="18">
        <v>0</v>
      </c>
      <c r="BL499" s="18">
        <v>0</v>
      </c>
      <c r="BM499" s="18">
        <v>0</v>
      </c>
      <c r="BN499" s="18">
        <v>0</v>
      </c>
      <c r="BO499" s="18">
        <v>0</v>
      </c>
      <c r="BP499" s="18">
        <v>0</v>
      </c>
      <c r="BQ499" s="18">
        <v>0</v>
      </c>
      <c r="BR499" s="101"/>
      <c r="BS499">
        <f t="shared" si="992"/>
        <v>0</v>
      </c>
      <c r="BT499">
        <f t="shared" si="992"/>
        <v>0</v>
      </c>
      <c r="BU499">
        <f t="shared" si="992"/>
        <v>0</v>
      </c>
      <c r="BV499">
        <f t="shared" si="992"/>
        <v>0</v>
      </c>
      <c r="BW499">
        <f t="shared" si="992"/>
        <v>0</v>
      </c>
      <c r="BX499">
        <f t="shared" si="992"/>
        <v>0</v>
      </c>
      <c r="BY499">
        <f t="shared" si="992"/>
        <v>0</v>
      </c>
      <c r="BZ499">
        <f t="shared" si="992"/>
        <v>0</v>
      </c>
      <c r="CA499">
        <f t="shared" si="992"/>
        <v>0</v>
      </c>
      <c r="CB499">
        <f t="shared" si="992"/>
        <v>0</v>
      </c>
      <c r="CC499">
        <f t="shared" si="993"/>
        <v>0</v>
      </c>
      <c r="CD499">
        <f t="shared" si="993"/>
        <v>0</v>
      </c>
      <c r="CE499">
        <f t="shared" si="993"/>
        <v>0</v>
      </c>
      <c r="CF499">
        <f t="shared" si="993"/>
        <v>0</v>
      </c>
      <c r="CG499">
        <f t="shared" si="993"/>
        <v>0</v>
      </c>
      <c r="CH499">
        <f t="shared" si="993"/>
        <v>0</v>
      </c>
      <c r="CI499">
        <f t="shared" si="993"/>
        <v>0</v>
      </c>
      <c r="CJ499">
        <f t="shared" si="993"/>
        <v>0</v>
      </c>
      <c r="CK499">
        <f t="shared" si="993"/>
        <v>0</v>
      </c>
      <c r="CL499">
        <f t="shared" si="993"/>
        <v>0</v>
      </c>
      <c r="CM499">
        <f t="shared" si="994"/>
        <v>0</v>
      </c>
      <c r="CN499">
        <f t="shared" si="994"/>
        <v>0</v>
      </c>
      <c r="CO499">
        <f t="shared" si="994"/>
        <v>0</v>
      </c>
      <c r="CP499">
        <f t="shared" si="994"/>
        <v>0</v>
      </c>
      <c r="CQ499">
        <f t="shared" si="994"/>
        <v>0</v>
      </c>
      <c r="CR499">
        <f t="shared" si="994"/>
        <v>0</v>
      </c>
      <c r="CS499">
        <f t="shared" si="994"/>
        <v>0</v>
      </c>
      <c r="CT499">
        <f t="shared" si="994"/>
        <v>0</v>
      </c>
      <c r="CU499">
        <f t="shared" si="994"/>
        <v>0</v>
      </c>
      <c r="CV499">
        <f t="shared" si="994"/>
        <v>0</v>
      </c>
      <c r="CW499">
        <f t="shared" si="995"/>
        <v>0</v>
      </c>
      <c r="CX499">
        <f t="shared" si="995"/>
        <v>0</v>
      </c>
      <c r="CY499">
        <f t="shared" si="995"/>
        <v>0</v>
      </c>
      <c r="CZ499">
        <f t="shared" si="995"/>
        <v>0</v>
      </c>
      <c r="DA499">
        <f t="shared" si="995"/>
        <v>0</v>
      </c>
      <c r="DB499">
        <f t="shared" si="995"/>
        <v>0</v>
      </c>
      <c r="DC499">
        <f t="shared" si="995"/>
        <v>0</v>
      </c>
      <c r="DD499">
        <f t="shared" si="995"/>
        <v>0</v>
      </c>
      <c r="DE499">
        <f t="shared" si="995"/>
        <v>0</v>
      </c>
      <c r="DF499">
        <f t="shared" si="995"/>
        <v>0</v>
      </c>
      <c r="DG499">
        <f t="shared" si="996"/>
        <v>0</v>
      </c>
      <c r="DH499">
        <f t="shared" si="996"/>
        <v>0</v>
      </c>
      <c r="DI499">
        <f t="shared" si="996"/>
        <v>0</v>
      </c>
      <c r="DJ499">
        <f t="shared" si="996"/>
        <v>0</v>
      </c>
      <c r="DK499">
        <f t="shared" si="996"/>
        <v>0</v>
      </c>
      <c r="DL499">
        <f t="shared" si="996"/>
        <v>0</v>
      </c>
      <c r="DM499">
        <f t="shared" si="996"/>
        <v>0</v>
      </c>
      <c r="DN499">
        <f t="shared" si="996"/>
        <v>0</v>
      </c>
      <c r="DO499">
        <f t="shared" si="996"/>
        <v>0</v>
      </c>
      <c r="DP499">
        <f t="shared" si="996"/>
        <v>0</v>
      </c>
      <c r="DQ499">
        <f t="shared" si="997"/>
        <v>0</v>
      </c>
      <c r="DR499">
        <f t="shared" si="997"/>
        <v>0</v>
      </c>
      <c r="DS499">
        <f t="shared" si="997"/>
        <v>0</v>
      </c>
      <c r="DT499">
        <f t="shared" si="997"/>
        <v>0</v>
      </c>
      <c r="DU499">
        <f t="shared" si="997"/>
        <v>0</v>
      </c>
      <c r="DV499">
        <f t="shared" si="997"/>
        <v>0</v>
      </c>
      <c r="DW499">
        <f t="shared" si="997"/>
        <v>0</v>
      </c>
      <c r="DX499">
        <f t="shared" si="997"/>
        <v>0</v>
      </c>
      <c r="DY499">
        <f t="shared" si="997"/>
        <v>0</v>
      </c>
      <c r="DZ499">
        <f t="shared" si="997"/>
        <v>0</v>
      </c>
      <c r="EA499">
        <f t="shared" si="998"/>
        <v>0</v>
      </c>
      <c r="EB499">
        <f t="shared" si="998"/>
        <v>0</v>
      </c>
      <c r="EC499">
        <f t="shared" si="998"/>
        <v>0</v>
      </c>
      <c r="ED499">
        <f t="shared" si="998"/>
        <v>0</v>
      </c>
      <c r="EE499">
        <f t="shared" si="998"/>
        <v>0</v>
      </c>
      <c r="EF499">
        <f t="shared" si="998"/>
        <v>0</v>
      </c>
    </row>
    <row r="500" spans="1:136" ht="15.5">
      <c r="A500" s="90"/>
      <c r="B500" s="19" t="s">
        <v>212</v>
      </c>
      <c r="C500" s="94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>
        <v>0</v>
      </c>
      <c r="AI500" s="18">
        <v>0</v>
      </c>
      <c r="AJ500" s="18">
        <v>0</v>
      </c>
      <c r="AK500" s="18">
        <v>0</v>
      </c>
      <c r="AL500" s="18">
        <v>0</v>
      </c>
      <c r="AM500" s="18">
        <v>0</v>
      </c>
      <c r="AN500" s="18">
        <v>0</v>
      </c>
      <c r="AO500" s="18">
        <v>0</v>
      </c>
      <c r="AP500" s="18">
        <v>0</v>
      </c>
      <c r="AQ500" s="18">
        <v>0</v>
      </c>
      <c r="AR500" s="18">
        <v>0</v>
      </c>
      <c r="AS500" s="18">
        <v>0</v>
      </c>
      <c r="AT500" s="18">
        <v>4210.5749999999998</v>
      </c>
      <c r="AU500" s="18">
        <v>3882.8500000000004</v>
      </c>
      <c r="AV500" s="18">
        <v>8188.95</v>
      </c>
      <c r="AW500" s="18">
        <v>14547.75</v>
      </c>
      <c r="AX500" s="18">
        <v>0</v>
      </c>
      <c r="AY500" s="18">
        <v>0</v>
      </c>
      <c r="AZ500" s="18">
        <v>0</v>
      </c>
      <c r="BA500" s="18">
        <v>0</v>
      </c>
      <c r="BB500" s="18">
        <v>0</v>
      </c>
      <c r="BC500" s="18">
        <v>11251.5</v>
      </c>
      <c r="BD500" s="18">
        <v>12628.44</v>
      </c>
      <c r="BE500" s="25">
        <v>6487.2000000000007</v>
      </c>
      <c r="BF500" s="18">
        <v>4654.96</v>
      </c>
      <c r="BG500" s="18">
        <v>5869.6500000000005</v>
      </c>
      <c r="BH500" s="18">
        <v>4809.22</v>
      </c>
      <c r="BI500" s="18">
        <v>3717.6</v>
      </c>
      <c r="BJ500" s="18">
        <v>2325.6</v>
      </c>
      <c r="BK500" s="18">
        <v>2341.92</v>
      </c>
      <c r="BL500" s="113">
        <v>1944</v>
      </c>
      <c r="BM500" s="113">
        <v>840</v>
      </c>
      <c r="BN500" s="113">
        <v>0</v>
      </c>
      <c r="BO500" s="113">
        <v>0</v>
      </c>
      <c r="BP500" s="113">
        <v>0</v>
      </c>
      <c r="BQ500" s="113">
        <v>0</v>
      </c>
      <c r="BR500" s="101"/>
      <c r="BS500">
        <f t="shared" si="992"/>
        <v>0</v>
      </c>
      <c r="BT500">
        <f t="shared" si="992"/>
        <v>0</v>
      </c>
      <c r="BU500">
        <f t="shared" si="992"/>
        <v>0</v>
      </c>
      <c r="BV500">
        <f t="shared" si="992"/>
        <v>0</v>
      </c>
      <c r="BW500">
        <f t="shared" si="992"/>
        <v>0</v>
      </c>
      <c r="BX500">
        <f t="shared" si="992"/>
        <v>0</v>
      </c>
      <c r="BY500">
        <f t="shared" si="992"/>
        <v>0</v>
      </c>
      <c r="BZ500">
        <f t="shared" si="992"/>
        <v>0</v>
      </c>
      <c r="CA500">
        <f t="shared" si="992"/>
        <v>0</v>
      </c>
      <c r="CB500">
        <f t="shared" si="992"/>
        <v>0</v>
      </c>
      <c r="CC500">
        <f t="shared" si="993"/>
        <v>0</v>
      </c>
      <c r="CD500">
        <f t="shared" si="993"/>
        <v>0</v>
      </c>
      <c r="CE500">
        <f t="shared" si="993"/>
        <v>0</v>
      </c>
      <c r="CF500">
        <f t="shared" si="993"/>
        <v>0</v>
      </c>
      <c r="CG500">
        <f t="shared" si="993"/>
        <v>0</v>
      </c>
      <c r="CH500">
        <f t="shared" si="993"/>
        <v>0</v>
      </c>
      <c r="CI500">
        <f t="shared" si="993"/>
        <v>0</v>
      </c>
      <c r="CJ500">
        <f t="shared" si="993"/>
        <v>0</v>
      </c>
      <c r="CK500">
        <f t="shared" si="993"/>
        <v>0</v>
      </c>
      <c r="CL500">
        <f t="shared" si="993"/>
        <v>0</v>
      </c>
      <c r="CM500">
        <f t="shared" si="994"/>
        <v>0</v>
      </c>
      <c r="CN500">
        <f t="shared" si="994"/>
        <v>0</v>
      </c>
      <c r="CO500">
        <f t="shared" si="994"/>
        <v>0</v>
      </c>
      <c r="CP500">
        <f t="shared" si="994"/>
        <v>0</v>
      </c>
      <c r="CQ500">
        <f t="shared" si="994"/>
        <v>0</v>
      </c>
      <c r="CR500">
        <f t="shared" si="994"/>
        <v>0</v>
      </c>
      <c r="CS500">
        <f t="shared" si="994"/>
        <v>0</v>
      </c>
      <c r="CT500">
        <f t="shared" si="994"/>
        <v>0</v>
      </c>
      <c r="CU500">
        <f t="shared" si="994"/>
        <v>0</v>
      </c>
      <c r="CV500">
        <f t="shared" si="994"/>
        <v>0</v>
      </c>
      <c r="CW500">
        <f t="shared" si="995"/>
        <v>0</v>
      </c>
      <c r="CX500">
        <f t="shared" si="995"/>
        <v>0</v>
      </c>
      <c r="CY500">
        <f t="shared" si="995"/>
        <v>0</v>
      </c>
      <c r="CZ500">
        <f t="shared" si="995"/>
        <v>0</v>
      </c>
      <c r="DA500">
        <f t="shared" si="995"/>
        <v>0</v>
      </c>
      <c r="DB500">
        <f t="shared" si="995"/>
        <v>0</v>
      </c>
      <c r="DC500">
        <f t="shared" si="995"/>
        <v>0</v>
      </c>
      <c r="DD500">
        <f t="shared" si="995"/>
        <v>0</v>
      </c>
      <c r="DE500">
        <f t="shared" si="995"/>
        <v>0</v>
      </c>
      <c r="DF500">
        <f t="shared" si="995"/>
        <v>0</v>
      </c>
      <c r="DG500">
        <f t="shared" si="996"/>
        <v>0</v>
      </c>
      <c r="DH500">
        <f t="shared" si="996"/>
        <v>0</v>
      </c>
      <c r="DI500">
        <f t="shared" si="996"/>
        <v>0</v>
      </c>
      <c r="DJ500">
        <f t="shared" si="996"/>
        <v>0</v>
      </c>
      <c r="DK500">
        <f t="shared" si="996"/>
        <v>0</v>
      </c>
      <c r="DL500">
        <f t="shared" si="996"/>
        <v>0</v>
      </c>
      <c r="DM500">
        <f t="shared" si="996"/>
        <v>0</v>
      </c>
      <c r="DN500">
        <f t="shared" si="996"/>
        <v>0</v>
      </c>
      <c r="DO500">
        <f t="shared" si="996"/>
        <v>0</v>
      </c>
      <c r="DP500">
        <f t="shared" si="996"/>
        <v>0</v>
      </c>
      <c r="DQ500">
        <f t="shared" si="997"/>
        <v>0</v>
      </c>
      <c r="DR500">
        <f t="shared" si="997"/>
        <v>0</v>
      </c>
      <c r="DS500">
        <f t="shared" si="997"/>
        <v>0</v>
      </c>
      <c r="DT500">
        <f t="shared" si="997"/>
        <v>0</v>
      </c>
      <c r="DU500">
        <f t="shared" si="997"/>
        <v>0</v>
      </c>
      <c r="DV500">
        <f t="shared" si="997"/>
        <v>0</v>
      </c>
      <c r="DW500">
        <f t="shared" si="997"/>
        <v>0</v>
      </c>
      <c r="DX500">
        <f t="shared" si="997"/>
        <v>0</v>
      </c>
      <c r="DY500">
        <f t="shared" si="997"/>
        <v>0</v>
      </c>
      <c r="DZ500">
        <f t="shared" si="997"/>
        <v>0</v>
      </c>
      <c r="EA500">
        <f t="shared" ref="EA500:EF500" si="999">IF($C500&lt;&gt;"",IF(BL500&gt;0,1,0),0)</f>
        <v>0</v>
      </c>
      <c r="EB500">
        <f t="shared" si="999"/>
        <v>0</v>
      </c>
      <c r="EC500">
        <f t="shared" si="999"/>
        <v>0</v>
      </c>
      <c r="ED500">
        <f t="shared" si="999"/>
        <v>0</v>
      </c>
      <c r="EE500">
        <f t="shared" si="999"/>
        <v>0</v>
      </c>
      <c r="EF500">
        <f t="shared" si="999"/>
        <v>0</v>
      </c>
    </row>
    <row r="501" spans="1:136" ht="15.5">
      <c r="A501" s="90"/>
      <c r="B501" s="54"/>
      <c r="C501" s="94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18"/>
      <c r="AV501" s="18"/>
      <c r="AW501" s="18"/>
      <c r="AX501" s="18"/>
      <c r="AY501" s="18"/>
      <c r="AZ501" s="18"/>
      <c r="BA501" s="18"/>
      <c r="BB501" s="18"/>
      <c r="BC501" s="18"/>
      <c r="BD501" s="18"/>
      <c r="BE501" s="25"/>
      <c r="BF501" s="18"/>
      <c r="BG501" s="18"/>
      <c r="BH501" s="2"/>
      <c r="BI501" s="2"/>
      <c r="BJ501" s="2"/>
      <c r="BK501" s="2"/>
      <c r="BL501" s="9"/>
      <c r="BM501" s="2"/>
      <c r="BN501" s="2"/>
      <c r="BO501" s="2"/>
      <c r="BP501" s="2"/>
      <c r="BQ501" s="2"/>
      <c r="BR501" s="101"/>
    </row>
    <row r="502" spans="1:136" ht="15.5">
      <c r="A502" s="93">
        <v>59</v>
      </c>
      <c r="B502" s="54" t="s">
        <v>72</v>
      </c>
      <c r="C502" s="94">
        <v>3</v>
      </c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>
        <f t="shared" ref="R502:AW502" si="1000">SUM(R503:R507)</f>
        <v>0</v>
      </c>
      <c r="S502" s="22">
        <f t="shared" si="1000"/>
        <v>0</v>
      </c>
      <c r="T502" s="22">
        <f t="shared" si="1000"/>
        <v>0</v>
      </c>
      <c r="U502" s="22">
        <f t="shared" si="1000"/>
        <v>0</v>
      </c>
      <c r="V502" s="22">
        <f t="shared" si="1000"/>
        <v>0</v>
      </c>
      <c r="W502" s="22">
        <f t="shared" si="1000"/>
        <v>0</v>
      </c>
      <c r="X502" s="22">
        <f t="shared" si="1000"/>
        <v>0</v>
      </c>
      <c r="Y502" s="22">
        <f t="shared" si="1000"/>
        <v>0.41499999999999998</v>
      </c>
      <c r="Z502" s="22">
        <f t="shared" si="1000"/>
        <v>0.41499999999999998</v>
      </c>
      <c r="AA502" s="22">
        <f t="shared" si="1000"/>
        <v>0.72675100000000004</v>
      </c>
      <c r="AB502" s="22">
        <f t="shared" si="1000"/>
        <v>2.6089030000000002</v>
      </c>
      <c r="AC502" s="22">
        <f t="shared" si="1000"/>
        <v>6.9486240000000006</v>
      </c>
      <c r="AD502" s="22">
        <f t="shared" si="1000"/>
        <v>8.8620079999999994</v>
      </c>
      <c r="AE502" s="22">
        <f t="shared" si="1000"/>
        <v>14.429374000000001</v>
      </c>
      <c r="AF502" s="22">
        <f t="shared" si="1000"/>
        <v>18.651786999999999</v>
      </c>
      <c r="AG502" s="22">
        <f t="shared" si="1000"/>
        <v>25.492989999999999</v>
      </c>
      <c r="AH502" s="22">
        <f t="shared" si="1000"/>
        <v>37.884920000000001</v>
      </c>
      <c r="AI502" s="22">
        <f t="shared" si="1000"/>
        <v>45.266369999999995</v>
      </c>
      <c r="AJ502" s="22">
        <f t="shared" si="1000"/>
        <v>43.293840000000003</v>
      </c>
      <c r="AK502" s="22">
        <f t="shared" si="1000"/>
        <v>43.444949999999999</v>
      </c>
      <c r="AL502" s="22">
        <f t="shared" si="1000"/>
        <v>45.24962</v>
      </c>
      <c r="AM502" s="22">
        <f t="shared" si="1000"/>
        <v>46.908709999999999</v>
      </c>
      <c r="AN502" s="22">
        <f t="shared" si="1000"/>
        <v>49.371980000000001</v>
      </c>
      <c r="AO502" s="22">
        <f t="shared" si="1000"/>
        <v>17.289165000000001</v>
      </c>
      <c r="AP502" s="22">
        <f t="shared" si="1000"/>
        <v>16.849014</v>
      </c>
      <c r="AQ502" s="22">
        <f t="shared" si="1000"/>
        <v>20.319461</v>
      </c>
      <c r="AR502" s="22">
        <f t="shared" si="1000"/>
        <v>15.939260299999997</v>
      </c>
      <c r="AS502" s="22">
        <f t="shared" si="1000"/>
        <v>13.732025399999999</v>
      </c>
      <c r="AT502" s="22">
        <f t="shared" si="1000"/>
        <v>12.7360407</v>
      </c>
      <c r="AU502" s="22">
        <f t="shared" si="1000"/>
        <v>12.272772099999999</v>
      </c>
      <c r="AV502" s="22">
        <f t="shared" si="1000"/>
        <v>264.69340869999996</v>
      </c>
      <c r="AW502" s="22">
        <f t="shared" si="1000"/>
        <v>253.58799099999999</v>
      </c>
      <c r="AX502" s="22">
        <f t="shared" ref="AX502:BQ502" si="1001">SUM(AX503:AX507)</f>
        <v>22.203360799999999</v>
      </c>
      <c r="AY502" s="22">
        <f t="shared" si="1001"/>
        <v>26.8293578</v>
      </c>
      <c r="AZ502" s="22">
        <f t="shared" si="1001"/>
        <v>32.371237399999998</v>
      </c>
      <c r="BA502" s="22">
        <f t="shared" si="1001"/>
        <v>39.731158499999999</v>
      </c>
      <c r="BB502" s="22">
        <f t="shared" si="1001"/>
        <v>41.650402399999997</v>
      </c>
      <c r="BC502" s="22">
        <f t="shared" si="1001"/>
        <v>45.276132200000006</v>
      </c>
      <c r="BD502" s="22">
        <f t="shared" si="1001"/>
        <v>80.609054299999997</v>
      </c>
      <c r="BE502" s="22">
        <f t="shared" si="1001"/>
        <v>313.3960558</v>
      </c>
      <c r="BF502" s="22">
        <f t="shared" si="1001"/>
        <v>329.77471290000005</v>
      </c>
      <c r="BG502" s="22">
        <f t="shared" si="1001"/>
        <v>402.48498489999997</v>
      </c>
      <c r="BH502" s="22">
        <f t="shared" si="1001"/>
        <v>155.91767168599998</v>
      </c>
      <c r="BI502" s="22">
        <f t="shared" si="1001"/>
        <v>212.07242711914819</v>
      </c>
      <c r="BJ502" s="22">
        <f t="shared" si="1001"/>
        <v>22.576009755000001</v>
      </c>
      <c r="BK502" s="9">
        <f t="shared" si="1001"/>
        <v>24.710131268999998</v>
      </c>
      <c r="BL502" s="9">
        <f t="shared" si="1001"/>
        <v>29.193246284000001</v>
      </c>
      <c r="BM502" s="9">
        <f t="shared" si="1001"/>
        <v>30.161354198000002</v>
      </c>
      <c r="BN502" s="9">
        <f t="shared" si="1001"/>
        <v>31.457938997999999</v>
      </c>
      <c r="BO502" s="9">
        <f t="shared" si="1001"/>
        <v>33.000009798000001</v>
      </c>
      <c r="BP502" s="9">
        <f t="shared" si="1001"/>
        <v>35.000009798000001</v>
      </c>
      <c r="BQ502" s="9">
        <f t="shared" si="1001"/>
        <v>38.000009798000001</v>
      </c>
      <c r="BR502" s="101"/>
      <c r="BS502">
        <f t="shared" ref="BS502:CX502" si="1002">IF($C502&lt;&gt;"",IF(D502&gt;0,1,0),0)</f>
        <v>0</v>
      </c>
      <c r="BT502">
        <f t="shared" si="1002"/>
        <v>0</v>
      </c>
      <c r="BU502">
        <f t="shared" si="1002"/>
        <v>0</v>
      </c>
      <c r="BV502">
        <f t="shared" si="1002"/>
        <v>0</v>
      </c>
      <c r="BW502">
        <f t="shared" si="1002"/>
        <v>0</v>
      </c>
      <c r="BX502">
        <f t="shared" si="1002"/>
        <v>0</v>
      </c>
      <c r="BY502">
        <f t="shared" si="1002"/>
        <v>0</v>
      </c>
      <c r="BZ502">
        <f t="shared" si="1002"/>
        <v>0</v>
      </c>
      <c r="CA502">
        <f t="shared" si="1002"/>
        <v>0</v>
      </c>
      <c r="CB502">
        <f t="shared" si="1002"/>
        <v>0</v>
      </c>
      <c r="CC502">
        <f t="shared" si="1002"/>
        <v>0</v>
      </c>
      <c r="CD502">
        <f t="shared" si="1002"/>
        <v>0</v>
      </c>
      <c r="CE502">
        <f t="shared" si="1002"/>
        <v>0</v>
      </c>
      <c r="CF502">
        <f t="shared" si="1002"/>
        <v>0</v>
      </c>
      <c r="CG502">
        <f t="shared" si="1002"/>
        <v>0</v>
      </c>
      <c r="CH502">
        <f t="shared" si="1002"/>
        <v>0</v>
      </c>
      <c r="CI502">
        <f t="shared" si="1002"/>
        <v>0</v>
      </c>
      <c r="CJ502">
        <f t="shared" si="1002"/>
        <v>0</v>
      </c>
      <c r="CK502">
        <f t="shared" si="1002"/>
        <v>0</v>
      </c>
      <c r="CL502">
        <f t="shared" si="1002"/>
        <v>0</v>
      </c>
      <c r="CM502">
        <f t="shared" si="1002"/>
        <v>0</v>
      </c>
      <c r="CN502">
        <f t="shared" si="1002"/>
        <v>1</v>
      </c>
      <c r="CO502">
        <f t="shared" si="1002"/>
        <v>1</v>
      </c>
      <c r="CP502">
        <f t="shared" si="1002"/>
        <v>1</v>
      </c>
      <c r="CQ502">
        <f t="shared" si="1002"/>
        <v>1</v>
      </c>
      <c r="CR502">
        <f t="shared" si="1002"/>
        <v>1</v>
      </c>
      <c r="CS502">
        <f t="shared" si="1002"/>
        <v>1</v>
      </c>
      <c r="CT502">
        <f t="shared" si="1002"/>
        <v>1</v>
      </c>
      <c r="CU502">
        <f t="shared" si="1002"/>
        <v>1</v>
      </c>
      <c r="CV502">
        <f t="shared" si="1002"/>
        <v>1</v>
      </c>
      <c r="CW502">
        <f t="shared" si="1002"/>
        <v>1</v>
      </c>
      <c r="CX502">
        <f t="shared" si="1002"/>
        <v>1</v>
      </c>
      <c r="CY502">
        <f t="shared" ref="CY502:ED502" si="1003">IF($C502&lt;&gt;"",IF(AJ502&gt;0,1,0),0)</f>
        <v>1</v>
      </c>
      <c r="CZ502">
        <f t="shared" si="1003"/>
        <v>1</v>
      </c>
      <c r="DA502">
        <f t="shared" si="1003"/>
        <v>1</v>
      </c>
      <c r="DB502">
        <f t="shared" si="1003"/>
        <v>1</v>
      </c>
      <c r="DC502">
        <f t="shared" si="1003"/>
        <v>1</v>
      </c>
      <c r="DD502">
        <f t="shared" si="1003"/>
        <v>1</v>
      </c>
      <c r="DE502">
        <f t="shared" si="1003"/>
        <v>1</v>
      </c>
      <c r="DF502">
        <f t="shared" si="1003"/>
        <v>1</v>
      </c>
      <c r="DG502">
        <f t="shared" si="1003"/>
        <v>1</v>
      </c>
      <c r="DH502">
        <f t="shared" si="1003"/>
        <v>1</v>
      </c>
      <c r="DI502">
        <f t="shared" si="1003"/>
        <v>1</v>
      </c>
      <c r="DJ502">
        <f t="shared" si="1003"/>
        <v>1</v>
      </c>
      <c r="DK502">
        <f t="shared" si="1003"/>
        <v>1</v>
      </c>
      <c r="DL502">
        <f t="shared" si="1003"/>
        <v>1</v>
      </c>
      <c r="DM502">
        <f t="shared" si="1003"/>
        <v>1</v>
      </c>
      <c r="DN502">
        <f t="shared" si="1003"/>
        <v>1</v>
      </c>
      <c r="DO502">
        <f t="shared" si="1003"/>
        <v>1</v>
      </c>
      <c r="DP502">
        <f t="shared" si="1003"/>
        <v>1</v>
      </c>
      <c r="DQ502">
        <f t="shared" si="1003"/>
        <v>1</v>
      </c>
      <c r="DR502">
        <f t="shared" si="1003"/>
        <v>1</v>
      </c>
      <c r="DS502">
        <f t="shared" si="1003"/>
        <v>1</v>
      </c>
      <c r="DT502">
        <f t="shared" si="1003"/>
        <v>1</v>
      </c>
      <c r="DU502">
        <f t="shared" si="1003"/>
        <v>1</v>
      </c>
      <c r="DV502">
        <f t="shared" si="1003"/>
        <v>1</v>
      </c>
      <c r="DW502">
        <f t="shared" si="1003"/>
        <v>1</v>
      </c>
      <c r="DX502">
        <f t="shared" si="1003"/>
        <v>1</v>
      </c>
      <c r="DY502">
        <f t="shared" si="1003"/>
        <v>1</v>
      </c>
      <c r="DZ502">
        <f t="shared" si="1003"/>
        <v>1</v>
      </c>
      <c r="EA502">
        <f t="shared" si="1003"/>
        <v>1</v>
      </c>
      <c r="EB502">
        <f t="shared" si="1003"/>
        <v>1</v>
      </c>
      <c r="EC502">
        <f t="shared" si="1003"/>
        <v>1</v>
      </c>
      <c r="ED502">
        <f t="shared" si="1003"/>
        <v>1</v>
      </c>
      <c r="EE502">
        <f t="shared" ref="EE502:EF502" si="1004">IF($C502&lt;&gt;"",IF(BP502&gt;0,1,0),0)</f>
        <v>1</v>
      </c>
      <c r="EF502">
        <f t="shared" si="1004"/>
        <v>1</v>
      </c>
    </row>
    <row r="503" spans="1:136" ht="15.5">
      <c r="A503" s="90"/>
      <c r="B503" s="19" t="s">
        <v>2</v>
      </c>
      <c r="C503" s="94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>
        <v>0</v>
      </c>
      <c r="S503" s="18">
        <v>0</v>
      </c>
      <c r="T503" s="18">
        <v>0</v>
      </c>
      <c r="U503" s="18">
        <v>0</v>
      </c>
      <c r="V503" s="18">
        <v>0</v>
      </c>
      <c r="W503" s="18">
        <v>0</v>
      </c>
      <c r="X503" s="18">
        <v>0</v>
      </c>
      <c r="Y503" s="18">
        <v>0</v>
      </c>
      <c r="Z503" s="18">
        <v>0</v>
      </c>
      <c r="AA503" s="18">
        <v>0</v>
      </c>
      <c r="AB503" s="18">
        <v>0</v>
      </c>
      <c r="AC503" s="18">
        <v>0</v>
      </c>
      <c r="AD503" s="18">
        <v>0</v>
      </c>
      <c r="AE503" s="18">
        <v>0</v>
      </c>
      <c r="AF503" s="18">
        <v>0</v>
      </c>
      <c r="AG503" s="18">
        <v>0</v>
      </c>
      <c r="AH503" s="18">
        <v>0</v>
      </c>
      <c r="AI503" s="18">
        <v>0</v>
      </c>
      <c r="AJ503" s="18">
        <v>0</v>
      </c>
      <c r="AK503" s="18">
        <v>0</v>
      </c>
      <c r="AL503" s="18">
        <v>0</v>
      </c>
      <c r="AM503" s="18">
        <v>0</v>
      </c>
      <c r="AN503" s="18">
        <v>0</v>
      </c>
      <c r="AO503" s="18">
        <v>0</v>
      </c>
      <c r="AP503" s="18">
        <v>0</v>
      </c>
      <c r="AQ503" s="18">
        <v>0</v>
      </c>
      <c r="AR503" s="18">
        <v>0</v>
      </c>
      <c r="AS503" s="18">
        <v>0</v>
      </c>
      <c r="AT503" s="18">
        <v>0</v>
      </c>
      <c r="AU503" s="18">
        <v>0</v>
      </c>
      <c r="AV503" s="18">
        <v>0</v>
      </c>
      <c r="AW503" s="40" t="s">
        <v>16</v>
      </c>
      <c r="AX503" s="18">
        <v>16</v>
      </c>
      <c r="AY503" s="25">
        <v>0</v>
      </c>
      <c r="AZ503" s="25">
        <v>0</v>
      </c>
      <c r="BA503" s="25">
        <v>0</v>
      </c>
      <c r="BB503" s="25">
        <v>0</v>
      </c>
      <c r="BC503" s="25">
        <v>0</v>
      </c>
      <c r="BD503" s="25">
        <v>0</v>
      </c>
      <c r="BE503" s="40" t="s">
        <v>16</v>
      </c>
      <c r="BF503" s="40" t="s">
        <v>16</v>
      </c>
      <c r="BG503" s="18">
        <v>10</v>
      </c>
      <c r="BH503" s="18">
        <v>1.9</v>
      </c>
      <c r="BI503" s="113">
        <v>0</v>
      </c>
      <c r="BJ503" s="113">
        <v>0</v>
      </c>
      <c r="BK503" s="113">
        <v>0</v>
      </c>
      <c r="BL503" s="113">
        <v>1</v>
      </c>
      <c r="BM503" s="113">
        <v>0</v>
      </c>
      <c r="BN503" s="113">
        <v>0</v>
      </c>
      <c r="BO503" s="113">
        <v>0</v>
      </c>
      <c r="BP503" s="113">
        <v>0</v>
      </c>
      <c r="BQ503" s="113">
        <v>0</v>
      </c>
      <c r="BR503" s="101"/>
      <c r="BS503">
        <f t="shared" ref="BS503:CB508" si="1005">IF($C503&lt;&gt;"",IF(D503&gt;0,1,0),0)</f>
        <v>0</v>
      </c>
      <c r="BT503">
        <f t="shared" si="1005"/>
        <v>0</v>
      </c>
      <c r="BU503">
        <f t="shared" si="1005"/>
        <v>0</v>
      </c>
      <c r="BV503">
        <f t="shared" si="1005"/>
        <v>0</v>
      </c>
      <c r="BW503">
        <f t="shared" si="1005"/>
        <v>0</v>
      </c>
      <c r="BX503">
        <f t="shared" si="1005"/>
        <v>0</v>
      </c>
      <c r="BY503">
        <f t="shared" si="1005"/>
        <v>0</v>
      </c>
      <c r="BZ503">
        <f t="shared" si="1005"/>
        <v>0</v>
      </c>
      <c r="CA503">
        <f t="shared" si="1005"/>
        <v>0</v>
      </c>
      <c r="CB503">
        <f t="shared" si="1005"/>
        <v>0</v>
      </c>
      <c r="CC503">
        <f t="shared" ref="CC503:CL508" si="1006">IF($C503&lt;&gt;"",IF(N503&gt;0,1,0),0)</f>
        <v>0</v>
      </c>
      <c r="CD503">
        <f t="shared" si="1006"/>
        <v>0</v>
      </c>
      <c r="CE503">
        <f t="shared" si="1006"/>
        <v>0</v>
      </c>
      <c r="CF503">
        <f t="shared" si="1006"/>
        <v>0</v>
      </c>
      <c r="CG503">
        <f t="shared" si="1006"/>
        <v>0</v>
      </c>
      <c r="CH503">
        <f t="shared" si="1006"/>
        <v>0</v>
      </c>
      <c r="CI503">
        <f t="shared" si="1006"/>
        <v>0</v>
      </c>
      <c r="CJ503">
        <f t="shared" si="1006"/>
        <v>0</v>
      </c>
      <c r="CK503">
        <f t="shared" si="1006"/>
        <v>0</v>
      </c>
      <c r="CL503">
        <f t="shared" si="1006"/>
        <v>0</v>
      </c>
      <c r="CM503">
        <f t="shared" ref="CM503:CV508" si="1007">IF($C503&lt;&gt;"",IF(X503&gt;0,1,0),0)</f>
        <v>0</v>
      </c>
      <c r="CN503">
        <f t="shared" si="1007"/>
        <v>0</v>
      </c>
      <c r="CO503">
        <f t="shared" si="1007"/>
        <v>0</v>
      </c>
      <c r="CP503">
        <f t="shared" si="1007"/>
        <v>0</v>
      </c>
      <c r="CQ503">
        <f t="shared" si="1007"/>
        <v>0</v>
      </c>
      <c r="CR503">
        <f t="shared" si="1007"/>
        <v>0</v>
      </c>
      <c r="CS503">
        <f t="shared" si="1007"/>
        <v>0</v>
      </c>
      <c r="CT503">
        <f t="shared" si="1007"/>
        <v>0</v>
      </c>
      <c r="CU503">
        <f t="shared" si="1007"/>
        <v>0</v>
      </c>
      <c r="CV503">
        <f t="shared" si="1007"/>
        <v>0</v>
      </c>
      <c r="CW503">
        <f t="shared" ref="CW503:DF508" si="1008">IF($C503&lt;&gt;"",IF(AH503&gt;0,1,0),0)</f>
        <v>0</v>
      </c>
      <c r="CX503">
        <f t="shared" si="1008"/>
        <v>0</v>
      </c>
      <c r="CY503">
        <f t="shared" si="1008"/>
        <v>0</v>
      </c>
      <c r="CZ503">
        <f t="shared" si="1008"/>
        <v>0</v>
      </c>
      <c r="DA503">
        <f t="shared" si="1008"/>
        <v>0</v>
      </c>
      <c r="DB503">
        <f t="shared" si="1008"/>
        <v>0</v>
      </c>
      <c r="DC503">
        <f t="shared" si="1008"/>
        <v>0</v>
      </c>
      <c r="DD503">
        <f t="shared" si="1008"/>
        <v>0</v>
      </c>
      <c r="DE503">
        <f t="shared" si="1008"/>
        <v>0</v>
      </c>
      <c r="DF503">
        <f t="shared" si="1008"/>
        <v>0</v>
      </c>
      <c r="DG503">
        <f t="shared" ref="DG503:DP508" si="1009">IF($C503&lt;&gt;"",IF(AR503&gt;0,1,0),0)</f>
        <v>0</v>
      </c>
      <c r="DH503">
        <f t="shared" si="1009"/>
        <v>0</v>
      </c>
      <c r="DI503">
        <f t="shared" si="1009"/>
        <v>0</v>
      </c>
      <c r="DJ503">
        <f t="shared" si="1009"/>
        <v>0</v>
      </c>
      <c r="DK503">
        <f t="shared" si="1009"/>
        <v>0</v>
      </c>
      <c r="DL503">
        <f t="shared" si="1009"/>
        <v>0</v>
      </c>
      <c r="DM503">
        <f t="shared" si="1009"/>
        <v>0</v>
      </c>
      <c r="DN503">
        <f t="shared" si="1009"/>
        <v>0</v>
      </c>
      <c r="DO503">
        <f t="shared" si="1009"/>
        <v>0</v>
      </c>
      <c r="DP503">
        <f t="shared" si="1009"/>
        <v>0</v>
      </c>
      <c r="DQ503">
        <f t="shared" ref="DQ503:DZ508" si="1010">IF($C503&lt;&gt;"",IF(BB503&gt;0,1,0),0)</f>
        <v>0</v>
      </c>
      <c r="DR503">
        <f t="shared" si="1010"/>
        <v>0</v>
      </c>
      <c r="DS503">
        <f t="shared" si="1010"/>
        <v>0</v>
      </c>
      <c r="DT503">
        <f t="shared" si="1010"/>
        <v>0</v>
      </c>
      <c r="DU503">
        <f t="shared" si="1010"/>
        <v>0</v>
      </c>
      <c r="DV503">
        <f t="shared" si="1010"/>
        <v>0</v>
      </c>
      <c r="DW503">
        <f t="shared" si="1010"/>
        <v>0</v>
      </c>
      <c r="DX503">
        <f t="shared" si="1010"/>
        <v>0</v>
      </c>
      <c r="DY503">
        <f t="shared" si="1010"/>
        <v>0</v>
      </c>
      <c r="DZ503">
        <f t="shared" si="1010"/>
        <v>0</v>
      </c>
      <c r="EA503">
        <f t="shared" ref="EA503:EF506" si="1011">IF($C503&lt;&gt;"",IF(BL502&gt;0,1,0),0)</f>
        <v>0</v>
      </c>
      <c r="EB503">
        <f t="shared" si="1011"/>
        <v>0</v>
      </c>
      <c r="EC503">
        <f t="shared" si="1011"/>
        <v>0</v>
      </c>
      <c r="ED503">
        <f t="shared" si="1011"/>
        <v>0</v>
      </c>
      <c r="EE503">
        <f t="shared" si="1011"/>
        <v>0</v>
      </c>
      <c r="EF503">
        <f t="shared" si="1011"/>
        <v>0</v>
      </c>
    </row>
    <row r="504" spans="1:136" ht="15.5">
      <c r="A504" s="90"/>
      <c r="B504" s="19" t="s">
        <v>3</v>
      </c>
      <c r="C504" s="94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>
        <v>0</v>
      </c>
      <c r="S504" s="18">
        <v>0</v>
      </c>
      <c r="T504" s="40">
        <v>0</v>
      </c>
      <c r="U504" s="40">
        <v>0</v>
      </c>
      <c r="V504" s="18">
        <v>0</v>
      </c>
      <c r="W504" s="18">
        <v>0</v>
      </c>
      <c r="X504" s="18">
        <v>0</v>
      </c>
      <c r="Y504" s="18">
        <v>0</v>
      </c>
      <c r="Z504" s="18">
        <v>0</v>
      </c>
      <c r="AA504" s="18">
        <v>0.62520900000000001</v>
      </c>
      <c r="AB504" s="18">
        <v>1.721948</v>
      </c>
      <c r="AC504" s="18">
        <v>4.2985090000000001</v>
      </c>
      <c r="AD504" s="18">
        <v>5.5320479999999996</v>
      </c>
      <c r="AE504" s="18">
        <v>8.6302470000000007</v>
      </c>
      <c r="AF504" s="18">
        <v>10.79773</v>
      </c>
      <c r="AG504" s="18">
        <v>14.77787</v>
      </c>
      <c r="AH504" s="18">
        <v>22.02449</v>
      </c>
      <c r="AI504" s="18">
        <v>28.08616</v>
      </c>
      <c r="AJ504" s="18">
        <v>25.064889999999998</v>
      </c>
      <c r="AK504" s="18">
        <v>24.737749999999998</v>
      </c>
      <c r="AL504" s="18">
        <v>25.735440000000001</v>
      </c>
      <c r="AM504" s="18">
        <v>26.778569999999998</v>
      </c>
      <c r="AN504" s="18">
        <v>28.01031</v>
      </c>
      <c r="AO504" s="18">
        <v>9.8202619999999996</v>
      </c>
      <c r="AP504" s="18">
        <v>9.1978980000000004</v>
      </c>
      <c r="AQ504" s="18">
        <v>11.35685</v>
      </c>
      <c r="AR504" s="18">
        <v>8.9451310999999993</v>
      </c>
      <c r="AS504" s="18">
        <v>10.2506921</v>
      </c>
      <c r="AT504" s="18">
        <v>9.850707400000001</v>
      </c>
      <c r="AU504" s="18">
        <v>9.3117720999999989</v>
      </c>
      <c r="AV504" s="18">
        <v>10.9362157</v>
      </c>
      <c r="AW504" s="18">
        <v>9.5879910000000006</v>
      </c>
      <c r="AX504" s="40" t="s">
        <v>16</v>
      </c>
      <c r="AY504" s="18">
        <v>16.396357800000001</v>
      </c>
      <c r="AZ504" s="18">
        <v>24.941867099999996</v>
      </c>
      <c r="BA504" s="18">
        <v>30.1011585</v>
      </c>
      <c r="BB504" s="18">
        <v>32.4604024</v>
      </c>
      <c r="BC504" s="18">
        <v>34.113132200000003</v>
      </c>
      <c r="BD504" s="18">
        <v>44.316054299999998</v>
      </c>
      <c r="BE504" s="25">
        <v>44.396055799999999</v>
      </c>
      <c r="BF504" s="18">
        <v>47.114712900000001</v>
      </c>
      <c r="BG504" s="18">
        <f>99.4849849-BG503</f>
        <v>89.484984900000001</v>
      </c>
      <c r="BH504" s="18">
        <f>21.9176594-BH503</f>
        <v>20.017659400000003</v>
      </c>
      <c r="BI504" s="18">
        <v>194.0724166</v>
      </c>
      <c r="BJ504" s="18">
        <v>22.576000000000001</v>
      </c>
      <c r="BK504" s="34">
        <v>24.7101215</v>
      </c>
      <c r="BL504" s="113">
        <v>28.193236500000001</v>
      </c>
      <c r="BM504" s="113">
        <v>30.161344400000001</v>
      </c>
      <c r="BN504" s="113">
        <v>31.457929199999999</v>
      </c>
      <c r="BO504" s="113">
        <v>33</v>
      </c>
      <c r="BP504" s="113">
        <v>35</v>
      </c>
      <c r="BQ504" s="113">
        <v>38</v>
      </c>
      <c r="BR504" s="101"/>
      <c r="BS504">
        <f t="shared" si="1005"/>
        <v>0</v>
      </c>
      <c r="BT504">
        <f t="shared" si="1005"/>
        <v>0</v>
      </c>
      <c r="BU504">
        <f t="shared" si="1005"/>
        <v>0</v>
      </c>
      <c r="BV504">
        <f t="shared" si="1005"/>
        <v>0</v>
      </c>
      <c r="BW504">
        <f t="shared" si="1005"/>
        <v>0</v>
      </c>
      <c r="BX504">
        <f t="shared" si="1005"/>
        <v>0</v>
      </c>
      <c r="BY504">
        <f t="shared" si="1005"/>
        <v>0</v>
      </c>
      <c r="BZ504">
        <f t="shared" si="1005"/>
        <v>0</v>
      </c>
      <c r="CA504">
        <f t="shared" si="1005"/>
        <v>0</v>
      </c>
      <c r="CB504">
        <f t="shared" si="1005"/>
        <v>0</v>
      </c>
      <c r="CC504">
        <f t="shared" si="1006"/>
        <v>0</v>
      </c>
      <c r="CD504">
        <f t="shared" si="1006"/>
        <v>0</v>
      </c>
      <c r="CE504">
        <f t="shared" si="1006"/>
        <v>0</v>
      </c>
      <c r="CF504">
        <f t="shared" si="1006"/>
        <v>0</v>
      </c>
      <c r="CG504">
        <f t="shared" si="1006"/>
        <v>0</v>
      </c>
      <c r="CH504">
        <f t="shared" si="1006"/>
        <v>0</v>
      </c>
      <c r="CI504">
        <f t="shared" si="1006"/>
        <v>0</v>
      </c>
      <c r="CJ504">
        <f t="shared" si="1006"/>
        <v>0</v>
      </c>
      <c r="CK504">
        <f t="shared" si="1006"/>
        <v>0</v>
      </c>
      <c r="CL504">
        <f t="shared" si="1006"/>
        <v>0</v>
      </c>
      <c r="CM504">
        <f t="shared" si="1007"/>
        <v>0</v>
      </c>
      <c r="CN504">
        <f t="shared" si="1007"/>
        <v>0</v>
      </c>
      <c r="CO504">
        <f t="shared" si="1007"/>
        <v>0</v>
      </c>
      <c r="CP504">
        <f t="shared" si="1007"/>
        <v>0</v>
      </c>
      <c r="CQ504">
        <f t="shared" si="1007"/>
        <v>0</v>
      </c>
      <c r="CR504">
        <f t="shared" si="1007"/>
        <v>0</v>
      </c>
      <c r="CS504">
        <f t="shared" si="1007"/>
        <v>0</v>
      </c>
      <c r="CT504">
        <f t="shared" si="1007"/>
        <v>0</v>
      </c>
      <c r="CU504">
        <f t="shared" si="1007"/>
        <v>0</v>
      </c>
      <c r="CV504">
        <f t="shared" si="1007"/>
        <v>0</v>
      </c>
      <c r="CW504">
        <f t="shared" si="1008"/>
        <v>0</v>
      </c>
      <c r="CX504">
        <f t="shared" si="1008"/>
        <v>0</v>
      </c>
      <c r="CY504">
        <f t="shared" si="1008"/>
        <v>0</v>
      </c>
      <c r="CZ504">
        <f t="shared" si="1008"/>
        <v>0</v>
      </c>
      <c r="DA504">
        <f t="shared" si="1008"/>
        <v>0</v>
      </c>
      <c r="DB504">
        <f t="shared" si="1008"/>
        <v>0</v>
      </c>
      <c r="DC504">
        <f t="shared" si="1008"/>
        <v>0</v>
      </c>
      <c r="DD504">
        <f t="shared" si="1008"/>
        <v>0</v>
      </c>
      <c r="DE504">
        <f t="shared" si="1008"/>
        <v>0</v>
      </c>
      <c r="DF504">
        <f t="shared" si="1008"/>
        <v>0</v>
      </c>
      <c r="DG504">
        <f t="shared" si="1009"/>
        <v>0</v>
      </c>
      <c r="DH504">
        <f t="shared" si="1009"/>
        <v>0</v>
      </c>
      <c r="DI504">
        <f t="shared" si="1009"/>
        <v>0</v>
      </c>
      <c r="DJ504">
        <f t="shared" si="1009"/>
        <v>0</v>
      </c>
      <c r="DK504">
        <f t="shared" si="1009"/>
        <v>0</v>
      </c>
      <c r="DL504">
        <f t="shared" si="1009"/>
        <v>0</v>
      </c>
      <c r="DM504">
        <f t="shared" si="1009"/>
        <v>0</v>
      </c>
      <c r="DN504">
        <f t="shared" si="1009"/>
        <v>0</v>
      </c>
      <c r="DO504">
        <f t="shared" si="1009"/>
        <v>0</v>
      </c>
      <c r="DP504">
        <f t="shared" si="1009"/>
        <v>0</v>
      </c>
      <c r="DQ504">
        <f t="shared" si="1010"/>
        <v>0</v>
      </c>
      <c r="DR504">
        <f t="shared" si="1010"/>
        <v>0</v>
      </c>
      <c r="DS504">
        <f t="shared" si="1010"/>
        <v>0</v>
      </c>
      <c r="DT504">
        <f t="shared" si="1010"/>
        <v>0</v>
      </c>
      <c r="DU504">
        <f t="shared" si="1010"/>
        <v>0</v>
      </c>
      <c r="DV504">
        <f t="shared" si="1010"/>
        <v>0</v>
      </c>
      <c r="DW504">
        <f t="shared" si="1010"/>
        <v>0</v>
      </c>
      <c r="DX504">
        <f t="shared" si="1010"/>
        <v>0</v>
      </c>
      <c r="DY504">
        <f t="shared" si="1010"/>
        <v>0</v>
      </c>
      <c r="DZ504">
        <f t="shared" si="1010"/>
        <v>0</v>
      </c>
      <c r="EA504">
        <f t="shared" si="1011"/>
        <v>0</v>
      </c>
      <c r="EB504">
        <f t="shared" si="1011"/>
        <v>0</v>
      </c>
      <c r="EC504">
        <f t="shared" si="1011"/>
        <v>0</v>
      </c>
      <c r="ED504">
        <f t="shared" si="1011"/>
        <v>0</v>
      </c>
      <c r="EE504">
        <f t="shared" si="1011"/>
        <v>0</v>
      </c>
      <c r="EF504">
        <f t="shared" si="1011"/>
        <v>0</v>
      </c>
    </row>
    <row r="505" spans="1:136" ht="15.5">
      <c r="A505" s="90"/>
      <c r="B505" s="53" t="s">
        <v>18</v>
      </c>
      <c r="C505" s="94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>
        <v>0</v>
      </c>
      <c r="S505" s="18">
        <v>0</v>
      </c>
      <c r="T505" s="18">
        <v>0</v>
      </c>
      <c r="U505" s="18">
        <v>0</v>
      </c>
      <c r="V505" s="18">
        <v>0</v>
      </c>
      <c r="W505" s="18">
        <v>0</v>
      </c>
      <c r="X505" s="18">
        <v>0</v>
      </c>
      <c r="Y505" s="18">
        <v>0</v>
      </c>
      <c r="Z505" s="18">
        <v>0</v>
      </c>
      <c r="AA505" s="18">
        <v>0</v>
      </c>
      <c r="AB505" s="18">
        <v>0</v>
      </c>
      <c r="AC505" s="18">
        <v>0</v>
      </c>
      <c r="AD505" s="18">
        <v>0</v>
      </c>
      <c r="AE505" s="18">
        <v>0</v>
      </c>
      <c r="AF505" s="18">
        <v>0</v>
      </c>
      <c r="AG505" s="18">
        <v>0</v>
      </c>
      <c r="AH505" s="18">
        <v>0</v>
      </c>
      <c r="AI505" s="18">
        <v>0</v>
      </c>
      <c r="AJ505" s="18">
        <v>0</v>
      </c>
      <c r="AK505" s="18">
        <v>0</v>
      </c>
      <c r="AL505" s="18">
        <v>0</v>
      </c>
      <c r="AM505" s="18">
        <v>0</v>
      </c>
      <c r="AN505" s="18">
        <v>0</v>
      </c>
      <c r="AO505" s="18">
        <v>0</v>
      </c>
      <c r="AP505" s="18">
        <v>0</v>
      </c>
      <c r="AQ505" s="18">
        <v>0</v>
      </c>
      <c r="AR505" s="18">
        <v>0</v>
      </c>
      <c r="AS505" s="18">
        <v>0</v>
      </c>
      <c r="AT505" s="18">
        <v>0</v>
      </c>
      <c r="AU505" s="18">
        <v>0</v>
      </c>
      <c r="AV505" s="18">
        <v>176</v>
      </c>
      <c r="AW505" s="18">
        <v>176</v>
      </c>
      <c r="AX505" s="18">
        <v>0</v>
      </c>
      <c r="AY505" s="18">
        <v>0</v>
      </c>
      <c r="AZ505" s="18">
        <v>0</v>
      </c>
      <c r="BA505" s="18">
        <v>0</v>
      </c>
      <c r="BB505" s="18">
        <v>0</v>
      </c>
      <c r="BC505" s="18">
        <v>0</v>
      </c>
      <c r="BD505" s="18">
        <v>0</v>
      </c>
      <c r="BE505" s="18">
        <v>8</v>
      </c>
      <c r="BF505" s="18">
        <v>6</v>
      </c>
      <c r="BG505" s="18">
        <v>6</v>
      </c>
      <c r="BH505" s="18">
        <v>7</v>
      </c>
      <c r="BI505" s="18">
        <v>8</v>
      </c>
      <c r="BJ505" s="113">
        <v>0</v>
      </c>
      <c r="BK505" s="113">
        <v>0</v>
      </c>
      <c r="BL505" s="113">
        <v>0</v>
      </c>
      <c r="BM505" s="113">
        <v>0</v>
      </c>
      <c r="BN505" s="113">
        <v>0</v>
      </c>
      <c r="BO505" s="113">
        <v>0</v>
      </c>
      <c r="BP505" s="113">
        <v>0</v>
      </c>
      <c r="BQ505" s="113">
        <v>0</v>
      </c>
      <c r="BR505" s="101"/>
      <c r="BS505">
        <f t="shared" si="1005"/>
        <v>0</v>
      </c>
      <c r="BT505">
        <f t="shared" si="1005"/>
        <v>0</v>
      </c>
      <c r="BU505">
        <f t="shared" si="1005"/>
        <v>0</v>
      </c>
      <c r="BV505">
        <f t="shared" si="1005"/>
        <v>0</v>
      </c>
      <c r="BW505">
        <f t="shared" si="1005"/>
        <v>0</v>
      </c>
      <c r="BX505">
        <f t="shared" si="1005"/>
        <v>0</v>
      </c>
      <c r="BY505">
        <f t="shared" si="1005"/>
        <v>0</v>
      </c>
      <c r="BZ505">
        <f t="shared" si="1005"/>
        <v>0</v>
      </c>
      <c r="CA505">
        <f t="shared" si="1005"/>
        <v>0</v>
      </c>
      <c r="CB505">
        <f t="shared" si="1005"/>
        <v>0</v>
      </c>
      <c r="CC505">
        <f t="shared" si="1006"/>
        <v>0</v>
      </c>
      <c r="CD505">
        <f t="shared" si="1006"/>
        <v>0</v>
      </c>
      <c r="CE505">
        <f t="shared" si="1006"/>
        <v>0</v>
      </c>
      <c r="CF505">
        <f t="shared" si="1006"/>
        <v>0</v>
      </c>
      <c r="CG505">
        <f t="shared" si="1006"/>
        <v>0</v>
      </c>
      <c r="CH505">
        <f t="shared" si="1006"/>
        <v>0</v>
      </c>
      <c r="CI505">
        <f t="shared" si="1006"/>
        <v>0</v>
      </c>
      <c r="CJ505">
        <f t="shared" si="1006"/>
        <v>0</v>
      </c>
      <c r="CK505">
        <f t="shared" si="1006"/>
        <v>0</v>
      </c>
      <c r="CL505">
        <f t="shared" si="1006"/>
        <v>0</v>
      </c>
      <c r="CM505">
        <f t="shared" si="1007"/>
        <v>0</v>
      </c>
      <c r="CN505">
        <f t="shared" si="1007"/>
        <v>0</v>
      </c>
      <c r="CO505">
        <f t="shared" si="1007"/>
        <v>0</v>
      </c>
      <c r="CP505">
        <f t="shared" si="1007"/>
        <v>0</v>
      </c>
      <c r="CQ505">
        <f t="shared" si="1007"/>
        <v>0</v>
      </c>
      <c r="CR505">
        <f t="shared" si="1007"/>
        <v>0</v>
      </c>
      <c r="CS505">
        <f t="shared" si="1007"/>
        <v>0</v>
      </c>
      <c r="CT505">
        <f t="shared" si="1007"/>
        <v>0</v>
      </c>
      <c r="CU505">
        <f t="shared" si="1007"/>
        <v>0</v>
      </c>
      <c r="CV505">
        <f t="shared" si="1007"/>
        <v>0</v>
      </c>
      <c r="CW505">
        <f t="shared" si="1008"/>
        <v>0</v>
      </c>
      <c r="CX505">
        <f t="shared" si="1008"/>
        <v>0</v>
      </c>
      <c r="CY505">
        <f t="shared" si="1008"/>
        <v>0</v>
      </c>
      <c r="CZ505">
        <f t="shared" si="1008"/>
        <v>0</v>
      </c>
      <c r="DA505">
        <f t="shared" si="1008"/>
        <v>0</v>
      </c>
      <c r="DB505">
        <f t="shared" si="1008"/>
        <v>0</v>
      </c>
      <c r="DC505">
        <f t="shared" si="1008"/>
        <v>0</v>
      </c>
      <c r="DD505">
        <f t="shared" si="1008"/>
        <v>0</v>
      </c>
      <c r="DE505">
        <f t="shared" si="1008"/>
        <v>0</v>
      </c>
      <c r="DF505">
        <f t="shared" si="1008"/>
        <v>0</v>
      </c>
      <c r="DG505">
        <f t="shared" si="1009"/>
        <v>0</v>
      </c>
      <c r="DH505">
        <f t="shared" si="1009"/>
        <v>0</v>
      </c>
      <c r="DI505">
        <f t="shared" si="1009"/>
        <v>0</v>
      </c>
      <c r="DJ505">
        <f t="shared" si="1009"/>
        <v>0</v>
      </c>
      <c r="DK505">
        <f t="shared" si="1009"/>
        <v>0</v>
      </c>
      <c r="DL505">
        <f t="shared" si="1009"/>
        <v>0</v>
      </c>
      <c r="DM505">
        <f t="shared" si="1009"/>
        <v>0</v>
      </c>
      <c r="DN505">
        <f t="shared" si="1009"/>
        <v>0</v>
      </c>
      <c r="DO505">
        <f t="shared" si="1009"/>
        <v>0</v>
      </c>
      <c r="DP505">
        <f t="shared" si="1009"/>
        <v>0</v>
      </c>
      <c r="DQ505">
        <f t="shared" si="1010"/>
        <v>0</v>
      </c>
      <c r="DR505">
        <f t="shared" si="1010"/>
        <v>0</v>
      </c>
      <c r="DS505">
        <f t="shared" si="1010"/>
        <v>0</v>
      </c>
      <c r="DT505">
        <f t="shared" si="1010"/>
        <v>0</v>
      </c>
      <c r="DU505">
        <f t="shared" si="1010"/>
        <v>0</v>
      </c>
      <c r="DV505">
        <f t="shared" si="1010"/>
        <v>0</v>
      </c>
      <c r="DW505">
        <f t="shared" si="1010"/>
        <v>0</v>
      </c>
      <c r="DX505">
        <f t="shared" si="1010"/>
        <v>0</v>
      </c>
      <c r="DY505">
        <f t="shared" si="1010"/>
        <v>0</v>
      </c>
      <c r="DZ505">
        <f t="shared" si="1010"/>
        <v>0</v>
      </c>
      <c r="EA505">
        <f t="shared" si="1011"/>
        <v>0</v>
      </c>
      <c r="EB505">
        <f t="shared" si="1011"/>
        <v>0</v>
      </c>
      <c r="EC505">
        <f t="shared" si="1011"/>
        <v>0</v>
      </c>
      <c r="ED505">
        <f t="shared" si="1011"/>
        <v>0</v>
      </c>
      <c r="EE505">
        <f t="shared" si="1011"/>
        <v>0</v>
      </c>
      <c r="EF505">
        <f t="shared" si="1011"/>
        <v>0</v>
      </c>
    </row>
    <row r="506" spans="1:136" ht="15.5">
      <c r="A506" s="90"/>
      <c r="B506" s="53" t="s">
        <v>25</v>
      </c>
      <c r="C506" s="94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>
        <v>0</v>
      </c>
      <c r="S506" s="18">
        <v>0</v>
      </c>
      <c r="T506" s="18">
        <v>0</v>
      </c>
      <c r="U506" s="18">
        <v>0</v>
      </c>
      <c r="V506" s="18">
        <v>0</v>
      </c>
      <c r="W506" s="18">
        <v>0</v>
      </c>
      <c r="X506" s="18">
        <v>0</v>
      </c>
      <c r="Y506" s="18">
        <v>0</v>
      </c>
      <c r="Z506" s="18">
        <v>0</v>
      </c>
      <c r="AA506" s="18">
        <v>0</v>
      </c>
      <c r="AB506" s="18">
        <v>0</v>
      </c>
      <c r="AC506" s="18">
        <v>0</v>
      </c>
      <c r="AD506" s="18">
        <v>0</v>
      </c>
      <c r="AE506" s="18">
        <v>0</v>
      </c>
      <c r="AF506" s="18">
        <v>0</v>
      </c>
      <c r="AG506" s="18">
        <v>0</v>
      </c>
      <c r="AH506" s="18">
        <v>0</v>
      </c>
      <c r="AI506" s="18">
        <v>0</v>
      </c>
      <c r="AJ506" s="18">
        <v>0</v>
      </c>
      <c r="AK506" s="18">
        <v>0</v>
      </c>
      <c r="AL506" s="18">
        <v>0</v>
      </c>
      <c r="AM506" s="18">
        <v>0</v>
      </c>
      <c r="AN506" s="18">
        <v>0</v>
      </c>
      <c r="AO506" s="18">
        <v>0</v>
      </c>
      <c r="AP506" s="18">
        <v>0</v>
      </c>
      <c r="AQ506" s="18">
        <v>0</v>
      </c>
      <c r="AR506" s="18">
        <v>0</v>
      </c>
      <c r="AS506" s="18">
        <v>0</v>
      </c>
      <c r="AT506" s="18">
        <v>0</v>
      </c>
      <c r="AU506" s="18">
        <v>0</v>
      </c>
      <c r="AV506" s="18">
        <v>68</v>
      </c>
      <c r="AW506" s="18">
        <v>68</v>
      </c>
      <c r="AX506" s="18">
        <v>0</v>
      </c>
      <c r="AY506" s="18">
        <v>0</v>
      </c>
      <c r="AZ506" s="18">
        <v>0</v>
      </c>
      <c r="BA506" s="18">
        <v>0</v>
      </c>
      <c r="BB506" s="18">
        <v>0</v>
      </c>
      <c r="BC506" s="18">
        <v>0</v>
      </c>
      <c r="BD506" s="18">
        <v>0</v>
      </c>
      <c r="BE506" s="25">
        <v>261</v>
      </c>
      <c r="BF506" s="18">
        <v>276.66000000000003</v>
      </c>
      <c r="BG506" s="18">
        <v>297</v>
      </c>
      <c r="BH506" s="113">
        <v>127</v>
      </c>
      <c r="BI506" s="113">
        <v>10</v>
      </c>
      <c r="BJ506" s="113">
        <v>0</v>
      </c>
      <c r="BK506" s="113">
        <v>0</v>
      </c>
      <c r="BL506" s="113">
        <v>0</v>
      </c>
      <c r="BM506" s="113">
        <v>0</v>
      </c>
      <c r="BN506" s="113">
        <v>0</v>
      </c>
      <c r="BO506" s="113">
        <v>0</v>
      </c>
      <c r="BP506" s="113">
        <v>0</v>
      </c>
      <c r="BQ506" s="113">
        <v>0</v>
      </c>
      <c r="BR506" s="101"/>
      <c r="BS506">
        <f t="shared" si="1005"/>
        <v>0</v>
      </c>
      <c r="BT506">
        <f t="shared" si="1005"/>
        <v>0</v>
      </c>
      <c r="BU506">
        <f t="shared" si="1005"/>
        <v>0</v>
      </c>
      <c r="BV506">
        <f t="shared" si="1005"/>
        <v>0</v>
      </c>
      <c r="BW506">
        <f t="shared" si="1005"/>
        <v>0</v>
      </c>
      <c r="BX506">
        <f t="shared" si="1005"/>
        <v>0</v>
      </c>
      <c r="BY506">
        <f t="shared" si="1005"/>
        <v>0</v>
      </c>
      <c r="BZ506">
        <f t="shared" si="1005"/>
        <v>0</v>
      </c>
      <c r="CA506">
        <f t="shared" si="1005"/>
        <v>0</v>
      </c>
      <c r="CB506">
        <f t="shared" si="1005"/>
        <v>0</v>
      </c>
      <c r="CC506">
        <f t="shared" si="1006"/>
        <v>0</v>
      </c>
      <c r="CD506">
        <f t="shared" si="1006"/>
        <v>0</v>
      </c>
      <c r="CE506">
        <f t="shared" si="1006"/>
        <v>0</v>
      </c>
      <c r="CF506">
        <f t="shared" si="1006"/>
        <v>0</v>
      </c>
      <c r="CG506">
        <f t="shared" si="1006"/>
        <v>0</v>
      </c>
      <c r="CH506">
        <f t="shared" si="1006"/>
        <v>0</v>
      </c>
      <c r="CI506">
        <f t="shared" si="1006"/>
        <v>0</v>
      </c>
      <c r="CJ506">
        <f t="shared" si="1006"/>
        <v>0</v>
      </c>
      <c r="CK506">
        <f t="shared" si="1006"/>
        <v>0</v>
      </c>
      <c r="CL506">
        <f t="shared" si="1006"/>
        <v>0</v>
      </c>
      <c r="CM506">
        <f t="shared" si="1007"/>
        <v>0</v>
      </c>
      <c r="CN506">
        <f t="shared" si="1007"/>
        <v>0</v>
      </c>
      <c r="CO506">
        <f t="shared" si="1007"/>
        <v>0</v>
      </c>
      <c r="CP506">
        <f t="shared" si="1007"/>
        <v>0</v>
      </c>
      <c r="CQ506">
        <f t="shared" si="1007"/>
        <v>0</v>
      </c>
      <c r="CR506">
        <f t="shared" si="1007"/>
        <v>0</v>
      </c>
      <c r="CS506">
        <f t="shared" si="1007"/>
        <v>0</v>
      </c>
      <c r="CT506">
        <f t="shared" si="1007"/>
        <v>0</v>
      </c>
      <c r="CU506">
        <f t="shared" si="1007"/>
        <v>0</v>
      </c>
      <c r="CV506">
        <f t="shared" si="1007"/>
        <v>0</v>
      </c>
      <c r="CW506">
        <f t="shared" si="1008"/>
        <v>0</v>
      </c>
      <c r="CX506">
        <f t="shared" si="1008"/>
        <v>0</v>
      </c>
      <c r="CY506">
        <f t="shared" si="1008"/>
        <v>0</v>
      </c>
      <c r="CZ506">
        <f t="shared" si="1008"/>
        <v>0</v>
      </c>
      <c r="DA506">
        <f t="shared" si="1008"/>
        <v>0</v>
      </c>
      <c r="DB506">
        <f t="shared" si="1008"/>
        <v>0</v>
      </c>
      <c r="DC506">
        <f t="shared" si="1008"/>
        <v>0</v>
      </c>
      <c r="DD506">
        <f t="shared" si="1008"/>
        <v>0</v>
      </c>
      <c r="DE506">
        <f t="shared" si="1008"/>
        <v>0</v>
      </c>
      <c r="DF506">
        <f t="shared" si="1008"/>
        <v>0</v>
      </c>
      <c r="DG506">
        <f t="shared" si="1009"/>
        <v>0</v>
      </c>
      <c r="DH506">
        <f t="shared" si="1009"/>
        <v>0</v>
      </c>
      <c r="DI506">
        <f t="shared" si="1009"/>
        <v>0</v>
      </c>
      <c r="DJ506">
        <f t="shared" si="1009"/>
        <v>0</v>
      </c>
      <c r="DK506">
        <f t="shared" si="1009"/>
        <v>0</v>
      </c>
      <c r="DL506">
        <f t="shared" si="1009"/>
        <v>0</v>
      </c>
      <c r="DM506">
        <f t="shared" si="1009"/>
        <v>0</v>
      </c>
      <c r="DN506">
        <f t="shared" si="1009"/>
        <v>0</v>
      </c>
      <c r="DO506">
        <f t="shared" si="1009"/>
        <v>0</v>
      </c>
      <c r="DP506">
        <f t="shared" si="1009"/>
        <v>0</v>
      </c>
      <c r="DQ506">
        <f t="shared" si="1010"/>
        <v>0</v>
      </c>
      <c r="DR506">
        <f t="shared" si="1010"/>
        <v>0</v>
      </c>
      <c r="DS506">
        <f t="shared" si="1010"/>
        <v>0</v>
      </c>
      <c r="DT506">
        <f t="shared" si="1010"/>
        <v>0</v>
      </c>
      <c r="DU506">
        <f t="shared" si="1010"/>
        <v>0</v>
      </c>
      <c r="DV506">
        <f t="shared" si="1010"/>
        <v>0</v>
      </c>
      <c r="DW506">
        <f t="shared" si="1010"/>
        <v>0</v>
      </c>
      <c r="DX506">
        <f t="shared" si="1010"/>
        <v>0</v>
      </c>
      <c r="DY506">
        <f t="shared" si="1010"/>
        <v>0</v>
      </c>
      <c r="DZ506">
        <f t="shared" si="1010"/>
        <v>0</v>
      </c>
      <c r="EA506">
        <f t="shared" si="1011"/>
        <v>0</v>
      </c>
      <c r="EB506">
        <f t="shared" si="1011"/>
        <v>0</v>
      </c>
      <c r="EC506">
        <f t="shared" si="1011"/>
        <v>0</v>
      </c>
      <c r="ED506">
        <f t="shared" si="1011"/>
        <v>0</v>
      </c>
      <c r="EE506">
        <f t="shared" si="1011"/>
        <v>0</v>
      </c>
      <c r="EF506">
        <f t="shared" si="1011"/>
        <v>0</v>
      </c>
    </row>
    <row r="507" spans="1:136" ht="15.5">
      <c r="A507" s="90"/>
      <c r="B507" s="19" t="s">
        <v>208</v>
      </c>
      <c r="C507" s="94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>
        <v>0</v>
      </c>
      <c r="S507" s="18">
        <v>0</v>
      </c>
      <c r="T507" s="18">
        <v>0</v>
      </c>
      <c r="U507" s="18">
        <v>0</v>
      </c>
      <c r="V507" s="18">
        <v>0</v>
      </c>
      <c r="W507" s="18">
        <v>0</v>
      </c>
      <c r="X507" s="18">
        <v>0</v>
      </c>
      <c r="Y507" s="18">
        <v>0.41499999999999998</v>
      </c>
      <c r="Z507" s="18">
        <v>0.41499999999999998</v>
      </c>
      <c r="AA507" s="18">
        <v>0.10154199999999999</v>
      </c>
      <c r="AB507" s="18">
        <v>0.88695500000000005</v>
      </c>
      <c r="AC507" s="18">
        <v>2.650115</v>
      </c>
      <c r="AD507" s="18">
        <v>3.3299599999999998</v>
      </c>
      <c r="AE507" s="18">
        <v>5.7991270000000004</v>
      </c>
      <c r="AF507" s="18">
        <v>7.8540570000000001</v>
      </c>
      <c r="AG507" s="18">
        <v>10.715120000000001</v>
      </c>
      <c r="AH507" s="18">
        <v>15.860429999999999</v>
      </c>
      <c r="AI507" s="18">
        <v>17.180209999999999</v>
      </c>
      <c r="AJ507" s="18">
        <v>18.228950000000001</v>
      </c>
      <c r="AK507" s="18">
        <v>18.7072</v>
      </c>
      <c r="AL507" s="18">
        <v>19.51418</v>
      </c>
      <c r="AM507" s="18">
        <v>20.130140000000001</v>
      </c>
      <c r="AN507" s="18">
        <v>21.36167</v>
      </c>
      <c r="AO507" s="18">
        <v>7.4689030000000001</v>
      </c>
      <c r="AP507" s="18">
        <v>7.651116</v>
      </c>
      <c r="AQ507" s="18">
        <v>8.9626110000000008</v>
      </c>
      <c r="AR507" s="18">
        <v>6.9941291999999988</v>
      </c>
      <c r="AS507" s="18">
        <v>3.4813332999999997</v>
      </c>
      <c r="AT507" s="18">
        <v>2.8853332999999997</v>
      </c>
      <c r="AU507" s="18">
        <v>2.9609999999999999</v>
      </c>
      <c r="AV507" s="18">
        <v>9.7571929999999991</v>
      </c>
      <c r="AW507" s="40" t="s">
        <v>16</v>
      </c>
      <c r="AX507" s="18">
        <v>6.2033607999999996</v>
      </c>
      <c r="AY507" s="18">
        <v>10.433</v>
      </c>
      <c r="AZ507" s="18">
        <v>7.4293703000000004</v>
      </c>
      <c r="BA507" s="18">
        <v>9.6300000000000008</v>
      </c>
      <c r="BB507" s="18">
        <v>9.19</v>
      </c>
      <c r="BC507" s="18">
        <v>11.163</v>
      </c>
      <c r="BD507" s="18">
        <v>36.292999999999999</v>
      </c>
      <c r="BE507" s="40" t="s">
        <v>16</v>
      </c>
      <c r="BF507" s="40" t="s">
        <v>16</v>
      </c>
      <c r="BG507" s="40" t="s">
        <v>16</v>
      </c>
      <c r="BH507" s="40">
        <f>12.286/1000000</f>
        <v>1.2285999999999999E-5</v>
      </c>
      <c r="BI507" s="18">
        <f>10.5191482/1000000</f>
        <v>1.05191482E-5</v>
      </c>
      <c r="BJ507" s="40">
        <f>9.755/1000000</f>
        <v>9.7550000000000006E-6</v>
      </c>
      <c r="BK507" s="103">
        <f>9.769/1000000</f>
        <v>9.7690000000000008E-6</v>
      </c>
      <c r="BL507" s="103">
        <f>9.784/1000000</f>
        <v>9.7840000000000015E-6</v>
      </c>
      <c r="BM507" s="103">
        <f>9.798/1000000</f>
        <v>9.798E-6</v>
      </c>
      <c r="BN507" s="103">
        <f>9.798/1000000</f>
        <v>9.798E-6</v>
      </c>
      <c r="BO507" s="103">
        <f>9.798/1000000</f>
        <v>9.798E-6</v>
      </c>
      <c r="BP507" s="103">
        <f>9.798/1000000</f>
        <v>9.798E-6</v>
      </c>
      <c r="BQ507" s="103">
        <f>9.798/1000000</f>
        <v>9.798E-6</v>
      </c>
      <c r="BR507" s="101"/>
      <c r="BS507">
        <f t="shared" si="1005"/>
        <v>0</v>
      </c>
      <c r="BT507">
        <f t="shared" si="1005"/>
        <v>0</v>
      </c>
      <c r="BU507">
        <f t="shared" si="1005"/>
        <v>0</v>
      </c>
      <c r="BV507">
        <f t="shared" si="1005"/>
        <v>0</v>
      </c>
      <c r="BW507">
        <f t="shared" si="1005"/>
        <v>0</v>
      </c>
      <c r="BX507">
        <f t="shared" si="1005"/>
        <v>0</v>
      </c>
      <c r="BY507">
        <f t="shared" si="1005"/>
        <v>0</v>
      </c>
      <c r="BZ507">
        <f t="shared" si="1005"/>
        <v>0</v>
      </c>
      <c r="CA507">
        <f t="shared" si="1005"/>
        <v>0</v>
      </c>
      <c r="CB507">
        <f t="shared" si="1005"/>
        <v>0</v>
      </c>
      <c r="CC507">
        <f t="shared" si="1006"/>
        <v>0</v>
      </c>
      <c r="CD507">
        <f t="shared" si="1006"/>
        <v>0</v>
      </c>
      <c r="CE507">
        <f t="shared" si="1006"/>
        <v>0</v>
      </c>
      <c r="CF507">
        <f t="shared" si="1006"/>
        <v>0</v>
      </c>
      <c r="CG507">
        <f t="shared" si="1006"/>
        <v>0</v>
      </c>
      <c r="CH507">
        <f t="shared" si="1006"/>
        <v>0</v>
      </c>
      <c r="CI507">
        <f t="shared" si="1006"/>
        <v>0</v>
      </c>
      <c r="CJ507">
        <f t="shared" si="1006"/>
        <v>0</v>
      </c>
      <c r="CK507">
        <f t="shared" si="1006"/>
        <v>0</v>
      </c>
      <c r="CL507">
        <f t="shared" si="1006"/>
        <v>0</v>
      </c>
      <c r="CM507">
        <f t="shared" si="1007"/>
        <v>0</v>
      </c>
      <c r="CN507">
        <f t="shared" si="1007"/>
        <v>0</v>
      </c>
      <c r="CO507">
        <f t="shared" si="1007"/>
        <v>0</v>
      </c>
      <c r="CP507">
        <f t="shared" si="1007"/>
        <v>0</v>
      </c>
      <c r="CQ507">
        <f t="shared" si="1007"/>
        <v>0</v>
      </c>
      <c r="CR507">
        <f t="shared" si="1007"/>
        <v>0</v>
      </c>
      <c r="CS507">
        <f t="shared" si="1007"/>
        <v>0</v>
      </c>
      <c r="CT507">
        <f t="shared" si="1007"/>
        <v>0</v>
      </c>
      <c r="CU507">
        <f t="shared" si="1007"/>
        <v>0</v>
      </c>
      <c r="CV507">
        <f t="shared" si="1007"/>
        <v>0</v>
      </c>
      <c r="CW507">
        <f t="shared" si="1008"/>
        <v>0</v>
      </c>
      <c r="CX507">
        <f t="shared" si="1008"/>
        <v>0</v>
      </c>
      <c r="CY507">
        <f t="shared" si="1008"/>
        <v>0</v>
      </c>
      <c r="CZ507">
        <f t="shared" si="1008"/>
        <v>0</v>
      </c>
      <c r="DA507">
        <f t="shared" si="1008"/>
        <v>0</v>
      </c>
      <c r="DB507">
        <f t="shared" si="1008"/>
        <v>0</v>
      </c>
      <c r="DC507">
        <f t="shared" si="1008"/>
        <v>0</v>
      </c>
      <c r="DD507">
        <f t="shared" si="1008"/>
        <v>0</v>
      </c>
      <c r="DE507">
        <f t="shared" si="1008"/>
        <v>0</v>
      </c>
      <c r="DF507">
        <f t="shared" si="1008"/>
        <v>0</v>
      </c>
      <c r="DG507">
        <f t="shared" si="1009"/>
        <v>0</v>
      </c>
      <c r="DH507">
        <f t="shared" si="1009"/>
        <v>0</v>
      </c>
      <c r="DI507">
        <f t="shared" si="1009"/>
        <v>0</v>
      </c>
      <c r="DJ507">
        <f t="shared" si="1009"/>
        <v>0</v>
      </c>
      <c r="DK507">
        <f t="shared" si="1009"/>
        <v>0</v>
      </c>
      <c r="DL507">
        <f t="shared" si="1009"/>
        <v>0</v>
      </c>
      <c r="DM507">
        <f t="shared" si="1009"/>
        <v>0</v>
      </c>
      <c r="DN507">
        <f t="shared" si="1009"/>
        <v>0</v>
      </c>
      <c r="DO507">
        <f t="shared" si="1009"/>
        <v>0</v>
      </c>
      <c r="DP507">
        <f t="shared" si="1009"/>
        <v>0</v>
      </c>
      <c r="DQ507">
        <f t="shared" si="1010"/>
        <v>0</v>
      </c>
      <c r="DR507">
        <f t="shared" si="1010"/>
        <v>0</v>
      </c>
      <c r="DS507">
        <f t="shared" si="1010"/>
        <v>0</v>
      </c>
      <c r="DT507">
        <f t="shared" si="1010"/>
        <v>0</v>
      </c>
      <c r="DU507">
        <f t="shared" si="1010"/>
        <v>0</v>
      </c>
      <c r="DV507">
        <f t="shared" si="1010"/>
        <v>0</v>
      </c>
      <c r="DW507">
        <f t="shared" si="1010"/>
        <v>0</v>
      </c>
      <c r="DX507">
        <f t="shared" si="1010"/>
        <v>0</v>
      </c>
      <c r="DY507">
        <f t="shared" si="1010"/>
        <v>0</v>
      </c>
      <c r="DZ507">
        <f t="shared" si="1010"/>
        <v>0</v>
      </c>
      <c r="EA507">
        <f t="shared" ref="EA507:EF508" si="1012">IF($C507&lt;&gt;"",IF(BL507&gt;0,1,0),0)</f>
        <v>0</v>
      </c>
      <c r="EB507">
        <f t="shared" si="1012"/>
        <v>0</v>
      </c>
      <c r="EC507">
        <f t="shared" si="1012"/>
        <v>0</v>
      </c>
      <c r="ED507">
        <f t="shared" si="1012"/>
        <v>0</v>
      </c>
      <c r="EE507">
        <f t="shared" si="1012"/>
        <v>0</v>
      </c>
      <c r="EF507">
        <f t="shared" si="1012"/>
        <v>0</v>
      </c>
    </row>
    <row r="508" spans="1:136" ht="15.5">
      <c r="A508" s="90"/>
      <c r="B508" s="19" t="s">
        <v>212</v>
      </c>
      <c r="C508" s="94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>
        <v>2.5925925925925926</v>
      </c>
      <c r="AF508" s="18">
        <v>2.9629629629629628</v>
      </c>
      <c r="AG508" s="18">
        <v>3.4814814814814814</v>
      </c>
      <c r="AH508" s="18">
        <v>5.5185185185185182</v>
      </c>
      <c r="AI508" s="18">
        <v>6.7037037037037042</v>
      </c>
      <c r="AJ508" s="18">
        <v>9.8888888888888875</v>
      </c>
      <c r="AK508" s="18">
        <v>0</v>
      </c>
      <c r="AL508" s="18">
        <v>0</v>
      </c>
      <c r="AM508" s="18">
        <v>8.3703703703703702</v>
      </c>
      <c r="AN508" s="18">
        <v>1.5555555555555556</v>
      </c>
      <c r="AO508" s="18">
        <v>4.3703703703703702</v>
      </c>
      <c r="AP508" s="18">
        <v>4.3703703703703702</v>
      </c>
      <c r="AQ508" s="147">
        <v>14</v>
      </c>
      <c r="AR508" s="147">
        <v>7.7777777777777777</v>
      </c>
      <c r="AS508" s="147">
        <v>16.666666666666664</v>
      </c>
      <c r="AT508" s="147">
        <v>0</v>
      </c>
      <c r="AU508" s="147">
        <v>3</v>
      </c>
      <c r="AV508" s="147">
        <v>11</v>
      </c>
      <c r="AW508" s="147">
        <v>13</v>
      </c>
      <c r="AX508" s="147">
        <v>13</v>
      </c>
      <c r="AY508" s="147">
        <v>13</v>
      </c>
      <c r="AZ508" s="18">
        <v>13</v>
      </c>
      <c r="BA508" s="18">
        <v>13</v>
      </c>
      <c r="BB508" s="18">
        <v>13</v>
      </c>
      <c r="BC508" s="18">
        <v>13</v>
      </c>
      <c r="BD508" s="18">
        <v>9</v>
      </c>
      <c r="BE508" s="71">
        <v>0</v>
      </c>
      <c r="BF508" s="18">
        <v>6</v>
      </c>
      <c r="BG508" s="18">
        <v>0</v>
      </c>
      <c r="BH508" s="113">
        <v>0.65</v>
      </c>
      <c r="BI508" s="18">
        <v>0</v>
      </c>
      <c r="BJ508" s="18">
        <v>0</v>
      </c>
      <c r="BK508" s="34">
        <v>0</v>
      </c>
      <c r="BL508" s="113">
        <v>0</v>
      </c>
      <c r="BM508" s="113">
        <v>0</v>
      </c>
      <c r="BN508" s="113">
        <v>0</v>
      </c>
      <c r="BO508" s="113">
        <v>0</v>
      </c>
      <c r="BP508" s="113">
        <v>0</v>
      </c>
      <c r="BQ508" s="113">
        <v>0</v>
      </c>
      <c r="BR508" s="101"/>
      <c r="BS508">
        <f t="shared" si="1005"/>
        <v>0</v>
      </c>
      <c r="BT508">
        <f t="shared" si="1005"/>
        <v>0</v>
      </c>
      <c r="BU508">
        <f t="shared" si="1005"/>
        <v>0</v>
      </c>
      <c r="BV508">
        <f t="shared" si="1005"/>
        <v>0</v>
      </c>
      <c r="BW508">
        <f t="shared" si="1005"/>
        <v>0</v>
      </c>
      <c r="BX508">
        <f t="shared" si="1005"/>
        <v>0</v>
      </c>
      <c r="BY508">
        <f t="shared" si="1005"/>
        <v>0</v>
      </c>
      <c r="BZ508">
        <f t="shared" si="1005"/>
        <v>0</v>
      </c>
      <c r="CA508">
        <f t="shared" si="1005"/>
        <v>0</v>
      </c>
      <c r="CB508">
        <f t="shared" si="1005"/>
        <v>0</v>
      </c>
      <c r="CC508">
        <f t="shared" si="1006"/>
        <v>0</v>
      </c>
      <c r="CD508">
        <f t="shared" si="1006"/>
        <v>0</v>
      </c>
      <c r="CE508">
        <f t="shared" si="1006"/>
        <v>0</v>
      </c>
      <c r="CF508">
        <f t="shared" si="1006"/>
        <v>0</v>
      </c>
      <c r="CG508">
        <f t="shared" si="1006"/>
        <v>0</v>
      </c>
      <c r="CH508">
        <f t="shared" si="1006"/>
        <v>0</v>
      </c>
      <c r="CI508">
        <f t="shared" si="1006"/>
        <v>0</v>
      </c>
      <c r="CJ508">
        <f t="shared" si="1006"/>
        <v>0</v>
      </c>
      <c r="CK508">
        <f t="shared" si="1006"/>
        <v>0</v>
      </c>
      <c r="CL508">
        <f t="shared" si="1006"/>
        <v>0</v>
      </c>
      <c r="CM508">
        <f t="shared" si="1007"/>
        <v>0</v>
      </c>
      <c r="CN508">
        <f t="shared" si="1007"/>
        <v>0</v>
      </c>
      <c r="CO508">
        <f t="shared" si="1007"/>
        <v>0</v>
      </c>
      <c r="CP508">
        <f t="shared" si="1007"/>
        <v>0</v>
      </c>
      <c r="CQ508">
        <f t="shared" si="1007"/>
        <v>0</v>
      </c>
      <c r="CR508">
        <f t="shared" si="1007"/>
        <v>0</v>
      </c>
      <c r="CS508">
        <f t="shared" si="1007"/>
        <v>0</v>
      </c>
      <c r="CT508">
        <f t="shared" si="1007"/>
        <v>0</v>
      </c>
      <c r="CU508">
        <f t="shared" si="1007"/>
        <v>0</v>
      </c>
      <c r="CV508">
        <f t="shared" si="1007"/>
        <v>0</v>
      </c>
      <c r="CW508">
        <f t="shared" si="1008"/>
        <v>0</v>
      </c>
      <c r="CX508">
        <f t="shared" si="1008"/>
        <v>0</v>
      </c>
      <c r="CY508">
        <f t="shared" si="1008"/>
        <v>0</v>
      </c>
      <c r="CZ508">
        <f t="shared" si="1008"/>
        <v>0</v>
      </c>
      <c r="DA508">
        <f t="shared" si="1008"/>
        <v>0</v>
      </c>
      <c r="DB508">
        <f t="shared" si="1008"/>
        <v>0</v>
      </c>
      <c r="DC508">
        <f t="shared" si="1008"/>
        <v>0</v>
      </c>
      <c r="DD508">
        <f t="shared" si="1008"/>
        <v>0</v>
      </c>
      <c r="DE508">
        <f t="shared" si="1008"/>
        <v>0</v>
      </c>
      <c r="DF508">
        <f t="shared" si="1008"/>
        <v>0</v>
      </c>
      <c r="DG508">
        <f t="shared" si="1009"/>
        <v>0</v>
      </c>
      <c r="DH508">
        <f t="shared" si="1009"/>
        <v>0</v>
      </c>
      <c r="DI508">
        <f t="shared" si="1009"/>
        <v>0</v>
      </c>
      <c r="DJ508">
        <f t="shared" si="1009"/>
        <v>0</v>
      </c>
      <c r="DK508">
        <f t="shared" si="1009"/>
        <v>0</v>
      </c>
      <c r="DL508">
        <f t="shared" si="1009"/>
        <v>0</v>
      </c>
      <c r="DM508">
        <f t="shared" si="1009"/>
        <v>0</v>
      </c>
      <c r="DN508">
        <f t="shared" si="1009"/>
        <v>0</v>
      </c>
      <c r="DO508">
        <f t="shared" si="1009"/>
        <v>0</v>
      </c>
      <c r="DP508">
        <f t="shared" si="1009"/>
        <v>0</v>
      </c>
      <c r="DQ508">
        <f t="shared" si="1010"/>
        <v>0</v>
      </c>
      <c r="DR508">
        <f t="shared" si="1010"/>
        <v>0</v>
      </c>
      <c r="DS508">
        <f t="shared" si="1010"/>
        <v>0</v>
      </c>
      <c r="DT508">
        <f t="shared" si="1010"/>
        <v>0</v>
      </c>
      <c r="DU508">
        <f t="shared" si="1010"/>
        <v>0</v>
      </c>
      <c r="DV508">
        <f t="shared" si="1010"/>
        <v>0</v>
      </c>
      <c r="DW508">
        <f t="shared" si="1010"/>
        <v>0</v>
      </c>
      <c r="DX508">
        <f t="shared" si="1010"/>
        <v>0</v>
      </c>
      <c r="DY508">
        <f t="shared" si="1010"/>
        <v>0</v>
      </c>
      <c r="DZ508">
        <f t="shared" si="1010"/>
        <v>0</v>
      </c>
      <c r="EA508">
        <f t="shared" si="1012"/>
        <v>0</v>
      </c>
      <c r="EB508">
        <f t="shared" si="1012"/>
        <v>0</v>
      </c>
      <c r="EC508">
        <f t="shared" si="1012"/>
        <v>0</v>
      </c>
      <c r="ED508">
        <f t="shared" si="1012"/>
        <v>0</v>
      </c>
      <c r="EE508">
        <f t="shared" si="1012"/>
        <v>0</v>
      </c>
      <c r="EF508">
        <f t="shared" si="1012"/>
        <v>0</v>
      </c>
    </row>
    <row r="509" spans="1:136" ht="15.5">
      <c r="A509" s="90"/>
      <c r="B509" s="37"/>
      <c r="C509" s="94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20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  <c r="AS509" s="18"/>
      <c r="AT509" s="18"/>
      <c r="AU509" s="18"/>
      <c r="AV509" s="18"/>
      <c r="AW509" s="18"/>
      <c r="AX509" s="18"/>
      <c r="AY509" s="18"/>
      <c r="AZ509" s="18"/>
      <c r="BA509" s="18"/>
      <c r="BB509" s="18"/>
      <c r="BC509" s="18"/>
      <c r="BD509" s="18"/>
      <c r="BE509" s="113"/>
      <c r="BF509" s="113"/>
      <c r="BG509" s="113"/>
      <c r="BH509" s="113"/>
      <c r="BI509" s="113"/>
      <c r="BJ509" s="113"/>
      <c r="BK509" s="113"/>
      <c r="BL509" s="18"/>
      <c r="BM509" s="113"/>
      <c r="BN509" s="2"/>
      <c r="BO509" s="2"/>
      <c r="BP509" s="2"/>
      <c r="BQ509" s="2"/>
      <c r="BR509" s="101"/>
    </row>
    <row r="510" spans="1:136" ht="15.5">
      <c r="A510" s="93">
        <v>60</v>
      </c>
      <c r="B510" s="52" t="s">
        <v>73</v>
      </c>
      <c r="C510" s="94">
        <v>3</v>
      </c>
      <c r="D510" s="22">
        <f t="shared" ref="D510:AI510" si="1013">SUM(D511:D517)</f>
        <v>0</v>
      </c>
      <c r="E510" s="22">
        <f t="shared" si="1013"/>
        <v>0</v>
      </c>
      <c r="F510" s="22">
        <f t="shared" si="1013"/>
        <v>0</v>
      </c>
      <c r="G510" s="22">
        <f t="shared" si="1013"/>
        <v>0</v>
      </c>
      <c r="H510" s="22">
        <f t="shared" si="1013"/>
        <v>0</v>
      </c>
      <c r="I510" s="22">
        <f t="shared" si="1013"/>
        <v>0</v>
      </c>
      <c r="J510" s="22">
        <f t="shared" si="1013"/>
        <v>0</v>
      </c>
      <c r="K510" s="22">
        <f t="shared" si="1013"/>
        <v>0</v>
      </c>
      <c r="L510" s="22">
        <f t="shared" si="1013"/>
        <v>0</v>
      </c>
      <c r="M510" s="22">
        <f t="shared" si="1013"/>
        <v>0</v>
      </c>
      <c r="N510" s="22">
        <f t="shared" si="1013"/>
        <v>0</v>
      </c>
      <c r="O510" s="22">
        <f t="shared" si="1013"/>
        <v>0</v>
      </c>
      <c r="P510" s="22">
        <f t="shared" si="1013"/>
        <v>0</v>
      </c>
      <c r="Q510" s="22">
        <f t="shared" si="1013"/>
        <v>0</v>
      </c>
      <c r="R510" s="22">
        <f t="shared" si="1013"/>
        <v>0</v>
      </c>
      <c r="S510" s="22">
        <f t="shared" si="1013"/>
        <v>0</v>
      </c>
      <c r="T510" s="22">
        <f t="shared" si="1013"/>
        <v>0</v>
      </c>
      <c r="U510" s="22">
        <f t="shared" si="1013"/>
        <v>0</v>
      </c>
      <c r="V510" s="22">
        <f t="shared" si="1013"/>
        <v>0</v>
      </c>
      <c r="W510" s="22">
        <f t="shared" si="1013"/>
        <v>0</v>
      </c>
      <c r="X510" s="22">
        <f t="shared" si="1013"/>
        <v>0</v>
      </c>
      <c r="Y510" s="22">
        <f t="shared" si="1013"/>
        <v>0</v>
      </c>
      <c r="Z510" s="22">
        <f t="shared" si="1013"/>
        <v>0</v>
      </c>
      <c r="AA510" s="22">
        <f t="shared" si="1013"/>
        <v>0.25</v>
      </c>
      <c r="AB510" s="22">
        <f t="shared" si="1013"/>
        <v>18.07</v>
      </c>
      <c r="AC510" s="22">
        <f t="shared" si="1013"/>
        <v>76.56</v>
      </c>
      <c r="AD510" s="22">
        <f t="shared" si="1013"/>
        <v>233.54300000000001</v>
      </c>
      <c r="AE510" s="22">
        <f t="shared" si="1013"/>
        <v>329.26800000000003</v>
      </c>
      <c r="AF510" s="22">
        <f t="shared" si="1013"/>
        <v>324.58699999999999</v>
      </c>
      <c r="AG510" s="22">
        <f t="shared" si="1013"/>
        <v>914.32800000000009</v>
      </c>
      <c r="AH510" s="22">
        <f t="shared" si="1013"/>
        <v>506.47</v>
      </c>
      <c r="AI510" s="22">
        <f t="shared" si="1013"/>
        <v>533.54</v>
      </c>
      <c r="AJ510" s="22">
        <f t="shared" ref="AJ510:BO510" si="1014">SUM(AJ511:AJ517)</f>
        <v>519.77</v>
      </c>
      <c r="AK510" s="22">
        <f t="shared" si="1014"/>
        <v>907.98</v>
      </c>
      <c r="AL510" s="22">
        <f t="shared" si="1014"/>
        <v>447.82</v>
      </c>
      <c r="AM510" s="22">
        <f t="shared" si="1014"/>
        <v>477.6</v>
      </c>
      <c r="AN510" s="22">
        <f t="shared" si="1014"/>
        <v>488.7</v>
      </c>
      <c r="AO510" s="22">
        <f t="shared" si="1014"/>
        <v>474.2</v>
      </c>
      <c r="AP510" s="22">
        <f t="shared" si="1014"/>
        <v>461</v>
      </c>
      <c r="AQ510" s="22">
        <f t="shared" si="1014"/>
        <v>492.1</v>
      </c>
      <c r="AR510" s="22">
        <f t="shared" si="1014"/>
        <v>541.40100000000007</v>
      </c>
      <c r="AS510" s="22">
        <f t="shared" si="1014"/>
        <v>522.94499999999994</v>
      </c>
      <c r="AT510" s="22">
        <f t="shared" si="1014"/>
        <v>522.04599999999994</v>
      </c>
      <c r="AU510" s="22">
        <f t="shared" si="1014"/>
        <v>534.97799999999995</v>
      </c>
      <c r="AV510" s="22">
        <f t="shared" si="1014"/>
        <v>544.93299999999999</v>
      </c>
      <c r="AW510" s="22">
        <f t="shared" si="1014"/>
        <v>544.93299999999999</v>
      </c>
      <c r="AX510" s="22">
        <f t="shared" si="1014"/>
        <v>128.6</v>
      </c>
      <c r="AY510" s="22">
        <f t="shared" si="1014"/>
        <v>2.7E-2</v>
      </c>
      <c r="AZ510" s="22">
        <f t="shared" si="1014"/>
        <v>1E-3</v>
      </c>
      <c r="BA510" s="22">
        <f t="shared" si="1014"/>
        <v>0</v>
      </c>
      <c r="BB510" s="22">
        <f t="shared" si="1014"/>
        <v>0</v>
      </c>
      <c r="BC510" s="22">
        <f t="shared" si="1014"/>
        <v>0</v>
      </c>
      <c r="BD510" s="22">
        <f t="shared" si="1014"/>
        <v>4.0204999999999998E-3</v>
      </c>
      <c r="BE510" s="22">
        <f t="shared" si="1014"/>
        <v>0.38900000000000001</v>
      </c>
      <c r="BF510" s="22">
        <f t="shared" si="1014"/>
        <v>0</v>
      </c>
      <c r="BG510" s="22">
        <f t="shared" si="1014"/>
        <v>0</v>
      </c>
      <c r="BH510" s="22">
        <f t="shared" si="1014"/>
        <v>0</v>
      </c>
      <c r="BI510" s="22">
        <f t="shared" si="1014"/>
        <v>0</v>
      </c>
      <c r="BJ510" s="22">
        <f t="shared" si="1014"/>
        <v>0</v>
      </c>
      <c r="BK510" s="22">
        <f t="shared" si="1014"/>
        <v>0</v>
      </c>
      <c r="BL510" s="22">
        <f t="shared" si="1014"/>
        <v>3.9093040999999999</v>
      </c>
      <c r="BM510" s="22">
        <f t="shared" si="1014"/>
        <v>0</v>
      </c>
      <c r="BN510" s="22">
        <f t="shared" si="1014"/>
        <v>0.2287208</v>
      </c>
      <c r="BO510" s="22">
        <f t="shared" si="1014"/>
        <v>0</v>
      </c>
      <c r="BP510" s="22">
        <f>SUM(BP511:BP517)</f>
        <v>0</v>
      </c>
      <c r="BQ510" s="22">
        <f>SUM(BQ511:BQ517)</f>
        <v>0</v>
      </c>
      <c r="BR510" s="101"/>
      <c r="BS510">
        <f t="shared" ref="BS510:CX510" si="1015">IF($C510&lt;&gt;"",IF(D510&gt;0,1,0),0)</f>
        <v>0</v>
      </c>
      <c r="BT510">
        <f t="shared" si="1015"/>
        <v>0</v>
      </c>
      <c r="BU510">
        <f t="shared" si="1015"/>
        <v>0</v>
      </c>
      <c r="BV510">
        <f t="shared" si="1015"/>
        <v>0</v>
      </c>
      <c r="BW510">
        <f t="shared" si="1015"/>
        <v>0</v>
      </c>
      <c r="BX510">
        <f t="shared" si="1015"/>
        <v>0</v>
      </c>
      <c r="BY510">
        <f t="shared" si="1015"/>
        <v>0</v>
      </c>
      <c r="BZ510">
        <f t="shared" si="1015"/>
        <v>0</v>
      </c>
      <c r="CA510">
        <f t="shared" si="1015"/>
        <v>0</v>
      </c>
      <c r="CB510">
        <f t="shared" si="1015"/>
        <v>0</v>
      </c>
      <c r="CC510">
        <f t="shared" si="1015"/>
        <v>0</v>
      </c>
      <c r="CD510">
        <f t="shared" si="1015"/>
        <v>0</v>
      </c>
      <c r="CE510">
        <f t="shared" si="1015"/>
        <v>0</v>
      </c>
      <c r="CF510">
        <f t="shared" si="1015"/>
        <v>0</v>
      </c>
      <c r="CG510">
        <f t="shared" si="1015"/>
        <v>0</v>
      </c>
      <c r="CH510">
        <f t="shared" si="1015"/>
        <v>0</v>
      </c>
      <c r="CI510">
        <f t="shared" si="1015"/>
        <v>0</v>
      </c>
      <c r="CJ510">
        <f t="shared" si="1015"/>
        <v>0</v>
      </c>
      <c r="CK510">
        <f t="shared" si="1015"/>
        <v>0</v>
      </c>
      <c r="CL510">
        <f t="shared" si="1015"/>
        <v>0</v>
      </c>
      <c r="CM510">
        <f t="shared" si="1015"/>
        <v>0</v>
      </c>
      <c r="CN510">
        <f t="shared" si="1015"/>
        <v>0</v>
      </c>
      <c r="CO510">
        <f t="shared" si="1015"/>
        <v>0</v>
      </c>
      <c r="CP510">
        <f t="shared" si="1015"/>
        <v>1</v>
      </c>
      <c r="CQ510">
        <f t="shared" si="1015"/>
        <v>1</v>
      </c>
      <c r="CR510">
        <f t="shared" si="1015"/>
        <v>1</v>
      </c>
      <c r="CS510">
        <f t="shared" si="1015"/>
        <v>1</v>
      </c>
      <c r="CT510">
        <f t="shared" si="1015"/>
        <v>1</v>
      </c>
      <c r="CU510">
        <f t="shared" si="1015"/>
        <v>1</v>
      </c>
      <c r="CV510">
        <f t="shared" si="1015"/>
        <v>1</v>
      </c>
      <c r="CW510">
        <f t="shared" si="1015"/>
        <v>1</v>
      </c>
      <c r="CX510">
        <f t="shared" si="1015"/>
        <v>1</v>
      </c>
      <c r="CY510">
        <f t="shared" ref="CY510:ED510" si="1016">IF($C510&lt;&gt;"",IF(AJ510&gt;0,1,0),0)</f>
        <v>1</v>
      </c>
      <c r="CZ510">
        <f t="shared" si="1016"/>
        <v>1</v>
      </c>
      <c r="DA510">
        <f t="shared" si="1016"/>
        <v>1</v>
      </c>
      <c r="DB510">
        <f t="shared" si="1016"/>
        <v>1</v>
      </c>
      <c r="DC510">
        <f t="shared" si="1016"/>
        <v>1</v>
      </c>
      <c r="DD510">
        <f t="shared" si="1016"/>
        <v>1</v>
      </c>
      <c r="DE510">
        <f t="shared" si="1016"/>
        <v>1</v>
      </c>
      <c r="DF510">
        <f t="shared" si="1016"/>
        <v>1</v>
      </c>
      <c r="DG510">
        <f t="shared" si="1016"/>
        <v>1</v>
      </c>
      <c r="DH510">
        <f t="shared" si="1016"/>
        <v>1</v>
      </c>
      <c r="DI510">
        <f t="shared" si="1016"/>
        <v>1</v>
      </c>
      <c r="DJ510">
        <f t="shared" si="1016"/>
        <v>1</v>
      </c>
      <c r="DK510">
        <f t="shared" si="1016"/>
        <v>1</v>
      </c>
      <c r="DL510">
        <f t="shared" si="1016"/>
        <v>1</v>
      </c>
      <c r="DM510">
        <f t="shared" si="1016"/>
        <v>1</v>
      </c>
      <c r="DN510">
        <f t="shared" si="1016"/>
        <v>1</v>
      </c>
      <c r="DO510">
        <f t="shared" si="1016"/>
        <v>1</v>
      </c>
      <c r="DP510">
        <f t="shared" si="1016"/>
        <v>0</v>
      </c>
      <c r="DQ510">
        <f t="shared" si="1016"/>
        <v>0</v>
      </c>
      <c r="DR510">
        <f t="shared" si="1016"/>
        <v>0</v>
      </c>
      <c r="DS510">
        <f t="shared" si="1016"/>
        <v>1</v>
      </c>
      <c r="DT510">
        <f t="shared" si="1016"/>
        <v>1</v>
      </c>
      <c r="DU510">
        <f t="shared" si="1016"/>
        <v>0</v>
      </c>
      <c r="DV510">
        <f t="shared" si="1016"/>
        <v>0</v>
      </c>
      <c r="DW510">
        <f t="shared" si="1016"/>
        <v>0</v>
      </c>
      <c r="DX510">
        <f t="shared" si="1016"/>
        <v>0</v>
      </c>
      <c r="DY510">
        <f t="shared" si="1016"/>
        <v>0</v>
      </c>
      <c r="DZ510">
        <f t="shared" si="1016"/>
        <v>0</v>
      </c>
      <c r="EA510">
        <f t="shared" si="1016"/>
        <v>1</v>
      </c>
      <c r="EB510">
        <f t="shared" si="1016"/>
        <v>0</v>
      </c>
      <c r="EC510">
        <f t="shared" si="1016"/>
        <v>1</v>
      </c>
      <c r="ED510">
        <f t="shared" si="1016"/>
        <v>0</v>
      </c>
      <c r="EE510">
        <f t="shared" ref="EE510:EF510" si="1017">IF($C510&lt;&gt;"",IF(BP510&gt;0,1,0),0)</f>
        <v>0</v>
      </c>
      <c r="EF510">
        <f t="shared" si="1017"/>
        <v>0</v>
      </c>
    </row>
    <row r="511" spans="1:136" ht="15.5">
      <c r="A511" s="90"/>
      <c r="B511" s="57" t="s">
        <v>184</v>
      </c>
      <c r="C511" s="94"/>
      <c r="D511" s="18">
        <v>0</v>
      </c>
      <c r="E511" s="18">
        <v>0</v>
      </c>
      <c r="F511" s="18">
        <v>0</v>
      </c>
      <c r="G511" s="18">
        <v>0</v>
      </c>
      <c r="H511" s="18">
        <v>0</v>
      </c>
      <c r="I511" s="18">
        <v>0</v>
      </c>
      <c r="J511" s="18">
        <v>0</v>
      </c>
      <c r="K511" s="18">
        <v>0</v>
      </c>
      <c r="L511" s="18">
        <v>0</v>
      </c>
      <c r="M511" s="18">
        <v>0</v>
      </c>
      <c r="N511" s="18">
        <v>0</v>
      </c>
      <c r="O511" s="18">
        <v>0</v>
      </c>
      <c r="P511" s="18">
        <v>0</v>
      </c>
      <c r="Q511" s="18">
        <v>0</v>
      </c>
      <c r="R511" s="18">
        <v>0</v>
      </c>
      <c r="S511" s="18">
        <v>0</v>
      </c>
      <c r="T511" s="18">
        <v>0</v>
      </c>
      <c r="U511" s="18">
        <v>0</v>
      </c>
      <c r="V511" s="18">
        <v>0</v>
      </c>
      <c r="W511" s="18">
        <v>0</v>
      </c>
      <c r="X511" s="18">
        <v>0</v>
      </c>
      <c r="Y511" s="18">
        <v>0</v>
      </c>
      <c r="Z511" s="18">
        <v>0</v>
      </c>
      <c r="AA511" s="18">
        <v>0</v>
      </c>
      <c r="AB511" s="18">
        <v>0</v>
      </c>
      <c r="AC511" s="18">
        <v>0</v>
      </c>
      <c r="AD511" s="18">
        <v>0</v>
      </c>
      <c r="AE511" s="18">
        <v>0</v>
      </c>
      <c r="AF511" s="18">
        <v>0</v>
      </c>
      <c r="AG511" s="18">
        <v>0</v>
      </c>
      <c r="AH511" s="18">
        <v>0</v>
      </c>
      <c r="AI511" s="18">
        <v>69</v>
      </c>
      <c r="AJ511" s="18">
        <v>67</v>
      </c>
      <c r="AK511" s="34">
        <v>0</v>
      </c>
      <c r="AL511" s="34">
        <v>0</v>
      </c>
      <c r="AM511" s="34">
        <v>0</v>
      </c>
      <c r="AN511" s="34">
        <v>0</v>
      </c>
      <c r="AO511" s="34">
        <v>0</v>
      </c>
      <c r="AP511" s="34">
        <v>0</v>
      </c>
      <c r="AQ511" s="34">
        <v>0</v>
      </c>
      <c r="AR511" s="34">
        <v>0</v>
      </c>
      <c r="AS511" s="34">
        <v>0</v>
      </c>
      <c r="AT511" s="34">
        <v>0</v>
      </c>
      <c r="AU511" s="34">
        <v>0</v>
      </c>
      <c r="AV511" s="34">
        <v>0</v>
      </c>
      <c r="AW511" s="34">
        <v>0</v>
      </c>
      <c r="AX511" s="34">
        <v>0</v>
      </c>
      <c r="AY511" s="34">
        <v>0</v>
      </c>
      <c r="AZ511" s="34">
        <v>0</v>
      </c>
      <c r="BA511" s="34">
        <v>0</v>
      </c>
      <c r="BB511" s="34">
        <v>0</v>
      </c>
      <c r="BC511" s="34">
        <v>0</v>
      </c>
      <c r="BD511" s="34">
        <v>0</v>
      </c>
      <c r="BE511" s="34">
        <v>0</v>
      </c>
      <c r="BF511" s="34">
        <v>0</v>
      </c>
      <c r="BG511" s="34">
        <v>0</v>
      </c>
      <c r="BH511" s="34">
        <v>0</v>
      </c>
      <c r="BI511" s="34">
        <v>0</v>
      </c>
      <c r="BJ511" s="113">
        <v>0</v>
      </c>
      <c r="BK511" s="113">
        <v>0</v>
      </c>
      <c r="BL511" s="113">
        <v>0</v>
      </c>
      <c r="BM511" s="113">
        <v>0</v>
      </c>
      <c r="BN511" s="113">
        <v>0</v>
      </c>
      <c r="BO511" s="113">
        <v>0</v>
      </c>
      <c r="BP511" s="113">
        <v>0</v>
      </c>
      <c r="BQ511" s="113">
        <v>0</v>
      </c>
      <c r="BR511" s="101"/>
      <c r="BS511">
        <f t="shared" ref="BS511:CB512" si="1018">IF($C511&lt;&gt;"",IF(D511&gt;0,1,0),0)</f>
        <v>0</v>
      </c>
      <c r="BT511">
        <f t="shared" si="1018"/>
        <v>0</v>
      </c>
      <c r="BU511">
        <f t="shared" si="1018"/>
        <v>0</v>
      </c>
      <c r="BV511">
        <f t="shared" si="1018"/>
        <v>0</v>
      </c>
      <c r="BW511">
        <f t="shared" si="1018"/>
        <v>0</v>
      </c>
      <c r="BX511">
        <f t="shared" si="1018"/>
        <v>0</v>
      </c>
      <c r="BY511">
        <f t="shared" si="1018"/>
        <v>0</v>
      </c>
      <c r="BZ511">
        <f t="shared" si="1018"/>
        <v>0</v>
      </c>
      <c r="CA511">
        <f t="shared" si="1018"/>
        <v>0</v>
      </c>
      <c r="CB511">
        <f t="shared" si="1018"/>
        <v>0</v>
      </c>
      <c r="CC511">
        <f t="shared" ref="CC511:CL512" si="1019">IF($C511&lt;&gt;"",IF(N511&gt;0,1,0),0)</f>
        <v>0</v>
      </c>
      <c r="CD511">
        <f t="shared" si="1019"/>
        <v>0</v>
      </c>
      <c r="CE511">
        <f t="shared" si="1019"/>
        <v>0</v>
      </c>
      <c r="CF511">
        <f t="shared" si="1019"/>
        <v>0</v>
      </c>
      <c r="CG511">
        <f t="shared" si="1019"/>
        <v>0</v>
      </c>
      <c r="CH511">
        <f t="shared" si="1019"/>
        <v>0</v>
      </c>
      <c r="CI511">
        <f t="shared" si="1019"/>
        <v>0</v>
      </c>
      <c r="CJ511">
        <f t="shared" si="1019"/>
        <v>0</v>
      </c>
      <c r="CK511">
        <f t="shared" si="1019"/>
        <v>0</v>
      </c>
      <c r="CL511">
        <f t="shared" si="1019"/>
        <v>0</v>
      </c>
      <c r="CM511">
        <f t="shared" ref="CM511:CV512" si="1020">IF($C511&lt;&gt;"",IF(X511&gt;0,1,0),0)</f>
        <v>0</v>
      </c>
      <c r="CN511">
        <f t="shared" si="1020"/>
        <v>0</v>
      </c>
      <c r="CO511">
        <f t="shared" si="1020"/>
        <v>0</v>
      </c>
      <c r="CP511">
        <f t="shared" si="1020"/>
        <v>0</v>
      </c>
      <c r="CQ511">
        <f t="shared" si="1020"/>
        <v>0</v>
      </c>
      <c r="CR511">
        <f t="shared" si="1020"/>
        <v>0</v>
      </c>
      <c r="CS511">
        <f t="shared" si="1020"/>
        <v>0</v>
      </c>
      <c r="CT511">
        <f t="shared" si="1020"/>
        <v>0</v>
      </c>
      <c r="CU511">
        <f t="shared" si="1020"/>
        <v>0</v>
      </c>
      <c r="CV511">
        <f t="shared" si="1020"/>
        <v>0</v>
      </c>
      <c r="CW511">
        <f t="shared" ref="CW511:DF512" si="1021">IF($C511&lt;&gt;"",IF(AH511&gt;0,1,0),0)</f>
        <v>0</v>
      </c>
      <c r="CX511">
        <f t="shared" si="1021"/>
        <v>0</v>
      </c>
      <c r="CY511">
        <f t="shared" si="1021"/>
        <v>0</v>
      </c>
      <c r="CZ511">
        <f t="shared" si="1021"/>
        <v>0</v>
      </c>
      <c r="DA511">
        <f t="shared" si="1021"/>
        <v>0</v>
      </c>
      <c r="DB511">
        <f t="shared" si="1021"/>
        <v>0</v>
      </c>
      <c r="DC511">
        <f t="shared" si="1021"/>
        <v>0</v>
      </c>
      <c r="DD511">
        <f t="shared" si="1021"/>
        <v>0</v>
      </c>
      <c r="DE511">
        <f t="shared" si="1021"/>
        <v>0</v>
      </c>
      <c r="DF511">
        <f t="shared" si="1021"/>
        <v>0</v>
      </c>
      <c r="DG511">
        <f t="shared" ref="DG511:DP512" si="1022">IF($C511&lt;&gt;"",IF(AR511&gt;0,1,0),0)</f>
        <v>0</v>
      </c>
      <c r="DH511">
        <f t="shared" si="1022"/>
        <v>0</v>
      </c>
      <c r="DI511">
        <f t="shared" si="1022"/>
        <v>0</v>
      </c>
      <c r="DJ511">
        <f t="shared" si="1022"/>
        <v>0</v>
      </c>
      <c r="DK511">
        <f t="shared" si="1022"/>
        <v>0</v>
      </c>
      <c r="DL511">
        <f t="shared" si="1022"/>
        <v>0</v>
      </c>
      <c r="DM511">
        <f t="shared" si="1022"/>
        <v>0</v>
      </c>
      <c r="DN511">
        <f t="shared" si="1022"/>
        <v>0</v>
      </c>
      <c r="DO511">
        <f t="shared" si="1022"/>
        <v>0</v>
      </c>
      <c r="DP511">
        <f t="shared" si="1022"/>
        <v>0</v>
      </c>
      <c r="DQ511">
        <f t="shared" ref="DQ511:DZ512" si="1023">IF($C511&lt;&gt;"",IF(BB511&gt;0,1,0),0)</f>
        <v>0</v>
      </c>
      <c r="DR511">
        <f t="shared" si="1023"/>
        <v>0</v>
      </c>
      <c r="DS511">
        <f t="shared" si="1023"/>
        <v>0</v>
      </c>
      <c r="DT511">
        <f t="shared" si="1023"/>
        <v>0</v>
      </c>
      <c r="DU511">
        <f t="shared" si="1023"/>
        <v>0</v>
      </c>
      <c r="DV511">
        <f t="shared" si="1023"/>
        <v>0</v>
      </c>
      <c r="DW511">
        <f t="shared" si="1023"/>
        <v>0</v>
      </c>
      <c r="DX511">
        <f t="shared" si="1023"/>
        <v>0</v>
      </c>
      <c r="DY511">
        <f t="shared" si="1023"/>
        <v>0</v>
      </c>
      <c r="DZ511">
        <f t="shared" si="1023"/>
        <v>0</v>
      </c>
      <c r="EA511">
        <f t="shared" ref="EA511:EF512" si="1024">IF($C511&lt;&gt;"",IF(BL510&gt;0,1,0),0)</f>
        <v>0</v>
      </c>
      <c r="EB511">
        <f t="shared" si="1024"/>
        <v>0</v>
      </c>
      <c r="EC511">
        <f t="shared" si="1024"/>
        <v>0</v>
      </c>
      <c r="ED511">
        <f t="shared" si="1024"/>
        <v>0</v>
      </c>
      <c r="EE511">
        <f t="shared" si="1024"/>
        <v>0</v>
      </c>
      <c r="EF511">
        <f t="shared" si="1024"/>
        <v>0</v>
      </c>
    </row>
    <row r="512" spans="1:136" ht="15.5">
      <c r="A512" s="90"/>
      <c r="B512" s="19" t="s">
        <v>2</v>
      </c>
      <c r="C512" s="94"/>
      <c r="D512" s="18">
        <v>0</v>
      </c>
      <c r="E512" s="18">
        <v>0</v>
      </c>
      <c r="F512" s="18">
        <v>0</v>
      </c>
      <c r="G512" s="18">
        <v>0</v>
      </c>
      <c r="H512" s="18">
        <v>0</v>
      </c>
      <c r="I512" s="18">
        <v>0</v>
      </c>
      <c r="J512" s="18">
        <v>0</v>
      </c>
      <c r="K512" s="18">
        <v>0</v>
      </c>
      <c r="L512" s="18">
        <v>0</v>
      </c>
      <c r="M512" s="18">
        <v>0</v>
      </c>
      <c r="N512" s="18">
        <v>0</v>
      </c>
      <c r="O512" s="18">
        <v>0</v>
      </c>
      <c r="P512" s="18">
        <v>0</v>
      </c>
      <c r="Q512" s="18">
        <v>0</v>
      </c>
      <c r="R512" s="18">
        <v>0</v>
      </c>
      <c r="S512" s="18">
        <v>0</v>
      </c>
      <c r="T512" s="18">
        <v>0</v>
      </c>
      <c r="U512" s="18">
        <v>0</v>
      </c>
      <c r="V512" s="18">
        <v>0</v>
      </c>
      <c r="W512" s="18">
        <v>0</v>
      </c>
      <c r="X512" s="18">
        <v>0</v>
      </c>
      <c r="Y512" s="18">
        <v>0</v>
      </c>
      <c r="Z512" s="18">
        <v>0</v>
      </c>
      <c r="AA512" s="18">
        <v>0</v>
      </c>
      <c r="AB512" s="18">
        <v>0</v>
      </c>
      <c r="AC512" s="18">
        <v>0</v>
      </c>
      <c r="AD512" s="18">
        <v>0</v>
      </c>
      <c r="AE512" s="18">
        <v>0</v>
      </c>
      <c r="AF512" s="18">
        <v>0</v>
      </c>
      <c r="AG512" s="18">
        <v>0</v>
      </c>
      <c r="AH512" s="18">
        <v>0</v>
      </c>
      <c r="AI512" s="18">
        <v>0</v>
      </c>
      <c r="AJ512" s="40" t="s">
        <v>16</v>
      </c>
      <c r="AK512" s="18">
        <v>440</v>
      </c>
      <c r="AL512" s="18">
        <v>0</v>
      </c>
      <c r="AM512" s="18">
        <v>0</v>
      </c>
      <c r="AN512" s="18">
        <v>0</v>
      </c>
      <c r="AO512" s="18">
        <v>0</v>
      </c>
      <c r="AP512" s="18">
        <v>0</v>
      </c>
      <c r="AQ512" s="18">
        <v>0</v>
      </c>
      <c r="AR512" s="18">
        <v>0</v>
      </c>
      <c r="AS512" s="18">
        <v>0</v>
      </c>
      <c r="AT512" s="18">
        <v>0</v>
      </c>
      <c r="AU512" s="18">
        <v>0</v>
      </c>
      <c r="AV512" s="18">
        <v>0</v>
      </c>
      <c r="AW512" s="18">
        <v>0</v>
      </c>
      <c r="AX512" s="18">
        <v>0</v>
      </c>
      <c r="AY512" s="18">
        <v>0</v>
      </c>
      <c r="AZ512" s="18">
        <v>0</v>
      </c>
      <c r="BA512" s="18">
        <v>0</v>
      </c>
      <c r="BB512" s="18">
        <v>0</v>
      </c>
      <c r="BC512" s="18">
        <v>0</v>
      </c>
      <c r="BD512" s="18">
        <v>0</v>
      </c>
      <c r="BE512" s="18">
        <v>0</v>
      </c>
      <c r="BF512" s="18">
        <v>0</v>
      </c>
      <c r="BG512" s="18">
        <v>0</v>
      </c>
      <c r="BH512" s="18">
        <v>0</v>
      </c>
      <c r="BI512" s="18">
        <v>0</v>
      </c>
      <c r="BJ512" s="113">
        <v>0</v>
      </c>
      <c r="BK512" s="113">
        <v>0</v>
      </c>
      <c r="BL512" s="113">
        <v>0</v>
      </c>
      <c r="BM512" s="113">
        <v>0</v>
      </c>
      <c r="BN512" s="113">
        <v>0</v>
      </c>
      <c r="BO512" s="113">
        <v>0</v>
      </c>
      <c r="BP512" s="113">
        <v>0</v>
      </c>
      <c r="BQ512" s="113">
        <v>0</v>
      </c>
      <c r="BR512" s="101"/>
      <c r="BS512">
        <f t="shared" si="1018"/>
        <v>0</v>
      </c>
      <c r="BT512">
        <f t="shared" si="1018"/>
        <v>0</v>
      </c>
      <c r="BU512">
        <f t="shared" si="1018"/>
        <v>0</v>
      </c>
      <c r="BV512">
        <f t="shared" si="1018"/>
        <v>0</v>
      </c>
      <c r="BW512">
        <f t="shared" si="1018"/>
        <v>0</v>
      </c>
      <c r="BX512">
        <f t="shared" si="1018"/>
        <v>0</v>
      </c>
      <c r="BY512">
        <f t="shared" si="1018"/>
        <v>0</v>
      </c>
      <c r="BZ512">
        <f t="shared" si="1018"/>
        <v>0</v>
      </c>
      <c r="CA512">
        <f t="shared" si="1018"/>
        <v>0</v>
      </c>
      <c r="CB512">
        <f t="shared" si="1018"/>
        <v>0</v>
      </c>
      <c r="CC512">
        <f t="shared" si="1019"/>
        <v>0</v>
      </c>
      <c r="CD512">
        <f t="shared" si="1019"/>
        <v>0</v>
      </c>
      <c r="CE512">
        <f t="shared" si="1019"/>
        <v>0</v>
      </c>
      <c r="CF512">
        <f t="shared" si="1019"/>
        <v>0</v>
      </c>
      <c r="CG512">
        <f t="shared" si="1019"/>
        <v>0</v>
      </c>
      <c r="CH512">
        <f t="shared" si="1019"/>
        <v>0</v>
      </c>
      <c r="CI512">
        <f t="shared" si="1019"/>
        <v>0</v>
      </c>
      <c r="CJ512">
        <f t="shared" si="1019"/>
        <v>0</v>
      </c>
      <c r="CK512">
        <f t="shared" si="1019"/>
        <v>0</v>
      </c>
      <c r="CL512">
        <f t="shared" si="1019"/>
        <v>0</v>
      </c>
      <c r="CM512">
        <f t="shared" si="1020"/>
        <v>0</v>
      </c>
      <c r="CN512">
        <f t="shared" si="1020"/>
        <v>0</v>
      </c>
      <c r="CO512">
        <f t="shared" si="1020"/>
        <v>0</v>
      </c>
      <c r="CP512">
        <f t="shared" si="1020"/>
        <v>0</v>
      </c>
      <c r="CQ512">
        <f t="shared" si="1020"/>
        <v>0</v>
      </c>
      <c r="CR512">
        <f t="shared" si="1020"/>
        <v>0</v>
      </c>
      <c r="CS512">
        <f t="shared" si="1020"/>
        <v>0</v>
      </c>
      <c r="CT512">
        <f t="shared" si="1020"/>
        <v>0</v>
      </c>
      <c r="CU512">
        <f t="shared" si="1020"/>
        <v>0</v>
      </c>
      <c r="CV512">
        <f t="shared" si="1020"/>
        <v>0</v>
      </c>
      <c r="CW512">
        <f t="shared" si="1021"/>
        <v>0</v>
      </c>
      <c r="CX512">
        <f t="shared" si="1021"/>
        <v>0</v>
      </c>
      <c r="CY512">
        <f t="shared" si="1021"/>
        <v>0</v>
      </c>
      <c r="CZ512">
        <f t="shared" si="1021"/>
        <v>0</v>
      </c>
      <c r="DA512">
        <f t="shared" si="1021"/>
        <v>0</v>
      </c>
      <c r="DB512">
        <f t="shared" si="1021"/>
        <v>0</v>
      </c>
      <c r="DC512">
        <f t="shared" si="1021"/>
        <v>0</v>
      </c>
      <c r="DD512">
        <f t="shared" si="1021"/>
        <v>0</v>
      </c>
      <c r="DE512">
        <f t="shared" si="1021"/>
        <v>0</v>
      </c>
      <c r="DF512">
        <f t="shared" si="1021"/>
        <v>0</v>
      </c>
      <c r="DG512">
        <f t="shared" si="1022"/>
        <v>0</v>
      </c>
      <c r="DH512">
        <f t="shared" si="1022"/>
        <v>0</v>
      </c>
      <c r="DI512">
        <f t="shared" si="1022"/>
        <v>0</v>
      </c>
      <c r="DJ512">
        <f t="shared" si="1022"/>
        <v>0</v>
      </c>
      <c r="DK512">
        <f t="shared" si="1022"/>
        <v>0</v>
      </c>
      <c r="DL512">
        <f t="shared" si="1022"/>
        <v>0</v>
      </c>
      <c r="DM512">
        <f t="shared" si="1022"/>
        <v>0</v>
      </c>
      <c r="DN512">
        <f t="shared" si="1022"/>
        <v>0</v>
      </c>
      <c r="DO512">
        <f t="shared" si="1022"/>
        <v>0</v>
      </c>
      <c r="DP512">
        <f t="shared" si="1022"/>
        <v>0</v>
      </c>
      <c r="DQ512">
        <f t="shared" si="1023"/>
        <v>0</v>
      </c>
      <c r="DR512">
        <f t="shared" si="1023"/>
        <v>0</v>
      </c>
      <c r="DS512">
        <f t="shared" si="1023"/>
        <v>0</v>
      </c>
      <c r="DT512">
        <f t="shared" si="1023"/>
        <v>0</v>
      </c>
      <c r="DU512">
        <f t="shared" si="1023"/>
        <v>0</v>
      </c>
      <c r="DV512">
        <f t="shared" si="1023"/>
        <v>0</v>
      </c>
      <c r="DW512">
        <f t="shared" si="1023"/>
        <v>0</v>
      </c>
      <c r="DX512">
        <f t="shared" si="1023"/>
        <v>0</v>
      </c>
      <c r="DY512">
        <f t="shared" si="1023"/>
        <v>0</v>
      </c>
      <c r="DZ512">
        <f t="shared" si="1023"/>
        <v>0</v>
      </c>
      <c r="EA512">
        <f t="shared" si="1024"/>
        <v>0</v>
      </c>
      <c r="EB512">
        <f t="shared" si="1024"/>
        <v>0</v>
      </c>
      <c r="EC512">
        <f t="shared" si="1024"/>
        <v>0</v>
      </c>
      <c r="ED512">
        <f t="shared" si="1024"/>
        <v>0</v>
      </c>
      <c r="EE512">
        <f t="shared" si="1024"/>
        <v>0</v>
      </c>
      <c r="EF512">
        <f t="shared" si="1024"/>
        <v>0</v>
      </c>
    </row>
    <row r="513" spans="1:136" ht="15.5">
      <c r="A513" s="90"/>
      <c r="B513" s="19" t="s">
        <v>205</v>
      </c>
      <c r="C513" s="94"/>
      <c r="D513" s="18">
        <v>0</v>
      </c>
      <c r="E513" s="18">
        <v>0</v>
      </c>
      <c r="F513" s="18">
        <v>0</v>
      </c>
      <c r="G513" s="18">
        <v>0</v>
      </c>
      <c r="H513" s="18">
        <v>0</v>
      </c>
      <c r="I513" s="18">
        <v>0</v>
      </c>
      <c r="J513" s="18">
        <v>0</v>
      </c>
      <c r="K513" s="18">
        <v>0</v>
      </c>
      <c r="L513" s="18">
        <v>0</v>
      </c>
      <c r="M513" s="18">
        <v>0</v>
      </c>
      <c r="N513" s="18">
        <v>0</v>
      </c>
      <c r="O513" s="18">
        <v>0</v>
      </c>
      <c r="P513" s="18">
        <v>0</v>
      </c>
      <c r="Q513" s="18">
        <v>0</v>
      </c>
      <c r="R513" s="18">
        <v>0</v>
      </c>
      <c r="S513" s="18">
        <v>0</v>
      </c>
      <c r="T513" s="18">
        <v>0</v>
      </c>
      <c r="U513" s="18">
        <v>0</v>
      </c>
      <c r="V513" s="18">
        <v>0</v>
      </c>
      <c r="W513" s="18">
        <v>0</v>
      </c>
      <c r="X513" s="18">
        <v>0</v>
      </c>
      <c r="Y513" s="18">
        <v>0</v>
      </c>
      <c r="Z513" s="18">
        <v>0</v>
      </c>
      <c r="AA513" s="18">
        <v>0</v>
      </c>
      <c r="AB513" s="18">
        <v>0</v>
      </c>
      <c r="AC513" s="18">
        <v>0</v>
      </c>
      <c r="AD513" s="18">
        <v>0.35299999999999998</v>
      </c>
      <c r="AE513" s="18">
        <v>0.96799999999999997</v>
      </c>
      <c r="AF513" s="18">
        <v>1.387</v>
      </c>
      <c r="AG513" s="18">
        <v>1.728</v>
      </c>
      <c r="AH513" s="18">
        <v>0</v>
      </c>
      <c r="AI513" s="18">
        <v>0</v>
      </c>
      <c r="AJ513" s="40">
        <v>0</v>
      </c>
      <c r="AK513" s="18">
        <v>0</v>
      </c>
      <c r="AL513" s="18">
        <v>0</v>
      </c>
      <c r="AM513" s="18">
        <v>7.5</v>
      </c>
      <c r="AN513" s="18">
        <v>15</v>
      </c>
      <c r="AO513" s="18">
        <v>22.5</v>
      </c>
      <c r="AP513" s="18">
        <v>25</v>
      </c>
      <c r="AQ513" s="18">
        <v>20</v>
      </c>
      <c r="AR513" s="18">
        <v>15</v>
      </c>
      <c r="AS513" s="18">
        <v>10</v>
      </c>
      <c r="AT513" s="18">
        <v>0</v>
      </c>
      <c r="AU513" s="18">
        <v>0</v>
      </c>
      <c r="AV513" s="18">
        <v>0</v>
      </c>
      <c r="AW513" s="18">
        <v>0</v>
      </c>
      <c r="AX513" s="18">
        <v>0</v>
      </c>
      <c r="AY513" s="18">
        <v>0</v>
      </c>
      <c r="AZ513" s="18">
        <v>0</v>
      </c>
      <c r="BA513" s="18">
        <v>0</v>
      </c>
      <c r="BB513" s="18">
        <v>0</v>
      </c>
      <c r="BC513" s="18">
        <v>0</v>
      </c>
      <c r="BD513" s="18">
        <v>0</v>
      </c>
      <c r="BE513" s="25">
        <v>0</v>
      </c>
      <c r="BF513" s="18">
        <v>0</v>
      </c>
      <c r="BG513" s="18">
        <v>0</v>
      </c>
      <c r="BH513" s="18">
        <v>0</v>
      </c>
      <c r="BI513" s="18">
        <v>0</v>
      </c>
      <c r="BJ513" s="113">
        <v>0</v>
      </c>
      <c r="BK513" s="113">
        <v>0</v>
      </c>
      <c r="BL513" s="113">
        <v>3.9093040999999999</v>
      </c>
      <c r="BM513" s="113">
        <v>0</v>
      </c>
      <c r="BN513" s="113">
        <v>0</v>
      </c>
      <c r="BO513" s="113">
        <v>0</v>
      </c>
      <c r="BP513" s="113">
        <v>0</v>
      </c>
      <c r="BQ513" s="113">
        <v>0</v>
      </c>
      <c r="BR513" s="101"/>
      <c r="DO513">
        <f t="shared" ref="DO513:DS518" si="1025">IF($C513&lt;&gt;"",IF(AZ513&gt;0,1,0),0)</f>
        <v>0</v>
      </c>
      <c r="DP513">
        <f t="shared" si="1025"/>
        <v>0</v>
      </c>
      <c r="DQ513">
        <f t="shared" si="1025"/>
        <v>0</v>
      </c>
      <c r="DR513">
        <f t="shared" si="1025"/>
        <v>0</v>
      </c>
      <c r="DS513">
        <f t="shared" si="1025"/>
        <v>0</v>
      </c>
      <c r="DY513">
        <f t="shared" ref="DY513:DZ518" si="1026">IF($C513&lt;&gt;"",IF(BJ513&gt;0,1,0),0)</f>
        <v>0</v>
      </c>
      <c r="DZ513">
        <f t="shared" si="1026"/>
        <v>0</v>
      </c>
    </row>
    <row r="514" spans="1:136" ht="15.5">
      <c r="A514" s="90"/>
      <c r="B514" s="53" t="s">
        <v>3</v>
      </c>
      <c r="C514" s="94"/>
      <c r="D514" s="18">
        <v>0</v>
      </c>
      <c r="E514" s="18">
        <v>0</v>
      </c>
      <c r="F514" s="18">
        <v>0</v>
      </c>
      <c r="G514" s="18">
        <v>0</v>
      </c>
      <c r="H514" s="18">
        <v>0</v>
      </c>
      <c r="I514" s="18">
        <v>0</v>
      </c>
      <c r="J514" s="18">
        <v>0</v>
      </c>
      <c r="K514" s="18">
        <v>0</v>
      </c>
      <c r="L514" s="18">
        <v>0</v>
      </c>
      <c r="M514" s="18">
        <v>0</v>
      </c>
      <c r="N514" s="18">
        <v>0</v>
      </c>
      <c r="O514" s="18">
        <v>0</v>
      </c>
      <c r="P514" s="18">
        <v>0</v>
      </c>
      <c r="Q514" s="18">
        <v>0</v>
      </c>
      <c r="R514" s="18">
        <v>0</v>
      </c>
      <c r="S514" s="18">
        <v>0</v>
      </c>
      <c r="T514" s="18">
        <v>0</v>
      </c>
      <c r="U514" s="18">
        <v>0</v>
      </c>
      <c r="V514" s="18">
        <v>0</v>
      </c>
      <c r="W514" s="18">
        <v>0</v>
      </c>
      <c r="X514" s="18">
        <v>0</v>
      </c>
      <c r="Y514" s="18">
        <v>0</v>
      </c>
      <c r="Z514" s="18">
        <v>0</v>
      </c>
      <c r="AA514" s="18">
        <v>0.25</v>
      </c>
      <c r="AB514" s="18">
        <v>3.07</v>
      </c>
      <c r="AC514" s="18">
        <v>13.559999999999999</v>
      </c>
      <c r="AD514" s="18">
        <v>31.990000000000002</v>
      </c>
      <c r="AE514" s="18">
        <v>128</v>
      </c>
      <c r="AF514" s="18">
        <v>96</v>
      </c>
      <c r="AG514" s="18">
        <v>183</v>
      </c>
      <c r="AH514" s="18">
        <v>180.67000000000002</v>
      </c>
      <c r="AI514" s="18">
        <v>125.14</v>
      </c>
      <c r="AJ514" s="18">
        <v>87.27</v>
      </c>
      <c r="AK514" s="18">
        <v>94.68</v>
      </c>
      <c r="AL514" s="18">
        <v>55.519999999999996</v>
      </c>
      <c r="AM514" s="18">
        <v>61</v>
      </c>
      <c r="AN514" s="18">
        <v>67</v>
      </c>
      <c r="AO514" s="18">
        <v>40</v>
      </c>
      <c r="AP514" s="18">
        <v>39</v>
      </c>
      <c r="AQ514" s="18">
        <v>29</v>
      </c>
      <c r="AR514" s="18">
        <v>27</v>
      </c>
      <c r="AS514" s="18">
        <v>1</v>
      </c>
      <c r="AT514" s="18">
        <v>0.68400000000000005</v>
      </c>
      <c r="AU514" s="18">
        <v>0</v>
      </c>
      <c r="AV514" s="18">
        <v>0</v>
      </c>
      <c r="AW514" s="18">
        <v>0</v>
      </c>
      <c r="AX514" s="18">
        <v>128.6</v>
      </c>
      <c r="AY514" s="18">
        <v>2.7E-2</v>
      </c>
      <c r="AZ514" s="18">
        <v>1E-3</v>
      </c>
      <c r="BA514" s="18">
        <v>0</v>
      </c>
      <c r="BB514" s="18">
        <v>0</v>
      </c>
      <c r="BC514" s="18">
        <v>0</v>
      </c>
      <c r="BD514" s="18">
        <v>4.0204999999999998E-3</v>
      </c>
      <c r="BE514" s="25">
        <v>0.38900000000000001</v>
      </c>
      <c r="BF514" s="18">
        <v>0</v>
      </c>
      <c r="BG514" s="18">
        <v>0</v>
      </c>
      <c r="BH514" s="18">
        <v>0</v>
      </c>
      <c r="BI514" s="18">
        <v>0</v>
      </c>
      <c r="BJ514" s="113">
        <v>0</v>
      </c>
      <c r="BK514" s="113">
        <v>0</v>
      </c>
      <c r="BL514" s="113">
        <v>0</v>
      </c>
      <c r="BM514" s="113">
        <v>0</v>
      </c>
      <c r="BN514" s="103">
        <v>0.2287208</v>
      </c>
      <c r="BO514" s="113">
        <v>0</v>
      </c>
      <c r="BP514" s="113">
        <v>0</v>
      </c>
      <c r="BQ514" s="113">
        <v>0</v>
      </c>
      <c r="BR514" s="101"/>
      <c r="BS514">
        <f t="shared" ref="BS514:CB518" si="1027">IF($C514&lt;&gt;"",IF(D514&gt;0,1,0),0)</f>
        <v>0</v>
      </c>
      <c r="BT514">
        <f t="shared" si="1027"/>
        <v>0</v>
      </c>
      <c r="BU514">
        <f t="shared" si="1027"/>
        <v>0</v>
      </c>
      <c r="BV514">
        <f t="shared" si="1027"/>
        <v>0</v>
      </c>
      <c r="BW514">
        <f t="shared" si="1027"/>
        <v>0</v>
      </c>
      <c r="BX514">
        <f t="shared" si="1027"/>
        <v>0</v>
      </c>
      <c r="BY514">
        <f t="shared" si="1027"/>
        <v>0</v>
      </c>
      <c r="BZ514">
        <f t="shared" si="1027"/>
        <v>0</v>
      </c>
      <c r="CA514">
        <f t="shared" si="1027"/>
        <v>0</v>
      </c>
      <c r="CB514">
        <f t="shared" si="1027"/>
        <v>0</v>
      </c>
      <c r="CC514">
        <f t="shared" ref="CC514:CL518" si="1028">IF($C514&lt;&gt;"",IF(N514&gt;0,1,0),0)</f>
        <v>0</v>
      </c>
      <c r="CD514">
        <f t="shared" si="1028"/>
        <v>0</v>
      </c>
      <c r="CE514">
        <f t="shared" si="1028"/>
        <v>0</v>
      </c>
      <c r="CF514">
        <f t="shared" si="1028"/>
        <v>0</v>
      </c>
      <c r="CG514">
        <f t="shared" si="1028"/>
        <v>0</v>
      </c>
      <c r="CH514">
        <f t="shared" si="1028"/>
        <v>0</v>
      </c>
      <c r="CI514">
        <f t="shared" si="1028"/>
        <v>0</v>
      </c>
      <c r="CJ514">
        <f t="shared" si="1028"/>
        <v>0</v>
      </c>
      <c r="CK514">
        <f t="shared" si="1028"/>
        <v>0</v>
      </c>
      <c r="CL514">
        <f t="shared" si="1028"/>
        <v>0</v>
      </c>
      <c r="CM514">
        <f t="shared" ref="CM514:CV518" si="1029">IF($C514&lt;&gt;"",IF(X514&gt;0,1,0),0)</f>
        <v>0</v>
      </c>
      <c r="CN514">
        <f t="shared" si="1029"/>
        <v>0</v>
      </c>
      <c r="CO514">
        <f t="shared" si="1029"/>
        <v>0</v>
      </c>
      <c r="CP514">
        <f t="shared" si="1029"/>
        <v>0</v>
      </c>
      <c r="CQ514">
        <f t="shared" si="1029"/>
        <v>0</v>
      </c>
      <c r="CR514">
        <f t="shared" si="1029"/>
        <v>0</v>
      </c>
      <c r="CS514">
        <f t="shared" si="1029"/>
        <v>0</v>
      </c>
      <c r="CT514">
        <f t="shared" si="1029"/>
        <v>0</v>
      </c>
      <c r="CU514">
        <f t="shared" si="1029"/>
        <v>0</v>
      </c>
      <c r="CV514">
        <f t="shared" si="1029"/>
        <v>0</v>
      </c>
      <c r="CW514">
        <f t="shared" ref="CW514:DF518" si="1030">IF($C514&lt;&gt;"",IF(AH514&gt;0,1,0),0)</f>
        <v>0</v>
      </c>
      <c r="CX514">
        <f t="shared" si="1030"/>
        <v>0</v>
      </c>
      <c r="CY514">
        <f t="shared" si="1030"/>
        <v>0</v>
      </c>
      <c r="CZ514">
        <f t="shared" si="1030"/>
        <v>0</v>
      </c>
      <c r="DA514">
        <f t="shared" si="1030"/>
        <v>0</v>
      </c>
      <c r="DB514">
        <f t="shared" si="1030"/>
        <v>0</v>
      </c>
      <c r="DC514">
        <f t="shared" si="1030"/>
        <v>0</v>
      </c>
      <c r="DD514">
        <f t="shared" si="1030"/>
        <v>0</v>
      </c>
      <c r="DE514">
        <f t="shared" si="1030"/>
        <v>0</v>
      </c>
      <c r="DF514">
        <f t="shared" si="1030"/>
        <v>0</v>
      </c>
      <c r="DG514">
        <f t="shared" ref="DG514:DN518" si="1031">IF($C514&lt;&gt;"",IF(AR514&gt;0,1,0),0)</f>
        <v>0</v>
      </c>
      <c r="DH514">
        <f t="shared" si="1031"/>
        <v>0</v>
      </c>
      <c r="DI514">
        <f t="shared" si="1031"/>
        <v>0</v>
      </c>
      <c r="DJ514">
        <f t="shared" si="1031"/>
        <v>0</v>
      </c>
      <c r="DK514">
        <f t="shared" si="1031"/>
        <v>0</v>
      </c>
      <c r="DL514">
        <f t="shared" si="1031"/>
        <v>0</v>
      </c>
      <c r="DM514">
        <f t="shared" si="1031"/>
        <v>0</v>
      </c>
      <c r="DN514">
        <f t="shared" si="1031"/>
        <v>0</v>
      </c>
      <c r="DO514">
        <f t="shared" si="1025"/>
        <v>0</v>
      </c>
      <c r="DP514">
        <f t="shared" si="1025"/>
        <v>0</v>
      </c>
      <c r="DQ514">
        <f t="shared" si="1025"/>
        <v>0</v>
      </c>
      <c r="DR514">
        <f t="shared" si="1025"/>
        <v>0</v>
      </c>
      <c r="DS514">
        <f t="shared" si="1025"/>
        <v>0</v>
      </c>
      <c r="DT514">
        <f t="shared" ref="DT514:DX518" si="1032">IF($C514&lt;&gt;"",IF(BE514&gt;0,1,0),0)</f>
        <v>0</v>
      </c>
      <c r="DU514">
        <f t="shared" si="1032"/>
        <v>0</v>
      </c>
      <c r="DV514">
        <f t="shared" si="1032"/>
        <v>0</v>
      </c>
      <c r="DW514">
        <f t="shared" si="1032"/>
        <v>0</v>
      </c>
      <c r="DX514">
        <f t="shared" si="1032"/>
        <v>0</v>
      </c>
      <c r="DY514">
        <f t="shared" si="1026"/>
        <v>0</v>
      </c>
      <c r="DZ514">
        <f t="shared" si="1026"/>
        <v>0</v>
      </c>
      <c r="EA514">
        <f t="shared" ref="EA514:EF514" si="1033">IF($C514&lt;&gt;"",IF(BL512&gt;0,1,0),0)</f>
        <v>0</v>
      </c>
      <c r="EB514">
        <f t="shared" si="1033"/>
        <v>0</v>
      </c>
      <c r="EC514">
        <f t="shared" si="1033"/>
        <v>0</v>
      </c>
      <c r="ED514">
        <f t="shared" si="1033"/>
        <v>0</v>
      </c>
      <c r="EE514">
        <f t="shared" si="1033"/>
        <v>0</v>
      </c>
      <c r="EF514">
        <f t="shared" si="1033"/>
        <v>0</v>
      </c>
    </row>
    <row r="515" spans="1:136" ht="15.5">
      <c r="A515" s="90"/>
      <c r="B515" s="53" t="s">
        <v>18</v>
      </c>
      <c r="C515" s="94"/>
      <c r="D515" s="34">
        <v>0</v>
      </c>
      <c r="E515" s="34">
        <v>0</v>
      </c>
      <c r="F515" s="34">
        <v>0</v>
      </c>
      <c r="G515" s="34">
        <v>0</v>
      </c>
      <c r="H515" s="34">
        <v>0</v>
      </c>
      <c r="I515" s="34">
        <v>0</v>
      </c>
      <c r="J515" s="34">
        <v>0</v>
      </c>
      <c r="K515" s="34">
        <v>0</v>
      </c>
      <c r="L515" s="34">
        <v>0</v>
      </c>
      <c r="M515" s="34">
        <v>0</v>
      </c>
      <c r="N515" s="34">
        <v>0</v>
      </c>
      <c r="O515" s="34">
        <v>0</v>
      </c>
      <c r="P515" s="34">
        <v>0</v>
      </c>
      <c r="Q515" s="34">
        <v>0</v>
      </c>
      <c r="R515" s="34">
        <v>0</v>
      </c>
      <c r="S515" s="34">
        <v>0</v>
      </c>
      <c r="T515" s="34">
        <v>0</v>
      </c>
      <c r="U515" s="34">
        <v>0</v>
      </c>
      <c r="V515" s="34">
        <v>0</v>
      </c>
      <c r="W515" s="34">
        <v>0</v>
      </c>
      <c r="X515" s="34">
        <v>0</v>
      </c>
      <c r="Y515" s="34">
        <v>0</v>
      </c>
      <c r="Z515" s="34">
        <v>0</v>
      </c>
      <c r="AA515" s="34">
        <v>0</v>
      </c>
      <c r="AB515" s="34">
        <v>0</v>
      </c>
      <c r="AC515" s="34">
        <v>0</v>
      </c>
      <c r="AD515" s="34">
        <v>65</v>
      </c>
      <c r="AE515" s="34">
        <v>0</v>
      </c>
      <c r="AF515" s="34">
        <v>0</v>
      </c>
      <c r="AG515" s="34">
        <v>0</v>
      </c>
      <c r="AH515" s="34">
        <v>0</v>
      </c>
      <c r="AI515" s="34">
        <v>0</v>
      </c>
      <c r="AJ515" s="34">
        <v>0</v>
      </c>
      <c r="AK515" s="34">
        <v>0</v>
      </c>
      <c r="AL515" s="34">
        <v>0</v>
      </c>
      <c r="AM515" s="34">
        <v>0</v>
      </c>
      <c r="AN515" s="34">
        <v>0</v>
      </c>
      <c r="AO515" s="34">
        <v>0</v>
      </c>
      <c r="AP515" s="34">
        <v>0</v>
      </c>
      <c r="AQ515" s="34">
        <v>0</v>
      </c>
      <c r="AR515" s="34">
        <v>0</v>
      </c>
      <c r="AS515" s="34">
        <v>0</v>
      </c>
      <c r="AT515" s="34">
        <v>0</v>
      </c>
      <c r="AU515" s="34">
        <v>0</v>
      </c>
      <c r="AV515" s="34">
        <v>0</v>
      </c>
      <c r="AW515" s="34">
        <v>0</v>
      </c>
      <c r="AX515" s="34">
        <v>0</v>
      </c>
      <c r="AY515" s="34">
        <v>0</v>
      </c>
      <c r="AZ515" s="34">
        <v>0</v>
      </c>
      <c r="BA515" s="34">
        <v>0</v>
      </c>
      <c r="BB515" s="34">
        <v>0</v>
      </c>
      <c r="BC515" s="34">
        <v>0</v>
      </c>
      <c r="BD515" s="34">
        <v>0</v>
      </c>
      <c r="BE515" s="42">
        <v>0</v>
      </c>
      <c r="BF515" s="34">
        <v>0</v>
      </c>
      <c r="BG515" s="34">
        <v>0</v>
      </c>
      <c r="BH515" s="34">
        <v>0</v>
      </c>
      <c r="BI515" s="34">
        <v>0</v>
      </c>
      <c r="BJ515" s="113">
        <v>0</v>
      </c>
      <c r="BK515" s="113">
        <v>0</v>
      </c>
      <c r="BL515" s="113">
        <v>0</v>
      </c>
      <c r="BM515" s="113">
        <v>0</v>
      </c>
      <c r="BN515" s="113">
        <v>0</v>
      </c>
      <c r="BO515" s="113">
        <v>0</v>
      </c>
      <c r="BP515" s="113">
        <v>0</v>
      </c>
      <c r="BQ515" s="113">
        <v>0</v>
      </c>
      <c r="BR515" s="101"/>
      <c r="BS515">
        <f t="shared" si="1027"/>
        <v>0</v>
      </c>
      <c r="BT515">
        <f t="shared" si="1027"/>
        <v>0</v>
      </c>
      <c r="BU515">
        <f t="shared" si="1027"/>
        <v>0</v>
      </c>
      <c r="BV515">
        <f t="shared" si="1027"/>
        <v>0</v>
      </c>
      <c r="BW515">
        <f t="shared" si="1027"/>
        <v>0</v>
      </c>
      <c r="BX515">
        <f t="shared" si="1027"/>
        <v>0</v>
      </c>
      <c r="BY515">
        <f t="shared" si="1027"/>
        <v>0</v>
      </c>
      <c r="BZ515">
        <f t="shared" si="1027"/>
        <v>0</v>
      </c>
      <c r="CA515">
        <f t="shared" si="1027"/>
        <v>0</v>
      </c>
      <c r="CB515">
        <f t="shared" si="1027"/>
        <v>0</v>
      </c>
      <c r="CC515">
        <f t="shared" si="1028"/>
        <v>0</v>
      </c>
      <c r="CD515">
        <f t="shared" si="1028"/>
        <v>0</v>
      </c>
      <c r="CE515">
        <f t="shared" si="1028"/>
        <v>0</v>
      </c>
      <c r="CF515">
        <f t="shared" si="1028"/>
        <v>0</v>
      </c>
      <c r="CG515">
        <f t="shared" si="1028"/>
        <v>0</v>
      </c>
      <c r="CH515">
        <f t="shared" si="1028"/>
        <v>0</v>
      </c>
      <c r="CI515">
        <f t="shared" si="1028"/>
        <v>0</v>
      </c>
      <c r="CJ515">
        <f t="shared" si="1028"/>
        <v>0</v>
      </c>
      <c r="CK515">
        <f t="shared" si="1028"/>
        <v>0</v>
      </c>
      <c r="CL515">
        <f t="shared" si="1028"/>
        <v>0</v>
      </c>
      <c r="CM515">
        <f t="shared" si="1029"/>
        <v>0</v>
      </c>
      <c r="CN515">
        <f t="shared" si="1029"/>
        <v>0</v>
      </c>
      <c r="CO515">
        <f t="shared" si="1029"/>
        <v>0</v>
      </c>
      <c r="CP515">
        <f t="shared" si="1029"/>
        <v>0</v>
      </c>
      <c r="CQ515">
        <f t="shared" si="1029"/>
        <v>0</v>
      </c>
      <c r="CR515">
        <f t="shared" si="1029"/>
        <v>0</v>
      </c>
      <c r="CS515">
        <f t="shared" si="1029"/>
        <v>0</v>
      </c>
      <c r="CT515">
        <f t="shared" si="1029"/>
        <v>0</v>
      </c>
      <c r="CU515">
        <f t="shared" si="1029"/>
        <v>0</v>
      </c>
      <c r="CV515">
        <f t="shared" si="1029"/>
        <v>0</v>
      </c>
      <c r="CW515">
        <f t="shared" si="1030"/>
        <v>0</v>
      </c>
      <c r="CX515">
        <f t="shared" si="1030"/>
        <v>0</v>
      </c>
      <c r="CY515">
        <f t="shared" si="1030"/>
        <v>0</v>
      </c>
      <c r="CZ515">
        <f t="shared" si="1030"/>
        <v>0</v>
      </c>
      <c r="DA515">
        <f t="shared" si="1030"/>
        <v>0</v>
      </c>
      <c r="DB515">
        <f t="shared" si="1030"/>
        <v>0</v>
      </c>
      <c r="DC515">
        <f t="shared" si="1030"/>
        <v>0</v>
      </c>
      <c r="DD515">
        <f t="shared" si="1030"/>
        <v>0</v>
      </c>
      <c r="DE515">
        <f t="shared" si="1030"/>
        <v>0</v>
      </c>
      <c r="DF515">
        <f t="shared" si="1030"/>
        <v>0</v>
      </c>
      <c r="DG515">
        <f t="shared" si="1031"/>
        <v>0</v>
      </c>
      <c r="DH515">
        <f t="shared" si="1031"/>
        <v>0</v>
      </c>
      <c r="DI515">
        <f t="shared" si="1031"/>
        <v>0</v>
      </c>
      <c r="DJ515">
        <f t="shared" si="1031"/>
        <v>0</v>
      </c>
      <c r="DK515">
        <f t="shared" si="1031"/>
        <v>0</v>
      </c>
      <c r="DL515">
        <f t="shared" si="1031"/>
        <v>0</v>
      </c>
      <c r="DM515">
        <f t="shared" si="1031"/>
        <v>0</v>
      </c>
      <c r="DN515">
        <f t="shared" si="1031"/>
        <v>0</v>
      </c>
      <c r="DO515">
        <f t="shared" si="1025"/>
        <v>0</v>
      </c>
      <c r="DP515">
        <f t="shared" si="1025"/>
        <v>0</v>
      </c>
      <c r="DQ515">
        <f t="shared" si="1025"/>
        <v>0</v>
      </c>
      <c r="DR515">
        <f t="shared" si="1025"/>
        <v>0</v>
      </c>
      <c r="DS515">
        <f t="shared" si="1025"/>
        <v>0</v>
      </c>
      <c r="DT515">
        <f t="shared" si="1032"/>
        <v>0</v>
      </c>
      <c r="DU515">
        <f t="shared" si="1032"/>
        <v>0</v>
      </c>
      <c r="DV515">
        <f t="shared" si="1032"/>
        <v>0</v>
      </c>
      <c r="DW515">
        <f t="shared" si="1032"/>
        <v>0</v>
      </c>
      <c r="DX515">
        <f t="shared" si="1032"/>
        <v>0</v>
      </c>
      <c r="DY515">
        <f t="shared" si="1026"/>
        <v>0</v>
      </c>
      <c r="DZ515">
        <f t="shared" si="1026"/>
        <v>0</v>
      </c>
      <c r="EA515">
        <f t="shared" ref="EA515:EF517" si="1034">IF($C515&lt;&gt;"",IF(BL514&gt;0,1,0),0)</f>
        <v>0</v>
      </c>
      <c r="EB515">
        <f t="shared" si="1034"/>
        <v>0</v>
      </c>
      <c r="EC515">
        <f t="shared" si="1034"/>
        <v>0</v>
      </c>
      <c r="ED515">
        <f t="shared" si="1034"/>
        <v>0</v>
      </c>
      <c r="EE515">
        <f t="shared" si="1034"/>
        <v>0</v>
      </c>
      <c r="EF515">
        <f t="shared" si="1034"/>
        <v>0</v>
      </c>
    </row>
    <row r="516" spans="1:136" ht="15.5">
      <c r="A516" s="90"/>
      <c r="B516" s="53" t="s">
        <v>25</v>
      </c>
      <c r="C516" s="94"/>
      <c r="D516" s="18">
        <v>0</v>
      </c>
      <c r="E516" s="18">
        <v>0</v>
      </c>
      <c r="F516" s="18">
        <v>0</v>
      </c>
      <c r="G516" s="18">
        <v>0</v>
      </c>
      <c r="H516" s="18">
        <v>0</v>
      </c>
      <c r="I516" s="18">
        <v>0</v>
      </c>
      <c r="J516" s="18">
        <v>0</v>
      </c>
      <c r="K516" s="18">
        <v>0</v>
      </c>
      <c r="L516" s="18">
        <v>0</v>
      </c>
      <c r="M516" s="18">
        <v>0</v>
      </c>
      <c r="N516" s="18">
        <v>0</v>
      </c>
      <c r="O516" s="18">
        <v>0</v>
      </c>
      <c r="P516" s="18">
        <v>0</v>
      </c>
      <c r="Q516" s="18">
        <v>0</v>
      </c>
      <c r="R516" s="18">
        <v>0</v>
      </c>
      <c r="S516" s="18">
        <v>0</v>
      </c>
      <c r="T516" s="18">
        <v>0</v>
      </c>
      <c r="U516" s="18">
        <v>0</v>
      </c>
      <c r="V516" s="18">
        <v>0</v>
      </c>
      <c r="W516" s="18">
        <v>0</v>
      </c>
      <c r="X516" s="18">
        <v>0</v>
      </c>
      <c r="Y516" s="18">
        <v>0</v>
      </c>
      <c r="Z516" s="18">
        <v>0</v>
      </c>
      <c r="AA516" s="18">
        <v>0</v>
      </c>
      <c r="AB516" s="18">
        <v>0</v>
      </c>
      <c r="AC516" s="18">
        <v>0</v>
      </c>
      <c r="AD516" s="18">
        <v>0</v>
      </c>
      <c r="AE516" s="18">
        <v>0</v>
      </c>
      <c r="AF516" s="18">
        <v>0</v>
      </c>
      <c r="AG516" s="18">
        <v>500</v>
      </c>
      <c r="AH516" s="18">
        <v>0</v>
      </c>
      <c r="AI516" s="18">
        <v>0</v>
      </c>
      <c r="AJ516" s="18">
        <v>0</v>
      </c>
      <c r="AK516" s="18">
        <v>0</v>
      </c>
      <c r="AL516" s="18">
        <v>0</v>
      </c>
      <c r="AM516" s="18">
        <v>0</v>
      </c>
      <c r="AN516" s="18">
        <v>0</v>
      </c>
      <c r="AO516" s="18">
        <v>0</v>
      </c>
      <c r="AP516" s="18">
        <v>0</v>
      </c>
      <c r="AQ516" s="18">
        <v>0</v>
      </c>
      <c r="AR516" s="18">
        <v>0</v>
      </c>
      <c r="AS516" s="18">
        <v>0</v>
      </c>
      <c r="AT516" s="18">
        <v>0</v>
      </c>
      <c r="AU516" s="18">
        <v>0</v>
      </c>
      <c r="AV516" s="18">
        <v>0</v>
      </c>
      <c r="AW516" s="18">
        <v>0</v>
      </c>
      <c r="AX516" s="18">
        <v>0</v>
      </c>
      <c r="AY516" s="18">
        <v>0</v>
      </c>
      <c r="AZ516" s="18">
        <v>0</v>
      </c>
      <c r="BA516" s="18">
        <v>0</v>
      </c>
      <c r="BB516" s="18">
        <v>0</v>
      </c>
      <c r="BC516" s="18">
        <v>0</v>
      </c>
      <c r="BD516" s="18">
        <v>0</v>
      </c>
      <c r="BE516" s="25">
        <v>0</v>
      </c>
      <c r="BF516" s="18">
        <v>0</v>
      </c>
      <c r="BG516" s="18">
        <v>0</v>
      </c>
      <c r="BH516" s="18">
        <v>0</v>
      </c>
      <c r="BI516" s="18">
        <v>0</v>
      </c>
      <c r="BJ516" s="113">
        <v>0</v>
      </c>
      <c r="BK516" s="113">
        <v>0</v>
      </c>
      <c r="BL516" s="113">
        <v>0</v>
      </c>
      <c r="BM516" s="113">
        <v>0</v>
      </c>
      <c r="BN516" s="113">
        <v>0</v>
      </c>
      <c r="BO516" s="113">
        <v>0</v>
      </c>
      <c r="BP516" s="113">
        <v>0</v>
      </c>
      <c r="BQ516" s="113">
        <v>0</v>
      </c>
      <c r="BR516" s="101"/>
      <c r="BS516">
        <f t="shared" si="1027"/>
        <v>0</v>
      </c>
      <c r="BT516">
        <f t="shared" si="1027"/>
        <v>0</v>
      </c>
      <c r="BU516">
        <f t="shared" si="1027"/>
        <v>0</v>
      </c>
      <c r="BV516">
        <f t="shared" si="1027"/>
        <v>0</v>
      </c>
      <c r="BW516">
        <f t="shared" si="1027"/>
        <v>0</v>
      </c>
      <c r="BX516">
        <f t="shared" si="1027"/>
        <v>0</v>
      </c>
      <c r="BY516">
        <f t="shared" si="1027"/>
        <v>0</v>
      </c>
      <c r="BZ516">
        <f t="shared" si="1027"/>
        <v>0</v>
      </c>
      <c r="CA516">
        <f t="shared" si="1027"/>
        <v>0</v>
      </c>
      <c r="CB516">
        <f t="shared" si="1027"/>
        <v>0</v>
      </c>
      <c r="CC516">
        <f t="shared" si="1028"/>
        <v>0</v>
      </c>
      <c r="CD516">
        <f t="shared" si="1028"/>
        <v>0</v>
      </c>
      <c r="CE516">
        <f t="shared" si="1028"/>
        <v>0</v>
      </c>
      <c r="CF516">
        <f t="shared" si="1028"/>
        <v>0</v>
      </c>
      <c r="CG516">
        <f t="shared" si="1028"/>
        <v>0</v>
      </c>
      <c r="CH516">
        <f t="shared" si="1028"/>
        <v>0</v>
      </c>
      <c r="CI516">
        <f t="shared" si="1028"/>
        <v>0</v>
      </c>
      <c r="CJ516">
        <f t="shared" si="1028"/>
        <v>0</v>
      </c>
      <c r="CK516">
        <f t="shared" si="1028"/>
        <v>0</v>
      </c>
      <c r="CL516">
        <f t="shared" si="1028"/>
        <v>0</v>
      </c>
      <c r="CM516">
        <f t="shared" si="1029"/>
        <v>0</v>
      </c>
      <c r="CN516">
        <f t="shared" si="1029"/>
        <v>0</v>
      </c>
      <c r="CO516">
        <f t="shared" si="1029"/>
        <v>0</v>
      </c>
      <c r="CP516">
        <f t="shared" si="1029"/>
        <v>0</v>
      </c>
      <c r="CQ516">
        <f t="shared" si="1029"/>
        <v>0</v>
      </c>
      <c r="CR516">
        <f t="shared" si="1029"/>
        <v>0</v>
      </c>
      <c r="CS516">
        <f t="shared" si="1029"/>
        <v>0</v>
      </c>
      <c r="CT516">
        <f t="shared" si="1029"/>
        <v>0</v>
      </c>
      <c r="CU516">
        <f t="shared" si="1029"/>
        <v>0</v>
      </c>
      <c r="CV516">
        <f t="shared" si="1029"/>
        <v>0</v>
      </c>
      <c r="CW516">
        <f t="shared" si="1030"/>
        <v>0</v>
      </c>
      <c r="CX516">
        <f t="shared" si="1030"/>
        <v>0</v>
      </c>
      <c r="CY516">
        <f t="shared" si="1030"/>
        <v>0</v>
      </c>
      <c r="CZ516">
        <f t="shared" si="1030"/>
        <v>0</v>
      </c>
      <c r="DA516">
        <f t="shared" si="1030"/>
        <v>0</v>
      </c>
      <c r="DB516">
        <f t="shared" si="1030"/>
        <v>0</v>
      </c>
      <c r="DC516">
        <f t="shared" si="1030"/>
        <v>0</v>
      </c>
      <c r="DD516">
        <f t="shared" si="1030"/>
        <v>0</v>
      </c>
      <c r="DE516">
        <f t="shared" si="1030"/>
        <v>0</v>
      </c>
      <c r="DF516">
        <f t="shared" si="1030"/>
        <v>0</v>
      </c>
      <c r="DG516">
        <f t="shared" si="1031"/>
        <v>0</v>
      </c>
      <c r="DH516">
        <f t="shared" si="1031"/>
        <v>0</v>
      </c>
      <c r="DI516">
        <f t="shared" si="1031"/>
        <v>0</v>
      </c>
      <c r="DJ516">
        <f t="shared" si="1031"/>
        <v>0</v>
      </c>
      <c r="DK516">
        <f t="shared" si="1031"/>
        <v>0</v>
      </c>
      <c r="DL516">
        <f t="shared" si="1031"/>
        <v>0</v>
      </c>
      <c r="DM516">
        <f t="shared" si="1031"/>
        <v>0</v>
      </c>
      <c r="DN516">
        <f t="shared" si="1031"/>
        <v>0</v>
      </c>
      <c r="DO516">
        <f t="shared" si="1025"/>
        <v>0</v>
      </c>
      <c r="DP516">
        <f t="shared" si="1025"/>
        <v>0</v>
      </c>
      <c r="DQ516">
        <f t="shared" si="1025"/>
        <v>0</v>
      </c>
      <c r="DR516">
        <f t="shared" si="1025"/>
        <v>0</v>
      </c>
      <c r="DS516">
        <f t="shared" si="1025"/>
        <v>0</v>
      </c>
      <c r="DT516">
        <f t="shared" si="1032"/>
        <v>0</v>
      </c>
      <c r="DU516">
        <f t="shared" si="1032"/>
        <v>0</v>
      </c>
      <c r="DV516">
        <f t="shared" si="1032"/>
        <v>0</v>
      </c>
      <c r="DW516">
        <f t="shared" si="1032"/>
        <v>0</v>
      </c>
      <c r="DX516">
        <f t="shared" si="1032"/>
        <v>0</v>
      </c>
      <c r="DY516">
        <f t="shared" si="1026"/>
        <v>0</v>
      </c>
      <c r="DZ516">
        <f t="shared" si="1026"/>
        <v>0</v>
      </c>
      <c r="EA516">
        <f t="shared" si="1034"/>
        <v>0</v>
      </c>
      <c r="EB516">
        <f t="shared" si="1034"/>
        <v>0</v>
      </c>
      <c r="EC516">
        <f t="shared" si="1034"/>
        <v>0</v>
      </c>
      <c r="ED516">
        <f t="shared" si="1034"/>
        <v>0</v>
      </c>
      <c r="EE516">
        <f t="shared" si="1034"/>
        <v>0</v>
      </c>
      <c r="EF516">
        <f t="shared" si="1034"/>
        <v>0</v>
      </c>
    </row>
    <row r="517" spans="1:136" ht="15.5">
      <c r="A517" s="90"/>
      <c r="B517" s="19" t="s">
        <v>208</v>
      </c>
      <c r="C517" s="94"/>
      <c r="D517" s="18">
        <v>0</v>
      </c>
      <c r="E517" s="18">
        <v>0</v>
      </c>
      <c r="F517" s="18">
        <v>0</v>
      </c>
      <c r="G517" s="18">
        <v>0</v>
      </c>
      <c r="H517" s="18">
        <v>0</v>
      </c>
      <c r="I517" s="18">
        <v>0</v>
      </c>
      <c r="J517" s="18">
        <v>0</v>
      </c>
      <c r="K517" s="18">
        <v>0</v>
      </c>
      <c r="L517" s="18">
        <v>0</v>
      </c>
      <c r="M517" s="18">
        <v>0</v>
      </c>
      <c r="N517" s="18">
        <v>0</v>
      </c>
      <c r="O517" s="18">
        <v>0</v>
      </c>
      <c r="P517" s="18">
        <v>0</v>
      </c>
      <c r="Q517" s="18">
        <v>0</v>
      </c>
      <c r="R517" s="18">
        <v>0</v>
      </c>
      <c r="S517" s="18">
        <v>0</v>
      </c>
      <c r="T517" s="18">
        <v>0</v>
      </c>
      <c r="U517" s="18">
        <v>0</v>
      </c>
      <c r="V517" s="18">
        <v>0</v>
      </c>
      <c r="W517" s="18">
        <v>0</v>
      </c>
      <c r="X517" s="18">
        <v>0</v>
      </c>
      <c r="Y517" s="18">
        <v>0</v>
      </c>
      <c r="Z517" s="18">
        <v>0</v>
      </c>
      <c r="AA517" s="18">
        <v>0</v>
      </c>
      <c r="AB517" s="18">
        <v>15</v>
      </c>
      <c r="AC517" s="18">
        <v>63</v>
      </c>
      <c r="AD517" s="18">
        <v>136.19999999999999</v>
      </c>
      <c r="AE517" s="18">
        <v>200.3</v>
      </c>
      <c r="AF517" s="18">
        <v>227.2</v>
      </c>
      <c r="AG517" s="18">
        <v>229.60000000000002</v>
      </c>
      <c r="AH517" s="18">
        <v>325.8</v>
      </c>
      <c r="AI517" s="18">
        <v>339.4</v>
      </c>
      <c r="AJ517" s="18">
        <v>365.5</v>
      </c>
      <c r="AK517" s="18">
        <v>373.3</v>
      </c>
      <c r="AL517" s="18">
        <v>392.3</v>
      </c>
      <c r="AM517" s="18">
        <v>409.1</v>
      </c>
      <c r="AN517" s="18">
        <v>406.7</v>
      </c>
      <c r="AO517" s="18">
        <v>411.7</v>
      </c>
      <c r="AP517" s="18">
        <v>397</v>
      </c>
      <c r="AQ517" s="18">
        <v>443.1</v>
      </c>
      <c r="AR517" s="18">
        <v>499.40100000000001</v>
      </c>
      <c r="AS517" s="18">
        <v>511.94499999999999</v>
      </c>
      <c r="AT517" s="18">
        <v>521.36199999999997</v>
      </c>
      <c r="AU517" s="18">
        <v>534.97799999999995</v>
      </c>
      <c r="AV517" s="18">
        <v>544.93299999999999</v>
      </c>
      <c r="AW517" s="18">
        <v>544.93299999999999</v>
      </c>
      <c r="AX517" s="18">
        <v>0</v>
      </c>
      <c r="AY517" s="18">
        <v>0</v>
      </c>
      <c r="AZ517" s="18">
        <v>0</v>
      </c>
      <c r="BA517" s="18">
        <v>0</v>
      </c>
      <c r="BB517" s="18">
        <v>0</v>
      </c>
      <c r="BC517" s="18">
        <v>0</v>
      </c>
      <c r="BD517" s="18">
        <v>0</v>
      </c>
      <c r="BE517" s="25">
        <v>0</v>
      </c>
      <c r="BF517" s="18">
        <v>0</v>
      </c>
      <c r="BG517" s="18">
        <v>0</v>
      </c>
      <c r="BH517" s="18">
        <v>0</v>
      </c>
      <c r="BI517" s="18">
        <v>0</v>
      </c>
      <c r="BJ517" s="113">
        <v>0</v>
      </c>
      <c r="BK517" s="113">
        <v>0</v>
      </c>
      <c r="BL517" s="113">
        <v>0</v>
      </c>
      <c r="BM517" s="113">
        <v>0</v>
      </c>
      <c r="BN517" s="113">
        <v>0</v>
      </c>
      <c r="BO517" s="113">
        <v>0</v>
      </c>
      <c r="BP517" s="113">
        <v>0</v>
      </c>
      <c r="BQ517" s="113">
        <v>0</v>
      </c>
      <c r="BR517" s="101"/>
      <c r="BS517">
        <f t="shared" si="1027"/>
        <v>0</v>
      </c>
      <c r="BT517">
        <f t="shared" si="1027"/>
        <v>0</v>
      </c>
      <c r="BU517">
        <f t="shared" si="1027"/>
        <v>0</v>
      </c>
      <c r="BV517">
        <f t="shared" si="1027"/>
        <v>0</v>
      </c>
      <c r="BW517">
        <f t="shared" si="1027"/>
        <v>0</v>
      </c>
      <c r="BX517">
        <f t="shared" si="1027"/>
        <v>0</v>
      </c>
      <c r="BY517">
        <f t="shared" si="1027"/>
        <v>0</v>
      </c>
      <c r="BZ517">
        <f t="shared" si="1027"/>
        <v>0</v>
      </c>
      <c r="CA517">
        <f t="shared" si="1027"/>
        <v>0</v>
      </c>
      <c r="CB517">
        <f t="shared" si="1027"/>
        <v>0</v>
      </c>
      <c r="CC517">
        <f t="shared" si="1028"/>
        <v>0</v>
      </c>
      <c r="CD517">
        <f t="shared" si="1028"/>
        <v>0</v>
      </c>
      <c r="CE517">
        <f t="shared" si="1028"/>
        <v>0</v>
      </c>
      <c r="CF517">
        <f t="shared" si="1028"/>
        <v>0</v>
      </c>
      <c r="CG517">
        <f t="shared" si="1028"/>
        <v>0</v>
      </c>
      <c r="CH517">
        <f t="shared" si="1028"/>
        <v>0</v>
      </c>
      <c r="CI517">
        <f t="shared" si="1028"/>
        <v>0</v>
      </c>
      <c r="CJ517">
        <f t="shared" si="1028"/>
        <v>0</v>
      </c>
      <c r="CK517">
        <f t="shared" si="1028"/>
        <v>0</v>
      </c>
      <c r="CL517">
        <f t="shared" si="1028"/>
        <v>0</v>
      </c>
      <c r="CM517">
        <f t="shared" si="1029"/>
        <v>0</v>
      </c>
      <c r="CN517">
        <f t="shared" si="1029"/>
        <v>0</v>
      </c>
      <c r="CO517">
        <f t="shared" si="1029"/>
        <v>0</v>
      </c>
      <c r="CP517">
        <f t="shared" si="1029"/>
        <v>0</v>
      </c>
      <c r="CQ517">
        <f t="shared" si="1029"/>
        <v>0</v>
      </c>
      <c r="CR517">
        <f t="shared" si="1029"/>
        <v>0</v>
      </c>
      <c r="CS517">
        <f t="shared" si="1029"/>
        <v>0</v>
      </c>
      <c r="CT517">
        <f t="shared" si="1029"/>
        <v>0</v>
      </c>
      <c r="CU517">
        <f t="shared" si="1029"/>
        <v>0</v>
      </c>
      <c r="CV517">
        <f t="shared" si="1029"/>
        <v>0</v>
      </c>
      <c r="CW517">
        <f t="shared" si="1030"/>
        <v>0</v>
      </c>
      <c r="CX517">
        <f t="shared" si="1030"/>
        <v>0</v>
      </c>
      <c r="CY517">
        <f t="shared" si="1030"/>
        <v>0</v>
      </c>
      <c r="CZ517">
        <f t="shared" si="1030"/>
        <v>0</v>
      </c>
      <c r="DA517">
        <f t="shared" si="1030"/>
        <v>0</v>
      </c>
      <c r="DB517">
        <f t="shared" si="1030"/>
        <v>0</v>
      </c>
      <c r="DC517">
        <f t="shared" si="1030"/>
        <v>0</v>
      </c>
      <c r="DD517">
        <f t="shared" si="1030"/>
        <v>0</v>
      </c>
      <c r="DE517">
        <f t="shared" si="1030"/>
        <v>0</v>
      </c>
      <c r="DF517">
        <f t="shared" si="1030"/>
        <v>0</v>
      </c>
      <c r="DG517">
        <f t="shared" si="1031"/>
        <v>0</v>
      </c>
      <c r="DH517">
        <f t="shared" si="1031"/>
        <v>0</v>
      </c>
      <c r="DI517">
        <f t="shared" si="1031"/>
        <v>0</v>
      </c>
      <c r="DJ517">
        <f t="shared" si="1031"/>
        <v>0</v>
      </c>
      <c r="DK517">
        <f t="shared" si="1031"/>
        <v>0</v>
      </c>
      <c r="DL517">
        <f t="shared" si="1031"/>
        <v>0</v>
      </c>
      <c r="DM517">
        <f t="shared" si="1031"/>
        <v>0</v>
      </c>
      <c r="DN517">
        <f t="shared" si="1031"/>
        <v>0</v>
      </c>
      <c r="DO517">
        <f t="shared" si="1025"/>
        <v>0</v>
      </c>
      <c r="DP517">
        <f t="shared" si="1025"/>
        <v>0</v>
      </c>
      <c r="DQ517">
        <f t="shared" si="1025"/>
        <v>0</v>
      </c>
      <c r="DR517">
        <f t="shared" si="1025"/>
        <v>0</v>
      </c>
      <c r="DS517">
        <f t="shared" si="1025"/>
        <v>0</v>
      </c>
      <c r="DT517">
        <f t="shared" si="1032"/>
        <v>0</v>
      </c>
      <c r="DU517">
        <f t="shared" si="1032"/>
        <v>0</v>
      </c>
      <c r="DV517">
        <f t="shared" si="1032"/>
        <v>0</v>
      </c>
      <c r="DW517">
        <f t="shared" si="1032"/>
        <v>0</v>
      </c>
      <c r="DX517">
        <f t="shared" si="1032"/>
        <v>0</v>
      </c>
      <c r="DY517">
        <f t="shared" si="1026"/>
        <v>0</v>
      </c>
      <c r="DZ517">
        <f t="shared" si="1026"/>
        <v>0</v>
      </c>
      <c r="EA517">
        <f t="shared" si="1034"/>
        <v>0</v>
      </c>
      <c r="EB517">
        <f t="shared" si="1034"/>
        <v>0</v>
      </c>
      <c r="EC517">
        <f t="shared" si="1034"/>
        <v>0</v>
      </c>
      <c r="ED517">
        <f t="shared" si="1034"/>
        <v>0</v>
      </c>
      <c r="EE517">
        <f t="shared" si="1034"/>
        <v>0</v>
      </c>
      <c r="EF517">
        <f t="shared" si="1034"/>
        <v>0</v>
      </c>
    </row>
    <row r="518" spans="1:136" ht="15.5">
      <c r="A518" s="90"/>
      <c r="B518" s="19" t="s">
        <v>212</v>
      </c>
      <c r="C518" s="94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>
        <v>44.988864142538972</v>
      </c>
      <c r="AI518" s="18">
        <v>66.580516898608337</v>
      </c>
      <c r="AJ518" s="18">
        <v>78.421985815602838</v>
      </c>
      <c r="AK518" s="18">
        <v>166.38297872340425</v>
      </c>
      <c r="AL518" s="18">
        <v>137.28695652173911</v>
      </c>
      <c r="AM518" s="18">
        <v>221.89328743545613</v>
      </c>
      <c r="AN518" s="18">
        <v>75.735537190082638</v>
      </c>
      <c r="AO518" s="18">
        <v>28.03953871499176</v>
      </c>
      <c r="AP518" s="18">
        <v>0</v>
      </c>
      <c r="AQ518" s="58">
        <v>0</v>
      </c>
      <c r="AR518" s="58">
        <v>48.195876288659797</v>
      </c>
      <c r="AS518" s="58">
        <v>126.71755725190839</v>
      </c>
      <c r="AT518" s="58">
        <v>116.11253196930946</v>
      </c>
      <c r="AU518" s="58">
        <v>117.2544080604534</v>
      </c>
      <c r="AV518" s="58">
        <v>110.81761006289308</v>
      </c>
      <c r="AW518" s="58">
        <v>108.12581913499345</v>
      </c>
      <c r="AX518" s="18">
        <v>0</v>
      </c>
      <c r="AY518" s="18">
        <v>0</v>
      </c>
      <c r="AZ518" s="18">
        <v>0</v>
      </c>
      <c r="BA518" s="18">
        <v>754</v>
      </c>
      <c r="BB518" s="18">
        <v>641.42233632862633</v>
      </c>
      <c r="BC518" s="18">
        <v>620</v>
      </c>
      <c r="BD518" s="18">
        <v>704</v>
      </c>
      <c r="BE518" s="25">
        <v>445</v>
      </c>
      <c r="BF518" s="18">
        <v>448.7</v>
      </c>
      <c r="BG518" s="18">
        <v>460.5263157894737</v>
      </c>
      <c r="BH518" s="18">
        <v>0</v>
      </c>
      <c r="BI518" s="18">
        <v>0</v>
      </c>
      <c r="BJ518" s="18">
        <v>0</v>
      </c>
      <c r="BK518" s="113">
        <v>0</v>
      </c>
      <c r="BL518" s="113">
        <v>0</v>
      </c>
      <c r="BM518" s="113">
        <v>0</v>
      </c>
      <c r="BN518" s="113">
        <v>0</v>
      </c>
      <c r="BO518" s="113">
        <v>0</v>
      </c>
      <c r="BP518" s="113">
        <v>0</v>
      </c>
      <c r="BQ518" s="113">
        <v>0</v>
      </c>
      <c r="BR518" s="101"/>
      <c r="BS518">
        <f t="shared" si="1027"/>
        <v>0</v>
      </c>
      <c r="BT518">
        <f t="shared" si="1027"/>
        <v>0</v>
      </c>
      <c r="BU518">
        <f t="shared" si="1027"/>
        <v>0</v>
      </c>
      <c r="BV518">
        <f t="shared" si="1027"/>
        <v>0</v>
      </c>
      <c r="BW518">
        <f t="shared" si="1027"/>
        <v>0</v>
      </c>
      <c r="BX518">
        <f t="shared" si="1027"/>
        <v>0</v>
      </c>
      <c r="BY518">
        <f t="shared" si="1027"/>
        <v>0</v>
      </c>
      <c r="BZ518">
        <f t="shared" si="1027"/>
        <v>0</v>
      </c>
      <c r="CA518">
        <f t="shared" si="1027"/>
        <v>0</v>
      </c>
      <c r="CB518">
        <f t="shared" si="1027"/>
        <v>0</v>
      </c>
      <c r="CC518">
        <f t="shared" si="1028"/>
        <v>0</v>
      </c>
      <c r="CD518">
        <f t="shared" si="1028"/>
        <v>0</v>
      </c>
      <c r="CE518">
        <f t="shared" si="1028"/>
        <v>0</v>
      </c>
      <c r="CF518">
        <f t="shared" si="1028"/>
        <v>0</v>
      </c>
      <c r="CG518">
        <f t="shared" si="1028"/>
        <v>0</v>
      </c>
      <c r="CH518">
        <f t="shared" si="1028"/>
        <v>0</v>
      </c>
      <c r="CI518">
        <f t="shared" si="1028"/>
        <v>0</v>
      </c>
      <c r="CJ518">
        <f t="shared" si="1028"/>
        <v>0</v>
      </c>
      <c r="CK518">
        <f t="shared" si="1028"/>
        <v>0</v>
      </c>
      <c r="CL518">
        <f t="shared" si="1028"/>
        <v>0</v>
      </c>
      <c r="CM518">
        <f t="shared" si="1029"/>
        <v>0</v>
      </c>
      <c r="CN518">
        <f t="shared" si="1029"/>
        <v>0</v>
      </c>
      <c r="CO518">
        <f t="shared" si="1029"/>
        <v>0</v>
      </c>
      <c r="CP518">
        <f t="shared" si="1029"/>
        <v>0</v>
      </c>
      <c r="CQ518">
        <f t="shared" si="1029"/>
        <v>0</v>
      </c>
      <c r="CR518">
        <f t="shared" si="1029"/>
        <v>0</v>
      </c>
      <c r="CS518">
        <f t="shared" si="1029"/>
        <v>0</v>
      </c>
      <c r="CT518">
        <f t="shared" si="1029"/>
        <v>0</v>
      </c>
      <c r="CU518">
        <f t="shared" si="1029"/>
        <v>0</v>
      </c>
      <c r="CV518">
        <f t="shared" si="1029"/>
        <v>0</v>
      </c>
      <c r="CW518">
        <f t="shared" si="1030"/>
        <v>0</v>
      </c>
      <c r="CX518">
        <f t="shared" si="1030"/>
        <v>0</v>
      </c>
      <c r="CY518">
        <f t="shared" si="1030"/>
        <v>0</v>
      </c>
      <c r="CZ518">
        <f t="shared" si="1030"/>
        <v>0</v>
      </c>
      <c r="DA518">
        <f t="shared" si="1030"/>
        <v>0</v>
      </c>
      <c r="DB518">
        <f t="shared" si="1030"/>
        <v>0</v>
      </c>
      <c r="DC518">
        <f t="shared" si="1030"/>
        <v>0</v>
      </c>
      <c r="DD518">
        <f t="shared" si="1030"/>
        <v>0</v>
      </c>
      <c r="DE518">
        <f t="shared" si="1030"/>
        <v>0</v>
      </c>
      <c r="DF518">
        <f t="shared" si="1030"/>
        <v>0</v>
      </c>
      <c r="DG518">
        <f t="shared" si="1031"/>
        <v>0</v>
      </c>
      <c r="DH518">
        <f t="shared" si="1031"/>
        <v>0</v>
      </c>
      <c r="DI518">
        <f t="shared" si="1031"/>
        <v>0</v>
      </c>
      <c r="DJ518">
        <f t="shared" si="1031"/>
        <v>0</v>
      </c>
      <c r="DK518">
        <f t="shared" si="1031"/>
        <v>0</v>
      </c>
      <c r="DL518">
        <f t="shared" si="1031"/>
        <v>0</v>
      </c>
      <c r="DM518">
        <f t="shared" si="1031"/>
        <v>0</v>
      </c>
      <c r="DN518">
        <f t="shared" si="1031"/>
        <v>0</v>
      </c>
      <c r="DO518">
        <f t="shared" si="1025"/>
        <v>0</v>
      </c>
      <c r="DP518">
        <f t="shared" si="1025"/>
        <v>0</v>
      </c>
      <c r="DQ518">
        <f t="shared" si="1025"/>
        <v>0</v>
      </c>
      <c r="DR518">
        <f t="shared" si="1025"/>
        <v>0</v>
      </c>
      <c r="DS518">
        <f t="shared" si="1025"/>
        <v>0</v>
      </c>
      <c r="DT518">
        <f t="shared" si="1032"/>
        <v>0</v>
      </c>
      <c r="DU518">
        <f t="shared" si="1032"/>
        <v>0</v>
      </c>
      <c r="DV518">
        <f t="shared" si="1032"/>
        <v>0</v>
      </c>
      <c r="DW518">
        <f t="shared" si="1032"/>
        <v>0</v>
      </c>
      <c r="DX518">
        <f t="shared" si="1032"/>
        <v>0</v>
      </c>
      <c r="DY518">
        <f t="shared" si="1026"/>
        <v>0</v>
      </c>
      <c r="DZ518">
        <f t="shared" si="1026"/>
        <v>0</v>
      </c>
      <c r="EA518">
        <f t="shared" ref="EA518:EF518" si="1035">IF($C518&lt;&gt;"",IF(BL518&gt;0,1,0),0)</f>
        <v>0</v>
      </c>
      <c r="EB518">
        <f t="shared" si="1035"/>
        <v>0</v>
      </c>
      <c r="EC518">
        <f t="shared" si="1035"/>
        <v>0</v>
      </c>
      <c r="ED518">
        <f t="shared" si="1035"/>
        <v>0</v>
      </c>
      <c r="EE518">
        <f t="shared" si="1035"/>
        <v>0</v>
      </c>
      <c r="EF518">
        <f t="shared" si="1035"/>
        <v>0</v>
      </c>
    </row>
    <row r="519" spans="1:136" ht="15.5">
      <c r="A519" s="90"/>
      <c r="B519" s="53"/>
      <c r="C519" s="94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  <c r="AA519" s="58"/>
      <c r="AB519" s="58"/>
      <c r="AC519" s="58"/>
      <c r="AD519" s="58"/>
      <c r="AE519" s="58"/>
      <c r="AF519" s="58"/>
      <c r="AG519" s="58"/>
      <c r="AH519" s="58"/>
      <c r="AI519" s="58"/>
      <c r="AJ519" s="58"/>
      <c r="AK519" s="58"/>
      <c r="AL519" s="58"/>
      <c r="AM519" s="58"/>
      <c r="AN519" s="58"/>
      <c r="AO519" s="58"/>
      <c r="AP519" s="58"/>
      <c r="AQ519" s="58"/>
      <c r="AR519" s="58"/>
      <c r="AS519" s="58"/>
      <c r="AT519" s="58"/>
      <c r="AU519" s="58"/>
      <c r="AV519" s="58"/>
      <c r="AW519" s="58"/>
      <c r="AX519" s="58"/>
      <c r="AY519" s="58"/>
      <c r="AZ519" s="58"/>
      <c r="BA519" s="58"/>
      <c r="BB519" s="58"/>
      <c r="BC519" s="58"/>
      <c r="BD519" s="18"/>
      <c r="BE519" s="25"/>
      <c r="BF519" s="18"/>
      <c r="BG519" s="18"/>
      <c r="BH519" s="18"/>
      <c r="BI519" s="2"/>
      <c r="BJ519" s="2"/>
      <c r="BK519" s="2"/>
      <c r="BL519" s="2"/>
      <c r="BM519" s="2"/>
      <c r="BN519" s="2"/>
      <c r="BO519" s="2"/>
      <c r="BP519" s="2"/>
      <c r="BQ519" s="2"/>
      <c r="BR519" s="101"/>
    </row>
    <row r="520" spans="1:136" ht="15.5">
      <c r="A520" s="93">
        <v>61</v>
      </c>
      <c r="B520" s="32" t="s">
        <v>74</v>
      </c>
      <c r="C520" s="94">
        <v>4</v>
      </c>
      <c r="D520" s="22">
        <f t="shared" ref="D520:AI520" si="1036">SUM(D521:D526)</f>
        <v>0</v>
      </c>
      <c r="E520" s="22">
        <f t="shared" si="1036"/>
        <v>0</v>
      </c>
      <c r="F520" s="22">
        <f t="shared" si="1036"/>
        <v>0</v>
      </c>
      <c r="G520" s="22">
        <f t="shared" si="1036"/>
        <v>0</v>
      </c>
      <c r="H520" s="22">
        <f t="shared" si="1036"/>
        <v>0</v>
      </c>
      <c r="I520" s="22">
        <f t="shared" si="1036"/>
        <v>29</v>
      </c>
      <c r="J520" s="22">
        <f t="shared" si="1036"/>
        <v>0</v>
      </c>
      <c r="K520" s="22">
        <f t="shared" si="1036"/>
        <v>7</v>
      </c>
      <c r="L520" s="22">
        <f t="shared" si="1036"/>
        <v>9</v>
      </c>
      <c r="M520" s="22">
        <f t="shared" si="1036"/>
        <v>9</v>
      </c>
      <c r="N520" s="22">
        <f t="shared" si="1036"/>
        <v>21.639989999999997</v>
      </c>
      <c r="O520" s="22">
        <f t="shared" si="1036"/>
        <v>41.883610000000004</v>
      </c>
      <c r="P520" s="22">
        <f t="shared" si="1036"/>
        <v>62.846000000000004</v>
      </c>
      <c r="Q520" s="22">
        <f t="shared" si="1036"/>
        <v>95.896059999999991</v>
      </c>
      <c r="R520" s="22">
        <f t="shared" si="1036"/>
        <v>129.62461999999999</v>
      </c>
      <c r="S520" s="22">
        <f t="shared" si="1036"/>
        <v>157.77278999999999</v>
      </c>
      <c r="T520" s="22">
        <f t="shared" si="1036"/>
        <v>172.31241</v>
      </c>
      <c r="U520" s="22">
        <f t="shared" si="1036"/>
        <v>200.73041999999998</v>
      </c>
      <c r="V520" s="22">
        <f t="shared" si="1036"/>
        <v>242.93898000000002</v>
      </c>
      <c r="W520" s="22">
        <f t="shared" si="1036"/>
        <v>249.02305000000001</v>
      </c>
      <c r="X520" s="22">
        <f t="shared" si="1036"/>
        <v>134.27115000000001</v>
      </c>
      <c r="Y520" s="22">
        <f t="shared" si="1036"/>
        <v>160.13992999999999</v>
      </c>
      <c r="Z520" s="22">
        <f t="shared" si="1036"/>
        <v>191.24970949999999</v>
      </c>
      <c r="AA520" s="22">
        <f t="shared" si="1036"/>
        <v>207.51076979999999</v>
      </c>
      <c r="AB520" s="22">
        <f t="shared" si="1036"/>
        <v>201.7278187</v>
      </c>
      <c r="AC520" s="22">
        <f t="shared" si="1036"/>
        <v>273.3175627</v>
      </c>
      <c r="AD520" s="22">
        <f t="shared" si="1036"/>
        <v>247.85549790000002</v>
      </c>
      <c r="AE520" s="22">
        <f t="shared" si="1036"/>
        <v>248.1947548</v>
      </c>
      <c r="AF520" s="22">
        <f t="shared" si="1036"/>
        <v>355.0882987</v>
      </c>
      <c r="AG520" s="22">
        <f t="shared" si="1036"/>
        <v>712.04443499999991</v>
      </c>
      <c r="AH520" s="22">
        <f t="shared" si="1036"/>
        <v>414.66767219999997</v>
      </c>
      <c r="AI520" s="22">
        <f t="shared" si="1036"/>
        <v>372.90505000000002</v>
      </c>
      <c r="AJ520" s="22">
        <f t="shared" ref="AJ520:BQ520" si="1037">SUM(AJ521:AJ526)</f>
        <v>521.02963629999999</v>
      </c>
      <c r="AK520" s="22">
        <f t="shared" si="1037"/>
        <v>450.71293650000001</v>
      </c>
      <c r="AL520" s="22">
        <f t="shared" si="1037"/>
        <v>565.32989999999995</v>
      </c>
      <c r="AM520" s="22">
        <f t="shared" si="1037"/>
        <v>628.11721</v>
      </c>
      <c r="AN520" s="22">
        <f t="shared" si="1037"/>
        <v>534.94743999999992</v>
      </c>
      <c r="AO520" s="22">
        <f t="shared" si="1037"/>
        <v>605.77424999999994</v>
      </c>
      <c r="AP520" s="22">
        <f t="shared" si="1037"/>
        <v>697.77819999999997</v>
      </c>
      <c r="AQ520" s="22">
        <f t="shared" si="1037"/>
        <v>575.15350000000001</v>
      </c>
      <c r="AR520" s="22">
        <f t="shared" si="1037"/>
        <v>399.89256949999998</v>
      </c>
      <c r="AS520" s="22">
        <f t="shared" si="1037"/>
        <v>503.80954700000001</v>
      </c>
      <c r="AT520" s="22">
        <f t="shared" si="1037"/>
        <v>347.17105620000001</v>
      </c>
      <c r="AU520" s="22">
        <f t="shared" si="1037"/>
        <v>343.17423070000001</v>
      </c>
      <c r="AV520" s="22">
        <f t="shared" si="1037"/>
        <v>328.57734419999997</v>
      </c>
      <c r="AW520" s="22">
        <f t="shared" si="1037"/>
        <v>331.55357479999998</v>
      </c>
      <c r="AX520" s="22">
        <f t="shared" si="1037"/>
        <v>339.81376049999994</v>
      </c>
      <c r="AY520" s="22">
        <f t="shared" si="1037"/>
        <v>354.62762170000002</v>
      </c>
      <c r="AZ520" s="22">
        <f t="shared" si="1037"/>
        <v>371.53369169999996</v>
      </c>
      <c r="BA520" s="22">
        <f t="shared" si="1037"/>
        <v>169.36937549999999</v>
      </c>
      <c r="BB520" s="22">
        <f t="shared" si="1037"/>
        <v>248.24912040000001</v>
      </c>
      <c r="BC520" s="22">
        <f t="shared" si="1037"/>
        <v>162.93127999999999</v>
      </c>
      <c r="BD520" s="22">
        <f t="shared" si="1037"/>
        <v>2125.9790534999997</v>
      </c>
      <c r="BE520" s="22">
        <f t="shared" si="1037"/>
        <v>185.13483859999999</v>
      </c>
      <c r="BF520" s="22">
        <f t="shared" si="1037"/>
        <v>170.46856450000004</v>
      </c>
      <c r="BG520" s="22">
        <f t="shared" si="1037"/>
        <v>89.570988800000009</v>
      </c>
      <c r="BH520" s="22">
        <f t="shared" si="1037"/>
        <v>88.9352631</v>
      </c>
      <c r="BI520" s="22">
        <f t="shared" si="1037"/>
        <v>90.918596899999997</v>
      </c>
      <c r="BJ520" s="22">
        <f t="shared" si="1037"/>
        <v>90.351640399999994</v>
      </c>
      <c r="BK520" s="22">
        <f t="shared" si="1037"/>
        <v>90.215119200000004</v>
      </c>
      <c r="BL520" s="22">
        <f t="shared" si="1037"/>
        <v>130.35393550000001</v>
      </c>
      <c r="BM520" s="22">
        <f t="shared" si="1037"/>
        <v>126.411098</v>
      </c>
      <c r="BN520" s="22">
        <f t="shared" si="1037"/>
        <v>120.5698196</v>
      </c>
      <c r="BO520" s="22">
        <f t="shared" si="1037"/>
        <v>126</v>
      </c>
      <c r="BP520" s="22">
        <f t="shared" si="1037"/>
        <v>126</v>
      </c>
      <c r="BQ520" s="22">
        <f t="shared" si="1037"/>
        <v>126</v>
      </c>
      <c r="BR520" s="101"/>
      <c r="BS520">
        <f t="shared" ref="BS520:CB527" si="1038">IF($C520&lt;&gt;"",IF(D520&gt;0,1,0),0)</f>
        <v>0</v>
      </c>
      <c r="BT520">
        <f t="shared" si="1038"/>
        <v>0</v>
      </c>
      <c r="BU520">
        <f t="shared" si="1038"/>
        <v>0</v>
      </c>
      <c r="BV520">
        <f t="shared" si="1038"/>
        <v>0</v>
      </c>
      <c r="BW520">
        <f t="shared" si="1038"/>
        <v>0</v>
      </c>
      <c r="BX520">
        <f t="shared" si="1038"/>
        <v>1</v>
      </c>
      <c r="BY520">
        <f t="shared" si="1038"/>
        <v>0</v>
      </c>
      <c r="BZ520">
        <f t="shared" si="1038"/>
        <v>1</v>
      </c>
      <c r="CA520">
        <f t="shared" si="1038"/>
        <v>1</v>
      </c>
      <c r="CB520">
        <f t="shared" si="1038"/>
        <v>1</v>
      </c>
      <c r="CC520">
        <f t="shared" ref="CC520:CL527" si="1039">IF($C520&lt;&gt;"",IF(N520&gt;0,1,0),0)</f>
        <v>1</v>
      </c>
      <c r="CD520">
        <f t="shared" si="1039"/>
        <v>1</v>
      </c>
      <c r="CE520">
        <f t="shared" si="1039"/>
        <v>1</v>
      </c>
      <c r="CF520">
        <f t="shared" si="1039"/>
        <v>1</v>
      </c>
      <c r="CG520">
        <f t="shared" si="1039"/>
        <v>1</v>
      </c>
      <c r="CH520">
        <f t="shared" si="1039"/>
        <v>1</v>
      </c>
      <c r="CI520">
        <f t="shared" si="1039"/>
        <v>1</v>
      </c>
      <c r="CJ520">
        <f t="shared" si="1039"/>
        <v>1</v>
      </c>
      <c r="CK520">
        <f t="shared" si="1039"/>
        <v>1</v>
      </c>
      <c r="CL520">
        <f t="shared" si="1039"/>
        <v>1</v>
      </c>
      <c r="CM520">
        <f t="shared" ref="CM520:CV527" si="1040">IF($C520&lt;&gt;"",IF(X520&gt;0,1,0),0)</f>
        <v>1</v>
      </c>
      <c r="CN520">
        <f t="shared" si="1040"/>
        <v>1</v>
      </c>
      <c r="CO520">
        <f t="shared" si="1040"/>
        <v>1</v>
      </c>
      <c r="CP520">
        <f t="shared" si="1040"/>
        <v>1</v>
      </c>
      <c r="CQ520">
        <f t="shared" si="1040"/>
        <v>1</v>
      </c>
      <c r="CR520">
        <f t="shared" si="1040"/>
        <v>1</v>
      </c>
      <c r="CS520">
        <f t="shared" si="1040"/>
        <v>1</v>
      </c>
      <c r="CT520">
        <f t="shared" si="1040"/>
        <v>1</v>
      </c>
      <c r="CU520">
        <f t="shared" si="1040"/>
        <v>1</v>
      </c>
      <c r="CV520">
        <f t="shared" si="1040"/>
        <v>1</v>
      </c>
      <c r="CW520">
        <f t="shared" ref="CW520:DF527" si="1041">IF($C520&lt;&gt;"",IF(AH520&gt;0,1,0),0)</f>
        <v>1</v>
      </c>
      <c r="CX520">
        <f t="shared" si="1041"/>
        <v>1</v>
      </c>
      <c r="CY520">
        <f t="shared" si="1041"/>
        <v>1</v>
      </c>
      <c r="CZ520">
        <f t="shared" si="1041"/>
        <v>1</v>
      </c>
      <c r="DA520">
        <f t="shared" si="1041"/>
        <v>1</v>
      </c>
      <c r="DB520">
        <f t="shared" si="1041"/>
        <v>1</v>
      </c>
      <c r="DC520">
        <f t="shared" si="1041"/>
        <v>1</v>
      </c>
      <c r="DD520">
        <f t="shared" si="1041"/>
        <v>1</v>
      </c>
      <c r="DE520">
        <f t="shared" si="1041"/>
        <v>1</v>
      </c>
      <c r="DF520">
        <f t="shared" si="1041"/>
        <v>1</v>
      </c>
      <c r="DG520">
        <f t="shared" ref="DG520:DP527" si="1042">IF($C520&lt;&gt;"",IF(AR520&gt;0,1,0),0)</f>
        <v>1</v>
      </c>
      <c r="DH520">
        <f t="shared" si="1042"/>
        <v>1</v>
      </c>
      <c r="DI520">
        <f t="shared" si="1042"/>
        <v>1</v>
      </c>
      <c r="DJ520">
        <f t="shared" si="1042"/>
        <v>1</v>
      </c>
      <c r="DK520">
        <f t="shared" si="1042"/>
        <v>1</v>
      </c>
      <c r="DL520">
        <f t="shared" si="1042"/>
        <v>1</v>
      </c>
      <c r="DM520">
        <f t="shared" si="1042"/>
        <v>1</v>
      </c>
      <c r="DN520">
        <f t="shared" si="1042"/>
        <v>1</v>
      </c>
      <c r="DO520">
        <f t="shared" si="1042"/>
        <v>1</v>
      </c>
      <c r="DP520">
        <f t="shared" si="1042"/>
        <v>1</v>
      </c>
      <c r="DQ520">
        <f t="shared" ref="DQ520:DZ527" si="1043">IF($C520&lt;&gt;"",IF(BB520&gt;0,1,0),0)</f>
        <v>1</v>
      </c>
      <c r="DR520">
        <f t="shared" si="1043"/>
        <v>1</v>
      </c>
      <c r="DS520">
        <f t="shared" si="1043"/>
        <v>1</v>
      </c>
      <c r="DT520">
        <f t="shared" si="1043"/>
        <v>1</v>
      </c>
      <c r="DU520">
        <f t="shared" si="1043"/>
        <v>1</v>
      </c>
      <c r="DV520">
        <f t="shared" si="1043"/>
        <v>1</v>
      </c>
      <c r="DW520">
        <f t="shared" si="1043"/>
        <v>1</v>
      </c>
      <c r="DX520">
        <f t="shared" si="1043"/>
        <v>1</v>
      </c>
      <c r="DY520">
        <f t="shared" si="1043"/>
        <v>1</v>
      </c>
      <c r="DZ520">
        <f t="shared" si="1043"/>
        <v>1</v>
      </c>
      <c r="EA520">
        <f t="shared" ref="EA520:EF527" si="1044">IF($C520&lt;&gt;"",IF(BL520&gt;0,1,0),0)</f>
        <v>1</v>
      </c>
      <c r="EB520">
        <f t="shared" si="1044"/>
        <v>1</v>
      </c>
      <c r="EC520">
        <f t="shared" si="1044"/>
        <v>1</v>
      </c>
      <c r="ED520">
        <f t="shared" si="1044"/>
        <v>1</v>
      </c>
      <c r="EE520">
        <f t="shared" si="1044"/>
        <v>1</v>
      </c>
      <c r="EF520">
        <f t="shared" si="1044"/>
        <v>1</v>
      </c>
    </row>
    <row r="521" spans="1:136" ht="15.5">
      <c r="A521" s="90"/>
      <c r="B521" s="19" t="s">
        <v>202</v>
      </c>
      <c r="C521" s="94"/>
      <c r="D521" s="18">
        <v>0</v>
      </c>
      <c r="E521" s="18">
        <v>0</v>
      </c>
      <c r="F521" s="18">
        <v>0</v>
      </c>
      <c r="G521" s="18">
        <v>0</v>
      </c>
      <c r="H521" s="18">
        <v>0</v>
      </c>
      <c r="I521" s="18">
        <v>0</v>
      </c>
      <c r="J521" s="18">
        <v>0</v>
      </c>
      <c r="K521" s="18">
        <v>0</v>
      </c>
      <c r="L521" s="18">
        <v>0</v>
      </c>
      <c r="M521" s="18">
        <v>0</v>
      </c>
      <c r="N521" s="18">
        <v>0</v>
      </c>
      <c r="O521" s="18">
        <v>0</v>
      </c>
      <c r="P521" s="18">
        <v>0</v>
      </c>
      <c r="Q521" s="18">
        <v>0</v>
      </c>
      <c r="R521" s="18">
        <v>0</v>
      </c>
      <c r="S521" s="18">
        <v>0</v>
      </c>
      <c r="T521" s="60">
        <v>0</v>
      </c>
      <c r="U521" s="60">
        <v>0</v>
      </c>
      <c r="V521" s="60">
        <v>0</v>
      </c>
      <c r="W521" s="60">
        <v>0</v>
      </c>
      <c r="X521" s="60">
        <v>0</v>
      </c>
      <c r="Y521" s="60">
        <v>0</v>
      </c>
      <c r="Z521" s="60">
        <v>0</v>
      </c>
      <c r="AA521" s="60">
        <v>0</v>
      </c>
      <c r="AB521" s="60">
        <v>0</v>
      </c>
      <c r="AC521" s="18">
        <v>0</v>
      </c>
      <c r="AD521" s="60">
        <v>0</v>
      </c>
      <c r="AE521" s="60">
        <v>0</v>
      </c>
      <c r="AF521" s="60">
        <v>0</v>
      </c>
      <c r="AG521" s="60">
        <v>0</v>
      </c>
      <c r="AH521" s="60">
        <v>0</v>
      </c>
      <c r="AI521" s="60">
        <v>0</v>
      </c>
      <c r="AJ521" s="60">
        <v>0</v>
      </c>
      <c r="AK521" s="60">
        <v>0</v>
      </c>
      <c r="AL521" s="60">
        <v>0</v>
      </c>
      <c r="AM521" s="60">
        <v>0</v>
      </c>
      <c r="AN521" s="18">
        <v>0</v>
      </c>
      <c r="AO521" s="60">
        <v>0</v>
      </c>
      <c r="AP521" s="60">
        <v>0</v>
      </c>
      <c r="AQ521" s="60">
        <v>0</v>
      </c>
      <c r="AR521" s="18">
        <v>0</v>
      </c>
      <c r="AS521" s="60">
        <v>0</v>
      </c>
      <c r="AT521" s="60">
        <v>0</v>
      </c>
      <c r="AU521" s="60">
        <v>0</v>
      </c>
      <c r="AV521" s="60">
        <v>0</v>
      </c>
      <c r="AW521" s="60">
        <v>0</v>
      </c>
      <c r="AX521" s="18">
        <v>0</v>
      </c>
      <c r="AY521" s="18">
        <v>0</v>
      </c>
      <c r="AZ521" s="60">
        <v>0</v>
      </c>
      <c r="BA521" s="60">
        <v>0</v>
      </c>
      <c r="BB521" s="18">
        <v>34</v>
      </c>
      <c r="BC521" s="18">
        <v>0</v>
      </c>
      <c r="BD521" s="60">
        <v>0</v>
      </c>
      <c r="BE521" s="61">
        <v>0</v>
      </c>
      <c r="BF521" s="25">
        <v>0</v>
      </c>
      <c r="BG521" s="25">
        <v>0</v>
      </c>
      <c r="BH521" s="25">
        <v>0</v>
      </c>
      <c r="BI521" s="25">
        <v>0</v>
      </c>
      <c r="BJ521" s="113">
        <v>0</v>
      </c>
      <c r="BK521" s="113">
        <v>0</v>
      </c>
      <c r="BL521" s="113">
        <v>0</v>
      </c>
      <c r="BM521" s="113">
        <v>0</v>
      </c>
      <c r="BN521" s="113">
        <v>0</v>
      </c>
      <c r="BO521" s="113">
        <v>0</v>
      </c>
      <c r="BP521" s="113">
        <v>0</v>
      </c>
      <c r="BQ521" s="113">
        <v>0</v>
      </c>
      <c r="BR521" s="101"/>
      <c r="BS521">
        <f t="shared" si="1038"/>
        <v>0</v>
      </c>
      <c r="BT521">
        <f t="shared" si="1038"/>
        <v>0</v>
      </c>
      <c r="BU521">
        <f t="shared" si="1038"/>
        <v>0</v>
      </c>
      <c r="BV521">
        <f t="shared" si="1038"/>
        <v>0</v>
      </c>
      <c r="BW521">
        <f t="shared" si="1038"/>
        <v>0</v>
      </c>
      <c r="BX521">
        <f t="shared" si="1038"/>
        <v>0</v>
      </c>
      <c r="BY521">
        <f t="shared" si="1038"/>
        <v>0</v>
      </c>
      <c r="BZ521">
        <f t="shared" si="1038"/>
        <v>0</v>
      </c>
      <c r="CA521">
        <f t="shared" si="1038"/>
        <v>0</v>
      </c>
      <c r="CB521">
        <f t="shared" si="1038"/>
        <v>0</v>
      </c>
      <c r="CC521">
        <f t="shared" si="1039"/>
        <v>0</v>
      </c>
      <c r="CD521">
        <f t="shared" si="1039"/>
        <v>0</v>
      </c>
      <c r="CE521">
        <f t="shared" si="1039"/>
        <v>0</v>
      </c>
      <c r="CF521">
        <f t="shared" si="1039"/>
        <v>0</v>
      </c>
      <c r="CG521">
        <f t="shared" si="1039"/>
        <v>0</v>
      </c>
      <c r="CH521">
        <f t="shared" si="1039"/>
        <v>0</v>
      </c>
      <c r="CI521">
        <f t="shared" si="1039"/>
        <v>0</v>
      </c>
      <c r="CJ521">
        <f t="shared" si="1039"/>
        <v>0</v>
      </c>
      <c r="CK521">
        <f t="shared" si="1039"/>
        <v>0</v>
      </c>
      <c r="CL521">
        <f t="shared" si="1039"/>
        <v>0</v>
      </c>
      <c r="CM521">
        <f t="shared" si="1040"/>
        <v>0</v>
      </c>
      <c r="CN521">
        <f t="shared" si="1040"/>
        <v>0</v>
      </c>
      <c r="CO521">
        <f t="shared" si="1040"/>
        <v>0</v>
      </c>
      <c r="CP521">
        <f t="shared" si="1040"/>
        <v>0</v>
      </c>
      <c r="CQ521">
        <f t="shared" si="1040"/>
        <v>0</v>
      </c>
      <c r="CR521">
        <f t="shared" si="1040"/>
        <v>0</v>
      </c>
      <c r="CS521">
        <f t="shared" si="1040"/>
        <v>0</v>
      </c>
      <c r="CT521">
        <f t="shared" si="1040"/>
        <v>0</v>
      </c>
      <c r="CU521">
        <f t="shared" si="1040"/>
        <v>0</v>
      </c>
      <c r="CV521">
        <f t="shared" si="1040"/>
        <v>0</v>
      </c>
      <c r="CW521">
        <f t="shared" si="1041"/>
        <v>0</v>
      </c>
      <c r="CX521">
        <f t="shared" si="1041"/>
        <v>0</v>
      </c>
      <c r="CY521">
        <f t="shared" si="1041"/>
        <v>0</v>
      </c>
      <c r="CZ521">
        <f t="shared" si="1041"/>
        <v>0</v>
      </c>
      <c r="DA521">
        <f t="shared" si="1041"/>
        <v>0</v>
      </c>
      <c r="DB521">
        <f t="shared" si="1041"/>
        <v>0</v>
      </c>
      <c r="DC521">
        <f t="shared" si="1041"/>
        <v>0</v>
      </c>
      <c r="DD521">
        <f t="shared" si="1041"/>
        <v>0</v>
      </c>
      <c r="DE521">
        <f t="shared" si="1041"/>
        <v>0</v>
      </c>
      <c r="DF521">
        <f t="shared" si="1041"/>
        <v>0</v>
      </c>
      <c r="DG521">
        <f t="shared" si="1042"/>
        <v>0</v>
      </c>
      <c r="DH521">
        <f t="shared" si="1042"/>
        <v>0</v>
      </c>
      <c r="DI521">
        <f t="shared" si="1042"/>
        <v>0</v>
      </c>
      <c r="DJ521">
        <f t="shared" si="1042"/>
        <v>0</v>
      </c>
      <c r="DK521">
        <f t="shared" si="1042"/>
        <v>0</v>
      </c>
      <c r="DL521">
        <f t="shared" si="1042"/>
        <v>0</v>
      </c>
      <c r="DM521">
        <f t="shared" si="1042"/>
        <v>0</v>
      </c>
      <c r="DN521">
        <f t="shared" si="1042"/>
        <v>0</v>
      </c>
      <c r="DO521">
        <f t="shared" si="1042"/>
        <v>0</v>
      </c>
      <c r="DP521">
        <f t="shared" si="1042"/>
        <v>0</v>
      </c>
      <c r="DQ521">
        <f t="shared" si="1043"/>
        <v>0</v>
      </c>
      <c r="DR521">
        <f t="shared" si="1043"/>
        <v>0</v>
      </c>
      <c r="DS521">
        <f t="shared" si="1043"/>
        <v>0</v>
      </c>
      <c r="DT521">
        <f t="shared" si="1043"/>
        <v>0</v>
      </c>
      <c r="DU521">
        <f t="shared" si="1043"/>
        <v>0</v>
      </c>
      <c r="DV521">
        <f t="shared" si="1043"/>
        <v>0</v>
      </c>
      <c r="DW521">
        <f t="shared" si="1043"/>
        <v>0</v>
      </c>
      <c r="DX521">
        <f t="shared" si="1043"/>
        <v>0</v>
      </c>
      <c r="DY521">
        <f t="shared" si="1043"/>
        <v>0</v>
      </c>
      <c r="DZ521">
        <f t="shared" si="1043"/>
        <v>0</v>
      </c>
      <c r="EA521">
        <f t="shared" si="1044"/>
        <v>0</v>
      </c>
      <c r="EB521">
        <f t="shared" si="1044"/>
        <v>0</v>
      </c>
      <c r="EC521">
        <f t="shared" si="1044"/>
        <v>0</v>
      </c>
      <c r="ED521">
        <f t="shared" si="1044"/>
        <v>0</v>
      </c>
      <c r="EE521">
        <f t="shared" si="1044"/>
        <v>0</v>
      </c>
      <c r="EF521">
        <f t="shared" si="1044"/>
        <v>0</v>
      </c>
    </row>
    <row r="522" spans="1:136" ht="15.5">
      <c r="A522" s="90"/>
      <c r="B522" s="19" t="s">
        <v>2</v>
      </c>
      <c r="C522" s="94"/>
      <c r="D522" s="34">
        <v>0</v>
      </c>
      <c r="E522" s="34">
        <v>0</v>
      </c>
      <c r="F522" s="34">
        <v>0</v>
      </c>
      <c r="G522" s="34">
        <v>0</v>
      </c>
      <c r="H522" s="34">
        <v>0</v>
      </c>
      <c r="I522" s="34">
        <v>0</v>
      </c>
      <c r="J522" s="34">
        <v>0</v>
      </c>
      <c r="K522" s="34">
        <v>0</v>
      </c>
      <c r="L522" s="34">
        <v>0</v>
      </c>
      <c r="M522" s="34">
        <v>0</v>
      </c>
      <c r="N522" s="18">
        <v>0</v>
      </c>
      <c r="O522" s="18">
        <v>0</v>
      </c>
      <c r="P522" s="18">
        <v>0</v>
      </c>
      <c r="Q522" s="18">
        <v>0</v>
      </c>
      <c r="R522" s="18">
        <v>0</v>
      </c>
      <c r="S522" s="18">
        <v>0</v>
      </c>
      <c r="T522" s="60">
        <v>0</v>
      </c>
      <c r="U522" s="60">
        <v>0</v>
      </c>
      <c r="V522" s="60">
        <v>0</v>
      </c>
      <c r="W522" s="60">
        <v>0</v>
      </c>
      <c r="X522" s="60">
        <v>0</v>
      </c>
      <c r="Y522" s="60">
        <v>0</v>
      </c>
      <c r="Z522" s="60">
        <v>0</v>
      </c>
      <c r="AA522" s="60">
        <v>0</v>
      </c>
      <c r="AB522" s="60">
        <v>0</v>
      </c>
      <c r="AC522" s="40" t="s">
        <v>16</v>
      </c>
      <c r="AD522" s="60">
        <v>200</v>
      </c>
      <c r="AE522" s="60">
        <v>0</v>
      </c>
      <c r="AF522" s="60">
        <v>0</v>
      </c>
      <c r="AG522" s="60">
        <v>124</v>
      </c>
      <c r="AH522" s="60">
        <v>0</v>
      </c>
      <c r="AI522" s="40" t="s">
        <v>16</v>
      </c>
      <c r="AJ522" s="60">
        <v>203</v>
      </c>
      <c r="AK522" s="40" t="s">
        <v>16</v>
      </c>
      <c r="AL522" s="40" t="s">
        <v>16</v>
      </c>
      <c r="AM522" s="60">
        <v>156</v>
      </c>
      <c r="AN522" s="40" t="s">
        <v>16</v>
      </c>
      <c r="AO522" s="60">
        <v>156</v>
      </c>
      <c r="AP522" s="33"/>
      <c r="AQ522" s="33"/>
      <c r="AR522" s="40" t="s">
        <v>16</v>
      </c>
      <c r="AS522" s="60">
        <v>151</v>
      </c>
      <c r="AT522" s="33"/>
      <c r="AU522" s="33"/>
      <c r="AV522" s="33"/>
      <c r="AW522" s="33"/>
      <c r="AX522" s="40" t="s">
        <v>16</v>
      </c>
      <c r="AY522" s="40" t="s">
        <v>16</v>
      </c>
      <c r="AZ522" s="60">
        <v>298</v>
      </c>
      <c r="BA522" s="40" t="s">
        <v>16</v>
      </c>
      <c r="BB522" s="40" t="s">
        <v>16</v>
      </c>
      <c r="BC522" s="40" t="s">
        <v>16</v>
      </c>
      <c r="BD522" s="60">
        <v>661</v>
      </c>
      <c r="BE522" s="61">
        <v>0</v>
      </c>
      <c r="BF522" s="25">
        <v>0</v>
      </c>
      <c r="BG522" s="25">
        <v>0</v>
      </c>
      <c r="BH522" s="25">
        <v>0</v>
      </c>
      <c r="BI522" s="25">
        <v>0</v>
      </c>
      <c r="BJ522" s="113">
        <v>0</v>
      </c>
      <c r="BK522" s="113">
        <v>0</v>
      </c>
      <c r="BL522" s="113">
        <v>0</v>
      </c>
      <c r="BM522" s="113">
        <v>0</v>
      </c>
      <c r="BN522" s="113">
        <v>0</v>
      </c>
      <c r="BO522" s="113">
        <v>0</v>
      </c>
      <c r="BP522" s="113">
        <v>0</v>
      </c>
      <c r="BQ522" s="113">
        <v>0</v>
      </c>
      <c r="BR522" s="101"/>
      <c r="BS522">
        <f t="shared" si="1038"/>
        <v>0</v>
      </c>
      <c r="BT522">
        <f t="shared" si="1038"/>
        <v>0</v>
      </c>
      <c r="BU522">
        <f t="shared" si="1038"/>
        <v>0</v>
      </c>
      <c r="BV522">
        <f t="shared" si="1038"/>
        <v>0</v>
      </c>
      <c r="BW522">
        <f t="shared" si="1038"/>
        <v>0</v>
      </c>
      <c r="BX522">
        <f t="shared" si="1038"/>
        <v>0</v>
      </c>
      <c r="BY522">
        <f t="shared" si="1038"/>
        <v>0</v>
      </c>
      <c r="BZ522">
        <f t="shared" si="1038"/>
        <v>0</v>
      </c>
      <c r="CA522">
        <f t="shared" si="1038"/>
        <v>0</v>
      </c>
      <c r="CB522">
        <f t="shared" si="1038"/>
        <v>0</v>
      </c>
      <c r="CC522">
        <f t="shared" si="1039"/>
        <v>0</v>
      </c>
      <c r="CD522">
        <f t="shared" si="1039"/>
        <v>0</v>
      </c>
      <c r="CE522">
        <f t="shared" si="1039"/>
        <v>0</v>
      </c>
      <c r="CF522">
        <f t="shared" si="1039"/>
        <v>0</v>
      </c>
      <c r="CG522">
        <f t="shared" si="1039"/>
        <v>0</v>
      </c>
      <c r="CH522">
        <f t="shared" si="1039"/>
        <v>0</v>
      </c>
      <c r="CI522">
        <f t="shared" si="1039"/>
        <v>0</v>
      </c>
      <c r="CJ522">
        <f t="shared" si="1039"/>
        <v>0</v>
      </c>
      <c r="CK522">
        <f t="shared" si="1039"/>
        <v>0</v>
      </c>
      <c r="CL522">
        <f t="shared" si="1039"/>
        <v>0</v>
      </c>
      <c r="CM522">
        <f t="shared" si="1040"/>
        <v>0</v>
      </c>
      <c r="CN522">
        <f t="shared" si="1040"/>
        <v>0</v>
      </c>
      <c r="CO522">
        <f t="shared" si="1040"/>
        <v>0</v>
      </c>
      <c r="CP522">
        <f t="shared" si="1040"/>
        <v>0</v>
      </c>
      <c r="CQ522">
        <f t="shared" si="1040"/>
        <v>0</v>
      </c>
      <c r="CR522">
        <f t="shared" si="1040"/>
        <v>0</v>
      </c>
      <c r="CS522">
        <f t="shared" si="1040"/>
        <v>0</v>
      </c>
      <c r="CT522">
        <f t="shared" si="1040"/>
        <v>0</v>
      </c>
      <c r="CU522">
        <f t="shared" si="1040"/>
        <v>0</v>
      </c>
      <c r="CV522">
        <f t="shared" si="1040"/>
        <v>0</v>
      </c>
      <c r="CW522">
        <f t="shared" si="1041"/>
        <v>0</v>
      </c>
      <c r="CX522">
        <f t="shared" si="1041"/>
        <v>0</v>
      </c>
      <c r="CY522">
        <f t="shared" si="1041"/>
        <v>0</v>
      </c>
      <c r="CZ522">
        <f t="shared" si="1041"/>
        <v>0</v>
      </c>
      <c r="DA522">
        <f t="shared" si="1041"/>
        <v>0</v>
      </c>
      <c r="DB522">
        <f t="shared" si="1041"/>
        <v>0</v>
      </c>
      <c r="DC522">
        <f t="shared" si="1041"/>
        <v>0</v>
      </c>
      <c r="DD522">
        <f t="shared" si="1041"/>
        <v>0</v>
      </c>
      <c r="DE522">
        <f t="shared" si="1041"/>
        <v>0</v>
      </c>
      <c r="DF522">
        <f t="shared" si="1041"/>
        <v>0</v>
      </c>
      <c r="DG522">
        <f t="shared" si="1042"/>
        <v>0</v>
      </c>
      <c r="DH522">
        <f t="shared" si="1042"/>
        <v>0</v>
      </c>
      <c r="DI522">
        <f t="shared" si="1042"/>
        <v>0</v>
      </c>
      <c r="DJ522">
        <f t="shared" si="1042"/>
        <v>0</v>
      </c>
      <c r="DK522">
        <f t="shared" si="1042"/>
        <v>0</v>
      </c>
      <c r="DL522">
        <f t="shared" si="1042"/>
        <v>0</v>
      </c>
      <c r="DM522">
        <f t="shared" si="1042"/>
        <v>0</v>
      </c>
      <c r="DN522">
        <f t="shared" si="1042"/>
        <v>0</v>
      </c>
      <c r="DO522">
        <f t="shared" si="1042"/>
        <v>0</v>
      </c>
      <c r="DP522">
        <f t="shared" si="1042"/>
        <v>0</v>
      </c>
      <c r="DQ522">
        <f t="shared" si="1043"/>
        <v>0</v>
      </c>
      <c r="DR522">
        <f t="shared" si="1043"/>
        <v>0</v>
      </c>
      <c r="DS522">
        <f t="shared" si="1043"/>
        <v>0</v>
      </c>
      <c r="DT522">
        <f t="shared" si="1043"/>
        <v>0</v>
      </c>
      <c r="DU522">
        <f t="shared" si="1043"/>
        <v>0</v>
      </c>
      <c r="DV522">
        <f t="shared" si="1043"/>
        <v>0</v>
      </c>
      <c r="DW522">
        <f t="shared" si="1043"/>
        <v>0</v>
      </c>
      <c r="DX522">
        <f t="shared" si="1043"/>
        <v>0</v>
      </c>
      <c r="DY522">
        <f t="shared" si="1043"/>
        <v>0</v>
      </c>
      <c r="DZ522">
        <f t="shared" si="1043"/>
        <v>0</v>
      </c>
      <c r="EA522">
        <f t="shared" si="1044"/>
        <v>0</v>
      </c>
      <c r="EB522">
        <f t="shared" si="1044"/>
        <v>0</v>
      </c>
      <c r="EC522">
        <f t="shared" si="1044"/>
        <v>0</v>
      </c>
      <c r="ED522">
        <f t="shared" si="1044"/>
        <v>0</v>
      </c>
      <c r="EE522">
        <f t="shared" si="1044"/>
        <v>0</v>
      </c>
      <c r="EF522">
        <f t="shared" si="1044"/>
        <v>0</v>
      </c>
    </row>
    <row r="523" spans="1:136" ht="15.5">
      <c r="A523" s="90"/>
      <c r="B523" s="19" t="s">
        <v>205</v>
      </c>
      <c r="C523" s="94"/>
      <c r="D523" s="18">
        <v>0</v>
      </c>
      <c r="E523" s="18">
        <v>0</v>
      </c>
      <c r="F523" s="18">
        <v>0</v>
      </c>
      <c r="G523" s="18">
        <v>0</v>
      </c>
      <c r="H523" s="18">
        <v>0</v>
      </c>
      <c r="I523" s="18">
        <v>0</v>
      </c>
      <c r="J523" s="18">
        <v>0</v>
      </c>
      <c r="K523" s="18">
        <v>0</v>
      </c>
      <c r="L523" s="18">
        <v>0</v>
      </c>
      <c r="M523" s="18">
        <v>0</v>
      </c>
      <c r="N523" s="18">
        <v>0</v>
      </c>
      <c r="O523" s="18">
        <v>0</v>
      </c>
      <c r="P523" s="18">
        <v>0</v>
      </c>
      <c r="Q523" s="18">
        <v>0</v>
      </c>
      <c r="R523" s="18">
        <v>0</v>
      </c>
      <c r="S523" s="18">
        <v>0</v>
      </c>
      <c r="T523" s="60">
        <v>0</v>
      </c>
      <c r="U523" s="60">
        <v>0</v>
      </c>
      <c r="V523" s="60">
        <v>0</v>
      </c>
      <c r="W523" s="60">
        <v>0</v>
      </c>
      <c r="X523" s="60">
        <v>0</v>
      </c>
      <c r="Y523" s="60">
        <v>0</v>
      </c>
      <c r="Z523" s="60">
        <v>0.1014195</v>
      </c>
      <c r="AA523" s="60">
        <v>0.19687979999999999</v>
      </c>
      <c r="AB523" s="60">
        <v>0.20924870000000001</v>
      </c>
      <c r="AC523" s="18">
        <v>12.108562699999998</v>
      </c>
      <c r="AD523" s="60">
        <v>21.961127899999997</v>
      </c>
      <c r="AE523" s="60">
        <v>36.526454799999996</v>
      </c>
      <c r="AF523" s="60">
        <v>50.8668987</v>
      </c>
      <c r="AG523" s="60">
        <v>57.137585000000001</v>
      </c>
      <c r="AH523" s="230">
        <v>95.387452199999998</v>
      </c>
      <c r="AI523" s="60">
        <v>28.271249999999998</v>
      </c>
      <c r="AJ523" s="60">
        <v>34.139076299999999</v>
      </c>
      <c r="AK523" s="60">
        <v>37.583146499999998</v>
      </c>
      <c r="AL523" s="60">
        <v>40.826869100000003</v>
      </c>
      <c r="AM523" s="60">
        <v>5.6711409000000002</v>
      </c>
      <c r="AN523" s="18">
        <v>12.117088300000001</v>
      </c>
      <c r="AO523" s="60">
        <v>17.6613203</v>
      </c>
      <c r="AP523" s="60">
        <v>19.8114268</v>
      </c>
      <c r="AQ523" s="60">
        <v>22.4494379</v>
      </c>
      <c r="AR523" s="71">
        <v>23.446437399999997</v>
      </c>
      <c r="AS523" s="60">
        <v>0</v>
      </c>
      <c r="AT523" s="60">
        <v>0</v>
      </c>
      <c r="AU523" s="60">
        <v>0</v>
      </c>
      <c r="AV523" s="60">
        <v>0</v>
      </c>
      <c r="AW523" s="60">
        <v>45</v>
      </c>
      <c r="AX523" s="18">
        <v>28.0601783</v>
      </c>
      <c r="AY523" s="18">
        <v>25</v>
      </c>
      <c r="AZ523" s="60">
        <v>28.741525600000003</v>
      </c>
      <c r="BA523" s="60">
        <v>0</v>
      </c>
      <c r="BB523" s="18">
        <v>0</v>
      </c>
      <c r="BC523" s="18">
        <v>0</v>
      </c>
      <c r="BD523" s="60">
        <v>0</v>
      </c>
      <c r="BE523" s="61">
        <v>0</v>
      </c>
      <c r="BF523" s="25">
        <v>0</v>
      </c>
      <c r="BG523" s="25">
        <v>0</v>
      </c>
      <c r="BH523" s="25">
        <v>0</v>
      </c>
      <c r="BI523" s="25">
        <v>0</v>
      </c>
      <c r="BJ523" s="113">
        <v>0</v>
      </c>
      <c r="BK523" s="113">
        <v>0</v>
      </c>
      <c r="BL523" s="113">
        <v>3.9093040999999999</v>
      </c>
      <c r="BM523" s="113">
        <v>0</v>
      </c>
      <c r="BN523" s="113">
        <v>0</v>
      </c>
      <c r="BO523" s="113">
        <v>1</v>
      </c>
      <c r="BP523" s="113">
        <v>1</v>
      </c>
      <c r="BQ523" s="113">
        <v>1</v>
      </c>
      <c r="BR523" s="101"/>
      <c r="BS523">
        <f t="shared" si="1038"/>
        <v>0</v>
      </c>
      <c r="BT523">
        <f t="shared" si="1038"/>
        <v>0</v>
      </c>
      <c r="BU523">
        <f t="shared" si="1038"/>
        <v>0</v>
      </c>
      <c r="BV523">
        <f t="shared" si="1038"/>
        <v>0</v>
      </c>
      <c r="BW523">
        <f t="shared" si="1038"/>
        <v>0</v>
      </c>
      <c r="BX523">
        <f t="shared" si="1038"/>
        <v>0</v>
      </c>
      <c r="BY523">
        <f t="shared" si="1038"/>
        <v>0</v>
      </c>
      <c r="BZ523">
        <f t="shared" si="1038"/>
        <v>0</v>
      </c>
      <c r="CA523">
        <f t="shared" si="1038"/>
        <v>0</v>
      </c>
      <c r="CB523">
        <f t="shared" si="1038"/>
        <v>0</v>
      </c>
      <c r="CC523">
        <f t="shared" si="1039"/>
        <v>0</v>
      </c>
      <c r="CD523">
        <f t="shared" si="1039"/>
        <v>0</v>
      </c>
      <c r="CE523">
        <f t="shared" si="1039"/>
        <v>0</v>
      </c>
      <c r="CF523">
        <f t="shared" si="1039"/>
        <v>0</v>
      </c>
      <c r="CG523">
        <f t="shared" si="1039"/>
        <v>0</v>
      </c>
      <c r="CH523">
        <f t="shared" si="1039"/>
        <v>0</v>
      </c>
      <c r="CI523">
        <f t="shared" si="1039"/>
        <v>0</v>
      </c>
      <c r="CJ523">
        <f t="shared" si="1039"/>
        <v>0</v>
      </c>
      <c r="CK523">
        <f t="shared" si="1039"/>
        <v>0</v>
      </c>
      <c r="CL523">
        <f t="shared" si="1039"/>
        <v>0</v>
      </c>
      <c r="CM523">
        <f t="shared" si="1040"/>
        <v>0</v>
      </c>
      <c r="CN523">
        <f t="shared" si="1040"/>
        <v>0</v>
      </c>
      <c r="CO523">
        <f t="shared" si="1040"/>
        <v>0</v>
      </c>
      <c r="CP523">
        <f t="shared" si="1040"/>
        <v>0</v>
      </c>
      <c r="CQ523">
        <f t="shared" si="1040"/>
        <v>0</v>
      </c>
      <c r="CR523">
        <f t="shared" si="1040"/>
        <v>0</v>
      </c>
      <c r="CS523">
        <f t="shared" si="1040"/>
        <v>0</v>
      </c>
      <c r="CT523">
        <f t="shared" si="1040"/>
        <v>0</v>
      </c>
      <c r="CU523">
        <f t="shared" si="1040"/>
        <v>0</v>
      </c>
      <c r="CV523">
        <f t="shared" si="1040"/>
        <v>0</v>
      </c>
      <c r="CW523">
        <f t="shared" si="1041"/>
        <v>0</v>
      </c>
      <c r="CX523">
        <f t="shared" si="1041"/>
        <v>0</v>
      </c>
      <c r="CY523">
        <f t="shared" si="1041"/>
        <v>0</v>
      </c>
      <c r="CZ523">
        <f t="shared" si="1041"/>
        <v>0</v>
      </c>
      <c r="DA523">
        <f t="shared" si="1041"/>
        <v>0</v>
      </c>
      <c r="DB523">
        <f t="shared" si="1041"/>
        <v>0</v>
      </c>
      <c r="DC523">
        <f t="shared" si="1041"/>
        <v>0</v>
      </c>
      <c r="DD523">
        <f t="shared" si="1041"/>
        <v>0</v>
      </c>
      <c r="DE523">
        <f t="shared" si="1041"/>
        <v>0</v>
      </c>
      <c r="DF523">
        <f t="shared" si="1041"/>
        <v>0</v>
      </c>
      <c r="DG523">
        <f t="shared" si="1042"/>
        <v>0</v>
      </c>
      <c r="DH523">
        <f t="shared" si="1042"/>
        <v>0</v>
      </c>
      <c r="DI523">
        <f t="shared" si="1042"/>
        <v>0</v>
      </c>
      <c r="DJ523">
        <f t="shared" si="1042"/>
        <v>0</v>
      </c>
      <c r="DK523">
        <f t="shared" si="1042"/>
        <v>0</v>
      </c>
      <c r="DL523">
        <f t="shared" si="1042"/>
        <v>0</v>
      </c>
      <c r="DM523">
        <f t="shared" si="1042"/>
        <v>0</v>
      </c>
      <c r="DN523">
        <f t="shared" si="1042"/>
        <v>0</v>
      </c>
      <c r="DO523">
        <f t="shared" si="1042"/>
        <v>0</v>
      </c>
      <c r="DP523">
        <f t="shared" si="1042"/>
        <v>0</v>
      </c>
      <c r="DQ523">
        <f t="shared" si="1043"/>
        <v>0</v>
      </c>
      <c r="DR523">
        <f t="shared" si="1043"/>
        <v>0</v>
      </c>
      <c r="DS523">
        <f t="shared" si="1043"/>
        <v>0</v>
      </c>
      <c r="DT523">
        <f t="shared" si="1043"/>
        <v>0</v>
      </c>
      <c r="DU523">
        <f t="shared" si="1043"/>
        <v>0</v>
      </c>
      <c r="DV523">
        <f t="shared" si="1043"/>
        <v>0</v>
      </c>
      <c r="DW523">
        <f t="shared" si="1043"/>
        <v>0</v>
      </c>
      <c r="DX523">
        <f t="shared" si="1043"/>
        <v>0</v>
      </c>
      <c r="DY523">
        <f t="shared" si="1043"/>
        <v>0</v>
      </c>
      <c r="DZ523">
        <f t="shared" si="1043"/>
        <v>0</v>
      </c>
      <c r="EA523">
        <f t="shared" si="1044"/>
        <v>0</v>
      </c>
      <c r="EB523">
        <f t="shared" si="1044"/>
        <v>0</v>
      </c>
      <c r="EC523">
        <f t="shared" si="1044"/>
        <v>0</v>
      </c>
      <c r="ED523">
        <f t="shared" si="1044"/>
        <v>0</v>
      </c>
      <c r="EE523">
        <f t="shared" si="1044"/>
        <v>0</v>
      </c>
      <c r="EF523">
        <f t="shared" si="1044"/>
        <v>0</v>
      </c>
    </row>
    <row r="524" spans="1:136" ht="15.5">
      <c r="A524" s="90"/>
      <c r="B524" s="53" t="s">
        <v>3</v>
      </c>
      <c r="C524" s="94"/>
      <c r="D524" s="34">
        <v>0</v>
      </c>
      <c r="E524" s="34">
        <v>0</v>
      </c>
      <c r="F524" s="34">
        <v>0</v>
      </c>
      <c r="G524" s="34">
        <v>0</v>
      </c>
      <c r="H524" s="34">
        <v>0</v>
      </c>
      <c r="I524" s="34">
        <v>29</v>
      </c>
      <c r="J524" s="34">
        <v>0</v>
      </c>
      <c r="K524" s="34">
        <v>7</v>
      </c>
      <c r="L524" s="34">
        <v>9</v>
      </c>
      <c r="M524" s="34">
        <v>9</v>
      </c>
      <c r="N524" s="34">
        <v>11.172169999999999</v>
      </c>
      <c r="O524" s="34">
        <v>27.567150000000002</v>
      </c>
      <c r="P524" s="34">
        <v>45.023940000000003</v>
      </c>
      <c r="Q524" s="34">
        <v>71.442939999999993</v>
      </c>
      <c r="R524" s="34">
        <v>101.64709999999999</v>
      </c>
      <c r="S524" s="34">
        <v>128.71449999999999</v>
      </c>
      <c r="T524" s="34">
        <v>146.6952</v>
      </c>
      <c r="U524" s="34">
        <v>170.47659999999999</v>
      </c>
      <c r="V524" s="34">
        <v>198.178</v>
      </c>
      <c r="W524" s="34">
        <v>193.60640000000001</v>
      </c>
      <c r="X524" s="34">
        <v>113.50790000000001</v>
      </c>
      <c r="Y524" s="34">
        <v>116.5136</v>
      </c>
      <c r="Z524" s="34">
        <v>125.3407</v>
      </c>
      <c r="AA524" s="34">
        <v>129.22790000000001</v>
      </c>
      <c r="AB524" s="34">
        <v>119.84690000000001</v>
      </c>
      <c r="AC524" s="34">
        <v>118.0706</v>
      </c>
      <c r="AD524" s="40" t="s">
        <v>16</v>
      </c>
      <c r="AE524" s="34">
        <v>163.66829999999999</v>
      </c>
      <c r="AF524" s="34">
        <v>259.22140000000002</v>
      </c>
      <c r="AG524" s="34">
        <v>469</v>
      </c>
      <c r="AH524" s="34">
        <v>288.21629999999999</v>
      </c>
      <c r="AI524" s="34">
        <v>300.04770000000002</v>
      </c>
      <c r="AJ524" s="34">
        <v>233</v>
      </c>
      <c r="AK524" s="34">
        <v>351.8476</v>
      </c>
      <c r="AL524" s="34">
        <f>495.9641-AL523</f>
        <v>455.13723089999996</v>
      </c>
      <c r="AM524" s="34">
        <f>402-AM523</f>
        <v>396.32885909999999</v>
      </c>
      <c r="AN524" s="34">
        <f>457.7886-AN523</f>
        <v>445.6715117</v>
      </c>
      <c r="AO524" s="34">
        <f>376-AO523</f>
        <v>358.3386797</v>
      </c>
      <c r="AP524" s="34">
        <f>567.7782-AP523</f>
        <v>547.96677319999992</v>
      </c>
      <c r="AQ524" s="34">
        <f>546.9105-AQ523</f>
        <v>524.46106209999994</v>
      </c>
      <c r="AR524" s="34">
        <f>307.8925695-AR523</f>
        <v>284.4461321</v>
      </c>
      <c r="AS524" s="34">
        <v>318.08354700000001</v>
      </c>
      <c r="AT524" s="34">
        <v>312.44505620000001</v>
      </c>
      <c r="AU524" s="34">
        <v>308.44823070000001</v>
      </c>
      <c r="AV524" s="34">
        <v>292.95099609999994</v>
      </c>
      <c r="AW524" s="34">
        <f>294.0883114-AW523</f>
        <v>249.08831140000001</v>
      </c>
      <c r="AX524" s="34">
        <f>299.8197605-AX523</f>
        <v>271.75958219999995</v>
      </c>
      <c r="AY524" s="34">
        <f>309.2539224-AY523</f>
        <v>284.25392240000002</v>
      </c>
      <c r="AZ524" s="40" t="s">
        <v>252</v>
      </c>
      <c r="BA524" s="34">
        <v>142.3945157</v>
      </c>
      <c r="BB524" s="34">
        <v>188.0293858</v>
      </c>
      <c r="BC524" s="34">
        <v>131.9027146</v>
      </c>
      <c r="BD524" s="18">
        <f>2093.4144539-BD522</f>
        <v>1432.4144538999999</v>
      </c>
      <c r="BE524" s="74">
        <v>151.8458392</v>
      </c>
      <c r="BF524" s="18">
        <v>139.18167510000004</v>
      </c>
      <c r="BG524" s="18">
        <v>59.805703000000001</v>
      </c>
      <c r="BH524" s="18">
        <v>59.589813700000001</v>
      </c>
      <c r="BI524" s="18">
        <v>59.811290700000001</v>
      </c>
      <c r="BJ524" s="18">
        <v>59.903210399999999</v>
      </c>
      <c r="BK524" s="36">
        <v>60.028783600000004</v>
      </c>
      <c r="BL524" s="113">
        <v>95</v>
      </c>
      <c r="BM524" s="113">
        <v>96.113129599999994</v>
      </c>
      <c r="BN524" s="113">
        <v>59.569819600000002</v>
      </c>
      <c r="BO524" s="113">
        <v>60</v>
      </c>
      <c r="BP524" s="113">
        <v>60</v>
      </c>
      <c r="BQ524" s="113">
        <v>60</v>
      </c>
      <c r="BR524" s="101"/>
      <c r="BS524">
        <f t="shared" si="1038"/>
        <v>0</v>
      </c>
      <c r="BT524">
        <f t="shared" si="1038"/>
        <v>0</v>
      </c>
      <c r="BU524">
        <f t="shared" si="1038"/>
        <v>0</v>
      </c>
      <c r="BV524">
        <f t="shared" si="1038"/>
        <v>0</v>
      </c>
      <c r="BW524">
        <f t="shared" si="1038"/>
        <v>0</v>
      </c>
      <c r="BX524">
        <f t="shared" si="1038"/>
        <v>0</v>
      </c>
      <c r="BY524">
        <f t="shared" si="1038"/>
        <v>0</v>
      </c>
      <c r="BZ524">
        <f t="shared" si="1038"/>
        <v>0</v>
      </c>
      <c r="CA524">
        <f t="shared" si="1038"/>
        <v>0</v>
      </c>
      <c r="CB524">
        <f t="shared" si="1038"/>
        <v>0</v>
      </c>
      <c r="CC524">
        <f t="shared" si="1039"/>
        <v>0</v>
      </c>
      <c r="CD524">
        <f t="shared" si="1039"/>
        <v>0</v>
      </c>
      <c r="CE524">
        <f t="shared" si="1039"/>
        <v>0</v>
      </c>
      <c r="CF524">
        <f t="shared" si="1039"/>
        <v>0</v>
      </c>
      <c r="CG524">
        <f t="shared" si="1039"/>
        <v>0</v>
      </c>
      <c r="CH524">
        <f t="shared" si="1039"/>
        <v>0</v>
      </c>
      <c r="CI524">
        <f t="shared" si="1039"/>
        <v>0</v>
      </c>
      <c r="CJ524">
        <f t="shared" si="1039"/>
        <v>0</v>
      </c>
      <c r="CK524">
        <f t="shared" si="1039"/>
        <v>0</v>
      </c>
      <c r="CL524">
        <f t="shared" si="1039"/>
        <v>0</v>
      </c>
      <c r="CM524">
        <f t="shared" si="1040"/>
        <v>0</v>
      </c>
      <c r="CN524">
        <f t="shared" si="1040"/>
        <v>0</v>
      </c>
      <c r="CO524">
        <f t="shared" si="1040"/>
        <v>0</v>
      </c>
      <c r="CP524">
        <f t="shared" si="1040"/>
        <v>0</v>
      </c>
      <c r="CQ524">
        <f t="shared" si="1040"/>
        <v>0</v>
      </c>
      <c r="CR524">
        <f t="shared" si="1040"/>
        <v>0</v>
      </c>
      <c r="CS524">
        <f t="shared" si="1040"/>
        <v>0</v>
      </c>
      <c r="CT524">
        <f t="shared" si="1040"/>
        <v>0</v>
      </c>
      <c r="CU524">
        <f t="shared" si="1040"/>
        <v>0</v>
      </c>
      <c r="CV524">
        <f t="shared" si="1040"/>
        <v>0</v>
      </c>
      <c r="CW524">
        <f t="shared" si="1041"/>
        <v>0</v>
      </c>
      <c r="CX524">
        <f t="shared" si="1041"/>
        <v>0</v>
      </c>
      <c r="CY524">
        <f t="shared" si="1041"/>
        <v>0</v>
      </c>
      <c r="CZ524">
        <f t="shared" si="1041"/>
        <v>0</v>
      </c>
      <c r="DA524">
        <f t="shared" si="1041"/>
        <v>0</v>
      </c>
      <c r="DB524">
        <f t="shared" si="1041"/>
        <v>0</v>
      </c>
      <c r="DC524">
        <f t="shared" si="1041"/>
        <v>0</v>
      </c>
      <c r="DD524">
        <f t="shared" si="1041"/>
        <v>0</v>
      </c>
      <c r="DE524">
        <f t="shared" si="1041"/>
        <v>0</v>
      </c>
      <c r="DF524">
        <f t="shared" si="1041"/>
        <v>0</v>
      </c>
      <c r="DG524">
        <f t="shared" si="1042"/>
        <v>0</v>
      </c>
      <c r="DH524">
        <f t="shared" si="1042"/>
        <v>0</v>
      </c>
      <c r="DI524">
        <f t="shared" si="1042"/>
        <v>0</v>
      </c>
      <c r="DJ524">
        <f t="shared" si="1042"/>
        <v>0</v>
      </c>
      <c r="DK524">
        <f t="shared" si="1042"/>
        <v>0</v>
      </c>
      <c r="DL524">
        <f t="shared" si="1042"/>
        <v>0</v>
      </c>
      <c r="DM524">
        <f t="shared" si="1042"/>
        <v>0</v>
      </c>
      <c r="DN524">
        <f t="shared" si="1042"/>
        <v>0</v>
      </c>
      <c r="DO524">
        <f t="shared" si="1042"/>
        <v>0</v>
      </c>
      <c r="DP524">
        <f t="shared" si="1042"/>
        <v>0</v>
      </c>
      <c r="DQ524">
        <f t="shared" si="1043"/>
        <v>0</v>
      </c>
      <c r="DR524">
        <f t="shared" si="1043"/>
        <v>0</v>
      </c>
      <c r="DS524">
        <f t="shared" si="1043"/>
        <v>0</v>
      </c>
      <c r="DT524">
        <f t="shared" si="1043"/>
        <v>0</v>
      </c>
      <c r="DU524">
        <f t="shared" si="1043"/>
        <v>0</v>
      </c>
      <c r="DV524">
        <f t="shared" si="1043"/>
        <v>0</v>
      </c>
      <c r="DW524">
        <f t="shared" si="1043"/>
        <v>0</v>
      </c>
      <c r="DX524">
        <f t="shared" si="1043"/>
        <v>0</v>
      </c>
      <c r="DY524">
        <f t="shared" si="1043"/>
        <v>0</v>
      </c>
      <c r="DZ524">
        <f t="shared" si="1043"/>
        <v>0</v>
      </c>
      <c r="EA524">
        <f t="shared" si="1044"/>
        <v>0</v>
      </c>
      <c r="EB524">
        <f t="shared" si="1044"/>
        <v>0</v>
      </c>
      <c r="EC524">
        <f t="shared" si="1044"/>
        <v>0</v>
      </c>
      <c r="ED524">
        <f t="shared" si="1044"/>
        <v>0</v>
      </c>
      <c r="EE524">
        <f t="shared" si="1044"/>
        <v>0</v>
      </c>
      <c r="EF524">
        <f t="shared" si="1044"/>
        <v>0</v>
      </c>
    </row>
    <row r="525" spans="1:136" ht="15.5">
      <c r="A525" s="90"/>
      <c r="B525" s="53" t="s">
        <v>18</v>
      </c>
      <c r="C525" s="94"/>
      <c r="D525" s="18">
        <v>0</v>
      </c>
      <c r="E525" s="18">
        <v>0</v>
      </c>
      <c r="F525" s="18">
        <v>0</v>
      </c>
      <c r="G525" s="18">
        <v>0</v>
      </c>
      <c r="H525" s="18">
        <v>0</v>
      </c>
      <c r="I525" s="18">
        <v>0</v>
      </c>
      <c r="J525" s="18">
        <v>0</v>
      </c>
      <c r="K525" s="18">
        <v>0</v>
      </c>
      <c r="L525" s="18">
        <v>0</v>
      </c>
      <c r="M525" s="18">
        <v>0</v>
      </c>
      <c r="N525" s="18">
        <v>0</v>
      </c>
      <c r="O525" s="18">
        <v>0</v>
      </c>
      <c r="P525" s="18">
        <v>0</v>
      </c>
      <c r="Q525" s="18">
        <v>0</v>
      </c>
      <c r="R525" s="18">
        <v>0</v>
      </c>
      <c r="S525" s="18">
        <v>0</v>
      </c>
      <c r="T525" s="18">
        <v>0</v>
      </c>
      <c r="U525" s="18">
        <v>0</v>
      </c>
      <c r="V525" s="18">
        <v>0</v>
      </c>
      <c r="W525" s="18">
        <v>0</v>
      </c>
      <c r="X525" s="18">
        <v>0</v>
      </c>
      <c r="Y525" s="18">
        <v>0</v>
      </c>
      <c r="Z525" s="18">
        <v>0</v>
      </c>
      <c r="AA525" s="18">
        <v>0</v>
      </c>
      <c r="AB525" s="18">
        <v>0</v>
      </c>
      <c r="AC525" s="18">
        <v>0</v>
      </c>
      <c r="AD525" s="18">
        <v>0</v>
      </c>
      <c r="AE525" s="18">
        <v>25</v>
      </c>
      <c r="AF525" s="71">
        <v>43</v>
      </c>
      <c r="AG525" s="40" t="s">
        <v>16</v>
      </c>
      <c r="AH525" s="40" t="s">
        <v>16</v>
      </c>
      <c r="AI525" s="40" t="s">
        <v>16</v>
      </c>
      <c r="AJ525" s="40" t="s">
        <v>16</v>
      </c>
      <c r="AK525" s="40" t="s">
        <v>16</v>
      </c>
      <c r="AL525" s="40" t="s">
        <v>16</v>
      </c>
      <c r="AM525" s="40" t="s">
        <v>16</v>
      </c>
      <c r="AN525" s="40" t="s">
        <v>16</v>
      </c>
      <c r="AO525" s="40" t="s">
        <v>16</v>
      </c>
      <c r="AP525" s="18">
        <v>130</v>
      </c>
      <c r="AQ525" s="18">
        <v>0</v>
      </c>
      <c r="AR525" s="18">
        <v>92</v>
      </c>
      <c r="AS525" s="18">
        <v>0</v>
      </c>
      <c r="AT525" s="18">
        <v>0</v>
      </c>
      <c r="AU525" s="18">
        <v>0</v>
      </c>
      <c r="AV525" s="18">
        <v>0</v>
      </c>
      <c r="AW525" s="18">
        <v>0</v>
      </c>
      <c r="AX525" s="18">
        <v>0</v>
      </c>
      <c r="AY525" s="18">
        <v>0</v>
      </c>
      <c r="AZ525" s="18">
        <v>0</v>
      </c>
      <c r="BA525" s="18">
        <v>0</v>
      </c>
      <c r="BB525" s="18">
        <v>0</v>
      </c>
      <c r="BC525" s="18">
        <v>0</v>
      </c>
      <c r="BD525" s="18">
        <v>0</v>
      </c>
      <c r="BE525" s="25">
        <v>0</v>
      </c>
      <c r="BF525" s="25">
        <v>0</v>
      </c>
      <c r="BG525" s="25">
        <v>0</v>
      </c>
      <c r="BH525" s="25">
        <v>0</v>
      </c>
      <c r="BI525" s="25">
        <v>0</v>
      </c>
      <c r="BJ525" s="113">
        <v>0</v>
      </c>
      <c r="BK525" s="113">
        <v>0</v>
      </c>
      <c r="BL525" s="113">
        <v>0</v>
      </c>
      <c r="BM525" s="113">
        <v>0</v>
      </c>
      <c r="BN525" s="113">
        <v>0</v>
      </c>
      <c r="BO525" s="113">
        <v>0</v>
      </c>
      <c r="BP525" s="113">
        <v>0</v>
      </c>
      <c r="BQ525" s="113">
        <v>0</v>
      </c>
      <c r="BR525" s="101"/>
      <c r="BS525">
        <f t="shared" si="1038"/>
        <v>0</v>
      </c>
      <c r="BT525">
        <f t="shared" si="1038"/>
        <v>0</v>
      </c>
      <c r="BU525">
        <f t="shared" si="1038"/>
        <v>0</v>
      </c>
      <c r="BV525">
        <f t="shared" si="1038"/>
        <v>0</v>
      </c>
      <c r="BW525">
        <f t="shared" si="1038"/>
        <v>0</v>
      </c>
      <c r="BX525">
        <f t="shared" si="1038"/>
        <v>0</v>
      </c>
      <c r="BY525">
        <f t="shared" si="1038"/>
        <v>0</v>
      </c>
      <c r="BZ525">
        <f t="shared" si="1038"/>
        <v>0</v>
      </c>
      <c r="CA525">
        <f t="shared" si="1038"/>
        <v>0</v>
      </c>
      <c r="CB525">
        <f t="shared" si="1038"/>
        <v>0</v>
      </c>
      <c r="CC525">
        <f t="shared" si="1039"/>
        <v>0</v>
      </c>
      <c r="CD525">
        <f t="shared" si="1039"/>
        <v>0</v>
      </c>
      <c r="CE525">
        <f t="shared" si="1039"/>
        <v>0</v>
      </c>
      <c r="CF525">
        <f t="shared" si="1039"/>
        <v>0</v>
      </c>
      <c r="CG525">
        <f t="shared" si="1039"/>
        <v>0</v>
      </c>
      <c r="CH525">
        <f t="shared" si="1039"/>
        <v>0</v>
      </c>
      <c r="CI525">
        <f t="shared" si="1039"/>
        <v>0</v>
      </c>
      <c r="CJ525">
        <f t="shared" si="1039"/>
        <v>0</v>
      </c>
      <c r="CK525">
        <f t="shared" si="1039"/>
        <v>0</v>
      </c>
      <c r="CL525">
        <f t="shared" si="1039"/>
        <v>0</v>
      </c>
      <c r="CM525">
        <f t="shared" si="1040"/>
        <v>0</v>
      </c>
      <c r="CN525">
        <f t="shared" si="1040"/>
        <v>0</v>
      </c>
      <c r="CO525">
        <f t="shared" si="1040"/>
        <v>0</v>
      </c>
      <c r="CP525">
        <f t="shared" si="1040"/>
        <v>0</v>
      </c>
      <c r="CQ525">
        <f t="shared" si="1040"/>
        <v>0</v>
      </c>
      <c r="CR525">
        <f t="shared" si="1040"/>
        <v>0</v>
      </c>
      <c r="CS525">
        <f t="shared" si="1040"/>
        <v>0</v>
      </c>
      <c r="CT525">
        <f t="shared" si="1040"/>
        <v>0</v>
      </c>
      <c r="CU525">
        <f t="shared" si="1040"/>
        <v>0</v>
      </c>
      <c r="CV525">
        <f t="shared" si="1040"/>
        <v>0</v>
      </c>
      <c r="CW525">
        <f t="shared" si="1041"/>
        <v>0</v>
      </c>
      <c r="CX525">
        <f t="shared" si="1041"/>
        <v>0</v>
      </c>
      <c r="CY525">
        <f t="shared" si="1041"/>
        <v>0</v>
      </c>
      <c r="CZ525">
        <f t="shared" si="1041"/>
        <v>0</v>
      </c>
      <c r="DA525">
        <f t="shared" si="1041"/>
        <v>0</v>
      </c>
      <c r="DB525">
        <f t="shared" si="1041"/>
        <v>0</v>
      </c>
      <c r="DC525">
        <f t="shared" si="1041"/>
        <v>0</v>
      </c>
      <c r="DD525">
        <f t="shared" si="1041"/>
        <v>0</v>
      </c>
      <c r="DE525">
        <f t="shared" si="1041"/>
        <v>0</v>
      </c>
      <c r="DF525">
        <f t="shared" si="1041"/>
        <v>0</v>
      </c>
      <c r="DG525">
        <f t="shared" si="1042"/>
        <v>0</v>
      </c>
      <c r="DH525">
        <f t="shared" si="1042"/>
        <v>0</v>
      </c>
      <c r="DI525">
        <f t="shared" si="1042"/>
        <v>0</v>
      </c>
      <c r="DJ525">
        <f t="shared" si="1042"/>
        <v>0</v>
      </c>
      <c r="DK525">
        <f t="shared" si="1042"/>
        <v>0</v>
      </c>
      <c r="DL525">
        <f t="shared" si="1042"/>
        <v>0</v>
      </c>
      <c r="DM525">
        <f t="shared" si="1042"/>
        <v>0</v>
      </c>
      <c r="DN525">
        <f t="shared" si="1042"/>
        <v>0</v>
      </c>
      <c r="DO525">
        <f t="shared" si="1042"/>
        <v>0</v>
      </c>
      <c r="DP525">
        <f t="shared" si="1042"/>
        <v>0</v>
      </c>
      <c r="DQ525">
        <f t="shared" si="1043"/>
        <v>0</v>
      </c>
      <c r="DR525">
        <f t="shared" si="1043"/>
        <v>0</v>
      </c>
      <c r="DS525">
        <f t="shared" si="1043"/>
        <v>0</v>
      </c>
      <c r="DT525">
        <f t="shared" si="1043"/>
        <v>0</v>
      </c>
      <c r="DU525">
        <f t="shared" si="1043"/>
        <v>0</v>
      </c>
      <c r="DV525">
        <f t="shared" si="1043"/>
        <v>0</v>
      </c>
      <c r="DW525">
        <f t="shared" si="1043"/>
        <v>0</v>
      </c>
      <c r="DX525">
        <f t="shared" si="1043"/>
        <v>0</v>
      </c>
      <c r="DY525">
        <f t="shared" si="1043"/>
        <v>0</v>
      </c>
      <c r="DZ525">
        <f t="shared" si="1043"/>
        <v>0</v>
      </c>
      <c r="EA525">
        <f t="shared" si="1044"/>
        <v>0</v>
      </c>
      <c r="EB525">
        <f t="shared" si="1044"/>
        <v>0</v>
      </c>
      <c r="EC525">
        <f t="shared" si="1044"/>
        <v>0</v>
      </c>
      <c r="ED525">
        <f t="shared" si="1044"/>
        <v>0</v>
      </c>
      <c r="EE525">
        <f t="shared" si="1044"/>
        <v>0</v>
      </c>
      <c r="EF525">
        <f t="shared" si="1044"/>
        <v>0</v>
      </c>
    </row>
    <row r="526" spans="1:136" ht="15.5">
      <c r="A526" s="90"/>
      <c r="B526" s="19" t="s">
        <v>208</v>
      </c>
      <c r="C526" s="94"/>
      <c r="D526" s="18">
        <v>0</v>
      </c>
      <c r="E526" s="18">
        <v>0</v>
      </c>
      <c r="F526" s="18">
        <v>0</v>
      </c>
      <c r="G526" s="18">
        <v>0</v>
      </c>
      <c r="H526" s="18">
        <v>0</v>
      </c>
      <c r="I526" s="18">
        <v>0</v>
      </c>
      <c r="J526" s="18">
        <v>0</v>
      </c>
      <c r="K526" s="18">
        <v>0</v>
      </c>
      <c r="L526" s="18">
        <v>0</v>
      </c>
      <c r="M526" s="18">
        <v>0</v>
      </c>
      <c r="N526" s="18">
        <v>10.46782</v>
      </c>
      <c r="O526" s="18">
        <v>14.316459999999999</v>
      </c>
      <c r="P526" s="18">
        <v>17.82206</v>
      </c>
      <c r="Q526" s="18">
        <v>24.453119999999998</v>
      </c>
      <c r="R526" s="18">
        <v>27.977519999999998</v>
      </c>
      <c r="S526" s="18">
        <v>29.05829</v>
      </c>
      <c r="T526" s="18">
        <v>25.61721</v>
      </c>
      <c r="U526" s="18">
        <v>30.253820000000001</v>
      </c>
      <c r="V526" s="18">
        <v>44.760980000000004</v>
      </c>
      <c r="W526" s="18">
        <v>55.416649999999997</v>
      </c>
      <c r="X526" s="18">
        <v>20.763249999999999</v>
      </c>
      <c r="Y526" s="18">
        <v>43.626330000000003</v>
      </c>
      <c r="Z526" s="18">
        <v>65.807590000000005</v>
      </c>
      <c r="AA526" s="18">
        <v>78.085989999999995</v>
      </c>
      <c r="AB526" s="18">
        <v>81.671670000000006</v>
      </c>
      <c r="AC526" s="18">
        <v>143.13839999999999</v>
      </c>
      <c r="AD526" s="18">
        <v>25.894369999999999</v>
      </c>
      <c r="AE526" s="18">
        <v>23</v>
      </c>
      <c r="AF526" s="18">
        <v>2</v>
      </c>
      <c r="AG526" s="18">
        <v>61.906849999999999</v>
      </c>
      <c r="AH526" s="18">
        <v>31.06392</v>
      </c>
      <c r="AI526" s="18">
        <v>44.586100000000002</v>
      </c>
      <c r="AJ526" s="18">
        <v>50.890560000000001</v>
      </c>
      <c r="AK526" s="18">
        <v>61.28219</v>
      </c>
      <c r="AL526" s="18">
        <v>69.365799999999993</v>
      </c>
      <c r="AM526" s="18">
        <v>70.11721</v>
      </c>
      <c r="AN526" s="18">
        <v>77.158839999999998</v>
      </c>
      <c r="AO526" s="18">
        <v>73.774249999999995</v>
      </c>
      <c r="AP526" s="40" t="s">
        <v>16</v>
      </c>
      <c r="AQ526" s="18">
        <v>28.242999999999999</v>
      </c>
      <c r="AR526" s="40" t="s">
        <v>16</v>
      </c>
      <c r="AS526" s="18">
        <v>34.725999999999999</v>
      </c>
      <c r="AT526" s="18">
        <v>34.725999999999999</v>
      </c>
      <c r="AU526" s="18">
        <v>34.725999999999999</v>
      </c>
      <c r="AV526" s="18">
        <v>35.626348100000001</v>
      </c>
      <c r="AW526" s="18">
        <v>37.465263399999998</v>
      </c>
      <c r="AX526" s="18">
        <v>39.994</v>
      </c>
      <c r="AY526" s="18">
        <v>45.373699299999998</v>
      </c>
      <c r="AZ526" s="18">
        <v>44.792166100000003</v>
      </c>
      <c r="BA526" s="18">
        <v>26.974859800000001</v>
      </c>
      <c r="BB526" s="18">
        <v>26.219734600000002</v>
      </c>
      <c r="BC526" s="18">
        <v>31.028565399999998</v>
      </c>
      <c r="BD526" s="18">
        <v>32.564599600000001</v>
      </c>
      <c r="BE526" s="25">
        <v>33.288999400000002</v>
      </c>
      <c r="BF526" s="18">
        <v>31.2868894</v>
      </c>
      <c r="BG526" s="18">
        <v>29.765285800000001</v>
      </c>
      <c r="BH526" s="18">
        <v>29.3454494</v>
      </c>
      <c r="BI526" s="18">
        <v>31.1073062</v>
      </c>
      <c r="BJ526" s="18">
        <v>30.448429999999998</v>
      </c>
      <c r="BK526" s="34">
        <v>30.186335600000003</v>
      </c>
      <c r="BL526" s="113">
        <v>31.444631399999999</v>
      </c>
      <c r="BM526" s="113">
        <v>30.297968399999998</v>
      </c>
      <c r="BN526" s="113">
        <v>61</v>
      </c>
      <c r="BO526" s="113">
        <v>65</v>
      </c>
      <c r="BP526" s="113">
        <v>65</v>
      </c>
      <c r="BQ526" s="113">
        <v>65</v>
      </c>
      <c r="BR526" s="101"/>
      <c r="BS526">
        <f t="shared" si="1038"/>
        <v>0</v>
      </c>
      <c r="BT526">
        <f t="shared" si="1038"/>
        <v>0</v>
      </c>
      <c r="BU526">
        <f t="shared" si="1038"/>
        <v>0</v>
      </c>
      <c r="BV526">
        <f t="shared" si="1038"/>
        <v>0</v>
      </c>
      <c r="BW526">
        <f t="shared" si="1038"/>
        <v>0</v>
      </c>
      <c r="BX526">
        <f t="shared" si="1038"/>
        <v>0</v>
      </c>
      <c r="BY526">
        <f t="shared" si="1038"/>
        <v>0</v>
      </c>
      <c r="BZ526">
        <f t="shared" si="1038"/>
        <v>0</v>
      </c>
      <c r="CA526">
        <f t="shared" si="1038"/>
        <v>0</v>
      </c>
      <c r="CB526">
        <f t="shared" si="1038"/>
        <v>0</v>
      </c>
      <c r="CC526">
        <f t="shared" si="1039"/>
        <v>0</v>
      </c>
      <c r="CD526">
        <f t="shared" si="1039"/>
        <v>0</v>
      </c>
      <c r="CE526">
        <f t="shared" si="1039"/>
        <v>0</v>
      </c>
      <c r="CF526">
        <f t="shared" si="1039"/>
        <v>0</v>
      </c>
      <c r="CG526">
        <f t="shared" si="1039"/>
        <v>0</v>
      </c>
      <c r="CH526">
        <f t="shared" si="1039"/>
        <v>0</v>
      </c>
      <c r="CI526">
        <f t="shared" si="1039"/>
        <v>0</v>
      </c>
      <c r="CJ526">
        <f t="shared" si="1039"/>
        <v>0</v>
      </c>
      <c r="CK526">
        <f t="shared" si="1039"/>
        <v>0</v>
      </c>
      <c r="CL526">
        <f t="shared" si="1039"/>
        <v>0</v>
      </c>
      <c r="CM526">
        <f t="shared" si="1040"/>
        <v>0</v>
      </c>
      <c r="CN526">
        <f t="shared" si="1040"/>
        <v>0</v>
      </c>
      <c r="CO526">
        <f t="shared" si="1040"/>
        <v>0</v>
      </c>
      <c r="CP526">
        <f t="shared" si="1040"/>
        <v>0</v>
      </c>
      <c r="CQ526">
        <f t="shared" si="1040"/>
        <v>0</v>
      </c>
      <c r="CR526">
        <f t="shared" si="1040"/>
        <v>0</v>
      </c>
      <c r="CS526">
        <f t="shared" si="1040"/>
        <v>0</v>
      </c>
      <c r="CT526">
        <f t="shared" si="1040"/>
        <v>0</v>
      </c>
      <c r="CU526">
        <f t="shared" si="1040"/>
        <v>0</v>
      </c>
      <c r="CV526">
        <f t="shared" si="1040"/>
        <v>0</v>
      </c>
      <c r="CW526">
        <f t="shared" si="1041"/>
        <v>0</v>
      </c>
      <c r="CX526">
        <f t="shared" si="1041"/>
        <v>0</v>
      </c>
      <c r="CY526">
        <f t="shared" si="1041"/>
        <v>0</v>
      </c>
      <c r="CZ526">
        <f t="shared" si="1041"/>
        <v>0</v>
      </c>
      <c r="DA526">
        <f t="shared" si="1041"/>
        <v>0</v>
      </c>
      <c r="DB526">
        <f t="shared" si="1041"/>
        <v>0</v>
      </c>
      <c r="DC526">
        <f t="shared" si="1041"/>
        <v>0</v>
      </c>
      <c r="DD526">
        <f t="shared" si="1041"/>
        <v>0</v>
      </c>
      <c r="DE526">
        <f t="shared" si="1041"/>
        <v>0</v>
      </c>
      <c r="DF526">
        <f t="shared" si="1041"/>
        <v>0</v>
      </c>
      <c r="DG526">
        <f t="shared" si="1042"/>
        <v>0</v>
      </c>
      <c r="DH526">
        <f t="shared" si="1042"/>
        <v>0</v>
      </c>
      <c r="DI526">
        <f t="shared" si="1042"/>
        <v>0</v>
      </c>
      <c r="DJ526">
        <f t="shared" si="1042"/>
        <v>0</v>
      </c>
      <c r="DK526">
        <f t="shared" si="1042"/>
        <v>0</v>
      </c>
      <c r="DL526">
        <f t="shared" si="1042"/>
        <v>0</v>
      </c>
      <c r="DM526">
        <f t="shared" si="1042"/>
        <v>0</v>
      </c>
      <c r="DN526">
        <f t="shared" si="1042"/>
        <v>0</v>
      </c>
      <c r="DO526">
        <f t="shared" si="1042"/>
        <v>0</v>
      </c>
      <c r="DP526">
        <f t="shared" si="1042"/>
        <v>0</v>
      </c>
      <c r="DQ526">
        <f t="shared" si="1043"/>
        <v>0</v>
      </c>
      <c r="DR526">
        <f t="shared" si="1043"/>
        <v>0</v>
      </c>
      <c r="DS526">
        <f t="shared" si="1043"/>
        <v>0</v>
      </c>
      <c r="DT526">
        <f t="shared" si="1043"/>
        <v>0</v>
      </c>
      <c r="DU526">
        <f t="shared" si="1043"/>
        <v>0</v>
      </c>
      <c r="DV526">
        <f t="shared" si="1043"/>
        <v>0</v>
      </c>
      <c r="DW526">
        <f t="shared" si="1043"/>
        <v>0</v>
      </c>
      <c r="DX526">
        <f t="shared" si="1043"/>
        <v>0</v>
      </c>
      <c r="DY526">
        <f t="shared" si="1043"/>
        <v>0</v>
      </c>
      <c r="DZ526">
        <f t="shared" si="1043"/>
        <v>0</v>
      </c>
      <c r="EA526">
        <f t="shared" si="1044"/>
        <v>0</v>
      </c>
      <c r="EB526">
        <f t="shared" si="1044"/>
        <v>0</v>
      </c>
      <c r="EC526">
        <f t="shared" si="1044"/>
        <v>0</v>
      </c>
      <c r="ED526">
        <f t="shared" si="1044"/>
        <v>0</v>
      </c>
      <c r="EE526">
        <f t="shared" si="1044"/>
        <v>0</v>
      </c>
      <c r="EF526">
        <f t="shared" si="1044"/>
        <v>0</v>
      </c>
    </row>
    <row r="527" spans="1:136" ht="15.5">
      <c r="A527" s="90"/>
      <c r="B527" s="19" t="s">
        <v>212</v>
      </c>
      <c r="C527" s="94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>
        <v>892.0560747663551</v>
      </c>
      <c r="AF527" s="18">
        <v>807.59493670886081</v>
      </c>
      <c r="AG527" s="18">
        <v>654.89864864864865</v>
      </c>
      <c r="AH527" s="18">
        <v>599.84848484848487</v>
      </c>
      <c r="AI527" s="18">
        <v>524.53580901856765</v>
      </c>
      <c r="AJ527" s="18">
        <v>416.29711751662973</v>
      </c>
      <c r="AK527" s="18">
        <v>388.79581151832463</v>
      </c>
      <c r="AL527" s="18">
        <v>388.1269191402252</v>
      </c>
      <c r="AM527" s="18">
        <v>341.67507568113018</v>
      </c>
      <c r="AN527" s="18">
        <v>328.58565737051794</v>
      </c>
      <c r="AO527" s="18">
        <v>275.4337899543379</v>
      </c>
      <c r="AP527" s="18">
        <v>190.8649959579628</v>
      </c>
      <c r="AQ527" s="18">
        <v>170.51189617880317</v>
      </c>
      <c r="AR527" s="18">
        <v>110.58958214081282</v>
      </c>
      <c r="AS527" s="18">
        <v>96.924654023577659</v>
      </c>
      <c r="AT527" s="18">
        <v>70.647773279352222</v>
      </c>
      <c r="AU527" s="18">
        <v>94.833759590792837</v>
      </c>
      <c r="AV527" s="18">
        <v>74.522522522522522</v>
      </c>
      <c r="AW527" s="18">
        <v>40.376028202115158</v>
      </c>
      <c r="AX527" s="18">
        <v>14.674512688488415</v>
      </c>
      <c r="AY527" s="18">
        <v>36.874702239161508</v>
      </c>
      <c r="AZ527" s="18">
        <v>1259.8456729830045</v>
      </c>
      <c r="BA527" s="18">
        <v>1303.3852061438965</v>
      </c>
      <c r="BB527" s="18">
        <v>910.45652173913038</v>
      </c>
      <c r="BC527" s="18">
        <v>881.68215359387807</v>
      </c>
      <c r="BD527" s="18">
        <v>906.88786526558226</v>
      </c>
      <c r="BE527" s="25">
        <v>906.10527829713794</v>
      </c>
      <c r="BF527" s="18">
        <v>935.86283185840705</v>
      </c>
      <c r="BG527" s="18">
        <v>872.22878907276072</v>
      </c>
      <c r="BH527" s="18">
        <v>745.11232876712324</v>
      </c>
      <c r="BI527" s="18">
        <v>865.27451638152741</v>
      </c>
      <c r="BJ527" s="18">
        <v>922.57859454461391</v>
      </c>
      <c r="BK527" s="34">
        <v>658.35264483627202</v>
      </c>
      <c r="BL527" s="113">
        <v>405.95969773299748</v>
      </c>
      <c r="BM527" s="113">
        <v>873.76444689047878</v>
      </c>
      <c r="BN527" s="113">
        <v>608.68301026225765</v>
      </c>
      <c r="BO527" s="113">
        <v>621.14847568070752</v>
      </c>
      <c r="BP527" s="113">
        <v>563</v>
      </c>
      <c r="BQ527" s="113">
        <v>565</v>
      </c>
      <c r="BR527" s="101"/>
      <c r="BS527">
        <f t="shared" si="1038"/>
        <v>0</v>
      </c>
      <c r="BT527">
        <f t="shared" si="1038"/>
        <v>0</v>
      </c>
      <c r="BU527">
        <f t="shared" si="1038"/>
        <v>0</v>
      </c>
      <c r="BV527">
        <f t="shared" si="1038"/>
        <v>0</v>
      </c>
      <c r="BW527">
        <f t="shared" si="1038"/>
        <v>0</v>
      </c>
      <c r="BX527">
        <f t="shared" si="1038"/>
        <v>0</v>
      </c>
      <c r="BY527">
        <f t="shared" si="1038"/>
        <v>0</v>
      </c>
      <c r="BZ527">
        <f t="shared" si="1038"/>
        <v>0</v>
      </c>
      <c r="CA527">
        <f t="shared" si="1038"/>
        <v>0</v>
      </c>
      <c r="CB527">
        <f t="shared" si="1038"/>
        <v>0</v>
      </c>
      <c r="CC527">
        <f t="shared" si="1039"/>
        <v>0</v>
      </c>
      <c r="CD527">
        <f t="shared" si="1039"/>
        <v>0</v>
      </c>
      <c r="CE527">
        <f t="shared" si="1039"/>
        <v>0</v>
      </c>
      <c r="CF527">
        <f t="shared" si="1039"/>
        <v>0</v>
      </c>
      <c r="CG527">
        <f t="shared" si="1039"/>
        <v>0</v>
      </c>
      <c r="CH527">
        <f t="shared" si="1039"/>
        <v>0</v>
      </c>
      <c r="CI527">
        <f t="shared" si="1039"/>
        <v>0</v>
      </c>
      <c r="CJ527">
        <f t="shared" si="1039"/>
        <v>0</v>
      </c>
      <c r="CK527">
        <f t="shared" si="1039"/>
        <v>0</v>
      </c>
      <c r="CL527">
        <f t="shared" si="1039"/>
        <v>0</v>
      </c>
      <c r="CM527">
        <f t="shared" si="1040"/>
        <v>0</v>
      </c>
      <c r="CN527">
        <f t="shared" si="1040"/>
        <v>0</v>
      </c>
      <c r="CO527">
        <f t="shared" si="1040"/>
        <v>0</v>
      </c>
      <c r="CP527">
        <f t="shared" si="1040"/>
        <v>0</v>
      </c>
      <c r="CQ527">
        <f t="shared" si="1040"/>
        <v>0</v>
      </c>
      <c r="CR527">
        <f t="shared" si="1040"/>
        <v>0</v>
      </c>
      <c r="CS527">
        <f t="shared" si="1040"/>
        <v>0</v>
      </c>
      <c r="CT527">
        <f t="shared" si="1040"/>
        <v>0</v>
      </c>
      <c r="CU527">
        <f t="shared" si="1040"/>
        <v>0</v>
      </c>
      <c r="CV527">
        <f t="shared" si="1040"/>
        <v>0</v>
      </c>
      <c r="CW527">
        <f t="shared" si="1041"/>
        <v>0</v>
      </c>
      <c r="CX527">
        <f t="shared" si="1041"/>
        <v>0</v>
      </c>
      <c r="CY527">
        <f t="shared" si="1041"/>
        <v>0</v>
      </c>
      <c r="CZ527">
        <f t="shared" si="1041"/>
        <v>0</v>
      </c>
      <c r="DA527">
        <f t="shared" si="1041"/>
        <v>0</v>
      </c>
      <c r="DB527">
        <f t="shared" si="1041"/>
        <v>0</v>
      </c>
      <c r="DC527">
        <f t="shared" si="1041"/>
        <v>0</v>
      </c>
      <c r="DD527">
        <f t="shared" si="1041"/>
        <v>0</v>
      </c>
      <c r="DE527">
        <f t="shared" si="1041"/>
        <v>0</v>
      </c>
      <c r="DF527">
        <f t="shared" si="1041"/>
        <v>0</v>
      </c>
      <c r="DG527">
        <f t="shared" si="1042"/>
        <v>0</v>
      </c>
      <c r="DH527">
        <f t="shared" si="1042"/>
        <v>0</v>
      </c>
      <c r="DI527">
        <f t="shared" si="1042"/>
        <v>0</v>
      </c>
      <c r="DJ527">
        <f t="shared" si="1042"/>
        <v>0</v>
      </c>
      <c r="DK527">
        <f t="shared" si="1042"/>
        <v>0</v>
      </c>
      <c r="DL527">
        <f t="shared" si="1042"/>
        <v>0</v>
      </c>
      <c r="DM527">
        <f t="shared" si="1042"/>
        <v>0</v>
      </c>
      <c r="DN527">
        <f t="shared" si="1042"/>
        <v>0</v>
      </c>
      <c r="DO527">
        <f t="shared" si="1042"/>
        <v>0</v>
      </c>
      <c r="DP527">
        <f t="shared" si="1042"/>
        <v>0</v>
      </c>
      <c r="DQ527">
        <f t="shared" si="1043"/>
        <v>0</v>
      </c>
      <c r="DR527">
        <f t="shared" si="1043"/>
        <v>0</v>
      </c>
      <c r="DS527">
        <f t="shared" si="1043"/>
        <v>0</v>
      </c>
      <c r="DT527">
        <f t="shared" si="1043"/>
        <v>0</v>
      </c>
      <c r="DU527">
        <f t="shared" si="1043"/>
        <v>0</v>
      </c>
      <c r="DV527">
        <f t="shared" si="1043"/>
        <v>0</v>
      </c>
      <c r="DW527">
        <f t="shared" si="1043"/>
        <v>0</v>
      </c>
      <c r="DX527">
        <f t="shared" si="1043"/>
        <v>0</v>
      </c>
      <c r="DY527">
        <f t="shared" si="1043"/>
        <v>0</v>
      </c>
      <c r="DZ527">
        <f t="shared" si="1043"/>
        <v>0</v>
      </c>
      <c r="EA527">
        <f t="shared" si="1044"/>
        <v>0</v>
      </c>
      <c r="EB527">
        <f t="shared" si="1044"/>
        <v>0</v>
      </c>
      <c r="EC527">
        <f t="shared" si="1044"/>
        <v>0</v>
      </c>
      <c r="ED527">
        <f t="shared" si="1044"/>
        <v>0</v>
      </c>
      <c r="EE527">
        <f t="shared" si="1044"/>
        <v>0</v>
      </c>
      <c r="EF527">
        <f t="shared" si="1044"/>
        <v>0</v>
      </c>
    </row>
    <row r="528" spans="1:136" ht="15.5">
      <c r="A528" s="90"/>
      <c r="B528" s="53"/>
      <c r="C528" s="94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  <c r="AA528" s="58"/>
      <c r="AB528" s="58"/>
      <c r="AC528" s="58"/>
      <c r="AD528" s="58"/>
      <c r="AE528" s="58"/>
      <c r="AF528" s="58"/>
      <c r="AG528" s="58"/>
      <c r="AH528" s="58"/>
      <c r="AI528" s="58"/>
      <c r="AJ528" s="58"/>
      <c r="AK528" s="58"/>
      <c r="AL528" s="150"/>
      <c r="AM528" s="150"/>
      <c r="AN528" s="150"/>
      <c r="AO528" s="150"/>
      <c r="AP528" s="150"/>
      <c r="AQ528" s="150"/>
      <c r="AR528" s="150"/>
      <c r="AS528" s="150"/>
      <c r="AT528" s="150"/>
      <c r="AU528" s="150"/>
      <c r="AV528" s="151"/>
      <c r="AW528" s="151"/>
      <c r="AX528" s="151"/>
      <c r="AY528" s="58"/>
      <c r="AZ528" s="58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2"/>
      <c r="BM528" s="2"/>
      <c r="BN528" s="2"/>
      <c r="BO528" s="2"/>
      <c r="BP528" s="2"/>
      <c r="BQ528" s="2"/>
      <c r="BR528" s="101"/>
    </row>
    <row r="529" spans="1:136" ht="15.5">
      <c r="A529" s="93">
        <v>62</v>
      </c>
      <c r="B529" s="32" t="s">
        <v>75</v>
      </c>
      <c r="C529" s="94">
        <v>4</v>
      </c>
      <c r="D529" s="18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>
        <f t="shared" ref="R529:AW529" si="1045">SUM(R530:R535)</f>
        <v>0</v>
      </c>
      <c r="S529" s="22">
        <f t="shared" si="1045"/>
        <v>0</v>
      </c>
      <c r="T529" s="22">
        <f t="shared" si="1045"/>
        <v>0.107</v>
      </c>
      <c r="U529" s="22">
        <f t="shared" si="1045"/>
        <v>0.217</v>
      </c>
      <c r="V529" s="22">
        <f t="shared" si="1045"/>
        <v>0.62176299999999995</v>
      </c>
      <c r="W529" s="22">
        <f t="shared" si="1045"/>
        <v>2.3204130000000003</v>
      </c>
      <c r="X529" s="22">
        <f t="shared" si="1045"/>
        <v>5.4049529999999999</v>
      </c>
      <c r="Y529" s="22">
        <f t="shared" si="1045"/>
        <v>15.544163999999999</v>
      </c>
      <c r="Z529" s="22">
        <f t="shared" si="1045"/>
        <v>28.114089</v>
      </c>
      <c r="AA529" s="22">
        <f t="shared" si="1045"/>
        <v>32.694099999999999</v>
      </c>
      <c r="AB529" s="22">
        <f t="shared" si="1045"/>
        <v>26.786398999999999</v>
      </c>
      <c r="AC529" s="22">
        <f t="shared" si="1045"/>
        <v>37.532021</v>
      </c>
      <c r="AD529" s="22">
        <f t="shared" si="1045"/>
        <v>48.346249999999998</v>
      </c>
      <c r="AE529" s="22">
        <f t="shared" si="1045"/>
        <v>51.160375999999999</v>
      </c>
      <c r="AF529" s="22">
        <f t="shared" si="1045"/>
        <v>50.317263000000004</v>
      </c>
      <c r="AG529" s="22">
        <f t="shared" si="1045"/>
        <v>117.7511161</v>
      </c>
      <c r="AH529" s="22">
        <f t="shared" si="1045"/>
        <v>163.17352</v>
      </c>
      <c r="AI529" s="22">
        <f t="shared" si="1045"/>
        <v>180.67218</v>
      </c>
      <c r="AJ529" s="22">
        <f t="shared" si="1045"/>
        <v>224.90273999999999</v>
      </c>
      <c r="AK529" s="22">
        <f t="shared" si="1045"/>
        <v>272.40372000000002</v>
      </c>
      <c r="AL529" s="22">
        <f t="shared" si="1045"/>
        <v>341.21031000000005</v>
      </c>
      <c r="AM529" s="22">
        <f t="shared" si="1045"/>
        <v>368.9354065</v>
      </c>
      <c r="AN529" s="22">
        <f t="shared" si="1045"/>
        <v>381.90190000000001</v>
      </c>
      <c r="AO529" s="22">
        <f t="shared" si="1045"/>
        <v>14.2816601</v>
      </c>
      <c r="AP529" s="22">
        <f t="shared" si="1045"/>
        <v>254.08760000000001</v>
      </c>
      <c r="AQ529" s="22">
        <f t="shared" si="1045"/>
        <v>283.04109999999997</v>
      </c>
      <c r="AR529" s="22">
        <f t="shared" si="1045"/>
        <v>309.938918</v>
      </c>
      <c r="AS529" s="22">
        <f t="shared" si="1045"/>
        <v>339.40061530000003</v>
      </c>
      <c r="AT529" s="22">
        <f t="shared" si="1045"/>
        <v>354.47851489999999</v>
      </c>
      <c r="AU529" s="22">
        <f t="shared" si="1045"/>
        <v>399.6654451</v>
      </c>
      <c r="AV529" s="22">
        <f t="shared" si="1045"/>
        <v>518.6349762000001</v>
      </c>
      <c r="AW529" s="22">
        <f t="shared" si="1045"/>
        <v>386.25174429999998</v>
      </c>
      <c r="AX529" s="22">
        <f t="shared" ref="AX529:BQ529" si="1046">SUM(AX530:AX535)</f>
        <v>386.71875949999998</v>
      </c>
      <c r="AY529" s="22">
        <f t="shared" si="1046"/>
        <v>396.48669239999998</v>
      </c>
      <c r="AZ529" s="22">
        <f t="shared" si="1046"/>
        <v>456.32262845486838</v>
      </c>
      <c r="BA529" s="22">
        <f t="shared" si="1046"/>
        <v>463.47039869999998</v>
      </c>
      <c r="BB529" s="22">
        <f t="shared" si="1046"/>
        <v>415.98668709999998</v>
      </c>
      <c r="BC529" s="22">
        <f t="shared" si="1046"/>
        <v>842.57643800000005</v>
      </c>
      <c r="BD529" s="22">
        <f t="shared" si="1046"/>
        <v>77.460999999999999</v>
      </c>
      <c r="BE529" s="22">
        <f t="shared" si="1046"/>
        <v>77.494</v>
      </c>
      <c r="BF529" s="22">
        <f t="shared" si="1046"/>
        <v>77.483000000000004</v>
      </c>
      <c r="BG529" s="22">
        <f t="shared" si="1046"/>
        <v>77.537999999999997</v>
      </c>
      <c r="BH529" s="22">
        <f t="shared" si="1046"/>
        <v>77.561231000000006</v>
      </c>
      <c r="BI529" s="22">
        <f t="shared" si="1046"/>
        <v>63.931786100000004</v>
      </c>
      <c r="BJ529" s="22">
        <f t="shared" si="1046"/>
        <v>26.059815799999999</v>
      </c>
      <c r="BK529" s="22">
        <f t="shared" si="1046"/>
        <v>26.483312999999999</v>
      </c>
      <c r="BL529" s="22">
        <f t="shared" si="1046"/>
        <v>28.319931499999999</v>
      </c>
      <c r="BM529" s="22">
        <f t="shared" si="1046"/>
        <v>56.861586199999998</v>
      </c>
      <c r="BN529" s="22">
        <f t="shared" si="1046"/>
        <v>8.0788805000000004</v>
      </c>
      <c r="BO529" s="22">
        <f t="shared" si="1046"/>
        <v>89</v>
      </c>
      <c r="BP529" s="22">
        <f t="shared" si="1046"/>
        <v>4</v>
      </c>
      <c r="BQ529" s="22">
        <f t="shared" si="1046"/>
        <v>4</v>
      </c>
      <c r="BR529" s="101"/>
      <c r="BS529">
        <f t="shared" ref="BS529:CX529" si="1047">IF($C529&lt;&gt;"",IF(D529&gt;0,1,0),0)</f>
        <v>0</v>
      </c>
      <c r="BT529">
        <f t="shared" si="1047"/>
        <v>0</v>
      </c>
      <c r="BU529">
        <f t="shared" si="1047"/>
        <v>0</v>
      </c>
      <c r="BV529">
        <f t="shared" si="1047"/>
        <v>0</v>
      </c>
      <c r="BW529">
        <f t="shared" si="1047"/>
        <v>0</v>
      </c>
      <c r="BX529">
        <f t="shared" si="1047"/>
        <v>0</v>
      </c>
      <c r="BY529">
        <f t="shared" si="1047"/>
        <v>0</v>
      </c>
      <c r="BZ529">
        <f t="shared" si="1047"/>
        <v>0</v>
      </c>
      <c r="CA529">
        <f t="shared" si="1047"/>
        <v>0</v>
      </c>
      <c r="CB529">
        <f t="shared" si="1047"/>
        <v>0</v>
      </c>
      <c r="CC529">
        <f t="shared" si="1047"/>
        <v>0</v>
      </c>
      <c r="CD529">
        <f t="shared" si="1047"/>
        <v>0</v>
      </c>
      <c r="CE529">
        <f t="shared" si="1047"/>
        <v>0</v>
      </c>
      <c r="CF529">
        <f t="shared" si="1047"/>
        <v>0</v>
      </c>
      <c r="CG529">
        <f t="shared" si="1047"/>
        <v>0</v>
      </c>
      <c r="CH529">
        <f t="shared" si="1047"/>
        <v>0</v>
      </c>
      <c r="CI529">
        <f t="shared" si="1047"/>
        <v>1</v>
      </c>
      <c r="CJ529">
        <f t="shared" si="1047"/>
        <v>1</v>
      </c>
      <c r="CK529">
        <f t="shared" si="1047"/>
        <v>1</v>
      </c>
      <c r="CL529">
        <f t="shared" si="1047"/>
        <v>1</v>
      </c>
      <c r="CM529">
        <f t="shared" si="1047"/>
        <v>1</v>
      </c>
      <c r="CN529">
        <f t="shared" si="1047"/>
        <v>1</v>
      </c>
      <c r="CO529">
        <f t="shared" si="1047"/>
        <v>1</v>
      </c>
      <c r="CP529">
        <f t="shared" si="1047"/>
        <v>1</v>
      </c>
      <c r="CQ529">
        <f t="shared" si="1047"/>
        <v>1</v>
      </c>
      <c r="CR529">
        <f t="shared" si="1047"/>
        <v>1</v>
      </c>
      <c r="CS529">
        <f t="shared" si="1047"/>
        <v>1</v>
      </c>
      <c r="CT529">
        <f t="shared" si="1047"/>
        <v>1</v>
      </c>
      <c r="CU529">
        <f t="shared" si="1047"/>
        <v>1</v>
      </c>
      <c r="CV529">
        <f t="shared" si="1047"/>
        <v>1</v>
      </c>
      <c r="CW529">
        <f t="shared" si="1047"/>
        <v>1</v>
      </c>
      <c r="CX529">
        <f t="shared" si="1047"/>
        <v>1</v>
      </c>
      <c r="CY529">
        <f t="shared" ref="CY529:ED529" si="1048">IF($C529&lt;&gt;"",IF(AJ529&gt;0,1,0),0)</f>
        <v>1</v>
      </c>
      <c r="CZ529">
        <f t="shared" si="1048"/>
        <v>1</v>
      </c>
      <c r="DA529">
        <f t="shared" si="1048"/>
        <v>1</v>
      </c>
      <c r="DB529">
        <f t="shared" si="1048"/>
        <v>1</v>
      </c>
      <c r="DC529">
        <f t="shared" si="1048"/>
        <v>1</v>
      </c>
      <c r="DD529">
        <f t="shared" si="1048"/>
        <v>1</v>
      </c>
      <c r="DE529">
        <f t="shared" si="1048"/>
        <v>1</v>
      </c>
      <c r="DF529">
        <f t="shared" si="1048"/>
        <v>1</v>
      </c>
      <c r="DG529">
        <f t="shared" si="1048"/>
        <v>1</v>
      </c>
      <c r="DH529">
        <f t="shared" si="1048"/>
        <v>1</v>
      </c>
      <c r="DI529">
        <f t="shared" si="1048"/>
        <v>1</v>
      </c>
      <c r="DJ529">
        <f t="shared" si="1048"/>
        <v>1</v>
      </c>
      <c r="DK529">
        <f t="shared" si="1048"/>
        <v>1</v>
      </c>
      <c r="DL529">
        <f t="shared" si="1048"/>
        <v>1</v>
      </c>
      <c r="DM529">
        <f t="shared" si="1048"/>
        <v>1</v>
      </c>
      <c r="DN529">
        <f t="shared" si="1048"/>
        <v>1</v>
      </c>
      <c r="DO529">
        <f t="shared" si="1048"/>
        <v>1</v>
      </c>
      <c r="DP529">
        <f t="shared" si="1048"/>
        <v>1</v>
      </c>
      <c r="DQ529">
        <f t="shared" si="1048"/>
        <v>1</v>
      </c>
      <c r="DR529">
        <f t="shared" si="1048"/>
        <v>1</v>
      </c>
      <c r="DS529">
        <f t="shared" si="1048"/>
        <v>1</v>
      </c>
      <c r="DT529">
        <f t="shared" si="1048"/>
        <v>1</v>
      </c>
      <c r="DU529">
        <f t="shared" si="1048"/>
        <v>1</v>
      </c>
      <c r="DV529">
        <f t="shared" si="1048"/>
        <v>1</v>
      </c>
      <c r="DW529">
        <f t="shared" si="1048"/>
        <v>1</v>
      </c>
      <c r="DX529">
        <f t="shared" si="1048"/>
        <v>1</v>
      </c>
      <c r="DY529">
        <f t="shared" si="1048"/>
        <v>1</v>
      </c>
      <c r="DZ529">
        <f t="shared" si="1048"/>
        <v>1</v>
      </c>
      <c r="EA529">
        <f t="shared" si="1048"/>
        <v>1</v>
      </c>
      <c r="EB529">
        <f t="shared" si="1048"/>
        <v>1</v>
      </c>
      <c r="EC529">
        <f t="shared" si="1048"/>
        <v>1</v>
      </c>
      <c r="ED529">
        <f t="shared" si="1048"/>
        <v>1</v>
      </c>
      <c r="EE529">
        <f t="shared" ref="EE529:EF529" si="1049">IF($C529&lt;&gt;"",IF(BP529&gt;0,1,0),0)</f>
        <v>1</v>
      </c>
      <c r="EF529">
        <f t="shared" si="1049"/>
        <v>1</v>
      </c>
    </row>
    <row r="530" spans="1:136" ht="15.5">
      <c r="A530" s="90"/>
      <c r="B530" s="24" t="s">
        <v>15</v>
      </c>
      <c r="C530" s="94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18">
        <v>0</v>
      </c>
      <c r="S530" s="18">
        <v>0</v>
      </c>
      <c r="T530" s="18">
        <v>0</v>
      </c>
      <c r="U530" s="18">
        <v>0</v>
      </c>
      <c r="V530" s="18">
        <v>0</v>
      </c>
      <c r="W530" s="18">
        <v>0</v>
      </c>
      <c r="X530" s="18">
        <v>0</v>
      </c>
      <c r="Y530" s="18">
        <v>0</v>
      </c>
      <c r="Z530" s="18">
        <v>0.15</v>
      </c>
      <c r="AA530" s="18">
        <v>0.16</v>
      </c>
      <c r="AB530" s="18">
        <v>0</v>
      </c>
      <c r="AC530" s="18">
        <v>0.3</v>
      </c>
      <c r="AD530" s="18">
        <v>0</v>
      </c>
      <c r="AE530" s="18">
        <v>0</v>
      </c>
      <c r="AF530" s="18">
        <v>0</v>
      </c>
      <c r="AG530" s="18">
        <v>0</v>
      </c>
      <c r="AH530" s="18">
        <v>0</v>
      </c>
      <c r="AI530" s="18">
        <v>0</v>
      </c>
      <c r="AJ530" s="18">
        <v>0</v>
      </c>
      <c r="AK530" s="18">
        <v>0</v>
      </c>
      <c r="AL530" s="18">
        <v>0</v>
      </c>
      <c r="AM530" s="18">
        <v>0</v>
      </c>
      <c r="AN530" s="18">
        <v>0</v>
      </c>
      <c r="AO530" s="18">
        <v>0</v>
      </c>
      <c r="AP530" s="18">
        <v>0</v>
      </c>
      <c r="AQ530" s="18">
        <v>0</v>
      </c>
      <c r="AR530" s="18">
        <v>0</v>
      </c>
      <c r="AS530" s="18">
        <v>0</v>
      </c>
      <c r="AT530" s="18">
        <v>0</v>
      </c>
      <c r="AU530" s="18">
        <v>0</v>
      </c>
      <c r="AV530" s="18">
        <v>0</v>
      </c>
      <c r="AW530" s="18">
        <v>0</v>
      </c>
      <c r="AX530" s="18">
        <v>0</v>
      </c>
      <c r="AY530" s="18">
        <v>0</v>
      </c>
      <c r="AZ530" s="18">
        <v>0</v>
      </c>
      <c r="BA530" s="18">
        <v>0</v>
      </c>
      <c r="BB530" s="18">
        <v>0</v>
      </c>
      <c r="BC530" s="18">
        <v>0</v>
      </c>
      <c r="BD530" s="18">
        <v>0</v>
      </c>
      <c r="BE530" s="18">
        <v>0</v>
      </c>
      <c r="BF530" s="18">
        <v>0</v>
      </c>
      <c r="BG530" s="18">
        <v>0</v>
      </c>
      <c r="BH530" s="18">
        <v>0</v>
      </c>
      <c r="BI530" s="18">
        <v>0</v>
      </c>
      <c r="BJ530" s="113">
        <v>0</v>
      </c>
      <c r="BK530" s="113">
        <v>0</v>
      </c>
      <c r="BL530" s="113">
        <v>0</v>
      </c>
      <c r="BM530" s="113">
        <v>0</v>
      </c>
      <c r="BN530" s="113">
        <v>0</v>
      </c>
      <c r="BO530" s="113">
        <v>0</v>
      </c>
      <c r="BP530" s="113">
        <v>0</v>
      </c>
      <c r="BQ530" s="113">
        <v>0</v>
      </c>
      <c r="BR530" s="101"/>
      <c r="BS530">
        <f t="shared" ref="BS530:CB536" si="1050">IF($C530&lt;&gt;"",IF(D530&gt;0,1,0),0)</f>
        <v>0</v>
      </c>
      <c r="BT530">
        <f t="shared" si="1050"/>
        <v>0</v>
      </c>
      <c r="BU530">
        <f t="shared" si="1050"/>
        <v>0</v>
      </c>
      <c r="BV530">
        <f t="shared" si="1050"/>
        <v>0</v>
      </c>
      <c r="BW530">
        <f t="shared" si="1050"/>
        <v>0</v>
      </c>
      <c r="BX530">
        <f t="shared" si="1050"/>
        <v>0</v>
      </c>
      <c r="BY530">
        <f t="shared" si="1050"/>
        <v>0</v>
      </c>
      <c r="BZ530">
        <f t="shared" si="1050"/>
        <v>0</v>
      </c>
      <c r="CA530">
        <f t="shared" si="1050"/>
        <v>0</v>
      </c>
      <c r="CB530">
        <f t="shared" si="1050"/>
        <v>0</v>
      </c>
      <c r="CC530">
        <f t="shared" ref="CC530:CL536" si="1051">IF($C530&lt;&gt;"",IF(N530&gt;0,1,0),0)</f>
        <v>0</v>
      </c>
      <c r="CD530">
        <f t="shared" si="1051"/>
        <v>0</v>
      </c>
      <c r="CE530">
        <f t="shared" si="1051"/>
        <v>0</v>
      </c>
      <c r="CF530">
        <f t="shared" si="1051"/>
        <v>0</v>
      </c>
      <c r="CG530">
        <f t="shared" si="1051"/>
        <v>0</v>
      </c>
      <c r="CH530">
        <f t="shared" si="1051"/>
        <v>0</v>
      </c>
      <c r="CI530">
        <f t="shared" si="1051"/>
        <v>0</v>
      </c>
      <c r="CJ530">
        <f t="shared" si="1051"/>
        <v>0</v>
      </c>
      <c r="CK530">
        <f t="shared" si="1051"/>
        <v>0</v>
      </c>
      <c r="CL530">
        <f t="shared" si="1051"/>
        <v>0</v>
      </c>
      <c r="CM530">
        <f t="shared" ref="CM530:CV536" si="1052">IF($C530&lt;&gt;"",IF(X530&gt;0,1,0),0)</f>
        <v>0</v>
      </c>
      <c r="CN530">
        <f t="shared" si="1052"/>
        <v>0</v>
      </c>
      <c r="CO530">
        <f t="shared" si="1052"/>
        <v>0</v>
      </c>
      <c r="CP530">
        <f t="shared" si="1052"/>
        <v>0</v>
      </c>
      <c r="CQ530">
        <f t="shared" si="1052"/>
        <v>0</v>
      </c>
      <c r="CR530">
        <f t="shared" si="1052"/>
        <v>0</v>
      </c>
      <c r="CS530">
        <f t="shared" si="1052"/>
        <v>0</v>
      </c>
      <c r="CT530">
        <f t="shared" si="1052"/>
        <v>0</v>
      </c>
      <c r="CU530">
        <f t="shared" si="1052"/>
        <v>0</v>
      </c>
      <c r="CV530">
        <f t="shared" si="1052"/>
        <v>0</v>
      </c>
      <c r="CW530">
        <f t="shared" ref="CW530:DF536" si="1053">IF($C530&lt;&gt;"",IF(AH530&gt;0,1,0),0)</f>
        <v>0</v>
      </c>
      <c r="CX530">
        <f t="shared" si="1053"/>
        <v>0</v>
      </c>
      <c r="CY530">
        <f t="shared" si="1053"/>
        <v>0</v>
      </c>
      <c r="CZ530">
        <f t="shared" si="1053"/>
        <v>0</v>
      </c>
      <c r="DA530">
        <f t="shared" si="1053"/>
        <v>0</v>
      </c>
      <c r="DB530">
        <f t="shared" si="1053"/>
        <v>0</v>
      </c>
      <c r="DC530">
        <f t="shared" si="1053"/>
        <v>0</v>
      </c>
      <c r="DD530">
        <f t="shared" si="1053"/>
        <v>0</v>
      </c>
      <c r="DE530">
        <f t="shared" si="1053"/>
        <v>0</v>
      </c>
      <c r="DF530">
        <f t="shared" si="1053"/>
        <v>0</v>
      </c>
      <c r="DG530">
        <f t="shared" ref="DG530:DP536" si="1054">IF($C530&lt;&gt;"",IF(AR530&gt;0,1,0),0)</f>
        <v>0</v>
      </c>
      <c r="DH530">
        <f t="shared" si="1054"/>
        <v>0</v>
      </c>
      <c r="DI530">
        <f t="shared" si="1054"/>
        <v>0</v>
      </c>
      <c r="DJ530">
        <f t="shared" si="1054"/>
        <v>0</v>
      </c>
      <c r="DK530">
        <f t="shared" si="1054"/>
        <v>0</v>
      </c>
      <c r="DL530">
        <f t="shared" si="1054"/>
        <v>0</v>
      </c>
      <c r="DM530">
        <f t="shared" si="1054"/>
        <v>0</v>
      </c>
      <c r="DN530">
        <f t="shared" si="1054"/>
        <v>0</v>
      </c>
      <c r="DO530">
        <f t="shared" si="1054"/>
        <v>0</v>
      </c>
      <c r="DP530">
        <f t="shared" si="1054"/>
        <v>0</v>
      </c>
      <c r="DQ530">
        <f t="shared" ref="DQ530:DZ536" si="1055">IF($C530&lt;&gt;"",IF(BB530&gt;0,1,0),0)</f>
        <v>0</v>
      </c>
      <c r="DR530">
        <f t="shared" si="1055"/>
        <v>0</v>
      </c>
      <c r="DS530">
        <f t="shared" si="1055"/>
        <v>0</v>
      </c>
      <c r="DT530">
        <f t="shared" si="1055"/>
        <v>0</v>
      </c>
      <c r="DU530">
        <f t="shared" si="1055"/>
        <v>0</v>
      </c>
      <c r="DV530">
        <f t="shared" si="1055"/>
        <v>0</v>
      </c>
      <c r="DW530">
        <f t="shared" si="1055"/>
        <v>0</v>
      </c>
      <c r="DX530">
        <f t="shared" si="1055"/>
        <v>0</v>
      </c>
      <c r="DY530">
        <f t="shared" si="1055"/>
        <v>0</v>
      </c>
      <c r="DZ530">
        <f t="shared" si="1055"/>
        <v>0</v>
      </c>
      <c r="EA530">
        <f t="shared" ref="EA530:EF533" si="1056">IF($C530&lt;&gt;"",IF(BL529&gt;0,1,0),0)</f>
        <v>0</v>
      </c>
      <c r="EB530">
        <f t="shared" si="1056"/>
        <v>0</v>
      </c>
      <c r="EC530">
        <f t="shared" si="1056"/>
        <v>0</v>
      </c>
      <c r="ED530">
        <f t="shared" si="1056"/>
        <v>0</v>
      </c>
      <c r="EE530">
        <f t="shared" si="1056"/>
        <v>0</v>
      </c>
      <c r="EF530">
        <f t="shared" si="1056"/>
        <v>0</v>
      </c>
    </row>
    <row r="531" spans="1:136" ht="15.5">
      <c r="A531" s="90"/>
      <c r="B531" s="19" t="s">
        <v>2</v>
      </c>
      <c r="C531" s="9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>
        <v>0</v>
      </c>
      <c r="S531" s="34">
        <v>0</v>
      </c>
      <c r="T531" s="34">
        <v>0</v>
      </c>
      <c r="U531" s="34">
        <v>0</v>
      </c>
      <c r="V531" s="18">
        <v>0</v>
      </c>
      <c r="W531" s="18">
        <v>0</v>
      </c>
      <c r="X531" s="18">
        <v>0</v>
      </c>
      <c r="Y531" s="18">
        <v>0</v>
      </c>
      <c r="Z531" s="18">
        <v>0</v>
      </c>
      <c r="AA531" s="18">
        <v>0</v>
      </c>
      <c r="AB531" s="18">
        <v>0</v>
      </c>
      <c r="AC531" s="18">
        <v>0</v>
      </c>
      <c r="AD531" s="18">
        <v>0</v>
      </c>
      <c r="AE531" s="18">
        <v>21</v>
      </c>
      <c r="AF531" s="18">
        <v>0</v>
      </c>
      <c r="AG531" s="18">
        <v>21</v>
      </c>
      <c r="AH531" s="18">
        <v>0</v>
      </c>
      <c r="AI531" s="18">
        <v>0</v>
      </c>
      <c r="AJ531" s="18">
        <v>0</v>
      </c>
      <c r="AK531" s="18">
        <v>0</v>
      </c>
      <c r="AL531" s="40" t="s">
        <v>16</v>
      </c>
      <c r="AM531" s="18">
        <v>196</v>
      </c>
      <c r="AN531" s="40" t="s">
        <v>16</v>
      </c>
      <c r="AO531" s="18">
        <v>0</v>
      </c>
      <c r="AP531" s="18">
        <v>0</v>
      </c>
      <c r="AQ531" s="18">
        <v>0</v>
      </c>
      <c r="AR531" s="40" t="s">
        <v>16</v>
      </c>
      <c r="AS531" s="18">
        <v>141</v>
      </c>
      <c r="AT531" s="40" t="s">
        <v>16</v>
      </c>
      <c r="AU531" s="40" t="s">
        <v>16</v>
      </c>
      <c r="AV531" s="40" t="s">
        <v>16</v>
      </c>
      <c r="AW531" s="40" t="s">
        <v>16</v>
      </c>
      <c r="AX531" s="40" t="s">
        <v>16</v>
      </c>
      <c r="AY531" s="40" t="s">
        <v>16</v>
      </c>
      <c r="AZ531" s="40" t="s">
        <v>16</v>
      </c>
      <c r="BA531" s="40" t="s">
        <v>16</v>
      </c>
      <c r="BB531" s="18">
        <v>322</v>
      </c>
      <c r="BC531" s="40" t="s">
        <v>16</v>
      </c>
      <c r="BD531" s="113">
        <v>0</v>
      </c>
      <c r="BE531" s="113">
        <v>0</v>
      </c>
      <c r="BF531" s="113">
        <v>0</v>
      </c>
      <c r="BG531" s="113">
        <v>0</v>
      </c>
      <c r="BH531" s="113">
        <v>0</v>
      </c>
      <c r="BI531" s="113">
        <v>0</v>
      </c>
      <c r="BJ531" s="113">
        <v>0</v>
      </c>
      <c r="BK531" s="113">
        <v>0</v>
      </c>
      <c r="BL531" s="113">
        <v>0</v>
      </c>
      <c r="BM531" s="113">
        <v>2</v>
      </c>
      <c r="BN531" s="113">
        <v>2</v>
      </c>
      <c r="BO531" s="113">
        <v>0</v>
      </c>
      <c r="BP531" s="113">
        <v>0</v>
      </c>
      <c r="BQ531" s="113">
        <v>0</v>
      </c>
      <c r="BR531" s="101"/>
      <c r="BS531">
        <f t="shared" si="1050"/>
        <v>0</v>
      </c>
      <c r="BT531">
        <f t="shared" si="1050"/>
        <v>0</v>
      </c>
      <c r="BU531">
        <f t="shared" si="1050"/>
        <v>0</v>
      </c>
      <c r="BV531">
        <f t="shared" si="1050"/>
        <v>0</v>
      </c>
      <c r="BW531">
        <f t="shared" si="1050"/>
        <v>0</v>
      </c>
      <c r="BX531">
        <f t="shared" si="1050"/>
        <v>0</v>
      </c>
      <c r="BY531">
        <f t="shared" si="1050"/>
        <v>0</v>
      </c>
      <c r="BZ531">
        <f t="shared" si="1050"/>
        <v>0</v>
      </c>
      <c r="CA531">
        <f t="shared" si="1050"/>
        <v>0</v>
      </c>
      <c r="CB531">
        <f t="shared" si="1050"/>
        <v>0</v>
      </c>
      <c r="CC531">
        <f t="shared" si="1051"/>
        <v>0</v>
      </c>
      <c r="CD531">
        <f t="shared" si="1051"/>
        <v>0</v>
      </c>
      <c r="CE531">
        <f t="shared" si="1051"/>
        <v>0</v>
      </c>
      <c r="CF531">
        <f t="shared" si="1051"/>
        <v>0</v>
      </c>
      <c r="CG531">
        <f t="shared" si="1051"/>
        <v>0</v>
      </c>
      <c r="CH531">
        <f t="shared" si="1051"/>
        <v>0</v>
      </c>
      <c r="CI531">
        <f t="shared" si="1051"/>
        <v>0</v>
      </c>
      <c r="CJ531">
        <f t="shared" si="1051"/>
        <v>0</v>
      </c>
      <c r="CK531">
        <f t="shared" si="1051"/>
        <v>0</v>
      </c>
      <c r="CL531">
        <f t="shared" si="1051"/>
        <v>0</v>
      </c>
      <c r="CM531">
        <f t="shared" si="1052"/>
        <v>0</v>
      </c>
      <c r="CN531">
        <f t="shared" si="1052"/>
        <v>0</v>
      </c>
      <c r="CO531">
        <f t="shared" si="1052"/>
        <v>0</v>
      </c>
      <c r="CP531">
        <f t="shared" si="1052"/>
        <v>0</v>
      </c>
      <c r="CQ531">
        <f t="shared" si="1052"/>
        <v>0</v>
      </c>
      <c r="CR531">
        <f t="shared" si="1052"/>
        <v>0</v>
      </c>
      <c r="CS531">
        <f t="shared" si="1052"/>
        <v>0</v>
      </c>
      <c r="CT531">
        <f t="shared" si="1052"/>
        <v>0</v>
      </c>
      <c r="CU531">
        <f t="shared" si="1052"/>
        <v>0</v>
      </c>
      <c r="CV531">
        <f t="shared" si="1052"/>
        <v>0</v>
      </c>
      <c r="CW531">
        <f t="shared" si="1053"/>
        <v>0</v>
      </c>
      <c r="CX531">
        <f t="shared" si="1053"/>
        <v>0</v>
      </c>
      <c r="CY531">
        <f t="shared" si="1053"/>
        <v>0</v>
      </c>
      <c r="CZ531">
        <f t="shared" si="1053"/>
        <v>0</v>
      </c>
      <c r="DA531">
        <f t="shared" si="1053"/>
        <v>0</v>
      </c>
      <c r="DB531">
        <f t="shared" si="1053"/>
        <v>0</v>
      </c>
      <c r="DC531">
        <f t="shared" si="1053"/>
        <v>0</v>
      </c>
      <c r="DD531">
        <f t="shared" si="1053"/>
        <v>0</v>
      </c>
      <c r="DE531">
        <f t="shared" si="1053"/>
        <v>0</v>
      </c>
      <c r="DF531">
        <f t="shared" si="1053"/>
        <v>0</v>
      </c>
      <c r="DG531">
        <f t="shared" si="1054"/>
        <v>0</v>
      </c>
      <c r="DH531">
        <f t="shared" si="1054"/>
        <v>0</v>
      </c>
      <c r="DI531">
        <f t="shared" si="1054"/>
        <v>0</v>
      </c>
      <c r="DJ531">
        <f t="shared" si="1054"/>
        <v>0</v>
      </c>
      <c r="DK531">
        <f t="shared" si="1054"/>
        <v>0</v>
      </c>
      <c r="DL531">
        <f t="shared" si="1054"/>
        <v>0</v>
      </c>
      <c r="DM531">
        <f t="shared" si="1054"/>
        <v>0</v>
      </c>
      <c r="DN531">
        <f t="shared" si="1054"/>
        <v>0</v>
      </c>
      <c r="DO531">
        <f t="shared" si="1054"/>
        <v>0</v>
      </c>
      <c r="DP531">
        <f t="shared" si="1054"/>
        <v>0</v>
      </c>
      <c r="DQ531">
        <f t="shared" si="1055"/>
        <v>0</v>
      </c>
      <c r="DR531">
        <f t="shared" si="1055"/>
        <v>0</v>
      </c>
      <c r="DS531">
        <f t="shared" si="1055"/>
        <v>0</v>
      </c>
      <c r="DT531">
        <f t="shared" si="1055"/>
        <v>0</v>
      </c>
      <c r="DU531">
        <f t="shared" si="1055"/>
        <v>0</v>
      </c>
      <c r="DV531">
        <f t="shared" si="1055"/>
        <v>0</v>
      </c>
      <c r="DW531">
        <f t="shared" si="1055"/>
        <v>0</v>
      </c>
      <c r="DX531">
        <f t="shared" si="1055"/>
        <v>0</v>
      </c>
      <c r="DY531">
        <f t="shared" si="1055"/>
        <v>0</v>
      </c>
      <c r="DZ531">
        <f t="shared" si="1055"/>
        <v>0</v>
      </c>
      <c r="EA531">
        <f t="shared" si="1056"/>
        <v>0</v>
      </c>
      <c r="EB531">
        <f t="shared" si="1056"/>
        <v>0</v>
      </c>
      <c r="EC531">
        <f t="shared" si="1056"/>
        <v>0</v>
      </c>
      <c r="ED531">
        <f t="shared" si="1056"/>
        <v>0</v>
      </c>
      <c r="EE531">
        <f t="shared" si="1056"/>
        <v>0</v>
      </c>
      <c r="EF531">
        <f t="shared" si="1056"/>
        <v>0</v>
      </c>
    </row>
    <row r="532" spans="1:136" ht="15.5">
      <c r="A532" s="90"/>
      <c r="B532" s="19" t="s">
        <v>205</v>
      </c>
      <c r="C532" s="9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18">
        <v>0</v>
      </c>
      <c r="S532" s="18">
        <v>0</v>
      </c>
      <c r="T532" s="18">
        <v>0</v>
      </c>
      <c r="U532" s="18">
        <v>0</v>
      </c>
      <c r="V532" s="18">
        <v>0</v>
      </c>
      <c r="W532" s="18">
        <v>0</v>
      </c>
      <c r="X532" s="18">
        <v>0</v>
      </c>
      <c r="Y532" s="18">
        <v>0</v>
      </c>
      <c r="Z532" s="18">
        <v>0</v>
      </c>
      <c r="AA532" s="18">
        <v>0</v>
      </c>
      <c r="AB532" s="18">
        <v>0</v>
      </c>
      <c r="AC532" s="18">
        <v>0</v>
      </c>
      <c r="AD532" s="18">
        <v>0</v>
      </c>
      <c r="AE532" s="18">
        <v>0.16119900000000001</v>
      </c>
      <c r="AF532" s="18">
        <v>0.32239800000000002</v>
      </c>
      <c r="AG532" s="18">
        <v>0.36085609999999996</v>
      </c>
      <c r="AH532" s="18">
        <v>1.0095553000000002</v>
      </c>
      <c r="AI532" s="18">
        <v>1.6267341000000002</v>
      </c>
      <c r="AJ532" s="18">
        <v>5.7508100999999998</v>
      </c>
      <c r="AK532" s="18">
        <v>9.0691380000000006</v>
      </c>
      <c r="AL532" s="18">
        <v>13.5649853</v>
      </c>
      <c r="AM532" s="18">
        <v>14.0508965</v>
      </c>
      <c r="AN532" s="18">
        <v>14.2734535</v>
      </c>
      <c r="AO532" s="18">
        <v>14.2816601</v>
      </c>
      <c r="AP532" s="18">
        <v>15.1353954</v>
      </c>
      <c r="AQ532" s="18">
        <v>15.8289785</v>
      </c>
      <c r="AR532" s="18">
        <v>15.990694099999999</v>
      </c>
      <c r="AS532" s="18">
        <v>16.592890499999999</v>
      </c>
      <c r="AT532" s="18">
        <v>0</v>
      </c>
      <c r="AU532" s="18">
        <v>0</v>
      </c>
      <c r="AV532" s="18">
        <v>0</v>
      </c>
      <c r="AW532" s="18">
        <v>0</v>
      </c>
      <c r="AX532" s="18">
        <v>0</v>
      </c>
      <c r="AY532" s="18">
        <v>0</v>
      </c>
      <c r="AZ532" s="18">
        <v>0</v>
      </c>
      <c r="BA532" s="18">
        <v>0</v>
      </c>
      <c r="BB532" s="40" t="s">
        <v>16</v>
      </c>
      <c r="BC532" s="18">
        <v>0</v>
      </c>
      <c r="BD532" s="18">
        <v>0</v>
      </c>
      <c r="BE532" s="18">
        <v>0</v>
      </c>
      <c r="BF532" s="18">
        <v>0</v>
      </c>
      <c r="BG532" s="18">
        <v>0</v>
      </c>
      <c r="BH532" s="113">
        <v>0</v>
      </c>
      <c r="BI532" s="18">
        <v>0</v>
      </c>
      <c r="BJ532" s="18">
        <v>0</v>
      </c>
      <c r="BK532" s="18">
        <v>0</v>
      </c>
      <c r="BL532" s="18">
        <v>0</v>
      </c>
      <c r="BM532" s="18">
        <v>0</v>
      </c>
      <c r="BN532" s="18">
        <v>0</v>
      </c>
      <c r="BO532" s="18">
        <v>0</v>
      </c>
      <c r="BP532" s="113">
        <v>0</v>
      </c>
      <c r="BQ532" s="113">
        <v>0</v>
      </c>
      <c r="BR532" s="101"/>
      <c r="BS532">
        <f t="shared" si="1050"/>
        <v>0</v>
      </c>
      <c r="BT532">
        <f t="shared" si="1050"/>
        <v>0</v>
      </c>
      <c r="BU532">
        <f t="shared" si="1050"/>
        <v>0</v>
      </c>
      <c r="BV532">
        <f t="shared" si="1050"/>
        <v>0</v>
      </c>
      <c r="BW532">
        <f t="shared" si="1050"/>
        <v>0</v>
      </c>
      <c r="BX532">
        <f t="shared" si="1050"/>
        <v>0</v>
      </c>
      <c r="BY532">
        <f t="shared" si="1050"/>
        <v>0</v>
      </c>
      <c r="BZ532">
        <f t="shared" si="1050"/>
        <v>0</v>
      </c>
      <c r="CA532">
        <f t="shared" si="1050"/>
        <v>0</v>
      </c>
      <c r="CB532">
        <f t="shared" si="1050"/>
        <v>0</v>
      </c>
      <c r="CC532">
        <f t="shared" si="1051"/>
        <v>0</v>
      </c>
      <c r="CD532">
        <f t="shared" si="1051"/>
        <v>0</v>
      </c>
      <c r="CE532">
        <f t="shared" si="1051"/>
        <v>0</v>
      </c>
      <c r="CF532">
        <f t="shared" si="1051"/>
        <v>0</v>
      </c>
      <c r="CG532">
        <f t="shared" si="1051"/>
        <v>0</v>
      </c>
      <c r="CH532">
        <f t="shared" si="1051"/>
        <v>0</v>
      </c>
      <c r="CI532">
        <f t="shared" si="1051"/>
        <v>0</v>
      </c>
      <c r="CJ532">
        <f t="shared" si="1051"/>
        <v>0</v>
      </c>
      <c r="CK532">
        <f t="shared" si="1051"/>
        <v>0</v>
      </c>
      <c r="CL532">
        <f t="shared" si="1051"/>
        <v>0</v>
      </c>
      <c r="CM532">
        <f t="shared" si="1052"/>
        <v>0</v>
      </c>
      <c r="CN532">
        <f t="shared" si="1052"/>
        <v>0</v>
      </c>
      <c r="CO532">
        <f t="shared" si="1052"/>
        <v>0</v>
      </c>
      <c r="CP532">
        <f t="shared" si="1052"/>
        <v>0</v>
      </c>
      <c r="CQ532">
        <f t="shared" si="1052"/>
        <v>0</v>
      </c>
      <c r="CR532">
        <f t="shared" si="1052"/>
        <v>0</v>
      </c>
      <c r="CS532">
        <f t="shared" si="1052"/>
        <v>0</v>
      </c>
      <c r="CT532">
        <f t="shared" si="1052"/>
        <v>0</v>
      </c>
      <c r="CU532">
        <f t="shared" si="1052"/>
        <v>0</v>
      </c>
      <c r="CV532">
        <f t="shared" si="1052"/>
        <v>0</v>
      </c>
      <c r="CW532">
        <f t="shared" si="1053"/>
        <v>0</v>
      </c>
      <c r="CX532">
        <f t="shared" si="1053"/>
        <v>0</v>
      </c>
      <c r="CY532">
        <f t="shared" si="1053"/>
        <v>0</v>
      </c>
      <c r="CZ532">
        <f t="shared" si="1053"/>
        <v>0</v>
      </c>
      <c r="DA532">
        <f t="shared" si="1053"/>
        <v>0</v>
      </c>
      <c r="DB532">
        <f t="shared" si="1053"/>
        <v>0</v>
      </c>
      <c r="DC532">
        <f t="shared" si="1053"/>
        <v>0</v>
      </c>
      <c r="DD532">
        <f t="shared" si="1053"/>
        <v>0</v>
      </c>
      <c r="DE532">
        <f t="shared" si="1053"/>
        <v>0</v>
      </c>
      <c r="DF532">
        <f t="shared" si="1053"/>
        <v>0</v>
      </c>
      <c r="DG532">
        <f t="shared" si="1054"/>
        <v>0</v>
      </c>
      <c r="DH532">
        <f t="shared" si="1054"/>
        <v>0</v>
      </c>
      <c r="DI532">
        <f t="shared" si="1054"/>
        <v>0</v>
      </c>
      <c r="DJ532">
        <f t="shared" si="1054"/>
        <v>0</v>
      </c>
      <c r="DK532">
        <f t="shared" si="1054"/>
        <v>0</v>
      </c>
      <c r="DL532">
        <f t="shared" si="1054"/>
        <v>0</v>
      </c>
      <c r="DM532">
        <f t="shared" si="1054"/>
        <v>0</v>
      </c>
      <c r="DN532">
        <f t="shared" si="1054"/>
        <v>0</v>
      </c>
      <c r="DO532">
        <f t="shared" si="1054"/>
        <v>0</v>
      </c>
      <c r="DP532">
        <f t="shared" si="1054"/>
        <v>0</v>
      </c>
      <c r="DQ532">
        <f t="shared" si="1055"/>
        <v>0</v>
      </c>
      <c r="DR532">
        <f t="shared" si="1055"/>
        <v>0</v>
      </c>
      <c r="DS532">
        <f t="shared" si="1055"/>
        <v>0</v>
      </c>
      <c r="DT532">
        <f t="shared" si="1055"/>
        <v>0</v>
      </c>
      <c r="DU532">
        <f t="shared" si="1055"/>
        <v>0</v>
      </c>
      <c r="DV532">
        <f t="shared" si="1055"/>
        <v>0</v>
      </c>
      <c r="DW532">
        <f t="shared" si="1055"/>
        <v>0</v>
      </c>
      <c r="DX532">
        <f t="shared" si="1055"/>
        <v>0</v>
      </c>
      <c r="DY532">
        <f t="shared" si="1055"/>
        <v>0</v>
      </c>
      <c r="DZ532">
        <f t="shared" si="1055"/>
        <v>0</v>
      </c>
      <c r="EA532">
        <f t="shared" si="1056"/>
        <v>0</v>
      </c>
      <c r="EB532">
        <f t="shared" si="1056"/>
        <v>0</v>
      </c>
      <c r="EC532">
        <f t="shared" si="1056"/>
        <v>0</v>
      </c>
      <c r="ED532">
        <f t="shared" si="1056"/>
        <v>0</v>
      </c>
      <c r="EE532">
        <f t="shared" si="1056"/>
        <v>0</v>
      </c>
      <c r="EF532">
        <f t="shared" si="1056"/>
        <v>0</v>
      </c>
    </row>
    <row r="533" spans="1:136" ht="15.5">
      <c r="A533" s="90"/>
      <c r="B533" s="53" t="s">
        <v>3</v>
      </c>
      <c r="C533" s="9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>
        <v>0</v>
      </c>
      <c r="S533" s="34">
        <v>0</v>
      </c>
      <c r="T533" s="34">
        <v>0.107</v>
      </c>
      <c r="U533" s="34">
        <v>0.217</v>
      </c>
      <c r="V533" s="34">
        <v>0.62176299999999995</v>
      </c>
      <c r="W533" s="34">
        <v>1.5984130000000001</v>
      </c>
      <c r="X533" s="34">
        <v>3.6276929999999998</v>
      </c>
      <c r="Y533" s="34">
        <v>9.8470359999999992</v>
      </c>
      <c r="Z533" s="34">
        <v>18.80875</v>
      </c>
      <c r="AA533" s="34">
        <v>20.005089999999999</v>
      </c>
      <c r="AB533" s="34">
        <v>21.70298</v>
      </c>
      <c r="AC533" s="34">
        <v>27.317489999999999</v>
      </c>
      <c r="AD533" s="34">
        <v>36.097189999999998</v>
      </c>
      <c r="AE533" s="34">
        <v>24</v>
      </c>
      <c r="AF533" s="34">
        <v>41.661320000000003</v>
      </c>
      <c r="AG533" s="34">
        <v>73</v>
      </c>
      <c r="AH533" s="34">
        <f>147.5008-AH532</f>
        <v>146.49124470000001</v>
      </c>
      <c r="AI533" s="34">
        <f>165.1771-AI532</f>
        <v>163.5503659</v>
      </c>
      <c r="AJ533" s="34">
        <f>203.2708-AJ532</f>
        <v>197.51998990000001</v>
      </c>
      <c r="AK533" s="34">
        <f>242.5909-AK532</f>
        <v>233.521762</v>
      </c>
      <c r="AL533" s="34">
        <f>308.8509-AL532</f>
        <v>295.28591470000003</v>
      </c>
      <c r="AM533" s="34">
        <v>122</v>
      </c>
      <c r="AN533" s="34">
        <f>347.6913-AN532</f>
        <v>333.4178465</v>
      </c>
      <c r="AO533" s="34">
        <v>0</v>
      </c>
      <c r="AP533" s="34">
        <f>254.0876-AP532</f>
        <v>238.95220460000002</v>
      </c>
      <c r="AQ533" s="34">
        <f>283.0411-AQ532</f>
        <v>267.21212149999997</v>
      </c>
      <c r="AR533" s="34">
        <f>309.938918-AR532</f>
        <v>293.94822390000002</v>
      </c>
      <c r="AS533" s="34">
        <f>322.8077248-AS531</f>
        <v>181.80772480000002</v>
      </c>
      <c r="AT533" s="34">
        <f>354.4785149-AT532</f>
        <v>354.47851489999999</v>
      </c>
      <c r="AU533" s="34">
        <v>399.6654451</v>
      </c>
      <c r="AV533" s="34">
        <v>518.6349762000001</v>
      </c>
      <c r="AW533" s="34">
        <v>386.25174429999998</v>
      </c>
      <c r="AX533" s="34">
        <v>386.71875949999998</v>
      </c>
      <c r="AY533" s="34">
        <v>396.48669239999998</v>
      </c>
      <c r="AZ533" s="34">
        <v>426.23487249999999</v>
      </c>
      <c r="BA533" s="34">
        <v>463.47039869999998</v>
      </c>
      <c r="BB533" s="34">
        <f>415.9866871-BB531</f>
        <v>93.986687099999983</v>
      </c>
      <c r="BC533" s="34">
        <v>842.57643800000005</v>
      </c>
      <c r="BD533" s="34">
        <v>77.460999999999999</v>
      </c>
      <c r="BE533" s="74">
        <v>77.494</v>
      </c>
      <c r="BF533" s="18">
        <v>77.483000000000004</v>
      </c>
      <c r="BG533" s="18">
        <v>77.537999999999997</v>
      </c>
      <c r="BH533" s="18">
        <f>77.561231-BH532</f>
        <v>77.561231000000006</v>
      </c>
      <c r="BI533" s="18">
        <v>63.931786100000004</v>
      </c>
      <c r="BJ533" s="18">
        <v>26.059815799999999</v>
      </c>
      <c r="BK533" s="34">
        <v>26.483312999999999</v>
      </c>
      <c r="BL533" s="113">
        <v>28.319931499999999</v>
      </c>
      <c r="BM533" s="113">
        <f>56.8615862-BM531</f>
        <v>54.861586199999998</v>
      </c>
      <c r="BN533" s="113">
        <f>8.0788805-BN531</f>
        <v>6.0788805000000004</v>
      </c>
      <c r="BO533" s="113">
        <v>72</v>
      </c>
      <c r="BP533" s="113">
        <v>4</v>
      </c>
      <c r="BQ533" s="113">
        <v>4</v>
      </c>
      <c r="BR533" s="101"/>
      <c r="BS533">
        <f t="shared" si="1050"/>
        <v>0</v>
      </c>
      <c r="BT533">
        <f t="shared" si="1050"/>
        <v>0</v>
      </c>
      <c r="BU533">
        <f t="shared" si="1050"/>
        <v>0</v>
      </c>
      <c r="BV533">
        <f t="shared" si="1050"/>
        <v>0</v>
      </c>
      <c r="BW533">
        <f t="shared" si="1050"/>
        <v>0</v>
      </c>
      <c r="BX533">
        <f t="shared" si="1050"/>
        <v>0</v>
      </c>
      <c r="BY533">
        <f t="shared" si="1050"/>
        <v>0</v>
      </c>
      <c r="BZ533">
        <f t="shared" si="1050"/>
        <v>0</v>
      </c>
      <c r="CA533">
        <f t="shared" si="1050"/>
        <v>0</v>
      </c>
      <c r="CB533">
        <f t="shared" si="1050"/>
        <v>0</v>
      </c>
      <c r="CC533">
        <f t="shared" si="1051"/>
        <v>0</v>
      </c>
      <c r="CD533">
        <f t="shared" si="1051"/>
        <v>0</v>
      </c>
      <c r="CE533">
        <f t="shared" si="1051"/>
        <v>0</v>
      </c>
      <c r="CF533">
        <f t="shared" si="1051"/>
        <v>0</v>
      </c>
      <c r="CG533">
        <f t="shared" si="1051"/>
        <v>0</v>
      </c>
      <c r="CH533">
        <f t="shared" si="1051"/>
        <v>0</v>
      </c>
      <c r="CI533">
        <f t="shared" si="1051"/>
        <v>0</v>
      </c>
      <c r="CJ533">
        <f t="shared" si="1051"/>
        <v>0</v>
      </c>
      <c r="CK533">
        <f t="shared" si="1051"/>
        <v>0</v>
      </c>
      <c r="CL533">
        <f t="shared" si="1051"/>
        <v>0</v>
      </c>
      <c r="CM533">
        <f t="shared" si="1052"/>
        <v>0</v>
      </c>
      <c r="CN533">
        <f t="shared" si="1052"/>
        <v>0</v>
      </c>
      <c r="CO533">
        <f t="shared" si="1052"/>
        <v>0</v>
      </c>
      <c r="CP533">
        <f t="shared" si="1052"/>
        <v>0</v>
      </c>
      <c r="CQ533">
        <f t="shared" si="1052"/>
        <v>0</v>
      </c>
      <c r="CR533">
        <f t="shared" si="1052"/>
        <v>0</v>
      </c>
      <c r="CS533">
        <f t="shared" si="1052"/>
        <v>0</v>
      </c>
      <c r="CT533">
        <f t="shared" si="1052"/>
        <v>0</v>
      </c>
      <c r="CU533">
        <f t="shared" si="1052"/>
        <v>0</v>
      </c>
      <c r="CV533">
        <f t="shared" si="1052"/>
        <v>0</v>
      </c>
      <c r="CW533">
        <f t="shared" si="1053"/>
        <v>0</v>
      </c>
      <c r="CX533">
        <f t="shared" si="1053"/>
        <v>0</v>
      </c>
      <c r="CY533">
        <f t="shared" si="1053"/>
        <v>0</v>
      </c>
      <c r="CZ533">
        <f t="shared" si="1053"/>
        <v>0</v>
      </c>
      <c r="DA533">
        <f t="shared" si="1053"/>
        <v>0</v>
      </c>
      <c r="DB533">
        <f t="shared" si="1053"/>
        <v>0</v>
      </c>
      <c r="DC533">
        <f t="shared" si="1053"/>
        <v>0</v>
      </c>
      <c r="DD533">
        <f t="shared" si="1053"/>
        <v>0</v>
      </c>
      <c r="DE533">
        <f t="shared" si="1053"/>
        <v>0</v>
      </c>
      <c r="DF533">
        <f t="shared" si="1053"/>
        <v>0</v>
      </c>
      <c r="DG533">
        <f t="shared" si="1054"/>
        <v>0</v>
      </c>
      <c r="DH533">
        <f t="shared" si="1054"/>
        <v>0</v>
      </c>
      <c r="DI533">
        <f t="shared" si="1054"/>
        <v>0</v>
      </c>
      <c r="DJ533">
        <f t="shared" si="1054"/>
        <v>0</v>
      </c>
      <c r="DK533">
        <f t="shared" si="1054"/>
        <v>0</v>
      </c>
      <c r="DL533">
        <f t="shared" si="1054"/>
        <v>0</v>
      </c>
      <c r="DM533">
        <f t="shared" si="1054"/>
        <v>0</v>
      </c>
      <c r="DN533">
        <f t="shared" si="1054"/>
        <v>0</v>
      </c>
      <c r="DO533">
        <f t="shared" si="1054"/>
        <v>0</v>
      </c>
      <c r="DP533">
        <f t="shared" si="1054"/>
        <v>0</v>
      </c>
      <c r="DQ533">
        <f t="shared" si="1055"/>
        <v>0</v>
      </c>
      <c r="DR533">
        <f t="shared" si="1055"/>
        <v>0</v>
      </c>
      <c r="DS533">
        <f t="shared" si="1055"/>
        <v>0</v>
      </c>
      <c r="DT533">
        <f t="shared" si="1055"/>
        <v>0</v>
      </c>
      <c r="DU533">
        <f t="shared" si="1055"/>
        <v>0</v>
      </c>
      <c r="DV533">
        <f t="shared" si="1055"/>
        <v>0</v>
      </c>
      <c r="DW533">
        <f t="shared" si="1055"/>
        <v>0</v>
      </c>
      <c r="DX533">
        <f t="shared" si="1055"/>
        <v>0</v>
      </c>
      <c r="DY533">
        <f t="shared" si="1055"/>
        <v>0</v>
      </c>
      <c r="DZ533">
        <f t="shared" si="1055"/>
        <v>0</v>
      </c>
      <c r="EA533">
        <f t="shared" si="1056"/>
        <v>0</v>
      </c>
      <c r="EB533">
        <f t="shared" si="1056"/>
        <v>0</v>
      </c>
      <c r="EC533">
        <f t="shared" si="1056"/>
        <v>0</v>
      </c>
      <c r="ED533">
        <f t="shared" si="1056"/>
        <v>0</v>
      </c>
      <c r="EE533">
        <f t="shared" si="1056"/>
        <v>0</v>
      </c>
      <c r="EF533">
        <f t="shared" si="1056"/>
        <v>0</v>
      </c>
    </row>
    <row r="534" spans="1:136" ht="15.5">
      <c r="A534" s="90"/>
      <c r="B534" s="53" t="s">
        <v>25</v>
      </c>
      <c r="C534" s="9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>
        <v>0</v>
      </c>
      <c r="S534" s="34">
        <v>0</v>
      </c>
      <c r="T534" s="34">
        <v>0</v>
      </c>
      <c r="U534" s="34">
        <v>0</v>
      </c>
      <c r="V534" s="34">
        <v>0</v>
      </c>
      <c r="W534" s="34">
        <v>0</v>
      </c>
      <c r="X534" s="34">
        <v>0</v>
      </c>
      <c r="Y534" s="34">
        <v>0</v>
      </c>
      <c r="Z534" s="34">
        <v>0</v>
      </c>
      <c r="AA534" s="34">
        <v>0</v>
      </c>
      <c r="AB534" s="34">
        <v>0</v>
      </c>
      <c r="AC534" s="34">
        <v>0</v>
      </c>
      <c r="AD534" s="34">
        <v>0</v>
      </c>
      <c r="AE534" s="34">
        <v>0</v>
      </c>
      <c r="AF534" s="34">
        <v>0</v>
      </c>
      <c r="AG534" s="34">
        <v>0</v>
      </c>
      <c r="AH534" s="34">
        <v>0</v>
      </c>
      <c r="AI534" s="34">
        <v>0</v>
      </c>
      <c r="AJ534" s="34">
        <v>0</v>
      </c>
      <c r="AK534" s="34">
        <v>0</v>
      </c>
      <c r="AL534" s="34">
        <v>0</v>
      </c>
      <c r="AM534" s="34">
        <v>0</v>
      </c>
      <c r="AN534" s="34">
        <v>0</v>
      </c>
      <c r="AO534" s="34">
        <v>0</v>
      </c>
      <c r="AP534" s="34">
        <v>0</v>
      </c>
      <c r="AQ534" s="34">
        <v>0</v>
      </c>
      <c r="AR534" s="34">
        <v>0</v>
      </c>
      <c r="AS534" s="34">
        <v>0</v>
      </c>
      <c r="AT534" s="34">
        <v>0</v>
      </c>
      <c r="AU534" s="34">
        <v>0</v>
      </c>
      <c r="AV534" s="34">
        <v>0</v>
      </c>
      <c r="AW534" s="34">
        <v>0</v>
      </c>
      <c r="AX534" s="34">
        <v>0</v>
      </c>
      <c r="AY534" s="34">
        <v>0</v>
      </c>
      <c r="AZ534" s="34">
        <f>14400/478.6</f>
        <v>30.087755954868364</v>
      </c>
      <c r="BA534" s="34">
        <v>0</v>
      </c>
      <c r="BB534" s="34">
        <v>0</v>
      </c>
      <c r="BC534" s="34">
        <v>0</v>
      </c>
      <c r="BD534" s="34">
        <v>0</v>
      </c>
      <c r="BE534" s="74">
        <v>0</v>
      </c>
      <c r="BF534" s="18">
        <v>0</v>
      </c>
      <c r="BG534" s="18">
        <v>0</v>
      </c>
      <c r="BH534" s="18">
        <v>0</v>
      </c>
      <c r="BI534" s="18">
        <v>0</v>
      </c>
      <c r="BJ534" s="18">
        <v>0</v>
      </c>
      <c r="BK534" s="34">
        <v>0</v>
      </c>
      <c r="BL534" s="113">
        <v>0</v>
      </c>
      <c r="BM534" s="113">
        <v>0</v>
      </c>
      <c r="BN534" s="113">
        <v>0</v>
      </c>
      <c r="BO534" s="113">
        <v>0</v>
      </c>
      <c r="BP534" s="113">
        <v>0</v>
      </c>
      <c r="BQ534" s="113">
        <v>0</v>
      </c>
      <c r="BR534" s="101"/>
      <c r="BS534">
        <f t="shared" si="1050"/>
        <v>0</v>
      </c>
      <c r="BT534">
        <f t="shared" si="1050"/>
        <v>0</v>
      </c>
      <c r="BU534">
        <f t="shared" si="1050"/>
        <v>0</v>
      </c>
      <c r="BV534">
        <f t="shared" si="1050"/>
        <v>0</v>
      </c>
      <c r="BW534">
        <f t="shared" si="1050"/>
        <v>0</v>
      </c>
      <c r="BX534">
        <f t="shared" si="1050"/>
        <v>0</v>
      </c>
      <c r="BY534">
        <f t="shared" si="1050"/>
        <v>0</v>
      </c>
      <c r="BZ534">
        <f t="shared" si="1050"/>
        <v>0</v>
      </c>
      <c r="CA534">
        <f t="shared" si="1050"/>
        <v>0</v>
      </c>
      <c r="CB534">
        <f t="shared" si="1050"/>
        <v>0</v>
      </c>
      <c r="CC534">
        <f t="shared" si="1051"/>
        <v>0</v>
      </c>
      <c r="CD534">
        <f t="shared" si="1051"/>
        <v>0</v>
      </c>
      <c r="CE534">
        <f t="shared" si="1051"/>
        <v>0</v>
      </c>
      <c r="CF534">
        <f t="shared" si="1051"/>
        <v>0</v>
      </c>
      <c r="CG534">
        <f t="shared" si="1051"/>
        <v>0</v>
      </c>
      <c r="CH534">
        <f t="shared" si="1051"/>
        <v>0</v>
      </c>
      <c r="CI534">
        <f t="shared" si="1051"/>
        <v>0</v>
      </c>
      <c r="CJ534">
        <f t="shared" si="1051"/>
        <v>0</v>
      </c>
      <c r="CK534">
        <f t="shared" si="1051"/>
        <v>0</v>
      </c>
      <c r="CL534">
        <f t="shared" si="1051"/>
        <v>0</v>
      </c>
      <c r="CM534">
        <f t="shared" si="1052"/>
        <v>0</v>
      </c>
      <c r="CN534">
        <f t="shared" si="1052"/>
        <v>0</v>
      </c>
      <c r="CO534">
        <f t="shared" si="1052"/>
        <v>0</v>
      </c>
      <c r="CP534">
        <f t="shared" si="1052"/>
        <v>0</v>
      </c>
      <c r="CQ534">
        <f t="shared" si="1052"/>
        <v>0</v>
      </c>
      <c r="CR534">
        <f t="shared" si="1052"/>
        <v>0</v>
      </c>
      <c r="CS534">
        <f t="shared" si="1052"/>
        <v>0</v>
      </c>
      <c r="CT534">
        <f t="shared" si="1052"/>
        <v>0</v>
      </c>
      <c r="CU534">
        <f t="shared" si="1052"/>
        <v>0</v>
      </c>
      <c r="CV534">
        <f t="shared" si="1052"/>
        <v>0</v>
      </c>
      <c r="CW534">
        <f t="shared" si="1053"/>
        <v>0</v>
      </c>
      <c r="CX534">
        <f t="shared" si="1053"/>
        <v>0</v>
      </c>
      <c r="CY534">
        <f t="shared" si="1053"/>
        <v>0</v>
      </c>
      <c r="CZ534">
        <f t="shared" si="1053"/>
        <v>0</v>
      </c>
      <c r="DA534">
        <f t="shared" si="1053"/>
        <v>0</v>
      </c>
      <c r="DB534">
        <f t="shared" si="1053"/>
        <v>0</v>
      </c>
      <c r="DC534">
        <f t="shared" si="1053"/>
        <v>0</v>
      </c>
      <c r="DD534">
        <f t="shared" si="1053"/>
        <v>0</v>
      </c>
      <c r="DE534">
        <f t="shared" si="1053"/>
        <v>0</v>
      </c>
      <c r="DF534">
        <f t="shared" si="1053"/>
        <v>0</v>
      </c>
      <c r="DG534">
        <f t="shared" si="1054"/>
        <v>0</v>
      </c>
      <c r="DH534">
        <f t="shared" si="1054"/>
        <v>0</v>
      </c>
      <c r="DI534">
        <f t="shared" si="1054"/>
        <v>0</v>
      </c>
      <c r="DJ534">
        <f t="shared" si="1054"/>
        <v>0</v>
      </c>
      <c r="DK534">
        <f t="shared" si="1054"/>
        <v>0</v>
      </c>
      <c r="DL534">
        <f t="shared" si="1054"/>
        <v>0</v>
      </c>
      <c r="DM534">
        <f t="shared" si="1054"/>
        <v>0</v>
      </c>
      <c r="DN534">
        <f t="shared" si="1054"/>
        <v>0</v>
      </c>
      <c r="DO534">
        <f t="shared" si="1054"/>
        <v>0</v>
      </c>
      <c r="DP534">
        <f t="shared" si="1054"/>
        <v>0</v>
      </c>
      <c r="DQ534">
        <f t="shared" si="1055"/>
        <v>0</v>
      </c>
      <c r="DR534">
        <f t="shared" si="1055"/>
        <v>0</v>
      </c>
      <c r="DS534">
        <f t="shared" si="1055"/>
        <v>0</v>
      </c>
      <c r="DT534">
        <f t="shared" si="1055"/>
        <v>0</v>
      </c>
      <c r="DU534">
        <f t="shared" si="1055"/>
        <v>0</v>
      </c>
      <c r="DV534">
        <f t="shared" si="1055"/>
        <v>0</v>
      </c>
      <c r="DW534">
        <f t="shared" si="1055"/>
        <v>0</v>
      </c>
      <c r="DX534">
        <f t="shared" si="1055"/>
        <v>0</v>
      </c>
      <c r="DY534">
        <f t="shared" si="1055"/>
        <v>0</v>
      </c>
      <c r="DZ534">
        <f t="shared" si="1055"/>
        <v>0</v>
      </c>
      <c r="EA534">
        <f t="shared" ref="EA534:EF536" si="1057">IF($C534&lt;&gt;"",IF(BL534&gt;0,1,0),0)</f>
        <v>0</v>
      </c>
      <c r="EB534">
        <f t="shared" si="1057"/>
        <v>0</v>
      </c>
      <c r="EC534">
        <f t="shared" si="1057"/>
        <v>0</v>
      </c>
      <c r="ED534">
        <f t="shared" si="1057"/>
        <v>0</v>
      </c>
      <c r="EE534">
        <f t="shared" si="1057"/>
        <v>0</v>
      </c>
      <c r="EF534">
        <f t="shared" si="1057"/>
        <v>0</v>
      </c>
    </row>
    <row r="535" spans="1:136" ht="15.5">
      <c r="A535" s="90"/>
      <c r="B535" s="19" t="s">
        <v>208</v>
      </c>
      <c r="C535" s="94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>
        <v>0</v>
      </c>
      <c r="S535" s="18">
        <v>0</v>
      </c>
      <c r="T535" s="18">
        <v>0</v>
      </c>
      <c r="U535" s="18">
        <v>0</v>
      </c>
      <c r="V535" s="18">
        <v>0</v>
      </c>
      <c r="W535" s="18">
        <v>0.72199999999999998</v>
      </c>
      <c r="X535" s="18">
        <v>1.7772600000000001</v>
      </c>
      <c r="Y535" s="18">
        <v>5.6971280000000002</v>
      </c>
      <c r="Z535" s="18">
        <v>9.1553389999999997</v>
      </c>
      <c r="AA535" s="18">
        <v>12.52901</v>
      </c>
      <c r="AB535" s="18">
        <v>5.0834190000000001</v>
      </c>
      <c r="AC535" s="18">
        <v>9.9145310000000002</v>
      </c>
      <c r="AD535" s="18">
        <v>12.24906</v>
      </c>
      <c r="AE535" s="18">
        <v>5.9991770000000004</v>
      </c>
      <c r="AF535" s="18">
        <v>8.3335450000000009</v>
      </c>
      <c r="AG535" s="18">
        <v>23.390260000000001</v>
      </c>
      <c r="AH535" s="18">
        <v>15.67272</v>
      </c>
      <c r="AI535" s="18">
        <v>15.49508</v>
      </c>
      <c r="AJ535" s="18">
        <v>21.63194</v>
      </c>
      <c r="AK535" s="18">
        <v>29.812819999999999</v>
      </c>
      <c r="AL535" s="18">
        <v>32.359409999999997</v>
      </c>
      <c r="AM535" s="18">
        <v>36.884509999999999</v>
      </c>
      <c r="AN535" s="18">
        <v>34.210599999999999</v>
      </c>
      <c r="AO535" s="18">
        <v>0</v>
      </c>
      <c r="AP535" s="18">
        <v>0</v>
      </c>
      <c r="AQ535" s="18">
        <v>0</v>
      </c>
      <c r="AR535" s="18">
        <v>0</v>
      </c>
      <c r="AS535" s="18">
        <v>0</v>
      </c>
      <c r="AT535" s="18">
        <v>0</v>
      </c>
      <c r="AU535" s="18">
        <v>0</v>
      </c>
      <c r="AV535" s="18">
        <v>0</v>
      </c>
      <c r="AW535" s="18">
        <v>0</v>
      </c>
      <c r="AX535" s="18">
        <v>0</v>
      </c>
      <c r="AY535" s="18">
        <v>0</v>
      </c>
      <c r="AZ535" s="18">
        <v>0</v>
      </c>
      <c r="BA535" s="18">
        <v>0</v>
      </c>
      <c r="BB535" s="18">
        <v>0</v>
      </c>
      <c r="BC535" s="18">
        <v>0</v>
      </c>
      <c r="BD535" s="18">
        <v>0</v>
      </c>
      <c r="BE535" s="25">
        <v>0</v>
      </c>
      <c r="BF535" s="18">
        <v>0</v>
      </c>
      <c r="BG535" s="18">
        <v>0</v>
      </c>
      <c r="BH535" s="18">
        <v>0</v>
      </c>
      <c r="BI535" s="18">
        <v>0</v>
      </c>
      <c r="BJ535" s="113">
        <v>0</v>
      </c>
      <c r="BK535" s="113">
        <v>0</v>
      </c>
      <c r="BL535" s="113">
        <v>0</v>
      </c>
      <c r="BM535" s="113">
        <v>0</v>
      </c>
      <c r="BN535" s="113">
        <v>0</v>
      </c>
      <c r="BO535" s="113">
        <v>17</v>
      </c>
      <c r="BP535" s="113">
        <v>0</v>
      </c>
      <c r="BQ535" s="113">
        <v>0</v>
      </c>
      <c r="BR535" s="101"/>
      <c r="BS535">
        <f t="shared" si="1050"/>
        <v>0</v>
      </c>
      <c r="BT535">
        <f t="shared" si="1050"/>
        <v>0</v>
      </c>
      <c r="BU535">
        <f t="shared" si="1050"/>
        <v>0</v>
      </c>
      <c r="BV535">
        <f t="shared" si="1050"/>
        <v>0</v>
      </c>
      <c r="BW535">
        <f t="shared" si="1050"/>
        <v>0</v>
      </c>
      <c r="BX535">
        <f t="shared" si="1050"/>
        <v>0</v>
      </c>
      <c r="BY535">
        <f t="shared" si="1050"/>
        <v>0</v>
      </c>
      <c r="BZ535">
        <f t="shared" si="1050"/>
        <v>0</v>
      </c>
      <c r="CA535">
        <f t="shared" si="1050"/>
        <v>0</v>
      </c>
      <c r="CB535">
        <f t="shared" si="1050"/>
        <v>0</v>
      </c>
      <c r="CC535">
        <f t="shared" si="1051"/>
        <v>0</v>
      </c>
      <c r="CD535">
        <f t="shared" si="1051"/>
        <v>0</v>
      </c>
      <c r="CE535">
        <f t="shared" si="1051"/>
        <v>0</v>
      </c>
      <c r="CF535">
        <f t="shared" si="1051"/>
        <v>0</v>
      </c>
      <c r="CG535">
        <f t="shared" si="1051"/>
        <v>0</v>
      </c>
      <c r="CH535">
        <f t="shared" si="1051"/>
        <v>0</v>
      </c>
      <c r="CI535">
        <f t="shared" si="1051"/>
        <v>0</v>
      </c>
      <c r="CJ535">
        <f t="shared" si="1051"/>
        <v>0</v>
      </c>
      <c r="CK535">
        <f t="shared" si="1051"/>
        <v>0</v>
      </c>
      <c r="CL535">
        <f t="shared" si="1051"/>
        <v>0</v>
      </c>
      <c r="CM535">
        <f t="shared" si="1052"/>
        <v>0</v>
      </c>
      <c r="CN535">
        <f t="shared" si="1052"/>
        <v>0</v>
      </c>
      <c r="CO535">
        <f t="shared" si="1052"/>
        <v>0</v>
      </c>
      <c r="CP535">
        <f t="shared" si="1052"/>
        <v>0</v>
      </c>
      <c r="CQ535">
        <f t="shared" si="1052"/>
        <v>0</v>
      </c>
      <c r="CR535">
        <f t="shared" si="1052"/>
        <v>0</v>
      </c>
      <c r="CS535">
        <f t="shared" si="1052"/>
        <v>0</v>
      </c>
      <c r="CT535">
        <f t="shared" si="1052"/>
        <v>0</v>
      </c>
      <c r="CU535">
        <f t="shared" si="1052"/>
        <v>0</v>
      </c>
      <c r="CV535">
        <f t="shared" si="1052"/>
        <v>0</v>
      </c>
      <c r="CW535">
        <f t="shared" si="1053"/>
        <v>0</v>
      </c>
      <c r="CX535">
        <f t="shared" si="1053"/>
        <v>0</v>
      </c>
      <c r="CY535">
        <f t="shared" si="1053"/>
        <v>0</v>
      </c>
      <c r="CZ535">
        <f t="shared" si="1053"/>
        <v>0</v>
      </c>
      <c r="DA535">
        <f t="shared" si="1053"/>
        <v>0</v>
      </c>
      <c r="DB535">
        <f t="shared" si="1053"/>
        <v>0</v>
      </c>
      <c r="DC535">
        <f t="shared" si="1053"/>
        <v>0</v>
      </c>
      <c r="DD535">
        <f t="shared" si="1053"/>
        <v>0</v>
      </c>
      <c r="DE535">
        <f t="shared" si="1053"/>
        <v>0</v>
      </c>
      <c r="DF535">
        <f t="shared" si="1053"/>
        <v>0</v>
      </c>
      <c r="DG535">
        <f t="shared" si="1054"/>
        <v>0</v>
      </c>
      <c r="DH535">
        <f t="shared" si="1054"/>
        <v>0</v>
      </c>
      <c r="DI535">
        <f t="shared" si="1054"/>
        <v>0</v>
      </c>
      <c r="DJ535">
        <f t="shared" si="1054"/>
        <v>0</v>
      </c>
      <c r="DK535">
        <f t="shared" si="1054"/>
        <v>0</v>
      </c>
      <c r="DL535">
        <f t="shared" si="1054"/>
        <v>0</v>
      </c>
      <c r="DM535">
        <f t="shared" si="1054"/>
        <v>0</v>
      </c>
      <c r="DN535">
        <f t="shared" si="1054"/>
        <v>0</v>
      </c>
      <c r="DO535">
        <f t="shared" si="1054"/>
        <v>0</v>
      </c>
      <c r="DP535">
        <f t="shared" si="1054"/>
        <v>0</v>
      </c>
      <c r="DQ535">
        <f t="shared" si="1055"/>
        <v>0</v>
      </c>
      <c r="DR535">
        <f t="shared" si="1055"/>
        <v>0</v>
      </c>
      <c r="DS535">
        <f t="shared" si="1055"/>
        <v>0</v>
      </c>
      <c r="DT535">
        <f t="shared" si="1055"/>
        <v>0</v>
      </c>
      <c r="DU535">
        <f t="shared" si="1055"/>
        <v>0</v>
      </c>
      <c r="DV535">
        <f t="shared" si="1055"/>
        <v>0</v>
      </c>
      <c r="DW535">
        <f t="shared" si="1055"/>
        <v>0</v>
      </c>
      <c r="DX535">
        <f t="shared" si="1055"/>
        <v>0</v>
      </c>
      <c r="DY535">
        <f t="shared" si="1055"/>
        <v>0</v>
      </c>
      <c r="DZ535">
        <f t="shared" si="1055"/>
        <v>0</v>
      </c>
      <c r="EA535">
        <f t="shared" si="1057"/>
        <v>0</v>
      </c>
      <c r="EB535">
        <f t="shared" si="1057"/>
        <v>0</v>
      </c>
      <c r="EC535">
        <f t="shared" si="1057"/>
        <v>0</v>
      </c>
      <c r="ED535">
        <f t="shared" si="1057"/>
        <v>0</v>
      </c>
      <c r="EE535">
        <f t="shared" si="1057"/>
        <v>0</v>
      </c>
      <c r="EF535">
        <f t="shared" si="1057"/>
        <v>0</v>
      </c>
    </row>
    <row r="536" spans="1:136" ht="15.5">
      <c r="A536" s="90"/>
      <c r="B536" s="19" t="s">
        <v>212</v>
      </c>
      <c r="C536" s="94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>
        <v>494.42186922792763</v>
      </c>
      <c r="AA536" s="18">
        <v>245.07317073170731</v>
      </c>
      <c r="AB536" s="18">
        <v>161.80799999999999</v>
      </c>
      <c r="AC536" s="18">
        <v>118.22857142857143</v>
      </c>
      <c r="AD536" s="18">
        <v>88.418803418803421</v>
      </c>
      <c r="AE536" s="18">
        <v>0</v>
      </c>
      <c r="AF536" s="18">
        <v>22.409240924092408</v>
      </c>
      <c r="AG536" s="18">
        <v>92.259847961299243</v>
      </c>
      <c r="AH536" s="18">
        <v>160.93567251461988</v>
      </c>
      <c r="AI536" s="18">
        <v>0</v>
      </c>
      <c r="AJ536" s="18">
        <v>93.090909090909093</v>
      </c>
      <c r="AK536" s="18">
        <v>60</v>
      </c>
      <c r="AL536" s="18">
        <v>27.289719626168225</v>
      </c>
      <c r="AM536" s="18">
        <v>10.612244897959183</v>
      </c>
      <c r="AN536" s="18">
        <v>26.145038167938932</v>
      </c>
      <c r="AO536" s="18">
        <v>16.527545909849749</v>
      </c>
      <c r="AP536" s="18">
        <v>25.577557755775576</v>
      </c>
      <c r="AQ536" s="18">
        <v>29.072600292350167</v>
      </c>
      <c r="AR536" s="18">
        <v>28.089887640449437</v>
      </c>
      <c r="AS536" s="18">
        <v>56.181318681318679</v>
      </c>
      <c r="AT536" s="18">
        <v>60.619088564058472</v>
      </c>
      <c r="AU536" s="18">
        <v>98.431304947422859</v>
      </c>
      <c r="AV536" s="18">
        <v>111.06899166034874</v>
      </c>
      <c r="AW536" s="18">
        <v>111.09001139384732</v>
      </c>
      <c r="AX536" s="18">
        <v>122.5114854517611</v>
      </c>
      <c r="AY536" s="18">
        <v>178.88215628917675</v>
      </c>
      <c r="AZ536" s="18">
        <v>188.91140827413287</v>
      </c>
      <c r="BA536" s="18">
        <v>83.239847431007405</v>
      </c>
      <c r="BB536" s="18">
        <v>59.405940594059409</v>
      </c>
      <c r="BC536" s="18">
        <v>54.674457429048417</v>
      </c>
      <c r="BD536" s="18">
        <v>59.87903225806452</v>
      </c>
      <c r="BE536" s="25">
        <v>82.083333333333329</v>
      </c>
      <c r="BF536" s="18">
        <v>69.888475836431226</v>
      </c>
      <c r="BG536" s="18">
        <v>54.180602006688964</v>
      </c>
      <c r="BH536" s="18">
        <v>46.472392638036808</v>
      </c>
      <c r="BI536" s="18">
        <v>50.452079566003619</v>
      </c>
      <c r="BJ536" s="113">
        <v>46.56357388316151</v>
      </c>
      <c r="BK536" s="113">
        <v>43.247863247863251</v>
      </c>
      <c r="BL536" s="113">
        <v>57.249070631970262</v>
      </c>
      <c r="BM536" s="113">
        <v>38.96551724137931</v>
      </c>
      <c r="BN536" s="113">
        <v>24.386503067484664</v>
      </c>
      <c r="BO536" s="113">
        <v>24.546952224052717</v>
      </c>
      <c r="BP536" s="113">
        <v>24</v>
      </c>
      <c r="BQ536" s="113">
        <v>22</v>
      </c>
      <c r="BR536" s="101"/>
      <c r="BS536">
        <f t="shared" si="1050"/>
        <v>0</v>
      </c>
      <c r="BT536">
        <f t="shared" si="1050"/>
        <v>0</v>
      </c>
      <c r="BU536">
        <f t="shared" si="1050"/>
        <v>0</v>
      </c>
      <c r="BV536">
        <f t="shared" si="1050"/>
        <v>0</v>
      </c>
      <c r="BW536">
        <f t="shared" si="1050"/>
        <v>0</v>
      </c>
      <c r="BX536">
        <f t="shared" si="1050"/>
        <v>0</v>
      </c>
      <c r="BY536">
        <f t="shared" si="1050"/>
        <v>0</v>
      </c>
      <c r="BZ536">
        <f t="shared" si="1050"/>
        <v>0</v>
      </c>
      <c r="CA536">
        <f t="shared" si="1050"/>
        <v>0</v>
      </c>
      <c r="CB536">
        <f t="shared" si="1050"/>
        <v>0</v>
      </c>
      <c r="CC536">
        <f t="shared" si="1051"/>
        <v>0</v>
      </c>
      <c r="CD536">
        <f t="shared" si="1051"/>
        <v>0</v>
      </c>
      <c r="CE536">
        <f t="shared" si="1051"/>
        <v>0</v>
      </c>
      <c r="CF536">
        <f t="shared" si="1051"/>
        <v>0</v>
      </c>
      <c r="CG536">
        <f t="shared" si="1051"/>
        <v>0</v>
      </c>
      <c r="CH536">
        <f t="shared" si="1051"/>
        <v>0</v>
      </c>
      <c r="CI536">
        <f t="shared" si="1051"/>
        <v>0</v>
      </c>
      <c r="CJ536">
        <f t="shared" si="1051"/>
        <v>0</v>
      </c>
      <c r="CK536">
        <f t="shared" si="1051"/>
        <v>0</v>
      </c>
      <c r="CL536">
        <f t="shared" si="1051"/>
        <v>0</v>
      </c>
      <c r="CM536">
        <f t="shared" si="1052"/>
        <v>0</v>
      </c>
      <c r="CN536">
        <f t="shared" si="1052"/>
        <v>0</v>
      </c>
      <c r="CO536">
        <f t="shared" si="1052"/>
        <v>0</v>
      </c>
      <c r="CP536">
        <f t="shared" si="1052"/>
        <v>0</v>
      </c>
      <c r="CQ536">
        <f t="shared" si="1052"/>
        <v>0</v>
      </c>
      <c r="CR536">
        <f t="shared" si="1052"/>
        <v>0</v>
      </c>
      <c r="CS536">
        <f t="shared" si="1052"/>
        <v>0</v>
      </c>
      <c r="CT536">
        <f t="shared" si="1052"/>
        <v>0</v>
      </c>
      <c r="CU536">
        <f t="shared" si="1052"/>
        <v>0</v>
      </c>
      <c r="CV536">
        <f t="shared" si="1052"/>
        <v>0</v>
      </c>
      <c r="CW536">
        <f t="shared" si="1053"/>
        <v>0</v>
      </c>
      <c r="CX536">
        <f t="shared" si="1053"/>
        <v>0</v>
      </c>
      <c r="CY536">
        <f t="shared" si="1053"/>
        <v>0</v>
      </c>
      <c r="CZ536">
        <f t="shared" si="1053"/>
        <v>0</v>
      </c>
      <c r="DA536">
        <f t="shared" si="1053"/>
        <v>0</v>
      </c>
      <c r="DB536">
        <f t="shared" si="1053"/>
        <v>0</v>
      </c>
      <c r="DC536">
        <f t="shared" si="1053"/>
        <v>0</v>
      </c>
      <c r="DD536">
        <f t="shared" si="1053"/>
        <v>0</v>
      </c>
      <c r="DE536">
        <f t="shared" si="1053"/>
        <v>0</v>
      </c>
      <c r="DF536">
        <f t="shared" si="1053"/>
        <v>0</v>
      </c>
      <c r="DG536">
        <f t="shared" si="1054"/>
        <v>0</v>
      </c>
      <c r="DH536">
        <f t="shared" si="1054"/>
        <v>0</v>
      </c>
      <c r="DI536">
        <f t="shared" si="1054"/>
        <v>0</v>
      </c>
      <c r="DJ536">
        <f t="shared" si="1054"/>
        <v>0</v>
      </c>
      <c r="DK536">
        <f t="shared" si="1054"/>
        <v>0</v>
      </c>
      <c r="DL536">
        <f t="shared" si="1054"/>
        <v>0</v>
      </c>
      <c r="DM536">
        <f t="shared" si="1054"/>
        <v>0</v>
      </c>
      <c r="DN536">
        <f t="shared" si="1054"/>
        <v>0</v>
      </c>
      <c r="DO536">
        <f t="shared" si="1054"/>
        <v>0</v>
      </c>
      <c r="DP536">
        <f t="shared" si="1054"/>
        <v>0</v>
      </c>
      <c r="DQ536">
        <f t="shared" si="1055"/>
        <v>0</v>
      </c>
      <c r="DR536">
        <f t="shared" si="1055"/>
        <v>0</v>
      </c>
      <c r="DS536">
        <f t="shared" si="1055"/>
        <v>0</v>
      </c>
      <c r="DT536">
        <f t="shared" si="1055"/>
        <v>0</v>
      </c>
      <c r="DU536">
        <f t="shared" si="1055"/>
        <v>0</v>
      </c>
      <c r="DV536">
        <f t="shared" si="1055"/>
        <v>0</v>
      </c>
      <c r="DW536">
        <f t="shared" si="1055"/>
        <v>0</v>
      </c>
      <c r="DX536">
        <f t="shared" si="1055"/>
        <v>0</v>
      </c>
      <c r="DY536">
        <f t="shared" si="1055"/>
        <v>0</v>
      </c>
      <c r="DZ536">
        <f t="shared" si="1055"/>
        <v>0</v>
      </c>
      <c r="EA536">
        <f t="shared" si="1057"/>
        <v>0</v>
      </c>
      <c r="EB536">
        <f t="shared" si="1057"/>
        <v>0</v>
      </c>
      <c r="EC536">
        <f t="shared" si="1057"/>
        <v>0</v>
      </c>
      <c r="ED536">
        <f t="shared" si="1057"/>
        <v>0</v>
      </c>
      <c r="EE536">
        <f t="shared" si="1057"/>
        <v>0</v>
      </c>
      <c r="EF536">
        <f t="shared" si="1057"/>
        <v>0</v>
      </c>
    </row>
    <row r="537" spans="1:136" ht="15.5">
      <c r="A537" s="90"/>
      <c r="B537" s="19"/>
      <c r="C537" s="96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18"/>
      <c r="AW537" s="18"/>
      <c r="AX537" s="18"/>
      <c r="AY537" s="18"/>
      <c r="AZ537" s="18"/>
      <c r="BA537" s="18"/>
      <c r="BB537" s="18"/>
      <c r="BC537" s="18"/>
      <c r="BD537" s="18"/>
      <c r="BE537" s="18"/>
      <c r="BF537" s="18"/>
      <c r="BG537" s="18"/>
      <c r="BH537" s="2"/>
      <c r="BI537" s="2"/>
      <c r="BJ537" s="2"/>
      <c r="BK537" s="2"/>
      <c r="BL537" s="22"/>
      <c r="BM537" s="2"/>
      <c r="BN537" s="2"/>
      <c r="BO537" s="2"/>
      <c r="BP537" s="2"/>
      <c r="BQ537" s="2"/>
      <c r="BR537" s="101"/>
    </row>
    <row r="538" spans="1:136" ht="15.5">
      <c r="A538" s="93">
        <v>63</v>
      </c>
      <c r="B538" s="32" t="s">
        <v>76</v>
      </c>
      <c r="C538" s="94">
        <v>3</v>
      </c>
      <c r="D538" s="18"/>
      <c r="E538" s="22"/>
      <c r="F538" s="22"/>
      <c r="G538" s="22"/>
      <c r="H538" s="22"/>
      <c r="I538" s="22"/>
      <c r="J538" s="22">
        <f t="shared" ref="J538:AO538" si="1058">SUM(J539:J545)</f>
        <v>0</v>
      </c>
      <c r="K538" s="22">
        <f t="shared" si="1058"/>
        <v>0</v>
      </c>
      <c r="L538" s="22">
        <f t="shared" si="1058"/>
        <v>0</v>
      </c>
      <c r="M538" s="22">
        <f t="shared" si="1058"/>
        <v>0</v>
      </c>
      <c r="N538" s="22">
        <f t="shared" si="1058"/>
        <v>0</v>
      </c>
      <c r="O538" s="22">
        <f t="shared" si="1058"/>
        <v>0</v>
      </c>
      <c r="P538" s="22">
        <f t="shared" si="1058"/>
        <v>0.53800000000000003</v>
      </c>
      <c r="Q538" s="22">
        <f t="shared" si="1058"/>
        <v>0.76800000000000002</v>
      </c>
      <c r="R538" s="22">
        <f t="shared" si="1058"/>
        <v>2.157</v>
      </c>
      <c r="S538" s="22">
        <f t="shared" si="1058"/>
        <v>3.46</v>
      </c>
      <c r="T538" s="22">
        <f t="shared" si="1058"/>
        <v>17.02308</v>
      </c>
      <c r="U538" s="22">
        <f t="shared" si="1058"/>
        <v>25.08174</v>
      </c>
      <c r="V538" s="22">
        <f t="shared" si="1058"/>
        <v>39.253610000000002</v>
      </c>
      <c r="W538" s="22">
        <f t="shared" si="1058"/>
        <v>106.09034</v>
      </c>
      <c r="X538" s="22">
        <f t="shared" si="1058"/>
        <v>77.838189999999997</v>
      </c>
      <c r="Y538" s="22">
        <f t="shared" si="1058"/>
        <v>82.350610000000003</v>
      </c>
      <c r="Z538" s="22">
        <f t="shared" si="1058"/>
        <v>131.19220999999999</v>
      </c>
      <c r="AA538" s="22">
        <f t="shared" si="1058"/>
        <v>172.13773</v>
      </c>
      <c r="AB538" s="22">
        <f t="shared" si="1058"/>
        <v>293.0332436699872</v>
      </c>
      <c r="AC538" s="22">
        <f t="shared" si="1058"/>
        <v>373.5125103820892</v>
      </c>
      <c r="AD538" s="22">
        <f t="shared" si="1058"/>
        <v>458.27259027166053</v>
      </c>
      <c r="AE538" s="22">
        <f t="shared" si="1058"/>
        <v>1009.4057255268057</v>
      </c>
      <c r="AF538" s="22">
        <f t="shared" si="1058"/>
        <v>1121.7756532248598</v>
      </c>
      <c r="AG538" s="22">
        <f t="shared" si="1058"/>
        <v>786.6105413887135</v>
      </c>
      <c r="AH538" s="22">
        <f t="shared" si="1058"/>
        <v>672.2980593349555</v>
      </c>
      <c r="AI538" s="22">
        <f t="shared" si="1058"/>
        <v>348.0575</v>
      </c>
      <c r="AJ538" s="22">
        <f t="shared" si="1058"/>
        <v>238.0197</v>
      </c>
      <c r="AK538" s="22">
        <f t="shared" si="1058"/>
        <v>194.3124636</v>
      </c>
      <c r="AL538" s="22">
        <f t="shared" si="1058"/>
        <v>205.93675999999999</v>
      </c>
      <c r="AM538" s="22">
        <f t="shared" si="1058"/>
        <v>248.85511000000002</v>
      </c>
      <c r="AN538" s="22">
        <f t="shared" si="1058"/>
        <v>919.17708000000005</v>
      </c>
      <c r="AO538" s="22">
        <f t="shared" si="1058"/>
        <v>195.44817</v>
      </c>
      <c r="AP538" s="22">
        <f t="shared" ref="AP538:BQ538" si="1059">SUM(AP539:AP545)</f>
        <v>176.51668000000001</v>
      </c>
      <c r="AQ538" s="22">
        <f t="shared" si="1059"/>
        <v>457.18029809999996</v>
      </c>
      <c r="AR538" s="22">
        <f t="shared" si="1059"/>
        <v>146.71121460000001</v>
      </c>
      <c r="AS538" s="22">
        <f t="shared" si="1059"/>
        <v>153.98449679999999</v>
      </c>
      <c r="AT538" s="22">
        <f t="shared" si="1059"/>
        <v>158.28978380000001</v>
      </c>
      <c r="AU538" s="22">
        <f t="shared" si="1059"/>
        <v>184.92768999999998</v>
      </c>
      <c r="AV538" s="22">
        <f t="shared" si="1059"/>
        <v>196.81112110000001</v>
      </c>
      <c r="AW538" s="22">
        <f t="shared" si="1059"/>
        <v>227.58376660000002</v>
      </c>
      <c r="AX538" s="22">
        <f t="shared" si="1059"/>
        <v>456.25966799999998</v>
      </c>
      <c r="AY538" s="22">
        <f t="shared" si="1059"/>
        <v>595.2238112</v>
      </c>
      <c r="AZ538" s="22">
        <f t="shared" si="1059"/>
        <v>183.20910670000001</v>
      </c>
      <c r="BA538" s="22">
        <f t="shared" si="1059"/>
        <v>174.7782115</v>
      </c>
      <c r="BB538" s="22">
        <f t="shared" si="1059"/>
        <v>185.24750079999998</v>
      </c>
      <c r="BC538" s="22">
        <f t="shared" si="1059"/>
        <v>189.05905150000004</v>
      </c>
      <c r="BD538" s="22">
        <f t="shared" si="1059"/>
        <v>192.77207719999998</v>
      </c>
      <c r="BE538" s="22">
        <f t="shared" si="1059"/>
        <v>474.41710310000002</v>
      </c>
      <c r="BF538" s="22">
        <f t="shared" si="1059"/>
        <v>313.33121870000002</v>
      </c>
      <c r="BG538" s="22">
        <f t="shared" si="1059"/>
        <v>246.29844030000001</v>
      </c>
      <c r="BH538" s="22">
        <f t="shared" si="1059"/>
        <v>170.754481</v>
      </c>
      <c r="BI538" s="22">
        <f t="shared" si="1059"/>
        <v>164.78817279999998</v>
      </c>
      <c r="BJ538" s="22">
        <f t="shared" si="1059"/>
        <v>166.68321260000002</v>
      </c>
      <c r="BK538" s="22">
        <f t="shared" si="1059"/>
        <v>97.854223899999994</v>
      </c>
      <c r="BL538" s="22">
        <f t="shared" si="1059"/>
        <v>89.013323599999993</v>
      </c>
      <c r="BM538" s="22">
        <f t="shared" si="1059"/>
        <v>89.837048600000003</v>
      </c>
      <c r="BN538" s="22">
        <f t="shared" si="1059"/>
        <v>90.816655499999996</v>
      </c>
      <c r="BO538" s="22">
        <f t="shared" si="1059"/>
        <v>74</v>
      </c>
      <c r="BP538" s="22">
        <f t="shared" si="1059"/>
        <v>75</v>
      </c>
      <c r="BQ538" s="22">
        <f t="shared" si="1059"/>
        <v>0</v>
      </c>
      <c r="BR538" s="101"/>
      <c r="BS538">
        <f t="shared" ref="BS538:CX538" si="1060">IF($C538&lt;&gt;"",IF(D538&gt;0,1,0),0)</f>
        <v>0</v>
      </c>
      <c r="BT538">
        <f t="shared" si="1060"/>
        <v>0</v>
      </c>
      <c r="BU538">
        <f t="shared" si="1060"/>
        <v>0</v>
      </c>
      <c r="BV538">
        <f t="shared" si="1060"/>
        <v>0</v>
      </c>
      <c r="BW538">
        <f t="shared" si="1060"/>
        <v>0</v>
      </c>
      <c r="BX538">
        <f t="shared" si="1060"/>
        <v>0</v>
      </c>
      <c r="BY538">
        <f t="shared" si="1060"/>
        <v>0</v>
      </c>
      <c r="BZ538">
        <f t="shared" si="1060"/>
        <v>0</v>
      </c>
      <c r="CA538">
        <f t="shared" si="1060"/>
        <v>0</v>
      </c>
      <c r="CB538">
        <f t="shared" si="1060"/>
        <v>0</v>
      </c>
      <c r="CC538">
        <f t="shared" si="1060"/>
        <v>0</v>
      </c>
      <c r="CD538">
        <f t="shared" si="1060"/>
        <v>0</v>
      </c>
      <c r="CE538">
        <f t="shared" si="1060"/>
        <v>1</v>
      </c>
      <c r="CF538">
        <f t="shared" si="1060"/>
        <v>1</v>
      </c>
      <c r="CG538">
        <f t="shared" si="1060"/>
        <v>1</v>
      </c>
      <c r="CH538">
        <f t="shared" si="1060"/>
        <v>1</v>
      </c>
      <c r="CI538">
        <f t="shared" si="1060"/>
        <v>1</v>
      </c>
      <c r="CJ538">
        <f t="shared" si="1060"/>
        <v>1</v>
      </c>
      <c r="CK538">
        <f t="shared" si="1060"/>
        <v>1</v>
      </c>
      <c r="CL538">
        <f t="shared" si="1060"/>
        <v>1</v>
      </c>
      <c r="CM538">
        <f t="shared" si="1060"/>
        <v>1</v>
      </c>
      <c r="CN538">
        <f t="shared" si="1060"/>
        <v>1</v>
      </c>
      <c r="CO538">
        <f t="shared" si="1060"/>
        <v>1</v>
      </c>
      <c r="CP538">
        <f t="shared" si="1060"/>
        <v>1</v>
      </c>
      <c r="CQ538">
        <f t="shared" si="1060"/>
        <v>1</v>
      </c>
      <c r="CR538">
        <f t="shared" si="1060"/>
        <v>1</v>
      </c>
      <c r="CS538">
        <f t="shared" si="1060"/>
        <v>1</v>
      </c>
      <c r="CT538">
        <f t="shared" si="1060"/>
        <v>1</v>
      </c>
      <c r="CU538">
        <f t="shared" si="1060"/>
        <v>1</v>
      </c>
      <c r="CV538">
        <f t="shared" si="1060"/>
        <v>1</v>
      </c>
      <c r="CW538">
        <f t="shared" si="1060"/>
        <v>1</v>
      </c>
      <c r="CX538">
        <f t="shared" si="1060"/>
        <v>1</v>
      </c>
      <c r="CY538">
        <f t="shared" ref="CY538:ED538" si="1061">IF($C538&lt;&gt;"",IF(AJ538&gt;0,1,0),0)</f>
        <v>1</v>
      </c>
      <c r="CZ538">
        <f t="shared" si="1061"/>
        <v>1</v>
      </c>
      <c r="DA538">
        <f t="shared" si="1061"/>
        <v>1</v>
      </c>
      <c r="DB538">
        <f t="shared" si="1061"/>
        <v>1</v>
      </c>
      <c r="DC538">
        <f t="shared" si="1061"/>
        <v>1</v>
      </c>
      <c r="DD538">
        <f t="shared" si="1061"/>
        <v>1</v>
      </c>
      <c r="DE538">
        <f t="shared" si="1061"/>
        <v>1</v>
      </c>
      <c r="DF538">
        <f t="shared" si="1061"/>
        <v>1</v>
      </c>
      <c r="DG538">
        <f t="shared" si="1061"/>
        <v>1</v>
      </c>
      <c r="DH538">
        <f t="shared" si="1061"/>
        <v>1</v>
      </c>
      <c r="DI538">
        <f t="shared" si="1061"/>
        <v>1</v>
      </c>
      <c r="DJ538">
        <f t="shared" si="1061"/>
        <v>1</v>
      </c>
      <c r="DK538">
        <f t="shared" si="1061"/>
        <v>1</v>
      </c>
      <c r="DL538">
        <f t="shared" si="1061"/>
        <v>1</v>
      </c>
      <c r="DM538">
        <f t="shared" si="1061"/>
        <v>1</v>
      </c>
      <c r="DN538">
        <f t="shared" si="1061"/>
        <v>1</v>
      </c>
      <c r="DO538">
        <f t="shared" si="1061"/>
        <v>1</v>
      </c>
      <c r="DP538">
        <f t="shared" si="1061"/>
        <v>1</v>
      </c>
      <c r="DQ538">
        <f t="shared" si="1061"/>
        <v>1</v>
      </c>
      <c r="DR538">
        <f t="shared" si="1061"/>
        <v>1</v>
      </c>
      <c r="DS538">
        <f t="shared" si="1061"/>
        <v>1</v>
      </c>
      <c r="DT538">
        <f t="shared" si="1061"/>
        <v>1</v>
      </c>
      <c r="DU538">
        <f t="shared" si="1061"/>
        <v>1</v>
      </c>
      <c r="DV538">
        <f t="shared" si="1061"/>
        <v>1</v>
      </c>
      <c r="DW538">
        <f t="shared" si="1061"/>
        <v>1</v>
      </c>
      <c r="DX538">
        <f t="shared" si="1061"/>
        <v>1</v>
      </c>
      <c r="DY538">
        <f t="shared" si="1061"/>
        <v>1</v>
      </c>
      <c r="DZ538">
        <f t="shared" si="1061"/>
        <v>1</v>
      </c>
      <c r="EA538">
        <f t="shared" si="1061"/>
        <v>1</v>
      </c>
      <c r="EB538">
        <f t="shared" si="1061"/>
        <v>1</v>
      </c>
      <c r="EC538">
        <f t="shared" si="1061"/>
        <v>1</v>
      </c>
      <c r="ED538">
        <f t="shared" si="1061"/>
        <v>1</v>
      </c>
      <c r="EE538">
        <f t="shared" ref="EE538:EF538" si="1062">IF($C538&lt;&gt;"",IF(BP538&gt;0,1,0),0)</f>
        <v>1</v>
      </c>
      <c r="EF538">
        <f t="shared" si="1062"/>
        <v>0</v>
      </c>
    </row>
    <row r="539" spans="1:136" ht="15.5">
      <c r="A539" s="90"/>
      <c r="B539" s="24" t="s">
        <v>15</v>
      </c>
      <c r="C539" s="97"/>
      <c r="D539" s="18"/>
      <c r="E539" s="18"/>
      <c r="F539" s="18"/>
      <c r="G539" s="18"/>
      <c r="H539" s="18"/>
      <c r="I539" s="18"/>
      <c r="J539" s="18">
        <v>0</v>
      </c>
      <c r="K539" s="18">
        <v>0</v>
      </c>
      <c r="L539" s="18">
        <v>0</v>
      </c>
      <c r="M539" s="18">
        <v>0</v>
      </c>
      <c r="N539" s="18">
        <v>0</v>
      </c>
      <c r="O539" s="18">
        <v>0</v>
      </c>
      <c r="P539" s="18">
        <v>0</v>
      </c>
      <c r="Q539" s="18">
        <v>0</v>
      </c>
      <c r="R539" s="18">
        <v>0</v>
      </c>
      <c r="S539" s="18">
        <v>0</v>
      </c>
      <c r="T539" s="18">
        <v>0</v>
      </c>
      <c r="U539" s="18">
        <v>0</v>
      </c>
      <c r="V539" s="18">
        <v>0</v>
      </c>
      <c r="W539" s="18">
        <v>29</v>
      </c>
      <c r="X539" s="18">
        <v>0</v>
      </c>
      <c r="Y539" s="18">
        <v>0</v>
      </c>
      <c r="Z539" s="18">
        <v>1.23</v>
      </c>
      <c r="AA539" s="18">
        <v>4.4000000000000004</v>
      </c>
      <c r="AB539" s="18">
        <v>91.784743669987222</v>
      </c>
      <c r="AC539" s="18">
        <v>112.74921038208922</v>
      </c>
      <c r="AD539" s="18">
        <v>135.65149027166052</v>
      </c>
      <c r="AE539" s="18">
        <v>167.98922552680568</v>
      </c>
      <c r="AF539" s="18">
        <v>171.67155322485982</v>
      </c>
      <c r="AG539" s="18">
        <v>180.05154138871356</v>
      </c>
      <c r="AH539" s="18">
        <v>211.73015933495543</v>
      </c>
      <c r="AI539" s="18">
        <v>0</v>
      </c>
      <c r="AJ539" s="18">
        <v>0</v>
      </c>
      <c r="AK539" s="18">
        <v>0</v>
      </c>
      <c r="AL539" s="18">
        <v>0</v>
      </c>
      <c r="AM539" s="18">
        <v>0</v>
      </c>
      <c r="AN539" s="18">
        <v>0</v>
      </c>
      <c r="AO539" s="18">
        <v>0</v>
      </c>
      <c r="AP539" s="18">
        <v>0</v>
      </c>
      <c r="AQ539" s="18">
        <v>0</v>
      </c>
      <c r="AR539" s="18">
        <v>0</v>
      </c>
      <c r="AS539" s="18">
        <v>0</v>
      </c>
      <c r="AT539" s="18">
        <v>0</v>
      </c>
      <c r="AU539" s="18">
        <v>0</v>
      </c>
      <c r="AV539" s="18">
        <v>0</v>
      </c>
      <c r="AW539" s="18">
        <v>0</v>
      </c>
      <c r="AX539" s="18">
        <v>0</v>
      </c>
      <c r="AY539" s="18">
        <v>0</v>
      </c>
      <c r="AZ539" s="18">
        <v>0</v>
      </c>
      <c r="BA539" s="18">
        <v>0</v>
      </c>
      <c r="BB539" s="18">
        <v>0</v>
      </c>
      <c r="BC539" s="18">
        <v>0</v>
      </c>
      <c r="BD539" s="18">
        <v>0</v>
      </c>
      <c r="BE539" s="25">
        <v>0</v>
      </c>
      <c r="BF539" s="25">
        <v>0</v>
      </c>
      <c r="BG539" s="25">
        <v>0</v>
      </c>
      <c r="BH539" s="113">
        <v>0</v>
      </c>
      <c r="BI539" s="18">
        <v>0</v>
      </c>
      <c r="BJ539" s="113">
        <v>0</v>
      </c>
      <c r="BK539" s="113">
        <v>0</v>
      </c>
      <c r="BL539" s="113">
        <v>0</v>
      </c>
      <c r="BM539" s="113">
        <v>0</v>
      </c>
      <c r="BN539" s="113">
        <v>0</v>
      </c>
      <c r="BO539" s="113">
        <v>0</v>
      </c>
      <c r="BP539" s="113">
        <v>0</v>
      </c>
      <c r="BQ539" s="113">
        <v>0</v>
      </c>
      <c r="BR539" s="101"/>
      <c r="BS539">
        <f t="shared" ref="BS539:CB546" si="1063">IF($C539&lt;&gt;"",IF(D539&gt;0,1,0),0)</f>
        <v>0</v>
      </c>
      <c r="BT539">
        <f t="shared" si="1063"/>
        <v>0</v>
      </c>
      <c r="BU539">
        <f t="shared" si="1063"/>
        <v>0</v>
      </c>
      <c r="BV539">
        <f t="shared" si="1063"/>
        <v>0</v>
      </c>
      <c r="BW539">
        <f t="shared" si="1063"/>
        <v>0</v>
      </c>
      <c r="BX539">
        <f t="shared" si="1063"/>
        <v>0</v>
      </c>
      <c r="BY539">
        <f t="shared" si="1063"/>
        <v>0</v>
      </c>
      <c r="BZ539">
        <f t="shared" si="1063"/>
        <v>0</v>
      </c>
      <c r="CA539">
        <f t="shared" si="1063"/>
        <v>0</v>
      </c>
      <c r="CB539">
        <f t="shared" si="1063"/>
        <v>0</v>
      </c>
      <c r="CC539">
        <f t="shared" ref="CC539:CL546" si="1064">IF($C539&lt;&gt;"",IF(N539&gt;0,1,0),0)</f>
        <v>0</v>
      </c>
      <c r="CD539">
        <f t="shared" si="1064"/>
        <v>0</v>
      </c>
      <c r="CE539">
        <f t="shared" si="1064"/>
        <v>0</v>
      </c>
      <c r="CF539">
        <f t="shared" si="1064"/>
        <v>0</v>
      </c>
      <c r="CG539">
        <f t="shared" si="1064"/>
        <v>0</v>
      </c>
      <c r="CH539">
        <f t="shared" si="1064"/>
        <v>0</v>
      </c>
      <c r="CI539">
        <f t="shared" si="1064"/>
        <v>0</v>
      </c>
      <c r="CJ539">
        <f t="shared" si="1064"/>
        <v>0</v>
      </c>
      <c r="CK539">
        <f t="shared" si="1064"/>
        <v>0</v>
      </c>
      <c r="CL539">
        <f t="shared" si="1064"/>
        <v>0</v>
      </c>
      <c r="CM539">
        <f t="shared" ref="CM539:CV546" si="1065">IF($C539&lt;&gt;"",IF(X539&gt;0,1,0),0)</f>
        <v>0</v>
      </c>
      <c r="CN539">
        <f t="shared" si="1065"/>
        <v>0</v>
      </c>
      <c r="CO539">
        <f t="shared" si="1065"/>
        <v>0</v>
      </c>
      <c r="CP539">
        <f t="shared" si="1065"/>
        <v>0</v>
      </c>
      <c r="CQ539">
        <f t="shared" si="1065"/>
        <v>0</v>
      </c>
      <c r="CR539">
        <f t="shared" si="1065"/>
        <v>0</v>
      </c>
      <c r="CS539">
        <f t="shared" si="1065"/>
        <v>0</v>
      </c>
      <c r="CT539">
        <f t="shared" si="1065"/>
        <v>0</v>
      </c>
      <c r="CU539">
        <f t="shared" si="1065"/>
        <v>0</v>
      </c>
      <c r="CV539">
        <f t="shared" si="1065"/>
        <v>0</v>
      </c>
      <c r="CW539">
        <f t="shared" ref="CW539:DF546" si="1066">IF($C539&lt;&gt;"",IF(AH539&gt;0,1,0),0)</f>
        <v>0</v>
      </c>
      <c r="CX539">
        <f t="shared" si="1066"/>
        <v>0</v>
      </c>
      <c r="CY539">
        <f t="shared" si="1066"/>
        <v>0</v>
      </c>
      <c r="CZ539">
        <f t="shared" si="1066"/>
        <v>0</v>
      </c>
      <c r="DA539">
        <f t="shared" si="1066"/>
        <v>0</v>
      </c>
      <c r="DB539">
        <f t="shared" si="1066"/>
        <v>0</v>
      </c>
      <c r="DC539">
        <f t="shared" si="1066"/>
        <v>0</v>
      </c>
      <c r="DD539">
        <f t="shared" si="1066"/>
        <v>0</v>
      </c>
      <c r="DE539">
        <f t="shared" si="1066"/>
        <v>0</v>
      </c>
      <c r="DF539">
        <f t="shared" si="1066"/>
        <v>0</v>
      </c>
      <c r="DG539">
        <f t="shared" ref="DG539:DP546" si="1067">IF($C539&lt;&gt;"",IF(AR539&gt;0,1,0),0)</f>
        <v>0</v>
      </c>
      <c r="DH539">
        <f t="shared" si="1067"/>
        <v>0</v>
      </c>
      <c r="DI539">
        <f t="shared" si="1067"/>
        <v>0</v>
      </c>
      <c r="DJ539">
        <f t="shared" si="1067"/>
        <v>0</v>
      </c>
      <c r="DK539">
        <f t="shared" si="1067"/>
        <v>0</v>
      </c>
      <c r="DL539">
        <f t="shared" si="1067"/>
        <v>0</v>
      </c>
      <c r="DM539">
        <f t="shared" si="1067"/>
        <v>0</v>
      </c>
      <c r="DN539">
        <f t="shared" si="1067"/>
        <v>0</v>
      </c>
      <c r="DO539">
        <f t="shared" si="1067"/>
        <v>0</v>
      </c>
      <c r="DP539">
        <f t="shared" si="1067"/>
        <v>0</v>
      </c>
      <c r="DQ539">
        <f t="shared" ref="DQ539:DZ546" si="1068">IF($C539&lt;&gt;"",IF(BB539&gt;0,1,0),0)</f>
        <v>0</v>
      </c>
      <c r="DR539">
        <f t="shared" si="1068"/>
        <v>0</v>
      </c>
      <c r="DS539">
        <f t="shared" si="1068"/>
        <v>0</v>
      </c>
      <c r="DT539">
        <f t="shared" si="1068"/>
        <v>0</v>
      </c>
      <c r="DU539">
        <f t="shared" si="1068"/>
        <v>0</v>
      </c>
      <c r="DV539">
        <f t="shared" si="1068"/>
        <v>0</v>
      </c>
      <c r="DW539">
        <f t="shared" si="1068"/>
        <v>0</v>
      </c>
      <c r="DX539">
        <f t="shared" si="1068"/>
        <v>0</v>
      </c>
      <c r="DY539">
        <f t="shared" si="1068"/>
        <v>0</v>
      </c>
      <c r="DZ539">
        <f t="shared" si="1068"/>
        <v>0</v>
      </c>
      <c r="EA539">
        <f t="shared" ref="EA539:EF545" si="1069">IF($C539&lt;&gt;"",IF(BL538&gt;0,1,0),0)</f>
        <v>0</v>
      </c>
      <c r="EB539">
        <f t="shared" si="1069"/>
        <v>0</v>
      </c>
      <c r="EC539">
        <f t="shared" si="1069"/>
        <v>0</v>
      </c>
      <c r="ED539">
        <f t="shared" si="1069"/>
        <v>0</v>
      </c>
      <c r="EE539">
        <f t="shared" si="1069"/>
        <v>0</v>
      </c>
      <c r="EF539">
        <f t="shared" si="1069"/>
        <v>0</v>
      </c>
    </row>
    <row r="540" spans="1:136" ht="15.5">
      <c r="A540" s="90"/>
      <c r="B540" s="57" t="s">
        <v>184</v>
      </c>
      <c r="C540" s="97"/>
      <c r="D540" s="18"/>
      <c r="E540" s="18"/>
      <c r="F540" s="18"/>
      <c r="G540" s="18"/>
      <c r="H540" s="18"/>
      <c r="I540" s="18"/>
      <c r="J540" s="18">
        <v>0</v>
      </c>
      <c r="K540" s="18">
        <v>0</v>
      </c>
      <c r="L540" s="18">
        <v>0</v>
      </c>
      <c r="M540" s="18">
        <v>0</v>
      </c>
      <c r="N540" s="18">
        <v>0</v>
      </c>
      <c r="O540" s="18">
        <v>0</v>
      </c>
      <c r="P540" s="18">
        <v>0</v>
      </c>
      <c r="Q540" s="18">
        <v>0</v>
      </c>
      <c r="R540" s="18">
        <v>0</v>
      </c>
      <c r="S540" s="18">
        <v>0</v>
      </c>
      <c r="T540" s="18">
        <v>0</v>
      </c>
      <c r="U540" s="18">
        <v>0</v>
      </c>
      <c r="V540" s="18">
        <v>0</v>
      </c>
      <c r="W540" s="18">
        <v>0</v>
      </c>
      <c r="X540" s="18">
        <v>0</v>
      </c>
      <c r="Y540" s="18">
        <v>0</v>
      </c>
      <c r="Z540" s="18">
        <v>0</v>
      </c>
      <c r="AA540" s="18">
        <v>0</v>
      </c>
      <c r="AB540" s="18">
        <v>0</v>
      </c>
      <c r="AC540" s="18">
        <v>0</v>
      </c>
      <c r="AD540" s="40" t="s">
        <v>16</v>
      </c>
      <c r="AE540" s="18">
        <v>16</v>
      </c>
      <c r="AF540" s="18">
        <v>20</v>
      </c>
      <c r="AG540" s="18">
        <v>18</v>
      </c>
      <c r="AH540" s="18">
        <v>55.3</v>
      </c>
      <c r="AI540" s="18">
        <v>0</v>
      </c>
      <c r="AJ540" s="18">
        <v>0</v>
      </c>
      <c r="AK540" s="18">
        <v>0</v>
      </c>
      <c r="AL540" s="18">
        <v>0</v>
      </c>
      <c r="AM540" s="18">
        <v>0</v>
      </c>
      <c r="AN540" s="18">
        <v>0</v>
      </c>
      <c r="AO540" s="18">
        <v>0</v>
      </c>
      <c r="AP540" s="18">
        <v>0</v>
      </c>
      <c r="AQ540" s="18">
        <v>0</v>
      </c>
      <c r="AR540" s="18">
        <v>0</v>
      </c>
      <c r="AS540" s="18">
        <v>0</v>
      </c>
      <c r="AT540" s="18">
        <v>0</v>
      </c>
      <c r="AU540" s="18">
        <v>0</v>
      </c>
      <c r="AV540" s="18">
        <v>0</v>
      </c>
      <c r="AW540" s="18">
        <v>0</v>
      </c>
      <c r="AX540" s="18">
        <v>0</v>
      </c>
      <c r="AY540" s="18">
        <v>0</v>
      </c>
      <c r="AZ540" s="18">
        <v>0</v>
      </c>
      <c r="BA540" s="18">
        <v>0</v>
      </c>
      <c r="BB540" s="18">
        <v>0</v>
      </c>
      <c r="BC540" s="18">
        <v>0</v>
      </c>
      <c r="BD540" s="18">
        <v>0</v>
      </c>
      <c r="BE540" s="18">
        <v>0</v>
      </c>
      <c r="BF540" s="18">
        <v>0</v>
      </c>
      <c r="BG540" s="18">
        <v>0</v>
      </c>
      <c r="BH540" s="18">
        <v>0</v>
      </c>
      <c r="BI540" s="18">
        <v>0</v>
      </c>
      <c r="BJ540" s="113">
        <v>0</v>
      </c>
      <c r="BK540" s="113">
        <v>0</v>
      </c>
      <c r="BL540" s="113">
        <v>0</v>
      </c>
      <c r="BM540" s="113">
        <v>0</v>
      </c>
      <c r="BN540" s="113">
        <v>0</v>
      </c>
      <c r="BO540" s="113">
        <v>0</v>
      </c>
      <c r="BP540" s="113">
        <v>0</v>
      </c>
      <c r="BQ540" s="113">
        <v>0</v>
      </c>
      <c r="BR540" s="101"/>
      <c r="BS540">
        <f t="shared" si="1063"/>
        <v>0</v>
      </c>
      <c r="BT540">
        <f t="shared" si="1063"/>
        <v>0</v>
      </c>
      <c r="BU540">
        <f t="shared" si="1063"/>
        <v>0</v>
      </c>
      <c r="BV540">
        <f t="shared" si="1063"/>
        <v>0</v>
      </c>
      <c r="BW540">
        <f t="shared" si="1063"/>
        <v>0</v>
      </c>
      <c r="BX540">
        <f t="shared" si="1063"/>
        <v>0</v>
      </c>
      <c r="BY540">
        <f t="shared" si="1063"/>
        <v>0</v>
      </c>
      <c r="BZ540">
        <f t="shared" si="1063"/>
        <v>0</v>
      </c>
      <c r="CA540">
        <f t="shared" si="1063"/>
        <v>0</v>
      </c>
      <c r="CB540">
        <f t="shared" si="1063"/>
        <v>0</v>
      </c>
      <c r="CC540">
        <f t="shared" si="1064"/>
        <v>0</v>
      </c>
      <c r="CD540">
        <f t="shared" si="1064"/>
        <v>0</v>
      </c>
      <c r="CE540">
        <f t="shared" si="1064"/>
        <v>0</v>
      </c>
      <c r="CF540">
        <f t="shared" si="1064"/>
        <v>0</v>
      </c>
      <c r="CG540">
        <f t="shared" si="1064"/>
        <v>0</v>
      </c>
      <c r="CH540">
        <f t="shared" si="1064"/>
        <v>0</v>
      </c>
      <c r="CI540">
        <f t="shared" si="1064"/>
        <v>0</v>
      </c>
      <c r="CJ540">
        <f t="shared" si="1064"/>
        <v>0</v>
      </c>
      <c r="CK540">
        <f t="shared" si="1064"/>
        <v>0</v>
      </c>
      <c r="CL540">
        <f t="shared" si="1064"/>
        <v>0</v>
      </c>
      <c r="CM540">
        <f t="shared" si="1065"/>
        <v>0</v>
      </c>
      <c r="CN540">
        <f t="shared" si="1065"/>
        <v>0</v>
      </c>
      <c r="CO540">
        <f t="shared" si="1065"/>
        <v>0</v>
      </c>
      <c r="CP540">
        <f t="shared" si="1065"/>
        <v>0</v>
      </c>
      <c r="CQ540">
        <f t="shared" si="1065"/>
        <v>0</v>
      </c>
      <c r="CR540">
        <f t="shared" si="1065"/>
        <v>0</v>
      </c>
      <c r="CS540">
        <f t="shared" si="1065"/>
        <v>0</v>
      </c>
      <c r="CT540">
        <f t="shared" si="1065"/>
        <v>0</v>
      </c>
      <c r="CU540">
        <f t="shared" si="1065"/>
        <v>0</v>
      </c>
      <c r="CV540">
        <f t="shared" si="1065"/>
        <v>0</v>
      </c>
      <c r="CW540">
        <f t="shared" si="1066"/>
        <v>0</v>
      </c>
      <c r="CX540">
        <f t="shared" si="1066"/>
        <v>0</v>
      </c>
      <c r="CY540">
        <f t="shared" si="1066"/>
        <v>0</v>
      </c>
      <c r="CZ540">
        <f t="shared" si="1066"/>
        <v>0</v>
      </c>
      <c r="DA540">
        <f t="shared" si="1066"/>
        <v>0</v>
      </c>
      <c r="DB540">
        <f t="shared" si="1066"/>
        <v>0</v>
      </c>
      <c r="DC540">
        <f t="shared" si="1066"/>
        <v>0</v>
      </c>
      <c r="DD540">
        <f t="shared" si="1066"/>
        <v>0</v>
      </c>
      <c r="DE540">
        <f t="shared" si="1066"/>
        <v>0</v>
      </c>
      <c r="DF540">
        <f t="shared" si="1066"/>
        <v>0</v>
      </c>
      <c r="DG540">
        <f t="shared" si="1067"/>
        <v>0</v>
      </c>
      <c r="DH540">
        <f t="shared" si="1067"/>
        <v>0</v>
      </c>
      <c r="DI540">
        <f t="shared" si="1067"/>
        <v>0</v>
      </c>
      <c r="DJ540">
        <f t="shared" si="1067"/>
        <v>0</v>
      </c>
      <c r="DK540">
        <f t="shared" si="1067"/>
        <v>0</v>
      </c>
      <c r="DL540">
        <f t="shared" si="1067"/>
        <v>0</v>
      </c>
      <c r="DM540">
        <f t="shared" si="1067"/>
        <v>0</v>
      </c>
      <c r="DN540">
        <f t="shared" si="1067"/>
        <v>0</v>
      </c>
      <c r="DO540">
        <f t="shared" si="1067"/>
        <v>0</v>
      </c>
      <c r="DP540">
        <f t="shared" si="1067"/>
        <v>0</v>
      </c>
      <c r="DQ540">
        <f t="shared" si="1068"/>
        <v>0</v>
      </c>
      <c r="DR540">
        <f t="shared" si="1068"/>
        <v>0</v>
      </c>
      <c r="DS540">
        <f t="shared" si="1068"/>
        <v>0</v>
      </c>
      <c r="DT540">
        <f t="shared" si="1068"/>
        <v>0</v>
      </c>
      <c r="DU540">
        <f t="shared" si="1068"/>
        <v>0</v>
      </c>
      <c r="DV540">
        <f t="shared" si="1068"/>
        <v>0</v>
      </c>
      <c r="DW540">
        <f t="shared" si="1068"/>
        <v>0</v>
      </c>
      <c r="DX540">
        <f t="shared" si="1068"/>
        <v>0</v>
      </c>
      <c r="DY540">
        <f t="shared" si="1068"/>
        <v>0</v>
      </c>
      <c r="DZ540">
        <f t="shared" si="1068"/>
        <v>0</v>
      </c>
      <c r="EA540">
        <f t="shared" si="1069"/>
        <v>0</v>
      </c>
      <c r="EB540">
        <f t="shared" si="1069"/>
        <v>0</v>
      </c>
      <c r="EC540">
        <f t="shared" si="1069"/>
        <v>0</v>
      </c>
      <c r="ED540">
        <f t="shared" si="1069"/>
        <v>0</v>
      </c>
      <c r="EE540">
        <f t="shared" si="1069"/>
        <v>0</v>
      </c>
      <c r="EF540">
        <f t="shared" si="1069"/>
        <v>0</v>
      </c>
    </row>
    <row r="541" spans="1:136" ht="15.5">
      <c r="A541" s="90"/>
      <c r="B541" s="19" t="s">
        <v>2</v>
      </c>
      <c r="C541" s="97"/>
      <c r="D541" s="34"/>
      <c r="E541" s="34"/>
      <c r="F541" s="34"/>
      <c r="G541" s="34"/>
      <c r="H541" s="34"/>
      <c r="I541" s="34"/>
      <c r="J541" s="34">
        <v>0</v>
      </c>
      <c r="K541" s="34">
        <v>0</v>
      </c>
      <c r="L541" s="34">
        <v>0</v>
      </c>
      <c r="M541" s="34">
        <v>0</v>
      </c>
      <c r="N541" s="34">
        <v>0</v>
      </c>
      <c r="O541" s="34">
        <v>0</v>
      </c>
      <c r="P541" s="34">
        <v>0</v>
      </c>
      <c r="Q541" s="34">
        <v>0</v>
      </c>
      <c r="R541" s="34">
        <v>0</v>
      </c>
      <c r="S541" s="34">
        <v>0</v>
      </c>
      <c r="T541" s="34">
        <v>0</v>
      </c>
      <c r="U541" s="34">
        <v>0</v>
      </c>
      <c r="V541" s="34">
        <v>0</v>
      </c>
      <c r="W541" s="34">
        <v>0</v>
      </c>
      <c r="X541" s="34">
        <v>0</v>
      </c>
      <c r="Y541" s="34">
        <v>0</v>
      </c>
      <c r="Z541" s="34">
        <v>0</v>
      </c>
      <c r="AA541" s="34">
        <v>0</v>
      </c>
      <c r="AB541" s="34">
        <v>0</v>
      </c>
      <c r="AC541" s="34">
        <v>0</v>
      </c>
      <c r="AD541" s="34">
        <v>0</v>
      </c>
      <c r="AE541" s="34">
        <v>0</v>
      </c>
      <c r="AF541" s="34">
        <v>0</v>
      </c>
      <c r="AG541" s="18">
        <v>195</v>
      </c>
      <c r="AH541" s="18">
        <v>223</v>
      </c>
      <c r="AI541" s="40" t="s">
        <v>16</v>
      </c>
      <c r="AJ541" s="40" t="s">
        <v>16</v>
      </c>
      <c r="AK541" s="18">
        <v>39</v>
      </c>
      <c r="AL541" s="40" t="s">
        <v>16</v>
      </c>
      <c r="AM541" s="40" t="s">
        <v>16</v>
      </c>
      <c r="AN541" s="18">
        <v>96</v>
      </c>
      <c r="AO541" s="40" t="s">
        <v>16</v>
      </c>
      <c r="AP541" s="18"/>
      <c r="AQ541" s="18">
        <v>240</v>
      </c>
      <c r="AR541" s="40" t="s">
        <v>16</v>
      </c>
      <c r="AS541" s="18"/>
      <c r="AT541" s="18"/>
      <c r="AU541" s="18"/>
      <c r="AV541" s="18">
        <v>156</v>
      </c>
      <c r="AW541" s="40" t="s">
        <v>16</v>
      </c>
      <c r="AX541" s="18">
        <v>0</v>
      </c>
      <c r="AY541" s="18">
        <v>0</v>
      </c>
      <c r="AZ541" s="18">
        <v>0</v>
      </c>
      <c r="BA541" s="18">
        <v>0</v>
      </c>
      <c r="BB541" s="18">
        <v>0</v>
      </c>
      <c r="BC541" s="18">
        <v>0</v>
      </c>
      <c r="BD541" s="18">
        <v>0</v>
      </c>
      <c r="BE541" s="18">
        <v>0</v>
      </c>
      <c r="BF541" s="18">
        <v>0</v>
      </c>
      <c r="BG541" s="18">
        <v>0</v>
      </c>
      <c r="BH541" s="18">
        <v>0</v>
      </c>
      <c r="BI541" s="18">
        <v>0</v>
      </c>
      <c r="BJ541" s="18">
        <v>0</v>
      </c>
      <c r="BK541" s="18">
        <v>0</v>
      </c>
      <c r="BL541" s="18">
        <v>0</v>
      </c>
      <c r="BM541" s="18">
        <v>0</v>
      </c>
      <c r="BN541" s="18">
        <v>0</v>
      </c>
      <c r="BO541" s="18">
        <v>0</v>
      </c>
      <c r="BP541" s="113">
        <v>0</v>
      </c>
      <c r="BQ541" s="113">
        <v>0</v>
      </c>
      <c r="BR541" s="101"/>
      <c r="BS541">
        <f t="shared" si="1063"/>
        <v>0</v>
      </c>
      <c r="BT541">
        <f t="shared" si="1063"/>
        <v>0</v>
      </c>
      <c r="BU541">
        <f t="shared" si="1063"/>
        <v>0</v>
      </c>
      <c r="BV541">
        <f t="shared" si="1063"/>
        <v>0</v>
      </c>
      <c r="BW541">
        <f t="shared" si="1063"/>
        <v>0</v>
      </c>
      <c r="BX541">
        <f t="shared" si="1063"/>
        <v>0</v>
      </c>
      <c r="BY541">
        <f t="shared" si="1063"/>
        <v>0</v>
      </c>
      <c r="BZ541">
        <f t="shared" si="1063"/>
        <v>0</v>
      </c>
      <c r="CA541">
        <f t="shared" si="1063"/>
        <v>0</v>
      </c>
      <c r="CB541">
        <f t="shared" si="1063"/>
        <v>0</v>
      </c>
      <c r="CC541">
        <f t="shared" si="1064"/>
        <v>0</v>
      </c>
      <c r="CD541">
        <f t="shared" si="1064"/>
        <v>0</v>
      </c>
      <c r="CE541">
        <f t="shared" si="1064"/>
        <v>0</v>
      </c>
      <c r="CF541">
        <f t="shared" si="1064"/>
        <v>0</v>
      </c>
      <c r="CG541">
        <f t="shared" si="1064"/>
        <v>0</v>
      </c>
      <c r="CH541">
        <f t="shared" si="1064"/>
        <v>0</v>
      </c>
      <c r="CI541">
        <f t="shared" si="1064"/>
        <v>0</v>
      </c>
      <c r="CJ541">
        <f t="shared" si="1064"/>
        <v>0</v>
      </c>
      <c r="CK541">
        <f t="shared" si="1064"/>
        <v>0</v>
      </c>
      <c r="CL541">
        <f t="shared" si="1064"/>
        <v>0</v>
      </c>
      <c r="CM541">
        <f t="shared" si="1065"/>
        <v>0</v>
      </c>
      <c r="CN541">
        <f t="shared" si="1065"/>
        <v>0</v>
      </c>
      <c r="CO541">
        <f t="shared" si="1065"/>
        <v>0</v>
      </c>
      <c r="CP541">
        <f t="shared" si="1065"/>
        <v>0</v>
      </c>
      <c r="CQ541">
        <f t="shared" si="1065"/>
        <v>0</v>
      </c>
      <c r="CR541">
        <f t="shared" si="1065"/>
        <v>0</v>
      </c>
      <c r="CS541">
        <f t="shared" si="1065"/>
        <v>0</v>
      </c>
      <c r="CT541">
        <f t="shared" si="1065"/>
        <v>0</v>
      </c>
      <c r="CU541">
        <f t="shared" si="1065"/>
        <v>0</v>
      </c>
      <c r="CV541">
        <f t="shared" si="1065"/>
        <v>0</v>
      </c>
      <c r="CW541">
        <f t="shared" si="1066"/>
        <v>0</v>
      </c>
      <c r="CX541">
        <f t="shared" si="1066"/>
        <v>0</v>
      </c>
      <c r="CY541">
        <f t="shared" si="1066"/>
        <v>0</v>
      </c>
      <c r="CZ541">
        <f t="shared" si="1066"/>
        <v>0</v>
      </c>
      <c r="DA541">
        <f t="shared" si="1066"/>
        <v>0</v>
      </c>
      <c r="DB541">
        <f t="shared" si="1066"/>
        <v>0</v>
      </c>
      <c r="DC541">
        <f t="shared" si="1066"/>
        <v>0</v>
      </c>
      <c r="DD541">
        <f t="shared" si="1066"/>
        <v>0</v>
      </c>
      <c r="DE541">
        <f t="shared" si="1066"/>
        <v>0</v>
      </c>
      <c r="DF541">
        <f t="shared" si="1066"/>
        <v>0</v>
      </c>
      <c r="DG541">
        <f t="shared" si="1067"/>
        <v>0</v>
      </c>
      <c r="DH541">
        <f t="shared" si="1067"/>
        <v>0</v>
      </c>
      <c r="DI541">
        <f t="shared" si="1067"/>
        <v>0</v>
      </c>
      <c r="DJ541">
        <f t="shared" si="1067"/>
        <v>0</v>
      </c>
      <c r="DK541">
        <f t="shared" si="1067"/>
        <v>0</v>
      </c>
      <c r="DL541">
        <f t="shared" si="1067"/>
        <v>0</v>
      </c>
      <c r="DM541">
        <f t="shared" si="1067"/>
        <v>0</v>
      </c>
      <c r="DN541">
        <f t="shared" si="1067"/>
        <v>0</v>
      </c>
      <c r="DO541">
        <f t="shared" si="1067"/>
        <v>0</v>
      </c>
      <c r="DP541">
        <f t="shared" si="1067"/>
        <v>0</v>
      </c>
      <c r="DQ541">
        <f t="shared" si="1068"/>
        <v>0</v>
      </c>
      <c r="DR541">
        <f t="shared" si="1068"/>
        <v>0</v>
      </c>
      <c r="DS541">
        <f t="shared" si="1068"/>
        <v>0</v>
      </c>
      <c r="DT541">
        <f t="shared" si="1068"/>
        <v>0</v>
      </c>
      <c r="DU541">
        <f t="shared" si="1068"/>
        <v>0</v>
      </c>
      <c r="DV541">
        <f t="shared" si="1068"/>
        <v>0</v>
      </c>
      <c r="DW541">
        <f t="shared" si="1068"/>
        <v>0</v>
      </c>
      <c r="DX541">
        <f t="shared" si="1068"/>
        <v>0</v>
      </c>
      <c r="DY541">
        <f t="shared" si="1068"/>
        <v>0</v>
      </c>
      <c r="DZ541">
        <f t="shared" si="1068"/>
        <v>0</v>
      </c>
      <c r="EA541">
        <f t="shared" si="1069"/>
        <v>0</v>
      </c>
      <c r="EB541">
        <f t="shared" si="1069"/>
        <v>0</v>
      </c>
      <c r="EC541">
        <f t="shared" si="1069"/>
        <v>0</v>
      </c>
      <c r="ED541">
        <f t="shared" si="1069"/>
        <v>0</v>
      </c>
      <c r="EE541">
        <f t="shared" si="1069"/>
        <v>0</v>
      </c>
      <c r="EF541">
        <f t="shared" si="1069"/>
        <v>0</v>
      </c>
    </row>
    <row r="542" spans="1:136" ht="15.5">
      <c r="A542" s="90"/>
      <c r="B542" s="19" t="s">
        <v>205</v>
      </c>
      <c r="C542" s="97"/>
      <c r="D542" s="34"/>
      <c r="E542" s="34"/>
      <c r="F542" s="34"/>
      <c r="G542" s="34"/>
      <c r="H542" s="34"/>
      <c r="I542" s="34"/>
      <c r="J542" s="34">
        <v>0</v>
      </c>
      <c r="K542" s="34">
        <v>0</v>
      </c>
      <c r="L542" s="34">
        <v>0</v>
      </c>
      <c r="M542" s="34">
        <v>0</v>
      </c>
      <c r="N542" s="34">
        <v>0</v>
      </c>
      <c r="O542" s="34">
        <v>0</v>
      </c>
      <c r="P542" s="34">
        <v>0</v>
      </c>
      <c r="Q542" s="34">
        <v>0</v>
      </c>
      <c r="R542" s="34">
        <v>0</v>
      </c>
      <c r="S542" s="34">
        <v>0</v>
      </c>
      <c r="T542" s="18">
        <v>0</v>
      </c>
      <c r="U542" s="18">
        <v>0</v>
      </c>
      <c r="V542" s="18">
        <v>0</v>
      </c>
      <c r="W542" s="18">
        <v>0</v>
      </c>
      <c r="X542" s="18">
        <v>0</v>
      </c>
      <c r="Y542" s="18">
        <v>0</v>
      </c>
      <c r="Z542" s="18">
        <v>0</v>
      </c>
      <c r="AA542" s="18">
        <v>0</v>
      </c>
      <c r="AB542" s="18">
        <v>0</v>
      </c>
      <c r="AC542" s="18">
        <v>0</v>
      </c>
      <c r="AD542" s="18">
        <v>0</v>
      </c>
      <c r="AE542" s="18">
        <v>0</v>
      </c>
      <c r="AF542" s="40">
        <v>0</v>
      </c>
      <c r="AG542" s="18">
        <v>0</v>
      </c>
      <c r="AH542" s="18">
        <v>0</v>
      </c>
      <c r="AI542" s="40">
        <v>0</v>
      </c>
      <c r="AJ542" s="18">
        <v>0</v>
      </c>
      <c r="AK542" s="18">
        <v>0.3006836</v>
      </c>
      <c r="AL542" s="18">
        <v>1.6673836000000002</v>
      </c>
      <c r="AM542" s="18">
        <v>2.2551772999999997</v>
      </c>
      <c r="AN542" s="18">
        <v>4.316084</v>
      </c>
      <c r="AO542" s="18">
        <v>4.5914067999999997</v>
      </c>
      <c r="AP542" s="18">
        <v>8.3510725000000008</v>
      </c>
      <c r="AQ542" s="18">
        <v>8.1802980999999999</v>
      </c>
      <c r="AR542" s="71">
        <v>2.7209855999999997</v>
      </c>
      <c r="AS542" s="18">
        <v>4.0309702000000005</v>
      </c>
      <c r="AT542" s="18">
        <v>6.9074841999999999</v>
      </c>
      <c r="AU542" s="18">
        <v>21.183813100000002</v>
      </c>
      <c r="AV542" s="18">
        <v>6.1686710999999992</v>
      </c>
      <c r="AW542" s="71">
        <v>6.4757640999999992</v>
      </c>
      <c r="AX542" s="18">
        <v>9.1319993999999998</v>
      </c>
      <c r="AY542" s="18">
        <v>15.2931124</v>
      </c>
      <c r="AZ542" s="18">
        <v>0</v>
      </c>
      <c r="BA542" s="18">
        <v>0</v>
      </c>
      <c r="BB542" s="18">
        <v>0</v>
      </c>
      <c r="BC542" s="18">
        <v>0</v>
      </c>
      <c r="BD542" s="18">
        <v>0</v>
      </c>
      <c r="BE542" s="25">
        <v>0</v>
      </c>
      <c r="BF542" s="18">
        <v>0</v>
      </c>
      <c r="BG542" s="18">
        <v>0</v>
      </c>
      <c r="BH542" s="18">
        <v>0</v>
      </c>
      <c r="BI542" s="18">
        <v>0</v>
      </c>
      <c r="BJ542" s="18">
        <v>0</v>
      </c>
      <c r="BK542" s="18">
        <v>0</v>
      </c>
      <c r="BL542" s="18">
        <v>0</v>
      </c>
      <c r="BM542" s="18">
        <v>0</v>
      </c>
      <c r="BN542" s="18">
        <v>0</v>
      </c>
      <c r="BO542" s="18">
        <v>0</v>
      </c>
      <c r="BP542" s="18">
        <v>0</v>
      </c>
      <c r="BQ542" s="113">
        <v>0</v>
      </c>
      <c r="BR542" s="101"/>
      <c r="BS542">
        <f t="shared" si="1063"/>
        <v>0</v>
      </c>
      <c r="BT542">
        <f t="shared" si="1063"/>
        <v>0</v>
      </c>
      <c r="BU542">
        <f t="shared" si="1063"/>
        <v>0</v>
      </c>
      <c r="BV542">
        <f t="shared" si="1063"/>
        <v>0</v>
      </c>
      <c r="BW542">
        <f t="shared" si="1063"/>
        <v>0</v>
      </c>
      <c r="BX542">
        <f t="shared" si="1063"/>
        <v>0</v>
      </c>
      <c r="BY542">
        <f t="shared" si="1063"/>
        <v>0</v>
      </c>
      <c r="BZ542">
        <f t="shared" si="1063"/>
        <v>0</v>
      </c>
      <c r="CA542">
        <f t="shared" si="1063"/>
        <v>0</v>
      </c>
      <c r="CB542">
        <f t="shared" si="1063"/>
        <v>0</v>
      </c>
      <c r="CC542">
        <f t="shared" si="1064"/>
        <v>0</v>
      </c>
      <c r="CD542">
        <f t="shared" si="1064"/>
        <v>0</v>
      </c>
      <c r="CE542">
        <f t="shared" si="1064"/>
        <v>0</v>
      </c>
      <c r="CF542">
        <f t="shared" si="1064"/>
        <v>0</v>
      </c>
      <c r="CG542">
        <f t="shared" si="1064"/>
        <v>0</v>
      </c>
      <c r="CH542">
        <f t="shared" si="1064"/>
        <v>0</v>
      </c>
      <c r="CI542">
        <f t="shared" si="1064"/>
        <v>0</v>
      </c>
      <c r="CJ542">
        <f t="shared" si="1064"/>
        <v>0</v>
      </c>
      <c r="CK542">
        <f t="shared" si="1064"/>
        <v>0</v>
      </c>
      <c r="CL542">
        <f t="shared" si="1064"/>
        <v>0</v>
      </c>
      <c r="CM542">
        <f t="shared" si="1065"/>
        <v>0</v>
      </c>
      <c r="CN542">
        <f t="shared" si="1065"/>
        <v>0</v>
      </c>
      <c r="CO542">
        <f t="shared" si="1065"/>
        <v>0</v>
      </c>
      <c r="CP542">
        <f t="shared" si="1065"/>
        <v>0</v>
      </c>
      <c r="CQ542">
        <f t="shared" si="1065"/>
        <v>0</v>
      </c>
      <c r="CR542">
        <f t="shared" si="1065"/>
        <v>0</v>
      </c>
      <c r="CS542">
        <f t="shared" si="1065"/>
        <v>0</v>
      </c>
      <c r="CT542">
        <f t="shared" si="1065"/>
        <v>0</v>
      </c>
      <c r="CU542">
        <f t="shared" si="1065"/>
        <v>0</v>
      </c>
      <c r="CV542">
        <f t="shared" si="1065"/>
        <v>0</v>
      </c>
      <c r="CW542">
        <f t="shared" si="1066"/>
        <v>0</v>
      </c>
      <c r="CX542">
        <f t="shared" si="1066"/>
        <v>0</v>
      </c>
      <c r="CY542">
        <f t="shared" si="1066"/>
        <v>0</v>
      </c>
      <c r="CZ542">
        <f t="shared" si="1066"/>
        <v>0</v>
      </c>
      <c r="DA542">
        <f t="shared" si="1066"/>
        <v>0</v>
      </c>
      <c r="DB542">
        <f t="shared" si="1066"/>
        <v>0</v>
      </c>
      <c r="DC542">
        <f t="shared" si="1066"/>
        <v>0</v>
      </c>
      <c r="DD542">
        <f t="shared" si="1066"/>
        <v>0</v>
      </c>
      <c r="DE542">
        <f t="shared" si="1066"/>
        <v>0</v>
      </c>
      <c r="DF542">
        <f t="shared" si="1066"/>
        <v>0</v>
      </c>
      <c r="DG542">
        <f t="shared" si="1067"/>
        <v>0</v>
      </c>
      <c r="DH542">
        <f t="shared" si="1067"/>
        <v>0</v>
      </c>
      <c r="DI542">
        <f t="shared" si="1067"/>
        <v>0</v>
      </c>
      <c r="DJ542">
        <f t="shared" si="1067"/>
        <v>0</v>
      </c>
      <c r="DK542">
        <f t="shared" si="1067"/>
        <v>0</v>
      </c>
      <c r="DL542">
        <f t="shared" si="1067"/>
        <v>0</v>
      </c>
      <c r="DM542">
        <f t="shared" si="1067"/>
        <v>0</v>
      </c>
      <c r="DN542">
        <f t="shared" si="1067"/>
        <v>0</v>
      </c>
      <c r="DO542">
        <f t="shared" si="1067"/>
        <v>0</v>
      </c>
      <c r="DP542">
        <f t="shared" si="1067"/>
        <v>0</v>
      </c>
      <c r="DQ542">
        <f t="shared" si="1068"/>
        <v>0</v>
      </c>
      <c r="DR542">
        <f t="shared" si="1068"/>
        <v>0</v>
      </c>
      <c r="DS542">
        <f t="shared" si="1068"/>
        <v>0</v>
      </c>
      <c r="DT542">
        <f t="shared" si="1068"/>
        <v>0</v>
      </c>
      <c r="DU542">
        <f t="shared" si="1068"/>
        <v>0</v>
      </c>
      <c r="DV542">
        <f t="shared" si="1068"/>
        <v>0</v>
      </c>
      <c r="DW542">
        <f t="shared" si="1068"/>
        <v>0</v>
      </c>
      <c r="DX542">
        <f t="shared" si="1068"/>
        <v>0</v>
      </c>
      <c r="DY542">
        <f t="shared" si="1068"/>
        <v>0</v>
      </c>
      <c r="DZ542">
        <f t="shared" si="1068"/>
        <v>0</v>
      </c>
      <c r="EA542">
        <f t="shared" si="1069"/>
        <v>0</v>
      </c>
      <c r="EB542">
        <f t="shared" si="1069"/>
        <v>0</v>
      </c>
      <c r="EC542">
        <f t="shared" si="1069"/>
        <v>0</v>
      </c>
      <c r="ED542">
        <f t="shared" si="1069"/>
        <v>0</v>
      </c>
      <c r="EE542">
        <f t="shared" si="1069"/>
        <v>0</v>
      </c>
      <c r="EF542">
        <f t="shared" si="1069"/>
        <v>0</v>
      </c>
    </row>
    <row r="543" spans="1:136" ht="15.5">
      <c r="A543" s="90"/>
      <c r="B543" s="53" t="s">
        <v>3</v>
      </c>
      <c r="C543" s="97"/>
      <c r="D543" s="34"/>
      <c r="E543" s="34"/>
      <c r="F543" s="34"/>
      <c r="G543" s="34"/>
      <c r="H543" s="34"/>
      <c r="I543" s="34"/>
      <c r="J543" s="34">
        <v>0</v>
      </c>
      <c r="K543" s="34">
        <v>0</v>
      </c>
      <c r="L543" s="34">
        <v>0</v>
      </c>
      <c r="M543" s="34">
        <v>0</v>
      </c>
      <c r="N543" s="34">
        <v>0</v>
      </c>
      <c r="O543" s="34">
        <v>0</v>
      </c>
      <c r="P543" s="34">
        <v>0</v>
      </c>
      <c r="Q543" s="34">
        <v>0</v>
      </c>
      <c r="R543" s="34">
        <v>0</v>
      </c>
      <c r="S543" s="34">
        <v>0</v>
      </c>
      <c r="T543" s="34">
        <v>16.291080000000001</v>
      </c>
      <c r="U543" s="34">
        <v>22.832740000000001</v>
      </c>
      <c r="V543" s="34">
        <v>29.450610000000001</v>
      </c>
      <c r="W543" s="34">
        <v>36.090339999999998</v>
      </c>
      <c r="X543" s="34">
        <v>38.838189999999997</v>
      </c>
      <c r="Y543" s="34">
        <v>48.350610000000003</v>
      </c>
      <c r="Z543" s="34">
        <v>81.462209999999999</v>
      </c>
      <c r="AA543" s="34">
        <v>97.737729999999999</v>
      </c>
      <c r="AB543" s="34">
        <v>114.24850000000001</v>
      </c>
      <c r="AC543" s="34">
        <v>147.67910000000001</v>
      </c>
      <c r="AD543" s="34">
        <v>181.19210000000001</v>
      </c>
      <c r="AE543" s="34">
        <f>222.7368+401</f>
        <v>623.73680000000002</v>
      </c>
      <c r="AF543" s="34">
        <f>861-142</f>
        <v>719</v>
      </c>
      <c r="AG543" s="34">
        <v>196</v>
      </c>
      <c r="AH543" s="34">
        <v>58</v>
      </c>
      <c r="AI543" s="34">
        <v>222.70509999999999</v>
      </c>
      <c r="AJ543" s="34">
        <v>145.0197</v>
      </c>
      <c r="AK543" s="34">
        <v>109</v>
      </c>
      <c r="AL543" s="34">
        <f>157.981-AL542</f>
        <v>156.3136164</v>
      </c>
      <c r="AM543" s="34">
        <f>197.136-AM542</f>
        <v>194.88082270000001</v>
      </c>
      <c r="AN543" s="34">
        <f>771-AN542</f>
        <v>766.68391599999995</v>
      </c>
      <c r="AO543" s="34">
        <f>141.3785-AO542</f>
        <v>136.78709320000002</v>
      </c>
      <c r="AP543" s="34">
        <f>121.8649-AP542</f>
        <v>113.5138275</v>
      </c>
      <c r="AQ543" s="34">
        <v>136</v>
      </c>
      <c r="AR543" s="34">
        <f>130.6370719-AR542</f>
        <v>127.91608629999999</v>
      </c>
      <c r="AS543" s="34">
        <f>129.1847904-AS542</f>
        <v>125.1538202</v>
      </c>
      <c r="AT543" s="34">
        <f>131.1344826-AT542</f>
        <v>124.22699840000001</v>
      </c>
      <c r="AU543" s="34">
        <f>152.5916753-AU542</f>
        <v>131.40786219999998</v>
      </c>
      <c r="AV543" s="40" t="s">
        <v>16</v>
      </c>
      <c r="AW543" s="34">
        <f>220.9876862-AW542</f>
        <v>214.51192210000002</v>
      </c>
      <c r="AX543" s="34">
        <f>449.2505864-AX542</f>
        <v>440.11858699999999</v>
      </c>
      <c r="AY543" s="34">
        <f>588.1156498-AY542</f>
        <v>572.82253739999999</v>
      </c>
      <c r="AZ543" s="34">
        <v>164.15563780000002</v>
      </c>
      <c r="BA543" s="34">
        <v>155.4304305</v>
      </c>
      <c r="BB543" s="34">
        <v>166.01083189999997</v>
      </c>
      <c r="BC543" s="34">
        <v>169.86624960000003</v>
      </c>
      <c r="BD543" s="34">
        <v>173.52681999999999</v>
      </c>
      <c r="BE543" s="42">
        <v>455.11761410000003</v>
      </c>
      <c r="BF543" s="34">
        <v>294.1119119</v>
      </c>
      <c r="BG543" s="34">
        <v>227.16389190000001</v>
      </c>
      <c r="BH543" s="34">
        <v>152.0151348</v>
      </c>
      <c r="BI543" s="34">
        <v>146.77178269999999</v>
      </c>
      <c r="BJ543" s="34">
        <v>148.99005870000002</v>
      </c>
      <c r="BK543" s="34">
        <v>80.136624999999995</v>
      </c>
      <c r="BL543" s="113">
        <v>71.256173599999997</v>
      </c>
      <c r="BM543" s="113">
        <v>72.078043600000001</v>
      </c>
      <c r="BN543" s="113">
        <v>72.816655499999996</v>
      </c>
      <c r="BO543" s="113">
        <v>74</v>
      </c>
      <c r="BP543" s="113">
        <v>75</v>
      </c>
      <c r="BQ543" s="113">
        <v>0</v>
      </c>
      <c r="BR543" s="101"/>
      <c r="BS543">
        <f t="shared" si="1063"/>
        <v>0</v>
      </c>
      <c r="BT543">
        <f t="shared" si="1063"/>
        <v>0</v>
      </c>
      <c r="BU543">
        <f t="shared" si="1063"/>
        <v>0</v>
      </c>
      <c r="BV543">
        <f t="shared" si="1063"/>
        <v>0</v>
      </c>
      <c r="BW543">
        <f t="shared" si="1063"/>
        <v>0</v>
      </c>
      <c r="BX543">
        <f t="shared" si="1063"/>
        <v>0</v>
      </c>
      <c r="BY543">
        <f t="shared" si="1063"/>
        <v>0</v>
      </c>
      <c r="BZ543">
        <f t="shared" si="1063"/>
        <v>0</v>
      </c>
      <c r="CA543">
        <f t="shared" si="1063"/>
        <v>0</v>
      </c>
      <c r="CB543">
        <f t="shared" si="1063"/>
        <v>0</v>
      </c>
      <c r="CC543">
        <f t="shared" si="1064"/>
        <v>0</v>
      </c>
      <c r="CD543">
        <f t="shared" si="1064"/>
        <v>0</v>
      </c>
      <c r="CE543">
        <f t="shared" si="1064"/>
        <v>0</v>
      </c>
      <c r="CF543">
        <f t="shared" si="1064"/>
        <v>0</v>
      </c>
      <c r="CG543">
        <f t="shared" si="1064"/>
        <v>0</v>
      </c>
      <c r="CH543">
        <f t="shared" si="1064"/>
        <v>0</v>
      </c>
      <c r="CI543">
        <f t="shared" si="1064"/>
        <v>0</v>
      </c>
      <c r="CJ543">
        <f t="shared" si="1064"/>
        <v>0</v>
      </c>
      <c r="CK543">
        <f t="shared" si="1064"/>
        <v>0</v>
      </c>
      <c r="CL543">
        <f t="shared" si="1064"/>
        <v>0</v>
      </c>
      <c r="CM543">
        <f t="shared" si="1065"/>
        <v>0</v>
      </c>
      <c r="CN543">
        <f t="shared" si="1065"/>
        <v>0</v>
      </c>
      <c r="CO543">
        <f t="shared" si="1065"/>
        <v>0</v>
      </c>
      <c r="CP543">
        <f t="shared" si="1065"/>
        <v>0</v>
      </c>
      <c r="CQ543">
        <f t="shared" si="1065"/>
        <v>0</v>
      </c>
      <c r="CR543">
        <f t="shared" si="1065"/>
        <v>0</v>
      </c>
      <c r="CS543">
        <f t="shared" si="1065"/>
        <v>0</v>
      </c>
      <c r="CT543">
        <f t="shared" si="1065"/>
        <v>0</v>
      </c>
      <c r="CU543">
        <f t="shared" si="1065"/>
        <v>0</v>
      </c>
      <c r="CV543">
        <f t="shared" si="1065"/>
        <v>0</v>
      </c>
      <c r="CW543">
        <f t="shared" si="1066"/>
        <v>0</v>
      </c>
      <c r="CX543">
        <f t="shared" si="1066"/>
        <v>0</v>
      </c>
      <c r="CY543">
        <f t="shared" si="1066"/>
        <v>0</v>
      </c>
      <c r="CZ543">
        <f t="shared" si="1066"/>
        <v>0</v>
      </c>
      <c r="DA543">
        <f t="shared" si="1066"/>
        <v>0</v>
      </c>
      <c r="DB543">
        <f t="shared" si="1066"/>
        <v>0</v>
      </c>
      <c r="DC543">
        <f t="shared" si="1066"/>
        <v>0</v>
      </c>
      <c r="DD543">
        <f t="shared" si="1066"/>
        <v>0</v>
      </c>
      <c r="DE543">
        <f t="shared" si="1066"/>
        <v>0</v>
      </c>
      <c r="DF543">
        <f t="shared" si="1066"/>
        <v>0</v>
      </c>
      <c r="DG543">
        <f t="shared" si="1067"/>
        <v>0</v>
      </c>
      <c r="DH543">
        <f t="shared" si="1067"/>
        <v>0</v>
      </c>
      <c r="DI543">
        <f t="shared" si="1067"/>
        <v>0</v>
      </c>
      <c r="DJ543">
        <f t="shared" si="1067"/>
        <v>0</v>
      </c>
      <c r="DK543">
        <f t="shared" si="1067"/>
        <v>0</v>
      </c>
      <c r="DL543">
        <f t="shared" si="1067"/>
        <v>0</v>
      </c>
      <c r="DM543">
        <f t="shared" si="1067"/>
        <v>0</v>
      </c>
      <c r="DN543">
        <f t="shared" si="1067"/>
        <v>0</v>
      </c>
      <c r="DO543">
        <f t="shared" si="1067"/>
        <v>0</v>
      </c>
      <c r="DP543">
        <f t="shared" si="1067"/>
        <v>0</v>
      </c>
      <c r="DQ543">
        <f t="shared" si="1068"/>
        <v>0</v>
      </c>
      <c r="DR543">
        <f t="shared" si="1068"/>
        <v>0</v>
      </c>
      <c r="DS543">
        <f t="shared" si="1068"/>
        <v>0</v>
      </c>
      <c r="DT543">
        <f t="shared" si="1068"/>
        <v>0</v>
      </c>
      <c r="DU543">
        <f t="shared" si="1068"/>
        <v>0</v>
      </c>
      <c r="DV543">
        <f t="shared" si="1068"/>
        <v>0</v>
      </c>
      <c r="DW543">
        <f t="shared" si="1068"/>
        <v>0</v>
      </c>
      <c r="DX543">
        <f t="shared" si="1068"/>
        <v>0</v>
      </c>
      <c r="DY543">
        <f t="shared" si="1068"/>
        <v>0</v>
      </c>
      <c r="DZ543">
        <f t="shared" si="1068"/>
        <v>0</v>
      </c>
      <c r="EA543">
        <f t="shared" si="1069"/>
        <v>0</v>
      </c>
      <c r="EB543">
        <f t="shared" si="1069"/>
        <v>0</v>
      </c>
      <c r="EC543">
        <f t="shared" si="1069"/>
        <v>0</v>
      </c>
      <c r="ED543">
        <f t="shared" si="1069"/>
        <v>0</v>
      </c>
      <c r="EE543">
        <f t="shared" si="1069"/>
        <v>0</v>
      </c>
      <c r="EF543">
        <f t="shared" si="1069"/>
        <v>0</v>
      </c>
    </row>
    <row r="544" spans="1:136" ht="15.5">
      <c r="A544" s="90"/>
      <c r="B544" s="53" t="s">
        <v>18</v>
      </c>
      <c r="C544" s="97"/>
      <c r="D544" s="18"/>
      <c r="E544" s="18"/>
      <c r="F544" s="18"/>
      <c r="G544" s="18"/>
      <c r="H544" s="18"/>
      <c r="I544" s="18"/>
      <c r="J544" s="18">
        <v>0</v>
      </c>
      <c r="K544" s="18">
        <v>0</v>
      </c>
      <c r="L544" s="18">
        <v>0</v>
      </c>
      <c r="M544" s="18">
        <v>0</v>
      </c>
      <c r="N544" s="18">
        <v>0</v>
      </c>
      <c r="O544" s="18">
        <v>0</v>
      </c>
      <c r="P544" s="18">
        <v>0</v>
      </c>
      <c r="Q544" s="18">
        <v>0</v>
      </c>
      <c r="R544" s="18">
        <v>0</v>
      </c>
      <c r="S544" s="18">
        <v>0</v>
      </c>
      <c r="T544" s="18">
        <v>0</v>
      </c>
      <c r="U544" s="18">
        <v>0</v>
      </c>
      <c r="V544" s="18">
        <v>0</v>
      </c>
      <c r="W544" s="18">
        <f>31+10</f>
        <v>41</v>
      </c>
      <c r="X544" s="18">
        <f>29+10</f>
        <v>39</v>
      </c>
      <c r="Y544" s="18">
        <v>10</v>
      </c>
      <c r="Z544" s="18">
        <v>14.5</v>
      </c>
      <c r="AA544" s="18">
        <v>24</v>
      </c>
      <c r="AB544" s="18">
        <v>42</v>
      </c>
      <c r="AC544" s="40" t="s">
        <v>16</v>
      </c>
      <c r="AD544" s="40" t="s">
        <v>16</v>
      </c>
      <c r="AE544" s="18">
        <v>3</v>
      </c>
      <c r="AF544" s="18">
        <v>4</v>
      </c>
      <c r="AG544" s="40" t="s">
        <v>16</v>
      </c>
      <c r="AH544" s="40" t="s">
        <v>16</v>
      </c>
      <c r="AI544" s="40" t="s">
        <v>16</v>
      </c>
      <c r="AJ544" s="18">
        <v>93</v>
      </c>
      <c r="AK544" s="40" t="s">
        <v>16</v>
      </c>
      <c r="AL544" s="40" t="s">
        <v>16</v>
      </c>
      <c r="AM544" s="40" t="s">
        <v>16</v>
      </c>
      <c r="AN544" s="40" t="s">
        <v>16</v>
      </c>
      <c r="AO544" s="40" t="s">
        <v>16</v>
      </c>
      <c r="AP544" s="40" t="s">
        <v>16</v>
      </c>
      <c r="AQ544" s="18">
        <v>73</v>
      </c>
      <c r="AR544" s="40" t="s">
        <v>16</v>
      </c>
      <c r="AS544" s="40" t="s">
        <v>16</v>
      </c>
      <c r="AT544" s="40" t="s">
        <v>16</v>
      </c>
      <c r="AU544" s="40" t="s">
        <v>16</v>
      </c>
      <c r="AV544" s="40" t="s">
        <v>16</v>
      </c>
      <c r="AW544" s="18">
        <v>0</v>
      </c>
      <c r="AX544" s="18">
        <v>0</v>
      </c>
      <c r="AY544" s="18">
        <v>0</v>
      </c>
      <c r="AZ544" s="18">
        <v>0</v>
      </c>
      <c r="BA544" s="18">
        <v>0</v>
      </c>
      <c r="BB544" s="18">
        <v>0</v>
      </c>
      <c r="BC544" s="18">
        <v>0</v>
      </c>
      <c r="BD544" s="18">
        <v>0</v>
      </c>
      <c r="BE544" s="25">
        <v>0</v>
      </c>
      <c r="BF544" s="18">
        <v>0</v>
      </c>
      <c r="BG544" s="18">
        <v>0</v>
      </c>
      <c r="BH544" s="18">
        <v>0</v>
      </c>
      <c r="BI544" s="18">
        <v>0</v>
      </c>
      <c r="BJ544" s="113">
        <v>0</v>
      </c>
      <c r="BK544" s="113">
        <v>0</v>
      </c>
      <c r="BL544" s="113">
        <v>0</v>
      </c>
      <c r="BM544" s="113">
        <v>0</v>
      </c>
      <c r="BN544" s="113">
        <v>0</v>
      </c>
      <c r="BO544" s="113">
        <v>0</v>
      </c>
      <c r="BP544" s="113">
        <v>0</v>
      </c>
      <c r="BQ544" s="113">
        <v>0</v>
      </c>
      <c r="BR544" s="101"/>
      <c r="BS544">
        <f t="shared" si="1063"/>
        <v>0</v>
      </c>
      <c r="BT544">
        <f t="shared" si="1063"/>
        <v>0</v>
      </c>
      <c r="BU544">
        <f t="shared" si="1063"/>
        <v>0</v>
      </c>
      <c r="BV544">
        <f t="shared" si="1063"/>
        <v>0</v>
      </c>
      <c r="BW544">
        <f t="shared" si="1063"/>
        <v>0</v>
      </c>
      <c r="BX544">
        <f t="shared" si="1063"/>
        <v>0</v>
      </c>
      <c r="BY544">
        <f t="shared" si="1063"/>
        <v>0</v>
      </c>
      <c r="BZ544">
        <f t="shared" si="1063"/>
        <v>0</v>
      </c>
      <c r="CA544">
        <f t="shared" si="1063"/>
        <v>0</v>
      </c>
      <c r="CB544">
        <f t="shared" si="1063"/>
        <v>0</v>
      </c>
      <c r="CC544">
        <f t="shared" si="1064"/>
        <v>0</v>
      </c>
      <c r="CD544">
        <f t="shared" si="1064"/>
        <v>0</v>
      </c>
      <c r="CE544">
        <f t="shared" si="1064"/>
        <v>0</v>
      </c>
      <c r="CF544">
        <f t="shared" si="1064"/>
        <v>0</v>
      </c>
      <c r="CG544">
        <f t="shared" si="1064"/>
        <v>0</v>
      </c>
      <c r="CH544">
        <f t="shared" si="1064"/>
        <v>0</v>
      </c>
      <c r="CI544">
        <f t="shared" si="1064"/>
        <v>0</v>
      </c>
      <c r="CJ544">
        <f t="shared" si="1064"/>
        <v>0</v>
      </c>
      <c r="CK544">
        <f t="shared" si="1064"/>
        <v>0</v>
      </c>
      <c r="CL544">
        <f t="shared" si="1064"/>
        <v>0</v>
      </c>
      <c r="CM544">
        <f t="shared" si="1065"/>
        <v>0</v>
      </c>
      <c r="CN544">
        <f t="shared" si="1065"/>
        <v>0</v>
      </c>
      <c r="CO544">
        <f t="shared" si="1065"/>
        <v>0</v>
      </c>
      <c r="CP544">
        <f t="shared" si="1065"/>
        <v>0</v>
      </c>
      <c r="CQ544">
        <f t="shared" si="1065"/>
        <v>0</v>
      </c>
      <c r="CR544">
        <f t="shared" si="1065"/>
        <v>0</v>
      </c>
      <c r="CS544">
        <f t="shared" si="1065"/>
        <v>0</v>
      </c>
      <c r="CT544">
        <f t="shared" si="1065"/>
        <v>0</v>
      </c>
      <c r="CU544">
        <f t="shared" si="1065"/>
        <v>0</v>
      </c>
      <c r="CV544">
        <f t="shared" si="1065"/>
        <v>0</v>
      </c>
      <c r="CW544">
        <f t="shared" si="1066"/>
        <v>0</v>
      </c>
      <c r="CX544">
        <f t="shared" si="1066"/>
        <v>0</v>
      </c>
      <c r="CY544">
        <f t="shared" si="1066"/>
        <v>0</v>
      </c>
      <c r="CZ544">
        <f t="shared" si="1066"/>
        <v>0</v>
      </c>
      <c r="DA544">
        <f t="shared" si="1066"/>
        <v>0</v>
      </c>
      <c r="DB544">
        <f t="shared" si="1066"/>
        <v>0</v>
      </c>
      <c r="DC544">
        <f t="shared" si="1066"/>
        <v>0</v>
      </c>
      <c r="DD544">
        <f t="shared" si="1066"/>
        <v>0</v>
      </c>
      <c r="DE544">
        <f t="shared" si="1066"/>
        <v>0</v>
      </c>
      <c r="DF544">
        <f t="shared" si="1066"/>
        <v>0</v>
      </c>
      <c r="DG544">
        <f t="shared" si="1067"/>
        <v>0</v>
      </c>
      <c r="DH544">
        <f t="shared" si="1067"/>
        <v>0</v>
      </c>
      <c r="DI544">
        <f t="shared" si="1067"/>
        <v>0</v>
      </c>
      <c r="DJ544">
        <f t="shared" si="1067"/>
        <v>0</v>
      </c>
      <c r="DK544">
        <f t="shared" si="1067"/>
        <v>0</v>
      </c>
      <c r="DL544">
        <f t="shared" si="1067"/>
        <v>0</v>
      </c>
      <c r="DM544">
        <f t="shared" si="1067"/>
        <v>0</v>
      </c>
      <c r="DN544">
        <f t="shared" si="1067"/>
        <v>0</v>
      </c>
      <c r="DO544">
        <f t="shared" si="1067"/>
        <v>0</v>
      </c>
      <c r="DP544">
        <f t="shared" si="1067"/>
        <v>0</v>
      </c>
      <c r="DQ544">
        <f t="shared" si="1068"/>
        <v>0</v>
      </c>
      <c r="DR544">
        <f t="shared" si="1068"/>
        <v>0</v>
      </c>
      <c r="DS544">
        <f t="shared" si="1068"/>
        <v>0</v>
      </c>
      <c r="DT544">
        <f t="shared" si="1068"/>
        <v>0</v>
      </c>
      <c r="DU544">
        <f t="shared" si="1068"/>
        <v>0</v>
      </c>
      <c r="DV544">
        <f t="shared" si="1068"/>
        <v>0</v>
      </c>
      <c r="DW544">
        <f t="shared" si="1068"/>
        <v>0</v>
      </c>
      <c r="DX544">
        <f t="shared" si="1068"/>
        <v>0</v>
      </c>
      <c r="DY544">
        <f t="shared" si="1068"/>
        <v>0</v>
      </c>
      <c r="DZ544">
        <f t="shared" si="1068"/>
        <v>0</v>
      </c>
      <c r="EA544">
        <f t="shared" si="1069"/>
        <v>0</v>
      </c>
      <c r="EB544">
        <f t="shared" si="1069"/>
        <v>0</v>
      </c>
      <c r="EC544">
        <f t="shared" si="1069"/>
        <v>0</v>
      </c>
      <c r="ED544">
        <f t="shared" si="1069"/>
        <v>0</v>
      </c>
      <c r="EE544">
        <f t="shared" si="1069"/>
        <v>0</v>
      </c>
      <c r="EF544">
        <f t="shared" si="1069"/>
        <v>0</v>
      </c>
    </row>
    <row r="545" spans="1:136" ht="15.5">
      <c r="A545" s="90"/>
      <c r="B545" s="19" t="s">
        <v>208</v>
      </c>
      <c r="C545" s="97"/>
      <c r="D545" s="34"/>
      <c r="E545" s="34"/>
      <c r="F545" s="34"/>
      <c r="G545" s="34"/>
      <c r="H545" s="34"/>
      <c r="I545" s="34"/>
      <c r="J545" s="34">
        <v>0</v>
      </c>
      <c r="K545" s="34">
        <v>0</v>
      </c>
      <c r="L545" s="34">
        <v>0</v>
      </c>
      <c r="M545" s="34">
        <v>0</v>
      </c>
      <c r="N545" s="34">
        <v>0</v>
      </c>
      <c r="O545" s="34">
        <v>0</v>
      </c>
      <c r="P545" s="34">
        <v>0.53800000000000003</v>
      </c>
      <c r="Q545" s="34">
        <v>0.76800000000000002</v>
      </c>
      <c r="R545" s="34">
        <v>2.157</v>
      </c>
      <c r="S545" s="34">
        <v>3.46</v>
      </c>
      <c r="T545" s="34">
        <v>0.73199999999999998</v>
      </c>
      <c r="U545" s="34">
        <v>2.2490000000000001</v>
      </c>
      <c r="V545" s="34">
        <v>9.8030000000000008</v>
      </c>
      <c r="W545" s="40" t="s">
        <v>16</v>
      </c>
      <c r="X545" s="40" t="s">
        <v>16</v>
      </c>
      <c r="Y545" s="34">
        <v>24</v>
      </c>
      <c r="Z545" s="34">
        <v>34</v>
      </c>
      <c r="AA545" s="34">
        <v>46</v>
      </c>
      <c r="AB545" s="34">
        <v>45</v>
      </c>
      <c r="AC545" s="34">
        <v>113.0842</v>
      </c>
      <c r="AD545" s="34">
        <v>141.429</v>
      </c>
      <c r="AE545" s="34">
        <f>201.6797-AE544</f>
        <v>198.6797</v>
      </c>
      <c r="AF545" s="34">
        <v>207.10409999999999</v>
      </c>
      <c r="AG545" s="34">
        <v>197.559</v>
      </c>
      <c r="AH545" s="34">
        <v>124.2679</v>
      </c>
      <c r="AI545" s="34">
        <v>125.3524</v>
      </c>
      <c r="AJ545" s="40" t="s">
        <v>16</v>
      </c>
      <c r="AK545" s="34">
        <v>46.011780000000002</v>
      </c>
      <c r="AL545" s="34">
        <v>47.955759999999998</v>
      </c>
      <c r="AM545" s="34">
        <v>51.719110000000001</v>
      </c>
      <c r="AN545" s="34">
        <v>52.177079999999997</v>
      </c>
      <c r="AO545" s="34">
        <v>54.069670000000002</v>
      </c>
      <c r="AP545" s="34">
        <v>54.651780000000002</v>
      </c>
      <c r="AQ545" s="40" t="s">
        <v>16</v>
      </c>
      <c r="AR545" s="34">
        <v>16.074142699999999</v>
      </c>
      <c r="AS545" s="34">
        <v>24.799706399999998</v>
      </c>
      <c r="AT545" s="34">
        <v>27.155301200000004</v>
      </c>
      <c r="AU545" s="34">
        <v>32.3360147</v>
      </c>
      <c r="AV545" s="34">
        <v>34.642449999999997</v>
      </c>
      <c r="AW545" s="34">
        <v>6.5960804</v>
      </c>
      <c r="AX545" s="34">
        <v>7.0090816</v>
      </c>
      <c r="AY545" s="34">
        <v>7.1081614000000002</v>
      </c>
      <c r="AZ545" s="34">
        <v>19.053468899999999</v>
      </c>
      <c r="BA545" s="34">
        <v>19.347781000000001</v>
      </c>
      <c r="BB545" s="34">
        <v>19.236668900000002</v>
      </c>
      <c r="BC545" s="34">
        <v>19.192801900000003</v>
      </c>
      <c r="BD545" s="34">
        <v>19.245257199999998</v>
      </c>
      <c r="BE545" s="42">
        <v>19.299489000000001</v>
      </c>
      <c r="BF545" s="18">
        <v>19.219306800000002</v>
      </c>
      <c r="BG545" s="18">
        <v>19.1345484</v>
      </c>
      <c r="BH545" s="18">
        <v>18.7393462</v>
      </c>
      <c r="BI545" s="18">
        <v>18.016390099999999</v>
      </c>
      <c r="BJ545" s="18">
        <v>17.693153900000002</v>
      </c>
      <c r="BK545" s="113">
        <v>17.717598900000002</v>
      </c>
      <c r="BL545" s="18">
        <v>17.757149999999999</v>
      </c>
      <c r="BM545" s="18">
        <v>17.759004999999998</v>
      </c>
      <c r="BN545" s="113">
        <v>18</v>
      </c>
      <c r="BO545" s="113">
        <v>0</v>
      </c>
      <c r="BP545" s="113">
        <v>0</v>
      </c>
      <c r="BQ545" s="113">
        <v>0</v>
      </c>
      <c r="BR545" s="101"/>
      <c r="BS545">
        <f t="shared" si="1063"/>
        <v>0</v>
      </c>
      <c r="BT545">
        <f t="shared" si="1063"/>
        <v>0</v>
      </c>
      <c r="BU545">
        <f t="shared" si="1063"/>
        <v>0</v>
      </c>
      <c r="BV545">
        <f t="shared" si="1063"/>
        <v>0</v>
      </c>
      <c r="BW545">
        <f t="shared" si="1063"/>
        <v>0</v>
      </c>
      <c r="BX545">
        <f t="shared" si="1063"/>
        <v>0</v>
      </c>
      <c r="BY545">
        <f t="shared" si="1063"/>
        <v>0</v>
      </c>
      <c r="BZ545">
        <f t="shared" si="1063"/>
        <v>0</v>
      </c>
      <c r="CA545">
        <f t="shared" si="1063"/>
        <v>0</v>
      </c>
      <c r="CB545">
        <f t="shared" si="1063"/>
        <v>0</v>
      </c>
      <c r="CC545">
        <f t="shared" si="1064"/>
        <v>0</v>
      </c>
      <c r="CD545">
        <f t="shared" si="1064"/>
        <v>0</v>
      </c>
      <c r="CE545">
        <f t="shared" si="1064"/>
        <v>0</v>
      </c>
      <c r="CF545">
        <f t="shared" si="1064"/>
        <v>0</v>
      </c>
      <c r="CG545">
        <f t="shared" si="1064"/>
        <v>0</v>
      </c>
      <c r="CH545">
        <f t="shared" si="1064"/>
        <v>0</v>
      </c>
      <c r="CI545">
        <f t="shared" si="1064"/>
        <v>0</v>
      </c>
      <c r="CJ545">
        <f t="shared" si="1064"/>
        <v>0</v>
      </c>
      <c r="CK545">
        <f t="shared" si="1064"/>
        <v>0</v>
      </c>
      <c r="CL545">
        <f t="shared" si="1064"/>
        <v>0</v>
      </c>
      <c r="CM545">
        <f t="shared" si="1065"/>
        <v>0</v>
      </c>
      <c r="CN545">
        <f t="shared" si="1065"/>
        <v>0</v>
      </c>
      <c r="CO545">
        <f t="shared" si="1065"/>
        <v>0</v>
      </c>
      <c r="CP545">
        <f t="shared" si="1065"/>
        <v>0</v>
      </c>
      <c r="CQ545">
        <f t="shared" si="1065"/>
        <v>0</v>
      </c>
      <c r="CR545">
        <f t="shared" si="1065"/>
        <v>0</v>
      </c>
      <c r="CS545">
        <f t="shared" si="1065"/>
        <v>0</v>
      </c>
      <c r="CT545">
        <f t="shared" si="1065"/>
        <v>0</v>
      </c>
      <c r="CU545">
        <f t="shared" si="1065"/>
        <v>0</v>
      </c>
      <c r="CV545">
        <f t="shared" si="1065"/>
        <v>0</v>
      </c>
      <c r="CW545">
        <f t="shared" si="1066"/>
        <v>0</v>
      </c>
      <c r="CX545">
        <f t="shared" si="1066"/>
        <v>0</v>
      </c>
      <c r="CY545">
        <f t="shared" si="1066"/>
        <v>0</v>
      </c>
      <c r="CZ545">
        <f t="shared" si="1066"/>
        <v>0</v>
      </c>
      <c r="DA545">
        <f t="shared" si="1066"/>
        <v>0</v>
      </c>
      <c r="DB545">
        <f t="shared" si="1066"/>
        <v>0</v>
      </c>
      <c r="DC545">
        <f t="shared" si="1066"/>
        <v>0</v>
      </c>
      <c r="DD545">
        <f t="shared" si="1066"/>
        <v>0</v>
      </c>
      <c r="DE545">
        <f t="shared" si="1066"/>
        <v>0</v>
      </c>
      <c r="DF545">
        <f t="shared" si="1066"/>
        <v>0</v>
      </c>
      <c r="DG545">
        <f t="shared" si="1067"/>
        <v>0</v>
      </c>
      <c r="DH545">
        <f t="shared" si="1067"/>
        <v>0</v>
      </c>
      <c r="DI545">
        <f t="shared" si="1067"/>
        <v>0</v>
      </c>
      <c r="DJ545">
        <f t="shared" si="1067"/>
        <v>0</v>
      </c>
      <c r="DK545">
        <f t="shared" si="1067"/>
        <v>0</v>
      </c>
      <c r="DL545">
        <f t="shared" si="1067"/>
        <v>0</v>
      </c>
      <c r="DM545">
        <f t="shared" si="1067"/>
        <v>0</v>
      </c>
      <c r="DN545">
        <f t="shared" si="1067"/>
        <v>0</v>
      </c>
      <c r="DO545">
        <f t="shared" si="1067"/>
        <v>0</v>
      </c>
      <c r="DP545">
        <f t="shared" si="1067"/>
        <v>0</v>
      </c>
      <c r="DQ545">
        <f t="shared" si="1068"/>
        <v>0</v>
      </c>
      <c r="DR545">
        <f t="shared" si="1068"/>
        <v>0</v>
      </c>
      <c r="DS545">
        <f t="shared" si="1068"/>
        <v>0</v>
      </c>
      <c r="DT545">
        <f t="shared" si="1068"/>
        <v>0</v>
      </c>
      <c r="DU545">
        <f t="shared" si="1068"/>
        <v>0</v>
      </c>
      <c r="DV545">
        <f t="shared" si="1068"/>
        <v>0</v>
      </c>
      <c r="DW545">
        <f t="shared" si="1068"/>
        <v>0</v>
      </c>
      <c r="DX545">
        <f t="shared" si="1068"/>
        <v>0</v>
      </c>
      <c r="DY545">
        <f t="shared" si="1068"/>
        <v>0</v>
      </c>
      <c r="DZ545">
        <f t="shared" si="1068"/>
        <v>0</v>
      </c>
      <c r="EA545">
        <f t="shared" si="1069"/>
        <v>0</v>
      </c>
      <c r="EB545">
        <f t="shared" si="1069"/>
        <v>0</v>
      </c>
      <c r="EC545">
        <f t="shared" si="1069"/>
        <v>0</v>
      </c>
      <c r="ED545">
        <f t="shared" si="1069"/>
        <v>0</v>
      </c>
      <c r="EE545">
        <f t="shared" si="1069"/>
        <v>0</v>
      </c>
      <c r="EF545">
        <f t="shared" si="1069"/>
        <v>0</v>
      </c>
    </row>
    <row r="546" spans="1:136" ht="15.5">
      <c r="A546" s="90"/>
      <c r="B546" s="19" t="s">
        <v>212</v>
      </c>
      <c r="C546" s="97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40"/>
      <c r="X546" s="40"/>
      <c r="Y546" s="34"/>
      <c r="Z546" s="34"/>
      <c r="AA546" s="34"/>
      <c r="AB546" s="34"/>
      <c r="AC546" s="34"/>
      <c r="AD546" s="34"/>
      <c r="AE546" s="34"/>
      <c r="AF546" s="34"/>
      <c r="AG546" s="34">
        <f>283/23</f>
        <v>12.304347826086957</v>
      </c>
      <c r="AH546" s="34">
        <f>802/24</f>
        <v>33.416666666666664</v>
      </c>
      <c r="AI546" s="34">
        <f>595/42.7</f>
        <v>13.934426229508196</v>
      </c>
      <c r="AJ546" s="169">
        <f>107/37.6</f>
        <v>2.8457446808510638</v>
      </c>
      <c r="AK546" s="34">
        <f>97/35.8</f>
        <v>2.7094972067039107</v>
      </c>
      <c r="AL546" s="34">
        <v>0</v>
      </c>
      <c r="AM546" s="34">
        <v>0</v>
      </c>
      <c r="AN546" s="34">
        <v>0</v>
      </c>
      <c r="AO546" s="34">
        <v>0</v>
      </c>
      <c r="AP546" s="34">
        <v>0</v>
      </c>
      <c r="AQ546" s="71">
        <v>0</v>
      </c>
      <c r="AR546" s="34">
        <v>0</v>
      </c>
      <c r="AS546" s="34">
        <v>0</v>
      </c>
      <c r="AT546" s="34">
        <v>0</v>
      </c>
      <c r="AU546" s="34">
        <v>0</v>
      </c>
      <c r="AV546" s="34">
        <v>0</v>
      </c>
      <c r="AW546" s="34">
        <v>0</v>
      </c>
      <c r="AX546" s="34">
        <v>0</v>
      </c>
      <c r="AY546" s="34">
        <v>0</v>
      </c>
      <c r="AZ546" s="34">
        <v>0</v>
      </c>
      <c r="BA546" s="34">
        <v>0</v>
      </c>
      <c r="BB546" s="34">
        <v>0</v>
      </c>
      <c r="BC546" s="34">
        <v>0</v>
      </c>
      <c r="BD546" s="34">
        <v>0</v>
      </c>
      <c r="BE546" s="42">
        <v>0</v>
      </c>
      <c r="BF546" s="18">
        <v>0</v>
      </c>
      <c r="BG546" s="18">
        <v>0</v>
      </c>
      <c r="BH546" s="18">
        <v>0</v>
      </c>
      <c r="BI546" s="18">
        <v>0</v>
      </c>
      <c r="BJ546" s="18">
        <v>0</v>
      </c>
      <c r="BK546" s="113">
        <v>0</v>
      </c>
      <c r="BL546" s="18">
        <v>0</v>
      </c>
      <c r="BM546" s="18">
        <v>0</v>
      </c>
      <c r="BN546" s="113">
        <v>0</v>
      </c>
      <c r="BO546" s="113">
        <v>0</v>
      </c>
      <c r="BP546" s="113">
        <v>0</v>
      </c>
      <c r="BQ546" s="113">
        <v>0</v>
      </c>
      <c r="BR546" s="101"/>
      <c r="BS546">
        <f t="shared" si="1063"/>
        <v>0</v>
      </c>
      <c r="BT546">
        <f t="shared" si="1063"/>
        <v>0</v>
      </c>
      <c r="BU546">
        <f t="shared" si="1063"/>
        <v>0</v>
      </c>
      <c r="BV546">
        <f t="shared" si="1063"/>
        <v>0</v>
      </c>
      <c r="BW546">
        <f t="shared" si="1063"/>
        <v>0</v>
      </c>
      <c r="BX546">
        <f t="shared" si="1063"/>
        <v>0</v>
      </c>
      <c r="BY546">
        <f t="shared" si="1063"/>
        <v>0</v>
      </c>
      <c r="BZ546">
        <f t="shared" si="1063"/>
        <v>0</v>
      </c>
      <c r="CA546">
        <f t="shared" si="1063"/>
        <v>0</v>
      </c>
      <c r="CB546">
        <f t="shared" si="1063"/>
        <v>0</v>
      </c>
      <c r="CC546">
        <f t="shared" si="1064"/>
        <v>0</v>
      </c>
      <c r="CD546">
        <f t="shared" si="1064"/>
        <v>0</v>
      </c>
      <c r="CE546">
        <f t="shared" si="1064"/>
        <v>0</v>
      </c>
      <c r="CF546">
        <f t="shared" si="1064"/>
        <v>0</v>
      </c>
      <c r="CG546">
        <f t="shared" si="1064"/>
        <v>0</v>
      </c>
      <c r="CH546">
        <f t="shared" si="1064"/>
        <v>0</v>
      </c>
      <c r="CI546">
        <f t="shared" si="1064"/>
        <v>0</v>
      </c>
      <c r="CJ546">
        <f t="shared" si="1064"/>
        <v>0</v>
      </c>
      <c r="CK546">
        <f t="shared" si="1064"/>
        <v>0</v>
      </c>
      <c r="CL546">
        <f t="shared" si="1064"/>
        <v>0</v>
      </c>
      <c r="CM546">
        <f t="shared" si="1065"/>
        <v>0</v>
      </c>
      <c r="CN546">
        <f t="shared" si="1065"/>
        <v>0</v>
      </c>
      <c r="CO546">
        <f t="shared" si="1065"/>
        <v>0</v>
      </c>
      <c r="CP546">
        <f t="shared" si="1065"/>
        <v>0</v>
      </c>
      <c r="CQ546">
        <f t="shared" si="1065"/>
        <v>0</v>
      </c>
      <c r="CR546">
        <f t="shared" si="1065"/>
        <v>0</v>
      </c>
      <c r="CS546">
        <f t="shared" si="1065"/>
        <v>0</v>
      </c>
      <c r="CT546">
        <f t="shared" si="1065"/>
        <v>0</v>
      </c>
      <c r="CU546">
        <f t="shared" si="1065"/>
        <v>0</v>
      </c>
      <c r="CV546">
        <f t="shared" si="1065"/>
        <v>0</v>
      </c>
      <c r="CW546">
        <f t="shared" si="1066"/>
        <v>0</v>
      </c>
      <c r="CX546">
        <f t="shared" si="1066"/>
        <v>0</v>
      </c>
      <c r="CY546">
        <f t="shared" si="1066"/>
        <v>0</v>
      </c>
      <c r="CZ546">
        <f t="shared" si="1066"/>
        <v>0</v>
      </c>
      <c r="DA546">
        <f t="shared" si="1066"/>
        <v>0</v>
      </c>
      <c r="DB546">
        <f t="shared" si="1066"/>
        <v>0</v>
      </c>
      <c r="DC546">
        <f t="shared" si="1066"/>
        <v>0</v>
      </c>
      <c r="DD546">
        <f t="shared" si="1066"/>
        <v>0</v>
      </c>
      <c r="DE546">
        <f t="shared" si="1066"/>
        <v>0</v>
      </c>
      <c r="DF546">
        <f t="shared" si="1066"/>
        <v>0</v>
      </c>
      <c r="DG546">
        <f t="shared" si="1067"/>
        <v>0</v>
      </c>
      <c r="DH546">
        <f t="shared" si="1067"/>
        <v>0</v>
      </c>
      <c r="DI546">
        <f t="shared" si="1067"/>
        <v>0</v>
      </c>
      <c r="DJ546">
        <f t="shared" si="1067"/>
        <v>0</v>
      </c>
      <c r="DK546">
        <f t="shared" si="1067"/>
        <v>0</v>
      </c>
      <c r="DL546">
        <f t="shared" si="1067"/>
        <v>0</v>
      </c>
      <c r="DM546">
        <f t="shared" si="1067"/>
        <v>0</v>
      </c>
      <c r="DN546">
        <f t="shared" si="1067"/>
        <v>0</v>
      </c>
      <c r="DO546">
        <f t="shared" si="1067"/>
        <v>0</v>
      </c>
      <c r="DP546">
        <f t="shared" si="1067"/>
        <v>0</v>
      </c>
      <c r="DQ546">
        <f t="shared" si="1068"/>
        <v>0</v>
      </c>
      <c r="DR546">
        <f t="shared" si="1068"/>
        <v>0</v>
      </c>
      <c r="DS546">
        <f t="shared" si="1068"/>
        <v>0</v>
      </c>
      <c r="DT546">
        <f t="shared" si="1068"/>
        <v>0</v>
      </c>
      <c r="DU546">
        <f t="shared" si="1068"/>
        <v>0</v>
      </c>
      <c r="DV546">
        <f t="shared" si="1068"/>
        <v>0</v>
      </c>
      <c r="DW546">
        <f t="shared" si="1068"/>
        <v>0</v>
      </c>
      <c r="DX546">
        <f t="shared" si="1068"/>
        <v>0</v>
      </c>
      <c r="DY546">
        <f t="shared" si="1068"/>
        <v>0</v>
      </c>
      <c r="DZ546">
        <f t="shared" si="1068"/>
        <v>0</v>
      </c>
      <c r="EA546">
        <f t="shared" ref="EA546:EF546" si="1070">IF($C546&lt;&gt;"",IF(BL546&gt;0,1,0),0)</f>
        <v>0</v>
      </c>
      <c r="EB546">
        <f t="shared" si="1070"/>
        <v>0</v>
      </c>
      <c r="EC546">
        <f t="shared" si="1070"/>
        <v>0</v>
      </c>
      <c r="ED546">
        <f t="shared" si="1070"/>
        <v>0</v>
      </c>
      <c r="EE546">
        <f t="shared" si="1070"/>
        <v>0</v>
      </c>
      <c r="EF546">
        <f t="shared" si="1070"/>
        <v>0</v>
      </c>
    </row>
    <row r="547" spans="1:136" ht="15.5">
      <c r="A547" s="90"/>
      <c r="B547" s="53"/>
      <c r="C547" s="97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34"/>
      <c r="AI547" s="34"/>
      <c r="AJ547" s="40"/>
      <c r="AK547" s="34"/>
      <c r="AL547" s="34"/>
      <c r="AM547" s="18"/>
      <c r="AN547" s="18"/>
      <c r="AO547" s="18"/>
      <c r="AP547" s="18"/>
      <c r="AQ547" s="18"/>
      <c r="AR547" s="18"/>
      <c r="AS547" s="18"/>
      <c r="AT547" s="18"/>
      <c r="AU547" s="18"/>
      <c r="AV547" s="18"/>
      <c r="AW547" s="18"/>
      <c r="AX547" s="18"/>
      <c r="AY547" s="18"/>
      <c r="AZ547" s="18"/>
      <c r="BA547" s="18"/>
      <c r="BB547" s="18"/>
      <c r="BC547" s="18"/>
      <c r="BD547" s="18"/>
      <c r="BE547" s="18"/>
      <c r="BF547" s="18"/>
      <c r="BG547" s="18"/>
      <c r="BH547" s="114"/>
      <c r="BI547" s="2"/>
      <c r="BJ547" s="2"/>
      <c r="BK547" s="2"/>
      <c r="BL547" s="2"/>
      <c r="BM547" s="2"/>
      <c r="BN547" s="18"/>
      <c r="BO547" s="2"/>
      <c r="BP547" s="2"/>
      <c r="BQ547" s="2"/>
      <c r="BR547" s="101"/>
    </row>
    <row r="548" spans="1:136" ht="15.5">
      <c r="A548" s="93">
        <v>64</v>
      </c>
      <c r="B548" s="75" t="s">
        <v>77</v>
      </c>
      <c r="C548" s="97">
        <v>3</v>
      </c>
      <c r="D548" s="22">
        <f t="shared" ref="D548:AI548" si="1071">SUM(D549:D554)</f>
        <v>1</v>
      </c>
      <c r="E548" s="22">
        <f t="shared" si="1071"/>
        <v>1</v>
      </c>
      <c r="F548" s="22">
        <f t="shared" si="1071"/>
        <v>1</v>
      </c>
      <c r="G548" s="22">
        <f t="shared" si="1071"/>
        <v>27</v>
      </c>
      <c r="H548" s="22">
        <f t="shared" si="1071"/>
        <v>27</v>
      </c>
      <c r="I548" s="22">
        <f t="shared" si="1071"/>
        <v>29</v>
      </c>
      <c r="J548" s="22">
        <f t="shared" si="1071"/>
        <v>0.2</v>
      </c>
      <c r="K548" s="22">
        <f t="shared" si="1071"/>
        <v>3.55</v>
      </c>
      <c r="L548" s="22">
        <f t="shared" si="1071"/>
        <v>4.2</v>
      </c>
      <c r="M548" s="22">
        <f t="shared" si="1071"/>
        <v>5.5</v>
      </c>
      <c r="N548" s="22">
        <f t="shared" si="1071"/>
        <v>4.32</v>
      </c>
      <c r="O548" s="22">
        <f t="shared" si="1071"/>
        <v>4.32</v>
      </c>
      <c r="P548" s="22">
        <f t="shared" si="1071"/>
        <v>4.3259999999999996</v>
      </c>
      <c r="Q548" s="22">
        <f t="shared" si="1071"/>
        <v>4.0519999999999996</v>
      </c>
      <c r="R548" s="22">
        <f t="shared" si="1071"/>
        <v>5.3999999999999999E-2</v>
      </c>
      <c r="S548" s="22">
        <f t="shared" si="1071"/>
        <v>2.99</v>
      </c>
      <c r="T548" s="22">
        <f t="shared" si="1071"/>
        <v>0</v>
      </c>
      <c r="U548" s="22">
        <f t="shared" si="1071"/>
        <v>0</v>
      </c>
      <c r="V548" s="22">
        <f t="shared" si="1071"/>
        <v>0</v>
      </c>
      <c r="W548" s="22">
        <f t="shared" si="1071"/>
        <v>0</v>
      </c>
      <c r="X548" s="22">
        <f t="shared" si="1071"/>
        <v>0</v>
      </c>
      <c r="Y548" s="22">
        <f t="shared" si="1071"/>
        <v>0.14999100000000001</v>
      </c>
      <c r="Z548" s="22">
        <f t="shared" si="1071"/>
        <v>2.6891119999999997</v>
      </c>
      <c r="AA548" s="22">
        <f t="shared" si="1071"/>
        <v>9.7652660000000004</v>
      </c>
      <c r="AB548" s="22">
        <f t="shared" si="1071"/>
        <v>17.597429999999999</v>
      </c>
      <c r="AC548" s="22">
        <f t="shared" si="1071"/>
        <v>29.933810000000001</v>
      </c>
      <c r="AD548" s="22">
        <f t="shared" si="1071"/>
        <v>38.50497</v>
      </c>
      <c r="AE548" s="22">
        <f t="shared" si="1071"/>
        <v>41.681469999999997</v>
      </c>
      <c r="AF548" s="22">
        <f t="shared" si="1071"/>
        <v>104.519117908916</v>
      </c>
      <c r="AG548" s="22">
        <f t="shared" si="1071"/>
        <v>100.69661187120673</v>
      </c>
      <c r="AH548" s="22">
        <f t="shared" si="1071"/>
        <v>66.623739999999998</v>
      </c>
      <c r="AI548" s="22">
        <f t="shared" si="1071"/>
        <v>230.79490000000001</v>
      </c>
      <c r="AJ548" s="22">
        <f t="shared" ref="AJ548:BK548" si="1072">SUM(AJ549:AJ554)</f>
        <v>84.972110000000001</v>
      </c>
      <c r="AK548" s="22">
        <f t="shared" si="1072"/>
        <v>172.59463673629557</v>
      </c>
      <c r="AL548" s="22">
        <f t="shared" si="1072"/>
        <v>194.05394215406795</v>
      </c>
      <c r="AM548" s="22">
        <f t="shared" si="1072"/>
        <v>199.64499999999998</v>
      </c>
      <c r="AN548" s="22">
        <f t="shared" si="1072"/>
        <v>5.1717459999999997</v>
      </c>
      <c r="AO548" s="22">
        <f t="shared" si="1072"/>
        <v>3.851</v>
      </c>
      <c r="AP548" s="22">
        <f t="shared" si="1072"/>
        <v>2.88</v>
      </c>
      <c r="AQ548" s="22">
        <f t="shared" si="1072"/>
        <v>3.2029999999999998</v>
      </c>
      <c r="AR548" s="22">
        <f t="shared" si="1072"/>
        <v>3.4603197999999997</v>
      </c>
      <c r="AS548" s="22">
        <f t="shared" si="1072"/>
        <v>12.016999999999999</v>
      </c>
      <c r="AT548" s="22">
        <f t="shared" si="1072"/>
        <v>38.138999999999996</v>
      </c>
      <c r="AU548" s="22">
        <f t="shared" si="1072"/>
        <v>88.021199600000003</v>
      </c>
      <c r="AV548" s="22">
        <f t="shared" si="1072"/>
        <v>89</v>
      </c>
      <c r="AW548" s="22">
        <f t="shared" si="1072"/>
        <v>36.484504899999997</v>
      </c>
      <c r="AX548" s="22">
        <f t="shared" si="1072"/>
        <v>69</v>
      </c>
      <c r="AY548" s="22">
        <f t="shared" si="1072"/>
        <v>46.812859100000004</v>
      </c>
      <c r="AZ548" s="22">
        <f t="shared" si="1072"/>
        <v>16.248974999999998</v>
      </c>
      <c r="BA548" s="22">
        <f t="shared" si="1072"/>
        <v>1027.05441</v>
      </c>
      <c r="BB548" s="22">
        <f t="shared" si="1072"/>
        <v>773.85204699999997</v>
      </c>
      <c r="BC548" s="22">
        <f t="shared" si="1072"/>
        <v>557.40254679999998</v>
      </c>
      <c r="BD548" s="22">
        <f t="shared" si="1072"/>
        <v>717.62599999999998</v>
      </c>
      <c r="BE548" s="22">
        <f t="shared" si="1072"/>
        <v>870</v>
      </c>
      <c r="BF548" s="22">
        <f t="shared" si="1072"/>
        <v>1023</v>
      </c>
      <c r="BG548" s="22">
        <f t="shared" si="1072"/>
        <v>1176</v>
      </c>
      <c r="BH548" s="22">
        <f t="shared" si="1072"/>
        <v>1600</v>
      </c>
      <c r="BI548" s="22">
        <f t="shared" si="1072"/>
        <v>1684</v>
      </c>
      <c r="BJ548" s="22">
        <f t="shared" si="1072"/>
        <v>1768</v>
      </c>
      <c r="BK548" s="22">
        <f t="shared" si="1072"/>
        <v>1853</v>
      </c>
      <c r="BL548" s="22">
        <f t="shared" ref="BL548:BQ548" si="1073">SUM(BL549:BL553)</f>
        <v>1841</v>
      </c>
      <c r="BM548" s="22">
        <f t="shared" si="1073"/>
        <v>2017</v>
      </c>
      <c r="BN548" s="22">
        <f t="shared" si="1073"/>
        <v>2159</v>
      </c>
      <c r="BO548" s="22">
        <f t="shared" si="1073"/>
        <v>0</v>
      </c>
      <c r="BP548" s="22">
        <f t="shared" si="1073"/>
        <v>0</v>
      </c>
      <c r="BQ548" s="22">
        <f t="shared" si="1073"/>
        <v>0</v>
      </c>
      <c r="BR548" s="101"/>
      <c r="BS548">
        <f t="shared" ref="BS548:CB551" si="1074">IF($C548&lt;&gt;"",IF(D548&gt;0,1,0),0)</f>
        <v>1</v>
      </c>
      <c r="BT548">
        <f t="shared" si="1074"/>
        <v>1</v>
      </c>
      <c r="BU548">
        <f t="shared" si="1074"/>
        <v>1</v>
      </c>
      <c r="BV548">
        <f t="shared" si="1074"/>
        <v>1</v>
      </c>
      <c r="BW548">
        <f t="shared" si="1074"/>
        <v>1</v>
      </c>
      <c r="BX548">
        <f t="shared" si="1074"/>
        <v>1</v>
      </c>
      <c r="BY548">
        <f t="shared" si="1074"/>
        <v>1</v>
      </c>
      <c r="BZ548">
        <f t="shared" si="1074"/>
        <v>1</v>
      </c>
      <c r="CA548">
        <f t="shared" si="1074"/>
        <v>1</v>
      </c>
      <c r="CB548">
        <f t="shared" si="1074"/>
        <v>1</v>
      </c>
      <c r="CC548">
        <f t="shared" ref="CC548:CL551" si="1075">IF($C548&lt;&gt;"",IF(N548&gt;0,1,0),0)</f>
        <v>1</v>
      </c>
      <c r="CD548">
        <f t="shared" si="1075"/>
        <v>1</v>
      </c>
      <c r="CE548">
        <f t="shared" si="1075"/>
        <v>1</v>
      </c>
      <c r="CF548">
        <f t="shared" si="1075"/>
        <v>1</v>
      </c>
      <c r="CG548">
        <f t="shared" si="1075"/>
        <v>1</v>
      </c>
      <c r="CH548">
        <f t="shared" si="1075"/>
        <v>1</v>
      </c>
      <c r="CI548">
        <f t="shared" si="1075"/>
        <v>0</v>
      </c>
      <c r="CJ548">
        <f t="shared" si="1075"/>
        <v>0</v>
      </c>
      <c r="CK548">
        <f t="shared" si="1075"/>
        <v>0</v>
      </c>
      <c r="CL548">
        <f t="shared" si="1075"/>
        <v>0</v>
      </c>
      <c r="CM548">
        <f t="shared" ref="CM548:CV551" si="1076">IF($C548&lt;&gt;"",IF(X548&gt;0,1,0),0)</f>
        <v>0</v>
      </c>
      <c r="CN548">
        <f t="shared" si="1076"/>
        <v>1</v>
      </c>
      <c r="CO548">
        <f t="shared" si="1076"/>
        <v>1</v>
      </c>
      <c r="CP548">
        <f t="shared" si="1076"/>
        <v>1</v>
      </c>
      <c r="CQ548">
        <f t="shared" si="1076"/>
        <v>1</v>
      </c>
      <c r="CR548">
        <f t="shared" si="1076"/>
        <v>1</v>
      </c>
      <c r="CS548">
        <f t="shared" si="1076"/>
        <v>1</v>
      </c>
      <c r="CT548">
        <f t="shared" si="1076"/>
        <v>1</v>
      </c>
      <c r="CU548">
        <f t="shared" si="1076"/>
        <v>1</v>
      </c>
      <c r="CV548">
        <f t="shared" si="1076"/>
        <v>1</v>
      </c>
      <c r="CW548">
        <f t="shared" ref="CW548:DF551" si="1077">IF($C548&lt;&gt;"",IF(AH548&gt;0,1,0),0)</f>
        <v>1</v>
      </c>
      <c r="CX548">
        <f t="shared" si="1077"/>
        <v>1</v>
      </c>
      <c r="CY548">
        <f t="shared" si="1077"/>
        <v>1</v>
      </c>
      <c r="CZ548">
        <f t="shared" si="1077"/>
        <v>1</v>
      </c>
      <c r="DA548">
        <f t="shared" si="1077"/>
        <v>1</v>
      </c>
      <c r="DB548">
        <f t="shared" si="1077"/>
        <v>1</v>
      </c>
      <c r="DC548">
        <f t="shared" si="1077"/>
        <v>1</v>
      </c>
      <c r="DD548">
        <f t="shared" si="1077"/>
        <v>1</v>
      </c>
      <c r="DE548">
        <f t="shared" si="1077"/>
        <v>1</v>
      </c>
      <c r="DF548">
        <f t="shared" si="1077"/>
        <v>1</v>
      </c>
      <c r="DG548">
        <f t="shared" ref="DG548:DP551" si="1078">IF($C548&lt;&gt;"",IF(AR548&gt;0,1,0),0)</f>
        <v>1</v>
      </c>
      <c r="DH548">
        <f t="shared" si="1078"/>
        <v>1</v>
      </c>
      <c r="DI548">
        <f t="shared" si="1078"/>
        <v>1</v>
      </c>
      <c r="DJ548">
        <f t="shared" si="1078"/>
        <v>1</v>
      </c>
      <c r="DK548">
        <f t="shared" si="1078"/>
        <v>1</v>
      </c>
      <c r="DL548">
        <f t="shared" si="1078"/>
        <v>1</v>
      </c>
      <c r="DM548">
        <f t="shared" si="1078"/>
        <v>1</v>
      </c>
      <c r="DN548">
        <f t="shared" si="1078"/>
        <v>1</v>
      </c>
      <c r="DO548">
        <f t="shared" si="1078"/>
        <v>1</v>
      </c>
      <c r="DP548">
        <f t="shared" si="1078"/>
        <v>1</v>
      </c>
      <c r="DQ548">
        <f t="shared" ref="DQ548:DZ551" si="1079">IF($C548&lt;&gt;"",IF(BB548&gt;0,1,0),0)</f>
        <v>1</v>
      </c>
      <c r="DR548">
        <f t="shared" si="1079"/>
        <v>1</v>
      </c>
      <c r="DS548">
        <f t="shared" si="1079"/>
        <v>1</v>
      </c>
      <c r="DT548">
        <f t="shared" si="1079"/>
        <v>1</v>
      </c>
      <c r="DU548">
        <f t="shared" si="1079"/>
        <v>1</v>
      </c>
      <c r="DV548">
        <f t="shared" si="1079"/>
        <v>1</v>
      </c>
      <c r="DW548">
        <f t="shared" si="1079"/>
        <v>1</v>
      </c>
      <c r="DX548">
        <f t="shared" si="1079"/>
        <v>1</v>
      </c>
      <c r="DY548">
        <f t="shared" si="1079"/>
        <v>1</v>
      </c>
      <c r="DZ548">
        <f t="shared" si="1079"/>
        <v>1</v>
      </c>
      <c r="EA548">
        <f t="shared" ref="EA548:EF551" si="1080">IF($C548&lt;&gt;"",IF(BL548&gt;0,1,0),0)</f>
        <v>1</v>
      </c>
      <c r="EB548">
        <f t="shared" si="1080"/>
        <v>1</v>
      </c>
      <c r="EC548">
        <f t="shared" si="1080"/>
        <v>1</v>
      </c>
      <c r="ED548">
        <f t="shared" si="1080"/>
        <v>0</v>
      </c>
      <c r="EE548">
        <f t="shared" si="1080"/>
        <v>0</v>
      </c>
      <c r="EF548">
        <f t="shared" si="1080"/>
        <v>0</v>
      </c>
    </row>
    <row r="549" spans="1:136" ht="15.5">
      <c r="A549" s="90"/>
      <c r="B549" s="24" t="s">
        <v>15</v>
      </c>
      <c r="C549" s="94"/>
      <c r="D549" s="18">
        <v>0</v>
      </c>
      <c r="E549" s="18">
        <v>0</v>
      </c>
      <c r="F549" s="18">
        <v>0</v>
      </c>
      <c r="G549" s="18">
        <v>0</v>
      </c>
      <c r="H549" s="18">
        <v>0</v>
      </c>
      <c r="I549" s="18">
        <v>0</v>
      </c>
      <c r="J549" s="18">
        <v>0</v>
      </c>
      <c r="K549" s="18">
        <v>3.25</v>
      </c>
      <c r="L549" s="18">
        <v>2</v>
      </c>
      <c r="M549" s="18">
        <v>3.5</v>
      </c>
      <c r="N549" s="18">
        <v>0</v>
      </c>
      <c r="O549" s="18">
        <v>0</v>
      </c>
      <c r="P549" s="18">
        <v>0</v>
      </c>
      <c r="Q549" s="18">
        <v>0</v>
      </c>
      <c r="R549" s="18">
        <v>0</v>
      </c>
      <c r="S549" s="18">
        <v>0</v>
      </c>
      <c r="T549" s="18">
        <v>0</v>
      </c>
      <c r="U549" s="18">
        <v>0</v>
      </c>
      <c r="V549" s="18">
        <v>0</v>
      </c>
      <c r="W549" s="18">
        <v>0</v>
      </c>
      <c r="X549" s="18">
        <v>0</v>
      </c>
      <c r="Y549" s="18">
        <v>0</v>
      </c>
      <c r="Z549" s="18">
        <v>0</v>
      </c>
      <c r="AA549" s="18">
        <v>0</v>
      </c>
      <c r="AB549" s="18">
        <v>0</v>
      </c>
      <c r="AC549" s="18">
        <v>0</v>
      </c>
      <c r="AD549" s="18">
        <v>0</v>
      </c>
      <c r="AE549" s="18">
        <v>0</v>
      </c>
      <c r="AF549" s="18">
        <v>50.729487908915999</v>
      </c>
      <c r="AG549" s="18">
        <v>53.528121871206721</v>
      </c>
      <c r="AH549" s="18">
        <v>0</v>
      </c>
      <c r="AI549" s="18">
        <v>0</v>
      </c>
      <c r="AJ549" s="18">
        <v>0</v>
      </c>
      <c r="AK549" s="18">
        <v>34.729076736295582</v>
      </c>
      <c r="AL549" s="18">
        <v>9.5881421540679703</v>
      </c>
      <c r="AM549" s="18">
        <v>0</v>
      </c>
      <c r="AN549" s="18">
        <v>0</v>
      </c>
      <c r="AO549" s="18">
        <v>0</v>
      </c>
      <c r="AP549" s="18">
        <v>0</v>
      </c>
      <c r="AQ549" s="18">
        <v>0</v>
      </c>
      <c r="AR549" s="18">
        <v>0</v>
      </c>
      <c r="AS549" s="18">
        <v>0</v>
      </c>
      <c r="AT549" s="18">
        <v>0</v>
      </c>
      <c r="AU549" s="18">
        <v>0</v>
      </c>
      <c r="AV549" s="18">
        <v>0</v>
      </c>
      <c r="AW549" s="18">
        <v>0</v>
      </c>
      <c r="AX549" s="18">
        <v>0</v>
      </c>
      <c r="AY549" s="18">
        <v>0</v>
      </c>
      <c r="AZ549" s="18">
        <v>0</v>
      </c>
      <c r="BA549" s="18">
        <v>0</v>
      </c>
      <c r="BB549" s="18">
        <v>0</v>
      </c>
      <c r="BC549" s="18">
        <v>0</v>
      </c>
      <c r="BD549" s="18">
        <v>0</v>
      </c>
      <c r="BE549" s="25">
        <v>0</v>
      </c>
      <c r="BF549" s="18">
        <v>0</v>
      </c>
      <c r="BG549" s="18">
        <v>0</v>
      </c>
      <c r="BH549" s="18">
        <v>0</v>
      </c>
      <c r="BI549" s="18">
        <v>0</v>
      </c>
      <c r="BJ549" s="113">
        <v>0</v>
      </c>
      <c r="BK549" s="113">
        <v>0</v>
      </c>
      <c r="BL549" s="113">
        <v>0</v>
      </c>
      <c r="BM549" s="113">
        <v>0</v>
      </c>
      <c r="BN549" s="113">
        <v>0</v>
      </c>
      <c r="BO549" s="113">
        <v>0</v>
      </c>
      <c r="BP549" s="113">
        <v>0</v>
      </c>
      <c r="BQ549" s="113">
        <v>0</v>
      </c>
      <c r="BR549" s="101"/>
      <c r="BS549">
        <f t="shared" si="1074"/>
        <v>0</v>
      </c>
      <c r="BT549">
        <f t="shared" si="1074"/>
        <v>0</v>
      </c>
      <c r="BU549">
        <f t="shared" si="1074"/>
        <v>0</v>
      </c>
      <c r="BV549">
        <f t="shared" si="1074"/>
        <v>0</v>
      </c>
      <c r="BW549">
        <f t="shared" si="1074"/>
        <v>0</v>
      </c>
      <c r="BX549">
        <f t="shared" si="1074"/>
        <v>0</v>
      </c>
      <c r="BY549">
        <f t="shared" si="1074"/>
        <v>0</v>
      </c>
      <c r="BZ549">
        <f t="shared" si="1074"/>
        <v>0</v>
      </c>
      <c r="CA549">
        <f t="shared" si="1074"/>
        <v>0</v>
      </c>
      <c r="CB549">
        <f t="shared" si="1074"/>
        <v>0</v>
      </c>
      <c r="CC549">
        <f t="shared" si="1075"/>
        <v>0</v>
      </c>
      <c r="CD549">
        <f t="shared" si="1075"/>
        <v>0</v>
      </c>
      <c r="CE549">
        <f t="shared" si="1075"/>
        <v>0</v>
      </c>
      <c r="CF549">
        <f t="shared" si="1075"/>
        <v>0</v>
      </c>
      <c r="CG549">
        <f t="shared" si="1075"/>
        <v>0</v>
      </c>
      <c r="CH549">
        <f t="shared" si="1075"/>
        <v>0</v>
      </c>
      <c r="CI549">
        <f t="shared" si="1075"/>
        <v>0</v>
      </c>
      <c r="CJ549">
        <f t="shared" si="1075"/>
        <v>0</v>
      </c>
      <c r="CK549">
        <f t="shared" si="1075"/>
        <v>0</v>
      </c>
      <c r="CL549">
        <f t="shared" si="1075"/>
        <v>0</v>
      </c>
      <c r="CM549">
        <f t="shared" si="1076"/>
        <v>0</v>
      </c>
      <c r="CN549">
        <f t="shared" si="1076"/>
        <v>0</v>
      </c>
      <c r="CO549">
        <f t="shared" si="1076"/>
        <v>0</v>
      </c>
      <c r="CP549">
        <f t="shared" si="1076"/>
        <v>0</v>
      </c>
      <c r="CQ549">
        <f t="shared" si="1076"/>
        <v>0</v>
      </c>
      <c r="CR549">
        <f t="shared" si="1076"/>
        <v>0</v>
      </c>
      <c r="CS549">
        <f t="shared" si="1076"/>
        <v>0</v>
      </c>
      <c r="CT549">
        <f t="shared" si="1076"/>
        <v>0</v>
      </c>
      <c r="CU549">
        <f t="shared" si="1076"/>
        <v>0</v>
      </c>
      <c r="CV549">
        <f t="shared" si="1076"/>
        <v>0</v>
      </c>
      <c r="CW549">
        <f t="shared" si="1077"/>
        <v>0</v>
      </c>
      <c r="CX549">
        <f t="shared" si="1077"/>
        <v>0</v>
      </c>
      <c r="CY549">
        <f t="shared" si="1077"/>
        <v>0</v>
      </c>
      <c r="CZ549">
        <f t="shared" si="1077"/>
        <v>0</v>
      </c>
      <c r="DA549">
        <f t="shared" si="1077"/>
        <v>0</v>
      </c>
      <c r="DB549">
        <f t="shared" si="1077"/>
        <v>0</v>
      </c>
      <c r="DC549">
        <f t="shared" si="1077"/>
        <v>0</v>
      </c>
      <c r="DD549">
        <f t="shared" si="1077"/>
        <v>0</v>
      </c>
      <c r="DE549">
        <f t="shared" si="1077"/>
        <v>0</v>
      </c>
      <c r="DF549">
        <f t="shared" si="1077"/>
        <v>0</v>
      </c>
      <c r="DG549">
        <f t="shared" si="1078"/>
        <v>0</v>
      </c>
      <c r="DH549">
        <f t="shared" si="1078"/>
        <v>0</v>
      </c>
      <c r="DI549">
        <f t="shared" si="1078"/>
        <v>0</v>
      </c>
      <c r="DJ549">
        <f t="shared" si="1078"/>
        <v>0</v>
      </c>
      <c r="DK549">
        <f t="shared" si="1078"/>
        <v>0</v>
      </c>
      <c r="DL549">
        <f t="shared" si="1078"/>
        <v>0</v>
      </c>
      <c r="DM549">
        <f t="shared" si="1078"/>
        <v>0</v>
      </c>
      <c r="DN549">
        <f t="shared" si="1078"/>
        <v>0</v>
      </c>
      <c r="DO549">
        <f t="shared" si="1078"/>
        <v>0</v>
      </c>
      <c r="DP549">
        <f t="shared" si="1078"/>
        <v>0</v>
      </c>
      <c r="DQ549">
        <f t="shared" si="1079"/>
        <v>0</v>
      </c>
      <c r="DR549">
        <f t="shared" si="1079"/>
        <v>0</v>
      </c>
      <c r="DS549">
        <f t="shared" si="1079"/>
        <v>0</v>
      </c>
      <c r="DT549">
        <f t="shared" si="1079"/>
        <v>0</v>
      </c>
      <c r="DU549">
        <f t="shared" si="1079"/>
        <v>0</v>
      </c>
      <c r="DV549">
        <f t="shared" si="1079"/>
        <v>0</v>
      </c>
      <c r="DW549">
        <f t="shared" si="1079"/>
        <v>0</v>
      </c>
      <c r="DX549">
        <f t="shared" si="1079"/>
        <v>0</v>
      </c>
      <c r="DY549">
        <f t="shared" si="1079"/>
        <v>0</v>
      </c>
      <c r="DZ549">
        <f t="shared" si="1079"/>
        <v>0</v>
      </c>
      <c r="EA549">
        <f t="shared" si="1080"/>
        <v>0</v>
      </c>
      <c r="EB549">
        <f t="shared" si="1080"/>
        <v>0</v>
      </c>
      <c r="EC549">
        <f t="shared" si="1080"/>
        <v>0</v>
      </c>
      <c r="ED549">
        <f t="shared" si="1080"/>
        <v>0</v>
      </c>
      <c r="EE549">
        <f t="shared" si="1080"/>
        <v>0</v>
      </c>
      <c r="EF549">
        <f t="shared" si="1080"/>
        <v>0</v>
      </c>
    </row>
    <row r="550" spans="1:136" ht="15.5">
      <c r="A550" s="90"/>
      <c r="B550" s="53" t="s">
        <v>184</v>
      </c>
      <c r="C550" s="94"/>
      <c r="D550" s="34">
        <v>0</v>
      </c>
      <c r="E550" s="34">
        <v>0</v>
      </c>
      <c r="F550" s="34">
        <v>0</v>
      </c>
      <c r="G550" s="34">
        <v>0</v>
      </c>
      <c r="H550" s="34">
        <v>0</v>
      </c>
      <c r="I550" s="34">
        <v>0</v>
      </c>
      <c r="J550" s="34">
        <v>0</v>
      </c>
      <c r="K550" s="34">
        <v>0</v>
      </c>
      <c r="L550" s="18">
        <v>1</v>
      </c>
      <c r="M550" s="34">
        <v>0</v>
      </c>
      <c r="N550" s="34">
        <v>0</v>
      </c>
      <c r="O550" s="34">
        <v>0</v>
      </c>
      <c r="P550" s="34">
        <v>0</v>
      </c>
      <c r="Q550" s="34">
        <v>0</v>
      </c>
      <c r="R550" s="34">
        <v>0</v>
      </c>
      <c r="S550" s="34">
        <v>0</v>
      </c>
      <c r="T550" s="34">
        <v>0</v>
      </c>
      <c r="U550" s="34">
        <v>0</v>
      </c>
      <c r="V550" s="34">
        <v>0</v>
      </c>
      <c r="W550" s="34">
        <v>0</v>
      </c>
      <c r="X550" s="34">
        <v>0</v>
      </c>
      <c r="Y550" s="34">
        <v>0</v>
      </c>
      <c r="Z550" s="34">
        <v>0</v>
      </c>
      <c r="AA550" s="34">
        <v>0</v>
      </c>
      <c r="AB550" s="34">
        <v>0</v>
      </c>
      <c r="AC550" s="34">
        <v>0</v>
      </c>
      <c r="AD550" s="34">
        <v>0</v>
      </c>
      <c r="AE550" s="34">
        <v>0</v>
      </c>
      <c r="AF550" s="34">
        <v>0</v>
      </c>
      <c r="AG550" s="34">
        <v>0</v>
      </c>
      <c r="AH550" s="34">
        <v>0</v>
      </c>
      <c r="AI550" s="34">
        <v>0</v>
      </c>
      <c r="AJ550" s="34">
        <v>0</v>
      </c>
      <c r="AK550" s="34">
        <v>0</v>
      </c>
      <c r="AL550" s="34">
        <v>0</v>
      </c>
      <c r="AM550" s="34">
        <v>0</v>
      </c>
      <c r="AN550" s="34">
        <v>0</v>
      </c>
      <c r="AO550" s="34">
        <v>0</v>
      </c>
      <c r="AP550" s="34">
        <v>0</v>
      </c>
      <c r="AQ550" s="34">
        <v>0</v>
      </c>
      <c r="AR550" s="34">
        <v>0</v>
      </c>
      <c r="AS550" s="34">
        <v>0</v>
      </c>
      <c r="AT550" s="34">
        <v>0</v>
      </c>
      <c r="AU550" s="34">
        <v>0</v>
      </c>
      <c r="AV550" s="34">
        <v>46</v>
      </c>
      <c r="AW550" s="34">
        <v>0</v>
      </c>
      <c r="AX550" s="34">
        <v>0</v>
      </c>
      <c r="AY550" s="34">
        <v>0</v>
      </c>
      <c r="AZ550" s="34">
        <v>0</v>
      </c>
      <c r="BA550" s="34">
        <v>0</v>
      </c>
      <c r="BB550" s="34">
        <v>0</v>
      </c>
      <c r="BC550" s="34">
        <v>0</v>
      </c>
      <c r="BD550" s="34">
        <v>0</v>
      </c>
      <c r="BE550" s="42">
        <v>0</v>
      </c>
      <c r="BF550" s="34">
        <v>0</v>
      </c>
      <c r="BG550" s="34">
        <v>0</v>
      </c>
      <c r="BH550" s="34">
        <v>0</v>
      </c>
      <c r="BI550" s="34">
        <v>0</v>
      </c>
      <c r="BJ550" s="113">
        <v>0</v>
      </c>
      <c r="BK550" s="113">
        <v>0</v>
      </c>
      <c r="BL550" s="113">
        <v>0</v>
      </c>
      <c r="BM550" s="113">
        <v>0</v>
      </c>
      <c r="BN550" s="113">
        <v>0</v>
      </c>
      <c r="BO550" s="113">
        <v>0</v>
      </c>
      <c r="BP550" s="113">
        <v>0</v>
      </c>
      <c r="BQ550" s="113">
        <v>0</v>
      </c>
      <c r="BR550" s="101"/>
      <c r="BS550">
        <f t="shared" si="1074"/>
        <v>0</v>
      </c>
      <c r="BT550">
        <f t="shared" si="1074"/>
        <v>0</v>
      </c>
      <c r="BU550">
        <f t="shared" si="1074"/>
        <v>0</v>
      </c>
      <c r="BV550">
        <f t="shared" si="1074"/>
        <v>0</v>
      </c>
      <c r="BW550">
        <f t="shared" si="1074"/>
        <v>0</v>
      </c>
      <c r="BX550">
        <f t="shared" si="1074"/>
        <v>0</v>
      </c>
      <c r="BY550">
        <f t="shared" si="1074"/>
        <v>0</v>
      </c>
      <c r="BZ550">
        <f t="shared" si="1074"/>
        <v>0</v>
      </c>
      <c r="CA550">
        <f t="shared" si="1074"/>
        <v>0</v>
      </c>
      <c r="CB550">
        <f t="shared" si="1074"/>
        <v>0</v>
      </c>
      <c r="CC550">
        <f t="shared" si="1075"/>
        <v>0</v>
      </c>
      <c r="CD550">
        <f t="shared" si="1075"/>
        <v>0</v>
      </c>
      <c r="CE550">
        <f t="shared" si="1075"/>
        <v>0</v>
      </c>
      <c r="CF550">
        <f t="shared" si="1075"/>
        <v>0</v>
      </c>
      <c r="CG550">
        <f t="shared" si="1075"/>
        <v>0</v>
      </c>
      <c r="CH550">
        <f t="shared" si="1075"/>
        <v>0</v>
      </c>
      <c r="CI550">
        <f t="shared" si="1075"/>
        <v>0</v>
      </c>
      <c r="CJ550">
        <f t="shared" si="1075"/>
        <v>0</v>
      </c>
      <c r="CK550">
        <f t="shared" si="1075"/>
        <v>0</v>
      </c>
      <c r="CL550">
        <f t="shared" si="1075"/>
        <v>0</v>
      </c>
      <c r="CM550">
        <f t="shared" si="1076"/>
        <v>0</v>
      </c>
      <c r="CN550">
        <f t="shared" si="1076"/>
        <v>0</v>
      </c>
      <c r="CO550">
        <f t="shared" si="1076"/>
        <v>0</v>
      </c>
      <c r="CP550">
        <f t="shared" si="1076"/>
        <v>0</v>
      </c>
      <c r="CQ550">
        <f t="shared" si="1076"/>
        <v>0</v>
      </c>
      <c r="CR550">
        <f t="shared" si="1076"/>
        <v>0</v>
      </c>
      <c r="CS550">
        <f t="shared" si="1076"/>
        <v>0</v>
      </c>
      <c r="CT550">
        <f t="shared" si="1076"/>
        <v>0</v>
      </c>
      <c r="CU550">
        <f t="shared" si="1076"/>
        <v>0</v>
      </c>
      <c r="CV550">
        <f t="shared" si="1076"/>
        <v>0</v>
      </c>
      <c r="CW550">
        <f t="shared" si="1077"/>
        <v>0</v>
      </c>
      <c r="CX550">
        <f t="shared" si="1077"/>
        <v>0</v>
      </c>
      <c r="CY550">
        <f t="shared" si="1077"/>
        <v>0</v>
      </c>
      <c r="CZ550">
        <f t="shared" si="1077"/>
        <v>0</v>
      </c>
      <c r="DA550">
        <f t="shared" si="1077"/>
        <v>0</v>
      </c>
      <c r="DB550">
        <f t="shared" si="1077"/>
        <v>0</v>
      </c>
      <c r="DC550">
        <f t="shared" si="1077"/>
        <v>0</v>
      </c>
      <c r="DD550">
        <f t="shared" si="1077"/>
        <v>0</v>
      </c>
      <c r="DE550">
        <f t="shared" si="1077"/>
        <v>0</v>
      </c>
      <c r="DF550">
        <f t="shared" si="1077"/>
        <v>0</v>
      </c>
      <c r="DG550">
        <f t="shared" si="1078"/>
        <v>0</v>
      </c>
      <c r="DH550">
        <f t="shared" si="1078"/>
        <v>0</v>
      </c>
      <c r="DI550">
        <f t="shared" si="1078"/>
        <v>0</v>
      </c>
      <c r="DJ550">
        <f t="shared" si="1078"/>
        <v>0</v>
      </c>
      <c r="DK550">
        <f t="shared" si="1078"/>
        <v>0</v>
      </c>
      <c r="DL550">
        <f t="shared" si="1078"/>
        <v>0</v>
      </c>
      <c r="DM550">
        <f t="shared" si="1078"/>
        <v>0</v>
      </c>
      <c r="DN550">
        <f t="shared" si="1078"/>
        <v>0</v>
      </c>
      <c r="DO550">
        <f t="shared" si="1078"/>
        <v>0</v>
      </c>
      <c r="DP550">
        <f t="shared" si="1078"/>
        <v>0</v>
      </c>
      <c r="DQ550">
        <f t="shared" si="1079"/>
        <v>0</v>
      </c>
      <c r="DR550">
        <f t="shared" si="1079"/>
        <v>0</v>
      </c>
      <c r="DS550">
        <f t="shared" si="1079"/>
        <v>0</v>
      </c>
      <c r="DT550">
        <f t="shared" si="1079"/>
        <v>0</v>
      </c>
      <c r="DU550">
        <f t="shared" si="1079"/>
        <v>0</v>
      </c>
      <c r="DV550">
        <f t="shared" si="1079"/>
        <v>0</v>
      </c>
      <c r="DW550">
        <f t="shared" si="1079"/>
        <v>0</v>
      </c>
      <c r="DX550">
        <f t="shared" si="1079"/>
        <v>0</v>
      </c>
      <c r="DY550">
        <f t="shared" si="1079"/>
        <v>0</v>
      </c>
      <c r="DZ550">
        <f t="shared" si="1079"/>
        <v>0</v>
      </c>
      <c r="EA550">
        <f t="shared" si="1080"/>
        <v>0</v>
      </c>
      <c r="EB550">
        <f t="shared" si="1080"/>
        <v>0</v>
      </c>
      <c r="EC550">
        <f t="shared" si="1080"/>
        <v>0</v>
      </c>
      <c r="ED550">
        <f t="shared" si="1080"/>
        <v>0</v>
      </c>
      <c r="EE550">
        <f t="shared" si="1080"/>
        <v>0</v>
      </c>
      <c r="EF550">
        <f t="shared" si="1080"/>
        <v>0</v>
      </c>
    </row>
    <row r="551" spans="1:136" ht="15.5">
      <c r="A551" s="90"/>
      <c r="B551" s="53" t="s">
        <v>202</v>
      </c>
      <c r="C551" s="94"/>
      <c r="D551" s="34">
        <v>0</v>
      </c>
      <c r="E551" s="34">
        <v>0</v>
      </c>
      <c r="F551" s="34">
        <v>0</v>
      </c>
      <c r="G551" s="34">
        <v>0</v>
      </c>
      <c r="H551" s="34">
        <v>0</v>
      </c>
      <c r="I551" s="34">
        <v>0</v>
      </c>
      <c r="J551" s="34">
        <v>0</v>
      </c>
      <c r="K551" s="34">
        <v>0</v>
      </c>
      <c r="L551" s="18">
        <v>0</v>
      </c>
      <c r="M551" s="34">
        <v>0</v>
      </c>
      <c r="N551" s="34">
        <v>0</v>
      </c>
      <c r="O551" s="34">
        <v>0</v>
      </c>
      <c r="P551" s="34">
        <v>0</v>
      </c>
      <c r="Q551" s="34">
        <v>0</v>
      </c>
      <c r="R551" s="34">
        <v>0</v>
      </c>
      <c r="S551" s="34">
        <v>0</v>
      </c>
      <c r="T551" s="34">
        <v>0</v>
      </c>
      <c r="U551" s="34">
        <v>0</v>
      </c>
      <c r="V551" s="34">
        <v>0</v>
      </c>
      <c r="W551" s="34">
        <v>0</v>
      </c>
      <c r="X551" s="34">
        <v>0</v>
      </c>
      <c r="Y551" s="34">
        <v>0</v>
      </c>
      <c r="Z551" s="34">
        <v>0</v>
      </c>
      <c r="AA551" s="34">
        <v>0</v>
      </c>
      <c r="AB551" s="34">
        <v>0</v>
      </c>
      <c r="AC551" s="34">
        <v>0</v>
      </c>
      <c r="AD551" s="34">
        <v>0</v>
      </c>
      <c r="AE551" s="34">
        <v>0</v>
      </c>
      <c r="AF551" s="34">
        <v>0</v>
      </c>
      <c r="AG551" s="34">
        <v>0</v>
      </c>
      <c r="AH551" s="34">
        <v>0</v>
      </c>
      <c r="AI551" s="34">
        <v>0</v>
      </c>
      <c r="AJ551" s="34">
        <v>3</v>
      </c>
      <c r="AK551" s="34">
        <v>17</v>
      </c>
      <c r="AL551" s="34">
        <v>34</v>
      </c>
      <c r="AM551" s="34">
        <v>0</v>
      </c>
      <c r="AN551" s="34">
        <v>0</v>
      </c>
      <c r="AO551" s="34">
        <v>0</v>
      </c>
      <c r="AP551" s="34">
        <v>0</v>
      </c>
      <c r="AQ551" s="34">
        <v>0</v>
      </c>
      <c r="AR551" s="34">
        <v>0</v>
      </c>
      <c r="AS551" s="34">
        <v>0</v>
      </c>
      <c r="AT551" s="34">
        <v>14</v>
      </c>
      <c r="AU551" s="34">
        <v>28</v>
      </c>
      <c r="AV551" s="34">
        <v>43</v>
      </c>
      <c r="AW551" s="34">
        <v>0</v>
      </c>
      <c r="AX551" s="34">
        <v>0</v>
      </c>
      <c r="AY551" s="34">
        <v>0</v>
      </c>
      <c r="AZ551" s="34">
        <v>0</v>
      </c>
      <c r="BA551" s="34">
        <v>0</v>
      </c>
      <c r="BB551" s="34">
        <v>0</v>
      </c>
      <c r="BC551" s="34">
        <v>0</v>
      </c>
      <c r="BD551" s="34">
        <v>0</v>
      </c>
      <c r="BE551" s="42">
        <v>0</v>
      </c>
      <c r="BF551" s="34">
        <v>0</v>
      </c>
      <c r="BG551" s="34">
        <v>0</v>
      </c>
      <c r="BH551" s="34">
        <v>0</v>
      </c>
      <c r="BI551" s="34">
        <v>0</v>
      </c>
      <c r="BJ551" s="113">
        <v>0</v>
      </c>
      <c r="BK551" s="113">
        <v>0</v>
      </c>
      <c r="BL551" s="113">
        <v>0</v>
      </c>
      <c r="BM551" s="113">
        <v>0</v>
      </c>
      <c r="BN551" s="113">
        <v>0</v>
      </c>
      <c r="BO551" s="113">
        <v>0</v>
      </c>
      <c r="BP551" s="113">
        <v>0</v>
      </c>
      <c r="BQ551" s="113">
        <v>0</v>
      </c>
      <c r="BR551" s="101"/>
      <c r="BS551">
        <f t="shared" si="1074"/>
        <v>0</v>
      </c>
      <c r="BT551">
        <f t="shared" si="1074"/>
        <v>0</v>
      </c>
      <c r="BU551">
        <f t="shared" si="1074"/>
        <v>0</v>
      </c>
      <c r="BV551">
        <f t="shared" si="1074"/>
        <v>0</v>
      </c>
      <c r="BW551">
        <f t="shared" si="1074"/>
        <v>0</v>
      </c>
      <c r="BX551">
        <f t="shared" si="1074"/>
        <v>0</v>
      </c>
      <c r="BY551">
        <f t="shared" si="1074"/>
        <v>0</v>
      </c>
      <c r="BZ551">
        <f t="shared" si="1074"/>
        <v>0</v>
      </c>
      <c r="CA551">
        <f t="shared" si="1074"/>
        <v>0</v>
      </c>
      <c r="CB551">
        <f t="shared" si="1074"/>
        <v>0</v>
      </c>
      <c r="CC551">
        <f t="shared" si="1075"/>
        <v>0</v>
      </c>
      <c r="CD551">
        <f t="shared" si="1075"/>
        <v>0</v>
      </c>
      <c r="CE551">
        <f t="shared" si="1075"/>
        <v>0</v>
      </c>
      <c r="CF551">
        <f t="shared" si="1075"/>
        <v>0</v>
      </c>
      <c r="CG551">
        <f t="shared" si="1075"/>
        <v>0</v>
      </c>
      <c r="CH551">
        <f t="shared" si="1075"/>
        <v>0</v>
      </c>
      <c r="CI551">
        <f t="shared" si="1075"/>
        <v>0</v>
      </c>
      <c r="CJ551">
        <f t="shared" si="1075"/>
        <v>0</v>
      </c>
      <c r="CK551">
        <f t="shared" si="1075"/>
        <v>0</v>
      </c>
      <c r="CL551">
        <f t="shared" si="1075"/>
        <v>0</v>
      </c>
      <c r="CM551">
        <f t="shared" si="1076"/>
        <v>0</v>
      </c>
      <c r="CN551">
        <f t="shared" si="1076"/>
        <v>0</v>
      </c>
      <c r="CO551">
        <f t="shared" si="1076"/>
        <v>0</v>
      </c>
      <c r="CP551">
        <f t="shared" si="1076"/>
        <v>0</v>
      </c>
      <c r="CQ551">
        <f t="shared" si="1076"/>
        <v>0</v>
      </c>
      <c r="CR551">
        <f t="shared" si="1076"/>
        <v>0</v>
      </c>
      <c r="CS551">
        <f t="shared" si="1076"/>
        <v>0</v>
      </c>
      <c r="CT551">
        <f t="shared" si="1076"/>
        <v>0</v>
      </c>
      <c r="CU551">
        <f t="shared" si="1076"/>
        <v>0</v>
      </c>
      <c r="CV551">
        <f t="shared" si="1076"/>
        <v>0</v>
      </c>
      <c r="CW551">
        <f t="shared" si="1077"/>
        <v>0</v>
      </c>
      <c r="CX551">
        <f t="shared" si="1077"/>
        <v>0</v>
      </c>
      <c r="CY551">
        <f t="shared" si="1077"/>
        <v>0</v>
      </c>
      <c r="CZ551">
        <f t="shared" si="1077"/>
        <v>0</v>
      </c>
      <c r="DA551">
        <f t="shared" si="1077"/>
        <v>0</v>
      </c>
      <c r="DB551">
        <f t="shared" si="1077"/>
        <v>0</v>
      </c>
      <c r="DC551">
        <f t="shared" si="1077"/>
        <v>0</v>
      </c>
      <c r="DD551">
        <f t="shared" si="1077"/>
        <v>0</v>
      </c>
      <c r="DE551">
        <f t="shared" si="1077"/>
        <v>0</v>
      </c>
      <c r="DF551">
        <f t="shared" si="1077"/>
        <v>0</v>
      </c>
      <c r="DG551">
        <f t="shared" si="1078"/>
        <v>0</v>
      </c>
      <c r="DH551">
        <f t="shared" si="1078"/>
        <v>0</v>
      </c>
      <c r="DI551">
        <f t="shared" si="1078"/>
        <v>0</v>
      </c>
      <c r="DJ551">
        <f t="shared" si="1078"/>
        <v>0</v>
      </c>
      <c r="DK551">
        <f t="shared" si="1078"/>
        <v>0</v>
      </c>
      <c r="DL551">
        <f t="shared" si="1078"/>
        <v>0</v>
      </c>
      <c r="DM551">
        <f t="shared" si="1078"/>
        <v>0</v>
      </c>
      <c r="DN551">
        <f t="shared" si="1078"/>
        <v>0</v>
      </c>
      <c r="DO551">
        <f t="shared" si="1078"/>
        <v>0</v>
      </c>
      <c r="DP551">
        <f t="shared" si="1078"/>
        <v>0</v>
      </c>
      <c r="DQ551">
        <f t="shared" si="1079"/>
        <v>0</v>
      </c>
      <c r="DR551">
        <f t="shared" si="1079"/>
        <v>0</v>
      </c>
      <c r="DS551">
        <f t="shared" si="1079"/>
        <v>0</v>
      </c>
      <c r="DT551">
        <f t="shared" si="1079"/>
        <v>0</v>
      </c>
      <c r="DU551">
        <f t="shared" si="1079"/>
        <v>0</v>
      </c>
      <c r="DV551">
        <f t="shared" si="1079"/>
        <v>0</v>
      </c>
      <c r="DW551">
        <f t="shared" si="1079"/>
        <v>0</v>
      </c>
      <c r="DX551">
        <f t="shared" si="1079"/>
        <v>0</v>
      </c>
      <c r="DY551">
        <f t="shared" si="1079"/>
        <v>0</v>
      </c>
      <c r="DZ551">
        <f t="shared" si="1079"/>
        <v>0</v>
      </c>
      <c r="EA551">
        <f t="shared" si="1080"/>
        <v>0</v>
      </c>
      <c r="EB551">
        <f t="shared" si="1080"/>
        <v>0</v>
      </c>
      <c r="EC551">
        <f t="shared" si="1080"/>
        <v>0</v>
      </c>
      <c r="ED551">
        <f t="shared" si="1080"/>
        <v>0</v>
      </c>
      <c r="EE551">
        <f t="shared" si="1080"/>
        <v>0</v>
      </c>
      <c r="EF551">
        <f t="shared" si="1080"/>
        <v>0</v>
      </c>
    </row>
    <row r="552" spans="1:136" ht="15.5">
      <c r="A552" s="90"/>
      <c r="B552" s="19" t="s">
        <v>2</v>
      </c>
      <c r="C552" s="94"/>
      <c r="D552" s="34">
        <v>0</v>
      </c>
      <c r="E552" s="34">
        <v>0</v>
      </c>
      <c r="F552" s="34">
        <v>0</v>
      </c>
      <c r="G552" s="34">
        <v>0</v>
      </c>
      <c r="H552" s="34">
        <v>0</v>
      </c>
      <c r="I552" s="34">
        <v>0</v>
      </c>
      <c r="J552" s="34">
        <v>0</v>
      </c>
      <c r="K552" s="34">
        <v>0</v>
      </c>
      <c r="L552" s="34">
        <v>0</v>
      </c>
      <c r="M552" s="34">
        <v>0</v>
      </c>
      <c r="N552" s="34">
        <v>0</v>
      </c>
      <c r="O552" s="34">
        <v>0</v>
      </c>
      <c r="P552" s="34">
        <v>0</v>
      </c>
      <c r="Q552" s="34">
        <v>0</v>
      </c>
      <c r="R552" s="34">
        <v>0</v>
      </c>
      <c r="S552" s="34">
        <v>0</v>
      </c>
      <c r="T552" s="34">
        <v>0</v>
      </c>
      <c r="U552" s="34">
        <v>0</v>
      </c>
      <c r="V552" s="34">
        <v>0</v>
      </c>
      <c r="W552" s="34">
        <v>0</v>
      </c>
      <c r="X552" s="34">
        <v>0</v>
      </c>
      <c r="Y552" s="34">
        <v>0</v>
      </c>
      <c r="Z552" s="34">
        <v>0</v>
      </c>
      <c r="AA552" s="34">
        <v>0</v>
      </c>
      <c r="AB552" s="34">
        <v>0</v>
      </c>
      <c r="AC552" s="34">
        <v>0</v>
      </c>
      <c r="AD552" s="34">
        <v>0</v>
      </c>
      <c r="AE552" s="34">
        <v>0</v>
      </c>
      <c r="AF552" s="34">
        <v>0</v>
      </c>
      <c r="AG552" s="34">
        <v>0</v>
      </c>
      <c r="AH552" s="34">
        <v>0</v>
      </c>
      <c r="AI552" s="34">
        <v>0</v>
      </c>
      <c r="AJ552" s="34">
        <v>0</v>
      </c>
      <c r="AK552" s="34">
        <v>0</v>
      </c>
      <c r="AL552" s="34">
        <v>0</v>
      </c>
      <c r="AM552" s="34">
        <v>117</v>
      </c>
      <c r="AN552" s="34">
        <v>0</v>
      </c>
      <c r="AO552" s="34">
        <v>0</v>
      </c>
      <c r="AP552" s="34">
        <v>0</v>
      </c>
      <c r="AQ552" s="34">
        <v>0</v>
      </c>
      <c r="AR552" s="34">
        <v>0</v>
      </c>
      <c r="AS552" s="34">
        <v>0</v>
      </c>
      <c r="AT552" s="34">
        <v>0</v>
      </c>
      <c r="AU552" s="34">
        <v>0</v>
      </c>
      <c r="AV552" s="34">
        <v>0</v>
      </c>
      <c r="AW552" s="40" t="s">
        <v>16</v>
      </c>
      <c r="AX552" s="34">
        <v>69</v>
      </c>
      <c r="AY552" s="40" t="s">
        <v>16</v>
      </c>
      <c r="AZ552" s="40" t="s">
        <v>16</v>
      </c>
      <c r="BA552" s="34">
        <v>161</v>
      </c>
      <c r="BB552" s="40" t="s">
        <v>16</v>
      </c>
      <c r="BC552" s="34">
        <v>0</v>
      </c>
      <c r="BD552" s="34">
        <v>0</v>
      </c>
      <c r="BE552" s="42">
        <v>0</v>
      </c>
      <c r="BF552" s="34">
        <v>0</v>
      </c>
      <c r="BG552" s="34">
        <v>0</v>
      </c>
      <c r="BH552" s="113">
        <v>0</v>
      </c>
      <c r="BI552" s="113">
        <v>0</v>
      </c>
      <c r="BJ552" s="113">
        <v>0</v>
      </c>
      <c r="BK552" s="113">
        <v>0</v>
      </c>
      <c r="BL552" s="113">
        <v>0</v>
      </c>
      <c r="BM552" s="113">
        <v>0</v>
      </c>
      <c r="BN552" s="113">
        <v>0</v>
      </c>
      <c r="BO552" s="113">
        <v>0</v>
      </c>
      <c r="BP552" s="113">
        <v>0</v>
      </c>
      <c r="BQ552" s="113">
        <v>0</v>
      </c>
      <c r="BR552" s="101"/>
      <c r="BS552">
        <f t="shared" ref="BS552:CB555" si="1081">IF($C552&lt;&gt;"",IF(D552&gt;0,1,0),0)</f>
        <v>0</v>
      </c>
      <c r="BT552">
        <f t="shared" si="1081"/>
        <v>0</v>
      </c>
      <c r="BU552">
        <f t="shared" si="1081"/>
        <v>0</v>
      </c>
      <c r="BV552">
        <f t="shared" si="1081"/>
        <v>0</v>
      </c>
      <c r="BW552">
        <f t="shared" si="1081"/>
        <v>0</v>
      </c>
      <c r="BX552">
        <f t="shared" si="1081"/>
        <v>0</v>
      </c>
      <c r="BY552">
        <f t="shared" si="1081"/>
        <v>0</v>
      </c>
      <c r="BZ552">
        <f t="shared" si="1081"/>
        <v>0</v>
      </c>
      <c r="CA552">
        <f t="shared" si="1081"/>
        <v>0</v>
      </c>
      <c r="CB552">
        <f t="shared" si="1081"/>
        <v>0</v>
      </c>
      <c r="CC552">
        <f t="shared" ref="CC552:CL555" si="1082">IF($C552&lt;&gt;"",IF(N552&gt;0,1,0),0)</f>
        <v>0</v>
      </c>
      <c r="CD552">
        <f t="shared" si="1082"/>
        <v>0</v>
      </c>
      <c r="CE552">
        <f t="shared" si="1082"/>
        <v>0</v>
      </c>
      <c r="CF552">
        <f t="shared" si="1082"/>
        <v>0</v>
      </c>
      <c r="CG552">
        <f t="shared" si="1082"/>
        <v>0</v>
      </c>
      <c r="CH552">
        <f t="shared" si="1082"/>
        <v>0</v>
      </c>
      <c r="CI552">
        <f t="shared" si="1082"/>
        <v>0</v>
      </c>
      <c r="CJ552">
        <f t="shared" si="1082"/>
        <v>0</v>
      </c>
      <c r="CK552">
        <f t="shared" si="1082"/>
        <v>0</v>
      </c>
      <c r="CL552">
        <f t="shared" si="1082"/>
        <v>0</v>
      </c>
      <c r="CM552">
        <f t="shared" ref="CM552:CV555" si="1083">IF($C552&lt;&gt;"",IF(X552&gt;0,1,0),0)</f>
        <v>0</v>
      </c>
      <c r="CN552">
        <f t="shared" si="1083"/>
        <v>0</v>
      </c>
      <c r="CO552">
        <f t="shared" si="1083"/>
        <v>0</v>
      </c>
      <c r="CP552">
        <f t="shared" si="1083"/>
        <v>0</v>
      </c>
      <c r="CQ552">
        <f t="shared" si="1083"/>
        <v>0</v>
      </c>
      <c r="CR552">
        <f t="shared" si="1083"/>
        <v>0</v>
      </c>
      <c r="CS552">
        <f t="shared" si="1083"/>
        <v>0</v>
      </c>
      <c r="CT552">
        <f t="shared" si="1083"/>
        <v>0</v>
      </c>
      <c r="CU552">
        <f t="shared" si="1083"/>
        <v>0</v>
      </c>
      <c r="CV552">
        <f t="shared" si="1083"/>
        <v>0</v>
      </c>
      <c r="CW552">
        <f t="shared" ref="CW552:DF555" si="1084">IF($C552&lt;&gt;"",IF(AH552&gt;0,1,0),0)</f>
        <v>0</v>
      </c>
      <c r="CX552">
        <f t="shared" si="1084"/>
        <v>0</v>
      </c>
      <c r="CY552">
        <f t="shared" si="1084"/>
        <v>0</v>
      </c>
      <c r="CZ552">
        <f t="shared" si="1084"/>
        <v>0</v>
      </c>
      <c r="DA552">
        <f t="shared" si="1084"/>
        <v>0</v>
      </c>
      <c r="DB552">
        <f t="shared" si="1084"/>
        <v>0</v>
      </c>
      <c r="DC552">
        <f t="shared" si="1084"/>
        <v>0</v>
      </c>
      <c r="DD552">
        <f t="shared" si="1084"/>
        <v>0</v>
      </c>
      <c r="DE552">
        <f t="shared" si="1084"/>
        <v>0</v>
      </c>
      <c r="DF552">
        <f t="shared" si="1084"/>
        <v>0</v>
      </c>
      <c r="DG552">
        <f t="shared" ref="DG552:DP555" si="1085">IF($C552&lt;&gt;"",IF(AR552&gt;0,1,0),0)</f>
        <v>0</v>
      </c>
      <c r="DH552">
        <f t="shared" si="1085"/>
        <v>0</v>
      </c>
      <c r="DI552">
        <f t="shared" si="1085"/>
        <v>0</v>
      </c>
      <c r="DJ552">
        <f t="shared" si="1085"/>
        <v>0</v>
      </c>
      <c r="DK552">
        <f t="shared" si="1085"/>
        <v>0</v>
      </c>
      <c r="DL552">
        <f t="shared" si="1085"/>
        <v>0</v>
      </c>
      <c r="DM552">
        <f t="shared" si="1085"/>
        <v>0</v>
      </c>
      <c r="DN552">
        <f t="shared" si="1085"/>
        <v>0</v>
      </c>
      <c r="DO552">
        <f t="shared" si="1085"/>
        <v>0</v>
      </c>
      <c r="DP552">
        <f t="shared" si="1085"/>
        <v>0</v>
      </c>
      <c r="DQ552">
        <f t="shared" ref="DQ552:DZ555" si="1086">IF($C552&lt;&gt;"",IF(BB552&gt;0,1,0),0)</f>
        <v>0</v>
      </c>
      <c r="DR552">
        <f t="shared" si="1086"/>
        <v>0</v>
      </c>
      <c r="DS552">
        <f t="shared" si="1086"/>
        <v>0</v>
      </c>
      <c r="DT552">
        <f t="shared" si="1086"/>
        <v>0</v>
      </c>
      <c r="DU552">
        <f t="shared" si="1086"/>
        <v>0</v>
      </c>
      <c r="DV552">
        <f t="shared" si="1086"/>
        <v>0</v>
      </c>
      <c r="DW552">
        <f t="shared" si="1086"/>
        <v>0</v>
      </c>
      <c r="DX552">
        <f t="shared" si="1086"/>
        <v>0</v>
      </c>
      <c r="DY552">
        <f t="shared" si="1086"/>
        <v>0</v>
      </c>
      <c r="DZ552">
        <f t="shared" si="1086"/>
        <v>0</v>
      </c>
      <c r="EA552">
        <f>IF($C552&lt;&gt;"",IF(#REF!&gt;0,1,0),0)</f>
        <v>0</v>
      </c>
      <c r="EB552">
        <f>IF($C552&lt;&gt;"",IF(#REF!&gt;0,1,0),0)</f>
        <v>0</v>
      </c>
      <c r="EC552">
        <f>IF($C552&lt;&gt;"",IF(#REF!&gt;0,1,0),0)</f>
        <v>0</v>
      </c>
      <c r="ED552">
        <f>IF($C552&lt;&gt;"",IF(#REF!&gt;0,1,0),0)</f>
        <v>0</v>
      </c>
      <c r="EE552">
        <f>IF($C552&lt;&gt;"",IF(#REF!&gt;0,1,0),0)</f>
        <v>0</v>
      </c>
      <c r="EF552">
        <f>IF($C552&lt;&gt;"",IF(#REF!&gt;0,1,0),0)</f>
        <v>0</v>
      </c>
    </row>
    <row r="553" spans="1:136" ht="15.5">
      <c r="A553" s="90"/>
      <c r="B553" s="53" t="s">
        <v>3</v>
      </c>
      <c r="C553" s="94"/>
      <c r="D553" s="34">
        <v>1</v>
      </c>
      <c r="E553" s="34">
        <v>1</v>
      </c>
      <c r="F553" s="18">
        <v>1</v>
      </c>
      <c r="G553" s="18">
        <v>27</v>
      </c>
      <c r="H553" s="34">
        <v>27</v>
      </c>
      <c r="I553" s="34">
        <f>27+2</f>
        <v>29</v>
      </c>
      <c r="J553" s="34">
        <v>0.2</v>
      </c>
      <c r="K553" s="40">
        <v>0.3</v>
      </c>
      <c r="L553" s="34">
        <v>1.2</v>
      </c>
      <c r="M553" s="34">
        <v>2</v>
      </c>
      <c r="N553" s="34">
        <v>0</v>
      </c>
      <c r="O553" s="34">
        <v>0</v>
      </c>
      <c r="P553" s="34">
        <v>0</v>
      </c>
      <c r="Q553" s="34">
        <v>0</v>
      </c>
      <c r="R553" s="34">
        <v>0</v>
      </c>
      <c r="S553" s="34">
        <v>2.99</v>
      </c>
      <c r="T553" s="34">
        <v>0</v>
      </c>
      <c r="U553" s="34">
        <v>0</v>
      </c>
      <c r="V553" s="34">
        <v>0</v>
      </c>
      <c r="W553" s="34">
        <v>0</v>
      </c>
      <c r="X553" s="34">
        <v>0</v>
      </c>
      <c r="Y553" s="34">
        <v>0.14999100000000001</v>
      </c>
      <c r="Z553" s="34">
        <v>0.34911199999999998</v>
      </c>
      <c r="AA553" s="34">
        <v>0.52386600000000005</v>
      </c>
      <c r="AB553" s="34">
        <v>2.17293</v>
      </c>
      <c r="AC553" s="34">
        <v>3.9089299999999998</v>
      </c>
      <c r="AD553" s="34">
        <v>10.538690000000001</v>
      </c>
      <c r="AE553" s="34">
        <v>10.7189</v>
      </c>
      <c r="AF553" s="34">
        <v>12.599030000000001</v>
      </c>
      <c r="AG553" s="34">
        <v>15.715490000000001</v>
      </c>
      <c r="AH553" s="34">
        <v>27.483740000000001</v>
      </c>
      <c r="AI553" s="34">
        <v>184.4179</v>
      </c>
      <c r="AJ553" s="34">
        <v>28.808109999999999</v>
      </c>
      <c r="AK553" s="34">
        <f>55.55256-AK551</f>
        <v>38.55256</v>
      </c>
      <c r="AL553" s="34">
        <f>101.8208-AL551</f>
        <v>67.820800000000006</v>
      </c>
      <c r="AM553" s="40" t="s">
        <v>16</v>
      </c>
      <c r="AN553" s="34">
        <v>5.1717459999999997</v>
      </c>
      <c r="AO553" s="34">
        <v>3.851</v>
      </c>
      <c r="AP553" s="34">
        <v>2.88</v>
      </c>
      <c r="AQ553" s="34">
        <v>3.2029999999999998</v>
      </c>
      <c r="AR553" s="34">
        <v>3.4603197999999997</v>
      </c>
      <c r="AS553" s="34">
        <v>12.016999999999999</v>
      </c>
      <c r="AT553" s="34">
        <v>24.138999999999999</v>
      </c>
      <c r="AU553" s="34">
        <v>60.021199600000003</v>
      </c>
      <c r="AV553" s="40" t="s">
        <v>16</v>
      </c>
      <c r="AW553" s="34">
        <v>36.484504899999997</v>
      </c>
      <c r="AX553" s="40" t="s">
        <v>16</v>
      </c>
      <c r="AY553" s="34">
        <v>41.861796400000003</v>
      </c>
      <c r="AZ553" s="34">
        <v>15.874178499999999</v>
      </c>
      <c r="BA553" s="18">
        <f>1027.04441-BA552</f>
        <v>866.04440999999997</v>
      </c>
      <c r="BB553" s="34">
        <v>773.85204699999997</v>
      </c>
      <c r="BC553" s="34">
        <v>557.40254679999998</v>
      </c>
      <c r="BD553" s="34">
        <v>717</v>
      </c>
      <c r="BE553" s="42">
        <v>870</v>
      </c>
      <c r="BF553" s="18">
        <v>1023</v>
      </c>
      <c r="BG553" s="18">
        <v>1176</v>
      </c>
      <c r="BH553" s="18">
        <v>1600</v>
      </c>
      <c r="BI553" s="18">
        <v>1684</v>
      </c>
      <c r="BJ553" s="18">
        <v>1768</v>
      </c>
      <c r="BK553" s="113">
        <v>1853</v>
      </c>
      <c r="BL553" s="113">
        <v>1841</v>
      </c>
      <c r="BM553" s="113">
        <v>2017</v>
      </c>
      <c r="BN553" s="113">
        <v>2159</v>
      </c>
      <c r="BO553" s="113">
        <v>0</v>
      </c>
      <c r="BP553" s="113">
        <v>0</v>
      </c>
      <c r="BQ553" s="113">
        <v>0</v>
      </c>
      <c r="BR553" s="101"/>
      <c r="BS553">
        <f t="shared" si="1081"/>
        <v>0</v>
      </c>
      <c r="BT553">
        <f t="shared" si="1081"/>
        <v>0</v>
      </c>
      <c r="BU553">
        <f t="shared" si="1081"/>
        <v>0</v>
      </c>
      <c r="BV553">
        <f t="shared" si="1081"/>
        <v>0</v>
      </c>
      <c r="BW553">
        <f t="shared" si="1081"/>
        <v>0</v>
      </c>
      <c r="BX553">
        <f t="shared" si="1081"/>
        <v>0</v>
      </c>
      <c r="BY553">
        <f t="shared" si="1081"/>
        <v>0</v>
      </c>
      <c r="BZ553">
        <f t="shared" si="1081"/>
        <v>0</v>
      </c>
      <c r="CA553">
        <f t="shared" si="1081"/>
        <v>0</v>
      </c>
      <c r="CB553">
        <f t="shared" si="1081"/>
        <v>0</v>
      </c>
      <c r="CC553">
        <f t="shared" si="1082"/>
        <v>0</v>
      </c>
      <c r="CD553">
        <f t="shared" si="1082"/>
        <v>0</v>
      </c>
      <c r="CE553">
        <f t="shared" si="1082"/>
        <v>0</v>
      </c>
      <c r="CF553">
        <f t="shared" si="1082"/>
        <v>0</v>
      </c>
      <c r="CG553">
        <f t="shared" si="1082"/>
        <v>0</v>
      </c>
      <c r="CH553">
        <f t="shared" si="1082"/>
        <v>0</v>
      </c>
      <c r="CI553">
        <f t="shared" si="1082"/>
        <v>0</v>
      </c>
      <c r="CJ553">
        <f t="shared" si="1082"/>
        <v>0</v>
      </c>
      <c r="CK553">
        <f t="shared" si="1082"/>
        <v>0</v>
      </c>
      <c r="CL553">
        <f t="shared" si="1082"/>
        <v>0</v>
      </c>
      <c r="CM553">
        <f t="shared" si="1083"/>
        <v>0</v>
      </c>
      <c r="CN553">
        <f t="shared" si="1083"/>
        <v>0</v>
      </c>
      <c r="CO553">
        <f t="shared" si="1083"/>
        <v>0</v>
      </c>
      <c r="CP553">
        <f t="shared" si="1083"/>
        <v>0</v>
      </c>
      <c r="CQ553">
        <f t="shared" si="1083"/>
        <v>0</v>
      </c>
      <c r="CR553">
        <f t="shared" si="1083"/>
        <v>0</v>
      </c>
      <c r="CS553">
        <f t="shared" si="1083"/>
        <v>0</v>
      </c>
      <c r="CT553">
        <f t="shared" si="1083"/>
        <v>0</v>
      </c>
      <c r="CU553">
        <f t="shared" si="1083"/>
        <v>0</v>
      </c>
      <c r="CV553">
        <f t="shared" si="1083"/>
        <v>0</v>
      </c>
      <c r="CW553">
        <f t="shared" si="1084"/>
        <v>0</v>
      </c>
      <c r="CX553">
        <f t="shared" si="1084"/>
        <v>0</v>
      </c>
      <c r="CY553">
        <f t="shared" si="1084"/>
        <v>0</v>
      </c>
      <c r="CZ553">
        <f t="shared" si="1084"/>
        <v>0</v>
      </c>
      <c r="DA553">
        <f t="shared" si="1084"/>
        <v>0</v>
      </c>
      <c r="DB553">
        <f t="shared" si="1084"/>
        <v>0</v>
      </c>
      <c r="DC553">
        <f t="shared" si="1084"/>
        <v>0</v>
      </c>
      <c r="DD553">
        <f t="shared" si="1084"/>
        <v>0</v>
      </c>
      <c r="DE553">
        <f t="shared" si="1084"/>
        <v>0</v>
      </c>
      <c r="DF553">
        <f t="shared" si="1084"/>
        <v>0</v>
      </c>
      <c r="DG553">
        <f t="shared" si="1085"/>
        <v>0</v>
      </c>
      <c r="DH553">
        <f t="shared" si="1085"/>
        <v>0</v>
      </c>
      <c r="DI553">
        <f t="shared" si="1085"/>
        <v>0</v>
      </c>
      <c r="DJ553">
        <f t="shared" si="1085"/>
        <v>0</v>
      </c>
      <c r="DK553">
        <f t="shared" si="1085"/>
        <v>0</v>
      </c>
      <c r="DL553">
        <f t="shared" si="1085"/>
        <v>0</v>
      </c>
      <c r="DM553">
        <f t="shared" si="1085"/>
        <v>0</v>
      </c>
      <c r="DN553">
        <f t="shared" si="1085"/>
        <v>0</v>
      </c>
      <c r="DO553">
        <f t="shared" si="1085"/>
        <v>0</v>
      </c>
      <c r="DP553">
        <f t="shared" si="1085"/>
        <v>0</v>
      </c>
      <c r="DQ553">
        <f t="shared" si="1086"/>
        <v>0</v>
      </c>
      <c r="DR553">
        <f t="shared" si="1086"/>
        <v>0</v>
      </c>
      <c r="DS553">
        <f t="shared" si="1086"/>
        <v>0</v>
      </c>
      <c r="DT553">
        <f t="shared" si="1086"/>
        <v>0</v>
      </c>
      <c r="DU553">
        <f t="shared" si="1086"/>
        <v>0</v>
      </c>
      <c r="DV553">
        <f t="shared" si="1086"/>
        <v>0</v>
      </c>
      <c r="DW553">
        <f t="shared" si="1086"/>
        <v>0</v>
      </c>
      <c r="DX553">
        <f t="shared" si="1086"/>
        <v>0</v>
      </c>
      <c r="DY553">
        <f t="shared" si="1086"/>
        <v>0</v>
      </c>
      <c r="DZ553">
        <f t="shared" si="1086"/>
        <v>0</v>
      </c>
      <c r="EA553">
        <f t="shared" ref="EA553:EF554" si="1087">IF($C553&lt;&gt;"",IF(BL552&gt;0,1,0),0)</f>
        <v>0</v>
      </c>
      <c r="EB553">
        <f t="shared" si="1087"/>
        <v>0</v>
      </c>
      <c r="EC553">
        <f t="shared" si="1087"/>
        <v>0</v>
      </c>
      <c r="ED553">
        <f t="shared" si="1087"/>
        <v>0</v>
      </c>
      <c r="EE553">
        <f t="shared" si="1087"/>
        <v>0</v>
      </c>
      <c r="EF553">
        <f t="shared" si="1087"/>
        <v>0</v>
      </c>
    </row>
    <row r="554" spans="1:136" ht="15.5">
      <c r="A554" s="90"/>
      <c r="B554" s="19" t="s">
        <v>208</v>
      </c>
      <c r="C554" s="94"/>
      <c r="D554" s="34">
        <v>0</v>
      </c>
      <c r="E554" s="34">
        <v>0</v>
      </c>
      <c r="F554" s="34">
        <v>0</v>
      </c>
      <c r="G554" s="34">
        <v>0</v>
      </c>
      <c r="H554" s="34">
        <v>0</v>
      </c>
      <c r="I554" s="34">
        <v>0</v>
      </c>
      <c r="J554" s="34">
        <v>0</v>
      </c>
      <c r="K554" s="34">
        <v>0</v>
      </c>
      <c r="L554" s="34">
        <v>0</v>
      </c>
      <c r="M554" s="34">
        <v>0</v>
      </c>
      <c r="N554" s="34">
        <v>4.32</v>
      </c>
      <c r="O554" s="34">
        <v>4.32</v>
      </c>
      <c r="P554" s="34">
        <v>4.3259999999999996</v>
      </c>
      <c r="Q554" s="34">
        <v>4.0519999999999996</v>
      </c>
      <c r="R554" s="34">
        <v>5.3999999999999999E-2</v>
      </c>
      <c r="S554" s="34">
        <v>0</v>
      </c>
      <c r="T554" s="34">
        <v>0</v>
      </c>
      <c r="U554" s="34">
        <v>0</v>
      </c>
      <c r="V554" s="34">
        <v>0</v>
      </c>
      <c r="W554" s="34">
        <v>0</v>
      </c>
      <c r="X554" s="34">
        <v>0</v>
      </c>
      <c r="Y554" s="34">
        <v>0</v>
      </c>
      <c r="Z554" s="34">
        <v>2.34</v>
      </c>
      <c r="AA554" s="34">
        <v>9.2414000000000005</v>
      </c>
      <c r="AB554" s="34">
        <v>15.4245</v>
      </c>
      <c r="AC554" s="34">
        <v>26.02488</v>
      </c>
      <c r="AD554" s="34">
        <v>27.966280000000001</v>
      </c>
      <c r="AE554" s="34">
        <v>30.962569999999999</v>
      </c>
      <c r="AF554" s="34">
        <v>41.190600000000003</v>
      </c>
      <c r="AG554" s="34">
        <v>31.452999999999999</v>
      </c>
      <c r="AH554" s="34">
        <v>39.14</v>
      </c>
      <c r="AI554" s="34">
        <v>46.377000000000002</v>
      </c>
      <c r="AJ554" s="34">
        <v>53.164000000000001</v>
      </c>
      <c r="AK554" s="34">
        <v>82.313000000000002</v>
      </c>
      <c r="AL554" s="34">
        <v>82.644999999999996</v>
      </c>
      <c r="AM554" s="34">
        <v>82.644999999999996</v>
      </c>
      <c r="AN554" s="34">
        <v>0</v>
      </c>
      <c r="AO554" s="34">
        <v>0</v>
      </c>
      <c r="AP554" s="34">
        <v>0</v>
      </c>
      <c r="AQ554" s="34">
        <v>0</v>
      </c>
      <c r="AR554" s="34">
        <v>0</v>
      </c>
      <c r="AS554" s="34">
        <v>0</v>
      </c>
      <c r="AT554" s="34">
        <v>0</v>
      </c>
      <c r="AU554" s="34">
        <v>0</v>
      </c>
      <c r="AV554" s="34">
        <v>0</v>
      </c>
      <c r="AW554" s="34">
        <v>0</v>
      </c>
      <c r="AX554" s="34">
        <v>0</v>
      </c>
      <c r="AY554" s="34">
        <v>4.9510627000000005</v>
      </c>
      <c r="AZ554" s="34">
        <v>0.37479649999999998</v>
      </c>
      <c r="BA554" s="34">
        <v>0.01</v>
      </c>
      <c r="BB554" s="34">
        <v>0</v>
      </c>
      <c r="BC554" s="34">
        <v>0</v>
      </c>
      <c r="BD554" s="34">
        <v>0.626</v>
      </c>
      <c r="BE554" s="42">
        <v>0</v>
      </c>
      <c r="BF554" s="34">
        <v>0</v>
      </c>
      <c r="BG554" s="34">
        <v>0</v>
      </c>
      <c r="BH554" s="34">
        <v>0</v>
      </c>
      <c r="BI554" s="34">
        <v>0</v>
      </c>
      <c r="BJ554" s="113">
        <v>0</v>
      </c>
      <c r="BK554" s="113">
        <v>0</v>
      </c>
      <c r="BL554" s="113">
        <v>0</v>
      </c>
      <c r="BM554" s="113">
        <v>0</v>
      </c>
      <c r="BN554" s="113">
        <v>0</v>
      </c>
      <c r="BO554" s="113">
        <v>0</v>
      </c>
      <c r="BP554" s="113">
        <v>0</v>
      </c>
      <c r="BQ554" s="113">
        <v>0</v>
      </c>
      <c r="BR554" s="101"/>
      <c r="BS554">
        <f t="shared" si="1081"/>
        <v>0</v>
      </c>
      <c r="BT554">
        <f t="shared" si="1081"/>
        <v>0</v>
      </c>
      <c r="BU554">
        <f t="shared" si="1081"/>
        <v>0</v>
      </c>
      <c r="BV554">
        <f t="shared" si="1081"/>
        <v>0</v>
      </c>
      <c r="BW554">
        <f t="shared" si="1081"/>
        <v>0</v>
      </c>
      <c r="BX554">
        <f t="shared" si="1081"/>
        <v>0</v>
      </c>
      <c r="BY554">
        <f t="shared" si="1081"/>
        <v>0</v>
      </c>
      <c r="BZ554">
        <f t="shared" si="1081"/>
        <v>0</v>
      </c>
      <c r="CA554">
        <f t="shared" si="1081"/>
        <v>0</v>
      </c>
      <c r="CB554">
        <f t="shared" si="1081"/>
        <v>0</v>
      </c>
      <c r="CC554">
        <f t="shared" si="1082"/>
        <v>0</v>
      </c>
      <c r="CD554">
        <f t="shared" si="1082"/>
        <v>0</v>
      </c>
      <c r="CE554">
        <f t="shared" si="1082"/>
        <v>0</v>
      </c>
      <c r="CF554">
        <f t="shared" si="1082"/>
        <v>0</v>
      </c>
      <c r="CG554">
        <f t="shared" si="1082"/>
        <v>0</v>
      </c>
      <c r="CH554">
        <f t="shared" si="1082"/>
        <v>0</v>
      </c>
      <c r="CI554">
        <f t="shared" si="1082"/>
        <v>0</v>
      </c>
      <c r="CJ554">
        <f t="shared" si="1082"/>
        <v>0</v>
      </c>
      <c r="CK554">
        <f t="shared" si="1082"/>
        <v>0</v>
      </c>
      <c r="CL554">
        <f t="shared" si="1082"/>
        <v>0</v>
      </c>
      <c r="CM554">
        <f t="shared" si="1083"/>
        <v>0</v>
      </c>
      <c r="CN554">
        <f t="shared" si="1083"/>
        <v>0</v>
      </c>
      <c r="CO554">
        <f t="shared" si="1083"/>
        <v>0</v>
      </c>
      <c r="CP554">
        <f t="shared" si="1083"/>
        <v>0</v>
      </c>
      <c r="CQ554">
        <f t="shared" si="1083"/>
        <v>0</v>
      </c>
      <c r="CR554">
        <f t="shared" si="1083"/>
        <v>0</v>
      </c>
      <c r="CS554">
        <f t="shared" si="1083"/>
        <v>0</v>
      </c>
      <c r="CT554">
        <f t="shared" si="1083"/>
        <v>0</v>
      </c>
      <c r="CU554">
        <f t="shared" si="1083"/>
        <v>0</v>
      </c>
      <c r="CV554">
        <f t="shared" si="1083"/>
        <v>0</v>
      </c>
      <c r="CW554">
        <f t="shared" si="1084"/>
        <v>0</v>
      </c>
      <c r="CX554">
        <f t="shared" si="1084"/>
        <v>0</v>
      </c>
      <c r="CY554">
        <f t="shared" si="1084"/>
        <v>0</v>
      </c>
      <c r="CZ554">
        <f t="shared" si="1084"/>
        <v>0</v>
      </c>
      <c r="DA554">
        <f t="shared" si="1084"/>
        <v>0</v>
      </c>
      <c r="DB554">
        <f t="shared" si="1084"/>
        <v>0</v>
      </c>
      <c r="DC554">
        <f t="shared" si="1084"/>
        <v>0</v>
      </c>
      <c r="DD554">
        <f t="shared" si="1084"/>
        <v>0</v>
      </c>
      <c r="DE554">
        <f t="shared" si="1084"/>
        <v>0</v>
      </c>
      <c r="DF554">
        <f t="shared" si="1084"/>
        <v>0</v>
      </c>
      <c r="DG554">
        <f t="shared" si="1085"/>
        <v>0</v>
      </c>
      <c r="DH554">
        <f t="shared" si="1085"/>
        <v>0</v>
      </c>
      <c r="DI554">
        <f t="shared" si="1085"/>
        <v>0</v>
      </c>
      <c r="DJ554">
        <f t="shared" si="1085"/>
        <v>0</v>
      </c>
      <c r="DK554">
        <f t="shared" si="1085"/>
        <v>0</v>
      </c>
      <c r="DL554">
        <f t="shared" si="1085"/>
        <v>0</v>
      </c>
      <c r="DM554">
        <f t="shared" si="1085"/>
        <v>0</v>
      </c>
      <c r="DN554">
        <f t="shared" si="1085"/>
        <v>0</v>
      </c>
      <c r="DO554">
        <f t="shared" si="1085"/>
        <v>0</v>
      </c>
      <c r="DP554">
        <f t="shared" si="1085"/>
        <v>0</v>
      </c>
      <c r="DQ554">
        <f t="shared" si="1086"/>
        <v>0</v>
      </c>
      <c r="DR554">
        <f t="shared" si="1086"/>
        <v>0</v>
      </c>
      <c r="DS554">
        <f t="shared" si="1086"/>
        <v>0</v>
      </c>
      <c r="DT554">
        <f t="shared" si="1086"/>
        <v>0</v>
      </c>
      <c r="DU554">
        <f t="shared" si="1086"/>
        <v>0</v>
      </c>
      <c r="DV554">
        <f t="shared" si="1086"/>
        <v>0</v>
      </c>
      <c r="DW554">
        <f t="shared" si="1086"/>
        <v>0</v>
      </c>
      <c r="DX554">
        <f t="shared" si="1086"/>
        <v>0</v>
      </c>
      <c r="DY554">
        <f t="shared" si="1086"/>
        <v>0</v>
      </c>
      <c r="DZ554">
        <f t="shared" si="1086"/>
        <v>0</v>
      </c>
      <c r="EA554">
        <f t="shared" si="1087"/>
        <v>0</v>
      </c>
      <c r="EB554">
        <f t="shared" si="1087"/>
        <v>0</v>
      </c>
      <c r="EC554">
        <f t="shared" si="1087"/>
        <v>0</v>
      </c>
      <c r="ED554">
        <f t="shared" si="1087"/>
        <v>0</v>
      </c>
      <c r="EE554">
        <f t="shared" si="1087"/>
        <v>0</v>
      </c>
      <c r="EF554">
        <f t="shared" si="1087"/>
        <v>0</v>
      </c>
    </row>
    <row r="555" spans="1:136" ht="15.5">
      <c r="A555" s="90"/>
      <c r="B555" s="19" t="s">
        <v>212</v>
      </c>
      <c r="C555" s="9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>
        <v>149.19999999999999</v>
      </c>
      <c r="AH555" s="34">
        <v>166.4</v>
      </c>
      <c r="AI555" s="34">
        <v>153.8971807628524</v>
      </c>
      <c r="AJ555" s="34">
        <v>75</v>
      </c>
      <c r="AK555" s="34">
        <v>23.244929797191887</v>
      </c>
      <c r="AL555" s="34">
        <v>8.2446808510638299</v>
      </c>
      <c r="AM555" s="34">
        <v>11.052283256121774</v>
      </c>
      <c r="AN555" s="34">
        <v>12.48407643312102</v>
      </c>
      <c r="AO555" s="34">
        <v>15.135135135135137</v>
      </c>
      <c r="AP555" s="34">
        <v>0</v>
      </c>
      <c r="AQ555" s="34">
        <v>4.0731995277449817</v>
      </c>
      <c r="AR555" s="34">
        <v>10.581010864430798</v>
      </c>
      <c r="AS555" s="34">
        <v>16.455178059762588</v>
      </c>
      <c r="AT555" s="34">
        <v>13.743589743589743</v>
      </c>
      <c r="AU555" s="34">
        <v>0</v>
      </c>
      <c r="AV555" s="34">
        <v>0</v>
      </c>
      <c r="AW555" s="34">
        <v>0</v>
      </c>
      <c r="AX555" s="34">
        <v>0</v>
      </c>
      <c r="AY555" s="34">
        <v>0</v>
      </c>
      <c r="AZ555" s="34">
        <v>0</v>
      </c>
      <c r="BA555" s="34">
        <v>0</v>
      </c>
      <c r="BB555" s="34">
        <v>0</v>
      </c>
      <c r="BC555" s="34">
        <v>0</v>
      </c>
      <c r="BD555" s="149">
        <v>175.82604470359573</v>
      </c>
      <c r="BE555" s="159">
        <v>263.22535539501285</v>
      </c>
      <c r="BF555" s="34">
        <v>122.32005282852741</v>
      </c>
      <c r="BG555" s="34">
        <v>111.17369186046511</v>
      </c>
      <c r="BH555" s="34">
        <v>91.601796407185631</v>
      </c>
      <c r="BI555" s="34">
        <v>96.697218710493047</v>
      </c>
      <c r="BJ555" s="113">
        <v>80.028773214752817</v>
      </c>
      <c r="BK555" s="113">
        <v>349.56983536909183</v>
      </c>
      <c r="BL555" s="113">
        <v>844.53509635673083</v>
      </c>
      <c r="BM555" s="113">
        <v>790.68700767773453</v>
      </c>
      <c r="BN555" s="113">
        <v>662.50370370370365</v>
      </c>
      <c r="BO555" s="113">
        <v>597</v>
      </c>
      <c r="BP555" s="113">
        <v>23</v>
      </c>
      <c r="BQ555" s="113">
        <v>0</v>
      </c>
      <c r="BR555" s="101"/>
      <c r="BS555">
        <f t="shared" si="1081"/>
        <v>0</v>
      </c>
      <c r="BT555">
        <f t="shared" si="1081"/>
        <v>0</v>
      </c>
      <c r="BU555">
        <f t="shared" si="1081"/>
        <v>0</v>
      </c>
      <c r="BV555">
        <f t="shared" si="1081"/>
        <v>0</v>
      </c>
      <c r="BW555">
        <f t="shared" si="1081"/>
        <v>0</v>
      </c>
      <c r="BX555">
        <f t="shared" si="1081"/>
        <v>0</v>
      </c>
      <c r="BY555">
        <f t="shared" si="1081"/>
        <v>0</v>
      </c>
      <c r="BZ555">
        <f t="shared" si="1081"/>
        <v>0</v>
      </c>
      <c r="CA555">
        <f t="shared" si="1081"/>
        <v>0</v>
      </c>
      <c r="CB555">
        <f t="shared" si="1081"/>
        <v>0</v>
      </c>
      <c r="CC555">
        <f t="shared" si="1082"/>
        <v>0</v>
      </c>
      <c r="CD555">
        <f t="shared" si="1082"/>
        <v>0</v>
      </c>
      <c r="CE555">
        <f t="shared" si="1082"/>
        <v>0</v>
      </c>
      <c r="CF555">
        <f t="shared" si="1082"/>
        <v>0</v>
      </c>
      <c r="CG555">
        <f t="shared" si="1082"/>
        <v>0</v>
      </c>
      <c r="CH555">
        <f t="shared" si="1082"/>
        <v>0</v>
      </c>
      <c r="CI555">
        <f t="shared" si="1082"/>
        <v>0</v>
      </c>
      <c r="CJ555">
        <f t="shared" si="1082"/>
        <v>0</v>
      </c>
      <c r="CK555">
        <f t="shared" si="1082"/>
        <v>0</v>
      </c>
      <c r="CL555">
        <f t="shared" si="1082"/>
        <v>0</v>
      </c>
      <c r="CM555">
        <f t="shared" si="1083"/>
        <v>0</v>
      </c>
      <c r="CN555">
        <f t="shared" si="1083"/>
        <v>0</v>
      </c>
      <c r="CO555">
        <f t="shared" si="1083"/>
        <v>0</v>
      </c>
      <c r="CP555">
        <f t="shared" si="1083"/>
        <v>0</v>
      </c>
      <c r="CQ555">
        <f t="shared" si="1083"/>
        <v>0</v>
      </c>
      <c r="CR555">
        <f t="shared" si="1083"/>
        <v>0</v>
      </c>
      <c r="CS555">
        <f t="shared" si="1083"/>
        <v>0</v>
      </c>
      <c r="CT555">
        <f t="shared" si="1083"/>
        <v>0</v>
      </c>
      <c r="CU555">
        <f t="shared" si="1083"/>
        <v>0</v>
      </c>
      <c r="CV555">
        <f t="shared" si="1083"/>
        <v>0</v>
      </c>
      <c r="CW555">
        <f t="shared" si="1084"/>
        <v>0</v>
      </c>
      <c r="CX555">
        <f t="shared" si="1084"/>
        <v>0</v>
      </c>
      <c r="CY555">
        <f t="shared" si="1084"/>
        <v>0</v>
      </c>
      <c r="CZ555">
        <f t="shared" si="1084"/>
        <v>0</v>
      </c>
      <c r="DA555">
        <f t="shared" si="1084"/>
        <v>0</v>
      </c>
      <c r="DB555">
        <f t="shared" si="1084"/>
        <v>0</v>
      </c>
      <c r="DC555">
        <f t="shared" si="1084"/>
        <v>0</v>
      </c>
      <c r="DD555">
        <f t="shared" si="1084"/>
        <v>0</v>
      </c>
      <c r="DE555">
        <f t="shared" si="1084"/>
        <v>0</v>
      </c>
      <c r="DF555">
        <f t="shared" si="1084"/>
        <v>0</v>
      </c>
      <c r="DG555">
        <f t="shared" si="1085"/>
        <v>0</v>
      </c>
      <c r="DH555">
        <f t="shared" si="1085"/>
        <v>0</v>
      </c>
      <c r="DI555">
        <f t="shared" si="1085"/>
        <v>0</v>
      </c>
      <c r="DJ555">
        <f t="shared" si="1085"/>
        <v>0</v>
      </c>
      <c r="DK555">
        <f t="shared" si="1085"/>
        <v>0</v>
      </c>
      <c r="DL555">
        <f t="shared" si="1085"/>
        <v>0</v>
      </c>
      <c r="DM555">
        <f t="shared" si="1085"/>
        <v>0</v>
      </c>
      <c r="DN555">
        <f t="shared" si="1085"/>
        <v>0</v>
      </c>
      <c r="DO555">
        <f t="shared" si="1085"/>
        <v>0</v>
      </c>
      <c r="DP555">
        <f t="shared" si="1085"/>
        <v>0</v>
      </c>
      <c r="DQ555">
        <f t="shared" si="1086"/>
        <v>0</v>
      </c>
      <c r="DR555">
        <f t="shared" si="1086"/>
        <v>0</v>
      </c>
      <c r="DS555">
        <f t="shared" si="1086"/>
        <v>0</v>
      </c>
      <c r="DT555">
        <f t="shared" si="1086"/>
        <v>0</v>
      </c>
      <c r="DU555">
        <f t="shared" si="1086"/>
        <v>0</v>
      </c>
      <c r="DV555">
        <f t="shared" si="1086"/>
        <v>0</v>
      </c>
      <c r="DW555">
        <f t="shared" si="1086"/>
        <v>0</v>
      </c>
      <c r="DX555">
        <f t="shared" si="1086"/>
        <v>0</v>
      </c>
      <c r="DY555">
        <f t="shared" si="1086"/>
        <v>0</v>
      </c>
      <c r="DZ555">
        <f t="shared" si="1086"/>
        <v>0</v>
      </c>
      <c r="EA555">
        <f t="shared" ref="EA555:EF555" si="1088">IF($C555&lt;&gt;"",IF(BL555&gt;0,1,0),0)</f>
        <v>0</v>
      </c>
      <c r="EB555">
        <f t="shared" si="1088"/>
        <v>0</v>
      </c>
      <c r="EC555">
        <f t="shared" si="1088"/>
        <v>0</v>
      </c>
      <c r="ED555">
        <f t="shared" si="1088"/>
        <v>0</v>
      </c>
      <c r="EE555">
        <f t="shared" si="1088"/>
        <v>0</v>
      </c>
      <c r="EF555">
        <f t="shared" si="1088"/>
        <v>0</v>
      </c>
    </row>
    <row r="556" spans="1:136" ht="15.5">
      <c r="A556" s="90"/>
      <c r="B556" s="19"/>
      <c r="C556" s="96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18"/>
      <c r="AW556" s="18"/>
      <c r="AX556" s="18"/>
      <c r="AY556" s="18"/>
      <c r="AZ556" s="18"/>
      <c r="BA556" s="18"/>
      <c r="BB556" s="18"/>
      <c r="BC556" s="18"/>
      <c r="BD556" s="18"/>
      <c r="BE556" s="25"/>
      <c r="BF556" s="18"/>
      <c r="BG556" s="18"/>
      <c r="BH556" s="113"/>
      <c r="BI556" s="113"/>
      <c r="BJ556" s="113"/>
      <c r="BK556" s="113"/>
      <c r="BL556" s="113"/>
      <c r="BM556" s="113"/>
      <c r="BN556" s="2"/>
      <c r="BO556" s="2"/>
      <c r="BP556" s="2"/>
      <c r="BQ556" s="2"/>
      <c r="BR556" s="101"/>
    </row>
    <row r="557" spans="1:136" ht="15.5">
      <c r="A557" s="93">
        <v>65</v>
      </c>
      <c r="B557" s="32" t="s">
        <v>78</v>
      </c>
      <c r="C557" s="94">
        <v>3</v>
      </c>
      <c r="D557" s="22">
        <f t="shared" ref="D557:AI557" si="1089">SUM(D558:D566)</f>
        <v>0</v>
      </c>
      <c r="E557" s="22">
        <f t="shared" si="1089"/>
        <v>0</v>
      </c>
      <c r="F557" s="22">
        <f t="shared" si="1089"/>
        <v>0</v>
      </c>
      <c r="G557" s="22">
        <f t="shared" si="1089"/>
        <v>0</v>
      </c>
      <c r="H557" s="22">
        <f t="shared" si="1089"/>
        <v>0</v>
      </c>
      <c r="I557" s="22">
        <f t="shared" si="1089"/>
        <v>0</v>
      </c>
      <c r="J557" s="22">
        <f t="shared" si="1089"/>
        <v>0</v>
      </c>
      <c r="K557" s="22">
        <f t="shared" si="1089"/>
        <v>0</v>
      </c>
      <c r="L557" s="22">
        <f t="shared" si="1089"/>
        <v>0</v>
      </c>
      <c r="M557" s="22">
        <f t="shared" si="1089"/>
        <v>0</v>
      </c>
      <c r="N557" s="22">
        <f t="shared" si="1089"/>
        <v>0</v>
      </c>
      <c r="O557" s="22">
        <f t="shared" si="1089"/>
        <v>0</v>
      </c>
      <c r="P557" s="22">
        <f t="shared" si="1089"/>
        <v>0</v>
      </c>
      <c r="Q557" s="22">
        <f t="shared" si="1089"/>
        <v>0</v>
      </c>
      <c r="R557" s="22">
        <f t="shared" si="1089"/>
        <v>0</v>
      </c>
      <c r="S557" s="22">
        <f t="shared" si="1089"/>
        <v>0</v>
      </c>
      <c r="T557" s="22">
        <f t="shared" si="1089"/>
        <v>0</v>
      </c>
      <c r="U557" s="22">
        <f t="shared" si="1089"/>
        <v>0.25</v>
      </c>
      <c r="V557" s="22">
        <f t="shared" si="1089"/>
        <v>1.01</v>
      </c>
      <c r="W557" s="22">
        <f t="shared" si="1089"/>
        <v>2.6</v>
      </c>
      <c r="X557" s="22">
        <f t="shared" si="1089"/>
        <v>2.6829999999999998</v>
      </c>
      <c r="Y557" s="22">
        <f t="shared" si="1089"/>
        <v>16.052809</v>
      </c>
      <c r="Z557" s="22">
        <f t="shared" si="1089"/>
        <v>98.230142999999998</v>
      </c>
      <c r="AA557" s="22">
        <f t="shared" si="1089"/>
        <v>112.22945999999999</v>
      </c>
      <c r="AB557" s="22">
        <f t="shared" si="1089"/>
        <v>382.42835000000002</v>
      </c>
      <c r="AC557" s="22">
        <f t="shared" si="1089"/>
        <v>338.45623169999999</v>
      </c>
      <c r="AD557" s="22">
        <f t="shared" si="1089"/>
        <v>426.52033230000001</v>
      </c>
      <c r="AE557" s="22">
        <f t="shared" si="1089"/>
        <v>519.34205369999995</v>
      </c>
      <c r="AF557" s="22">
        <f t="shared" si="1089"/>
        <v>596.31682264785036</v>
      </c>
      <c r="AG557" s="22">
        <f t="shared" si="1089"/>
        <v>687.73323651260478</v>
      </c>
      <c r="AH557" s="22">
        <f t="shared" si="1089"/>
        <v>1036.5180640859737</v>
      </c>
      <c r="AI557" s="22">
        <f t="shared" si="1089"/>
        <v>744.42139999999995</v>
      </c>
      <c r="AJ557" s="22">
        <f t="shared" ref="AJ557:BQ557" si="1090">SUM(AJ558:AJ566)</f>
        <v>306.80500000000001</v>
      </c>
      <c r="AK557" s="22">
        <f t="shared" si="1090"/>
        <v>390.64679999999998</v>
      </c>
      <c r="AL557" s="22">
        <f t="shared" si="1090"/>
        <v>342.90629999999999</v>
      </c>
      <c r="AM557" s="22">
        <f t="shared" si="1090"/>
        <v>292.96370000000002</v>
      </c>
      <c r="AN557" s="22">
        <f t="shared" si="1090"/>
        <v>314.50760000000002</v>
      </c>
      <c r="AO557" s="22">
        <f t="shared" si="1090"/>
        <v>353.84586999999999</v>
      </c>
      <c r="AP557" s="22">
        <f t="shared" si="1090"/>
        <v>248.72500000000002</v>
      </c>
      <c r="AQ557" s="22">
        <f t="shared" si="1090"/>
        <v>532.83910000000003</v>
      </c>
      <c r="AR557" s="22">
        <f t="shared" si="1090"/>
        <v>256.27194320000001</v>
      </c>
      <c r="AS557" s="22">
        <f t="shared" si="1090"/>
        <v>202.75718430000001</v>
      </c>
      <c r="AT557" s="22">
        <f t="shared" si="1090"/>
        <v>176.2386496</v>
      </c>
      <c r="AU557" s="22">
        <f t="shared" si="1090"/>
        <v>226.16589519999999</v>
      </c>
      <c r="AV557" s="22">
        <f t="shared" si="1090"/>
        <v>501.38022820000003</v>
      </c>
      <c r="AW557" s="22">
        <f t="shared" si="1090"/>
        <v>1011.4178268000002</v>
      </c>
      <c r="AX557" s="22">
        <f t="shared" si="1090"/>
        <v>1519.9403411999999</v>
      </c>
      <c r="AY557" s="22">
        <f t="shared" si="1090"/>
        <v>1244.1102361999999</v>
      </c>
      <c r="AZ557" s="22">
        <f t="shared" si="1090"/>
        <v>81.712785099999991</v>
      </c>
      <c r="BA557" s="22">
        <f t="shared" si="1090"/>
        <v>47.819265299999998</v>
      </c>
      <c r="BB557" s="22">
        <f t="shared" si="1090"/>
        <v>48.602755600000009</v>
      </c>
      <c r="BC557" s="22">
        <f t="shared" si="1090"/>
        <v>115.24721930000001</v>
      </c>
      <c r="BD557" s="22">
        <f t="shared" si="1090"/>
        <v>26.868905900000001</v>
      </c>
      <c r="BE557" s="22">
        <f t="shared" si="1090"/>
        <v>26.131911699999996</v>
      </c>
      <c r="BF557" s="22">
        <f t="shared" si="1090"/>
        <v>23.610013499999997</v>
      </c>
      <c r="BG557" s="22">
        <f t="shared" si="1090"/>
        <v>19.6651527</v>
      </c>
      <c r="BH557" s="22">
        <f t="shared" si="1090"/>
        <v>13.953644999999998</v>
      </c>
      <c r="BI557" s="22">
        <f t="shared" si="1090"/>
        <v>18.0704508</v>
      </c>
      <c r="BJ557" s="22">
        <f t="shared" si="1090"/>
        <v>13.798795</v>
      </c>
      <c r="BK557" s="22">
        <f t="shared" si="1090"/>
        <v>11.995000000000001</v>
      </c>
      <c r="BL557" s="22">
        <f t="shared" si="1090"/>
        <v>16.408743400000002</v>
      </c>
      <c r="BM557" s="22">
        <f t="shared" si="1090"/>
        <v>19.161000000000001</v>
      </c>
      <c r="BN557" s="22">
        <f t="shared" si="1090"/>
        <v>22.490577399999999</v>
      </c>
      <c r="BO557" s="22">
        <f t="shared" si="1090"/>
        <v>24.387</v>
      </c>
      <c r="BP557" s="22">
        <f t="shared" si="1090"/>
        <v>33.015000000000001</v>
      </c>
      <c r="BQ557" s="22">
        <f t="shared" si="1090"/>
        <v>0</v>
      </c>
      <c r="BR557" s="101"/>
      <c r="BS557">
        <f t="shared" ref="BS557:CB562" si="1091">IF($C557&lt;&gt;"",IF(D557&gt;0,1,0),0)</f>
        <v>0</v>
      </c>
      <c r="BT557">
        <f t="shared" si="1091"/>
        <v>0</v>
      </c>
      <c r="BU557">
        <f t="shared" si="1091"/>
        <v>0</v>
      </c>
      <c r="BV557">
        <f t="shared" si="1091"/>
        <v>0</v>
      </c>
      <c r="BW557">
        <f t="shared" si="1091"/>
        <v>0</v>
      </c>
      <c r="BX557">
        <f t="shared" si="1091"/>
        <v>0</v>
      </c>
      <c r="BY557">
        <f t="shared" si="1091"/>
        <v>0</v>
      </c>
      <c r="BZ557">
        <f t="shared" si="1091"/>
        <v>0</v>
      </c>
      <c r="CA557">
        <f t="shared" si="1091"/>
        <v>0</v>
      </c>
      <c r="CB557">
        <f t="shared" si="1091"/>
        <v>0</v>
      </c>
      <c r="CC557">
        <f t="shared" ref="CC557:CL562" si="1092">IF($C557&lt;&gt;"",IF(N557&gt;0,1,0),0)</f>
        <v>0</v>
      </c>
      <c r="CD557">
        <f t="shared" si="1092"/>
        <v>0</v>
      </c>
      <c r="CE557">
        <f t="shared" si="1092"/>
        <v>0</v>
      </c>
      <c r="CF557">
        <f t="shared" si="1092"/>
        <v>0</v>
      </c>
      <c r="CG557">
        <f t="shared" si="1092"/>
        <v>0</v>
      </c>
      <c r="CH557">
        <f t="shared" si="1092"/>
        <v>0</v>
      </c>
      <c r="CI557">
        <f t="shared" si="1092"/>
        <v>0</v>
      </c>
      <c r="CJ557">
        <f t="shared" si="1092"/>
        <v>1</v>
      </c>
      <c r="CK557">
        <f t="shared" si="1092"/>
        <v>1</v>
      </c>
      <c r="CL557">
        <f t="shared" si="1092"/>
        <v>1</v>
      </c>
      <c r="CM557">
        <f t="shared" ref="CM557:CV562" si="1093">IF($C557&lt;&gt;"",IF(X557&gt;0,1,0),0)</f>
        <v>1</v>
      </c>
      <c r="CN557">
        <f t="shared" si="1093"/>
        <v>1</v>
      </c>
      <c r="CO557">
        <f t="shared" si="1093"/>
        <v>1</v>
      </c>
      <c r="CP557">
        <f t="shared" si="1093"/>
        <v>1</v>
      </c>
      <c r="CQ557">
        <f t="shared" si="1093"/>
        <v>1</v>
      </c>
      <c r="CR557">
        <f t="shared" si="1093"/>
        <v>1</v>
      </c>
      <c r="CS557">
        <f t="shared" si="1093"/>
        <v>1</v>
      </c>
      <c r="CT557">
        <f t="shared" si="1093"/>
        <v>1</v>
      </c>
      <c r="CU557">
        <f t="shared" si="1093"/>
        <v>1</v>
      </c>
      <c r="CV557">
        <f t="shared" si="1093"/>
        <v>1</v>
      </c>
      <c r="CW557">
        <f t="shared" ref="CW557:DF562" si="1094">IF($C557&lt;&gt;"",IF(AH557&gt;0,1,0),0)</f>
        <v>1</v>
      </c>
      <c r="CX557">
        <f t="shared" si="1094"/>
        <v>1</v>
      </c>
      <c r="CY557">
        <f t="shared" si="1094"/>
        <v>1</v>
      </c>
      <c r="CZ557">
        <f t="shared" si="1094"/>
        <v>1</v>
      </c>
      <c r="DA557">
        <f t="shared" si="1094"/>
        <v>1</v>
      </c>
      <c r="DB557">
        <f t="shared" si="1094"/>
        <v>1</v>
      </c>
      <c r="DC557">
        <f t="shared" si="1094"/>
        <v>1</v>
      </c>
      <c r="DD557">
        <f t="shared" si="1094"/>
        <v>1</v>
      </c>
      <c r="DE557">
        <f t="shared" si="1094"/>
        <v>1</v>
      </c>
      <c r="DF557">
        <f t="shared" si="1094"/>
        <v>1</v>
      </c>
      <c r="DG557">
        <f t="shared" ref="DG557:DP562" si="1095">IF($C557&lt;&gt;"",IF(AR557&gt;0,1,0),0)</f>
        <v>1</v>
      </c>
      <c r="DH557">
        <f t="shared" si="1095"/>
        <v>1</v>
      </c>
      <c r="DI557">
        <f t="shared" si="1095"/>
        <v>1</v>
      </c>
      <c r="DJ557">
        <f t="shared" si="1095"/>
        <v>1</v>
      </c>
      <c r="DK557">
        <f t="shared" si="1095"/>
        <v>1</v>
      </c>
      <c r="DL557">
        <f t="shared" si="1095"/>
        <v>1</v>
      </c>
      <c r="DM557">
        <f t="shared" si="1095"/>
        <v>1</v>
      </c>
      <c r="DN557">
        <f t="shared" si="1095"/>
        <v>1</v>
      </c>
      <c r="DO557">
        <f t="shared" si="1095"/>
        <v>1</v>
      </c>
      <c r="DP557">
        <f t="shared" si="1095"/>
        <v>1</v>
      </c>
      <c r="DQ557">
        <f t="shared" ref="DQ557:DZ562" si="1096">IF($C557&lt;&gt;"",IF(BB557&gt;0,1,0),0)</f>
        <v>1</v>
      </c>
      <c r="DR557">
        <f t="shared" si="1096"/>
        <v>1</v>
      </c>
      <c r="DS557">
        <f t="shared" si="1096"/>
        <v>1</v>
      </c>
      <c r="DT557">
        <f t="shared" si="1096"/>
        <v>1</v>
      </c>
      <c r="DU557">
        <f t="shared" si="1096"/>
        <v>1</v>
      </c>
      <c r="DV557">
        <f t="shared" si="1096"/>
        <v>1</v>
      </c>
      <c r="DW557">
        <f t="shared" si="1096"/>
        <v>1</v>
      </c>
      <c r="DX557">
        <f t="shared" si="1096"/>
        <v>1</v>
      </c>
      <c r="DY557">
        <f t="shared" si="1096"/>
        <v>1</v>
      </c>
      <c r="DZ557">
        <f t="shared" si="1096"/>
        <v>1</v>
      </c>
      <c r="EA557">
        <f t="shared" ref="EA557:EF562" si="1097">IF($C557&lt;&gt;"",IF(BL557&gt;0,1,0),0)</f>
        <v>1</v>
      </c>
      <c r="EB557">
        <f t="shared" si="1097"/>
        <v>1</v>
      </c>
      <c r="EC557">
        <f t="shared" si="1097"/>
        <v>1</v>
      </c>
      <c r="ED557">
        <f t="shared" si="1097"/>
        <v>1</v>
      </c>
      <c r="EE557">
        <f t="shared" si="1097"/>
        <v>1</v>
      </c>
      <c r="EF557">
        <f t="shared" si="1097"/>
        <v>0</v>
      </c>
    </row>
    <row r="558" spans="1:136" ht="15.5">
      <c r="A558" s="90"/>
      <c r="B558" s="24" t="s">
        <v>15</v>
      </c>
      <c r="C558" s="94"/>
      <c r="D558" s="18">
        <v>0</v>
      </c>
      <c r="E558" s="18">
        <v>0</v>
      </c>
      <c r="F558" s="18">
        <v>0</v>
      </c>
      <c r="G558" s="18">
        <v>0</v>
      </c>
      <c r="H558" s="18">
        <v>0</v>
      </c>
      <c r="I558" s="18">
        <v>0</v>
      </c>
      <c r="J558" s="18">
        <v>0</v>
      </c>
      <c r="K558" s="18">
        <v>0</v>
      </c>
      <c r="L558" s="18">
        <v>0</v>
      </c>
      <c r="M558" s="18">
        <v>0</v>
      </c>
      <c r="N558" s="18">
        <v>0</v>
      </c>
      <c r="O558" s="18">
        <v>0</v>
      </c>
      <c r="P558" s="18">
        <v>0</v>
      </c>
      <c r="Q558" s="18">
        <v>0</v>
      </c>
      <c r="R558" s="18">
        <v>0</v>
      </c>
      <c r="S558" s="18">
        <v>0</v>
      </c>
      <c r="T558" s="18">
        <v>0</v>
      </c>
      <c r="U558" s="18">
        <v>0</v>
      </c>
      <c r="V558" s="18">
        <v>0</v>
      </c>
      <c r="W558" s="18">
        <v>0</v>
      </c>
      <c r="X558" s="18">
        <v>0</v>
      </c>
      <c r="Y558" s="18">
        <v>0</v>
      </c>
      <c r="Z558" s="18">
        <v>0</v>
      </c>
      <c r="AA558" s="18">
        <v>0</v>
      </c>
      <c r="AB558" s="18">
        <v>0</v>
      </c>
      <c r="AC558" s="18">
        <v>0</v>
      </c>
      <c r="AD558" s="18">
        <v>0</v>
      </c>
      <c r="AE558" s="18">
        <v>0</v>
      </c>
      <c r="AF558" s="18">
        <v>42.381735347850395</v>
      </c>
      <c r="AG558" s="18">
        <v>44.286169412604792</v>
      </c>
      <c r="AH558" s="18">
        <v>52.077964085973768</v>
      </c>
      <c r="AI558" s="18">
        <v>0</v>
      </c>
      <c r="AJ558" s="18">
        <v>0</v>
      </c>
      <c r="AK558" s="18">
        <v>0</v>
      </c>
      <c r="AL558" s="18">
        <v>0</v>
      </c>
      <c r="AM558" s="18">
        <v>0</v>
      </c>
      <c r="AN558" s="18">
        <v>0</v>
      </c>
      <c r="AO558" s="18">
        <v>0</v>
      </c>
      <c r="AP558" s="18">
        <v>0</v>
      </c>
      <c r="AQ558" s="18">
        <v>0</v>
      </c>
      <c r="AR558" s="18">
        <v>0</v>
      </c>
      <c r="AS558" s="18">
        <v>0</v>
      </c>
      <c r="AT558" s="18">
        <v>0</v>
      </c>
      <c r="AU558" s="18">
        <v>0</v>
      </c>
      <c r="AV558" s="18">
        <v>0</v>
      </c>
      <c r="AW558" s="18">
        <v>0</v>
      </c>
      <c r="AX558" s="18">
        <v>0</v>
      </c>
      <c r="AY558" s="18">
        <v>0</v>
      </c>
      <c r="AZ558" s="18">
        <v>0</v>
      </c>
      <c r="BA558" s="18">
        <v>0</v>
      </c>
      <c r="BB558" s="18">
        <v>0</v>
      </c>
      <c r="BC558" s="18">
        <v>0</v>
      </c>
      <c r="BD558" s="18">
        <v>0</v>
      </c>
      <c r="BE558" s="25">
        <v>0</v>
      </c>
      <c r="BF558" s="18">
        <v>0</v>
      </c>
      <c r="BG558" s="18">
        <v>0</v>
      </c>
      <c r="BH558" s="18">
        <v>0</v>
      </c>
      <c r="BI558" s="18">
        <v>0</v>
      </c>
      <c r="BJ558" s="18">
        <v>0</v>
      </c>
      <c r="BK558" s="18">
        <v>0</v>
      </c>
      <c r="BL558" s="18">
        <v>0</v>
      </c>
      <c r="BM558" s="18">
        <v>0</v>
      </c>
      <c r="BN558" s="18">
        <v>0</v>
      </c>
      <c r="BO558" s="18">
        <v>0</v>
      </c>
      <c r="BP558" s="18">
        <v>0</v>
      </c>
      <c r="BQ558" s="18">
        <v>0</v>
      </c>
      <c r="BR558" s="101"/>
      <c r="BS558">
        <f t="shared" si="1091"/>
        <v>0</v>
      </c>
      <c r="BT558">
        <f t="shared" si="1091"/>
        <v>0</v>
      </c>
      <c r="BU558">
        <f t="shared" si="1091"/>
        <v>0</v>
      </c>
      <c r="BV558">
        <f t="shared" si="1091"/>
        <v>0</v>
      </c>
      <c r="BW558">
        <f t="shared" si="1091"/>
        <v>0</v>
      </c>
      <c r="BX558">
        <f t="shared" si="1091"/>
        <v>0</v>
      </c>
      <c r="BY558">
        <f t="shared" si="1091"/>
        <v>0</v>
      </c>
      <c r="BZ558">
        <f t="shared" si="1091"/>
        <v>0</v>
      </c>
      <c r="CA558">
        <f t="shared" si="1091"/>
        <v>0</v>
      </c>
      <c r="CB558">
        <f t="shared" si="1091"/>
        <v>0</v>
      </c>
      <c r="CC558">
        <f t="shared" si="1092"/>
        <v>0</v>
      </c>
      <c r="CD558">
        <f t="shared" si="1092"/>
        <v>0</v>
      </c>
      <c r="CE558">
        <f t="shared" si="1092"/>
        <v>0</v>
      </c>
      <c r="CF558">
        <f t="shared" si="1092"/>
        <v>0</v>
      </c>
      <c r="CG558">
        <f t="shared" si="1092"/>
        <v>0</v>
      </c>
      <c r="CH558">
        <f t="shared" si="1092"/>
        <v>0</v>
      </c>
      <c r="CI558">
        <f t="shared" si="1092"/>
        <v>0</v>
      </c>
      <c r="CJ558">
        <f t="shared" si="1092"/>
        <v>0</v>
      </c>
      <c r="CK558">
        <f t="shared" si="1092"/>
        <v>0</v>
      </c>
      <c r="CL558">
        <f t="shared" si="1092"/>
        <v>0</v>
      </c>
      <c r="CM558">
        <f t="shared" si="1093"/>
        <v>0</v>
      </c>
      <c r="CN558">
        <f t="shared" si="1093"/>
        <v>0</v>
      </c>
      <c r="CO558">
        <f t="shared" si="1093"/>
        <v>0</v>
      </c>
      <c r="CP558">
        <f t="shared" si="1093"/>
        <v>0</v>
      </c>
      <c r="CQ558">
        <f t="shared" si="1093"/>
        <v>0</v>
      </c>
      <c r="CR558">
        <f t="shared" si="1093"/>
        <v>0</v>
      </c>
      <c r="CS558">
        <f t="shared" si="1093"/>
        <v>0</v>
      </c>
      <c r="CT558">
        <f t="shared" si="1093"/>
        <v>0</v>
      </c>
      <c r="CU558">
        <f t="shared" si="1093"/>
        <v>0</v>
      </c>
      <c r="CV558">
        <f t="shared" si="1093"/>
        <v>0</v>
      </c>
      <c r="CW558">
        <f t="shared" si="1094"/>
        <v>0</v>
      </c>
      <c r="CX558">
        <f t="shared" si="1094"/>
        <v>0</v>
      </c>
      <c r="CY558">
        <f t="shared" si="1094"/>
        <v>0</v>
      </c>
      <c r="CZ558">
        <f t="shared" si="1094"/>
        <v>0</v>
      </c>
      <c r="DA558">
        <f t="shared" si="1094"/>
        <v>0</v>
      </c>
      <c r="DB558">
        <f t="shared" si="1094"/>
        <v>0</v>
      </c>
      <c r="DC558">
        <f t="shared" si="1094"/>
        <v>0</v>
      </c>
      <c r="DD558">
        <f t="shared" si="1094"/>
        <v>0</v>
      </c>
      <c r="DE558">
        <f t="shared" si="1094"/>
        <v>0</v>
      </c>
      <c r="DF558">
        <f t="shared" si="1094"/>
        <v>0</v>
      </c>
      <c r="DG558">
        <f t="shared" si="1095"/>
        <v>0</v>
      </c>
      <c r="DH558">
        <f t="shared" si="1095"/>
        <v>0</v>
      </c>
      <c r="DI558">
        <f t="shared" si="1095"/>
        <v>0</v>
      </c>
      <c r="DJ558">
        <f t="shared" si="1095"/>
        <v>0</v>
      </c>
      <c r="DK558">
        <f t="shared" si="1095"/>
        <v>0</v>
      </c>
      <c r="DL558">
        <f t="shared" si="1095"/>
        <v>0</v>
      </c>
      <c r="DM558">
        <f t="shared" si="1095"/>
        <v>0</v>
      </c>
      <c r="DN558">
        <f t="shared" si="1095"/>
        <v>0</v>
      </c>
      <c r="DO558">
        <f t="shared" si="1095"/>
        <v>0</v>
      </c>
      <c r="DP558">
        <f t="shared" si="1095"/>
        <v>0</v>
      </c>
      <c r="DQ558">
        <f t="shared" si="1096"/>
        <v>0</v>
      </c>
      <c r="DR558">
        <f t="shared" si="1096"/>
        <v>0</v>
      </c>
      <c r="DS558">
        <f t="shared" si="1096"/>
        <v>0</v>
      </c>
      <c r="DT558">
        <f t="shared" si="1096"/>
        <v>0</v>
      </c>
      <c r="DU558">
        <f t="shared" si="1096"/>
        <v>0</v>
      </c>
      <c r="DV558">
        <f t="shared" si="1096"/>
        <v>0</v>
      </c>
      <c r="DW558">
        <f t="shared" si="1096"/>
        <v>0</v>
      </c>
      <c r="DX558">
        <f t="shared" si="1096"/>
        <v>0</v>
      </c>
      <c r="DY558">
        <f t="shared" si="1096"/>
        <v>0</v>
      </c>
      <c r="DZ558">
        <f t="shared" si="1096"/>
        <v>0</v>
      </c>
      <c r="EA558">
        <f t="shared" si="1097"/>
        <v>0</v>
      </c>
      <c r="EB558">
        <f t="shared" si="1097"/>
        <v>0</v>
      </c>
      <c r="EC558">
        <f t="shared" si="1097"/>
        <v>0</v>
      </c>
      <c r="ED558">
        <f t="shared" si="1097"/>
        <v>0</v>
      </c>
      <c r="EE558">
        <f t="shared" si="1097"/>
        <v>0</v>
      </c>
      <c r="EF558">
        <f t="shared" si="1097"/>
        <v>0</v>
      </c>
    </row>
    <row r="559" spans="1:136" ht="15.5">
      <c r="A559" s="90"/>
      <c r="B559" s="53" t="s">
        <v>184</v>
      </c>
      <c r="C559" s="94"/>
      <c r="D559" s="18">
        <v>0</v>
      </c>
      <c r="E559" s="18">
        <v>0</v>
      </c>
      <c r="F559" s="18">
        <v>0</v>
      </c>
      <c r="G559" s="18">
        <v>0</v>
      </c>
      <c r="H559" s="18">
        <v>0</v>
      </c>
      <c r="I559" s="18">
        <v>0</v>
      </c>
      <c r="J559" s="18">
        <v>0</v>
      </c>
      <c r="K559" s="18">
        <v>0</v>
      </c>
      <c r="L559" s="18">
        <v>0</v>
      </c>
      <c r="M559" s="18">
        <v>0</v>
      </c>
      <c r="N559" s="18">
        <v>0</v>
      </c>
      <c r="O559" s="18">
        <v>0</v>
      </c>
      <c r="P559" s="18">
        <v>0</v>
      </c>
      <c r="Q559" s="18">
        <v>0</v>
      </c>
      <c r="R559" s="18">
        <v>0</v>
      </c>
      <c r="S559" s="18">
        <v>0</v>
      </c>
      <c r="T559" s="18">
        <v>0</v>
      </c>
      <c r="U559" s="18">
        <v>0</v>
      </c>
      <c r="V559" s="18">
        <v>0</v>
      </c>
      <c r="W559" s="18">
        <v>0</v>
      </c>
      <c r="X559" s="18">
        <v>0</v>
      </c>
      <c r="Y559" s="18">
        <v>0</v>
      </c>
      <c r="Z559" s="18">
        <v>0</v>
      </c>
      <c r="AA559" s="18">
        <v>0</v>
      </c>
      <c r="AB559" s="18">
        <v>0</v>
      </c>
      <c r="AC559" s="18">
        <v>0</v>
      </c>
      <c r="AD559" s="18">
        <v>0</v>
      </c>
      <c r="AE559" s="18">
        <v>0</v>
      </c>
      <c r="AF559" s="18">
        <v>0</v>
      </c>
      <c r="AG559" s="18">
        <v>27</v>
      </c>
      <c r="AH559" s="18">
        <v>153</v>
      </c>
      <c r="AI559" s="18">
        <v>0</v>
      </c>
      <c r="AJ559" s="18">
        <v>0</v>
      </c>
      <c r="AK559" s="18">
        <v>0</v>
      </c>
      <c r="AL559" s="18">
        <v>0</v>
      </c>
      <c r="AM559" s="18">
        <v>0</v>
      </c>
      <c r="AN559" s="18">
        <v>0</v>
      </c>
      <c r="AO559" s="18">
        <v>0</v>
      </c>
      <c r="AP559" s="18">
        <v>0</v>
      </c>
      <c r="AQ559" s="18">
        <v>0</v>
      </c>
      <c r="AR559" s="18">
        <v>0</v>
      </c>
      <c r="AS559" s="18">
        <v>0</v>
      </c>
      <c r="AT559" s="18">
        <v>0</v>
      </c>
      <c r="AU559" s="18">
        <v>0</v>
      </c>
      <c r="AV559" s="18">
        <v>0</v>
      </c>
      <c r="AW559" s="18">
        <v>0</v>
      </c>
      <c r="AX559" s="18">
        <v>0</v>
      </c>
      <c r="AY559" s="18">
        <v>0</v>
      </c>
      <c r="AZ559" s="18">
        <v>0</v>
      </c>
      <c r="BA559" s="18">
        <v>0</v>
      </c>
      <c r="BB559" s="18">
        <v>0</v>
      </c>
      <c r="BC559" s="18">
        <v>0</v>
      </c>
      <c r="BD559" s="18">
        <v>0</v>
      </c>
      <c r="BE559" s="18">
        <v>0</v>
      </c>
      <c r="BF559" s="18">
        <v>0</v>
      </c>
      <c r="BG559" s="18">
        <v>0</v>
      </c>
      <c r="BH559" s="18">
        <v>0</v>
      </c>
      <c r="BI559" s="18">
        <v>0</v>
      </c>
      <c r="BJ559" s="18">
        <v>0</v>
      </c>
      <c r="BK559" s="18">
        <v>0</v>
      </c>
      <c r="BL559" s="18">
        <v>0</v>
      </c>
      <c r="BM559" s="18">
        <v>0</v>
      </c>
      <c r="BN559" s="40">
        <v>0.38700000000000001</v>
      </c>
      <c r="BO559" s="18">
        <v>0</v>
      </c>
      <c r="BP559" s="18">
        <v>0</v>
      </c>
      <c r="BQ559" s="18">
        <v>0</v>
      </c>
      <c r="BR559" s="101"/>
      <c r="BS559">
        <f t="shared" si="1091"/>
        <v>0</v>
      </c>
      <c r="BT559">
        <f t="shared" si="1091"/>
        <v>0</v>
      </c>
      <c r="BU559">
        <f t="shared" si="1091"/>
        <v>0</v>
      </c>
      <c r="BV559">
        <f t="shared" si="1091"/>
        <v>0</v>
      </c>
      <c r="BW559">
        <f t="shared" si="1091"/>
        <v>0</v>
      </c>
      <c r="BX559">
        <f t="shared" si="1091"/>
        <v>0</v>
      </c>
      <c r="BY559">
        <f t="shared" si="1091"/>
        <v>0</v>
      </c>
      <c r="BZ559">
        <f t="shared" si="1091"/>
        <v>0</v>
      </c>
      <c r="CA559">
        <f t="shared" si="1091"/>
        <v>0</v>
      </c>
      <c r="CB559">
        <f t="shared" si="1091"/>
        <v>0</v>
      </c>
      <c r="CC559">
        <f t="shared" si="1092"/>
        <v>0</v>
      </c>
      <c r="CD559">
        <f t="shared" si="1092"/>
        <v>0</v>
      </c>
      <c r="CE559">
        <f t="shared" si="1092"/>
        <v>0</v>
      </c>
      <c r="CF559">
        <f t="shared" si="1092"/>
        <v>0</v>
      </c>
      <c r="CG559">
        <f t="shared" si="1092"/>
        <v>0</v>
      </c>
      <c r="CH559">
        <f t="shared" si="1092"/>
        <v>0</v>
      </c>
      <c r="CI559">
        <f t="shared" si="1092"/>
        <v>0</v>
      </c>
      <c r="CJ559">
        <f t="shared" si="1092"/>
        <v>0</v>
      </c>
      <c r="CK559">
        <f t="shared" si="1092"/>
        <v>0</v>
      </c>
      <c r="CL559">
        <f t="shared" si="1092"/>
        <v>0</v>
      </c>
      <c r="CM559">
        <f t="shared" si="1093"/>
        <v>0</v>
      </c>
      <c r="CN559">
        <f t="shared" si="1093"/>
        <v>0</v>
      </c>
      <c r="CO559">
        <f t="shared" si="1093"/>
        <v>0</v>
      </c>
      <c r="CP559">
        <f t="shared" si="1093"/>
        <v>0</v>
      </c>
      <c r="CQ559">
        <f t="shared" si="1093"/>
        <v>0</v>
      </c>
      <c r="CR559">
        <f t="shared" si="1093"/>
        <v>0</v>
      </c>
      <c r="CS559">
        <f t="shared" si="1093"/>
        <v>0</v>
      </c>
      <c r="CT559">
        <f t="shared" si="1093"/>
        <v>0</v>
      </c>
      <c r="CU559">
        <f t="shared" si="1093"/>
        <v>0</v>
      </c>
      <c r="CV559">
        <f t="shared" si="1093"/>
        <v>0</v>
      </c>
      <c r="CW559">
        <f t="shared" si="1094"/>
        <v>0</v>
      </c>
      <c r="CX559">
        <f t="shared" si="1094"/>
        <v>0</v>
      </c>
      <c r="CY559">
        <f t="shared" si="1094"/>
        <v>0</v>
      </c>
      <c r="CZ559">
        <f t="shared" si="1094"/>
        <v>0</v>
      </c>
      <c r="DA559">
        <f t="shared" si="1094"/>
        <v>0</v>
      </c>
      <c r="DB559">
        <f t="shared" si="1094"/>
        <v>0</v>
      </c>
      <c r="DC559">
        <f t="shared" si="1094"/>
        <v>0</v>
      </c>
      <c r="DD559">
        <f t="shared" si="1094"/>
        <v>0</v>
      </c>
      <c r="DE559">
        <f t="shared" si="1094"/>
        <v>0</v>
      </c>
      <c r="DF559">
        <f t="shared" si="1094"/>
        <v>0</v>
      </c>
      <c r="DG559">
        <f t="shared" si="1095"/>
        <v>0</v>
      </c>
      <c r="DH559">
        <f t="shared" si="1095"/>
        <v>0</v>
      </c>
      <c r="DI559">
        <f t="shared" si="1095"/>
        <v>0</v>
      </c>
      <c r="DJ559">
        <f t="shared" si="1095"/>
        <v>0</v>
      </c>
      <c r="DK559">
        <f t="shared" si="1095"/>
        <v>0</v>
      </c>
      <c r="DL559">
        <f t="shared" si="1095"/>
        <v>0</v>
      </c>
      <c r="DM559">
        <f t="shared" si="1095"/>
        <v>0</v>
      </c>
      <c r="DN559">
        <f t="shared" si="1095"/>
        <v>0</v>
      </c>
      <c r="DO559">
        <f t="shared" si="1095"/>
        <v>0</v>
      </c>
      <c r="DP559">
        <f t="shared" si="1095"/>
        <v>0</v>
      </c>
      <c r="DQ559">
        <f t="shared" si="1096"/>
        <v>0</v>
      </c>
      <c r="DR559">
        <f t="shared" si="1096"/>
        <v>0</v>
      </c>
      <c r="DS559">
        <f t="shared" si="1096"/>
        <v>0</v>
      </c>
      <c r="DT559">
        <f t="shared" si="1096"/>
        <v>0</v>
      </c>
      <c r="DU559">
        <f t="shared" si="1096"/>
        <v>0</v>
      </c>
      <c r="DV559">
        <f t="shared" si="1096"/>
        <v>0</v>
      </c>
      <c r="DW559">
        <f t="shared" si="1096"/>
        <v>0</v>
      </c>
      <c r="DX559">
        <f t="shared" si="1096"/>
        <v>0</v>
      </c>
      <c r="DY559">
        <f t="shared" si="1096"/>
        <v>0</v>
      </c>
      <c r="DZ559">
        <f t="shared" si="1096"/>
        <v>0</v>
      </c>
      <c r="EA559">
        <f t="shared" si="1097"/>
        <v>0</v>
      </c>
      <c r="EB559">
        <f t="shared" si="1097"/>
        <v>0</v>
      </c>
      <c r="EC559">
        <f t="shared" si="1097"/>
        <v>0</v>
      </c>
      <c r="ED559">
        <f t="shared" si="1097"/>
        <v>0</v>
      </c>
      <c r="EE559">
        <f t="shared" si="1097"/>
        <v>0</v>
      </c>
      <c r="EF559">
        <f t="shared" si="1097"/>
        <v>0</v>
      </c>
    </row>
    <row r="560" spans="1:136" ht="15.5">
      <c r="A560" s="90"/>
      <c r="B560" s="53" t="s">
        <v>202</v>
      </c>
      <c r="C560" s="94"/>
      <c r="D560" s="18">
        <v>0</v>
      </c>
      <c r="E560" s="18">
        <v>0</v>
      </c>
      <c r="F560" s="18">
        <v>0</v>
      </c>
      <c r="G560" s="18">
        <v>0</v>
      </c>
      <c r="H560" s="18">
        <v>0</v>
      </c>
      <c r="I560" s="18">
        <v>0</v>
      </c>
      <c r="J560" s="18">
        <v>0</v>
      </c>
      <c r="K560" s="18">
        <v>0</v>
      </c>
      <c r="L560" s="18">
        <v>0</v>
      </c>
      <c r="M560" s="18">
        <v>0</v>
      </c>
      <c r="N560" s="18">
        <v>0</v>
      </c>
      <c r="O560" s="18">
        <v>0</v>
      </c>
      <c r="P560" s="18">
        <v>0</v>
      </c>
      <c r="Q560" s="18">
        <v>0</v>
      </c>
      <c r="R560" s="18">
        <v>0</v>
      </c>
      <c r="S560" s="18">
        <v>0</v>
      </c>
      <c r="T560" s="18">
        <v>0</v>
      </c>
      <c r="U560" s="18">
        <v>0</v>
      </c>
      <c r="V560" s="18">
        <v>0</v>
      </c>
      <c r="W560" s="18">
        <v>0</v>
      </c>
      <c r="X560" s="18">
        <v>0</v>
      </c>
      <c r="Y560" s="18">
        <v>0</v>
      </c>
      <c r="Z560" s="18">
        <v>0</v>
      </c>
      <c r="AA560" s="18">
        <v>0</v>
      </c>
      <c r="AB560" s="18">
        <v>0</v>
      </c>
      <c r="AC560" s="18">
        <v>0</v>
      </c>
      <c r="AD560" s="18">
        <v>0</v>
      </c>
      <c r="AE560" s="18">
        <v>0</v>
      </c>
      <c r="AF560" s="18">
        <v>0</v>
      </c>
      <c r="AG560" s="18">
        <v>1</v>
      </c>
      <c r="AH560" s="18">
        <v>0</v>
      </c>
      <c r="AI560" s="18">
        <v>0</v>
      </c>
      <c r="AJ560" s="18">
        <v>0</v>
      </c>
      <c r="AK560" s="18">
        <v>0</v>
      </c>
      <c r="AL560" s="18">
        <v>0</v>
      </c>
      <c r="AM560" s="18">
        <v>0</v>
      </c>
      <c r="AN560" s="18">
        <v>0</v>
      </c>
      <c r="AO560" s="18">
        <v>0</v>
      </c>
      <c r="AP560" s="18">
        <v>0</v>
      </c>
      <c r="AQ560" s="18">
        <v>0</v>
      </c>
      <c r="AR560" s="18">
        <v>0</v>
      </c>
      <c r="AS560" s="18">
        <v>0</v>
      </c>
      <c r="AT560" s="18">
        <v>0</v>
      </c>
      <c r="AU560" s="18">
        <v>0</v>
      </c>
      <c r="AV560" s="18">
        <v>0</v>
      </c>
      <c r="AW560" s="18">
        <v>0</v>
      </c>
      <c r="AX560" s="18">
        <v>0</v>
      </c>
      <c r="AY560" s="18">
        <v>0</v>
      </c>
      <c r="AZ560" s="18">
        <v>0</v>
      </c>
      <c r="BA560" s="18">
        <v>0</v>
      </c>
      <c r="BB560" s="18">
        <v>0</v>
      </c>
      <c r="BC560" s="18">
        <v>0</v>
      </c>
      <c r="BD560" s="18">
        <v>0</v>
      </c>
      <c r="BE560" s="18">
        <v>0</v>
      </c>
      <c r="BF560" s="18">
        <v>0</v>
      </c>
      <c r="BG560" s="18">
        <v>0</v>
      </c>
      <c r="BH560" s="18">
        <v>0</v>
      </c>
      <c r="BI560" s="18">
        <v>0</v>
      </c>
      <c r="BJ560" s="113">
        <v>0</v>
      </c>
      <c r="BK560" s="113">
        <v>0</v>
      </c>
      <c r="BL560" s="18">
        <v>0</v>
      </c>
      <c r="BM560" s="18">
        <v>0</v>
      </c>
      <c r="BN560" s="18">
        <v>0</v>
      </c>
      <c r="BO560" s="18">
        <v>0</v>
      </c>
      <c r="BP560" s="18">
        <v>0</v>
      </c>
      <c r="BQ560" s="18">
        <v>0</v>
      </c>
      <c r="BR560" s="101"/>
      <c r="BS560">
        <f t="shared" si="1091"/>
        <v>0</v>
      </c>
      <c r="BT560">
        <f t="shared" si="1091"/>
        <v>0</v>
      </c>
      <c r="BU560">
        <f t="shared" si="1091"/>
        <v>0</v>
      </c>
      <c r="BV560">
        <f t="shared" si="1091"/>
        <v>0</v>
      </c>
      <c r="BW560">
        <f t="shared" si="1091"/>
        <v>0</v>
      </c>
      <c r="BX560">
        <f t="shared" si="1091"/>
        <v>0</v>
      </c>
      <c r="BY560">
        <f t="shared" si="1091"/>
        <v>0</v>
      </c>
      <c r="BZ560">
        <f t="shared" si="1091"/>
        <v>0</v>
      </c>
      <c r="CA560">
        <f t="shared" si="1091"/>
        <v>0</v>
      </c>
      <c r="CB560">
        <f t="shared" si="1091"/>
        <v>0</v>
      </c>
      <c r="CC560">
        <f t="shared" si="1092"/>
        <v>0</v>
      </c>
      <c r="CD560">
        <f t="shared" si="1092"/>
        <v>0</v>
      </c>
      <c r="CE560">
        <f t="shared" si="1092"/>
        <v>0</v>
      </c>
      <c r="CF560">
        <f t="shared" si="1092"/>
        <v>0</v>
      </c>
      <c r="CG560">
        <f t="shared" si="1092"/>
        <v>0</v>
      </c>
      <c r="CH560">
        <f t="shared" si="1092"/>
        <v>0</v>
      </c>
      <c r="CI560">
        <f t="shared" si="1092"/>
        <v>0</v>
      </c>
      <c r="CJ560">
        <f t="shared" si="1092"/>
        <v>0</v>
      </c>
      <c r="CK560">
        <f t="shared" si="1092"/>
        <v>0</v>
      </c>
      <c r="CL560">
        <f t="shared" si="1092"/>
        <v>0</v>
      </c>
      <c r="CM560">
        <f t="shared" si="1093"/>
        <v>0</v>
      </c>
      <c r="CN560">
        <f t="shared" si="1093"/>
        <v>0</v>
      </c>
      <c r="CO560">
        <f t="shared" si="1093"/>
        <v>0</v>
      </c>
      <c r="CP560">
        <f t="shared" si="1093"/>
        <v>0</v>
      </c>
      <c r="CQ560">
        <f t="shared" si="1093"/>
        <v>0</v>
      </c>
      <c r="CR560">
        <f t="shared" si="1093"/>
        <v>0</v>
      </c>
      <c r="CS560">
        <f t="shared" si="1093"/>
        <v>0</v>
      </c>
      <c r="CT560">
        <f t="shared" si="1093"/>
        <v>0</v>
      </c>
      <c r="CU560">
        <f t="shared" si="1093"/>
        <v>0</v>
      </c>
      <c r="CV560">
        <f t="shared" si="1093"/>
        <v>0</v>
      </c>
      <c r="CW560">
        <f t="shared" si="1094"/>
        <v>0</v>
      </c>
      <c r="CX560">
        <f t="shared" si="1094"/>
        <v>0</v>
      </c>
      <c r="CY560">
        <f t="shared" si="1094"/>
        <v>0</v>
      </c>
      <c r="CZ560">
        <f t="shared" si="1094"/>
        <v>0</v>
      </c>
      <c r="DA560">
        <f t="shared" si="1094"/>
        <v>0</v>
      </c>
      <c r="DB560">
        <f t="shared" si="1094"/>
        <v>0</v>
      </c>
      <c r="DC560">
        <f t="shared" si="1094"/>
        <v>0</v>
      </c>
      <c r="DD560">
        <f t="shared" si="1094"/>
        <v>0</v>
      </c>
      <c r="DE560">
        <f t="shared" si="1094"/>
        <v>0</v>
      </c>
      <c r="DF560">
        <f t="shared" si="1094"/>
        <v>0</v>
      </c>
      <c r="DG560">
        <f t="shared" si="1095"/>
        <v>0</v>
      </c>
      <c r="DH560">
        <f t="shared" si="1095"/>
        <v>0</v>
      </c>
      <c r="DI560">
        <f t="shared" si="1095"/>
        <v>0</v>
      </c>
      <c r="DJ560">
        <f t="shared" si="1095"/>
        <v>0</v>
      </c>
      <c r="DK560">
        <f t="shared" si="1095"/>
        <v>0</v>
      </c>
      <c r="DL560">
        <f t="shared" si="1095"/>
        <v>0</v>
      </c>
      <c r="DM560">
        <f t="shared" si="1095"/>
        <v>0</v>
      </c>
      <c r="DN560">
        <f t="shared" si="1095"/>
        <v>0</v>
      </c>
      <c r="DO560">
        <f t="shared" si="1095"/>
        <v>0</v>
      </c>
      <c r="DP560">
        <f t="shared" si="1095"/>
        <v>0</v>
      </c>
      <c r="DQ560">
        <f t="shared" si="1096"/>
        <v>0</v>
      </c>
      <c r="DR560">
        <f t="shared" si="1096"/>
        <v>0</v>
      </c>
      <c r="DS560">
        <f t="shared" si="1096"/>
        <v>0</v>
      </c>
      <c r="DT560">
        <f t="shared" si="1096"/>
        <v>0</v>
      </c>
      <c r="DU560">
        <f t="shared" si="1096"/>
        <v>0</v>
      </c>
      <c r="DV560">
        <f t="shared" si="1096"/>
        <v>0</v>
      </c>
      <c r="DW560">
        <f t="shared" si="1096"/>
        <v>0</v>
      </c>
      <c r="DX560">
        <f t="shared" si="1096"/>
        <v>0</v>
      </c>
      <c r="DY560">
        <f t="shared" si="1096"/>
        <v>0</v>
      </c>
      <c r="DZ560">
        <f t="shared" si="1096"/>
        <v>0</v>
      </c>
      <c r="EA560">
        <f t="shared" si="1097"/>
        <v>0</v>
      </c>
      <c r="EB560">
        <f t="shared" si="1097"/>
        <v>0</v>
      </c>
      <c r="EC560">
        <f t="shared" si="1097"/>
        <v>0</v>
      </c>
      <c r="ED560">
        <f t="shared" si="1097"/>
        <v>0</v>
      </c>
      <c r="EE560">
        <f t="shared" si="1097"/>
        <v>0</v>
      </c>
      <c r="EF560">
        <f t="shared" si="1097"/>
        <v>0</v>
      </c>
    </row>
    <row r="561" spans="1:136" ht="15.5">
      <c r="A561" s="90"/>
      <c r="B561" s="53" t="s">
        <v>238</v>
      </c>
      <c r="C561" s="94"/>
      <c r="D561" s="18">
        <v>0</v>
      </c>
      <c r="E561" s="18">
        <v>0</v>
      </c>
      <c r="F561" s="18">
        <v>0</v>
      </c>
      <c r="G561" s="18">
        <v>0</v>
      </c>
      <c r="H561" s="18">
        <v>0</v>
      </c>
      <c r="I561" s="18">
        <v>0</v>
      </c>
      <c r="J561" s="18">
        <v>0</v>
      </c>
      <c r="K561" s="18">
        <v>0</v>
      </c>
      <c r="L561" s="18">
        <v>0</v>
      </c>
      <c r="M561" s="18">
        <v>0</v>
      </c>
      <c r="N561" s="18">
        <v>0</v>
      </c>
      <c r="O561" s="18">
        <v>0</v>
      </c>
      <c r="P561" s="18">
        <v>0</v>
      </c>
      <c r="Q561" s="18">
        <v>0</v>
      </c>
      <c r="R561" s="18">
        <v>0</v>
      </c>
      <c r="S561" s="18">
        <v>0</v>
      </c>
      <c r="T561" s="18">
        <v>0</v>
      </c>
      <c r="U561" s="18">
        <v>0</v>
      </c>
      <c r="V561" s="18">
        <v>0</v>
      </c>
      <c r="W561" s="18">
        <v>0</v>
      </c>
      <c r="X561" s="18">
        <v>0</v>
      </c>
      <c r="Y561" s="18">
        <v>0</v>
      </c>
      <c r="Z561" s="18">
        <v>0</v>
      </c>
      <c r="AA561" s="18">
        <v>0</v>
      </c>
      <c r="AB561" s="18">
        <v>0</v>
      </c>
      <c r="AC561" s="18">
        <v>0</v>
      </c>
      <c r="AD561" s="18">
        <v>0</v>
      </c>
      <c r="AE561" s="18">
        <v>0</v>
      </c>
      <c r="AF561" s="18">
        <v>0</v>
      </c>
      <c r="AG561" s="71">
        <v>195</v>
      </c>
      <c r="AH561" s="18">
        <v>223</v>
      </c>
      <c r="AI561" s="18">
        <v>0</v>
      </c>
      <c r="AJ561" s="18">
        <v>0</v>
      </c>
      <c r="AK561" s="18">
        <v>0</v>
      </c>
      <c r="AL561" s="18">
        <v>0</v>
      </c>
      <c r="AM561" s="18">
        <v>0</v>
      </c>
      <c r="AN561" s="18">
        <v>0</v>
      </c>
      <c r="AO561" s="18">
        <v>0</v>
      </c>
      <c r="AP561" s="18">
        <v>0</v>
      </c>
      <c r="AQ561" s="18">
        <v>0</v>
      </c>
      <c r="AR561" s="18">
        <v>0</v>
      </c>
      <c r="AS561" s="18">
        <v>0</v>
      </c>
      <c r="AT561" s="18">
        <v>0</v>
      </c>
      <c r="AU561" s="18">
        <v>0</v>
      </c>
      <c r="AV561" s="18">
        <v>0</v>
      </c>
      <c r="AW561" s="18">
        <v>0</v>
      </c>
      <c r="AX561" s="18">
        <v>0</v>
      </c>
      <c r="AY561" s="18">
        <v>0</v>
      </c>
      <c r="AZ561" s="18">
        <v>0</v>
      </c>
      <c r="BA561" s="18">
        <v>0</v>
      </c>
      <c r="BB561" s="18">
        <v>0</v>
      </c>
      <c r="BC561" s="18">
        <v>0</v>
      </c>
      <c r="BD561" s="18">
        <v>0</v>
      </c>
      <c r="BE561" s="18">
        <v>0</v>
      </c>
      <c r="BF561" s="18">
        <v>0</v>
      </c>
      <c r="BG561" s="18">
        <v>0</v>
      </c>
      <c r="BH561" s="18">
        <v>0</v>
      </c>
      <c r="BI561" s="18">
        <v>0</v>
      </c>
      <c r="BJ561" s="18">
        <v>0</v>
      </c>
      <c r="BK561" s="18">
        <v>0</v>
      </c>
      <c r="BL561" s="18">
        <v>0</v>
      </c>
      <c r="BM561" s="18">
        <v>0</v>
      </c>
      <c r="BN561" s="18">
        <v>0</v>
      </c>
      <c r="BO561" s="18">
        <v>0</v>
      </c>
      <c r="BP561" s="18">
        <v>0</v>
      </c>
      <c r="BQ561" s="18">
        <v>0</v>
      </c>
      <c r="BR561" s="101"/>
      <c r="BS561">
        <f t="shared" si="1091"/>
        <v>0</v>
      </c>
      <c r="BT561">
        <f t="shared" si="1091"/>
        <v>0</v>
      </c>
      <c r="BU561">
        <f t="shared" si="1091"/>
        <v>0</v>
      </c>
      <c r="BV561">
        <f t="shared" si="1091"/>
        <v>0</v>
      </c>
      <c r="BW561">
        <f t="shared" si="1091"/>
        <v>0</v>
      </c>
      <c r="BX561">
        <f t="shared" si="1091"/>
        <v>0</v>
      </c>
      <c r="BY561">
        <f t="shared" si="1091"/>
        <v>0</v>
      </c>
      <c r="BZ561">
        <f t="shared" si="1091"/>
        <v>0</v>
      </c>
      <c r="CA561">
        <f t="shared" si="1091"/>
        <v>0</v>
      </c>
      <c r="CB561">
        <f t="shared" si="1091"/>
        <v>0</v>
      </c>
      <c r="CC561">
        <f t="shared" si="1092"/>
        <v>0</v>
      </c>
      <c r="CD561">
        <f t="shared" si="1092"/>
        <v>0</v>
      </c>
      <c r="CE561">
        <f t="shared" si="1092"/>
        <v>0</v>
      </c>
      <c r="CF561">
        <f t="shared" si="1092"/>
        <v>0</v>
      </c>
      <c r="CG561">
        <f t="shared" si="1092"/>
        <v>0</v>
      </c>
      <c r="CH561">
        <f t="shared" si="1092"/>
        <v>0</v>
      </c>
      <c r="CI561">
        <f t="shared" si="1092"/>
        <v>0</v>
      </c>
      <c r="CJ561">
        <f t="shared" si="1092"/>
        <v>0</v>
      </c>
      <c r="CK561">
        <f t="shared" si="1092"/>
        <v>0</v>
      </c>
      <c r="CL561">
        <f t="shared" si="1092"/>
        <v>0</v>
      </c>
      <c r="CM561">
        <f t="shared" si="1093"/>
        <v>0</v>
      </c>
      <c r="CN561">
        <f t="shared" si="1093"/>
        <v>0</v>
      </c>
      <c r="CO561">
        <f t="shared" si="1093"/>
        <v>0</v>
      </c>
      <c r="CP561">
        <f t="shared" si="1093"/>
        <v>0</v>
      </c>
      <c r="CQ561">
        <f t="shared" si="1093"/>
        <v>0</v>
      </c>
      <c r="CR561">
        <f t="shared" si="1093"/>
        <v>0</v>
      </c>
      <c r="CS561">
        <f t="shared" si="1093"/>
        <v>0</v>
      </c>
      <c r="CT561">
        <f t="shared" si="1093"/>
        <v>0</v>
      </c>
      <c r="CU561">
        <f t="shared" si="1093"/>
        <v>0</v>
      </c>
      <c r="CV561">
        <f t="shared" si="1093"/>
        <v>0</v>
      </c>
      <c r="CW561">
        <f t="shared" si="1094"/>
        <v>0</v>
      </c>
      <c r="CX561">
        <f t="shared" si="1094"/>
        <v>0</v>
      </c>
      <c r="CY561">
        <f t="shared" si="1094"/>
        <v>0</v>
      </c>
      <c r="CZ561">
        <f t="shared" si="1094"/>
        <v>0</v>
      </c>
      <c r="DA561">
        <f t="shared" si="1094"/>
        <v>0</v>
      </c>
      <c r="DB561">
        <f t="shared" si="1094"/>
        <v>0</v>
      </c>
      <c r="DC561">
        <f t="shared" si="1094"/>
        <v>0</v>
      </c>
      <c r="DD561">
        <f t="shared" si="1094"/>
        <v>0</v>
      </c>
      <c r="DE561">
        <f t="shared" si="1094"/>
        <v>0</v>
      </c>
      <c r="DF561">
        <f t="shared" si="1094"/>
        <v>0</v>
      </c>
      <c r="DG561">
        <f t="shared" si="1095"/>
        <v>0</v>
      </c>
      <c r="DH561">
        <f t="shared" si="1095"/>
        <v>0</v>
      </c>
      <c r="DI561">
        <f t="shared" si="1095"/>
        <v>0</v>
      </c>
      <c r="DJ561">
        <f t="shared" si="1095"/>
        <v>0</v>
      </c>
      <c r="DK561">
        <f t="shared" si="1095"/>
        <v>0</v>
      </c>
      <c r="DL561">
        <f t="shared" si="1095"/>
        <v>0</v>
      </c>
      <c r="DM561">
        <f t="shared" si="1095"/>
        <v>0</v>
      </c>
      <c r="DN561">
        <f t="shared" si="1095"/>
        <v>0</v>
      </c>
      <c r="DO561">
        <f t="shared" si="1095"/>
        <v>0</v>
      </c>
      <c r="DP561">
        <f t="shared" si="1095"/>
        <v>0</v>
      </c>
      <c r="DQ561">
        <f t="shared" si="1096"/>
        <v>0</v>
      </c>
      <c r="DR561">
        <f t="shared" si="1096"/>
        <v>0</v>
      </c>
      <c r="DS561">
        <f t="shared" si="1096"/>
        <v>0</v>
      </c>
      <c r="DT561">
        <f t="shared" si="1096"/>
        <v>0</v>
      </c>
      <c r="DU561">
        <f t="shared" si="1096"/>
        <v>0</v>
      </c>
      <c r="DV561">
        <f t="shared" si="1096"/>
        <v>0</v>
      </c>
      <c r="DW561">
        <f t="shared" si="1096"/>
        <v>0</v>
      </c>
      <c r="DX561">
        <f t="shared" si="1096"/>
        <v>0</v>
      </c>
      <c r="DY561">
        <f t="shared" si="1096"/>
        <v>0</v>
      </c>
      <c r="DZ561">
        <f t="shared" si="1096"/>
        <v>0</v>
      </c>
      <c r="EA561">
        <f t="shared" si="1097"/>
        <v>0</v>
      </c>
      <c r="EB561">
        <f t="shared" si="1097"/>
        <v>0</v>
      </c>
      <c r="EC561">
        <f t="shared" si="1097"/>
        <v>0</v>
      </c>
      <c r="ED561">
        <f t="shared" si="1097"/>
        <v>0</v>
      </c>
      <c r="EE561">
        <f t="shared" si="1097"/>
        <v>0</v>
      </c>
      <c r="EF561">
        <f t="shared" si="1097"/>
        <v>0</v>
      </c>
    </row>
    <row r="562" spans="1:136" ht="15.5">
      <c r="A562" s="90"/>
      <c r="B562" s="19" t="s">
        <v>2</v>
      </c>
      <c r="C562" s="94"/>
      <c r="D562" s="18">
        <v>0</v>
      </c>
      <c r="E562" s="18">
        <v>0</v>
      </c>
      <c r="F562" s="18">
        <v>0</v>
      </c>
      <c r="G562" s="18">
        <v>0</v>
      </c>
      <c r="H562" s="18">
        <v>0</v>
      </c>
      <c r="I562" s="18">
        <v>0</v>
      </c>
      <c r="J562" s="18">
        <v>0</v>
      </c>
      <c r="K562" s="18">
        <v>0</v>
      </c>
      <c r="L562" s="18">
        <v>0</v>
      </c>
      <c r="M562" s="18">
        <v>0</v>
      </c>
      <c r="N562" s="18">
        <v>0</v>
      </c>
      <c r="O562" s="18">
        <v>0</v>
      </c>
      <c r="P562" s="18">
        <v>0</v>
      </c>
      <c r="Q562" s="18">
        <v>0</v>
      </c>
      <c r="R562" s="18">
        <v>0</v>
      </c>
      <c r="S562" s="18">
        <v>0</v>
      </c>
      <c r="T562" s="18">
        <v>0</v>
      </c>
      <c r="U562" s="18">
        <v>0</v>
      </c>
      <c r="V562" s="18">
        <v>0</v>
      </c>
      <c r="W562" s="18">
        <v>0</v>
      </c>
      <c r="X562" s="18">
        <v>0</v>
      </c>
      <c r="Y562" s="18">
        <v>0</v>
      </c>
      <c r="Z562" s="18">
        <v>0</v>
      </c>
      <c r="AA562" s="18">
        <v>0</v>
      </c>
      <c r="AB562" s="18">
        <v>0</v>
      </c>
      <c r="AC562" s="18"/>
      <c r="AD562" s="18"/>
      <c r="AE562" s="18"/>
      <c r="AF562" s="18"/>
      <c r="AG562" s="40" t="s">
        <v>16</v>
      </c>
      <c r="AH562" s="18">
        <v>280</v>
      </c>
      <c r="AI562" s="18">
        <v>21.6</v>
      </c>
      <c r="AJ562" s="18">
        <v>180</v>
      </c>
      <c r="AK562" s="18">
        <v>6.5</v>
      </c>
      <c r="AL562" s="18">
        <v>0</v>
      </c>
      <c r="AM562" s="18">
        <v>32.799999999999997</v>
      </c>
      <c r="AN562" s="18">
        <v>180</v>
      </c>
      <c r="AO562" s="18"/>
      <c r="AP562" s="40" t="s">
        <v>16</v>
      </c>
      <c r="AQ562" s="18">
        <v>411</v>
      </c>
      <c r="AR562" s="18"/>
      <c r="AS562" s="18"/>
      <c r="AT562" s="18"/>
      <c r="AU562" s="40" t="s">
        <v>16</v>
      </c>
      <c r="AV562" s="18">
        <v>361</v>
      </c>
      <c r="AW562" s="18">
        <v>316</v>
      </c>
      <c r="AX562" s="40" t="s">
        <v>16</v>
      </c>
      <c r="AY562" s="40" t="s">
        <v>16</v>
      </c>
      <c r="AZ562" s="18">
        <v>0</v>
      </c>
      <c r="BA562" s="18">
        <v>0</v>
      </c>
      <c r="BB562" s="18">
        <v>0</v>
      </c>
      <c r="BC562" s="18">
        <v>0</v>
      </c>
      <c r="BD562" s="18">
        <v>0</v>
      </c>
      <c r="BE562" s="18">
        <v>0</v>
      </c>
      <c r="BF562" s="18">
        <v>0</v>
      </c>
      <c r="BG562" s="18">
        <v>0</v>
      </c>
      <c r="BH562" s="18">
        <v>0</v>
      </c>
      <c r="BI562" s="18">
        <v>0</v>
      </c>
      <c r="BJ562" s="113">
        <v>0</v>
      </c>
      <c r="BK562" s="113">
        <v>0</v>
      </c>
      <c r="BL562" s="18">
        <v>0</v>
      </c>
      <c r="BM562" s="18">
        <v>0</v>
      </c>
      <c r="BN562" s="40">
        <v>0.38700000000000001</v>
      </c>
      <c r="BO562" s="18">
        <v>0</v>
      </c>
      <c r="BP562" s="18">
        <v>0</v>
      </c>
      <c r="BQ562" s="18">
        <v>0</v>
      </c>
      <c r="BR562" s="101"/>
      <c r="BS562">
        <f t="shared" si="1091"/>
        <v>0</v>
      </c>
      <c r="BT562">
        <f t="shared" si="1091"/>
        <v>0</v>
      </c>
      <c r="BU562">
        <f t="shared" si="1091"/>
        <v>0</v>
      </c>
      <c r="BV562">
        <f t="shared" si="1091"/>
        <v>0</v>
      </c>
      <c r="BW562">
        <f t="shared" si="1091"/>
        <v>0</v>
      </c>
      <c r="BX562">
        <f t="shared" si="1091"/>
        <v>0</v>
      </c>
      <c r="BY562">
        <f t="shared" si="1091"/>
        <v>0</v>
      </c>
      <c r="BZ562">
        <f t="shared" si="1091"/>
        <v>0</v>
      </c>
      <c r="CA562">
        <f t="shared" si="1091"/>
        <v>0</v>
      </c>
      <c r="CB562">
        <f t="shared" si="1091"/>
        <v>0</v>
      </c>
      <c r="CC562">
        <f t="shared" si="1092"/>
        <v>0</v>
      </c>
      <c r="CD562">
        <f t="shared" si="1092"/>
        <v>0</v>
      </c>
      <c r="CE562">
        <f t="shared" si="1092"/>
        <v>0</v>
      </c>
      <c r="CF562">
        <f t="shared" si="1092"/>
        <v>0</v>
      </c>
      <c r="CG562">
        <f t="shared" si="1092"/>
        <v>0</v>
      </c>
      <c r="CH562">
        <f t="shared" si="1092"/>
        <v>0</v>
      </c>
      <c r="CI562">
        <f t="shared" si="1092"/>
        <v>0</v>
      </c>
      <c r="CJ562">
        <f t="shared" si="1092"/>
        <v>0</v>
      </c>
      <c r="CK562">
        <f t="shared" si="1092"/>
        <v>0</v>
      </c>
      <c r="CL562">
        <f t="shared" si="1092"/>
        <v>0</v>
      </c>
      <c r="CM562">
        <f t="shared" si="1093"/>
        <v>0</v>
      </c>
      <c r="CN562">
        <f t="shared" si="1093"/>
        <v>0</v>
      </c>
      <c r="CO562">
        <f t="shared" si="1093"/>
        <v>0</v>
      </c>
      <c r="CP562">
        <f t="shared" si="1093"/>
        <v>0</v>
      </c>
      <c r="CQ562">
        <f t="shared" si="1093"/>
        <v>0</v>
      </c>
      <c r="CR562">
        <f t="shared" si="1093"/>
        <v>0</v>
      </c>
      <c r="CS562">
        <f t="shared" si="1093"/>
        <v>0</v>
      </c>
      <c r="CT562">
        <f t="shared" si="1093"/>
        <v>0</v>
      </c>
      <c r="CU562">
        <f t="shared" si="1093"/>
        <v>0</v>
      </c>
      <c r="CV562">
        <f t="shared" si="1093"/>
        <v>0</v>
      </c>
      <c r="CW562">
        <f t="shared" si="1094"/>
        <v>0</v>
      </c>
      <c r="CX562">
        <f t="shared" si="1094"/>
        <v>0</v>
      </c>
      <c r="CY562">
        <f t="shared" si="1094"/>
        <v>0</v>
      </c>
      <c r="CZ562">
        <f t="shared" si="1094"/>
        <v>0</v>
      </c>
      <c r="DA562">
        <f t="shared" si="1094"/>
        <v>0</v>
      </c>
      <c r="DB562">
        <f t="shared" si="1094"/>
        <v>0</v>
      </c>
      <c r="DC562">
        <f t="shared" si="1094"/>
        <v>0</v>
      </c>
      <c r="DD562">
        <f t="shared" si="1094"/>
        <v>0</v>
      </c>
      <c r="DE562">
        <f t="shared" si="1094"/>
        <v>0</v>
      </c>
      <c r="DF562">
        <f t="shared" si="1094"/>
        <v>0</v>
      </c>
      <c r="DG562">
        <f t="shared" si="1095"/>
        <v>0</v>
      </c>
      <c r="DH562">
        <f t="shared" si="1095"/>
        <v>0</v>
      </c>
      <c r="DI562">
        <f t="shared" si="1095"/>
        <v>0</v>
      </c>
      <c r="DJ562">
        <f t="shared" si="1095"/>
        <v>0</v>
      </c>
      <c r="DK562">
        <f t="shared" si="1095"/>
        <v>0</v>
      </c>
      <c r="DL562">
        <f t="shared" si="1095"/>
        <v>0</v>
      </c>
      <c r="DM562">
        <f t="shared" si="1095"/>
        <v>0</v>
      </c>
      <c r="DN562">
        <f t="shared" si="1095"/>
        <v>0</v>
      </c>
      <c r="DO562">
        <f t="shared" si="1095"/>
        <v>0</v>
      </c>
      <c r="DP562">
        <f t="shared" si="1095"/>
        <v>0</v>
      </c>
      <c r="DQ562">
        <f t="shared" si="1096"/>
        <v>0</v>
      </c>
      <c r="DR562">
        <f t="shared" si="1096"/>
        <v>0</v>
      </c>
      <c r="DS562">
        <f t="shared" si="1096"/>
        <v>0</v>
      </c>
      <c r="DT562">
        <f t="shared" si="1096"/>
        <v>0</v>
      </c>
      <c r="DU562">
        <f t="shared" si="1096"/>
        <v>0</v>
      </c>
      <c r="DV562">
        <f t="shared" si="1096"/>
        <v>0</v>
      </c>
      <c r="DW562">
        <f t="shared" si="1096"/>
        <v>0</v>
      </c>
      <c r="DX562">
        <f t="shared" si="1096"/>
        <v>0</v>
      </c>
      <c r="DY562">
        <f t="shared" si="1096"/>
        <v>0</v>
      </c>
      <c r="DZ562">
        <f t="shared" si="1096"/>
        <v>0</v>
      </c>
      <c r="EA562">
        <f t="shared" si="1097"/>
        <v>0</v>
      </c>
      <c r="EB562">
        <f t="shared" si="1097"/>
        <v>0</v>
      </c>
      <c r="EC562">
        <f t="shared" si="1097"/>
        <v>0</v>
      </c>
      <c r="ED562">
        <f t="shared" si="1097"/>
        <v>0</v>
      </c>
      <c r="EE562">
        <f t="shared" si="1097"/>
        <v>0</v>
      </c>
      <c r="EF562">
        <f t="shared" si="1097"/>
        <v>0</v>
      </c>
    </row>
    <row r="563" spans="1:136" ht="15.5">
      <c r="A563" s="90"/>
      <c r="B563" s="19" t="s">
        <v>205</v>
      </c>
      <c r="C563" s="94"/>
      <c r="D563" s="18">
        <v>0</v>
      </c>
      <c r="E563" s="18">
        <v>0</v>
      </c>
      <c r="F563" s="18">
        <v>0</v>
      </c>
      <c r="G563" s="18">
        <v>0</v>
      </c>
      <c r="H563" s="18">
        <v>0</v>
      </c>
      <c r="I563" s="18">
        <v>0</v>
      </c>
      <c r="J563" s="18">
        <v>0</v>
      </c>
      <c r="K563" s="18">
        <v>0</v>
      </c>
      <c r="L563" s="18">
        <v>0</v>
      </c>
      <c r="M563" s="18">
        <v>0</v>
      </c>
      <c r="N563" s="18">
        <v>0</v>
      </c>
      <c r="O563" s="18">
        <v>0</v>
      </c>
      <c r="P563" s="18">
        <v>0</v>
      </c>
      <c r="Q563" s="18">
        <v>0</v>
      </c>
      <c r="R563" s="18">
        <v>0</v>
      </c>
      <c r="S563" s="18">
        <v>0</v>
      </c>
      <c r="T563" s="18">
        <v>0</v>
      </c>
      <c r="U563" s="18">
        <v>0</v>
      </c>
      <c r="V563" s="18">
        <v>0</v>
      </c>
      <c r="W563" s="18">
        <v>0</v>
      </c>
      <c r="X563" s="18">
        <v>0</v>
      </c>
      <c r="Y563" s="18">
        <v>0</v>
      </c>
      <c r="Z563" s="18">
        <v>0</v>
      </c>
      <c r="AA563" s="18">
        <v>0</v>
      </c>
      <c r="AB563" s="18">
        <v>0</v>
      </c>
      <c r="AC563" s="18">
        <v>53.148681700000004</v>
      </c>
      <c r="AD563" s="18">
        <v>65.838402299999998</v>
      </c>
      <c r="AE563" s="18">
        <v>83.628543700000009</v>
      </c>
      <c r="AF563" s="18">
        <v>72.319487299999992</v>
      </c>
      <c r="AG563" s="18">
        <v>69.447067099999998</v>
      </c>
      <c r="AH563" s="18">
        <v>0</v>
      </c>
      <c r="AI563" s="18">
        <v>0</v>
      </c>
      <c r="AJ563" s="18">
        <v>0</v>
      </c>
      <c r="AK563" s="18">
        <v>0</v>
      </c>
      <c r="AL563" s="18">
        <v>0</v>
      </c>
      <c r="AM563" s="18">
        <v>0</v>
      </c>
      <c r="AN563" s="18">
        <v>0</v>
      </c>
      <c r="AO563" s="18">
        <v>0</v>
      </c>
      <c r="AP563" s="18">
        <v>1.843</v>
      </c>
      <c r="AQ563" s="18">
        <v>3.6869999999999998</v>
      </c>
      <c r="AR563" s="18">
        <v>3.6869999999999998</v>
      </c>
      <c r="AS563" s="18">
        <v>3.6869999999999998</v>
      </c>
      <c r="AT563" s="18">
        <v>4.3559999999999999</v>
      </c>
      <c r="AU563" s="18">
        <v>4.0970000000000004</v>
      </c>
      <c r="AV563" s="18">
        <v>17.598102600000001</v>
      </c>
      <c r="AW563" s="18">
        <v>3.8307500000000001</v>
      </c>
      <c r="AX563" s="18">
        <v>12.9340905</v>
      </c>
      <c r="AY563" s="18">
        <v>113.79431619999998</v>
      </c>
      <c r="AZ563" s="18">
        <v>9.0143970000000007</v>
      </c>
      <c r="BA563" s="18">
        <v>5.7952867000000001</v>
      </c>
      <c r="BB563" s="18">
        <v>0</v>
      </c>
      <c r="BC563" s="18">
        <v>0</v>
      </c>
      <c r="BD563" s="18">
        <v>0</v>
      </c>
      <c r="BE563" s="25">
        <v>0</v>
      </c>
      <c r="BF563" s="18">
        <v>0</v>
      </c>
      <c r="BG563" s="18">
        <v>0</v>
      </c>
      <c r="BH563" s="18">
        <v>2</v>
      </c>
      <c r="BI563" s="18">
        <v>0</v>
      </c>
      <c r="BJ563" s="113">
        <v>0</v>
      </c>
      <c r="BK563" s="113">
        <v>0</v>
      </c>
      <c r="BL563" s="18">
        <v>16.021743400000002</v>
      </c>
      <c r="BM563" s="18">
        <v>0</v>
      </c>
      <c r="BN563" s="18">
        <v>0</v>
      </c>
      <c r="BO563" s="18">
        <v>0</v>
      </c>
      <c r="BP563" s="18">
        <v>5.6280000000000001</v>
      </c>
      <c r="BQ563" s="18">
        <v>0</v>
      </c>
      <c r="BR563" s="101"/>
      <c r="DQ563">
        <f t="shared" ref="DQ563:DX567" si="1098">IF($C563&lt;&gt;"",IF(BB563&gt;0,1,0),0)</f>
        <v>0</v>
      </c>
      <c r="DR563">
        <f t="shared" si="1098"/>
        <v>0</v>
      </c>
      <c r="DS563">
        <f t="shared" si="1098"/>
        <v>0</v>
      </c>
      <c r="DT563">
        <f t="shared" si="1098"/>
        <v>0</v>
      </c>
      <c r="DU563">
        <f t="shared" si="1098"/>
        <v>0</v>
      </c>
      <c r="DV563">
        <f t="shared" si="1098"/>
        <v>0</v>
      </c>
      <c r="DW563">
        <f t="shared" si="1098"/>
        <v>0</v>
      </c>
      <c r="DX563">
        <f t="shared" si="1098"/>
        <v>0</v>
      </c>
      <c r="EA563">
        <f t="shared" ref="EA563:EB567" si="1099">IF($C563&lt;&gt;"",IF(BL563&gt;0,1,0),0)</f>
        <v>0</v>
      </c>
      <c r="EB563">
        <f t="shared" si="1099"/>
        <v>0</v>
      </c>
      <c r="ED563">
        <f t="shared" ref="ED563:EF567" si="1100">IF($C563&lt;&gt;"",IF(BO563&gt;0,1,0),0)</f>
        <v>0</v>
      </c>
      <c r="EE563">
        <f t="shared" si="1100"/>
        <v>0</v>
      </c>
      <c r="EF563">
        <f t="shared" si="1100"/>
        <v>0</v>
      </c>
    </row>
    <row r="564" spans="1:136" ht="15.5">
      <c r="A564" s="90"/>
      <c r="B564" s="53" t="s">
        <v>3</v>
      </c>
      <c r="C564" s="96"/>
      <c r="D564" s="18">
        <v>0</v>
      </c>
      <c r="E564" s="18">
        <v>0</v>
      </c>
      <c r="F564" s="18">
        <v>0</v>
      </c>
      <c r="G564" s="18">
        <v>0</v>
      </c>
      <c r="H564" s="18">
        <v>0</v>
      </c>
      <c r="I564" s="18">
        <v>0</v>
      </c>
      <c r="J564" s="18">
        <v>0</v>
      </c>
      <c r="K564" s="18">
        <v>0</v>
      </c>
      <c r="L564" s="18">
        <v>0</v>
      </c>
      <c r="M564" s="18">
        <v>0</v>
      </c>
      <c r="N564" s="18">
        <v>0</v>
      </c>
      <c r="O564" s="18">
        <v>0</v>
      </c>
      <c r="P564" s="18">
        <v>0</v>
      </c>
      <c r="Q564" s="18">
        <v>0</v>
      </c>
      <c r="R564" s="18">
        <v>0</v>
      </c>
      <c r="S564" s="18">
        <v>0</v>
      </c>
      <c r="T564" s="18">
        <v>0</v>
      </c>
      <c r="U564" s="18">
        <v>0.25</v>
      </c>
      <c r="V564" s="18">
        <v>0.182</v>
      </c>
      <c r="W564" s="18">
        <v>0.627</v>
      </c>
      <c r="X564" s="18">
        <v>0.46800000000000003</v>
      </c>
      <c r="Y564" s="18">
        <v>0.48380899999999999</v>
      </c>
      <c r="Z564" s="18">
        <v>6.2721429999999998</v>
      </c>
      <c r="AA564" s="18">
        <v>10.429460000000001</v>
      </c>
      <c r="AB564" s="18">
        <v>14.42835</v>
      </c>
      <c r="AC564" s="18">
        <v>26.199249999999999</v>
      </c>
      <c r="AD564" s="18">
        <v>50.166829999999997</v>
      </c>
      <c r="AE564" s="18">
        <v>86.637010000000004</v>
      </c>
      <c r="AF564" s="18">
        <v>107.7727</v>
      </c>
      <c r="AG564" s="40" t="s">
        <v>16</v>
      </c>
      <c r="AH564" s="40" t="s">
        <v>16</v>
      </c>
      <c r="AI564" s="18">
        <f>563.9232-AI562</f>
        <v>542.32319999999993</v>
      </c>
      <c r="AJ564" s="18">
        <v>2</v>
      </c>
      <c r="AK564" s="18">
        <f>205.0091-AK562</f>
        <v>198.50909999999999</v>
      </c>
      <c r="AL564" s="18">
        <v>210.0806</v>
      </c>
      <c r="AM564" s="18">
        <f>160.6035-AM562</f>
        <v>127.8035</v>
      </c>
      <c r="AN564" s="18">
        <v>32</v>
      </c>
      <c r="AO564" s="18">
        <v>261.85820000000001</v>
      </c>
      <c r="AP564" s="18">
        <f>138.5482-AP563</f>
        <v>136.70520000000002</v>
      </c>
      <c r="AQ564" s="40" t="s">
        <v>16</v>
      </c>
      <c r="AR564" s="18">
        <f>133.8241105-AR563</f>
        <v>130.13711049999998</v>
      </c>
      <c r="AS564" s="18">
        <f>122.4719078-AS563</f>
        <v>118.7849078</v>
      </c>
      <c r="AT564" s="18">
        <f>132.1039179-AT563</f>
        <v>127.7479179</v>
      </c>
      <c r="AU564" s="18">
        <f>171.0607632-AU563</f>
        <v>166.96376319999999</v>
      </c>
      <c r="AV564" s="40" t="s">
        <v>16</v>
      </c>
      <c r="AW564" s="18">
        <f>662.817754-AW563</f>
        <v>658.98700400000007</v>
      </c>
      <c r="AX564" s="18">
        <f>1515.5128822-AX563</f>
        <v>1502.5787917</v>
      </c>
      <c r="AY564" s="18">
        <f>1241.7138102-AY563</f>
        <v>1127.919494</v>
      </c>
      <c r="AZ564" s="18">
        <f>78.9771146-AZ563</f>
        <v>69.962717599999991</v>
      </c>
      <c r="BA564" s="18">
        <f>44.5875475-BA563</f>
        <v>38.792260800000001</v>
      </c>
      <c r="BB564" s="18">
        <v>45.352242200000006</v>
      </c>
      <c r="BC564" s="18">
        <v>114.41121930000001</v>
      </c>
      <c r="BD564" s="18">
        <v>26.032905900000003</v>
      </c>
      <c r="BE564" s="25">
        <v>25.295911699999998</v>
      </c>
      <c r="BF564" s="18">
        <v>22.774013499999999</v>
      </c>
      <c r="BG564" s="18">
        <v>18.829152700000002</v>
      </c>
      <c r="BH564" s="18">
        <f>11.185645-BH563</f>
        <v>9.1856449999999992</v>
      </c>
      <c r="BI564" s="18">
        <v>17.683450799999999</v>
      </c>
      <c r="BJ564" s="18">
        <v>13.411795</v>
      </c>
      <c r="BK564" s="18">
        <v>11.608000000000001</v>
      </c>
      <c r="BL564" s="113">
        <v>0</v>
      </c>
      <c r="BM564" s="113">
        <v>18.774000000000001</v>
      </c>
      <c r="BN564" s="113">
        <v>21.329577399999998</v>
      </c>
      <c r="BO564" s="113">
        <v>24</v>
      </c>
      <c r="BP564" s="113">
        <v>27</v>
      </c>
      <c r="BQ564" s="18">
        <v>0</v>
      </c>
      <c r="BR564" s="101"/>
      <c r="BS564">
        <f t="shared" ref="BS564:CB567" si="1101">IF($C564&lt;&gt;"",IF(D564&gt;0,1,0),0)</f>
        <v>0</v>
      </c>
      <c r="BT564">
        <f t="shared" si="1101"/>
        <v>0</v>
      </c>
      <c r="BU564">
        <f t="shared" si="1101"/>
        <v>0</v>
      </c>
      <c r="BV564">
        <f t="shared" si="1101"/>
        <v>0</v>
      </c>
      <c r="BW564">
        <f t="shared" si="1101"/>
        <v>0</v>
      </c>
      <c r="BX564">
        <f t="shared" si="1101"/>
        <v>0</v>
      </c>
      <c r="BY564">
        <f t="shared" si="1101"/>
        <v>0</v>
      </c>
      <c r="BZ564">
        <f t="shared" si="1101"/>
        <v>0</v>
      </c>
      <c r="CA564">
        <f t="shared" si="1101"/>
        <v>0</v>
      </c>
      <c r="CB564">
        <f t="shared" si="1101"/>
        <v>0</v>
      </c>
      <c r="CC564">
        <f t="shared" ref="CC564:CL567" si="1102">IF($C564&lt;&gt;"",IF(N564&gt;0,1,0),0)</f>
        <v>0</v>
      </c>
      <c r="CD564">
        <f t="shared" si="1102"/>
        <v>0</v>
      </c>
      <c r="CE564">
        <f t="shared" si="1102"/>
        <v>0</v>
      </c>
      <c r="CF564">
        <f t="shared" si="1102"/>
        <v>0</v>
      </c>
      <c r="CG564">
        <f t="shared" si="1102"/>
        <v>0</v>
      </c>
      <c r="CH564">
        <f t="shared" si="1102"/>
        <v>0</v>
      </c>
      <c r="CI564">
        <f t="shared" si="1102"/>
        <v>0</v>
      </c>
      <c r="CJ564">
        <f t="shared" si="1102"/>
        <v>0</v>
      </c>
      <c r="CK564">
        <f t="shared" si="1102"/>
        <v>0</v>
      </c>
      <c r="CL564">
        <f t="shared" si="1102"/>
        <v>0</v>
      </c>
      <c r="CM564">
        <f t="shared" ref="CM564:CV567" si="1103">IF($C564&lt;&gt;"",IF(X564&gt;0,1,0),0)</f>
        <v>0</v>
      </c>
      <c r="CN564">
        <f t="shared" si="1103"/>
        <v>0</v>
      </c>
      <c r="CO564">
        <f t="shared" si="1103"/>
        <v>0</v>
      </c>
      <c r="CP564">
        <f t="shared" si="1103"/>
        <v>0</v>
      </c>
      <c r="CQ564">
        <f t="shared" si="1103"/>
        <v>0</v>
      </c>
      <c r="CR564">
        <f t="shared" si="1103"/>
        <v>0</v>
      </c>
      <c r="CS564">
        <f t="shared" si="1103"/>
        <v>0</v>
      </c>
      <c r="CT564">
        <f t="shared" si="1103"/>
        <v>0</v>
      </c>
      <c r="CU564">
        <f t="shared" si="1103"/>
        <v>0</v>
      </c>
      <c r="CV564">
        <f t="shared" si="1103"/>
        <v>0</v>
      </c>
      <c r="CW564">
        <f t="shared" ref="CW564:DF567" si="1104">IF($C564&lt;&gt;"",IF(AH564&gt;0,1,0),0)</f>
        <v>0</v>
      </c>
      <c r="CX564">
        <f t="shared" si="1104"/>
        <v>0</v>
      </c>
      <c r="CY564">
        <f t="shared" si="1104"/>
        <v>0</v>
      </c>
      <c r="CZ564">
        <f t="shared" si="1104"/>
        <v>0</v>
      </c>
      <c r="DA564">
        <f t="shared" si="1104"/>
        <v>0</v>
      </c>
      <c r="DB564">
        <f t="shared" si="1104"/>
        <v>0</v>
      </c>
      <c r="DC564">
        <f t="shared" si="1104"/>
        <v>0</v>
      </c>
      <c r="DD564">
        <f t="shared" si="1104"/>
        <v>0</v>
      </c>
      <c r="DE564">
        <f t="shared" si="1104"/>
        <v>0</v>
      </c>
      <c r="DF564">
        <f t="shared" si="1104"/>
        <v>0</v>
      </c>
      <c r="DG564">
        <f t="shared" ref="DG564:DP567" si="1105">IF($C564&lt;&gt;"",IF(AR564&gt;0,1,0),0)</f>
        <v>0</v>
      </c>
      <c r="DH564">
        <f t="shared" si="1105"/>
        <v>0</v>
      </c>
      <c r="DI564">
        <f t="shared" si="1105"/>
        <v>0</v>
      </c>
      <c r="DJ564">
        <f t="shared" si="1105"/>
        <v>0</v>
      </c>
      <c r="DK564">
        <f t="shared" si="1105"/>
        <v>0</v>
      </c>
      <c r="DL564">
        <f t="shared" si="1105"/>
        <v>0</v>
      </c>
      <c r="DM564">
        <f t="shared" si="1105"/>
        <v>0</v>
      </c>
      <c r="DN564">
        <f t="shared" si="1105"/>
        <v>0</v>
      </c>
      <c r="DO564">
        <f t="shared" si="1105"/>
        <v>0</v>
      </c>
      <c r="DP564">
        <f t="shared" si="1105"/>
        <v>0</v>
      </c>
      <c r="DQ564">
        <f t="shared" si="1098"/>
        <v>0</v>
      </c>
      <c r="DR564">
        <f t="shared" si="1098"/>
        <v>0</v>
      </c>
      <c r="DS564">
        <f t="shared" si="1098"/>
        <v>0</v>
      </c>
      <c r="DT564">
        <f t="shared" si="1098"/>
        <v>0</v>
      </c>
      <c r="DU564">
        <f t="shared" si="1098"/>
        <v>0</v>
      </c>
      <c r="DV564">
        <f t="shared" si="1098"/>
        <v>0</v>
      </c>
      <c r="DW564">
        <f t="shared" si="1098"/>
        <v>0</v>
      </c>
      <c r="DX564">
        <f t="shared" si="1098"/>
        <v>0</v>
      </c>
      <c r="DY564">
        <f t="shared" ref="DY564:DZ567" si="1106">IF($C564&lt;&gt;"",IF(BJ564&gt;0,1,0),0)</f>
        <v>0</v>
      </c>
      <c r="DZ564">
        <f t="shared" si="1106"/>
        <v>0</v>
      </c>
      <c r="EA564">
        <f t="shared" si="1099"/>
        <v>0</v>
      </c>
      <c r="EB564">
        <f t="shared" si="1099"/>
        <v>0</v>
      </c>
      <c r="EC564">
        <f>IF($C564&lt;&gt;"",IF(BN564&gt;0,1,0),0)</f>
        <v>0</v>
      </c>
      <c r="ED564">
        <f t="shared" si="1100"/>
        <v>0</v>
      </c>
      <c r="EE564">
        <f t="shared" si="1100"/>
        <v>0</v>
      </c>
      <c r="EF564">
        <f t="shared" si="1100"/>
        <v>0</v>
      </c>
    </row>
    <row r="565" spans="1:136" ht="15.5">
      <c r="A565" s="90"/>
      <c r="B565" s="53" t="s">
        <v>18</v>
      </c>
      <c r="C565" s="88"/>
      <c r="D565" s="18">
        <v>0</v>
      </c>
      <c r="E565" s="18">
        <v>0</v>
      </c>
      <c r="F565" s="18">
        <v>0</v>
      </c>
      <c r="G565" s="18">
        <v>0</v>
      </c>
      <c r="H565" s="18">
        <v>0</v>
      </c>
      <c r="I565" s="18">
        <v>0</v>
      </c>
      <c r="J565" s="18">
        <v>0</v>
      </c>
      <c r="K565" s="18">
        <v>0</v>
      </c>
      <c r="L565" s="18">
        <v>0</v>
      </c>
      <c r="M565" s="18">
        <v>0</v>
      </c>
      <c r="N565" s="18">
        <v>0</v>
      </c>
      <c r="O565" s="18">
        <v>0</v>
      </c>
      <c r="P565" s="18">
        <v>0</v>
      </c>
      <c r="Q565" s="18">
        <v>0</v>
      </c>
      <c r="R565" s="18">
        <v>0</v>
      </c>
      <c r="S565" s="18">
        <v>0</v>
      </c>
      <c r="T565" s="18">
        <v>0</v>
      </c>
      <c r="U565" s="18">
        <v>0</v>
      </c>
      <c r="V565" s="18">
        <v>0</v>
      </c>
      <c r="W565" s="18">
        <v>0</v>
      </c>
      <c r="X565" s="18">
        <v>0</v>
      </c>
      <c r="Y565" s="18">
        <v>11.4</v>
      </c>
      <c r="Z565" s="18">
        <v>41.3</v>
      </c>
      <c r="AA565" s="18">
        <v>35.799999999999997</v>
      </c>
      <c r="AB565" s="18">
        <v>368</v>
      </c>
      <c r="AC565" s="40" t="s">
        <v>16</v>
      </c>
      <c r="AD565" s="40" t="s">
        <v>16</v>
      </c>
      <c r="AE565" s="40" t="s">
        <v>16</v>
      </c>
      <c r="AF565" s="40" t="s">
        <v>16</v>
      </c>
      <c r="AG565" s="18">
        <v>132</v>
      </c>
      <c r="AH565" s="40" t="s">
        <v>16</v>
      </c>
      <c r="AI565" s="40" t="s">
        <v>16</v>
      </c>
      <c r="AJ565" s="40" t="s">
        <v>16</v>
      </c>
      <c r="AK565" s="40" t="s">
        <v>16</v>
      </c>
      <c r="AL565" s="40" t="s">
        <v>16</v>
      </c>
      <c r="AM565" s="40" t="s">
        <v>16</v>
      </c>
      <c r="AN565" s="40" t="s">
        <v>16</v>
      </c>
      <c r="AO565" s="40" t="s">
        <v>16</v>
      </c>
      <c r="AP565" s="40" t="s">
        <v>16</v>
      </c>
      <c r="AQ565" s="40" t="s">
        <v>16</v>
      </c>
      <c r="AR565" s="40" t="s">
        <v>16</v>
      </c>
      <c r="AS565" s="18">
        <v>35</v>
      </c>
      <c r="AT565" s="40" t="s">
        <v>16</v>
      </c>
      <c r="AU565" s="40" t="s">
        <v>16</v>
      </c>
      <c r="AV565" s="40" t="s">
        <v>16</v>
      </c>
      <c r="AW565" s="40" t="s">
        <v>16</v>
      </c>
      <c r="AX565" s="40" t="s">
        <v>16</v>
      </c>
      <c r="AY565" s="18">
        <v>0</v>
      </c>
      <c r="AZ565" s="18">
        <v>0</v>
      </c>
      <c r="BA565" s="18">
        <v>0</v>
      </c>
      <c r="BB565" s="18">
        <v>0</v>
      </c>
      <c r="BC565" s="18">
        <v>0</v>
      </c>
      <c r="BD565" s="18">
        <v>0</v>
      </c>
      <c r="BE565" s="18">
        <v>0</v>
      </c>
      <c r="BF565" s="18">
        <v>0</v>
      </c>
      <c r="BG565" s="18">
        <v>0</v>
      </c>
      <c r="BH565" s="18">
        <v>0</v>
      </c>
      <c r="BI565" s="18">
        <v>0</v>
      </c>
      <c r="BJ565" s="113">
        <v>0</v>
      </c>
      <c r="BK565" s="113">
        <v>0</v>
      </c>
      <c r="BL565" s="18">
        <v>0</v>
      </c>
      <c r="BM565" s="18">
        <v>0</v>
      </c>
      <c r="BN565" s="18">
        <v>0</v>
      </c>
      <c r="BO565" s="18">
        <v>0</v>
      </c>
      <c r="BP565" s="18">
        <v>0</v>
      </c>
      <c r="BQ565" s="18">
        <v>0</v>
      </c>
      <c r="BR565" s="101"/>
      <c r="BS565">
        <f t="shared" si="1101"/>
        <v>0</v>
      </c>
      <c r="BT565">
        <f t="shared" si="1101"/>
        <v>0</v>
      </c>
      <c r="BU565">
        <f t="shared" si="1101"/>
        <v>0</v>
      </c>
      <c r="BV565">
        <f t="shared" si="1101"/>
        <v>0</v>
      </c>
      <c r="BW565">
        <f t="shared" si="1101"/>
        <v>0</v>
      </c>
      <c r="BX565">
        <f t="shared" si="1101"/>
        <v>0</v>
      </c>
      <c r="BY565">
        <f t="shared" si="1101"/>
        <v>0</v>
      </c>
      <c r="BZ565">
        <f t="shared" si="1101"/>
        <v>0</v>
      </c>
      <c r="CA565">
        <f t="shared" si="1101"/>
        <v>0</v>
      </c>
      <c r="CB565">
        <f t="shared" si="1101"/>
        <v>0</v>
      </c>
      <c r="CC565">
        <f t="shared" si="1102"/>
        <v>0</v>
      </c>
      <c r="CD565">
        <f t="shared" si="1102"/>
        <v>0</v>
      </c>
      <c r="CE565">
        <f t="shared" si="1102"/>
        <v>0</v>
      </c>
      <c r="CF565">
        <f t="shared" si="1102"/>
        <v>0</v>
      </c>
      <c r="CG565">
        <f t="shared" si="1102"/>
        <v>0</v>
      </c>
      <c r="CH565">
        <f t="shared" si="1102"/>
        <v>0</v>
      </c>
      <c r="CI565">
        <f t="shared" si="1102"/>
        <v>0</v>
      </c>
      <c r="CJ565">
        <f t="shared" si="1102"/>
        <v>0</v>
      </c>
      <c r="CK565">
        <f t="shared" si="1102"/>
        <v>0</v>
      </c>
      <c r="CL565">
        <f t="shared" si="1102"/>
        <v>0</v>
      </c>
      <c r="CM565">
        <f t="shared" si="1103"/>
        <v>0</v>
      </c>
      <c r="CN565">
        <f t="shared" si="1103"/>
        <v>0</v>
      </c>
      <c r="CO565">
        <f t="shared" si="1103"/>
        <v>0</v>
      </c>
      <c r="CP565">
        <f t="shared" si="1103"/>
        <v>0</v>
      </c>
      <c r="CQ565">
        <f t="shared" si="1103"/>
        <v>0</v>
      </c>
      <c r="CR565">
        <f t="shared" si="1103"/>
        <v>0</v>
      </c>
      <c r="CS565">
        <f t="shared" si="1103"/>
        <v>0</v>
      </c>
      <c r="CT565">
        <f t="shared" si="1103"/>
        <v>0</v>
      </c>
      <c r="CU565">
        <f t="shared" si="1103"/>
        <v>0</v>
      </c>
      <c r="CV565">
        <f t="shared" si="1103"/>
        <v>0</v>
      </c>
      <c r="CW565">
        <f t="shared" si="1104"/>
        <v>0</v>
      </c>
      <c r="CX565">
        <f t="shared" si="1104"/>
        <v>0</v>
      </c>
      <c r="CY565">
        <f t="shared" si="1104"/>
        <v>0</v>
      </c>
      <c r="CZ565">
        <f t="shared" si="1104"/>
        <v>0</v>
      </c>
      <c r="DA565">
        <f t="shared" si="1104"/>
        <v>0</v>
      </c>
      <c r="DB565">
        <f t="shared" si="1104"/>
        <v>0</v>
      </c>
      <c r="DC565">
        <f t="shared" si="1104"/>
        <v>0</v>
      </c>
      <c r="DD565">
        <f t="shared" si="1104"/>
        <v>0</v>
      </c>
      <c r="DE565">
        <f t="shared" si="1104"/>
        <v>0</v>
      </c>
      <c r="DF565">
        <f t="shared" si="1104"/>
        <v>0</v>
      </c>
      <c r="DG565">
        <f t="shared" si="1105"/>
        <v>0</v>
      </c>
      <c r="DH565">
        <f t="shared" si="1105"/>
        <v>0</v>
      </c>
      <c r="DI565">
        <f t="shared" si="1105"/>
        <v>0</v>
      </c>
      <c r="DJ565">
        <f t="shared" si="1105"/>
        <v>0</v>
      </c>
      <c r="DK565">
        <f t="shared" si="1105"/>
        <v>0</v>
      </c>
      <c r="DL565">
        <f t="shared" si="1105"/>
        <v>0</v>
      </c>
      <c r="DM565">
        <f t="shared" si="1105"/>
        <v>0</v>
      </c>
      <c r="DN565">
        <f t="shared" si="1105"/>
        <v>0</v>
      </c>
      <c r="DO565">
        <f t="shared" si="1105"/>
        <v>0</v>
      </c>
      <c r="DP565">
        <f t="shared" si="1105"/>
        <v>0</v>
      </c>
      <c r="DQ565">
        <f t="shared" si="1098"/>
        <v>0</v>
      </c>
      <c r="DR565">
        <f t="shared" si="1098"/>
        <v>0</v>
      </c>
      <c r="DS565">
        <f t="shared" si="1098"/>
        <v>0</v>
      </c>
      <c r="DT565">
        <f t="shared" si="1098"/>
        <v>0</v>
      </c>
      <c r="DU565">
        <f t="shared" si="1098"/>
        <v>0</v>
      </c>
      <c r="DV565">
        <f t="shared" si="1098"/>
        <v>0</v>
      </c>
      <c r="DW565">
        <f t="shared" si="1098"/>
        <v>0</v>
      </c>
      <c r="DX565">
        <f t="shared" si="1098"/>
        <v>0</v>
      </c>
      <c r="DY565">
        <f t="shared" si="1106"/>
        <v>0</v>
      </c>
      <c r="DZ565">
        <f t="shared" si="1106"/>
        <v>0</v>
      </c>
      <c r="EA565">
        <f t="shared" si="1099"/>
        <v>0</v>
      </c>
      <c r="EB565">
        <f t="shared" si="1099"/>
        <v>0</v>
      </c>
      <c r="EC565">
        <f>IF($C565&lt;&gt;"",IF(BN565&gt;0,1,0),0)</f>
        <v>0</v>
      </c>
      <c r="ED565">
        <f t="shared" si="1100"/>
        <v>0</v>
      </c>
      <c r="EE565">
        <f t="shared" si="1100"/>
        <v>0</v>
      </c>
      <c r="EF565">
        <f t="shared" si="1100"/>
        <v>0</v>
      </c>
    </row>
    <row r="566" spans="1:136" ht="15.5">
      <c r="A566" s="90"/>
      <c r="B566" s="19" t="s">
        <v>208</v>
      </c>
      <c r="C566" s="96"/>
      <c r="D566" s="18">
        <v>0</v>
      </c>
      <c r="E566" s="18">
        <v>0</v>
      </c>
      <c r="F566" s="18">
        <v>0</v>
      </c>
      <c r="G566" s="18">
        <v>0</v>
      </c>
      <c r="H566" s="18">
        <v>0</v>
      </c>
      <c r="I566" s="18">
        <v>0</v>
      </c>
      <c r="J566" s="18">
        <v>0</v>
      </c>
      <c r="K566" s="18">
        <v>0</v>
      </c>
      <c r="L566" s="18">
        <v>0</v>
      </c>
      <c r="M566" s="18">
        <v>0</v>
      </c>
      <c r="N566" s="18">
        <v>0</v>
      </c>
      <c r="O566" s="18">
        <v>0</v>
      </c>
      <c r="P566" s="18">
        <v>0</v>
      </c>
      <c r="Q566" s="18">
        <v>0</v>
      </c>
      <c r="R566" s="18">
        <v>0</v>
      </c>
      <c r="S566" s="18">
        <v>0</v>
      </c>
      <c r="T566" s="18">
        <v>0</v>
      </c>
      <c r="U566" s="18">
        <v>0</v>
      </c>
      <c r="V566" s="18">
        <v>0.82799999999999996</v>
      </c>
      <c r="W566" s="18">
        <v>1.9730000000000001</v>
      </c>
      <c r="X566" s="18">
        <v>2.2149999999999999</v>
      </c>
      <c r="Y566" s="18">
        <v>4.1689999999999996</v>
      </c>
      <c r="Z566" s="18">
        <v>50.658000000000001</v>
      </c>
      <c r="AA566" s="18">
        <v>66</v>
      </c>
      <c r="AB566" s="40" t="s">
        <v>16</v>
      </c>
      <c r="AC566" s="18">
        <v>259.10829999999999</v>
      </c>
      <c r="AD566" s="18">
        <v>310.51510000000002</v>
      </c>
      <c r="AE566" s="18">
        <v>349.07650000000001</v>
      </c>
      <c r="AF566" s="18">
        <v>373.84289999999999</v>
      </c>
      <c r="AG566" s="18">
        <v>219</v>
      </c>
      <c r="AH566" s="18">
        <v>328.44009999999997</v>
      </c>
      <c r="AI566" s="18">
        <v>180.4982</v>
      </c>
      <c r="AJ566" s="18">
        <v>124.80500000000001</v>
      </c>
      <c r="AK566" s="18">
        <v>185.6377</v>
      </c>
      <c r="AL566" s="18">
        <v>132.82570000000001</v>
      </c>
      <c r="AM566" s="18">
        <v>132.36019999999999</v>
      </c>
      <c r="AN566" s="18">
        <v>102.5076</v>
      </c>
      <c r="AO566" s="18">
        <v>91.987669999999994</v>
      </c>
      <c r="AP566" s="18">
        <v>110.1768</v>
      </c>
      <c r="AQ566" s="18">
        <v>118.1521</v>
      </c>
      <c r="AR566" s="18">
        <v>122.44783269999999</v>
      </c>
      <c r="AS566" s="18">
        <v>45.285276500000002</v>
      </c>
      <c r="AT566" s="18">
        <v>44.134731700000003</v>
      </c>
      <c r="AU566" s="18">
        <v>55.105131999999998</v>
      </c>
      <c r="AV566" s="18">
        <v>122.7821256</v>
      </c>
      <c r="AW566" s="18">
        <v>32.6000728</v>
      </c>
      <c r="AX566" s="18">
        <v>4.4274589999999998</v>
      </c>
      <c r="AY566" s="18">
        <v>2.3964259999999999</v>
      </c>
      <c r="AZ566" s="18">
        <v>2.7356704999999999</v>
      </c>
      <c r="BA566" s="18">
        <v>3.2317178000000002</v>
      </c>
      <c r="BB566" s="18">
        <v>3.2505134000000004</v>
      </c>
      <c r="BC566" s="18">
        <v>0.83599999999999997</v>
      </c>
      <c r="BD566" s="18">
        <v>0.83599999999999997</v>
      </c>
      <c r="BE566" s="25">
        <v>0.83599999999999997</v>
      </c>
      <c r="BF566" s="18">
        <v>0.83599999999999997</v>
      </c>
      <c r="BG566" s="18">
        <v>0.83599999999999997</v>
      </c>
      <c r="BH566" s="18">
        <v>2.7679999999999998</v>
      </c>
      <c r="BI566" s="18">
        <v>0.38700000000000001</v>
      </c>
      <c r="BJ566" s="40">
        <v>0.38700000000000001</v>
      </c>
      <c r="BK566" s="40">
        <v>0.38700000000000001</v>
      </c>
      <c r="BL566" s="40">
        <v>0.38700000000000001</v>
      </c>
      <c r="BM566" s="40">
        <v>0.38700000000000001</v>
      </c>
      <c r="BN566" s="40">
        <v>0.38700000000000001</v>
      </c>
      <c r="BO566" s="40">
        <v>0.38700000000000001</v>
      </c>
      <c r="BP566" s="40">
        <v>0.38700000000000001</v>
      </c>
      <c r="BQ566" s="18">
        <v>0</v>
      </c>
      <c r="BR566" s="101"/>
      <c r="BS566">
        <f t="shared" si="1101"/>
        <v>0</v>
      </c>
      <c r="BT566">
        <f t="shared" si="1101"/>
        <v>0</v>
      </c>
      <c r="BU566">
        <f t="shared" si="1101"/>
        <v>0</v>
      </c>
      <c r="BV566">
        <f t="shared" si="1101"/>
        <v>0</v>
      </c>
      <c r="BW566">
        <f t="shared" si="1101"/>
        <v>0</v>
      </c>
      <c r="BX566">
        <f t="shared" si="1101"/>
        <v>0</v>
      </c>
      <c r="BY566">
        <f t="shared" si="1101"/>
        <v>0</v>
      </c>
      <c r="BZ566">
        <f t="shared" si="1101"/>
        <v>0</v>
      </c>
      <c r="CA566">
        <f t="shared" si="1101"/>
        <v>0</v>
      </c>
      <c r="CB566">
        <f t="shared" si="1101"/>
        <v>0</v>
      </c>
      <c r="CC566">
        <f t="shared" si="1102"/>
        <v>0</v>
      </c>
      <c r="CD566">
        <f t="shared" si="1102"/>
        <v>0</v>
      </c>
      <c r="CE566">
        <f t="shared" si="1102"/>
        <v>0</v>
      </c>
      <c r="CF566">
        <f t="shared" si="1102"/>
        <v>0</v>
      </c>
      <c r="CG566">
        <f t="shared" si="1102"/>
        <v>0</v>
      </c>
      <c r="CH566">
        <f t="shared" si="1102"/>
        <v>0</v>
      </c>
      <c r="CI566">
        <f t="shared" si="1102"/>
        <v>0</v>
      </c>
      <c r="CJ566">
        <f t="shared" si="1102"/>
        <v>0</v>
      </c>
      <c r="CK566">
        <f t="shared" si="1102"/>
        <v>0</v>
      </c>
      <c r="CL566">
        <f t="shared" si="1102"/>
        <v>0</v>
      </c>
      <c r="CM566">
        <f t="shared" si="1103"/>
        <v>0</v>
      </c>
      <c r="CN566">
        <f t="shared" si="1103"/>
        <v>0</v>
      </c>
      <c r="CO566">
        <f t="shared" si="1103"/>
        <v>0</v>
      </c>
      <c r="CP566">
        <f t="shared" si="1103"/>
        <v>0</v>
      </c>
      <c r="CQ566">
        <f t="shared" si="1103"/>
        <v>0</v>
      </c>
      <c r="CR566">
        <f t="shared" si="1103"/>
        <v>0</v>
      </c>
      <c r="CS566">
        <f t="shared" si="1103"/>
        <v>0</v>
      </c>
      <c r="CT566">
        <f t="shared" si="1103"/>
        <v>0</v>
      </c>
      <c r="CU566">
        <f t="shared" si="1103"/>
        <v>0</v>
      </c>
      <c r="CV566">
        <f t="shared" si="1103"/>
        <v>0</v>
      </c>
      <c r="CW566">
        <f t="shared" si="1104"/>
        <v>0</v>
      </c>
      <c r="CX566">
        <f t="shared" si="1104"/>
        <v>0</v>
      </c>
      <c r="CY566">
        <f t="shared" si="1104"/>
        <v>0</v>
      </c>
      <c r="CZ566">
        <f t="shared" si="1104"/>
        <v>0</v>
      </c>
      <c r="DA566">
        <f t="shared" si="1104"/>
        <v>0</v>
      </c>
      <c r="DB566">
        <f t="shared" si="1104"/>
        <v>0</v>
      </c>
      <c r="DC566">
        <f t="shared" si="1104"/>
        <v>0</v>
      </c>
      <c r="DD566">
        <f t="shared" si="1104"/>
        <v>0</v>
      </c>
      <c r="DE566">
        <f t="shared" si="1104"/>
        <v>0</v>
      </c>
      <c r="DF566">
        <f t="shared" si="1104"/>
        <v>0</v>
      </c>
      <c r="DG566">
        <f t="shared" si="1105"/>
        <v>0</v>
      </c>
      <c r="DH566">
        <f t="shared" si="1105"/>
        <v>0</v>
      </c>
      <c r="DI566">
        <f t="shared" si="1105"/>
        <v>0</v>
      </c>
      <c r="DJ566">
        <f t="shared" si="1105"/>
        <v>0</v>
      </c>
      <c r="DK566">
        <f t="shared" si="1105"/>
        <v>0</v>
      </c>
      <c r="DL566">
        <f t="shared" si="1105"/>
        <v>0</v>
      </c>
      <c r="DM566">
        <f t="shared" si="1105"/>
        <v>0</v>
      </c>
      <c r="DN566">
        <f t="shared" si="1105"/>
        <v>0</v>
      </c>
      <c r="DO566">
        <f t="shared" si="1105"/>
        <v>0</v>
      </c>
      <c r="DP566">
        <f t="shared" si="1105"/>
        <v>0</v>
      </c>
      <c r="DQ566">
        <f t="shared" si="1098"/>
        <v>0</v>
      </c>
      <c r="DR566">
        <f t="shared" si="1098"/>
        <v>0</v>
      </c>
      <c r="DS566">
        <f t="shared" si="1098"/>
        <v>0</v>
      </c>
      <c r="DT566">
        <f t="shared" si="1098"/>
        <v>0</v>
      </c>
      <c r="DU566">
        <f t="shared" si="1098"/>
        <v>0</v>
      </c>
      <c r="DV566">
        <f t="shared" si="1098"/>
        <v>0</v>
      </c>
      <c r="DW566">
        <f t="shared" si="1098"/>
        <v>0</v>
      </c>
      <c r="DX566">
        <f t="shared" si="1098"/>
        <v>0</v>
      </c>
      <c r="DY566">
        <f t="shared" si="1106"/>
        <v>0</v>
      </c>
      <c r="DZ566">
        <f t="shared" si="1106"/>
        <v>0</v>
      </c>
      <c r="EA566">
        <f t="shared" si="1099"/>
        <v>0</v>
      </c>
      <c r="EB566">
        <f t="shared" si="1099"/>
        <v>0</v>
      </c>
      <c r="EC566">
        <f>IF($C566&lt;&gt;"",IF(BN566&gt;0,1,0),0)</f>
        <v>0</v>
      </c>
      <c r="ED566">
        <f t="shared" si="1100"/>
        <v>0</v>
      </c>
      <c r="EE566">
        <f t="shared" si="1100"/>
        <v>0</v>
      </c>
      <c r="EF566">
        <f t="shared" si="1100"/>
        <v>0</v>
      </c>
    </row>
    <row r="567" spans="1:136" ht="15.5">
      <c r="A567" s="90"/>
      <c r="B567" s="19" t="s">
        <v>212</v>
      </c>
      <c r="C567" s="96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40"/>
      <c r="AC567" s="18">
        <v>0</v>
      </c>
      <c r="AD567" s="18">
        <v>0</v>
      </c>
      <c r="AE567" s="18">
        <v>0</v>
      </c>
      <c r="AF567" s="18">
        <v>0</v>
      </c>
      <c r="AG567" s="18">
        <v>0</v>
      </c>
      <c r="AH567" s="18">
        <v>15.57177615571776</v>
      </c>
      <c r="AI567" s="18">
        <v>20.488721804511275</v>
      </c>
      <c r="AJ567" s="18">
        <v>22.727272727272727</v>
      </c>
      <c r="AK567" s="18">
        <v>53.941267387944357</v>
      </c>
      <c r="AL567" s="18">
        <v>41.141498216409033</v>
      </c>
      <c r="AM567" s="18">
        <v>13.093980992608236</v>
      </c>
      <c r="AN567" s="18">
        <v>2.7350427350427351</v>
      </c>
      <c r="AO567" s="18">
        <v>0.76923076923076927</v>
      </c>
      <c r="AP567" s="18">
        <v>0</v>
      </c>
      <c r="AQ567" s="18">
        <v>3176.2162162162163</v>
      </c>
      <c r="AR567" s="72">
        <v>3093.1125827814571</v>
      </c>
      <c r="AS567" s="72">
        <v>3046.7881607858344</v>
      </c>
      <c r="AT567" s="72">
        <v>2894.6711859456104</v>
      </c>
      <c r="AU567" s="72">
        <v>2719.8039780916693</v>
      </c>
      <c r="AV567" s="72">
        <v>2636.2183020948178</v>
      </c>
      <c r="AW567" s="72">
        <v>2617.3864894795129</v>
      </c>
      <c r="AX567" s="72">
        <v>2612.7671232876714</v>
      </c>
      <c r="AY567" s="72">
        <v>2592.8836962294213</v>
      </c>
      <c r="AZ567" s="72">
        <v>2337.7358490566039</v>
      </c>
      <c r="BA567" s="72">
        <v>2363.9466666666667</v>
      </c>
      <c r="BB567" s="72">
        <v>2357.6216216216217</v>
      </c>
      <c r="BC567" s="72">
        <v>2379.5368874528808</v>
      </c>
      <c r="BD567" s="72">
        <v>2753.4429599177797</v>
      </c>
      <c r="BE567" s="72">
        <v>2568.0417495029819</v>
      </c>
      <c r="BF567" s="72">
        <v>2379.1532443626324</v>
      </c>
      <c r="BG567" s="72">
        <v>2209.6640589047402</v>
      </c>
      <c r="BH567" s="129">
        <v>1796.1975524475524</v>
      </c>
      <c r="BI567" s="129">
        <v>1386.4224137931035</v>
      </c>
      <c r="BJ567" s="129">
        <v>1356.4155629139073</v>
      </c>
      <c r="BK567" s="129">
        <v>1219.5121951219512</v>
      </c>
      <c r="BL567" s="113">
        <v>708</v>
      </c>
      <c r="BM567" s="129">
        <v>626</v>
      </c>
      <c r="BN567" s="113">
        <v>625</v>
      </c>
      <c r="BO567" s="18">
        <v>682</v>
      </c>
      <c r="BP567" s="113">
        <v>441</v>
      </c>
      <c r="BQ567" s="113">
        <v>383</v>
      </c>
      <c r="BR567" s="101"/>
      <c r="BS567">
        <f t="shared" si="1101"/>
        <v>0</v>
      </c>
      <c r="BT567">
        <f t="shared" si="1101"/>
        <v>0</v>
      </c>
      <c r="BU567">
        <f t="shared" si="1101"/>
        <v>0</v>
      </c>
      <c r="BV567">
        <f t="shared" si="1101"/>
        <v>0</v>
      </c>
      <c r="BW567">
        <f t="shared" si="1101"/>
        <v>0</v>
      </c>
      <c r="BX567">
        <f t="shared" si="1101"/>
        <v>0</v>
      </c>
      <c r="BY567">
        <f t="shared" si="1101"/>
        <v>0</v>
      </c>
      <c r="BZ567">
        <f t="shared" si="1101"/>
        <v>0</v>
      </c>
      <c r="CA567">
        <f t="shared" si="1101"/>
        <v>0</v>
      </c>
      <c r="CB567">
        <f t="shared" si="1101"/>
        <v>0</v>
      </c>
      <c r="CC567">
        <f t="shared" si="1102"/>
        <v>0</v>
      </c>
      <c r="CD567">
        <f t="shared" si="1102"/>
        <v>0</v>
      </c>
      <c r="CE567">
        <f t="shared" si="1102"/>
        <v>0</v>
      </c>
      <c r="CF567">
        <f t="shared" si="1102"/>
        <v>0</v>
      </c>
      <c r="CG567">
        <f t="shared" si="1102"/>
        <v>0</v>
      </c>
      <c r="CH567">
        <f t="shared" si="1102"/>
        <v>0</v>
      </c>
      <c r="CI567">
        <f t="shared" si="1102"/>
        <v>0</v>
      </c>
      <c r="CJ567">
        <f t="shared" si="1102"/>
        <v>0</v>
      </c>
      <c r="CK567">
        <f t="shared" si="1102"/>
        <v>0</v>
      </c>
      <c r="CL567">
        <f t="shared" si="1102"/>
        <v>0</v>
      </c>
      <c r="CM567">
        <f t="shared" si="1103"/>
        <v>0</v>
      </c>
      <c r="CN567">
        <f t="shared" si="1103"/>
        <v>0</v>
      </c>
      <c r="CO567">
        <f t="shared" si="1103"/>
        <v>0</v>
      </c>
      <c r="CP567">
        <f t="shared" si="1103"/>
        <v>0</v>
      </c>
      <c r="CQ567">
        <f t="shared" si="1103"/>
        <v>0</v>
      </c>
      <c r="CR567">
        <f t="shared" si="1103"/>
        <v>0</v>
      </c>
      <c r="CS567">
        <f t="shared" si="1103"/>
        <v>0</v>
      </c>
      <c r="CT567">
        <f t="shared" si="1103"/>
        <v>0</v>
      </c>
      <c r="CU567">
        <f t="shared" si="1103"/>
        <v>0</v>
      </c>
      <c r="CV567">
        <f t="shared" si="1103"/>
        <v>0</v>
      </c>
      <c r="CW567">
        <f t="shared" si="1104"/>
        <v>0</v>
      </c>
      <c r="CX567">
        <f t="shared" si="1104"/>
        <v>0</v>
      </c>
      <c r="CY567">
        <f t="shared" si="1104"/>
        <v>0</v>
      </c>
      <c r="CZ567">
        <f t="shared" si="1104"/>
        <v>0</v>
      </c>
      <c r="DA567">
        <f t="shared" si="1104"/>
        <v>0</v>
      </c>
      <c r="DB567">
        <f t="shared" si="1104"/>
        <v>0</v>
      </c>
      <c r="DC567">
        <f t="shared" si="1104"/>
        <v>0</v>
      </c>
      <c r="DD567">
        <f t="shared" si="1104"/>
        <v>0</v>
      </c>
      <c r="DE567">
        <f t="shared" si="1104"/>
        <v>0</v>
      </c>
      <c r="DF567">
        <f t="shared" si="1104"/>
        <v>0</v>
      </c>
      <c r="DG567">
        <f t="shared" si="1105"/>
        <v>0</v>
      </c>
      <c r="DH567">
        <f t="shared" si="1105"/>
        <v>0</v>
      </c>
      <c r="DI567">
        <f t="shared" si="1105"/>
        <v>0</v>
      </c>
      <c r="DJ567">
        <f t="shared" si="1105"/>
        <v>0</v>
      </c>
      <c r="DK567">
        <f t="shared" si="1105"/>
        <v>0</v>
      </c>
      <c r="DL567">
        <f t="shared" si="1105"/>
        <v>0</v>
      </c>
      <c r="DM567">
        <f t="shared" si="1105"/>
        <v>0</v>
      </c>
      <c r="DN567">
        <f t="shared" si="1105"/>
        <v>0</v>
      </c>
      <c r="DO567">
        <f t="shared" si="1105"/>
        <v>0</v>
      </c>
      <c r="DP567">
        <f t="shared" si="1105"/>
        <v>0</v>
      </c>
      <c r="DQ567">
        <f t="shared" si="1098"/>
        <v>0</v>
      </c>
      <c r="DR567">
        <f t="shared" si="1098"/>
        <v>0</v>
      </c>
      <c r="DS567">
        <f t="shared" si="1098"/>
        <v>0</v>
      </c>
      <c r="DT567">
        <f t="shared" si="1098"/>
        <v>0</v>
      </c>
      <c r="DU567">
        <f t="shared" si="1098"/>
        <v>0</v>
      </c>
      <c r="DV567">
        <f t="shared" si="1098"/>
        <v>0</v>
      </c>
      <c r="DW567">
        <f t="shared" si="1098"/>
        <v>0</v>
      </c>
      <c r="DX567">
        <f t="shared" si="1098"/>
        <v>0</v>
      </c>
      <c r="DY567">
        <f t="shared" si="1106"/>
        <v>0</v>
      </c>
      <c r="DZ567">
        <f t="shared" si="1106"/>
        <v>0</v>
      </c>
      <c r="EA567">
        <f t="shared" si="1099"/>
        <v>0</v>
      </c>
      <c r="EB567">
        <f t="shared" si="1099"/>
        <v>0</v>
      </c>
      <c r="EC567">
        <f>IF($C567&lt;&gt;"",IF(BN567&gt;0,1,0),0)</f>
        <v>0</v>
      </c>
      <c r="ED567">
        <f t="shared" si="1100"/>
        <v>0</v>
      </c>
      <c r="EE567">
        <f t="shared" si="1100"/>
        <v>0</v>
      </c>
      <c r="EF567">
        <f t="shared" si="1100"/>
        <v>0</v>
      </c>
    </row>
    <row r="568" spans="1:136" ht="15.5">
      <c r="A568" s="90"/>
      <c r="B568" s="53"/>
      <c r="C568" s="96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18"/>
      <c r="AW568" s="18"/>
      <c r="AX568" s="18"/>
      <c r="AY568" s="18"/>
      <c r="AZ568" s="18"/>
      <c r="BA568" s="18"/>
      <c r="BB568" s="18"/>
      <c r="BC568" s="18"/>
      <c r="BD568" s="18"/>
      <c r="BE568" s="25"/>
      <c r="BF568" s="18"/>
      <c r="BG568" s="18"/>
      <c r="BH568" s="2"/>
      <c r="BI568" s="18"/>
      <c r="BJ568" s="2"/>
      <c r="BK568" s="2"/>
      <c r="BL568" s="2"/>
      <c r="BM568" s="2"/>
      <c r="BN568" s="2"/>
      <c r="BO568" s="2"/>
      <c r="BP568" s="2"/>
      <c r="BQ568" s="2"/>
      <c r="BR568" s="101"/>
    </row>
    <row r="569" spans="1:136" ht="15.5">
      <c r="A569" s="93">
        <v>66</v>
      </c>
      <c r="B569" s="52" t="s">
        <v>79</v>
      </c>
      <c r="C569" s="94">
        <v>2</v>
      </c>
      <c r="D569" s="22">
        <f>D570</f>
        <v>144.8484</v>
      </c>
      <c r="E569" s="22">
        <f t="shared" ref="E569:BQ569" si="1107">E570</f>
        <v>147.74760000000001</v>
      </c>
      <c r="F569" s="22">
        <f t="shared" si="1107"/>
        <v>150.64679999999998</v>
      </c>
      <c r="G569" s="22">
        <f t="shared" si="1107"/>
        <v>153.54600000000002</v>
      </c>
      <c r="H569" s="22">
        <f t="shared" si="1107"/>
        <v>156.4452</v>
      </c>
      <c r="I569" s="22">
        <f t="shared" si="1107"/>
        <v>159.34440000000004</v>
      </c>
      <c r="J569" s="22">
        <f t="shared" si="1107"/>
        <v>162.24360000000001</v>
      </c>
      <c r="K569" s="22">
        <f t="shared" si="1107"/>
        <v>148.79440000000002</v>
      </c>
      <c r="L569" s="22">
        <f t="shared" si="1107"/>
        <v>51.590000000000018</v>
      </c>
      <c r="M569" s="22">
        <f t="shared" si="1107"/>
        <v>52.47600000000002</v>
      </c>
      <c r="N569" s="22">
        <f t="shared" si="1107"/>
        <v>53.362000000000023</v>
      </c>
      <c r="O569" s="22">
        <f t="shared" si="1107"/>
        <v>54.248000000000026</v>
      </c>
      <c r="P569" s="22">
        <f t="shared" si="1107"/>
        <v>55.134000000000029</v>
      </c>
      <c r="Q569" s="22">
        <f t="shared" si="1107"/>
        <v>56.020000000000032</v>
      </c>
      <c r="R569" s="22">
        <f t="shared" si="1107"/>
        <v>56.906000000000034</v>
      </c>
      <c r="S569" s="22">
        <f t="shared" si="1107"/>
        <v>57.792000000000037</v>
      </c>
      <c r="T569" s="22">
        <f t="shared" si="1107"/>
        <v>0</v>
      </c>
      <c r="U569" s="22">
        <f t="shared" si="1107"/>
        <v>0</v>
      </c>
      <c r="V569" s="22">
        <f t="shared" si="1107"/>
        <v>0</v>
      </c>
      <c r="W569" s="22">
        <f t="shared" si="1107"/>
        <v>0</v>
      </c>
      <c r="X569" s="22">
        <f t="shared" si="1107"/>
        <v>0</v>
      </c>
      <c r="Y569" s="22">
        <f t="shared" si="1107"/>
        <v>0</v>
      </c>
      <c r="Z569" s="22">
        <f t="shared" si="1107"/>
        <v>0</v>
      </c>
      <c r="AA569" s="22">
        <f t="shared" si="1107"/>
        <v>0</v>
      </c>
      <c r="AB569" s="22">
        <f t="shared" si="1107"/>
        <v>0</v>
      </c>
      <c r="AC569" s="22">
        <f t="shared" si="1107"/>
        <v>0</v>
      </c>
      <c r="AD569" s="22">
        <f t="shared" si="1107"/>
        <v>0</v>
      </c>
      <c r="AE569" s="22">
        <f t="shared" si="1107"/>
        <v>0</v>
      </c>
      <c r="AF569" s="22">
        <f t="shared" si="1107"/>
        <v>0</v>
      </c>
      <c r="AG569" s="22">
        <f t="shared" si="1107"/>
        <v>0</v>
      </c>
      <c r="AH569" s="22">
        <f t="shared" si="1107"/>
        <v>0</v>
      </c>
      <c r="AI569" s="22">
        <f t="shared" si="1107"/>
        <v>0</v>
      </c>
      <c r="AJ569" s="22">
        <f t="shared" si="1107"/>
        <v>0</v>
      </c>
      <c r="AK569" s="22">
        <f t="shared" si="1107"/>
        <v>0</v>
      </c>
      <c r="AL569" s="22">
        <f t="shared" si="1107"/>
        <v>0</v>
      </c>
      <c r="AM569" s="22">
        <f t="shared" si="1107"/>
        <v>0</v>
      </c>
      <c r="AN569" s="22">
        <f t="shared" si="1107"/>
        <v>0</v>
      </c>
      <c r="AO569" s="22">
        <f t="shared" si="1107"/>
        <v>0</v>
      </c>
      <c r="AP569" s="22">
        <f t="shared" si="1107"/>
        <v>0</v>
      </c>
      <c r="AQ569" s="22">
        <f t="shared" si="1107"/>
        <v>0</v>
      </c>
      <c r="AR569" s="22">
        <f t="shared" si="1107"/>
        <v>0</v>
      </c>
      <c r="AS569" s="22">
        <f t="shared" si="1107"/>
        <v>0</v>
      </c>
      <c r="AT569" s="22">
        <f t="shared" si="1107"/>
        <v>0</v>
      </c>
      <c r="AU569" s="22">
        <f t="shared" si="1107"/>
        <v>0</v>
      </c>
      <c r="AV569" s="22">
        <f t="shared" si="1107"/>
        <v>0</v>
      </c>
      <c r="AW569" s="22">
        <f t="shared" si="1107"/>
        <v>0</v>
      </c>
      <c r="AX569" s="22">
        <f t="shared" si="1107"/>
        <v>0</v>
      </c>
      <c r="AY569" s="22">
        <f t="shared" si="1107"/>
        <v>0</v>
      </c>
      <c r="AZ569" s="22">
        <f t="shared" si="1107"/>
        <v>0</v>
      </c>
      <c r="BA569" s="22">
        <f t="shared" si="1107"/>
        <v>0</v>
      </c>
      <c r="BB569" s="22">
        <f t="shared" si="1107"/>
        <v>0</v>
      </c>
      <c r="BC569" s="22">
        <f t="shared" si="1107"/>
        <v>0</v>
      </c>
      <c r="BD569" s="22">
        <f t="shared" si="1107"/>
        <v>0</v>
      </c>
      <c r="BE569" s="22">
        <f t="shared" si="1107"/>
        <v>0</v>
      </c>
      <c r="BF569" s="22">
        <f t="shared" si="1107"/>
        <v>0</v>
      </c>
      <c r="BG569" s="22">
        <f t="shared" si="1107"/>
        <v>0</v>
      </c>
      <c r="BH569" s="22">
        <f t="shared" si="1107"/>
        <v>0</v>
      </c>
      <c r="BI569" s="22">
        <f t="shared" si="1107"/>
        <v>0</v>
      </c>
      <c r="BJ569" s="22">
        <f t="shared" si="1107"/>
        <v>0</v>
      </c>
      <c r="BK569" s="22">
        <f t="shared" si="1107"/>
        <v>0</v>
      </c>
      <c r="BL569" s="22">
        <f t="shared" si="1107"/>
        <v>0</v>
      </c>
      <c r="BM569" s="22">
        <f t="shared" si="1107"/>
        <v>0</v>
      </c>
      <c r="BN569" s="22">
        <f t="shared" si="1107"/>
        <v>0</v>
      </c>
      <c r="BO569" s="22">
        <f t="shared" si="1107"/>
        <v>0</v>
      </c>
      <c r="BP569" s="22">
        <f t="shared" si="1107"/>
        <v>0</v>
      </c>
      <c r="BQ569" s="22">
        <f t="shared" si="1107"/>
        <v>0</v>
      </c>
      <c r="BR569" s="101"/>
      <c r="BS569">
        <f t="shared" ref="BS569:CB570" si="1108">IF($C569&lt;&gt;"",IF(D569&gt;0,1,0),0)</f>
        <v>1</v>
      </c>
      <c r="BT569">
        <f t="shared" si="1108"/>
        <v>1</v>
      </c>
      <c r="BU569">
        <f t="shared" si="1108"/>
        <v>1</v>
      </c>
      <c r="BV569">
        <f t="shared" si="1108"/>
        <v>1</v>
      </c>
      <c r="BW569">
        <f t="shared" si="1108"/>
        <v>1</v>
      </c>
      <c r="BX569">
        <f t="shared" si="1108"/>
        <v>1</v>
      </c>
      <c r="BY569">
        <f t="shared" si="1108"/>
        <v>1</v>
      </c>
      <c r="BZ569">
        <f t="shared" si="1108"/>
        <v>1</v>
      </c>
      <c r="CA569">
        <f t="shared" si="1108"/>
        <v>1</v>
      </c>
      <c r="CB569">
        <f t="shared" si="1108"/>
        <v>1</v>
      </c>
      <c r="CC569">
        <f t="shared" ref="CC569:CL570" si="1109">IF($C569&lt;&gt;"",IF(N569&gt;0,1,0),0)</f>
        <v>1</v>
      </c>
      <c r="CD569">
        <f t="shared" si="1109"/>
        <v>1</v>
      </c>
      <c r="CE569">
        <f t="shared" si="1109"/>
        <v>1</v>
      </c>
      <c r="CF569">
        <f t="shared" si="1109"/>
        <v>1</v>
      </c>
      <c r="CG569">
        <f t="shared" si="1109"/>
        <v>1</v>
      </c>
      <c r="CH569">
        <f t="shared" si="1109"/>
        <v>1</v>
      </c>
      <c r="CI569">
        <f t="shared" si="1109"/>
        <v>0</v>
      </c>
      <c r="CJ569">
        <f t="shared" si="1109"/>
        <v>0</v>
      </c>
      <c r="CK569">
        <f t="shared" si="1109"/>
        <v>0</v>
      </c>
      <c r="CL569">
        <f t="shared" si="1109"/>
        <v>0</v>
      </c>
      <c r="CM569">
        <f t="shared" ref="CM569:CV570" si="1110">IF($C569&lt;&gt;"",IF(X569&gt;0,1,0),0)</f>
        <v>0</v>
      </c>
      <c r="CN569">
        <f t="shared" si="1110"/>
        <v>0</v>
      </c>
      <c r="CO569">
        <f t="shared" si="1110"/>
        <v>0</v>
      </c>
      <c r="CP569">
        <f t="shared" si="1110"/>
        <v>0</v>
      </c>
      <c r="CQ569">
        <f t="shared" si="1110"/>
        <v>0</v>
      </c>
      <c r="CR569">
        <f t="shared" si="1110"/>
        <v>0</v>
      </c>
      <c r="CS569">
        <f t="shared" si="1110"/>
        <v>0</v>
      </c>
      <c r="CT569">
        <f t="shared" si="1110"/>
        <v>0</v>
      </c>
      <c r="CU569">
        <f t="shared" si="1110"/>
        <v>0</v>
      </c>
      <c r="CV569">
        <f t="shared" si="1110"/>
        <v>0</v>
      </c>
      <c r="CW569">
        <f t="shared" ref="CW569:DF570" si="1111">IF($C569&lt;&gt;"",IF(AH569&gt;0,1,0),0)</f>
        <v>0</v>
      </c>
      <c r="CX569">
        <f t="shared" si="1111"/>
        <v>0</v>
      </c>
      <c r="CY569">
        <f t="shared" si="1111"/>
        <v>0</v>
      </c>
      <c r="CZ569">
        <f t="shared" si="1111"/>
        <v>0</v>
      </c>
      <c r="DA569">
        <f t="shared" si="1111"/>
        <v>0</v>
      </c>
      <c r="DB569">
        <f t="shared" si="1111"/>
        <v>0</v>
      </c>
      <c r="DC569">
        <f t="shared" si="1111"/>
        <v>0</v>
      </c>
      <c r="DD569">
        <f t="shared" si="1111"/>
        <v>0</v>
      </c>
      <c r="DE569">
        <f t="shared" si="1111"/>
        <v>0</v>
      </c>
      <c r="DF569">
        <f t="shared" si="1111"/>
        <v>0</v>
      </c>
      <c r="DG569">
        <f t="shared" ref="DG569:DP570" si="1112">IF($C569&lt;&gt;"",IF(AR569&gt;0,1,0),0)</f>
        <v>0</v>
      </c>
      <c r="DH569">
        <f t="shared" si="1112"/>
        <v>0</v>
      </c>
      <c r="DI569">
        <f t="shared" si="1112"/>
        <v>0</v>
      </c>
      <c r="DJ569">
        <f t="shared" si="1112"/>
        <v>0</v>
      </c>
      <c r="DK569">
        <f t="shared" si="1112"/>
        <v>0</v>
      </c>
      <c r="DL569">
        <f t="shared" si="1112"/>
        <v>0</v>
      </c>
      <c r="DM569">
        <f t="shared" si="1112"/>
        <v>0</v>
      </c>
      <c r="DN569">
        <f t="shared" si="1112"/>
        <v>0</v>
      </c>
      <c r="DO569">
        <f t="shared" si="1112"/>
        <v>0</v>
      </c>
      <c r="DP569">
        <f t="shared" si="1112"/>
        <v>0</v>
      </c>
      <c r="DQ569">
        <f t="shared" ref="DQ569:DZ570" si="1113">IF($C569&lt;&gt;"",IF(BB569&gt;0,1,0),0)</f>
        <v>0</v>
      </c>
      <c r="DR569">
        <f t="shared" si="1113"/>
        <v>0</v>
      </c>
      <c r="DS569">
        <f t="shared" si="1113"/>
        <v>0</v>
      </c>
      <c r="DT569">
        <f t="shared" si="1113"/>
        <v>0</v>
      </c>
      <c r="DU569">
        <f t="shared" si="1113"/>
        <v>0</v>
      </c>
      <c r="DV569">
        <f t="shared" si="1113"/>
        <v>0</v>
      </c>
      <c r="DW569">
        <f t="shared" si="1113"/>
        <v>0</v>
      </c>
      <c r="DX569">
        <f t="shared" si="1113"/>
        <v>0</v>
      </c>
      <c r="DY569">
        <f t="shared" si="1113"/>
        <v>0</v>
      </c>
      <c r="DZ569">
        <f t="shared" si="1113"/>
        <v>0</v>
      </c>
      <c r="EA569">
        <f t="shared" ref="EA569:EF570" si="1114">IF($C569&lt;&gt;"",IF(BL569&gt;0,1,0),0)</f>
        <v>0</v>
      </c>
      <c r="EB569">
        <f t="shared" si="1114"/>
        <v>0</v>
      </c>
      <c r="EC569">
        <f t="shared" si="1114"/>
        <v>0</v>
      </c>
      <c r="ED569">
        <f t="shared" si="1114"/>
        <v>0</v>
      </c>
      <c r="EE569">
        <f t="shared" si="1114"/>
        <v>0</v>
      </c>
      <c r="EF569">
        <f t="shared" si="1114"/>
        <v>0</v>
      </c>
    </row>
    <row r="570" spans="1:136" ht="15.5">
      <c r="A570" s="90"/>
      <c r="B570" s="53" t="s">
        <v>25</v>
      </c>
      <c r="C570" s="94"/>
      <c r="D570" s="18">
        <v>144.8484</v>
      </c>
      <c r="E570" s="18">
        <v>147.74760000000001</v>
      </c>
      <c r="F570" s="18">
        <v>150.64679999999998</v>
      </c>
      <c r="G570" s="18">
        <v>153.54600000000002</v>
      </c>
      <c r="H570" s="18">
        <v>156.4452</v>
      </c>
      <c r="I570" s="18">
        <v>159.34440000000004</v>
      </c>
      <c r="J570" s="18">
        <v>162.24360000000001</v>
      </c>
      <c r="K570" s="18">
        <v>148.79440000000002</v>
      </c>
      <c r="L570" s="18">
        <v>51.590000000000018</v>
      </c>
      <c r="M570" s="18">
        <v>52.47600000000002</v>
      </c>
      <c r="N570" s="18">
        <v>53.362000000000023</v>
      </c>
      <c r="O570" s="18">
        <v>54.248000000000026</v>
      </c>
      <c r="P570" s="18">
        <v>55.134000000000029</v>
      </c>
      <c r="Q570" s="18">
        <v>56.020000000000032</v>
      </c>
      <c r="R570" s="18">
        <v>56.906000000000034</v>
      </c>
      <c r="S570" s="18">
        <v>57.792000000000037</v>
      </c>
      <c r="T570" s="18">
        <v>0</v>
      </c>
      <c r="U570" s="18">
        <v>0</v>
      </c>
      <c r="V570" s="18">
        <v>0</v>
      </c>
      <c r="W570" s="18">
        <v>0</v>
      </c>
      <c r="X570" s="18">
        <v>0</v>
      </c>
      <c r="Y570" s="18">
        <v>0</v>
      </c>
      <c r="Z570" s="18">
        <v>0</v>
      </c>
      <c r="AA570" s="18">
        <v>0</v>
      </c>
      <c r="AB570" s="18">
        <v>0</v>
      </c>
      <c r="AC570" s="18">
        <v>0</v>
      </c>
      <c r="AD570" s="18">
        <v>0</v>
      </c>
      <c r="AE570" s="18">
        <v>0</v>
      </c>
      <c r="AF570" s="18">
        <v>0</v>
      </c>
      <c r="AG570" s="18">
        <v>0</v>
      </c>
      <c r="AH570" s="18">
        <v>0</v>
      </c>
      <c r="AI570" s="18">
        <v>0</v>
      </c>
      <c r="AJ570" s="18">
        <v>0</v>
      </c>
      <c r="AK570" s="18">
        <v>0</v>
      </c>
      <c r="AL570" s="18">
        <v>0</v>
      </c>
      <c r="AM570" s="18">
        <v>0</v>
      </c>
      <c r="AN570" s="18">
        <v>0</v>
      </c>
      <c r="AO570" s="18">
        <v>0</v>
      </c>
      <c r="AP570" s="18">
        <v>0</v>
      </c>
      <c r="AQ570" s="18">
        <v>0</v>
      </c>
      <c r="AR570" s="18">
        <v>0</v>
      </c>
      <c r="AS570" s="18">
        <v>0</v>
      </c>
      <c r="AT570" s="18">
        <v>0</v>
      </c>
      <c r="AU570" s="18">
        <v>0</v>
      </c>
      <c r="AV570" s="18">
        <v>0</v>
      </c>
      <c r="AW570" s="18">
        <v>0</v>
      </c>
      <c r="AX570" s="18">
        <v>0</v>
      </c>
      <c r="AY570" s="18">
        <v>0</v>
      </c>
      <c r="AZ570" s="18">
        <v>0</v>
      </c>
      <c r="BA570" s="18">
        <v>0</v>
      </c>
      <c r="BB570" s="18">
        <v>0</v>
      </c>
      <c r="BC570" s="18">
        <v>0</v>
      </c>
      <c r="BD570" s="18">
        <v>0</v>
      </c>
      <c r="BE570" s="25">
        <v>0</v>
      </c>
      <c r="BF570" s="18">
        <v>0</v>
      </c>
      <c r="BG570" s="18">
        <v>0</v>
      </c>
      <c r="BH570" s="18">
        <v>0</v>
      </c>
      <c r="BI570" s="18">
        <v>0</v>
      </c>
      <c r="BJ570" s="113">
        <v>0</v>
      </c>
      <c r="BK570" s="113">
        <v>0</v>
      </c>
      <c r="BL570" s="113">
        <v>0</v>
      </c>
      <c r="BM570" s="113">
        <v>0</v>
      </c>
      <c r="BN570" s="113">
        <v>0</v>
      </c>
      <c r="BO570" s="113">
        <v>0</v>
      </c>
      <c r="BP570" s="113">
        <v>0</v>
      </c>
      <c r="BQ570" s="113">
        <v>0</v>
      </c>
      <c r="BR570" s="101"/>
      <c r="BS570">
        <f t="shared" si="1108"/>
        <v>0</v>
      </c>
      <c r="BT570">
        <f t="shared" si="1108"/>
        <v>0</v>
      </c>
      <c r="BU570">
        <f t="shared" si="1108"/>
        <v>0</v>
      </c>
      <c r="BV570">
        <f t="shared" si="1108"/>
        <v>0</v>
      </c>
      <c r="BW570">
        <f t="shared" si="1108"/>
        <v>0</v>
      </c>
      <c r="BX570">
        <f t="shared" si="1108"/>
        <v>0</v>
      </c>
      <c r="BY570">
        <f t="shared" si="1108"/>
        <v>0</v>
      </c>
      <c r="BZ570">
        <f t="shared" si="1108"/>
        <v>0</v>
      </c>
      <c r="CA570">
        <f t="shared" si="1108"/>
        <v>0</v>
      </c>
      <c r="CB570">
        <f t="shared" si="1108"/>
        <v>0</v>
      </c>
      <c r="CC570">
        <f t="shared" si="1109"/>
        <v>0</v>
      </c>
      <c r="CD570">
        <f t="shared" si="1109"/>
        <v>0</v>
      </c>
      <c r="CE570">
        <f t="shared" si="1109"/>
        <v>0</v>
      </c>
      <c r="CF570">
        <f t="shared" si="1109"/>
        <v>0</v>
      </c>
      <c r="CG570">
        <f t="shared" si="1109"/>
        <v>0</v>
      </c>
      <c r="CH570">
        <f t="shared" si="1109"/>
        <v>0</v>
      </c>
      <c r="CI570">
        <f t="shared" si="1109"/>
        <v>0</v>
      </c>
      <c r="CJ570">
        <f t="shared" si="1109"/>
        <v>0</v>
      </c>
      <c r="CK570">
        <f t="shared" si="1109"/>
        <v>0</v>
      </c>
      <c r="CL570">
        <f t="shared" si="1109"/>
        <v>0</v>
      </c>
      <c r="CM570">
        <f t="shared" si="1110"/>
        <v>0</v>
      </c>
      <c r="CN570">
        <f t="shared" si="1110"/>
        <v>0</v>
      </c>
      <c r="CO570">
        <f t="shared" si="1110"/>
        <v>0</v>
      </c>
      <c r="CP570">
        <f t="shared" si="1110"/>
        <v>0</v>
      </c>
      <c r="CQ570">
        <f t="shared" si="1110"/>
        <v>0</v>
      </c>
      <c r="CR570">
        <f t="shared" si="1110"/>
        <v>0</v>
      </c>
      <c r="CS570">
        <f t="shared" si="1110"/>
        <v>0</v>
      </c>
      <c r="CT570">
        <f t="shared" si="1110"/>
        <v>0</v>
      </c>
      <c r="CU570">
        <f t="shared" si="1110"/>
        <v>0</v>
      </c>
      <c r="CV570">
        <f t="shared" si="1110"/>
        <v>0</v>
      </c>
      <c r="CW570">
        <f t="shared" si="1111"/>
        <v>0</v>
      </c>
      <c r="CX570">
        <f t="shared" si="1111"/>
        <v>0</v>
      </c>
      <c r="CY570">
        <f t="shared" si="1111"/>
        <v>0</v>
      </c>
      <c r="CZ570">
        <f t="shared" si="1111"/>
        <v>0</v>
      </c>
      <c r="DA570">
        <f t="shared" si="1111"/>
        <v>0</v>
      </c>
      <c r="DB570">
        <f t="shared" si="1111"/>
        <v>0</v>
      </c>
      <c r="DC570">
        <f t="shared" si="1111"/>
        <v>0</v>
      </c>
      <c r="DD570">
        <f t="shared" si="1111"/>
        <v>0</v>
      </c>
      <c r="DE570">
        <f t="shared" si="1111"/>
        <v>0</v>
      </c>
      <c r="DF570">
        <f t="shared" si="1111"/>
        <v>0</v>
      </c>
      <c r="DG570">
        <f t="shared" si="1112"/>
        <v>0</v>
      </c>
      <c r="DH570">
        <f t="shared" si="1112"/>
        <v>0</v>
      </c>
      <c r="DI570">
        <f t="shared" si="1112"/>
        <v>0</v>
      </c>
      <c r="DJ570">
        <f t="shared" si="1112"/>
        <v>0</v>
      </c>
      <c r="DK570">
        <f t="shared" si="1112"/>
        <v>0</v>
      </c>
      <c r="DL570">
        <f t="shared" si="1112"/>
        <v>0</v>
      </c>
      <c r="DM570">
        <f t="shared" si="1112"/>
        <v>0</v>
      </c>
      <c r="DN570">
        <f t="shared" si="1112"/>
        <v>0</v>
      </c>
      <c r="DO570">
        <f t="shared" si="1112"/>
        <v>0</v>
      </c>
      <c r="DP570">
        <f t="shared" si="1112"/>
        <v>0</v>
      </c>
      <c r="DQ570">
        <f t="shared" si="1113"/>
        <v>0</v>
      </c>
      <c r="DR570">
        <f t="shared" si="1113"/>
        <v>0</v>
      </c>
      <c r="DS570">
        <f t="shared" si="1113"/>
        <v>0</v>
      </c>
      <c r="DT570">
        <f t="shared" si="1113"/>
        <v>0</v>
      </c>
      <c r="DU570">
        <f t="shared" si="1113"/>
        <v>0</v>
      </c>
      <c r="DV570">
        <f t="shared" si="1113"/>
        <v>0</v>
      </c>
      <c r="DW570">
        <f t="shared" si="1113"/>
        <v>0</v>
      </c>
      <c r="DX570">
        <f t="shared" si="1113"/>
        <v>0</v>
      </c>
      <c r="DY570">
        <f t="shared" si="1113"/>
        <v>0</v>
      </c>
      <c r="DZ570">
        <f t="shared" si="1113"/>
        <v>0</v>
      </c>
      <c r="EA570">
        <f t="shared" si="1114"/>
        <v>0</v>
      </c>
      <c r="EB570">
        <f t="shared" si="1114"/>
        <v>0</v>
      </c>
      <c r="EC570">
        <f t="shared" si="1114"/>
        <v>0</v>
      </c>
      <c r="ED570">
        <f t="shared" si="1114"/>
        <v>0</v>
      </c>
      <c r="EE570">
        <f t="shared" si="1114"/>
        <v>0</v>
      </c>
      <c r="EF570">
        <f t="shared" si="1114"/>
        <v>0</v>
      </c>
    </row>
    <row r="571" spans="1:136" ht="15.5">
      <c r="A571" s="90"/>
      <c r="B571" s="53"/>
      <c r="C571" s="94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  <c r="AK571" s="31"/>
      <c r="AL571" s="31"/>
      <c r="AM571" s="31"/>
      <c r="AN571" s="31"/>
      <c r="AO571" s="31"/>
      <c r="AP571" s="31"/>
      <c r="AQ571" s="31"/>
      <c r="AR571" s="31"/>
      <c r="AS571" s="31"/>
      <c r="AT571" s="31"/>
      <c r="AU571" s="31"/>
      <c r="AV571" s="31"/>
      <c r="AW571" s="31"/>
      <c r="AX571" s="31"/>
      <c r="AY571" s="31"/>
      <c r="AZ571" s="31"/>
      <c r="BA571" s="31"/>
      <c r="BB571" s="31"/>
      <c r="BC571" s="31"/>
      <c r="BD571" s="31"/>
      <c r="BE571" s="55"/>
      <c r="BF571" s="31"/>
      <c r="BG571" s="31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101"/>
    </row>
    <row r="572" spans="1:136" ht="15.5">
      <c r="A572" s="93">
        <v>67</v>
      </c>
      <c r="B572" s="52" t="s">
        <v>80</v>
      </c>
      <c r="C572" s="94">
        <v>3</v>
      </c>
      <c r="D572" s="9">
        <f t="shared" ref="D572:AI572" si="1115">D573+D574</f>
        <v>0</v>
      </c>
      <c r="E572" s="9">
        <f t="shared" si="1115"/>
        <v>0</v>
      </c>
      <c r="F572" s="9">
        <f t="shared" si="1115"/>
        <v>0</v>
      </c>
      <c r="G572" s="9">
        <f t="shared" si="1115"/>
        <v>0</v>
      </c>
      <c r="H572" s="9">
        <f t="shared" si="1115"/>
        <v>0</v>
      </c>
      <c r="I572" s="9">
        <f t="shared" si="1115"/>
        <v>0</v>
      </c>
      <c r="J572" s="9">
        <f t="shared" si="1115"/>
        <v>0</v>
      </c>
      <c r="K572" s="9">
        <f t="shared" si="1115"/>
        <v>30</v>
      </c>
      <c r="L572" s="9">
        <f t="shared" si="1115"/>
        <v>403</v>
      </c>
      <c r="M572" s="9">
        <f t="shared" si="1115"/>
        <v>0</v>
      </c>
      <c r="N572" s="9">
        <f t="shared" si="1115"/>
        <v>0</v>
      </c>
      <c r="O572" s="9">
        <f t="shared" si="1115"/>
        <v>0</v>
      </c>
      <c r="P572" s="9">
        <f t="shared" si="1115"/>
        <v>153</v>
      </c>
      <c r="Q572" s="9">
        <f t="shared" si="1115"/>
        <v>187</v>
      </c>
      <c r="R572" s="9">
        <f t="shared" si="1115"/>
        <v>194</v>
      </c>
      <c r="S572" s="9">
        <f t="shared" si="1115"/>
        <v>228</v>
      </c>
      <c r="T572" s="9">
        <f t="shared" si="1115"/>
        <v>169</v>
      </c>
      <c r="U572" s="9">
        <f t="shared" si="1115"/>
        <v>0</v>
      </c>
      <c r="V572" s="9">
        <f t="shared" si="1115"/>
        <v>0</v>
      </c>
      <c r="W572" s="9">
        <f t="shared" si="1115"/>
        <v>0</v>
      </c>
      <c r="X572" s="9">
        <f t="shared" si="1115"/>
        <v>0</v>
      </c>
      <c r="Y572" s="9">
        <f t="shared" si="1115"/>
        <v>0</v>
      </c>
      <c r="Z572" s="9">
        <f t="shared" si="1115"/>
        <v>0</v>
      </c>
      <c r="AA572" s="9">
        <f t="shared" si="1115"/>
        <v>0</v>
      </c>
      <c r="AB572" s="9">
        <f t="shared" si="1115"/>
        <v>0</v>
      </c>
      <c r="AC572" s="9">
        <f t="shared" si="1115"/>
        <v>0</v>
      </c>
      <c r="AD572" s="9">
        <f t="shared" si="1115"/>
        <v>0</v>
      </c>
      <c r="AE572" s="9">
        <f t="shared" si="1115"/>
        <v>0</v>
      </c>
      <c r="AF572" s="9">
        <f t="shared" si="1115"/>
        <v>0</v>
      </c>
      <c r="AG572" s="9">
        <f t="shared" si="1115"/>
        <v>0</v>
      </c>
      <c r="AH572" s="9">
        <f t="shared" si="1115"/>
        <v>0</v>
      </c>
      <c r="AI572" s="9">
        <f t="shared" si="1115"/>
        <v>0</v>
      </c>
      <c r="AJ572" s="9">
        <f t="shared" ref="AJ572:BO572" si="1116">AJ573+AJ574</f>
        <v>3</v>
      </c>
      <c r="AK572" s="9">
        <f t="shared" si="1116"/>
        <v>9301.1</v>
      </c>
      <c r="AL572" s="9">
        <f t="shared" si="1116"/>
        <v>0</v>
      </c>
      <c r="AM572" s="9">
        <f t="shared" si="1116"/>
        <v>0</v>
      </c>
      <c r="AN572" s="9">
        <f t="shared" si="1116"/>
        <v>0</v>
      </c>
      <c r="AO572" s="9">
        <f t="shared" si="1116"/>
        <v>0</v>
      </c>
      <c r="AP572" s="9">
        <f t="shared" si="1116"/>
        <v>0</v>
      </c>
      <c r="AQ572" s="9">
        <f t="shared" si="1116"/>
        <v>0</v>
      </c>
      <c r="AR572" s="9">
        <f t="shared" si="1116"/>
        <v>0</v>
      </c>
      <c r="AS572" s="9">
        <f t="shared" si="1116"/>
        <v>0</v>
      </c>
      <c r="AT572" s="9">
        <f t="shared" si="1116"/>
        <v>0</v>
      </c>
      <c r="AU572" s="9">
        <f t="shared" si="1116"/>
        <v>0</v>
      </c>
      <c r="AV572" s="9">
        <f t="shared" si="1116"/>
        <v>0</v>
      </c>
      <c r="AW572" s="9">
        <f t="shared" si="1116"/>
        <v>0</v>
      </c>
      <c r="AX572" s="9">
        <f t="shared" si="1116"/>
        <v>0</v>
      </c>
      <c r="AY572" s="9">
        <f t="shared" si="1116"/>
        <v>0</v>
      </c>
      <c r="AZ572" s="9">
        <f t="shared" si="1116"/>
        <v>0</v>
      </c>
      <c r="BA572" s="9">
        <f t="shared" si="1116"/>
        <v>0</v>
      </c>
      <c r="BB572" s="9">
        <f t="shared" si="1116"/>
        <v>0</v>
      </c>
      <c r="BC572" s="9">
        <f t="shared" si="1116"/>
        <v>0</v>
      </c>
      <c r="BD572" s="9">
        <f t="shared" si="1116"/>
        <v>0</v>
      </c>
      <c r="BE572" s="9">
        <f t="shared" si="1116"/>
        <v>0</v>
      </c>
      <c r="BF572" s="180">
        <f t="shared" si="1116"/>
        <v>0</v>
      </c>
      <c r="BG572" s="9">
        <f t="shared" si="1116"/>
        <v>0</v>
      </c>
      <c r="BH572" s="9">
        <f t="shared" si="1116"/>
        <v>0</v>
      </c>
      <c r="BI572" s="9">
        <f t="shared" si="1116"/>
        <v>0</v>
      </c>
      <c r="BJ572" s="4">
        <f t="shared" si="1116"/>
        <v>0</v>
      </c>
      <c r="BK572" s="9">
        <f t="shared" si="1116"/>
        <v>0</v>
      </c>
      <c r="BL572" s="9">
        <f t="shared" si="1116"/>
        <v>0</v>
      </c>
      <c r="BM572" s="9">
        <f t="shared" si="1116"/>
        <v>0</v>
      </c>
      <c r="BN572" s="9">
        <f t="shared" si="1116"/>
        <v>0</v>
      </c>
      <c r="BO572" s="9">
        <f t="shared" si="1116"/>
        <v>0</v>
      </c>
      <c r="BP572" s="9">
        <f>BP573+BP574</f>
        <v>0</v>
      </c>
      <c r="BQ572" s="9">
        <f>BQ573+BQ574</f>
        <v>0</v>
      </c>
      <c r="BR572" s="101"/>
      <c r="BS572">
        <f t="shared" ref="BS572:CB574" si="1117">IF($C572&lt;&gt;"",IF(D572&gt;0,1,0),0)</f>
        <v>0</v>
      </c>
      <c r="BT572">
        <f t="shared" si="1117"/>
        <v>0</v>
      </c>
      <c r="BU572">
        <f t="shared" si="1117"/>
        <v>0</v>
      </c>
      <c r="BV572">
        <f t="shared" si="1117"/>
        <v>0</v>
      </c>
      <c r="BW572">
        <f t="shared" si="1117"/>
        <v>0</v>
      </c>
      <c r="BX572">
        <f t="shared" si="1117"/>
        <v>0</v>
      </c>
      <c r="BY572">
        <f t="shared" si="1117"/>
        <v>0</v>
      </c>
      <c r="BZ572">
        <f t="shared" si="1117"/>
        <v>1</v>
      </c>
      <c r="CA572">
        <f t="shared" si="1117"/>
        <v>1</v>
      </c>
      <c r="CB572">
        <f t="shared" si="1117"/>
        <v>0</v>
      </c>
      <c r="CC572">
        <f t="shared" ref="CC572:CL574" si="1118">IF($C572&lt;&gt;"",IF(N572&gt;0,1,0),0)</f>
        <v>0</v>
      </c>
      <c r="CD572">
        <f t="shared" si="1118"/>
        <v>0</v>
      </c>
      <c r="CE572">
        <f t="shared" si="1118"/>
        <v>1</v>
      </c>
      <c r="CF572">
        <f t="shared" si="1118"/>
        <v>1</v>
      </c>
      <c r="CG572">
        <f t="shared" si="1118"/>
        <v>1</v>
      </c>
      <c r="CH572">
        <f t="shared" si="1118"/>
        <v>1</v>
      </c>
      <c r="CI572">
        <f t="shared" si="1118"/>
        <v>1</v>
      </c>
      <c r="CJ572">
        <f t="shared" si="1118"/>
        <v>0</v>
      </c>
      <c r="CK572">
        <f t="shared" si="1118"/>
        <v>0</v>
      </c>
      <c r="CL572">
        <f t="shared" si="1118"/>
        <v>0</v>
      </c>
      <c r="CM572">
        <f t="shared" ref="CM572:CV574" si="1119">IF($C572&lt;&gt;"",IF(X572&gt;0,1,0),0)</f>
        <v>0</v>
      </c>
      <c r="CN572">
        <f t="shared" si="1119"/>
        <v>0</v>
      </c>
      <c r="CO572">
        <f t="shared" si="1119"/>
        <v>0</v>
      </c>
      <c r="CP572">
        <f t="shared" si="1119"/>
        <v>0</v>
      </c>
      <c r="CQ572">
        <f t="shared" si="1119"/>
        <v>0</v>
      </c>
      <c r="CR572">
        <f t="shared" si="1119"/>
        <v>0</v>
      </c>
      <c r="CS572">
        <f t="shared" si="1119"/>
        <v>0</v>
      </c>
      <c r="CT572">
        <f t="shared" si="1119"/>
        <v>0</v>
      </c>
      <c r="CU572">
        <f t="shared" si="1119"/>
        <v>0</v>
      </c>
      <c r="CV572">
        <f t="shared" si="1119"/>
        <v>0</v>
      </c>
      <c r="CW572">
        <f t="shared" ref="CW572:DF574" si="1120">IF($C572&lt;&gt;"",IF(AH572&gt;0,1,0),0)</f>
        <v>0</v>
      </c>
      <c r="CX572">
        <f t="shared" si="1120"/>
        <v>0</v>
      </c>
      <c r="CY572">
        <f t="shared" si="1120"/>
        <v>1</v>
      </c>
      <c r="CZ572">
        <f t="shared" si="1120"/>
        <v>1</v>
      </c>
      <c r="DA572">
        <f t="shared" si="1120"/>
        <v>0</v>
      </c>
      <c r="DB572">
        <f t="shared" si="1120"/>
        <v>0</v>
      </c>
      <c r="DC572">
        <f t="shared" si="1120"/>
        <v>0</v>
      </c>
      <c r="DD572">
        <f t="shared" si="1120"/>
        <v>0</v>
      </c>
      <c r="DE572">
        <f t="shared" si="1120"/>
        <v>0</v>
      </c>
      <c r="DF572">
        <f t="shared" si="1120"/>
        <v>0</v>
      </c>
      <c r="DG572">
        <f t="shared" ref="DG572:DP574" si="1121">IF($C572&lt;&gt;"",IF(AR572&gt;0,1,0),0)</f>
        <v>0</v>
      </c>
      <c r="DH572">
        <f t="shared" si="1121"/>
        <v>0</v>
      </c>
      <c r="DI572">
        <f t="shared" si="1121"/>
        <v>0</v>
      </c>
      <c r="DJ572">
        <f t="shared" si="1121"/>
        <v>0</v>
      </c>
      <c r="DK572">
        <f t="shared" si="1121"/>
        <v>0</v>
      </c>
      <c r="DL572">
        <f t="shared" si="1121"/>
        <v>0</v>
      </c>
      <c r="DM572">
        <f t="shared" si="1121"/>
        <v>0</v>
      </c>
      <c r="DN572">
        <f t="shared" si="1121"/>
        <v>0</v>
      </c>
      <c r="DO572">
        <f t="shared" si="1121"/>
        <v>0</v>
      </c>
      <c r="DP572">
        <f t="shared" si="1121"/>
        <v>0</v>
      </c>
      <c r="DQ572">
        <f t="shared" ref="DQ572:DZ574" si="1122">IF($C572&lt;&gt;"",IF(BB572&gt;0,1,0),0)</f>
        <v>0</v>
      </c>
      <c r="DR572">
        <f t="shared" si="1122"/>
        <v>0</v>
      </c>
      <c r="DS572">
        <f t="shared" si="1122"/>
        <v>0</v>
      </c>
      <c r="DT572">
        <f t="shared" si="1122"/>
        <v>0</v>
      </c>
      <c r="DU572">
        <f t="shared" si="1122"/>
        <v>0</v>
      </c>
      <c r="DV572">
        <f t="shared" si="1122"/>
        <v>0</v>
      </c>
      <c r="DW572">
        <f t="shared" si="1122"/>
        <v>0</v>
      </c>
      <c r="DX572">
        <f t="shared" si="1122"/>
        <v>0</v>
      </c>
      <c r="DY572">
        <f t="shared" si="1122"/>
        <v>0</v>
      </c>
      <c r="DZ572">
        <f t="shared" si="1122"/>
        <v>0</v>
      </c>
      <c r="EA572">
        <f t="shared" ref="EA572:EF574" si="1123">IF($C572&lt;&gt;"",IF(BL572&gt;0,1,0),0)</f>
        <v>0</v>
      </c>
      <c r="EB572">
        <f t="shared" si="1123"/>
        <v>0</v>
      </c>
      <c r="EC572">
        <f t="shared" si="1123"/>
        <v>0</v>
      </c>
      <c r="ED572">
        <f t="shared" si="1123"/>
        <v>0</v>
      </c>
      <c r="EE572">
        <f t="shared" si="1123"/>
        <v>0</v>
      </c>
      <c r="EF572">
        <f t="shared" si="1123"/>
        <v>0</v>
      </c>
    </row>
    <row r="573" spans="1:136" ht="15.5">
      <c r="A573" s="90"/>
      <c r="B573" s="53" t="s">
        <v>184</v>
      </c>
      <c r="C573" s="94"/>
      <c r="D573" s="34">
        <v>0</v>
      </c>
      <c r="E573" s="34">
        <v>0</v>
      </c>
      <c r="F573" s="34">
        <v>0</v>
      </c>
      <c r="G573" s="34">
        <v>0</v>
      </c>
      <c r="H573" s="34">
        <v>0</v>
      </c>
      <c r="I573" s="34">
        <v>0</v>
      </c>
      <c r="J573" s="34">
        <v>0</v>
      </c>
      <c r="K573" s="34">
        <v>30</v>
      </c>
      <c r="L573" s="34">
        <v>0</v>
      </c>
      <c r="M573" s="34">
        <v>0</v>
      </c>
      <c r="N573" s="34">
        <v>0</v>
      </c>
      <c r="O573" s="34">
        <v>0</v>
      </c>
      <c r="P573" s="34">
        <v>0</v>
      </c>
      <c r="Q573" s="34">
        <v>0</v>
      </c>
      <c r="R573" s="34">
        <v>0</v>
      </c>
      <c r="S573" s="34">
        <v>0</v>
      </c>
      <c r="T573" s="34">
        <v>0</v>
      </c>
      <c r="U573" s="34">
        <v>0</v>
      </c>
      <c r="V573" s="34">
        <v>0</v>
      </c>
      <c r="W573" s="34">
        <v>0</v>
      </c>
      <c r="X573" s="34">
        <v>0</v>
      </c>
      <c r="Y573" s="34">
        <v>0</v>
      </c>
      <c r="Z573" s="34">
        <v>0</v>
      </c>
      <c r="AA573" s="34">
        <v>0</v>
      </c>
      <c r="AB573" s="34">
        <v>0</v>
      </c>
      <c r="AC573" s="34">
        <v>0</v>
      </c>
      <c r="AD573" s="34">
        <v>0</v>
      </c>
      <c r="AE573" s="34">
        <v>0</v>
      </c>
      <c r="AF573" s="34">
        <v>0</v>
      </c>
      <c r="AG573" s="34">
        <v>0</v>
      </c>
      <c r="AH573" s="34">
        <v>0</v>
      </c>
      <c r="AI573" s="34">
        <v>0</v>
      </c>
      <c r="AJ573" s="34">
        <v>0</v>
      </c>
      <c r="AK573" s="34">
        <v>0</v>
      </c>
      <c r="AL573" s="34">
        <v>0</v>
      </c>
      <c r="AM573" s="34">
        <v>0</v>
      </c>
      <c r="AN573" s="34">
        <v>0</v>
      </c>
      <c r="AO573" s="34">
        <v>0</v>
      </c>
      <c r="AP573" s="34">
        <v>0</v>
      </c>
      <c r="AQ573" s="34">
        <v>0</v>
      </c>
      <c r="AR573" s="34">
        <v>0</v>
      </c>
      <c r="AS573" s="34">
        <v>0</v>
      </c>
      <c r="AT573" s="34">
        <v>0</v>
      </c>
      <c r="AU573" s="34">
        <v>0</v>
      </c>
      <c r="AV573" s="34">
        <v>0</v>
      </c>
      <c r="AW573" s="34">
        <v>0</v>
      </c>
      <c r="AX573" s="34">
        <v>0</v>
      </c>
      <c r="AY573" s="34">
        <v>0</v>
      </c>
      <c r="AZ573" s="34">
        <v>0</v>
      </c>
      <c r="BA573" s="34">
        <v>0</v>
      </c>
      <c r="BB573" s="34">
        <v>0</v>
      </c>
      <c r="BC573" s="34">
        <v>0</v>
      </c>
      <c r="BD573" s="34">
        <v>0</v>
      </c>
      <c r="BE573" s="34">
        <v>0</v>
      </c>
      <c r="BF573" s="34">
        <v>0</v>
      </c>
      <c r="BG573" s="34">
        <v>0</v>
      </c>
      <c r="BH573" s="34">
        <v>0</v>
      </c>
      <c r="BI573" s="34">
        <v>0</v>
      </c>
      <c r="BJ573" s="113">
        <v>0</v>
      </c>
      <c r="BK573" s="34">
        <v>0</v>
      </c>
      <c r="BL573" s="34">
        <v>0</v>
      </c>
      <c r="BM573" s="34">
        <v>0</v>
      </c>
      <c r="BN573" s="34">
        <v>0</v>
      </c>
      <c r="BO573" s="34">
        <v>0</v>
      </c>
      <c r="BP573" s="34">
        <v>0</v>
      </c>
      <c r="BQ573" s="34">
        <v>0</v>
      </c>
      <c r="BR573" s="101"/>
      <c r="BS573">
        <f t="shared" si="1117"/>
        <v>0</v>
      </c>
      <c r="BT573">
        <f t="shared" si="1117"/>
        <v>0</v>
      </c>
      <c r="BU573">
        <f t="shared" si="1117"/>
        <v>0</v>
      </c>
      <c r="BV573">
        <f t="shared" si="1117"/>
        <v>0</v>
      </c>
      <c r="BW573">
        <f t="shared" si="1117"/>
        <v>0</v>
      </c>
      <c r="BX573">
        <f t="shared" si="1117"/>
        <v>0</v>
      </c>
      <c r="BY573">
        <f t="shared" si="1117"/>
        <v>0</v>
      </c>
      <c r="BZ573">
        <f t="shared" si="1117"/>
        <v>0</v>
      </c>
      <c r="CA573">
        <f t="shared" si="1117"/>
        <v>0</v>
      </c>
      <c r="CB573">
        <f t="shared" si="1117"/>
        <v>0</v>
      </c>
      <c r="CC573">
        <f t="shared" si="1118"/>
        <v>0</v>
      </c>
      <c r="CD573">
        <f t="shared" si="1118"/>
        <v>0</v>
      </c>
      <c r="CE573">
        <f t="shared" si="1118"/>
        <v>0</v>
      </c>
      <c r="CF573">
        <f t="shared" si="1118"/>
        <v>0</v>
      </c>
      <c r="CG573">
        <f t="shared" si="1118"/>
        <v>0</v>
      </c>
      <c r="CH573">
        <f t="shared" si="1118"/>
        <v>0</v>
      </c>
      <c r="CI573">
        <f t="shared" si="1118"/>
        <v>0</v>
      </c>
      <c r="CJ573">
        <f t="shared" si="1118"/>
        <v>0</v>
      </c>
      <c r="CK573">
        <f t="shared" si="1118"/>
        <v>0</v>
      </c>
      <c r="CL573">
        <f t="shared" si="1118"/>
        <v>0</v>
      </c>
      <c r="CM573">
        <f t="shared" si="1119"/>
        <v>0</v>
      </c>
      <c r="CN573">
        <f t="shared" si="1119"/>
        <v>0</v>
      </c>
      <c r="CO573">
        <f t="shared" si="1119"/>
        <v>0</v>
      </c>
      <c r="CP573">
        <f t="shared" si="1119"/>
        <v>0</v>
      </c>
      <c r="CQ573">
        <f t="shared" si="1119"/>
        <v>0</v>
      </c>
      <c r="CR573">
        <f t="shared" si="1119"/>
        <v>0</v>
      </c>
      <c r="CS573">
        <f t="shared" si="1119"/>
        <v>0</v>
      </c>
      <c r="CT573">
        <f t="shared" si="1119"/>
        <v>0</v>
      </c>
      <c r="CU573">
        <f t="shared" si="1119"/>
        <v>0</v>
      </c>
      <c r="CV573">
        <f t="shared" si="1119"/>
        <v>0</v>
      </c>
      <c r="CW573">
        <f t="shared" si="1120"/>
        <v>0</v>
      </c>
      <c r="CX573">
        <f t="shared" si="1120"/>
        <v>0</v>
      </c>
      <c r="CY573">
        <f t="shared" si="1120"/>
        <v>0</v>
      </c>
      <c r="CZ573">
        <f t="shared" si="1120"/>
        <v>0</v>
      </c>
      <c r="DA573">
        <f t="shared" si="1120"/>
        <v>0</v>
      </c>
      <c r="DB573">
        <f t="shared" si="1120"/>
        <v>0</v>
      </c>
      <c r="DC573">
        <f t="shared" si="1120"/>
        <v>0</v>
      </c>
      <c r="DD573">
        <f t="shared" si="1120"/>
        <v>0</v>
      </c>
      <c r="DE573">
        <f t="shared" si="1120"/>
        <v>0</v>
      </c>
      <c r="DF573">
        <f t="shared" si="1120"/>
        <v>0</v>
      </c>
      <c r="DG573">
        <f t="shared" si="1121"/>
        <v>0</v>
      </c>
      <c r="DH573">
        <f t="shared" si="1121"/>
        <v>0</v>
      </c>
      <c r="DI573">
        <f t="shared" si="1121"/>
        <v>0</v>
      </c>
      <c r="DJ573">
        <f t="shared" si="1121"/>
        <v>0</v>
      </c>
      <c r="DK573">
        <f t="shared" si="1121"/>
        <v>0</v>
      </c>
      <c r="DL573">
        <f t="shared" si="1121"/>
        <v>0</v>
      </c>
      <c r="DM573">
        <f t="shared" si="1121"/>
        <v>0</v>
      </c>
      <c r="DN573">
        <f t="shared" si="1121"/>
        <v>0</v>
      </c>
      <c r="DO573">
        <f t="shared" si="1121"/>
        <v>0</v>
      </c>
      <c r="DP573">
        <f t="shared" si="1121"/>
        <v>0</v>
      </c>
      <c r="DQ573">
        <f t="shared" si="1122"/>
        <v>0</v>
      </c>
      <c r="DR573">
        <f t="shared" si="1122"/>
        <v>0</v>
      </c>
      <c r="DS573">
        <f t="shared" si="1122"/>
        <v>0</v>
      </c>
      <c r="DT573">
        <f t="shared" si="1122"/>
        <v>0</v>
      </c>
      <c r="DU573">
        <f t="shared" si="1122"/>
        <v>0</v>
      </c>
      <c r="DV573">
        <f t="shared" si="1122"/>
        <v>0</v>
      </c>
      <c r="DW573">
        <f t="shared" si="1122"/>
        <v>0</v>
      </c>
      <c r="DX573">
        <f t="shared" si="1122"/>
        <v>0</v>
      </c>
      <c r="DY573">
        <f t="shared" si="1122"/>
        <v>0</v>
      </c>
      <c r="DZ573">
        <f t="shared" si="1122"/>
        <v>0</v>
      </c>
      <c r="EA573">
        <f t="shared" si="1123"/>
        <v>0</v>
      </c>
      <c r="EB573">
        <f t="shared" si="1123"/>
        <v>0</v>
      </c>
      <c r="EC573">
        <f t="shared" si="1123"/>
        <v>0</v>
      </c>
      <c r="ED573">
        <f t="shared" si="1123"/>
        <v>0</v>
      </c>
      <c r="EE573">
        <f t="shared" si="1123"/>
        <v>0</v>
      </c>
      <c r="EF573">
        <f t="shared" si="1123"/>
        <v>0</v>
      </c>
    </row>
    <row r="574" spans="1:136" ht="15.5">
      <c r="A574" s="90"/>
      <c r="B574" s="53" t="s">
        <v>3</v>
      </c>
      <c r="C574" s="88"/>
      <c r="D574" s="18">
        <v>0</v>
      </c>
      <c r="E574" s="18">
        <v>0</v>
      </c>
      <c r="F574" s="18">
        <v>0</v>
      </c>
      <c r="G574" s="18">
        <v>0</v>
      </c>
      <c r="H574" s="18">
        <v>0</v>
      </c>
      <c r="I574" s="34">
        <v>0</v>
      </c>
      <c r="J574" s="34">
        <v>0</v>
      </c>
      <c r="K574" s="18">
        <v>0</v>
      </c>
      <c r="L574" s="18">
        <v>403</v>
      </c>
      <c r="M574" s="18">
        <v>0</v>
      </c>
      <c r="N574" s="18">
        <v>0</v>
      </c>
      <c r="O574" s="18">
        <v>0</v>
      </c>
      <c r="P574" s="18">
        <v>153</v>
      </c>
      <c r="Q574" s="18">
        <v>187</v>
      </c>
      <c r="R574" s="18">
        <v>194</v>
      </c>
      <c r="S574" s="18">
        <v>228</v>
      </c>
      <c r="T574" s="18">
        <v>169</v>
      </c>
      <c r="U574" s="18">
        <v>0</v>
      </c>
      <c r="V574" s="18">
        <v>0</v>
      </c>
      <c r="W574" s="18">
        <v>0</v>
      </c>
      <c r="X574" s="18">
        <v>0</v>
      </c>
      <c r="Y574" s="18">
        <v>0</v>
      </c>
      <c r="Z574" s="18">
        <v>0</v>
      </c>
      <c r="AA574" s="18">
        <v>0</v>
      </c>
      <c r="AB574" s="18">
        <v>0</v>
      </c>
      <c r="AC574" s="18">
        <v>0</v>
      </c>
      <c r="AD574" s="18">
        <v>0</v>
      </c>
      <c r="AE574" s="18">
        <v>0</v>
      </c>
      <c r="AF574" s="18">
        <v>0</v>
      </c>
      <c r="AG574" s="18">
        <v>0</v>
      </c>
      <c r="AH574" s="18">
        <v>0</v>
      </c>
      <c r="AI574" s="18">
        <v>0</v>
      </c>
      <c r="AJ574" s="18">
        <v>3</v>
      </c>
      <c r="AK574" s="18">
        <f>1.1+9300</f>
        <v>9301.1</v>
      </c>
      <c r="AL574" s="18">
        <v>0</v>
      </c>
      <c r="AM574" s="18">
        <v>0</v>
      </c>
      <c r="AN574" s="18">
        <v>0</v>
      </c>
      <c r="AO574" s="18">
        <v>0</v>
      </c>
      <c r="AP574" s="18">
        <v>0</v>
      </c>
      <c r="AQ574" s="18">
        <v>0</v>
      </c>
      <c r="AR574" s="18">
        <v>0</v>
      </c>
      <c r="AS574" s="18">
        <v>0</v>
      </c>
      <c r="AT574" s="18">
        <v>0</v>
      </c>
      <c r="AU574" s="18">
        <v>0</v>
      </c>
      <c r="AV574" s="18">
        <v>0</v>
      </c>
      <c r="AW574" s="18">
        <v>0</v>
      </c>
      <c r="AX574" s="18">
        <v>0</v>
      </c>
      <c r="AY574" s="18">
        <v>0</v>
      </c>
      <c r="AZ574" s="18">
        <v>0</v>
      </c>
      <c r="BA574" s="18">
        <v>0</v>
      </c>
      <c r="BB574" s="18">
        <v>0</v>
      </c>
      <c r="BC574" s="18">
        <v>0</v>
      </c>
      <c r="BD574" s="18">
        <v>0</v>
      </c>
      <c r="BE574" s="25">
        <v>0</v>
      </c>
      <c r="BF574" s="18">
        <v>0</v>
      </c>
      <c r="BG574" s="18">
        <v>0</v>
      </c>
      <c r="BH574" s="18">
        <v>0</v>
      </c>
      <c r="BI574" s="18">
        <v>0</v>
      </c>
      <c r="BJ574" s="113">
        <v>0</v>
      </c>
      <c r="BK574" s="18">
        <v>0</v>
      </c>
      <c r="BL574" s="18">
        <v>0</v>
      </c>
      <c r="BM574" s="18">
        <v>0</v>
      </c>
      <c r="BN574" s="18">
        <v>0</v>
      </c>
      <c r="BO574" s="18">
        <v>0</v>
      </c>
      <c r="BP574" s="18">
        <v>0</v>
      </c>
      <c r="BQ574" s="18">
        <v>0</v>
      </c>
      <c r="BR574" s="101"/>
      <c r="BS574">
        <f t="shared" si="1117"/>
        <v>0</v>
      </c>
      <c r="BT574">
        <f t="shared" si="1117"/>
        <v>0</v>
      </c>
      <c r="BU574">
        <f t="shared" si="1117"/>
        <v>0</v>
      </c>
      <c r="BV574">
        <f t="shared" si="1117"/>
        <v>0</v>
      </c>
      <c r="BW574">
        <f t="shared" si="1117"/>
        <v>0</v>
      </c>
      <c r="BX574">
        <f t="shared" si="1117"/>
        <v>0</v>
      </c>
      <c r="BY574">
        <f t="shared" si="1117"/>
        <v>0</v>
      </c>
      <c r="BZ574">
        <f t="shared" si="1117"/>
        <v>0</v>
      </c>
      <c r="CA574">
        <f t="shared" si="1117"/>
        <v>0</v>
      </c>
      <c r="CB574">
        <f t="shared" si="1117"/>
        <v>0</v>
      </c>
      <c r="CC574">
        <f t="shared" si="1118"/>
        <v>0</v>
      </c>
      <c r="CD574">
        <f t="shared" si="1118"/>
        <v>0</v>
      </c>
      <c r="CE574">
        <f t="shared" si="1118"/>
        <v>0</v>
      </c>
      <c r="CF574">
        <f t="shared" si="1118"/>
        <v>0</v>
      </c>
      <c r="CG574">
        <f t="shared" si="1118"/>
        <v>0</v>
      </c>
      <c r="CH574">
        <f t="shared" si="1118"/>
        <v>0</v>
      </c>
      <c r="CI574">
        <f t="shared" si="1118"/>
        <v>0</v>
      </c>
      <c r="CJ574">
        <f t="shared" si="1118"/>
        <v>0</v>
      </c>
      <c r="CK574">
        <f t="shared" si="1118"/>
        <v>0</v>
      </c>
      <c r="CL574">
        <f t="shared" si="1118"/>
        <v>0</v>
      </c>
      <c r="CM574">
        <f t="shared" si="1119"/>
        <v>0</v>
      </c>
      <c r="CN574">
        <f t="shared" si="1119"/>
        <v>0</v>
      </c>
      <c r="CO574">
        <f t="shared" si="1119"/>
        <v>0</v>
      </c>
      <c r="CP574">
        <f t="shared" si="1119"/>
        <v>0</v>
      </c>
      <c r="CQ574">
        <f t="shared" si="1119"/>
        <v>0</v>
      </c>
      <c r="CR574">
        <f t="shared" si="1119"/>
        <v>0</v>
      </c>
      <c r="CS574">
        <f t="shared" si="1119"/>
        <v>0</v>
      </c>
      <c r="CT574">
        <f t="shared" si="1119"/>
        <v>0</v>
      </c>
      <c r="CU574">
        <f t="shared" si="1119"/>
        <v>0</v>
      </c>
      <c r="CV574">
        <f t="shared" si="1119"/>
        <v>0</v>
      </c>
      <c r="CW574">
        <f t="shared" si="1120"/>
        <v>0</v>
      </c>
      <c r="CX574">
        <f t="shared" si="1120"/>
        <v>0</v>
      </c>
      <c r="CY574">
        <f t="shared" si="1120"/>
        <v>0</v>
      </c>
      <c r="CZ574">
        <f t="shared" si="1120"/>
        <v>0</v>
      </c>
      <c r="DA574">
        <f t="shared" si="1120"/>
        <v>0</v>
      </c>
      <c r="DB574">
        <f t="shared" si="1120"/>
        <v>0</v>
      </c>
      <c r="DC574">
        <f t="shared" si="1120"/>
        <v>0</v>
      </c>
      <c r="DD574">
        <f t="shared" si="1120"/>
        <v>0</v>
      </c>
      <c r="DE574">
        <f t="shared" si="1120"/>
        <v>0</v>
      </c>
      <c r="DF574">
        <f t="shared" si="1120"/>
        <v>0</v>
      </c>
      <c r="DG574">
        <f t="shared" si="1121"/>
        <v>0</v>
      </c>
      <c r="DH574">
        <f t="shared" si="1121"/>
        <v>0</v>
      </c>
      <c r="DI574">
        <f t="shared" si="1121"/>
        <v>0</v>
      </c>
      <c r="DJ574">
        <f t="shared" si="1121"/>
        <v>0</v>
      </c>
      <c r="DK574">
        <f t="shared" si="1121"/>
        <v>0</v>
      </c>
      <c r="DL574">
        <f t="shared" si="1121"/>
        <v>0</v>
      </c>
      <c r="DM574">
        <f t="shared" si="1121"/>
        <v>0</v>
      </c>
      <c r="DN574">
        <f t="shared" si="1121"/>
        <v>0</v>
      </c>
      <c r="DO574">
        <f t="shared" si="1121"/>
        <v>0</v>
      </c>
      <c r="DP574">
        <f t="shared" si="1121"/>
        <v>0</v>
      </c>
      <c r="DQ574">
        <f t="shared" si="1122"/>
        <v>0</v>
      </c>
      <c r="DR574">
        <f t="shared" si="1122"/>
        <v>0</v>
      </c>
      <c r="DS574">
        <f t="shared" si="1122"/>
        <v>0</v>
      </c>
      <c r="DT574">
        <f t="shared" si="1122"/>
        <v>0</v>
      </c>
      <c r="DU574">
        <f t="shared" si="1122"/>
        <v>0</v>
      </c>
      <c r="DV574">
        <f t="shared" si="1122"/>
        <v>0</v>
      </c>
      <c r="DW574">
        <f t="shared" si="1122"/>
        <v>0</v>
      </c>
      <c r="DX574">
        <f t="shared" si="1122"/>
        <v>0</v>
      </c>
      <c r="DY574">
        <f t="shared" si="1122"/>
        <v>0</v>
      </c>
      <c r="DZ574">
        <f t="shared" si="1122"/>
        <v>0</v>
      </c>
      <c r="EA574">
        <f t="shared" si="1123"/>
        <v>0</v>
      </c>
      <c r="EB574">
        <f t="shared" si="1123"/>
        <v>0</v>
      </c>
      <c r="EC574">
        <f t="shared" si="1123"/>
        <v>0</v>
      </c>
      <c r="ED574">
        <f t="shared" si="1123"/>
        <v>0</v>
      </c>
      <c r="EE574">
        <f t="shared" si="1123"/>
        <v>0</v>
      </c>
      <c r="EF574">
        <f t="shared" si="1123"/>
        <v>0</v>
      </c>
    </row>
    <row r="575" spans="1:136" ht="15.5">
      <c r="A575" s="90"/>
      <c r="B575" s="19"/>
      <c r="C575" s="94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18"/>
      <c r="AW575" s="18"/>
      <c r="AX575" s="18"/>
      <c r="AY575" s="18"/>
      <c r="AZ575" s="18"/>
      <c r="BA575" s="18"/>
      <c r="BB575" s="18"/>
      <c r="BC575" s="18"/>
      <c r="BD575" s="18"/>
      <c r="BE575" s="25"/>
      <c r="BF575" s="18"/>
      <c r="BG575" s="18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101"/>
    </row>
    <row r="576" spans="1:136" ht="15.5">
      <c r="A576" s="93">
        <v>68</v>
      </c>
      <c r="B576" s="52" t="s">
        <v>81</v>
      </c>
      <c r="C576" s="94">
        <v>3</v>
      </c>
      <c r="D576" s="22">
        <f t="shared" ref="D576:AI576" si="1124">SUM(D577:D581)</f>
        <v>0</v>
      </c>
      <c r="E576" s="22">
        <f t="shared" si="1124"/>
        <v>0</v>
      </c>
      <c r="F576" s="22">
        <f t="shared" si="1124"/>
        <v>0</v>
      </c>
      <c r="G576" s="22">
        <f t="shared" si="1124"/>
        <v>0</v>
      </c>
      <c r="H576" s="22">
        <f t="shared" si="1124"/>
        <v>0</v>
      </c>
      <c r="I576" s="22">
        <f t="shared" si="1124"/>
        <v>0</v>
      </c>
      <c r="J576" s="22">
        <f t="shared" si="1124"/>
        <v>810</v>
      </c>
      <c r="K576" s="22">
        <f t="shared" si="1124"/>
        <v>260</v>
      </c>
      <c r="L576" s="22">
        <f t="shared" si="1124"/>
        <v>333</v>
      </c>
      <c r="M576" s="22">
        <f t="shared" si="1124"/>
        <v>957</v>
      </c>
      <c r="N576" s="22">
        <f t="shared" si="1124"/>
        <v>3561.2849999999999</v>
      </c>
      <c r="O576" s="22">
        <f t="shared" si="1124"/>
        <v>202.18899999999999</v>
      </c>
      <c r="P576" s="22">
        <f t="shared" si="1124"/>
        <v>207.584</v>
      </c>
      <c r="Q576" s="22">
        <f t="shared" si="1124"/>
        <v>168.2</v>
      </c>
      <c r="R576" s="22">
        <f t="shared" si="1124"/>
        <v>171</v>
      </c>
      <c r="S576" s="22">
        <f t="shared" si="1124"/>
        <v>174</v>
      </c>
      <c r="T576" s="22">
        <f t="shared" si="1124"/>
        <v>177</v>
      </c>
      <c r="U576" s="22">
        <f t="shared" si="1124"/>
        <v>180</v>
      </c>
      <c r="V576" s="22">
        <f t="shared" si="1124"/>
        <v>183</v>
      </c>
      <c r="W576" s="22">
        <f t="shared" si="1124"/>
        <v>186</v>
      </c>
      <c r="X576" s="22">
        <f t="shared" si="1124"/>
        <v>189</v>
      </c>
      <c r="Y576" s="22">
        <f t="shared" si="1124"/>
        <v>192</v>
      </c>
      <c r="Z576" s="22">
        <f t="shared" si="1124"/>
        <v>195</v>
      </c>
      <c r="AA576" s="22">
        <f t="shared" si="1124"/>
        <v>198</v>
      </c>
      <c r="AB576" s="22">
        <f t="shared" si="1124"/>
        <v>201</v>
      </c>
      <c r="AC576" s="22">
        <f t="shared" si="1124"/>
        <v>267.14294200000001</v>
      </c>
      <c r="AD576" s="22">
        <f t="shared" si="1124"/>
        <v>274.3303004</v>
      </c>
      <c r="AE576" s="22">
        <f t="shared" si="1124"/>
        <v>295.70164449999999</v>
      </c>
      <c r="AF576" s="22">
        <f t="shared" si="1124"/>
        <v>286.89311800000002</v>
      </c>
      <c r="AG576" s="22">
        <f t="shared" si="1124"/>
        <v>286.53440409999996</v>
      </c>
      <c r="AH576" s="22">
        <f t="shared" si="1124"/>
        <v>220.29583059999999</v>
      </c>
      <c r="AI576" s="22">
        <f t="shared" si="1124"/>
        <v>1.2397671000000001</v>
      </c>
      <c r="AJ576" s="22">
        <f t="shared" ref="AJ576:BO576" si="1125">SUM(AJ577:AJ581)</f>
        <v>1.1545551000000001</v>
      </c>
      <c r="AK576" s="22">
        <f t="shared" si="1125"/>
        <v>1.1344603999999998</v>
      </c>
      <c r="AL576" s="22">
        <f t="shared" si="1125"/>
        <v>4200</v>
      </c>
      <c r="AM576" s="22">
        <f t="shared" si="1125"/>
        <v>0</v>
      </c>
      <c r="AN576" s="22">
        <f t="shared" si="1125"/>
        <v>0</v>
      </c>
      <c r="AO576" s="22">
        <f t="shared" si="1125"/>
        <v>3.2230599999999998E-2</v>
      </c>
      <c r="AP576" s="22">
        <f t="shared" si="1125"/>
        <v>4375.8429999999998</v>
      </c>
      <c r="AQ576" s="22">
        <f t="shared" si="1125"/>
        <v>5133.1833436999996</v>
      </c>
      <c r="AR576" s="22">
        <f t="shared" si="1125"/>
        <v>6175.6869999999999</v>
      </c>
      <c r="AS576" s="22">
        <f t="shared" si="1125"/>
        <v>2749.6351491999999</v>
      </c>
      <c r="AT576" s="22">
        <f t="shared" si="1125"/>
        <v>6205.3559999999998</v>
      </c>
      <c r="AU576" s="22">
        <f t="shared" si="1125"/>
        <v>2930.2368016999999</v>
      </c>
      <c r="AV576" s="22">
        <f t="shared" si="1125"/>
        <v>0</v>
      </c>
      <c r="AW576" s="22">
        <f t="shared" si="1125"/>
        <v>2733</v>
      </c>
      <c r="AX576" s="22">
        <f t="shared" si="1125"/>
        <v>92.25908840000001</v>
      </c>
      <c r="AY576" s="22">
        <f t="shared" si="1125"/>
        <v>0</v>
      </c>
      <c r="AZ576" s="22">
        <f t="shared" si="1125"/>
        <v>0</v>
      </c>
      <c r="BA576" s="22">
        <f t="shared" si="1125"/>
        <v>0</v>
      </c>
      <c r="BB576" s="22">
        <f t="shared" si="1125"/>
        <v>0</v>
      </c>
      <c r="BC576" s="22">
        <f t="shared" si="1125"/>
        <v>0</v>
      </c>
      <c r="BD576" s="22">
        <f t="shared" si="1125"/>
        <v>231.364</v>
      </c>
      <c r="BE576" s="22">
        <f t="shared" si="1125"/>
        <v>0</v>
      </c>
      <c r="BF576" s="22">
        <f t="shared" si="1125"/>
        <v>5.0679999999999996</v>
      </c>
      <c r="BG576" s="22">
        <f t="shared" si="1125"/>
        <v>0</v>
      </c>
      <c r="BH576" s="22">
        <f t="shared" si="1125"/>
        <v>0.27567579999999997</v>
      </c>
      <c r="BI576" s="22">
        <f t="shared" si="1125"/>
        <v>0</v>
      </c>
      <c r="BJ576" s="22">
        <f t="shared" si="1125"/>
        <v>0</v>
      </c>
      <c r="BK576" s="22">
        <f t="shared" si="1125"/>
        <v>0</v>
      </c>
      <c r="BL576" s="22">
        <f t="shared" si="1125"/>
        <v>0</v>
      </c>
      <c r="BM576" s="22">
        <f t="shared" si="1125"/>
        <v>0</v>
      </c>
      <c r="BN576" s="22">
        <f t="shared" si="1125"/>
        <v>0</v>
      </c>
      <c r="BO576" s="22">
        <f t="shared" si="1125"/>
        <v>0</v>
      </c>
      <c r="BP576" s="22">
        <f>SUM(BP577:BP581)</f>
        <v>0</v>
      </c>
      <c r="BQ576" s="22">
        <f>SUM(BQ577:BQ581)</f>
        <v>0</v>
      </c>
      <c r="BR576" s="101"/>
      <c r="BS576">
        <f t="shared" ref="BS576:CB578" si="1126">IF($C576&lt;&gt;"",IF(D576&gt;0,1,0),0)</f>
        <v>0</v>
      </c>
      <c r="BT576">
        <f t="shared" si="1126"/>
        <v>0</v>
      </c>
      <c r="BU576">
        <f t="shared" si="1126"/>
        <v>0</v>
      </c>
      <c r="BV576">
        <f t="shared" si="1126"/>
        <v>0</v>
      </c>
      <c r="BW576">
        <f t="shared" si="1126"/>
        <v>0</v>
      </c>
      <c r="BX576">
        <f t="shared" si="1126"/>
        <v>0</v>
      </c>
      <c r="BY576">
        <f t="shared" si="1126"/>
        <v>1</v>
      </c>
      <c r="BZ576">
        <f t="shared" si="1126"/>
        <v>1</v>
      </c>
      <c r="CA576">
        <f t="shared" si="1126"/>
        <v>1</v>
      </c>
      <c r="CB576">
        <f t="shared" si="1126"/>
        <v>1</v>
      </c>
      <c r="CC576">
        <f t="shared" ref="CC576:CL578" si="1127">IF($C576&lt;&gt;"",IF(N576&gt;0,1,0),0)</f>
        <v>1</v>
      </c>
      <c r="CD576">
        <f t="shared" si="1127"/>
        <v>1</v>
      </c>
      <c r="CE576">
        <f t="shared" si="1127"/>
        <v>1</v>
      </c>
      <c r="CF576">
        <f t="shared" si="1127"/>
        <v>1</v>
      </c>
      <c r="CG576">
        <f t="shared" si="1127"/>
        <v>1</v>
      </c>
      <c r="CH576">
        <f t="shared" si="1127"/>
        <v>1</v>
      </c>
      <c r="CI576">
        <f t="shared" si="1127"/>
        <v>1</v>
      </c>
      <c r="CJ576">
        <f t="shared" si="1127"/>
        <v>1</v>
      </c>
      <c r="CK576">
        <f t="shared" si="1127"/>
        <v>1</v>
      </c>
      <c r="CL576">
        <f t="shared" si="1127"/>
        <v>1</v>
      </c>
      <c r="CM576">
        <f t="shared" ref="CM576:CV578" si="1128">IF($C576&lt;&gt;"",IF(X576&gt;0,1,0),0)</f>
        <v>1</v>
      </c>
      <c r="CN576">
        <f t="shared" si="1128"/>
        <v>1</v>
      </c>
      <c r="CO576">
        <f t="shared" si="1128"/>
        <v>1</v>
      </c>
      <c r="CP576">
        <f t="shared" si="1128"/>
        <v>1</v>
      </c>
      <c r="CQ576">
        <f t="shared" si="1128"/>
        <v>1</v>
      </c>
      <c r="CR576">
        <f t="shared" si="1128"/>
        <v>1</v>
      </c>
      <c r="CS576">
        <f t="shared" si="1128"/>
        <v>1</v>
      </c>
      <c r="CT576">
        <f t="shared" si="1128"/>
        <v>1</v>
      </c>
      <c r="CU576">
        <f t="shared" si="1128"/>
        <v>1</v>
      </c>
      <c r="CV576">
        <f t="shared" si="1128"/>
        <v>1</v>
      </c>
      <c r="CW576">
        <f t="shared" ref="CW576:DF578" si="1129">IF($C576&lt;&gt;"",IF(AH576&gt;0,1,0),0)</f>
        <v>1</v>
      </c>
      <c r="CX576">
        <f t="shared" si="1129"/>
        <v>1</v>
      </c>
      <c r="CY576">
        <f t="shared" si="1129"/>
        <v>1</v>
      </c>
      <c r="CZ576">
        <f t="shared" si="1129"/>
        <v>1</v>
      </c>
      <c r="DA576">
        <f t="shared" si="1129"/>
        <v>1</v>
      </c>
      <c r="DB576">
        <f t="shared" si="1129"/>
        <v>0</v>
      </c>
      <c r="DC576">
        <f t="shared" si="1129"/>
        <v>0</v>
      </c>
      <c r="DD576">
        <f t="shared" si="1129"/>
        <v>1</v>
      </c>
      <c r="DE576">
        <f t="shared" si="1129"/>
        <v>1</v>
      </c>
      <c r="DF576">
        <f t="shared" si="1129"/>
        <v>1</v>
      </c>
      <c r="DG576">
        <f t="shared" ref="DG576:DP578" si="1130">IF($C576&lt;&gt;"",IF(AR576&gt;0,1,0),0)</f>
        <v>1</v>
      </c>
      <c r="DH576">
        <f t="shared" si="1130"/>
        <v>1</v>
      </c>
      <c r="DI576">
        <f t="shared" si="1130"/>
        <v>1</v>
      </c>
      <c r="DJ576">
        <f t="shared" si="1130"/>
        <v>1</v>
      </c>
      <c r="DK576">
        <f t="shared" si="1130"/>
        <v>0</v>
      </c>
      <c r="DL576">
        <f t="shared" si="1130"/>
        <v>1</v>
      </c>
      <c r="DM576">
        <f t="shared" si="1130"/>
        <v>1</v>
      </c>
      <c r="DN576">
        <f t="shared" si="1130"/>
        <v>0</v>
      </c>
      <c r="DO576">
        <f t="shared" si="1130"/>
        <v>0</v>
      </c>
      <c r="DP576">
        <f t="shared" si="1130"/>
        <v>0</v>
      </c>
      <c r="DQ576">
        <f t="shared" ref="DQ576:DZ578" si="1131">IF($C576&lt;&gt;"",IF(BB576&gt;0,1,0),0)</f>
        <v>0</v>
      </c>
      <c r="DR576">
        <f t="shared" si="1131"/>
        <v>0</v>
      </c>
      <c r="DS576">
        <f t="shared" si="1131"/>
        <v>1</v>
      </c>
      <c r="DT576">
        <f t="shared" si="1131"/>
        <v>0</v>
      </c>
      <c r="DU576">
        <f t="shared" si="1131"/>
        <v>1</v>
      </c>
      <c r="DV576">
        <f t="shared" si="1131"/>
        <v>0</v>
      </c>
      <c r="DW576">
        <f t="shared" si="1131"/>
        <v>1</v>
      </c>
      <c r="DX576">
        <f t="shared" si="1131"/>
        <v>0</v>
      </c>
      <c r="DY576">
        <f t="shared" si="1131"/>
        <v>0</v>
      </c>
      <c r="DZ576">
        <f t="shared" si="1131"/>
        <v>0</v>
      </c>
      <c r="EA576">
        <f t="shared" ref="EA576:EF578" si="1132">IF($C576&lt;&gt;"",IF(BL576&gt;0,1,0),0)</f>
        <v>0</v>
      </c>
      <c r="EB576">
        <f t="shared" si="1132"/>
        <v>0</v>
      </c>
      <c r="EC576">
        <f t="shared" si="1132"/>
        <v>0</v>
      </c>
      <c r="ED576">
        <f t="shared" si="1132"/>
        <v>0</v>
      </c>
      <c r="EE576">
        <f t="shared" si="1132"/>
        <v>0</v>
      </c>
      <c r="EF576">
        <f t="shared" si="1132"/>
        <v>0</v>
      </c>
    </row>
    <row r="577" spans="1:136" ht="15.5">
      <c r="A577" s="90"/>
      <c r="B577" s="19" t="s">
        <v>2</v>
      </c>
      <c r="C577" s="94"/>
      <c r="D577" s="18">
        <v>0</v>
      </c>
      <c r="E577" s="18">
        <v>0</v>
      </c>
      <c r="F577" s="18">
        <v>0</v>
      </c>
      <c r="G577" s="18">
        <v>0</v>
      </c>
      <c r="H577" s="18">
        <v>0</v>
      </c>
      <c r="I577" s="40" t="s">
        <v>16</v>
      </c>
      <c r="J577" s="18">
        <v>310</v>
      </c>
      <c r="K577" s="18">
        <v>110</v>
      </c>
      <c r="L577" s="18">
        <v>180</v>
      </c>
      <c r="M577" s="18">
        <v>759</v>
      </c>
      <c r="N577" s="18">
        <v>2090</v>
      </c>
      <c r="O577" s="34">
        <v>0</v>
      </c>
      <c r="P577" s="34">
        <v>0</v>
      </c>
      <c r="Q577" s="34">
        <v>0</v>
      </c>
      <c r="R577" s="34">
        <v>0</v>
      </c>
      <c r="S577" s="34">
        <v>0</v>
      </c>
      <c r="T577" s="34">
        <v>0</v>
      </c>
      <c r="U577" s="34">
        <v>0</v>
      </c>
      <c r="V577" s="34">
        <v>0</v>
      </c>
      <c r="W577" s="34">
        <v>0</v>
      </c>
      <c r="X577" s="34">
        <v>0</v>
      </c>
      <c r="Y577" s="34">
        <v>0</v>
      </c>
      <c r="Z577" s="34">
        <v>0</v>
      </c>
      <c r="AA577" s="34">
        <v>0</v>
      </c>
      <c r="AB577" s="34">
        <v>0</v>
      </c>
      <c r="AC577" s="34">
        <v>0</v>
      </c>
      <c r="AD577" s="34">
        <v>0</v>
      </c>
      <c r="AE577" s="34">
        <v>0</v>
      </c>
      <c r="AF577" s="34">
        <v>0</v>
      </c>
      <c r="AG577" s="34">
        <v>0</v>
      </c>
      <c r="AH577" s="34">
        <v>0</v>
      </c>
      <c r="AI577" s="34">
        <v>0</v>
      </c>
      <c r="AJ577" s="34">
        <v>0</v>
      </c>
      <c r="AK577" s="34">
        <v>0</v>
      </c>
      <c r="AL577" s="18">
        <v>4200</v>
      </c>
      <c r="AM577" s="34">
        <v>0</v>
      </c>
      <c r="AN577" s="34">
        <v>0</v>
      </c>
      <c r="AO577" s="34">
        <v>0</v>
      </c>
      <c r="AP577" s="18">
        <v>4176</v>
      </c>
      <c r="AQ577" s="34">
        <v>0</v>
      </c>
      <c r="AR577" s="18">
        <v>5445</v>
      </c>
      <c r="AS577" s="34">
        <v>0</v>
      </c>
      <c r="AT577" s="18">
        <v>5473</v>
      </c>
      <c r="AU577" s="40" t="s">
        <v>16</v>
      </c>
      <c r="AV577" s="34">
        <v>0</v>
      </c>
      <c r="AW577" s="18">
        <v>2704</v>
      </c>
      <c r="AX577" s="34">
        <v>0</v>
      </c>
      <c r="AY577" s="34">
        <v>0</v>
      </c>
      <c r="AZ577" s="34">
        <v>0</v>
      </c>
      <c r="BA577" s="34">
        <v>0</v>
      </c>
      <c r="BB577" s="34">
        <v>0</v>
      </c>
      <c r="BC577" s="34">
        <v>0</v>
      </c>
      <c r="BD577" s="34">
        <v>0</v>
      </c>
      <c r="BE577" s="34">
        <v>0</v>
      </c>
      <c r="BF577" s="34">
        <v>0</v>
      </c>
      <c r="BG577" s="34">
        <v>0</v>
      </c>
      <c r="BH577" s="34">
        <v>0</v>
      </c>
      <c r="BI577" s="34">
        <v>0</v>
      </c>
      <c r="BJ577" s="113">
        <v>0</v>
      </c>
      <c r="BK577" s="113">
        <v>0</v>
      </c>
      <c r="BL577" s="113">
        <v>0</v>
      </c>
      <c r="BM577" s="113">
        <v>0</v>
      </c>
      <c r="BN577" s="113">
        <v>0</v>
      </c>
      <c r="BO577" s="34">
        <v>0</v>
      </c>
      <c r="BP577" s="34">
        <v>0</v>
      </c>
      <c r="BQ577" s="34">
        <v>0</v>
      </c>
      <c r="BR577" s="101"/>
      <c r="BS577">
        <f t="shared" si="1126"/>
        <v>0</v>
      </c>
      <c r="BT577">
        <f t="shared" si="1126"/>
        <v>0</v>
      </c>
      <c r="BU577">
        <f t="shared" si="1126"/>
        <v>0</v>
      </c>
      <c r="BV577">
        <f t="shared" si="1126"/>
        <v>0</v>
      </c>
      <c r="BW577">
        <f t="shared" si="1126"/>
        <v>0</v>
      </c>
      <c r="BX577">
        <f t="shared" si="1126"/>
        <v>0</v>
      </c>
      <c r="BY577">
        <f t="shared" si="1126"/>
        <v>0</v>
      </c>
      <c r="BZ577">
        <f t="shared" si="1126"/>
        <v>0</v>
      </c>
      <c r="CA577">
        <f t="shared" si="1126"/>
        <v>0</v>
      </c>
      <c r="CB577">
        <f t="shared" si="1126"/>
        <v>0</v>
      </c>
      <c r="CC577">
        <f t="shared" si="1127"/>
        <v>0</v>
      </c>
      <c r="CD577">
        <f t="shared" si="1127"/>
        <v>0</v>
      </c>
      <c r="CE577">
        <f t="shared" si="1127"/>
        <v>0</v>
      </c>
      <c r="CF577">
        <f t="shared" si="1127"/>
        <v>0</v>
      </c>
      <c r="CG577">
        <f t="shared" si="1127"/>
        <v>0</v>
      </c>
      <c r="CH577">
        <f t="shared" si="1127"/>
        <v>0</v>
      </c>
      <c r="CI577">
        <f t="shared" si="1127"/>
        <v>0</v>
      </c>
      <c r="CJ577">
        <f t="shared" si="1127"/>
        <v>0</v>
      </c>
      <c r="CK577">
        <f t="shared" si="1127"/>
        <v>0</v>
      </c>
      <c r="CL577">
        <f t="shared" si="1127"/>
        <v>0</v>
      </c>
      <c r="CM577">
        <f t="shared" si="1128"/>
        <v>0</v>
      </c>
      <c r="CN577">
        <f t="shared" si="1128"/>
        <v>0</v>
      </c>
      <c r="CO577">
        <f t="shared" si="1128"/>
        <v>0</v>
      </c>
      <c r="CP577">
        <f t="shared" si="1128"/>
        <v>0</v>
      </c>
      <c r="CQ577">
        <f t="shared" si="1128"/>
        <v>0</v>
      </c>
      <c r="CR577">
        <f t="shared" si="1128"/>
        <v>0</v>
      </c>
      <c r="CS577">
        <f t="shared" si="1128"/>
        <v>0</v>
      </c>
      <c r="CT577">
        <f t="shared" si="1128"/>
        <v>0</v>
      </c>
      <c r="CU577">
        <f t="shared" si="1128"/>
        <v>0</v>
      </c>
      <c r="CV577">
        <f t="shared" si="1128"/>
        <v>0</v>
      </c>
      <c r="CW577">
        <f t="shared" si="1129"/>
        <v>0</v>
      </c>
      <c r="CX577">
        <f t="shared" si="1129"/>
        <v>0</v>
      </c>
      <c r="CY577">
        <f t="shared" si="1129"/>
        <v>0</v>
      </c>
      <c r="CZ577">
        <f t="shared" si="1129"/>
        <v>0</v>
      </c>
      <c r="DA577">
        <f t="shared" si="1129"/>
        <v>0</v>
      </c>
      <c r="DB577">
        <f t="shared" si="1129"/>
        <v>0</v>
      </c>
      <c r="DC577">
        <f t="shared" si="1129"/>
        <v>0</v>
      </c>
      <c r="DD577">
        <f t="shared" si="1129"/>
        <v>0</v>
      </c>
      <c r="DE577">
        <f t="shared" si="1129"/>
        <v>0</v>
      </c>
      <c r="DF577">
        <f t="shared" si="1129"/>
        <v>0</v>
      </c>
      <c r="DG577">
        <f t="shared" si="1130"/>
        <v>0</v>
      </c>
      <c r="DH577">
        <f t="shared" si="1130"/>
        <v>0</v>
      </c>
      <c r="DI577">
        <f t="shared" si="1130"/>
        <v>0</v>
      </c>
      <c r="DJ577">
        <f t="shared" si="1130"/>
        <v>0</v>
      </c>
      <c r="DK577">
        <f t="shared" si="1130"/>
        <v>0</v>
      </c>
      <c r="DL577">
        <f t="shared" si="1130"/>
        <v>0</v>
      </c>
      <c r="DM577">
        <f t="shared" si="1130"/>
        <v>0</v>
      </c>
      <c r="DN577">
        <f t="shared" si="1130"/>
        <v>0</v>
      </c>
      <c r="DO577">
        <f t="shared" si="1130"/>
        <v>0</v>
      </c>
      <c r="DP577">
        <f t="shared" si="1130"/>
        <v>0</v>
      </c>
      <c r="DQ577">
        <f t="shared" si="1131"/>
        <v>0</v>
      </c>
      <c r="DR577">
        <f t="shared" si="1131"/>
        <v>0</v>
      </c>
      <c r="DS577">
        <f t="shared" si="1131"/>
        <v>0</v>
      </c>
      <c r="DT577">
        <f t="shared" si="1131"/>
        <v>0</v>
      </c>
      <c r="DU577">
        <f t="shared" si="1131"/>
        <v>0</v>
      </c>
      <c r="DV577">
        <f t="shared" si="1131"/>
        <v>0</v>
      </c>
      <c r="DW577">
        <f t="shared" si="1131"/>
        <v>0</v>
      </c>
      <c r="DX577">
        <f t="shared" si="1131"/>
        <v>0</v>
      </c>
      <c r="DY577">
        <f t="shared" si="1131"/>
        <v>0</v>
      </c>
      <c r="DZ577">
        <f t="shared" si="1131"/>
        <v>0</v>
      </c>
      <c r="EA577">
        <f t="shared" si="1132"/>
        <v>0</v>
      </c>
      <c r="EB577">
        <f t="shared" si="1132"/>
        <v>0</v>
      </c>
      <c r="EC577">
        <f t="shared" si="1132"/>
        <v>0</v>
      </c>
      <c r="ED577">
        <f t="shared" si="1132"/>
        <v>0</v>
      </c>
      <c r="EE577">
        <f t="shared" si="1132"/>
        <v>0</v>
      </c>
      <c r="EF577">
        <f t="shared" si="1132"/>
        <v>0</v>
      </c>
    </row>
    <row r="578" spans="1:136" ht="15.5">
      <c r="A578" s="90"/>
      <c r="B578" s="19" t="s">
        <v>205</v>
      </c>
      <c r="C578" s="94"/>
      <c r="D578" s="18"/>
      <c r="E578" s="18"/>
      <c r="F578" s="18"/>
      <c r="G578" s="18"/>
      <c r="H578" s="18"/>
      <c r="I578" s="40"/>
      <c r="J578" s="18"/>
      <c r="K578" s="18">
        <v>150</v>
      </c>
      <c r="L578" s="18">
        <v>153</v>
      </c>
      <c r="M578" s="18">
        <v>156</v>
      </c>
      <c r="N578" s="18">
        <v>159</v>
      </c>
      <c r="O578" s="34">
        <v>162</v>
      </c>
      <c r="P578" s="34">
        <v>165</v>
      </c>
      <c r="Q578" s="34">
        <v>168</v>
      </c>
      <c r="R578" s="34">
        <v>171</v>
      </c>
      <c r="S578" s="34">
        <v>174</v>
      </c>
      <c r="T578" s="34">
        <v>177</v>
      </c>
      <c r="U578" s="34">
        <v>180</v>
      </c>
      <c r="V578" s="34">
        <v>183</v>
      </c>
      <c r="W578" s="34">
        <v>186</v>
      </c>
      <c r="X578" s="34">
        <v>189</v>
      </c>
      <c r="Y578" s="34">
        <v>192</v>
      </c>
      <c r="Z578" s="34">
        <v>195</v>
      </c>
      <c r="AA578" s="34">
        <v>198</v>
      </c>
      <c r="AB578" s="34">
        <v>201</v>
      </c>
      <c r="AC578" s="34">
        <v>204</v>
      </c>
      <c r="AD578" s="34">
        <v>207</v>
      </c>
      <c r="AE578" s="34">
        <v>210</v>
      </c>
      <c r="AF578" s="34">
        <v>213</v>
      </c>
      <c r="AG578" s="34">
        <v>216</v>
      </c>
      <c r="AH578" s="34">
        <f>150+69</f>
        <v>219</v>
      </c>
      <c r="AI578" s="34">
        <v>0</v>
      </c>
      <c r="AJ578" s="34">
        <v>0</v>
      </c>
      <c r="AK578" s="34">
        <v>0</v>
      </c>
      <c r="AL578" s="34">
        <v>0</v>
      </c>
      <c r="AM578" s="34">
        <v>0</v>
      </c>
      <c r="AN578" s="34">
        <v>0</v>
      </c>
      <c r="AO578" s="34">
        <v>0</v>
      </c>
      <c r="AP578" s="34">
        <v>1.843</v>
      </c>
      <c r="AQ578" s="34">
        <v>3.6869999999999998</v>
      </c>
      <c r="AR578" s="34">
        <v>3.6869999999999998</v>
      </c>
      <c r="AS578" s="34">
        <v>3.6869999999999998</v>
      </c>
      <c r="AT578" s="34">
        <v>4.3559999999999999</v>
      </c>
      <c r="AU578" s="34">
        <v>4.0970000000000004</v>
      </c>
      <c r="AV578" s="34">
        <v>0</v>
      </c>
      <c r="AW578" s="34">
        <v>0</v>
      </c>
      <c r="AX578" s="34">
        <v>0</v>
      </c>
      <c r="AY578" s="34">
        <v>0</v>
      </c>
      <c r="AZ578" s="34">
        <v>0</v>
      </c>
      <c r="BA578" s="34">
        <v>0</v>
      </c>
      <c r="BB578" s="34">
        <v>0</v>
      </c>
      <c r="BC578" s="34">
        <v>0</v>
      </c>
      <c r="BD578" s="34">
        <v>0</v>
      </c>
      <c r="BE578" s="34">
        <v>0</v>
      </c>
      <c r="BF578" s="34">
        <v>0</v>
      </c>
      <c r="BG578" s="34">
        <v>0</v>
      </c>
      <c r="BH578" s="34">
        <v>0</v>
      </c>
      <c r="BI578" s="34">
        <v>0</v>
      </c>
      <c r="BJ578" s="34">
        <v>0</v>
      </c>
      <c r="BK578" s="34">
        <v>0</v>
      </c>
      <c r="BL578" s="34">
        <v>0</v>
      </c>
      <c r="BM578" s="34">
        <v>0</v>
      </c>
      <c r="BN578" s="34">
        <v>0</v>
      </c>
      <c r="BO578" s="18">
        <v>0</v>
      </c>
      <c r="BP578" s="18">
        <v>0</v>
      </c>
      <c r="BQ578" s="18">
        <v>0</v>
      </c>
      <c r="BR578" s="101"/>
      <c r="BS578">
        <f t="shared" si="1126"/>
        <v>0</v>
      </c>
      <c r="BT578">
        <f t="shared" si="1126"/>
        <v>0</v>
      </c>
      <c r="BU578">
        <f t="shared" si="1126"/>
        <v>0</v>
      </c>
      <c r="BV578">
        <f t="shared" si="1126"/>
        <v>0</v>
      </c>
      <c r="BW578">
        <f t="shared" si="1126"/>
        <v>0</v>
      </c>
      <c r="BX578">
        <f t="shared" si="1126"/>
        <v>0</v>
      </c>
      <c r="BY578">
        <f t="shared" si="1126"/>
        <v>0</v>
      </c>
      <c r="BZ578">
        <f t="shared" si="1126"/>
        <v>0</v>
      </c>
      <c r="CA578">
        <f t="shared" si="1126"/>
        <v>0</v>
      </c>
      <c r="CB578">
        <f t="shared" si="1126"/>
        <v>0</v>
      </c>
      <c r="CC578">
        <f t="shared" si="1127"/>
        <v>0</v>
      </c>
      <c r="CD578">
        <f t="shared" si="1127"/>
        <v>0</v>
      </c>
      <c r="CE578">
        <f t="shared" si="1127"/>
        <v>0</v>
      </c>
      <c r="CF578">
        <f t="shared" si="1127"/>
        <v>0</v>
      </c>
      <c r="CG578">
        <f t="shared" si="1127"/>
        <v>0</v>
      </c>
      <c r="CH578">
        <f t="shared" si="1127"/>
        <v>0</v>
      </c>
      <c r="CI578">
        <f t="shared" si="1127"/>
        <v>0</v>
      </c>
      <c r="CJ578">
        <f t="shared" si="1127"/>
        <v>0</v>
      </c>
      <c r="CK578">
        <f t="shared" si="1127"/>
        <v>0</v>
      </c>
      <c r="CL578">
        <f t="shared" si="1127"/>
        <v>0</v>
      </c>
      <c r="CM578">
        <f t="shared" si="1128"/>
        <v>0</v>
      </c>
      <c r="CN578">
        <f t="shared" si="1128"/>
        <v>0</v>
      </c>
      <c r="CO578">
        <f t="shared" si="1128"/>
        <v>0</v>
      </c>
      <c r="CP578">
        <f t="shared" si="1128"/>
        <v>0</v>
      </c>
      <c r="CQ578">
        <f t="shared" si="1128"/>
        <v>0</v>
      </c>
      <c r="CR578">
        <f t="shared" si="1128"/>
        <v>0</v>
      </c>
      <c r="CS578">
        <f t="shared" si="1128"/>
        <v>0</v>
      </c>
      <c r="CT578">
        <f t="shared" si="1128"/>
        <v>0</v>
      </c>
      <c r="CU578">
        <f t="shared" si="1128"/>
        <v>0</v>
      </c>
      <c r="CV578">
        <f t="shared" si="1128"/>
        <v>0</v>
      </c>
      <c r="CW578">
        <f t="shared" si="1129"/>
        <v>0</v>
      </c>
      <c r="CX578">
        <f t="shared" si="1129"/>
        <v>0</v>
      </c>
      <c r="CY578">
        <f t="shared" si="1129"/>
        <v>0</v>
      </c>
      <c r="CZ578">
        <f t="shared" si="1129"/>
        <v>0</v>
      </c>
      <c r="DA578">
        <f t="shared" si="1129"/>
        <v>0</v>
      </c>
      <c r="DB578">
        <f t="shared" si="1129"/>
        <v>0</v>
      </c>
      <c r="DC578">
        <f t="shared" si="1129"/>
        <v>0</v>
      </c>
      <c r="DD578">
        <f t="shared" si="1129"/>
        <v>0</v>
      </c>
      <c r="DE578">
        <f t="shared" si="1129"/>
        <v>0</v>
      </c>
      <c r="DF578">
        <f t="shared" si="1129"/>
        <v>0</v>
      </c>
      <c r="DG578">
        <f t="shared" si="1130"/>
        <v>0</v>
      </c>
      <c r="DH578">
        <f t="shared" si="1130"/>
        <v>0</v>
      </c>
      <c r="DI578">
        <f t="shared" si="1130"/>
        <v>0</v>
      </c>
      <c r="DJ578">
        <f t="shared" si="1130"/>
        <v>0</v>
      </c>
      <c r="DK578">
        <f t="shared" si="1130"/>
        <v>0</v>
      </c>
      <c r="DL578">
        <f t="shared" si="1130"/>
        <v>0</v>
      </c>
      <c r="DM578">
        <f t="shared" si="1130"/>
        <v>0</v>
      </c>
      <c r="DN578">
        <f t="shared" si="1130"/>
        <v>0</v>
      </c>
      <c r="DO578">
        <f t="shared" si="1130"/>
        <v>0</v>
      </c>
      <c r="DP578">
        <f t="shared" si="1130"/>
        <v>0</v>
      </c>
      <c r="DQ578">
        <f t="shared" si="1131"/>
        <v>0</v>
      </c>
      <c r="DR578">
        <f t="shared" si="1131"/>
        <v>0</v>
      </c>
      <c r="DS578">
        <f t="shared" si="1131"/>
        <v>0</v>
      </c>
      <c r="DT578">
        <f t="shared" si="1131"/>
        <v>0</v>
      </c>
      <c r="DU578">
        <f t="shared" si="1131"/>
        <v>0</v>
      </c>
      <c r="DV578">
        <f t="shared" si="1131"/>
        <v>0</v>
      </c>
      <c r="DW578">
        <f t="shared" si="1131"/>
        <v>0</v>
      </c>
      <c r="DX578">
        <f t="shared" si="1131"/>
        <v>0</v>
      </c>
      <c r="DY578">
        <f t="shared" si="1131"/>
        <v>0</v>
      </c>
      <c r="DZ578">
        <f t="shared" si="1131"/>
        <v>0</v>
      </c>
      <c r="EA578">
        <f t="shared" si="1132"/>
        <v>0</v>
      </c>
      <c r="EB578">
        <f t="shared" si="1132"/>
        <v>0</v>
      </c>
      <c r="EC578">
        <f t="shared" si="1132"/>
        <v>0</v>
      </c>
      <c r="ED578">
        <f t="shared" si="1132"/>
        <v>0</v>
      </c>
      <c r="EE578">
        <f t="shared" si="1132"/>
        <v>0</v>
      </c>
      <c r="EF578">
        <f t="shared" si="1132"/>
        <v>0</v>
      </c>
    </row>
    <row r="579" spans="1:136" ht="15.5">
      <c r="A579" s="90"/>
      <c r="B579" s="53" t="s">
        <v>3</v>
      </c>
      <c r="C579" s="94"/>
      <c r="D579" s="34">
        <v>0</v>
      </c>
      <c r="E579" s="34">
        <v>0</v>
      </c>
      <c r="F579" s="34">
        <v>0</v>
      </c>
      <c r="G579" s="34">
        <v>0</v>
      </c>
      <c r="H579" s="34">
        <v>0</v>
      </c>
      <c r="I579" s="40" t="s">
        <v>16</v>
      </c>
      <c r="J579" s="34">
        <v>500</v>
      </c>
      <c r="K579" s="34">
        <v>0</v>
      </c>
      <c r="L579" s="34">
        <v>0</v>
      </c>
      <c r="M579" s="34">
        <v>42</v>
      </c>
      <c r="N579" s="34">
        <v>1306</v>
      </c>
      <c r="O579" s="34">
        <v>35.119999999999997</v>
      </c>
      <c r="P579" s="34">
        <v>41.512</v>
      </c>
      <c r="Q579" s="34">
        <v>0</v>
      </c>
      <c r="R579" s="34">
        <v>0</v>
      </c>
      <c r="S579" s="34">
        <v>0</v>
      </c>
      <c r="T579" s="34">
        <v>0</v>
      </c>
      <c r="U579" s="34">
        <v>0</v>
      </c>
      <c r="V579" s="34">
        <v>0</v>
      </c>
      <c r="W579" s="34">
        <v>0</v>
      </c>
      <c r="X579" s="34">
        <v>0</v>
      </c>
      <c r="Y579" s="34">
        <v>0</v>
      </c>
      <c r="Z579" s="34">
        <v>0</v>
      </c>
      <c r="AA579" s="34">
        <v>0</v>
      </c>
      <c r="AB579" s="34">
        <v>0</v>
      </c>
      <c r="AC579" s="34">
        <v>54.332288699999999</v>
      </c>
      <c r="AD579" s="34">
        <v>66.8723004</v>
      </c>
      <c r="AE579" s="34">
        <v>84.9440496</v>
      </c>
      <c r="AF579" s="34">
        <v>73.435118000000003</v>
      </c>
      <c r="AG579" s="34">
        <v>70.534404099999989</v>
      </c>
      <c r="AH579" s="34">
        <v>1.2958306000000002</v>
      </c>
      <c r="AI579" s="34">
        <v>1.2397671000000001</v>
      </c>
      <c r="AJ579" s="34">
        <v>1.1545551000000001</v>
      </c>
      <c r="AK579" s="34">
        <v>1.1344603999999998</v>
      </c>
      <c r="AL579" s="34">
        <v>0</v>
      </c>
      <c r="AM579" s="34">
        <v>0</v>
      </c>
      <c r="AN579" s="34">
        <v>0</v>
      </c>
      <c r="AO579" s="34">
        <v>3.2230599999999998E-2</v>
      </c>
      <c r="AP579" s="40" t="s">
        <v>16</v>
      </c>
      <c r="AQ579" s="34">
        <v>4001.4963436999997</v>
      </c>
      <c r="AR579" s="40" t="s">
        <v>16</v>
      </c>
      <c r="AS579" s="34">
        <v>1897.9481492</v>
      </c>
      <c r="AT579" s="40" t="s">
        <v>16</v>
      </c>
      <c r="AU579" s="34">
        <v>2294.1398016999997</v>
      </c>
      <c r="AV579" s="34">
        <v>0</v>
      </c>
      <c r="AW579" s="40" t="s">
        <v>16</v>
      </c>
      <c r="AX579" s="34">
        <v>92.25908840000001</v>
      </c>
      <c r="AY579" s="34">
        <v>0</v>
      </c>
      <c r="AZ579" s="34">
        <v>0</v>
      </c>
      <c r="BA579" s="34">
        <v>0</v>
      </c>
      <c r="BB579" s="34">
        <v>0</v>
      </c>
      <c r="BC579" s="34">
        <v>0</v>
      </c>
      <c r="BD579" s="34">
        <v>231.364</v>
      </c>
      <c r="BE579" s="42">
        <v>0</v>
      </c>
      <c r="BF579" s="34">
        <v>5.0679999999999996</v>
      </c>
      <c r="BG579" s="34">
        <v>0</v>
      </c>
      <c r="BH579" s="34">
        <v>0.27567579999999997</v>
      </c>
      <c r="BI579" s="34">
        <v>0</v>
      </c>
      <c r="BJ579" s="113">
        <v>0</v>
      </c>
      <c r="BK579" s="113">
        <v>0</v>
      </c>
      <c r="BL579" s="113">
        <v>0</v>
      </c>
      <c r="BM579" s="113">
        <v>0</v>
      </c>
      <c r="BN579" s="113">
        <v>0</v>
      </c>
      <c r="BO579" s="34">
        <f>BO580+BO581</f>
        <v>0</v>
      </c>
      <c r="BP579" s="34">
        <f>BP580+BP581</f>
        <v>0</v>
      </c>
      <c r="BQ579" s="34">
        <f>BQ580+BQ581</f>
        <v>0</v>
      </c>
      <c r="BR579" s="101"/>
      <c r="BS579">
        <f t="shared" ref="BS579:CB581" si="1133">IF($C579&lt;&gt;"",IF(D579&gt;0,1,0),0)</f>
        <v>0</v>
      </c>
      <c r="BT579">
        <f t="shared" si="1133"/>
        <v>0</v>
      </c>
      <c r="BU579">
        <f t="shared" si="1133"/>
        <v>0</v>
      </c>
      <c r="BV579">
        <f t="shared" si="1133"/>
        <v>0</v>
      </c>
      <c r="BW579">
        <f t="shared" si="1133"/>
        <v>0</v>
      </c>
      <c r="BX579">
        <f t="shared" si="1133"/>
        <v>0</v>
      </c>
      <c r="BY579">
        <f t="shared" si="1133"/>
        <v>0</v>
      </c>
      <c r="BZ579">
        <f t="shared" si="1133"/>
        <v>0</v>
      </c>
      <c r="CA579">
        <f t="shared" si="1133"/>
        <v>0</v>
      </c>
      <c r="CB579">
        <f t="shared" si="1133"/>
        <v>0</v>
      </c>
      <c r="CC579">
        <f t="shared" ref="CC579:CL581" si="1134">IF($C579&lt;&gt;"",IF(N579&gt;0,1,0),0)</f>
        <v>0</v>
      </c>
      <c r="CD579">
        <f t="shared" si="1134"/>
        <v>0</v>
      </c>
      <c r="CE579">
        <f t="shared" si="1134"/>
        <v>0</v>
      </c>
      <c r="CF579">
        <f t="shared" si="1134"/>
        <v>0</v>
      </c>
      <c r="CG579">
        <f t="shared" si="1134"/>
        <v>0</v>
      </c>
      <c r="CH579">
        <f t="shared" si="1134"/>
        <v>0</v>
      </c>
      <c r="CI579">
        <f t="shared" si="1134"/>
        <v>0</v>
      </c>
      <c r="CJ579">
        <f t="shared" si="1134"/>
        <v>0</v>
      </c>
      <c r="CK579">
        <f t="shared" si="1134"/>
        <v>0</v>
      </c>
      <c r="CL579">
        <f t="shared" si="1134"/>
        <v>0</v>
      </c>
      <c r="CM579">
        <f t="shared" ref="CM579:CV581" si="1135">IF($C579&lt;&gt;"",IF(X579&gt;0,1,0),0)</f>
        <v>0</v>
      </c>
      <c r="CN579">
        <f t="shared" si="1135"/>
        <v>0</v>
      </c>
      <c r="CO579">
        <f t="shared" si="1135"/>
        <v>0</v>
      </c>
      <c r="CP579">
        <f t="shared" si="1135"/>
        <v>0</v>
      </c>
      <c r="CQ579">
        <f t="shared" si="1135"/>
        <v>0</v>
      </c>
      <c r="CR579">
        <f t="shared" si="1135"/>
        <v>0</v>
      </c>
      <c r="CS579">
        <f t="shared" si="1135"/>
        <v>0</v>
      </c>
      <c r="CT579">
        <f t="shared" si="1135"/>
        <v>0</v>
      </c>
      <c r="CU579">
        <f t="shared" si="1135"/>
        <v>0</v>
      </c>
      <c r="CV579">
        <f t="shared" si="1135"/>
        <v>0</v>
      </c>
      <c r="CW579">
        <f t="shared" ref="CW579:DF581" si="1136">IF($C579&lt;&gt;"",IF(AH579&gt;0,1,0),0)</f>
        <v>0</v>
      </c>
      <c r="CX579">
        <f t="shared" si="1136"/>
        <v>0</v>
      </c>
      <c r="CY579">
        <f t="shared" si="1136"/>
        <v>0</v>
      </c>
      <c r="CZ579">
        <f t="shared" si="1136"/>
        <v>0</v>
      </c>
      <c r="DA579">
        <f t="shared" si="1136"/>
        <v>0</v>
      </c>
      <c r="DB579">
        <f t="shared" si="1136"/>
        <v>0</v>
      </c>
      <c r="DC579">
        <f t="shared" si="1136"/>
        <v>0</v>
      </c>
      <c r="DD579">
        <f t="shared" si="1136"/>
        <v>0</v>
      </c>
      <c r="DE579">
        <f t="shared" si="1136"/>
        <v>0</v>
      </c>
      <c r="DF579">
        <f t="shared" si="1136"/>
        <v>0</v>
      </c>
      <c r="DG579">
        <f t="shared" ref="DG579:DP581" si="1137">IF($C579&lt;&gt;"",IF(AR579&gt;0,1,0),0)</f>
        <v>0</v>
      </c>
      <c r="DH579">
        <f t="shared" si="1137"/>
        <v>0</v>
      </c>
      <c r="DI579">
        <f t="shared" si="1137"/>
        <v>0</v>
      </c>
      <c r="DJ579">
        <f t="shared" si="1137"/>
        <v>0</v>
      </c>
      <c r="DK579">
        <f t="shared" si="1137"/>
        <v>0</v>
      </c>
      <c r="DL579">
        <f t="shared" si="1137"/>
        <v>0</v>
      </c>
      <c r="DM579">
        <f t="shared" si="1137"/>
        <v>0</v>
      </c>
      <c r="DN579">
        <f t="shared" si="1137"/>
        <v>0</v>
      </c>
      <c r="DO579">
        <f t="shared" si="1137"/>
        <v>0</v>
      </c>
      <c r="DP579">
        <f t="shared" si="1137"/>
        <v>0</v>
      </c>
      <c r="DQ579">
        <f t="shared" ref="DQ579:DZ581" si="1138">IF($C579&lt;&gt;"",IF(BB579&gt;0,1,0),0)</f>
        <v>0</v>
      </c>
      <c r="DR579">
        <f t="shared" si="1138"/>
        <v>0</v>
      </c>
      <c r="DS579">
        <f t="shared" si="1138"/>
        <v>0</v>
      </c>
      <c r="DT579">
        <f t="shared" si="1138"/>
        <v>0</v>
      </c>
      <c r="DU579">
        <f t="shared" si="1138"/>
        <v>0</v>
      </c>
      <c r="DV579">
        <f t="shared" si="1138"/>
        <v>0</v>
      </c>
      <c r="DW579">
        <f t="shared" si="1138"/>
        <v>0</v>
      </c>
      <c r="DX579">
        <f t="shared" si="1138"/>
        <v>0</v>
      </c>
      <c r="DY579">
        <f t="shared" si="1138"/>
        <v>0</v>
      </c>
      <c r="DZ579">
        <f t="shared" si="1138"/>
        <v>0</v>
      </c>
      <c r="EA579">
        <f t="shared" ref="EA579:EF581" si="1139">IF($C579&lt;&gt;"",IF(BL578&gt;0,1,0),0)</f>
        <v>0</v>
      </c>
      <c r="EB579">
        <f t="shared" si="1139"/>
        <v>0</v>
      </c>
      <c r="EC579">
        <f t="shared" si="1139"/>
        <v>0</v>
      </c>
      <c r="ED579">
        <f t="shared" si="1139"/>
        <v>0</v>
      </c>
      <c r="EE579">
        <f t="shared" si="1139"/>
        <v>0</v>
      </c>
      <c r="EF579">
        <f t="shared" si="1139"/>
        <v>0</v>
      </c>
    </row>
    <row r="580" spans="1:136" ht="15.5">
      <c r="A580" s="90"/>
      <c r="B580" s="53" t="s">
        <v>18</v>
      </c>
      <c r="C580" s="88"/>
      <c r="D580" s="34">
        <v>0</v>
      </c>
      <c r="E580" s="34">
        <v>0</v>
      </c>
      <c r="F580" s="34">
        <v>0</v>
      </c>
      <c r="G580" s="34">
        <v>0</v>
      </c>
      <c r="H580" s="34">
        <v>0</v>
      </c>
      <c r="I580" s="34">
        <v>0</v>
      </c>
      <c r="J580" s="34">
        <v>0</v>
      </c>
      <c r="K580" s="34">
        <v>0</v>
      </c>
      <c r="L580" s="34">
        <v>0</v>
      </c>
      <c r="M580" s="34">
        <v>0</v>
      </c>
      <c r="N580" s="34">
        <v>0</v>
      </c>
      <c r="O580" s="34">
        <v>0</v>
      </c>
      <c r="P580" s="34">
        <v>0</v>
      </c>
      <c r="Q580" s="34">
        <v>0</v>
      </c>
      <c r="R580" s="34">
        <v>0</v>
      </c>
      <c r="S580" s="34">
        <v>0</v>
      </c>
      <c r="T580" s="34">
        <v>0</v>
      </c>
      <c r="U580" s="34">
        <v>0</v>
      </c>
      <c r="V580" s="34">
        <v>0</v>
      </c>
      <c r="W580" s="34">
        <v>0</v>
      </c>
      <c r="X580" s="34">
        <v>0</v>
      </c>
      <c r="Y580" s="34">
        <v>0</v>
      </c>
      <c r="Z580" s="34">
        <v>0</v>
      </c>
      <c r="AA580" s="34">
        <v>0</v>
      </c>
      <c r="AB580" s="34">
        <v>0</v>
      </c>
      <c r="AC580" s="34">
        <v>0</v>
      </c>
      <c r="AD580" s="34">
        <v>0</v>
      </c>
      <c r="AE580" s="34">
        <v>0</v>
      </c>
      <c r="AF580" s="34">
        <v>0</v>
      </c>
      <c r="AG580" s="34">
        <v>0</v>
      </c>
      <c r="AH580" s="34">
        <v>0</v>
      </c>
      <c r="AI580" s="34">
        <v>0</v>
      </c>
      <c r="AJ580" s="34">
        <v>0</v>
      </c>
      <c r="AK580" s="34">
        <v>0</v>
      </c>
      <c r="AL580" s="34">
        <v>0</v>
      </c>
      <c r="AM580" s="34">
        <v>0</v>
      </c>
      <c r="AN580" s="34">
        <v>0</v>
      </c>
      <c r="AO580" s="34">
        <v>0</v>
      </c>
      <c r="AP580" s="34">
        <v>0</v>
      </c>
      <c r="AQ580" s="34">
        <v>350</v>
      </c>
      <c r="AR580" s="40" t="s">
        <v>16</v>
      </c>
      <c r="AS580" s="34">
        <v>0</v>
      </c>
      <c r="AT580" s="40" t="s">
        <v>16</v>
      </c>
      <c r="AU580" s="34">
        <v>0</v>
      </c>
      <c r="AV580" s="34">
        <v>0</v>
      </c>
      <c r="AW580" s="34">
        <v>0</v>
      </c>
      <c r="AX580" s="34">
        <v>0</v>
      </c>
      <c r="AY580" s="34">
        <v>0</v>
      </c>
      <c r="AZ580" s="34">
        <v>0</v>
      </c>
      <c r="BA580" s="34">
        <v>0</v>
      </c>
      <c r="BB580" s="34">
        <v>0</v>
      </c>
      <c r="BC580" s="34">
        <v>0</v>
      </c>
      <c r="BD580" s="20">
        <v>0</v>
      </c>
      <c r="BE580" s="56">
        <v>0</v>
      </c>
      <c r="BF580" s="20">
        <v>0</v>
      </c>
      <c r="BG580" s="20">
        <v>0</v>
      </c>
      <c r="BH580" s="20">
        <v>0</v>
      </c>
      <c r="BI580" s="20">
        <v>0</v>
      </c>
      <c r="BJ580" s="113">
        <v>0</v>
      </c>
      <c r="BK580" s="113">
        <v>0</v>
      </c>
      <c r="BL580" s="113">
        <v>0</v>
      </c>
      <c r="BM580" s="113">
        <v>0</v>
      </c>
      <c r="BN580" s="113">
        <v>0</v>
      </c>
      <c r="BO580" s="34">
        <v>0</v>
      </c>
      <c r="BP580" s="34">
        <v>0</v>
      </c>
      <c r="BQ580" s="34">
        <v>0</v>
      </c>
      <c r="BR580" s="101"/>
      <c r="BS580">
        <f t="shared" si="1133"/>
        <v>0</v>
      </c>
      <c r="BT580">
        <f t="shared" si="1133"/>
        <v>0</v>
      </c>
      <c r="BU580">
        <f t="shared" si="1133"/>
        <v>0</v>
      </c>
      <c r="BV580">
        <f t="shared" si="1133"/>
        <v>0</v>
      </c>
      <c r="BW580">
        <f t="shared" si="1133"/>
        <v>0</v>
      </c>
      <c r="BX580">
        <f t="shared" si="1133"/>
        <v>0</v>
      </c>
      <c r="BY580">
        <f t="shared" si="1133"/>
        <v>0</v>
      </c>
      <c r="BZ580">
        <f t="shared" si="1133"/>
        <v>0</v>
      </c>
      <c r="CA580">
        <f t="shared" si="1133"/>
        <v>0</v>
      </c>
      <c r="CB580">
        <f t="shared" si="1133"/>
        <v>0</v>
      </c>
      <c r="CC580">
        <f t="shared" si="1134"/>
        <v>0</v>
      </c>
      <c r="CD580">
        <f t="shared" si="1134"/>
        <v>0</v>
      </c>
      <c r="CE580">
        <f t="shared" si="1134"/>
        <v>0</v>
      </c>
      <c r="CF580">
        <f t="shared" si="1134"/>
        <v>0</v>
      </c>
      <c r="CG580">
        <f t="shared" si="1134"/>
        <v>0</v>
      </c>
      <c r="CH580">
        <f t="shared" si="1134"/>
        <v>0</v>
      </c>
      <c r="CI580">
        <f t="shared" si="1134"/>
        <v>0</v>
      </c>
      <c r="CJ580">
        <f t="shared" si="1134"/>
        <v>0</v>
      </c>
      <c r="CK580">
        <f t="shared" si="1134"/>
        <v>0</v>
      </c>
      <c r="CL580">
        <f t="shared" si="1134"/>
        <v>0</v>
      </c>
      <c r="CM580">
        <f t="shared" si="1135"/>
        <v>0</v>
      </c>
      <c r="CN580">
        <f t="shared" si="1135"/>
        <v>0</v>
      </c>
      <c r="CO580">
        <f t="shared" si="1135"/>
        <v>0</v>
      </c>
      <c r="CP580">
        <f t="shared" si="1135"/>
        <v>0</v>
      </c>
      <c r="CQ580">
        <f t="shared" si="1135"/>
        <v>0</v>
      </c>
      <c r="CR580">
        <f t="shared" si="1135"/>
        <v>0</v>
      </c>
      <c r="CS580">
        <f t="shared" si="1135"/>
        <v>0</v>
      </c>
      <c r="CT580">
        <f t="shared" si="1135"/>
        <v>0</v>
      </c>
      <c r="CU580">
        <f t="shared" si="1135"/>
        <v>0</v>
      </c>
      <c r="CV580">
        <f t="shared" si="1135"/>
        <v>0</v>
      </c>
      <c r="CW580">
        <f t="shared" si="1136"/>
        <v>0</v>
      </c>
      <c r="CX580">
        <f t="shared" si="1136"/>
        <v>0</v>
      </c>
      <c r="CY580">
        <f t="shared" si="1136"/>
        <v>0</v>
      </c>
      <c r="CZ580">
        <f t="shared" si="1136"/>
        <v>0</v>
      </c>
      <c r="DA580">
        <f t="shared" si="1136"/>
        <v>0</v>
      </c>
      <c r="DB580">
        <f t="shared" si="1136"/>
        <v>0</v>
      </c>
      <c r="DC580">
        <f t="shared" si="1136"/>
        <v>0</v>
      </c>
      <c r="DD580">
        <f t="shared" si="1136"/>
        <v>0</v>
      </c>
      <c r="DE580">
        <f t="shared" si="1136"/>
        <v>0</v>
      </c>
      <c r="DF580">
        <f t="shared" si="1136"/>
        <v>0</v>
      </c>
      <c r="DG580">
        <f t="shared" si="1137"/>
        <v>0</v>
      </c>
      <c r="DH580">
        <f t="shared" si="1137"/>
        <v>0</v>
      </c>
      <c r="DI580">
        <f t="shared" si="1137"/>
        <v>0</v>
      </c>
      <c r="DJ580">
        <f t="shared" si="1137"/>
        <v>0</v>
      </c>
      <c r="DK580">
        <f t="shared" si="1137"/>
        <v>0</v>
      </c>
      <c r="DL580">
        <f t="shared" si="1137"/>
        <v>0</v>
      </c>
      <c r="DM580">
        <f t="shared" si="1137"/>
        <v>0</v>
      </c>
      <c r="DN580">
        <f t="shared" si="1137"/>
        <v>0</v>
      </c>
      <c r="DO580">
        <f t="shared" si="1137"/>
        <v>0</v>
      </c>
      <c r="DP580">
        <f t="shared" si="1137"/>
        <v>0</v>
      </c>
      <c r="DQ580">
        <f t="shared" si="1138"/>
        <v>0</v>
      </c>
      <c r="DR580">
        <f t="shared" si="1138"/>
        <v>0</v>
      </c>
      <c r="DS580">
        <f t="shared" si="1138"/>
        <v>0</v>
      </c>
      <c r="DT580">
        <f t="shared" si="1138"/>
        <v>0</v>
      </c>
      <c r="DU580">
        <f t="shared" si="1138"/>
        <v>0</v>
      </c>
      <c r="DV580">
        <f t="shared" si="1138"/>
        <v>0</v>
      </c>
      <c r="DW580">
        <f t="shared" si="1138"/>
        <v>0</v>
      </c>
      <c r="DX580">
        <f t="shared" si="1138"/>
        <v>0</v>
      </c>
      <c r="DY580">
        <f t="shared" si="1138"/>
        <v>0</v>
      </c>
      <c r="DZ580">
        <f t="shared" si="1138"/>
        <v>0</v>
      </c>
      <c r="EA580">
        <f t="shared" si="1139"/>
        <v>0</v>
      </c>
      <c r="EB580">
        <f t="shared" si="1139"/>
        <v>0</v>
      </c>
      <c r="EC580">
        <f t="shared" si="1139"/>
        <v>0</v>
      </c>
      <c r="ED580">
        <f t="shared" si="1139"/>
        <v>0</v>
      </c>
      <c r="EE580">
        <f t="shared" si="1139"/>
        <v>0</v>
      </c>
      <c r="EF580">
        <f t="shared" si="1139"/>
        <v>0</v>
      </c>
    </row>
    <row r="581" spans="1:136" ht="15.5">
      <c r="A581" s="90"/>
      <c r="B581" s="19" t="s">
        <v>208</v>
      </c>
      <c r="C581" s="94"/>
      <c r="D581" s="34"/>
      <c r="E581" s="34"/>
      <c r="F581" s="34"/>
      <c r="G581" s="34"/>
      <c r="H581" s="34"/>
      <c r="I581" s="40"/>
      <c r="J581" s="34"/>
      <c r="K581" s="34"/>
      <c r="L581" s="34"/>
      <c r="M581" s="34"/>
      <c r="N581" s="34">
        <v>6.2850000000000001</v>
      </c>
      <c r="O581" s="34">
        <v>5.069</v>
      </c>
      <c r="P581" s="34">
        <v>1.0719999999999998</v>
      </c>
      <c r="Q581" s="34">
        <v>0.2</v>
      </c>
      <c r="R581" s="34">
        <v>0</v>
      </c>
      <c r="S581" s="34">
        <v>0</v>
      </c>
      <c r="T581" s="34">
        <v>0</v>
      </c>
      <c r="U581" s="34">
        <v>0</v>
      </c>
      <c r="V581" s="34">
        <v>0</v>
      </c>
      <c r="W581" s="34">
        <v>0</v>
      </c>
      <c r="X581" s="34">
        <v>0</v>
      </c>
      <c r="Y581" s="34">
        <v>0</v>
      </c>
      <c r="Z581" s="34">
        <v>0</v>
      </c>
      <c r="AA581" s="34">
        <v>0</v>
      </c>
      <c r="AB581" s="34">
        <v>0</v>
      </c>
      <c r="AC581" s="34">
        <v>8.8106533000000002</v>
      </c>
      <c r="AD581" s="34">
        <v>0.45800000000000002</v>
      </c>
      <c r="AE581" s="34">
        <v>0.75759490000000007</v>
      </c>
      <c r="AF581" s="34">
        <v>0.45800000000000002</v>
      </c>
      <c r="AG581" s="34">
        <v>0</v>
      </c>
      <c r="AH581" s="34">
        <v>0</v>
      </c>
      <c r="AI581" s="34">
        <v>0</v>
      </c>
      <c r="AJ581" s="34">
        <v>0</v>
      </c>
      <c r="AK581" s="34">
        <v>0</v>
      </c>
      <c r="AL581" s="34">
        <v>0</v>
      </c>
      <c r="AM581" s="34">
        <v>0</v>
      </c>
      <c r="AN581" s="34">
        <v>0</v>
      </c>
      <c r="AO581" s="34">
        <v>0</v>
      </c>
      <c r="AP581" s="18">
        <v>198</v>
      </c>
      <c r="AQ581" s="146">
        <v>778</v>
      </c>
      <c r="AR581" s="18">
        <v>727</v>
      </c>
      <c r="AS581" s="146">
        <v>848</v>
      </c>
      <c r="AT581" s="146">
        <v>728</v>
      </c>
      <c r="AU581" s="146">
        <v>632</v>
      </c>
      <c r="AV581" s="146">
        <v>0</v>
      </c>
      <c r="AW581" s="146">
        <v>29</v>
      </c>
      <c r="AX581" s="34">
        <v>0</v>
      </c>
      <c r="AY581" s="34">
        <v>0</v>
      </c>
      <c r="AZ581" s="34">
        <v>0</v>
      </c>
      <c r="BA581" s="34">
        <v>0</v>
      </c>
      <c r="BB581" s="34">
        <v>0</v>
      </c>
      <c r="BC581" s="34">
        <v>0</v>
      </c>
      <c r="BD581" s="34">
        <v>0</v>
      </c>
      <c r="BE581" s="42">
        <v>0</v>
      </c>
      <c r="BF581" s="34">
        <v>0</v>
      </c>
      <c r="BG581" s="34">
        <v>0</v>
      </c>
      <c r="BH581" s="34">
        <v>0</v>
      </c>
      <c r="BI581" s="34">
        <v>0</v>
      </c>
      <c r="BJ581" s="113">
        <v>0</v>
      </c>
      <c r="BK581" s="113">
        <v>0</v>
      </c>
      <c r="BL581" s="113">
        <v>0</v>
      </c>
      <c r="BM581" s="113">
        <v>0</v>
      </c>
      <c r="BN581" s="113">
        <v>0</v>
      </c>
      <c r="BO581" s="18">
        <v>0</v>
      </c>
      <c r="BP581" s="18">
        <v>0</v>
      </c>
      <c r="BQ581" s="18">
        <v>0</v>
      </c>
      <c r="BR581" s="101"/>
      <c r="BS581">
        <f t="shared" si="1133"/>
        <v>0</v>
      </c>
      <c r="BT581">
        <f t="shared" si="1133"/>
        <v>0</v>
      </c>
      <c r="BU581">
        <f t="shared" si="1133"/>
        <v>0</v>
      </c>
      <c r="BV581">
        <f t="shared" si="1133"/>
        <v>0</v>
      </c>
      <c r="BW581">
        <f t="shared" si="1133"/>
        <v>0</v>
      </c>
      <c r="BX581">
        <f t="shared" si="1133"/>
        <v>0</v>
      </c>
      <c r="BY581">
        <f t="shared" si="1133"/>
        <v>0</v>
      </c>
      <c r="BZ581">
        <f t="shared" si="1133"/>
        <v>0</v>
      </c>
      <c r="CA581">
        <f t="shared" si="1133"/>
        <v>0</v>
      </c>
      <c r="CB581">
        <f t="shared" si="1133"/>
        <v>0</v>
      </c>
      <c r="CC581">
        <f t="shared" si="1134"/>
        <v>0</v>
      </c>
      <c r="CD581">
        <f t="shared" si="1134"/>
        <v>0</v>
      </c>
      <c r="CE581">
        <f t="shared" si="1134"/>
        <v>0</v>
      </c>
      <c r="CF581">
        <f t="shared" si="1134"/>
        <v>0</v>
      </c>
      <c r="CG581">
        <f t="shared" si="1134"/>
        <v>0</v>
      </c>
      <c r="CH581">
        <f t="shared" si="1134"/>
        <v>0</v>
      </c>
      <c r="CI581">
        <f t="shared" si="1134"/>
        <v>0</v>
      </c>
      <c r="CJ581">
        <f t="shared" si="1134"/>
        <v>0</v>
      </c>
      <c r="CK581">
        <f t="shared" si="1134"/>
        <v>0</v>
      </c>
      <c r="CL581">
        <f t="shared" si="1134"/>
        <v>0</v>
      </c>
      <c r="CM581">
        <f t="shared" si="1135"/>
        <v>0</v>
      </c>
      <c r="CN581">
        <f t="shared" si="1135"/>
        <v>0</v>
      </c>
      <c r="CO581">
        <f t="shared" si="1135"/>
        <v>0</v>
      </c>
      <c r="CP581">
        <f t="shared" si="1135"/>
        <v>0</v>
      </c>
      <c r="CQ581">
        <f t="shared" si="1135"/>
        <v>0</v>
      </c>
      <c r="CR581">
        <f t="shared" si="1135"/>
        <v>0</v>
      </c>
      <c r="CS581">
        <f t="shared" si="1135"/>
        <v>0</v>
      </c>
      <c r="CT581">
        <f t="shared" si="1135"/>
        <v>0</v>
      </c>
      <c r="CU581">
        <f t="shared" si="1135"/>
        <v>0</v>
      </c>
      <c r="CV581">
        <f t="shared" si="1135"/>
        <v>0</v>
      </c>
      <c r="CW581">
        <f t="shared" si="1136"/>
        <v>0</v>
      </c>
      <c r="CX581">
        <f t="shared" si="1136"/>
        <v>0</v>
      </c>
      <c r="CY581">
        <f t="shared" si="1136"/>
        <v>0</v>
      </c>
      <c r="CZ581">
        <f t="shared" si="1136"/>
        <v>0</v>
      </c>
      <c r="DA581">
        <f t="shared" si="1136"/>
        <v>0</v>
      </c>
      <c r="DB581">
        <f t="shared" si="1136"/>
        <v>0</v>
      </c>
      <c r="DC581">
        <f t="shared" si="1136"/>
        <v>0</v>
      </c>
      <c r="DD581">
        <f t="shared" si="1136"/>
        <v>0</v>
      </c>
      <c r="DE581">
        <f t="shared" si="1136"/>
        <v>0</v>
      </c>
      <c r="DF581">
        <f t="shared" si="1136"/>
        <v>0</v>
      </c>
      <c r="DG581">
        <f t="shared" si="1137"/>
        <v>0</v>
      </c>
      <c r="DH581">
        <f t="shared" si="1137"/>
        <v>0</v>
      </c>
      <c r="DI581">
        <f t="shared" si="1137"/>
        <v>0</v>
      </c>
      <c r="DJ581">
        <f t="shared" si="1137"/>
        <v>0</v>
      </c>
      <c r="DK581">
        <f t="shared" si="1137"/>
        <v>0</v>
      </c>
      <c r="DL581">
        <f t="shared" si="1137"/>
        <v>0</v>
      </c>
      <c r="DM581">
        <f t="shared" si="1137"/>
        <v>0</v>
      </c>
      <c r="DN581">
        <f t="shared" si="1137"/>
        <v>0</v>
      </c>
      <c r="DO581">
        <f t="shared" si="1137"/>
        <v>0</v>
      </c>
      <c r="DP581">
        <f t="shared" si="1137"/>
        <v>0</v>
      </c>
      <c r="DQ581">
        <f t="shared" si="1138"/>
        <v>0</v>
      </c>
      <c r="DR581">
        <f t="shared" si="1138"/>
        <v>0</v>
      </c>
      <c r="DS581">
        <f t="shared" si="1138"/>
        <v>0</v>
      </c>
      <c r="DT581">
        <f t="shared" si="1138"/>
        <v>0</v>
      </c>
      <c r="DU581">
        <f t="shared" si="1138"/>
        <v>0</v>
      </c>
      <c r="DV581">
        <f t="shared" si="1138"/>
        <v>0</v>
      </c>
      <c r="DW581">
        <f t="shared" si="1138"/>
        <v>0</v>
      </c>
      <c r="DX581">
        <f t="shared" si="1138"/>
        <v>0</v>
      </c>
      <c r="DY581">
        <f t="shared" si="1138"/>
        <v>0</v>
      </c>
      <c r="DZ581">
        <f t="shared" si="1138"/>
        <v>0</v>
      </c>
      <c r="EA581">
        <f t="shared" si="1139"/>
        <v>0</v>
      </c>
      <c r="EB581">
        <f t="shared" si="1139"/>
        <v>0</v>
      </c>
      <c r="EC581">
        <f t="shared" si="1139"/>
        <v>0</v>
      </c>
      <c r="ED581">
        <f t="shared" si="1139"/>
        <v>0</v>
      </c>
      <c r="EE581">
        <f t="shared" si="1139"/>
        <v>0</v>
      </c>
      <c r="EF581">
        <f t="shared" si="1139"/>
        <v>0</v>
      </c>
    </row>
    <row r="582" spans="1:136" ht="15.5">
      <c r="A582" s="90"/>
      <c r="B582" s="19"/>
      <c r="C582" s="94"/>
      <c r="D582" s="34"/>
      <c r="E582" s="34"/>
      <c r="F582" s="34"/>
      <c r="G582" s="34"/>
      <c r="H582" s="34"/>
      <c r="I582" s="40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  <c r="AI582" s="34"/>
      <c r="AJ582" s="34"/>
      <c r="AK582" s="34"/>
      <c r="AL582" s="34"/>
      <c r="AM582" s="34"/>
      <c r="AN582" s="34"/>
      <c r="AO582" s="34"/>
      <c r="AP582" s="40"/>
      <c r="AQ582" s="40"/>
      <c r="AR582" s="40"/>
      <c r="AS582" s="40"/>
      <c r="AT582" s="40"/>
      <c r="AU582" s="40"/>
      <c r="AV582" s="40"/>
      <c r="AW582" s="40"/>
      <c r="AX582" s="34"/>
      <c r="AY582" s="34"/>
      <c r="AZ582" s="34"/>
      <c r="BA582" s="34"/>
      <c r="BB582" s="34"/>
      <c r="BC582" s="34"/>
      <c r="BD582" s="34"/>
      <c r="BE582" s="42"/>
      <c r="BF582" s="34"/>
      <c r="BG582" s="34"/>
      <c r="BH582" s="34"/>
      <c r="BI582" s="34"/>
      <c r="BJ582" s="113"/>
      <c r="BK582" s="113"/>
      <c r="BL582" s="113"/>
      <c r="BM582" s="2"/>
      <c r="BN582" s="2"/>
      <c r="BO582" s="2"/>
      <c r="BP582" s="2"/>
      <c r="BQ582" s="2"/>
      <c r="BR582" s="101"/>
    </row>
    <row r="583" spans="1:136" ht="15.5">
      <c r="A583" s="93">
        <v>69</v>
      </c>
      <c r="B583" s="32" t="s">
        <v>82</v>
      </c>
      <c r="C583" s="94">
        <v>4</v>
      </c>
      <c r="D583" s="9">
        <f t="shared" ref="D583:AI583" si="1140">SUM(D584:D587)</f>
        <v>0</v>
      </c>
      <c r="E583" s="9">
        <f t="shared" si="1140"/>
        <v>0</v>
      </c>
      <c r="F583" s="9">
        <f t="shared" si="1140"/>
        <v>0</v>
      </c>
      <c r="G583" s="9">
        <f t="shared" si="1140"/>
        <v>0</v>
      </c>
      <c r="H583" s="9">
        <f t="shared" si="1140"/>
        <v>0</v>
      </c>
      <c r="I583" s="9">
        <f t="shared" si="1140"/>
        <v>0</v>
      </c>
      <c r="J583" s="9">
        <f t="shared" si="1140"/>
        <v>0</v>
      </c>
      <c r="K583" s="9">
        <f t="shared" si="1140"/>
        <v>0</v>
      </c>
      <c r="L583" s="9">
        <f t="shared" si="1140"/>
        <v>0</v>
      </c>
      <c r="M583" s="9">
        <f t="shared" si="1140"/>
        <v>0</v>
      </c>
      <c r="N583" s="9">
        <f t="shared" si="1140"/>
        <v>0</v>
      </c>
      <c r="O583" s="9">
        <f t="shared" si="1140"/>
        <v>0</v>
      </c>
      <c r="P583" s="9">
        <f t="shared" si="1140"/>
        <v>0</v>
      </c>
      <c r="Q583" s="9">
        <f t="shared" si="1140"/>
        <v>0</v>
      </c>
      <c r="R583" s="9">
        <f t="shared" si="1140"/>
        <v>0</v>
      </c>
      <c r="S583" s="9">
        <f t="shared" si="1140"/>
        <v>0</v>
      </c>
      <c r="T583" s="9">
        <f t="shared" si="1140"/>
        <v>0</v>
      </c>
      <c r="U583" s="9">
        <f t="shared" si="1140"/>
        <v>0</v>
      </c>
      <c r="V583" s="9">
        <f t="shared" si="1140"/>
        <v>0</v>
      </c>
      <c r="W583" s="9">
        <f t="shared" si="1140"/>
        <v>0</v>
      </c>
      <c r="X583" s="9">
        <f t="shared" si="1140"/>
        <v>0.91400000000000003</v>
      </c>
      <c r="Y583" s="9">
        <f t="shared" si="1140"/>
        <v>195.63837559999999</v>
      </c>
      <c r="Z583" s="9">
        <f t="shared" si="1140"/>
        <v>528.99177689999988</v>
      </c>
      <c r="AA583" s="9">
        <f t="shared" si="1140"/>
        <v>926.8539743</v>
      </c>
      <c r="AB583" s="9">
        <f t="shared" si="1140"/>
        <v>1282.0768201000001</v>
      </c>
      <c r="AC583" s="9">
        <f t="shared" si="1140"/>
        <v>1603.0917145999997</v>
      </c>
      <c r="AD583" s="9">
        <f t="shared" si="1140"/>
        <v>1831.3404049999999</v>
      </c>
      <c r="AE583" s="9">
        <f t="shared" si="1140"/>
        <v>1947.3408171000001</v>
      </c>
      <c r="AF583" s="9">
        <f t="shared" si="1140"/>
        <v>1960.65867</v>
      </c>
      <c r="AG583" s="9">
        <f t="shared" si="1140"/>
        <v>2017.6887127</v>
      </c>
      <c r="AH583" s="9">
        <f t="shared" si="1140"/>
        <v>1975.0211313999998</v>
      </c>
      <c r="AI583" s="9">
        <f t="shared" si="1140"/>
        <v>1945.1624092999998</v>
      </c>
      <c r="AJ583" s="9">
        <f t="shared" ref="AJ583:BN583" si="1141">SUM(AJ584:AJ587)</f>
        <v>41.0474186</v>
      </c>
      <c r="AK583" s="9">
        <f t="shared" si="1141"/>
        <v>2825.7804864</v>
      </c>
      <c r="AL583" s="9">
        <f t="shared" si="1141"/>
        <v>10837.3445689</v>
      </c>
      <c r="AM583" s="9">
        <f t="shared" si="1141"/>
        <v>3233.5045057000002</v>
      </c>
      <c r="AN583" s="9">
        <f t="shared" si="1141"/>
        <v>1839.8310335000001</v>
      </c>
      <c r="AO583" s="9">
        <f t="shared" si="1141"/>
        <v>38.978639999999999</v>
      </c>
      <c r="AP583" s="9">
        <f t="shared" si="1141"/>
        <v>34.657449999999997</v>
      </c>
      <c r="AQ583" s="9">
        <f t="shared" si="1141"/>
        <v>33.267530000000001</v>
      </c>
      <c r="AR583" s="9">
        <f t="shared" si="1141"/>
        <v>0</v>
      </c>
      <c r="AS583" s="9">
        <f t="shared" si="1141"/>
        <v>0</v>
      </c>
      <c r="AT583" s="9">
        <f t="shared" si="1141"/>
        <v>0</v>
      </c>
      <c r="AU583" s="9">
        <f t="shared" si="1141"/>
        <v>0</v>
      </c>
      <c r="AV583" s="9">
        <f t="shared" si="1141"/>
        <v>0</v>
      </c>
      <c r="AW583" s="9">
        <f t="shared" si="1141"/>
        <v>0</v>
      </c>
      <c r="AX583" s="9">
        <f t="shared" si="1141"/>
        <v>0</v>
      </c>
      <c r="AY583" s="9">
        <f t="shared" si="1141"/>
        <v>0</v>
      </c>
      <c r="AZ583" s="9">
        <f t="shared" si="1141"/>
        <v>0</v>
      </c>
      <c r="BA583" s="9">
        <f t="shared" si="1141"/>
        <v>0</v>
      </c>
      <c r="BB583" s="9">
        <f t="shared" si="1141"/>
        <v>39.367601200000003</v>
      </c>
      <c r="BC583" s="9">
        <f t="shared" si="1141"/>
        <v>26.167315600000002</v>
      </c>
      <c r="BD583" s="9">
        <f t="shared" si="1141"/>
        <v>0</v>
      </c>
      <c r="BE583" s="9">
        <f t="shared" si="1141"/>
        <v>79</v>
      </c>
      <c r="BF583" s="9">
        <f t="shared" si="1141"/>
        <v>0</v>
      </c>
      <c r="BG583" s="9">
        <f t="shared" si="1141"/>
        <v>0</v>
      </c>
      <c r="BH583" s="9">
        <f t="shared" si="1141"/>
        <v>99.7207291</v>
      </c>
      <c r="BI583" s="9">
        <f t="shared" si="1141"/>
        <v>39.742659000000003</v>
      </c>
      <c r="BJ583" s="9">
        <f t="shared" si="1141"/>
        <v>46.8636129</v>
      </c>
      <c r="BK583" s="9">
        <f t="shared" si="1141"/>
        <v>255.96134950000001</v>
      </c>
      <c r="BL583" s="9">
        <f t="shared" si="1141"/>
        <v>430.27259469999996</v>
      </c>
      <c r="BM583" s="9">
        <f t="shared" si="1141"/>
        <v>445.26687299999998</v>
      </c>
      <c r="BN583" s="9">
        <f t="shared" si="1141"/>
        <v>408.38345949999996</v>
      </c>
      <c r="BO583" s="9">
        <f>SUM(BO584:BO587)</f>
        <v>411</v>
      </c>
      <c r="BP583" s="9">
        <f>SUM(BP584:BP587)</f>
        <v>413.10500000000002</v>
      </c>
      <c r="BQ583" s="9">
        <f>SUM(BQ584:BQ587)</f>
        <v>416.10500000000002</v>
      </c>
      <c r="BR583" s="101"/>
      <c r="BS583">
        <f t="shared" ref="BS583:CB584" si="1142">IF($C583&lt;&gt;"",IF(D583&gt;0,1,0),0)</f>
        <v>0</v>
      </c>
      <c r="BT583">
        <f t="shared" si="1142"/>
        <v>0</v>
      </c>
      <c r="BU583">
        <f t="shared" si="1142"/>
        <v>0</v>
      </c>
      <c r="BV583">
        <f t="shared" si="1142"/>
        <v>0</v>
      </c>
      <c r="BW583">
        <f t="shared" si="1142"/>
        <v>0</v>
      </c>
      <c r="BX583">
        <f t="shared" si="1142"/>
        <v>0</v>
      </c>
      <c r="BY583">
        <f t="shared" si="1142"/>
        <v>0</v>
      </c>
      <c r="BZ583">
        <f t="shared" si="1142"/>
        <v>0</v>
      </c>
      <c r="CA583">
        <f t="shared" si="1142"/>
        <v>0</v>
      </c>
      <c r="CB583">
        <f t="shared" si="1142"/>
        <v>0</v>
      </c>
      <c r="CC583">
        <f t="shared" ref="CC583:CL584" si="1143">IF($C583&lt;&gt;"",IF(N583&gt;0,1,0),0)</f>
        <v>0</v>
      </c>
      <c r="CD583">
        <f t="shared" si="1143"/>
        <v>0</v>
      </c>
      <c r="CE583">
        <f t="shared" si="1143"/>
        <v>0</v>
      </c>
      <c r="CF583">
        <f t="shared" si="1143"/>
        <v>0</v>
      </c>
      <c r="CG583">
        <f t="shared" si="1143"/>
        <v>0</v>
      </c>
      <c r="CH583">
        <f t="shared" si="1143"/>
        <v>0</v>
      </c>
      <c r="CI583">
        <f t="shared" si="1143"/>
        <v>0</v>
      </c>
      <c r="CJ583">
        <f t="shared" si="1143"/>
        <v>0</v>
      </c>
      <c r="CK583">
        <f t="shared" si="1143"/>
        <v>0</v>
      </c>
      <c r="CL583">
        <f t="shared" si="1143"/>
        <v>0</v>
      </c>
      <c r="CM583">
        <f t="shared" ref="CM583:CV584" si="1144">IF($C583&lt;&gt;"",IF(X583&gt;0,1,0),0)</f>
        <v>1</v>
      </c>
      <c r="CN583">
        <f t="shared" si="1144"/>
        <v>1</v>
      </c>
      <c r="CO583">
        <f t="shared" si="1144"/>
        <v>1</v>
      </c>
      <c r="CP583">
        <f t="shared" si="1144"/>
        <v>1</v>
      </c>
      <c r="CQ583">
        <f t="shared" si="1144"/>
        <v>1</v>
      </c>
      <c r="CR583">
        <f t="shared" si="1144"/>
        <v>1</v>
      </c>
      <c r="CS583">
        <f t="shared" si="1144"/>
        <v>1</v>
      </c>
      <c r="CT583">
        <f t="shared" si="1144"/>
        <v>1</v>
      </c>
      <c r="CU583">
        <f t="shared" si="1144"/>
        <v>1</v>
      </c>
      <c r="CV583">
        <f t="shared" si="1144"/>
        <v>1</v>
      </c>
      <c r="CW583">
        <f t="shared" ref="CW583:DF584" si="1145">IF($C583&lt;&gt;"",IF(AH583&gt;0,1,0),0)</f>
        <v>1</v>
      </c>
      <c r="CX583">
        <f t="shared" si="1145"/>
        <v>1</v>
      </c>
      <c r="CY583">
        <f t="shared" si="1145"/>
        <v>1</v>
      </c>
      <c r="CZ583">
        <f t="shared" si="1145"/>
        <v>1</v>
      </c>
      <c r="DA583">
        <f t="shared" si="1145"/>
        <v>1</v>
      </c>
      <c r="DB583">
        <f t="shared" si="1145"/>
        <v>1</v>
      </c>
      <c r="DC583">
        <f t="shared" si="1145"/>
        <v>1</v>
      </c>
      <c r="DD583">
        <f t="shared" si="1145"/>
        <v>1</v>
      </c>
      <c r="DE583">
        <f t="shared" si="1145"/>
        <v>1</v>
      </c>
      <c r="DF583">
        <f t="shared" si="1145"/>
        <v>1</v>
      </c>
      <c r="DG583">
        <f t="shared" ref="DG583:DP584" si="1146">IF($C583&lt;&gt;"",IF(AR583&gt;0,1,0),0)</f>
        <v>0</v>
      </c>
      <c r="DH583">
        <f t="shared" si="1146"/>
        <v>0</v>
      </c>
      <c r="DI583">
        <f t="shared" si="1146"/>
        <v>0</v>
      </c>
      <c r="DJ583">
        <f t="shared" si="1146"/>
        <v>0</v>
      </c>
      <c r="DK583">
        <f t="shared" si="1146"/>
        <v>0</v>
      </c>
      <c r="DL583">
        <f t="shared" si="1146"/>
        <v>0</v>
      </c>
      <c r="DM583">
        <f t="shared" si="1146"/>
        <v>0</v>
      </c>
      <c r="DN583">
        <f t="shared" si="1146"/>
        <v>0</v>
      </c>
      <c r="DO583">
        <f t="shared" si="1146"/>
        <v>0</v>
      </c>
      <c r="DP583">
        <f t="shared" si="1146"/>
        <v>0</v>
      </c>
      <c r="DQ583">
        <f t="shared" ref="DQ583:DZ584" si="1147">IF($C583&lt;&gt;"",IF(BB583&gt;0,1,0),0)</f>
        <v>1</v>
      </c>
      <c r="DR583">
        <f t="shared" si="1147"/>
        <v>1</v>
      </c>
      <c r="DS583">
        <f t="shared" si="1147"/>
        <v>0</v>
      </c>
      <c r="DT583">
        <f t="shared" si="1147"/>
        <v>1</v>
      </c>
      <c r="DU583">
        <f t="shared" si="1147"/>
        <v>0</v>
      </c>
      <c r="DV583">
        <f t="shared" si="1147"/>
        <v>0</v>
      </c>
      <c r="DW583">
        <f t="shared" si="1147"/>
        <v>1</v>
      </c>
      <c r="DX583">
        <f t="shared" si="1147"/>
        <v>1</v>
      </c>
      <c r="DY583">
        <f t="shared" si="1147"/>
        <v>1</v>
      </c>
      <c r="DZ583">
        <f t="shared" si="1147"/>
        <v>1</v>
      </c>
      <c r="EA583">
        <f t="shared" ref="EA583:EF584" si="1148">IF($C583&lt;&gt;"",IF(BL583&gt;0,1,0),0)</f>
        <v>1</v>
      </c>
      <c r="EB583">
        <f t="shared" si="1148"/>
        <v>1</v>
      </c>
      <c r="EC583">
        <f t="shared" si="1148"/>
        <v>1</v>
      </c>
      <c r="ED583">
        <f t="shared" si="1148"/>
        <v>1</v>
      </c>
      <c r="EE583">
        <f t="shared" si="1148"/>
        <v>1</v>
      </c>
      <c r="EF583">
        <f t="shared" si="1148"/>
        <v>1</v>
      </c>
    </row>
    <row r="584" spans="1:136" ht="15.5">
      <c r="A584" s="90"/>
      <c r="B584" s="53" t="s">
        <v>184</v>
      </c>
      <c r="C584" s="94"/>
      <c r="D584" s="34">
        <v>0</v>
      </c>
      <c r="E584" s="34">
        <v>0</v>
      </c>
      <c r="F584" s="34">
        <v>0</v>
      </c>
      <c r="G584" s="34">
        <v>0</v>
      </c>
      <c r="H584" s="34">
        <v>0</v>
      </c>
      <c r="I584" s="34">
        <v>0</v>
      </c>
      <c r="J584" s="34">
        <v>0</v>
      </c>
      <c r="K584" s="34">
        <v>0</v>
      </c>
      <c r="L584" s="34">
        <v>0</v>
      </c>
      <c r="M584" s="34">
        <v>0</v>
      </c>
      <c r="N584" s="34">
        <v>0</v>
      </c>
      <c r="O584" s="34">
        <v>0</v>
      </c>
      <c r="P584" s="34">
        <v>0</v>
      </c>
      <c r="Q584" s="34">
        <v>0</v>
      </c>
      <c r="R584" s="34">
        <v>0</v>
      </c>
      <c r="S584" s="34">
        <v>0</v>
      </c>
      <c r="T584" s="34">
        <v>0</v>
      </c>
      <c r="U584" s="34">
        <v>0</v>
      </c>
      <c r="V584" s="34">
        <v>0</v>
      </c>
      <c r="W584" s="34">
        <v>0</v>
      </c>
      <c r="X584" s="34">
        <v>0</v>
      </c>
      <c r="Y584" s="34">
        <v>0</v>
      </c>
      <c r="Z584" s="34">
        <v>0</v>
      </c>
      <c r="AA584" s="34">
        <v>0</v>
      </c>
      <c r="AB584" s="34">
        <v>0</v>
      </c>
      <c r="AC584" s="34">
        <v>0</v>
      </c>
      <c r="AD584" s="34">
        <v>0</v>
      </c>
      <c r="AE584" s="34">
        <v>0</v>
      </c>
      <c r="AF584" s="34">
        <v>0</v>
      </c>
      <c r="AG584" s="34">
        <v>0</v>
      </c>
      <c r="AH584" s="34">
        <v>0</v>
      </c>
      <c r="AI584" s="34">
        <v>0</v>
      </c>
      <c r="AJ584" s="34">
        <v>0</v>
      </c>
      <c r="AK584" s="34">
        <v>0</v>
      </c>
      <c r="AL584" s="34">
        <v>0</v>
      </c>
      <c r="AM584" s="34">
        <v>0</v>
      </c>
      <c r="AN584" s="34">
        <v>0</v>
      </c>
      <c r="AO584" s="34">
        <v>0</v>
      </c>
      <c r="AP584" s="34">
        <v>0</v>
      </c>
      <c r="AQ584" s="34">
        <v>0</v>
      </c>
      <c r="AR584" s="34">
        <v>0</v>
      </c>
      <c r="AS584" s="34">
        <v>0</v>
      </c>
      <c r="AT584" s="34">
        <v>0</v>
      </c>
      <c r="AU584" s="34">
        <v>0</v>
      </c>
      <c r="AV584" s="34">
        <v>0</v>
      </c>
      <c r="AW584" s="34">
        <v>0</v>
      </c>
      <c r="AX584" s="34">
        <v>0</v>
      </c>
      <c r="AY584" s="34">
        <v>0</v>
      </c>
      <c r="AZ584" s="34">
        <v>0</v>
      </c>
      <c r="BA584" s="34">
        <v>0</v>
      </c>
      <c r="BB584" s="34">
        <v>0</v>
      </c>
      <c r="BC584" s="34">
        <v>0</v>
      </c>
      <c r="BD584" s="34">
        <v>0</v>
      </c>
      <c r="BE584" s="159">
        <v>79</v>
      </c>
      <c r="BF584" s="34">
        <v>0</v>
      </c>
      <c r="BG584" s="34">
        <v>0</v>
      </c>
      <c r="BH584" s="34">
        <v>0</v>
      </c>
      <c r="BI584" s="34">
        <v>0</v>
      </c>
      <c r="BJ584" s="113">
        <v>0</v>
      </c>
      <c r="BK584" s="113">
        <v>0</v>
      </c>
      <c r="BL584" s="113">
        <v>0</v>
      </c>
      <c r="BM584" s="113">
        <v>0</v>
      </c>
      <c r="BN584" s="113">
        <v>0</v>
      </c>
      <c r="BO584" s="113">
        <v>0</v>
      </c>
      <c r="BP584" s="113">
        <v>0</v>
      </c>
      <c r="BQ584" s="113">
        <v>0</v>
      </c>
      <c r="BR584" s="101"/>
      <c r="BS584">
        <f t="shared" si="1142"/>
        <v>0</v>
      </c>
      <c r="BT584">
        <f t="shared" si="1142"/>
        <v>0</v>
      </c>
      <c r="BU584">
        <f t="shared" si="1142"/>
        <v>0</v>
      </c>
      <c r="BV584">
        <f t="shared" si="1142"/>
        <v>0</v>
      </c>
      <c r="BW584">
        <f t="shared" si="1142"/>
        <v>0</v>
      </c>
      <c r="BX584">
        <f t="shared" si="1142"/>
        <v>0</v>
      </c>
      <c r="BY584">
        <f t="shared" si="1142"/>
        <v>0</v>
      </c>
      <c r="BZ584">
        <f t="shared" si="1142"/>
        <v>0</v>
      </c>
      <c r="CA584">
        <f t="shared" si="1142"/>
        <v>0</v>
      </c>
      <c r="CB584">
        <f t="shared" si="1142"/>
        <v>0</v>
      </c>
      <c r="CC584">
        <f t="shared" si="1143"/>
        <v>0</v>
      </c>
      <c r="CD584">
        <f t="shared" si="1143"/>
        <v>0</v>
      </c>
      <c r="CE584">
        <f t="shared" si="1143"/>
        <v>0</v>
      </c>
      <c r="CF584">
        <f t="shared" si="1143"/>
        <v>0</v>
      </c>
      <c r="CG584">
        <f t="shared" si="1143"/>
        <v>0</v>
      </c>
      <c r="CH584">
        <f t="shared" si="1143"/>
        <v>0</v>
      </c>
      <c r="CI584">
        <f t="shared" si="1143"/>
        <v>0</v>
      </c>
      <c r="CJ584">
        <f t="shared" si="1143"/>
        <v>0</v>
      </c>
      <c r="CK584">
        <f t="shared" si="1143"/>
        <v>0</v>
      </c>
      <c r="CL584">
        <f t="shared" si="1143"/>
        <v>0</v>
      </c>
      <c r="CM584">
        <f t="shared" si="1144"/>
        <v>0</v>
      </c>
      <c r="CN584">
        <f t="shared" si="1144"/>
        <v>0</v>
      </c>
      <c r="CO584">
        <f t="shared" si="1144"/>
        <v>0</v>
      </c>
      <c r="CP584">
        <f t="shared" si="1144"/>
        <v>0</v>
      </c>
      <c r="CQ584">
        <f t="shared" si="1144"/>
        <v>0</v>
      </c>
      <c r="CR584">
        <f t="shared" si="1144"/>
        <v>0</v>
      </c>
      <c r="CS584">
        <f t="shared" si="1144"/>
        <v>0</v>
      </c>
      <c r="CT584">
        <f t="shared" si="1144"/>
        <v>0</v>
      </c>
      <c r="CU584">
        <f t="shared" si="1144"/>
        <v>0</v>
      </c>
      <c r="CV584">
        <f t="shared" si="1144"/>
        <v>0</v>
      </c>
      <c r="CW584">
        <f t="shared" si="1145"/>
        <v>0</v>
      </c>
      <c r="CX584">
        <f t="shared" si="1145"/>
        <v>0</v>
      </c>
      <c r="CY584">
        <f t="shared" si="1145"/>
        <v>0</v>
      </c>
      <c r="CZ584">
        <f t="shared" si="1145"/>
        <v>0</v>
      </c>
      <c r="DA584">
        <f t="shared" si="1145"/>
        <v>0</v>
      </c>
      <c r="DB584">
        <f t="shared" si="1145"/>
        <v>0</v>
      </c>
      <c r="DC584">
        <f t="shared" si="1145"/>
        <v>0</v>
      </c>
      <c r="DD584">
        <f t="shared" si="1145"/>
        <v>0</v>
      </c>
      <c r="DE584">
        <f t="shared" si="1145"/>
        <v>0</v>
      </c>
      <c r="DF584">
        <f t="shared" si="1145"/>
        <v>0</v>
      </c>
      <c r="DG584">
        <f t="shared" si="1146"/>
        <v>0</v>
      </c>
      <c r="DH584">
        <f t="shared" si="1146"/>
        <v>0</v>
      </c>
      <c r="DI584">
        <f t="shared" si="1146"/>
        <v>0</v>
      </c>
      <c r="DJ584">
        <f t="shared" si="1146"/>
        <v>0</v>
      </c>
      <c r="DK584">
        <f t="shared" si="1146"/>
        <v>0</v>
      </c>
      <c r="DL584">
        <f t="shared" si="1146"/>
        <v>0</v>
      </c>
      <c r="DM584">
        <f t="shared" si="1146"/>
        <v>0</v>
      </c>
      <c r="DN584">
        <f t="shared" si="1146"/>
        <v>0</v>
      </c>
      <c r="DO584">
        <f t="shared" si="1146"/>
        <v>0</v>
      </c>
      <c r="DP584">
        <f t="shared" si="1146"/>
        <v>0</v>
      </c>
      <c r="DQ584">
        <f t="shared" si="1147"/>
        <v>0</v>
      </c>
      <c r="DR584">
        <f t="shared" si="1147"/>
        <v>0</v>
      </c>
      <c r="DS584">
        <f t="shared" si="1147"/>
        <v>0</v>
      </c>
      <c r="DT584">
        <f t="shared" si="1147"/>
        <v>0</v>
      </c>
      <c r="DU584">
        <f t="shared" si="1147"/>
        <v>0</v>
      </c>
      <c r="DV584">
        <f t="shared" si="1147"/>
        <v>0</v>
      </c>
      <c r="DW584">
        <f t="shared" si="1147"/>
        <v>0</v>
      </c>
      <c r="DX584">
        <f t="shared" si="1147"/>
        <v>0</v>
      </c>
      <c r="DY584">
        <f t="shared" si="1147"/>
        <v>0</v>
      </c>
      <c r="DZ584">
        <f t="shared" si="1147"/>
        <v>0</v>
      </c>
      <c r="EA584">
        <f t="shared" si="1148"/>
        <v>0</v>
      </c>
      <c r="EB584">
        <f t="shared" si="1148"/>
        <v>0</v>
      </c>
      <c r="EC584">
        <f t="shared" si="1148"/>
        <v>0</v>
      </c>
      <c r="ED584">
        <f t="shared" si="1148"/>
        <v>0</v>
      </c>
      <c r="EE584">
        <f t="shared" si="1148"/>
        <v>0</v>
      </c>
      <c r="EF584">
        <f t="shared" si="1148"/>
        <v>0</v>
      </c>
    </row>
    <row r="585" spans="1:136" ht="15.5">
      <c r="A585" s="90"/>
      <c r="B585" s="19" t="s">
        <v>205</v>
      </c>
      <c r="C585" s="94"/>
      <c r="D585" s="34">
        <v>0</v>
      </c>
      <c r="E585" s="34">
        <v>0</v>
      </c>
      <c r="F585" s="34">
        <v>0</v>
      </c>
      <c r="G585" s="34">
        <v>0</v>
      </c>
      <c r="H585" s="34">
        <v>0</v>
      </c>
      <c r="I585" s="34">
        <v>0</v>
      </c>
      <c r="J585" s="34">
        <v>0</v>
      </c>
      <c r="K585" s="34">
        <v>0</v>
      </c>
      <c r="L585" s="34">
        <v>0</v>
      </c>
      <c r="M585" s="34">
        <v>0</v>
      </c>
      <c r="N585" s="34">
        <v>0</v>
      </c>
      <c r="O585" s="34">
        <v>0</v>
      </c>
      <c r="P585" s="34">
        <v>0</v>
      </c>
      <c r="Q585" s="34">
        <v>0</v>
      </c>
      <c r="R585" s="34">
        <v>0</v>
      </c>
      <c r="S585" s="34">
        <v>0</v>
      </c>
      <c r="T585" s="34">
        <v>0</v>
      </c>
      <c r="U585" s="34">
        <v>0</v>
      </c>
      <c r="V585" s="34">
        <v>0</v>
      </c>
      <c r="W585" s="34">
        <v>0</v>
      </c>
      <c r="X585" s="34">
        <v>0</v>
      </c>
      <c r="Y585" s="34">
        <v>0</v>
      </c>
      <c r="Z585" s="34">
        <v>0</v>
      </c>
      <c r="AA585" s="34">
        <v>0</v>
      </c>
      <c r="AB585" s="34">
        <v>0</v>
      </c>
      <c r="AC585" s="34">
        <v>0</v>
      </c>
      <c r="AD585" s="34">
        <v>0</v>
      </c>
      <c r="AE585" s="34">
        <v>0</v>
      </c>
      <c r="AF585" s="34">
        <v>0</v>
      </c>
      <c r="AG585" s="34">
        <v>0</v>
      </c>
      <c r="AH585" s="34">
        <v>0</v>
      </c>
      <c r="AI585" s="34">
        <v>0</v>
      </c>
      <c r="AJ585" s="34">
        <v>0</v>
      </c>
      <c r="AK585" s="34">
        <v>0</v>
      </c>
      <c r="AL585" s="34">
        <v>0</v>
      </c>
      <c r="AM585" s="34">
        <v>0</v>
      </c>
      <c r="AN585" s="34">
        <v>0</v>
      </c>
      <c r="AO585" s="34">
        <v>0</v>
      </c>
      <c r="AP585" s="34">
        <v>0</v>
      </c>
      <c r="AQ585" s="34">
        <v>0</v>
      </c>
      <c r="AR585" s="34">
        <v>0</v>
      </c>
      <c r="AS585" s="34">
        <v>0</v>
      </c>
      <c r="AT585" s="34">
        <v>0</v>
      </c>
      <c r="AU585" s="34">
        <v>0</v>
      </c>
      <c r="AV585" s="34">
        <v>0</v>
      </c>
      <c r="AW585" s="34">
        <v>0</v>
      </c>
      <c r="AX585" s="34">
        <v>0</v>
      </c>
      <c r="AY585" s="34">
        <v>0</v>
      </c>
      <c r="AZ585" s="34">
        <v>0</v>
      </c>
      <c r="BA585" s="34">
        <v>0</v>
      </c>
      <c r="BB585" s="34">
        <v>0</v>
      </c>
      <c r="BC585" s="34">
        <v>0</v>
      </c>
      <c r="BD585" s="34">
        <v>0</v>
      </c>
      <c r="BE585" s="159">
        <v>0</v>
      </c>
      <c r="BF585" s="34">
        <v>0</v>
      </c>
      <c r="BG585" s="34">
        <v>0</v>
      </c>
      <c r="BH585" s="34">
        <v>0</v>
      </c>
      <c r="BI585" s="34">
        <v>6.1050000000000004</v>
      </c>
      <c r="BJ585" s="113">
        <v>6.1050000000000004</v>
      </c>
      <c r="BK585" s="113">
        <v>6.1050000000000004</v>
      </c>
      <c r="BL585" s="113">
        <v>6.1050000000000004</v>
      </c>
      <c r="BM585" s="113">
        <v>6.1050000000000004</v>
      </c>
      <c r="BN585" s="113">
        <v>6.1050000000000004</v>
      </c>
      <c r="BO585" s="113">
        <v>6.1050000000000004</v>
      </c>
      <c r="BP585" s="113">
        <v>6.1050000000000004</v>
      </c>
      <c r="BQ585" s="113">
        <v>6.1050000000000004</v>
      </c>
      <c r="BR585" s="101"/>
    </row>
    <row r="586" spans="1:136" ht="15.5">
      <c r="A586" s="90"/>
      <c r="B586" s="19" t="s">
        <v>3</v>
      </c>
      <c r="C586" s="94"/>
      <c r="D586" s="34">
        <v>0</v>
      </c>
      <c r="E586" s="34">
        <v>0</v>
      </c>
      <c r="F586" s="34">
        <v>0</v>
      </c>
      <c r="G586" s="34">
        <v>0</v>
      </c>
      <c r="H586" s="34">
        <v>0</v>
      </c>
      <c r="I586" s="34">
        <v>0</v>
      </c>
      <c r="J586" s="34">
        <v>0</v>
      </c>
      <c r="K586" s="34">
        <v>0</v>
      </c>
      <c r="L586" s="34">
        <v>0</v>
      </c>
      <c r="M586" s="34">
        <v>0</v>
      </c>
      <c r="N586" s="34">
        <v>0</v>
      </c>
      <c r="O586" s="34">
        <v>0</v>
      </c>
      <c r="P586" s="34">
        <v>0</v>
      </c>
      <c r="Q586" s="34">
        <v>0</v>
      </c>
      <c r="R586" s="34">
        <v>0</v>
      </c>
      <c r="S586" s="34">
        <v>0</v>
      </c>
      <c r="T586" s="34">
        <v>0</v>
      </c>
      <c r="U586" s="34">
        <v>0</v>
      </c>
      <c r="V586" s="34">
        <v>0</v>
      </c>
      <c r="W586" s="34">
        <v>0</v>
      </c>
      <c r="X586" s="34">
        <v>0.91400000000000003</v>
      </c>
      <c r="Y586" s="34">
        <v>7.1020000000000003</v>
      </c>
      <c r="Z586" s="34">
        <v>13.1835798</v>
      </c>
      <c r="AA586" s="34">
        <v>16.400302400000001</v>
      </c>
      <c r="AB586" s="34">
        <v>19.487579</v>
      </c>
      <c r="AC586" s="34">
        <v>22.4681517</v>
      </c>
      <c r="AD586" s="34">
        <v>25.290266299999999</v>
      </c>
      <c r="AE586" s="34">
        <v>28.089577600000002</v>
      </c>
      <c r="AF586" s="34">
        <v>30.854033100000002</v>
      </c>
      <c r="AG586" s="34">
        <v>83.645599400000009</v>
      </c>
      <c r="AH586" s="34">
        <v>35.593449999999997</v>
      </c>
      <c r="AI586" s="34">
        <v>2.3765575999999999</v>
      </c>
      <c r="AJ586" s="34">
        <v>0.20699999999999999</v>
      </c>
      <c r="AK586" s="34">
        <v>2786</v>
      </c>
      <c r="AL586" s="34">
        <v>10785</v>
      </c>
      <c r="AM586" s="34">
        <v>3179.9160000000002</v>
      </c>
      <c r="AN586" s="34">
        <v>1805</v>
      </c>
      <c r="AO586" s="34">
        <v>0</v>
      </c>
      <c r="AP586" s="34">
        <v>0</v>
      </c>
      <c r="AQ586" s="34">
        <v>0</v>
      </c>
      <c r="AR586" s="34">
        <v>0</v>
      </c>
      <c r="AS586" s="34">
        <v>0</v>
      </c>
      <c r="AT586" s="34">
        <v>0</v>
      </c>
      <c r="AU586" s="34">
        <v>0</v>
      </c>
      <c r="AV586" s="34">
        <v>0</v>
      </c>
      <c r="AW586" s="34">
        <v>0</v>
      </c>
      <c r="AX586" s="34">
        <v>0</v>
      </c>
      <c r="AY586" s="34">
        <v>0</v>
      </c>
      <c r="AZ586" s="34">
        <v>0</v>
      </c>
      <c r="BA586" s="34">
        <v>0</v>
      </c>
      <c r="BB586" s="34">
        <v>0</v>
      </c>
      <c r="BC586" s="34">
        <v>5.2429400000000001E-2</v>
      </c>
      <c r="BD586" s="34">
        <v>0</v>
      </c>
      <c r="BE586" s="42">
        <v>0</v>
      </c>
      <c r="BF586" s="34">
        <v>0</v>
      </c>
      <c r="BG586" s="34">
        <v>0</v>
      </c>
      <c r="BH586" s="34">
        <v>19.195377599999997</v>
      </c>
      <c r="BI586" s="34">
        <f>14.095026-BI585</f>
        <v>7.9900260000000003</v>
      </c>
      <c r="BJ586" s="18">
        <f>22.0201629-BJ585</f>
        <v>15.915162899999999</v>
      </c>
      <c r="BK586" s="130">
        <f>24.2507955-BK585</f>
        <v>18.145795499999998</v>
      </c>
      <c r="BL586" s="18">
        <f>32.7822437-BL585</f>
        <v>26.677243700000002</v>
      </c>
      <c r="BM586" s="113">
        <f>49.176067-BM585</f>
        <v>43.071066999999999</v>
      </c>
      <c r="BN586" s="113">
        <f>13.2701135-BN585</f>
        <v>7.1651135000000004</v>
      </c>
      <c r="BO586" s="113">
        <f>15-BO585</f>
        <v>8.8949999999999996</v>
      </c>
      <c r="BP586" s="113">
        <v>12</v>
      </c>
      <c r="BQ586" s="113">
        <v>15</v>
      </c>
      <c r="BR586" s="101"/>
      <c r="BS586">
        <f t="shared" ref="BS586:CB588" si="1149">IF($C586&lt;&gt;"",IF(D586&gt;0,1,0),0)</f>
        <v>0</v>
      </c>
      <c r="BT586">
        <f t="shared" si="1149"/>
        <v>0</v>
      </c>
      <c r="BU586">
        <f t="shared" si="1149"/>
        <v>0</v>
      </c>
      <c r="BV586">
        <f t="shared" si="1149"/>
        <v>0</v>
      </c>
      <c r="BW586">
        <f t="shared" si="1149"/>
        <v>0</v>
      </c>
      <c r="BX586">
        <f t="shared" si="1149"/>
        <v>0</v>
      </c>
      <c r="BY586">
        <f t="shared" si="1149"/>
        <v>0</v>
      </c>
      <c r="BZ586">
        <f t="shared" si="1149"/>
        <v>0</v>
      </c>
      <c r="CA586">
        <f t="shared" si="1149"/>
        <v>0</v>
      </c>
      <c r="CB586">
        <f t="shared" si="1149"/>
        <v>0</v>
      </c>
      <c r="CC586">
        <f t="shared" ref="CC586:CL588" si="1150">IF($C586&lt;&gt;"",IF(N586&gt;0,1,0),0)</f>
        <v>0</v>
      </c>
      <c r="CD586">
        <f t="shared" si="1150"/>
        <v>0</v>
      </c>
      <c r="CE586">
        <f t="shared" si="1150"/>
        <v>0</v>
      </c>
      <c r="CF586">
        <f t="shared" si="1150"/>
        <v>0</v>
      </c>
      <c r="CG586">
        <f t="shared" si="1150"/>
        <v>0</v>
      </c>
      <c r="CH586">
        <f t="shared" si="1150"/>
        <v>0</v>
      </c>
      <c r="CI586">
        <f t="shared" si="1150"/>
        <v>0</v>
      </c>
      <c r="CJ586">
        <f t="shared" si="1150"/>
        <v>0</v>
      </c>
      <c r="CK586">
        <f t="shared" si="1150"/>
        <v>0</v>
      </c>
      <c r="CL586">
        <f t="shared" si="1150"/>
        <v>0</v>
      </c>
      <c r="CM586">
        <f t="shared" ref="CM586:CV588" si="1151">IF($C586&lt;&gt;"",IF(X586&gt;0,1,0),0)</f>
        <v>0</v>
      </c>
      <c r="CN586">
        <f t="shared" si="1151"/>
        <v>0</v>
      </c>
      <c r="CO586">
        <f t="shared" si="1151"/>
        <v>0</v>
      </c>
      <c r="CP586">
        <f t="shared" si="1151"/>
        <v>0</v>
      </c>
      <c r="CQ586">
        <f t="shared" si="1151"/>
        <v>0</v>
      </c>
      <c r="CR586">
        <f t="shared" si="1151"/>
        <v>0</v>
      </c>
      <c r="CS586">
        <f t="shared" si="1151"/>
        <v>0</v>
      </c>
      <c r="CT586">
        <f t="shared" si="1151"/>
        <v>0</v>
      </c>
      <c r="CU586">
        <f t="shared" si="1151"/>
        <v>0</v>
      </c>
      <c r="CV586">
        <f t="shared" si="1151"/>
        <v>0</v>
      </c>
      <c r="CW586">
        <f t="shared" ref="CW586:DF588" si="1152">IF($C586&lt;&gt;"",IF(AH586&gt;0,1,0),0)</f>
        <v>0</v>
      </c>
      <c r="CX586">
        <f t="shared" si="1152"/>
        <v>0</v>
      </c>
      <c r="CY586">
        <f t="shared" si="1152"/>
        <v>0</v>
      </c>
      <c r="CZ586">
        <f t="shared" si="1152"/>
        <v>0</v>
      </c>
      <c r="DA586">
        <f t="shared" si="1152"/>
        <v>0</v>
      </c>
      <c r="DB586">
        <f t="shared" si="1152"/>
        <v>0</v>
      </c>
      <c r="DC586">
        <f t="shared" si="1152"/>
        <v>0</v>
      </c>
      <c r="DD586">
        <f t="shared" si="1152"/>
        <v>0</v>
      </c>
      <c r="DE586">
        <f t="shared" si="1152"/>
        <v>0</v>
      </c>
      <c r="DF586">
        <f t="shared" si="1152"/>
        <v>0</v>
      </c>
      <c r="DG586">
        <f t="shared" ref="DG586:DP588" si="1153">IF($C586&lt;&gt;"",IF(AR586&gt;0,1,0),0)</f>
        <v>0</v>
      </c>
      <c r="DH586">
        <f t="shared" si="1153"/>
        <v>0</v>
      </c>
      <c r="DI586">
        <f t="shared" si="1153"/>
        <v>0</v>
      </c>
      <c r="DJ586">
        <f t="shared" si="1153"/>
        <v>0</v>
      </c>
      <c r="DK586">
        <f t="shared" si="1153"/>
        <v>0</v>
      </c>
      <c r="DL586">
        <f t="shared" si="1153"/>
        <v>0</v>
      </c>
      <c r="DM586">
        <f t="shared" si="1153"/>
        <v>0</v>
      </c>
      <c r="DN586">
        <f t="shared" si="1153"/>
        <v>0</v>
      </c>
      <c r="DO586">
        <f t="shared" si="1153"/>
        <v>0</v>
      </c>
      <c r="DP586">
        <f t="shared" si="1153"/>
        <v>0</v>
      </c>
      <c r="DQ586">
        <f t="shared" ref="DQ586:DZ588" si="1154">IF($C586&lt;&gt;"",IF(BB586&gt;0,1,0),0)</f>
        <v>0</v>
      </c>
      <c r="DR586">
        <f t="shared" si="1154"/>
        <v>0</v>
      </c>
      <c r="DS586">
        <f t="shared" si="1154"/>
        <v>0</v>
      </c>
      <c r="DT586">
        <f t="shared" si="1154"/>
        <v>0</v>
      </c>
      <c r="DU586">
        <f t="shared" si="1154"/>
        <v>0</v>
      </c>
      <c r="DV586">
        <f t="shared" si="1154"/>
        <v>0</v>
      </c>
      <c r="DW586">
        <f t="shared" si="1154"/>
        <v>0</v>
      </c>
      <c r="DX586">
        <f t="shared" si="1154"/>
        <v>0</v>
      </c>
      <c r="DY586">
        <f t="shared" si="1154"/>
        <v>0</v>
      </c>
      <c r="DZ586">
        <f t="shared" si="1154"/>
        <v>0</v>
      </c>
      <c r="EA586">
        <f t="shared" ref="EA586:EF588" si="1155">IF($C586&lt;&gt;"",IF(BL586&gt;0,1,0),0)</f>
        <v>0</v>
      </c>
      <c r="EB586">
        <f t="shared" si="1155"/>
        <v>0</v>
      </c>
      <c r="EC586">
        <f t="shared" si="1155"/>
        <v>0</v>
      </c>
      <c r="ED586">
        <f t="shared" si="1155"/>
        <v>0</v>
      </c>
      <c r="EE586">
        <f t="shared" si="1155"/>
        <v>0</v>
      </c>
      <c r="EF586">
        <f t="shared" si="1155"/>
        <v>0</v>
      </c>
    </row>
    <row r="587" spans="1:136" ht="15.5">
      <c r="A587" s="90"/>
      <c r="B587" s="19" t="s">
        <v>208</v>
      </c>
      <c r="C587" s="88"/>
      <c r="D587" s="34">
        <v>0</v>
      </c>
      <c r="E587" s="34">
        <v>0</v>
      </c>
      <c r="F587" s="34">
        <v>0</v>
      </c>
      <c r="G587" s="34">
        <v>0</v>
      </c>
      <c r="H587" s="34">
        <v>0</v>
      </c>
      <c r="I587" s="34">
        <v>0</v>
      </c>
      <c r="J587" s="34">
        <v>0</v>
      </c>
      <c r="K587" s="34">
        <v>0</v>
      </c>
      <c r="L587" s="34">
        <v>0</v>
      </c>
      <c r="M587" s="34">
        <v>0</v>
      </c>
      <c r="N587" s="34">
        <v>0</v>
      </c>
      <c r="O587" s="34">
        <v>0</v>
      </c>
      <c r="P587" s="34">
        <v>0</v>
      </c>
      <c r="Q587" s="34">
        <v>0</v>
      </c>
      <c r="R587" s="34">
        <v>0</v>
      </c>
      <c r="S587" s="34">
        <v>0</v>
      </c>
      <c r="T587" s="34">
        <v>0</v>
      </c>
      <c r="U587" s="34">
        <v>0</v>
      </c>
      <c r="V587" s="34">
        <v>0</v>
      </c>
      <c r="W587" s="34">
        <v>0</v>
      </c>
      <c r="X587" s="34">
        <v>0</v>
      </c>
      <c r="Y587" s="34">
        <v>188.53637559999999</v>
      </c>
      <c r="Z587" s="34">
        <v>515.80819709999992</v>
      </c>
      <c r="AA587" s="34">
        <v>910.45367190000002</v>
      </c>
      <c r="AB587" s="34">
        <v>1262.5892411</v>
      </c>
      <c r="AC587" s="34">
        <v>1580.6235628999998</v>
      </c>
      <c r="AD587" s="34">
        <v>1806.0501386999999</v>
      </c>
      <c r="AE587" s="34">
        <v>1919.2512395000001</v>
      </c>
      <c r="AF587" s="34">
        <v>1929.8046369000001</v>
      </c>
      <c r="AG587" s="34">
        <v>1934.0431133</v>
      </c>
      <c r="AH587" s="34">
        <v>1939.4276813999998</v>
      </c>
      <c r="AI587" s="34">
        <v>1942.7858516999997</v>
      </c>
      <c r="AJ587" s="34">
        <v>40.8404186</v>
      </c>
      <c r="AK587" s="34">
        <v>39.780486400000008</v>
      </c>
      <c r="AL587" s="34">
        <v>52.344568899999999</v>
      </c>
      <c r="AM587" s="34">
        <v>53.588505700000006</v>
      </c>
      <c r="AN587" s="34">
        <v>34.831033499999997</v>
      </c>
      <c r="AO587" s="34">
        <v>38.978639999999999</v>
      </c>
      <c r="AP587" s="34">
        <v>34.657449999999997</v>
      </c>
      <c r="AQ587" s="34">
        <v>33.267530000000001</v>
      </c>
      <c r="AR587" s="34">
        <v>0</v>
      </c>
      <c r="AS587" s="34">
        <v>0</v>
      </c>
      <c r="AT587" s="34">
        <v>0</v>
      </c>
      <c r="AU587" s="34">
        <v>0</v>
      </c>
      <c r="AV587" s="34">
        <v>0</v>
      </c>
      <c r="AW587" s="34">
        <v>0</v>
      </c>
      <c r="AX587" s="34">
        <v>0</v>
      </c>
      <c r="AY587" s="34">
        <v>0</v>
      </c>
      <c r="AZ587" s="34">
        <v>0</v>
      </c>
      <c r="BA587" s="34">
        <v>0</v>
      </c>
      <c r="BB587" s="34">
        <v>39.367601200000003</v>
      </c>
      <c r="BC587" s="34">
        <v>26.114886200000001</v>
      </c>
      <c r="BD587" s="34">
        <v>0</v>
      </c>
      <c r="BE587" s="42">
        <v>0</v>
      </c>
      <c r="BF587" s="34">
        <v>0</v>
      </c>
      <c r="BG587" s="34">
        <v>0</v>
      </c>
      <c r="BH587" s="34">
        <v>80.525351499999999</v>
      </c>
      <c r="BI587" s="34">
        <v>25.647632999999999</v>
      </c>
      <c r="BJ587" s="18">
        <v>24.843450000000001</v>
      </c>
      <c r="BK587" s="130">
        <v>231.710554</v>
      </c>
      <c r="BL587" s="18">
        <v>397.49035099999998</v>
      </c>
      <c r="BM587" s="113">
        <v>396.09080599999999</v>
      </c>
      <c r="BN587" s="113">
        <v>395.11334599999998</v>
      </c>
      <c r="BO587" s="113">
        <v>396</v>
      </c>
      <c r="BP587" s="113">
        <v>395</v>
      </c>
      <c r="BQ587" s="113">
        <v>395</v>
      </c>
      <c r="BR587" s="101"/>
      <c r="BS587">
        <f t="shared" si="1149"/>
        <v>0</v>
      </c>
      <c r="BT587">
        <f t="shared" si="1149"/>
        <v>0</v>
      </c>
      <c r="BU587">
        <f t="shared" si="1149"/>
        <v>0</v>
      </c>
      <c r="BV587">
        <f t="shared" si="1149"/>
        <v>0</v>
      </c>
      <c r="BW587">
        <f t="shared" si="1149"/>
        <v>0</v>
      </c>
      <c r="BX587">
        <f t="shared" si="1149"/>
        <v>0</v>
      </c>
      <c r="BY587">
        <f t="shared" si="1149"/>
        <v>0</v>
      </c>
      <c r="BZ587">
        <f t="shared" si="1149"/>
        <v>0</v>
      </c>
      <c r="CA587">
        <f t="shared" si="1149"/>
        <v>0</v>
      </c>
      <c r="CB587">
        <f t="shared" si="1149"/>
        <v>0</v>
      </c>
      <c r="CC587">
        <f t="shared" si="1150"/>
        <v>0</v>
      </c>
      <c r="CD587">
        <f t="shared" si="1150"/>
        <v>0</v>
      </c>
      <c r="CE587">
        <f t="shared" si="1150"/>
        <v>0</v>
      </c>
      <c r="CF587">
        <f t="shared" si="1150"/>
        <v>0</v>
      </c>
      <c r="CG587">
        <f t="shared" si="1150"/>
        <v>0</v>
      </c>
      <c r="CH587">
        <f t="shared" si="1150"/>
        <v>0</v>
      </c>
      <c r="CI587">
        <f t="shared" si="1150"/>
        <v>0</v>
      </c>
      <c r="CJ587">
        <f t="shared" si="1150"/>
        <v>0</v>
      </c>
      <c r="CK587">
        <f t="shared" si="1150"/>
        <v>0</v>
      </c>
      <c r="CL587">
        <f t="shared" si="1150"/>
        <v>0</v>
      </c>
      <c r="CM587">
        <f t="shared" si="1151"/>
        <v>0</v>
      </c>
      <c r="CN587">
        <f t="shared" si="1151"/>
        <v>0</v>
      </c>
      <c r="CO587">
        <f t="shared" si="1151"/>
        <v>0</v>
      </c>
      <c r="CP587">
        <f t="shared" si="1151"/>
        <v>0</v>
      </c>
      <c r="CQ587">
        <f t="shared" si="1151"/>
        <v>0</v>
      </c>
      <c r="CR587">
        <f t="shared" si="1151"/>
        <v>0</v>
      </c>
      <c r="CS587">
        <f t="shared" si="1151"/>
        <v>0</v>
      </c>
      <c r="CT587">
        <f t="shared" si="1151"/>
        <v>0</v>
      </c>
      <c r="CU587">
        <f t="shared" si="1151"/>
        <v>0</v>
      </c>
      <c r="CV587">
        <f t="shared" si="1151"/>
        <v>0</v>
      </c>
      <c r="CW587">
        <f t="shared" si="1152"/>
        <v>0</v>
      </c>
      <c r="CX587">
        <f t="shared" si="1152"/>
        <v>0</v>
      </c>
      <c r="CY587">
        <f t="shared" si="1152"/>
        <v>0</v>
      </c>
      <c r="CZ587">
        <f t="shared" si="1152"/>
        <v>0</v>
      </c>
      <c r="DA587">
        <f t="shared" si="1152"/>
        <v>0</v>
      </c>
      <c r="DB587">
        <f t="shared" si="1152"/>
        <v>0</v>
      </c>
      <c r="DC587">
        <f t="shared" si="1152"/>
        <v>0</v>
      </c>
      <c r="DD587">
        <f t="shared" si="1152"/>
        <v>0</v>
      </c>
      <c r="DE587">
        <f t="shared" si="1152"/>
        <v>0</v>
      </c>
      <c r="DF587">
        <f t="shared" si="1152"/>
        <v>0</v>
      </c>
      <c r="DG587">
        <f t="shared" si="1153"/>
        <v>0</v>
      </c>
      <c r="DH587">
        <f t="shared" si="1153"/>
        <v>0</v>
      </c>
      <c r="DI587">
        <f t="shared" si="1153"/>
        <v>0</v>
      </c>
      <c r="DJ587">
        <f t="shared" si="1153"/>
        <v>0</v>
      </c>
      <c r="DK587">
        <f t="shared" si="1153"/>
        <v>0</v>
      </c>
      <c r="DL587">
        <f t="shared" si="1153"/>
        <v>0</v>
      </c>
      <c r="DM587">
        <f t="shared" si="1153"/>
        <v>0</v>
      </c>
      <c r="DN587">
        <f t="shared" si="1153"/>
        <v>0</v>
      </c>
      <c r="DO587">
        <f t="shared" si="1153"/>
        <v>0</v>
      </c>
      <c r="DP587">
        <f t="shared" si="1153"/>
        <v>0</v>
      </c>
      <c r="DQ587">
        <f t="shared" si="1154"/>
        <v>0</v>
      </c>
      <c r="DR587">
        <f t="shared" si="1154"/>
        <v>0</v>
      </c>
      <c r="DS587">
        <f t="shared" si="1154"/>
        <v>0</v>
      </c>
      <c r="DT587">
        <f t="shared" si="1154"/>
        <v>0</v>
      </c>
      <c r="DU587">
        <f t="shared" si="1154"/>
        <v>0</v>
      </c>
      <c r="DV587">
        <f t="shared" si="1154"/>
        <v>0</v>
      </c>
      <c r="DW587">
        <f t="shared" si="1154"/>
        <v>0</v>
      </c>
      <c r="DX587">
        <f t="shared" si="1154"/>
        <v>0</v>
      </c>
      <c r="DY587">
        <f t="shared" si="1154"/>
        <v>0</v>
      </c>
      <c r="DZ587">
        <f t="shared" si="1154"/>
        <v>0</v>
      </c>
      <c r="EA587">
        <f t="shared" si="1155"/>
        <v>0</v>
      </c>
      <c r="EB587">
        <f t="shared" si="1155"/>
        <v>0</v>
      </c>
      <c r="EC587">
        <f t="shared" si="1155"/>
        <v>0</v>
      </c>
      <c r="ED587">
        <f t="shared" si="1155"/>
        <v>0</v>
      </c>
      <c r="EE587">
        <f t="shared" si="1155"/>
        <v>0</v>
      </c>
      <c r="EF587">
        <f t="shared" si="1155"/>
        <v>0</v>
      </c>
    </row>
    <row r="588" spans="1:136" ht="15.5">
      <c r="A588" s="90"/>
      <c r="B588" s="188" t="s">
        <v>212</v>
      </c>
      <c r="C588" s="88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>
        <v>0</v>
      </c>
      <c r="AI588" s="34">
        <v>0</v>
      </c>
      <c r="AJ588" s="34">
        <v>0</v>
      </c>
      <c r="AK588" s="34">
        <v>0</v>
      </c>
      <c r="AL588" s="34">
        <v>0</v>
      </c>
      <c r="AM588" s="34">
        <v>0</v>
      </c>
      <c r="AN588" s="34">
        <v>0</v>
      </c>
      <c r="AO588" s="34">
        <v>0</v>
      </c>
      <c r="AP588" s="34">
        <v>0</v>
      </c>
      <c r="AQ588" s="34">
        <v>0</v>
      </c>
      <c r="AR588" s="34">
        <v>0</v>
      </c>
      <c r="AS588" s="34">
        <v>0</v>
      </c>
      <c r="AT588" s="34">
        <v>0</v>
      </c>
      <c r="AU588" s="34">
        <v>0</v>
      </c>
      <c r="AV588" s="34">
        <v>0</v>
      </c>
      <c r="AW588" s="34">
        <v>0</v>
      </c>
      <c r="AX588" s="34">
        <v>0</v>
      </c>
      <c r="AY588" s="34">
        <v>0</v>
      </c>
      <c r="AZ588" s="34">
        <v>0</v>
      </c>
      <c r="BA588" s="34">
        <v>0</v>
      </c>
      <c r="BB588" s="34">
        <v>0</v>
      </c>
      <c r="BC588" s="34">
        <v>0</v>
      </c>
      <c r="BD588" s="34">
        <v>2000</v>
      </c>
      <c r="BE588" s="25">
        <f>0.005*400087</f>
        <v>2000.4349999999999</v>
      </c>
      <c r="BF588" s="18">
        <f>(BG588-1925)/2</f>
        <v>43315.145000000004</v>
      </c>
      <c r="BG588" s="18">
        <f>0.23*385023</f>
        <v>88555.290000000008</v>
      </c>
      <c r="BH588" s="34">
        <v>133658</v>
      </c>
      <c r="BI588" s="18">
        <v>124649.07</v>
      </c>
      <c r="BJ588" s="18">
        <v>89211</v>
      </c>
      <c r="BK588" s="168">
        <v>110438</v>
      </c>
      <c r="BL588" s="113">
        <v>114430</v>
      </c>
      <c r="BM588" s="113">
        <v>69927</v>
      </c>
      <c r="BN588" s="113">
        <v>58000</v>
      </c>
      <c r="BO588" s="113">
        <v>45000</v>
      </c>
      <c r="BP588" s="113">
        <v>30000</v>
      </c>
      <c r="BQ588" s="113">
        <v>30000</v>
      </c>
      <c r="BR588" s="101"/>
      <c r="BS588">
        <f t="shared" si="1149"/>
        <v>0</v>
      </c>
      <c r="BT588">
        <f t="shared" si="1149"/>
        <v>0</v>
      </c>
      <c r="BU588">
        <f t="shared" si="1149"/>
        <v>0</v>
      </c>
      <c r="BV588">
        <f t="shared" si="1149"/>
        <v>0</v>
      </c>
      <c r="BW588">
        <f t="shared" si="1149"/>
        <v>0</v>
      </c>
      <c r="BX588">
        <f t="shared" si="1149"/>
        <v>0</v>
      </c>
      <c r="BY588">
        <f t="shared" si="1149"/>
        <v>0</v>
      </c>
      <c r="BZ588">
        <f t="shared" si="1149"/>
        <v>0</v>
      </c>
      <c r="CA588">
        <f t="shared" si="1149"/>
        <v>0</v>
      </c>
      <c r="CB588">
        <f t="shared" si="1149"/>
        <v>0</v>
      </c>
      <c r="CC588">
        <f t="shared" si="1150"/>
        <v>0</v>
      </c>
      <c r="CD588">
        <f t="shared" si="1150"/>
        <v>0</v>
      </c>
      <c r="CE588">
        <f t="shared" si="1150"/>
        <v>0</v>
      </c>
      <c r="CF588">
        <f t="shared" si="1150"/>
        <v>0</v>
      </c>
      <c r="CG588">
        <f t="shared" si="1150"/>
        <v>0</v>
      </c>
      <c r="CH588">
        <f t="shared" si="1150"/>
        <v>0</v>
      </c>
      <c r="CI588">
        <f t="shared" si="1150"/>
        <v>0</v>
      </c>
      <c r="CJ588">
        <f t="shared" si="1150"/>
        <v>0</v>
      </c>
      <c r="CK588">
        <f t="shared" si="1150"/>
        <v>0</v>
      </c>
      <c r="CL588">
        <f t="shared" si="1150"/>
        <v>0</v>
      </c>
      <c r="CM588">
        <f t="shared" si="1151"/>
        <v>0</v>
      </c>
      <c r="CN588">
        <f t="shared" si="1151"/>
        <v>0</v>
      </c>
      <c r="CO588">
        <f t="shared" si="1151"/>
        <v>0</v>
      </c>
      <c r="CP588">
        <f t="shared" si="1151"/>
        <v>0</v>
      </c>
      <c r="CQ588">
        <f t="shared" si="1151"/>
        <v>0</v>
      </c>
      <c r="CR588">
        <f t="shared" si="1151"/>
        <v>0</v>
      </c>
      <c r="CS588">
        <f t="shared" si="1151"/>
        <v>0</v>
      </c>
      <c r="CT588">
        <f t="shared" si="1151"/>
        <v>0</v>
      </c>
      <c r="CU588">
        <f t="shared" si="1151"/>
        <v>0</v>
      </c>
      <c r="CV588">
        <f t="shared" si="1151"/>
        <v>0</v>
      </c>
      <c r="CW588">
        <f t="shared" si="1152"/>
        <v>0</v>
      </c>
      <c r="CX588">
        <f t="shared" si="1152"/>
        <v>0</v>
      </c>
      <c r="CY588">
        <f t="shared" si="1152"/>
        <v>0</v>
      </c>
      <c r="CZ588">
        <f t="shared" si="1152"/>
        <v>0</v>
      </c>
      <c r="DA588">
        <f t="shared" si="1152"/>
        <v>0</v>
      </c>
      <c r="DB588">
        <f t="shared" si="1152"/>
        <v>0</v>
      </c>
      <c r="DC588">
        <f t="shared" si="1152"/>
        <v>0</v>
      </c>
      <c r="DD588">
        <f t="shared" si="1152"/>
        <v>0</v>
      </c>
      <c r="DE588">
        <f t="shared" si="1152"/>
        <v>0</v>
      </c>
      <c r="DF588">
        <f t="shared" si="1152"/>
        <v>0</v>
      </c>
      <c r="DG588">
        <f t="shared" si="1153"/>
        <v>0</v>
      </c>
      <c r="DH588">
        <f t="shared" si="1153"/>
        <v>0</v>
      </c>
      <c r="DI588">
        <f t="shared" si="1153"/>
        <v>0</v>
      </c>
      <c r="DJ588">
        <f t="shared" si="1153"/>
        <v>0</v>
      </c>
      <c r="DK588">
        <f t="shared" si="1153"/>
        <v>0</v>
      </c>
      <c r="DL588">
        <f t="shared" si="1153"/>
        <v>0</v>
      </c>
      <c r="DM588">
        <f t="shared" si="1153"/>
        <v>0</v>
      </c>
      <c r="DN588">
        <f t="shared" si="1153"/>
        <v>0</v>
      </c>
      <c r="DO588">
        <f t="shared" si="1153"/>
        <v>0</v>
      </c>
      <c r="DP588">
        <f t="shared" si="1153"/>
        <v>0</v>
      </c>
      <c r="DQ588">
        <f t="shared" si="1154"/>
        <v>0</v>
      </c>
      <c r="DR588">
        <f t="shared" si="1154"/>
        <v>0</v>
      </c>
      <c r="DS588">
        <f t="shared" si="1154"/>
        <v>0</v>
      </c>
      <c r="DT588">
        <f t="shared" si="1154"/>
        <v>0</v>
      </c>
      <c r="DU588">
        <f t="shared" si="1154"/>
        <v>0</v>
      </c>
      <c r="DV588">
        <f t="shared" si="1154"/>
        <v>0</v>
      </c>
      <c r="DW588">
        <f t="shared" si="1154"/>
        <v>0</v>
      </c>
      <c r="DX588">
        <f t="shared" si="1154"/>
        <v>0</v>
      </c>
      <c r="DY588">
        <f t="shared" si="1154"/>
        <v>0</v>
      </c>
      <c r="DZ588">
        <f t="shared" si="1154"/>
        <v>0</v>
      </c>
      <c r="EA588">
        <f t="shared" si="1155"/>
        <v>0</v>
      </c>
      <c r="EB588">
        <f t="shared" si="1155"/>
        <v>0</v>
      </c>
      <c r="EC588">
        <f t="shared" si="1155"/>
        <v>0</v>
      </c>
      <c r="ED588">
        <f t="shared" si="1155"/>
        <v>0</v>
      </c>
      <c r="EE588">
        <f t="shared" si="1155"/>
        <v>0</v>
      </c>
      <c r="EF588">
        <f t="shared" si="1155"/>
        <v>0</v>
      </c>
    </row>
    <row r="589" spans="1:136" ht="15.5">
      <c r="A589" s="90"/>
      <c r="B589" s="19"/>
      <c r="C589" s="96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  <c r="AI589" s="34"/>
      <c r="AJ589" s="34"/>
      <c r="AK589" s="34"/>
      <c r="AL589" s="34"/>
      <c r="AM589" s="34"/>
      <c r="AN589" s="34"/>
      <c r="AO589" s="34"/>
      <c r="AP589" s="34"/>
      <c r="AQ589" s="34"/>
      <c r="AR589" s="34"/>
      <c r="AS589" s="34"/>
      <c r="AT589" s="34"/>
      <c r="AU589" s="34"/>
      <c r="AV589" s="34"/>
      <c r="AW589" s="34"/>
      <c r="AX589" s="34"/>
      <c r="AY589" s="34"/>
      <c r="AZ589" s="18"/>
      <c r="BA589" s="18"/>
      <c r="BB589" s="18"/>
      <c r="BC589" s="18"/>
      <c r="BD589" s="18"/>
      <c r="BE589" s="25"/>
      <c r="BF589" s="18"/>
      <c r="BG589" s="18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101"/>
    </row>
    <row r="590" spans="1:136" ht="15.5">
      <c r="A590" s="93">
        <v>70</v>
      </c>
      <c r="B590" s="32" t="s">
        <v>83</v>
      </c>
      <c r="C590" s="94">
        <v>3</v>
      </c>
      <c r="D590" s="22">
        <f t="shared" ref="D590:AI590" si="1156">SUM(D591:D597)</f>
        <v>0</v>
      </c>
      <c r="E590" s="22">
        <f t="shared" si="1156"/>
        <v>0</v>
      </c>
      <c r="F590" s="22">
        <f t="shared" si="1156"/>
        <v>0</v>
      </c>
      <c r="G590" s="22">
        <f t="shared" si="1156"/>
        <v>0</v>
      </c>
      <c r="H590" s="22">
        <f t="shared" si="1156"/>
        <v>0</v>
      </c>
      <c r="I590" s="22">
        <f t="shared" si="1156"/>
        <v>0</v>
      </c>
      <c r="J590" s="22">
        <f t="shared" si="1156"/>
        <v>0</v>
      </c>
      <c r="K590" s="22">
        <f t="shared" si="1156"/>
        <v>0</v>
      </c>
      <c r="L590" s="22">
        <f t="shared" si="1156"/>
        <v>0</v>
      </c>
      <c r="M590" s="22">
        <f t="shared" si="1156"/>
        <v>0</v>
      </c>
      <c r="N590" s="22">
        <f t="shared" si="1156"/>
        <v>0</v>
      </c>
      <c r="O590" s="22">
        <f t="shared" si="1156"/>
        <v>0</v>
      </c>
      <c r="P590" s="22">
        <f t="shared" si="1156"/>
        <v>0</v>
      </c>
      <c r="Q590" s="22">
        <f t="shared" si="1156"/>
        <v>0</v>
      </c>
      <c r="R590" s="22">
        <f t="shared" si="1156"/>
        <v>0</v>
      </c>
      <c r="S590" s="22">
        <f t="shared" si="1156"/>
        <v>0</v>
      </c>
      <c r="T590" s="22">
        <f t="shared" si="1156"/>
        <v>0</v>
      </c>
      <c r="U590" s="22">
        <f t="shared" si="1156"/>
        <v>0</v>
      </c>
      <c r="V590" s="22">
        <f t="shared" si="1156"/>
        <v>0</v>
      </c>
      <c r="W590" s="22">
        <f t="shared" si="1156"/>
        <v>0</v>
      </c>
      <c r="X590" s="22">
        <f t="shared" si="1156"/>
        <v>0</v>
      </c>
      <c r="Y590" s="22">
        <f t="shared" si="1156"/>
        <v>0</v>
      </c>
      <c r="Z590" s="22">
        <f t="shared" si="1156"/>
        <v>0</v>
      </c>
      <c r="AA590" s="22">
        <f t="shared" si="1156"/>
        <v>0</v>
      </c>
      <c r="AB590" s="22">
        <f t="shared" si="1156"/>
        <v>0</v>
      </c>
      <c r="AC590" s="22">
        <f t="shared" si="1156"/>
        <v>0</v>
      </c>
      <c r="AD590" s="22">
        <f t="shared" si="1156"/>
        <v>0</v>
      </c>
      <c r="AE590" s="22">
        <f t="shared" si="1156"/>
        <v>0</v>
      </c>
      <c r="AF590" s="22">
        <f t="shared" si="1156"/>
        <v>5780.695999999999</v>
      </c>
      <c r="AG590" s="22">
        <f t="shared" si="1156"/>
        <v>6393.4497759999986</v>
      </c>
      <c r="AH590" s="22">
        <f t="shared" si="1156"/>
        <v>24520.614404271997</v>
      </c>
      <c r="AI590" s="22">
        <f t="shared" si="1156"/>
        <v>25559.621870188123</v>
      </c>
      <c r="AJ590" s="22">
        <f t="shared" ref="AJ590:BQ590" si="1157">SUM(AJ591:AJ597)</f>
        <v>27724.813329308097</v>
      </c>
      <c r="AK590" s="22">
        <f t="shared" si="1157"/>
        <v>31716.857180607985</v>
      </c>
      <c r="AL590" s="22">
        <f t="shared" si="1157"/>
        <v>32165.287824231116</v>
      </c>
      <c r="AM590" s="22">
        <f t="shared" si="1157"/>
        <v>34588.759136841414</v>
      </c>
      <c r="AN590" s="22">
        <f t="shared" si="1157"/>
        <v>37000.550537010611</v>
      </c>
      <c r="AO590" s="22">
        <f t="shared" si="1157"/>
        <v>39487.965622764677</v>
      </c>
      <c r="AP590" s="22">
        <f t="shared" si="1157"/>
        <v>42008.641394990344</v>
      </c>
      <c r="AQ590" s="22">
        <f t="shared" si="1157"/>
        <v>44562.454565340784</v>
      </c>
      <c r="AR590" s="22">
        <f t="shared" si="1157"/>
        <v>47308.63525077136</v>
      </c>
      <c r="AS590" s="22">
        <f t="shared" si="1157"/>
        <v>49773.315595212604</v>
      </c>
      <c r="AT590" s="22">
        <f t="shared" si="1157"/>
        <v>58895</v>
      </c>
      <c r="AU590" s="22">
        <f t="shared" si="1157"/>
        <v>106541.89554577759</v>
      </c>
      <c r="AV590" s="22">
        <f t="shared" si="1157"/>
        <v>110160.39688543303</v>
      </c>
      <c r="AW590" s="22">
        <f t="shared" si="1157"/>
        <v>111233.28069855901</v>
      </c>
      <c r="AX590" s="22">
        <f t="shared" si="1157"/>
        <v>99176.561066759576</v>
      </c>
      <c r="AY590" s="22">
        <f t="shared" si="1157"/>
        <v>66007</v>
      </c>
      <c r="AZ590" s="22">
        <f t="shared" si="1157"/>
        <v>64200.867924528298</v>
      </c>
      <c r="BA590" s="22">
        <f t="shared" si="1157"/>
        <v>58752.427184466018</v>
      </c>
      <c r="BB590" s="22">
        <f t="shared" si="1157"/>
        <v>54700</v>
      </c>
      <c r="BC590" s="22">
        <f t="shared" si="1157"/>
        <v>46200</v>
      </c>
      <c r="BD590" s="22">
        <f t="shared" si="1157"/>
        <v>46200</v>
      </c>
      <c r="BE590" s="22">
        <f t="shared" si="1157"/>
        <v>42700</v>
      </c>
      <c r="BF590" s="22">
        <f t="shared" si="1157"/>
        <v>42700</v>
      </c>
      <c r="BG590" s="22">
        <f t="shared" si="1157"/>
        <v>42700</v>
      </c>
      <c r="BH590" s="22">
        <f t="shared" si="1157"/>
        <v>41002</v>
      </c>
      <c r="BI590" s="22">
        <f t="shared" si="1157"/>
        <v>40302</v>
      </c>
      <c r="BJ590" s="4">
        <f t="shared" si="1157"/>
        <v>40429</v>
      </c>
      <c r="BK590" s="4">
        <f t="shared" si="1157"/>
        <v>41614</v>
      </c>
      <c r="BL590" s="4">
        <f t="shared" si="1157"/>
        <v>48186</v>
      </c>
      <c r="BM590" s="4">
        <f t="shared" si="1157"/>
        <v>43104</v>
      </c>
      <c r="BN590" s="4">
        <f t="shared" si="1157"/>
        <v>42232</v>
      </c>
      <c r="BO590" s="4">
        <f t="shared" si="1157"/>
        <v>42760</v>
      </c>
      <c r="BP590" s="4">
        <f t="shared" si="1157"/>
        <v>43288</v>
      </c>
      <c r="BQ590" s="4">
        <f t="shared" si="1157"/>
        <v>43816</v>
      </c>
      <c r="BR590" s="101"/>
      <c r="BS590">
        <f t="shared" ref="BS590:CB597" si="1158">IF($C590&lt;&gt;"",IF(D590&gt;0,1,0),0)</f>
        <v>0</v>
      </c>
      <c r="BT590">
        <f t="shared" si="1158"/>
        <v>0</v>
      </c>
      <c r="BU590">
        <f t="shared" si="1158"/>
        <v>0</v>
      </c>
      <c r="BV590">
        <f t="shared" si="1158"/>
        <v>0</v>
      </c>
      <c r="BW590">
        <f t="shared" si="1158"/>
        <v>0</v>
      </c>
      <c r="BX590">
        <f t="shared" si="1158"/>
        <v>0</v>
      </c>
      <c r="BY590">
        <f t="shared" si="1158"/>
        <v>0</v>
      </c>
      <c r="BZ590">
        <f t="shared" si="1158"/>
        <v>0</v>
      </c>
      <c r="CA590">
        <f t="shared" si="1158"/>
        <v>0</v>
      </c>
      <c r="CB590">
        <f t="shared" si="1158"/>
        <v>0</v>
      </c>
      <c r="CC590">
        <f t="shared" ref="CC590:CL597" si="1159">IF($C590&lt;&gt;"",IF(N590&gt;0,1,0),0)</f>
        <v>0</v>
      </c>
      <c r="CD590">
        <f t="shared" si="1159"/>
        <v>0</v>
      </c>
      <c r="CE590">
        <f t="shared" si="1159"/>
        <v>0</v>
      </c>
      <c r="CF590">
        <f t="shared" si="1159"/>
        <v>0</v>
      </c>
      <c r="CG590">
        <f t="shared" si="1159"/>
        <v>0</v>
      </c>
      <c r="CH590">
        <f t="shared" si="1159"/>
        <v>0</v>
      </c>
      <c r="CI590">
        <f t="shared" si="1159"/>
        <v>0</v>
      </c>
      <c r="CJ590">
        <f t="shared" si="1159"/>
        <v>0</v>
      </c>
      <c r="CK590">
        <f t="shared" si="1159"/>
        <v>0</v>
      </c>
      <c r="CL590">
        <f t="shared" si="1159"/>
        <v>0</v>
      </c>
      <c r="CM590">
        <f t="shared" ref="CM590:CV597" si="1160">IF($C590&lt;&gt;"",IF(X590&gt;0,1,0),0)</f>
        <v>0</v>
      </c>
      <c r="CN590">
        <f t="shared" si="1160"/>
        <v>0</v>
      </c>
      <c r="CO590">
        <f t="shared" si="1160"/>
        <v>0</v>
      </c>
      <c r="CP590">
        <f t="shared" si="1160"/>
        <v>0</v>
      </c>
      <c r="CQ590">
        <f t="shared" si="1160"/>
        <v>0</v>
      </c>
      <c r="CR590">
        <f t="shared" si="1160"/>
        <v>0</v>
      </c>
      <c r="CS590">
        <f t="shared" si="1160"/>
        <v>0</v>
      </c>
      <c r="CT590">
        <f t="shared" si="1160"/>
        <v>0</v>
      </c>
      <c r="CU590">
        <f t="shared" si="1160"/>
        <v>1</v>
      </c>
      <c r="CV590">
        <f t="shared" si="1160"/>
        <v>1</v>
      </c>
      <c r="CW590">
        <f t="shared" ref="CW590:DF597" si="1161">IF($C590&lt;&gt;"",IF(AH590&gt;0,1,0),0)</f>
        <v>1</v>
      </c>
      <c r="CX590">
        <f t="shared" si="1161"/>
        <v>1</v>
      </c>
      <c r="CY590">
        <f t="shared" si="1161"/>
        <v>1</v>
      </c>
      <c r="CZ590">
        <f t="shared" si="1161"/>
        <v>1</v>
      </c>
      <c r="DA590">
        <f t="shared" si="1161"/>
        <v>1</v>
      </c>
      <c r="DB590">
        <f t="shared" si="1161"/>
        <v>1</v>
      </c>
      <c r="DC590">
        <f t="shared" si="1161"/>
        <v>1</v>
      </c>
      <c r="DD590">
        <f t="shared" si="1161"/>
        <v>1</v>
      </c>
      <c r="DE590">
        <f t="shared" si="1161"/>
        <v>1</v>
      </c>
      <c r="DF590">
        <f t="shared" si="1161"/>
        <v>1</v>
      </c>
      <c r="DG590">
        <f t="shared" ref="DG590:DP597" si="1162">IF($C590&lt;&gt;"",IF(AR590&gt;0,1,0),0)</f>
        <v>1</v>
      </c>
      <c r="DH590">
        <f t="shared" si="1162"/>
        <v>1</v>
      </c>
      <c r="DI590">
        <f t="shared" si="1162"/>
        <v>1</v>
      </c>
      <c r="DJ590">
        <f t="shared" si="1162"/>
        <v>1</v>
      </c>
      <c r="DK590">
        <f t="shared" si="1162"/>
        <v>1</v>
      </c>
      <c r="DL590">
        <f t="shared" si="1162"/>
        <v>1</v>
      </c>
      <c r="DM590">
        <f t="shared" si="1162"/>
        <v>1</v>
      </c>
      <c r="DN590">
        <f t="shared" si="1162"/>
        <v>1</v>
      </c>
      <c r="DO590">
        <f t="shared" si="1162"/>
        <v>1</v>
      </c>
      <c r="DP590">
        <f t="shared" si="1162"/>
        <v>1</v>
      </c>
      <c r="DQ590">
        <f t="shared" ref="DQ590:DZ597" si="1163">IF($C590&lt;&gt;"",IF(BB590&gt;0,1,0),0)</f>
        <v>1</v>
      </c>
      <c r="DR590">
        <f t="shared" si="1163"/>
        <v>1</v>
      </c>
      <c r="DS590">
        <f t="shared" si="1163"/>
        <v>1</v>
      </c>
      <c r="DT590">
        <f t="shared" si="1163"/>
        <v>1</v>
      </c>
      <c r="DU590">
        <f t="shared" si="1163"/>
        <v>1</v>
      </c>
      <c r="DV590">
        <f t="shared" si="1163"/>
        <v>1</v>
      </c>
      <c r="DW590">
        <f t="shared" si="1163"/>
        <v>1</v>
      </c>
      <c r="DX590">
        <f t="shared" si="1163"/>
        <v>1</v>
      </c>
      <c r="DY590">
        <f t="shared" si="1163"/>
        <v>1</v>
      </c>
      <c r="DZ590">
        <f t="shared" si="1163"/>
        <v>1</v>
      </c>
      <c r="EA590">
        <f t="shared" ref="EA590:EF597" si="1164">IF($C590&lt;&gt;"",IF(BL590&gt;0,1,0),0)</f>
        <v>1</v>
      </c>
      <c r="EB590">
        <f t="shared" si="1164"/>
        <v>1</v>
      </c>
      <c r="EC590">
        <f t="shared" si="1164"/>
        <v>1</v>
      </c>
      <c r="ED590">
        <f t="shared" si="1164"/>
        <v>1</v>
      </c>
      <c r="EE590">
        <f t="shared" si="1164"/>
        <v>1</v>
      </c>
      <c r="EF590">
        <f t="shared" si="1164"/>
        <v>1</v>
      </c>
    </row>
    <row r="591" spans="1:136" ht="15.5">
      <c r="A591" s="90"/>
      <c r="B591" s="24" t="s">
        <v>15</v>
      </c>
      <c r="C591" s="94"/>
      <c r="D591" s="18">
        <v>0</v>
      </c>
      <c r="E591" s="18">
        <v>0</v>
      </c>
      <c r="F591" s="18">
        <v>0</v>
      </c>
      <c r="G591" s="18">
        <v>0</v>
      </c>
      <c r="H591" s="18">
        <v>0</v>
      </c>
      <c r="I591" s="18">
        <v>0</v>
      </c>
      <c r="J591" s="18">
        <v>0</v>
      </c>
      <c r="K591" s="18">
        <v>0</v>
      </c>
      <c r="L591" s="18">
        <v>0</v>
      </c>
      <c r="M591" s="18">
        <v>0</v>
      </c>
      <c r="N591" s="18">
        <v>0</v>
      </c>
      <c r="O591" s="18">
        <v>0</v>
      </c>
      <c r="P591" s="18">
        <v>0</v>
      </c>
      <c r="Q591" s="18">
        <v>0</v>
      </c>
      <c r="R591" s="18">
        <v>0</v>
      </c>
      <c r="S591" s="18">
        <v>0</v>
      </c>
      <c r="T591" s="18">
        <v>0</v>
      </c>
      <c r="U591" s="18">
        <v>0</v>
      </c>
      <c r="V591" s="18">
        <v>0</v>
      </c>
      <c r="W591" s="18">
        <v>0</v>
      </c>
      <c r="X591" s="18">
        <v>0</v>
      </c>
      <c r="Y591" s="18">
        <v>0</v>
      </c>
      <c r="Z591" s="18">
        <v>0</v>
      </c>
      <c r="AA591" s="18">
        <v>0</v>
      </c>
      <c r="AB591" s="18">
        <v>0</v>
      </c>
      <c r="AC591" s="18">
        <v>0</v>
      </c>
      <c r="AD591" s="18">
        <v>0</v>
      </c>
      <c r="AE591" s="18">
        <v>0</v>
      </c>
      <c r="AF591" s="18">
        <v>0</v>
      </c>
      <c r="AG591" s="18">
        <v>0</v>
      </c>
      <c r="AH591" s="71">
        <v>2</v>
      </c>
      <c r="AI591" s="71">
        <v>2</v>
      </c>
      <c r="AJ591" s="18">
        <v>11.962499999999999</v>
      </c>
      <c r="AK591" s="18">
        <v>19.27751149310544</v>
      </c>
      <c r="AL591" s="18">
        <v>26.328215631115896</v>
      </c>
      <c r="AM591" s="18">
        <v>32.702557596410287</v>
      </c>
      <c r="AN591" s="18">
        <v>37.68005379770581</v>
      </c>
      <c r="AO591" s="18">
        <v>44.664464760443593</v>
      </c>
      <c r="AP591" s="18">
        <v>53.069155925817057</v>
      </c>
      <c r="AQ591" s="18">
        <v>56.958841780809607</v>
      </c>
      <c r="AR591" s="18">
        <v>60.979869326584399</v>
      </c>
      <c r="AS591" s="18">
        <v>64.058133932700215</v>
      </c>
      <c r="AT591" s="18">
        <v>72</v>
      </c>
      <c r="AU591" s="18">
        <v>81.706232861197535</v>
      </c>
      <c r="AV591" s="18">
        <v>0</v>
      </c>
      <c r="AW591" s="18">
        <v>0</v>
      </c>
      <c r="AX591" s="18">
        <v>0</v>
      </c>
      <c r="AY591" s="18">
        <v>0</v>
      </c>
      <c r="AZ591" s="18">
        <v>0</v>
      </c>
      <c r="BA591" s="18">
        <v>0</v>
      </c>
      <c r="BB591" s="18">
        <v>0</v>
      </c>
      <c r="BC591" s="18">
        <v>0</v>
      </c>
      <c r="BD591" s="18">
        <v>0</v>
      </c>
      <c r="BE591" s="25">
        <v>0</v>
      </c>
      <c r="BF591" s="18">
        <v>0</v>
      </c>
      <c r="BG591" s="18">
        <v>0</v>
      </c>
      <c r="BH591" s="18">
        <v>0</v>
      </c>
      <c r="BI591" s="18">
        <v>0</v>
      </c>
      <c r="BJ591" s="113">
        <v>0</v>
      </c>
      <c r="BK591" s="113">
        <v>0</v>
      </c>
      <c r="BL591" s="113">
        <v>0</v>
      </c>
      <c r="BM591" s="113">
        <v>0</v>
      </c>
      <c r="BN591" s="113">
        <v>0</v>
      </c>
      <c r="BO591" s="113">
        <v>0</v>
      </c>
      <c r="BP591" s="113">
        <v>0</v>
      </c>
      <c r="BQ591" s="113">
        <v>0</v>
      </c>
      <c r="BR591" s="101"/>
      <c r="BS591">
        <f t="shared" si="1158"/>
        <v>0</v>
      </c>
      <c r="BT591">
        <f t="shared" si="1158"/>
        <v>0</v>
      </c>
      <c r="BU591">
        <f t="shared" si="1158"/>
        <v>0</v>
      </c>
      <c r="BV591">
        <f t="shared" si="1158"/>
        <v>0</v>
      </c>
      <c r="BW591">
        <f t="shared" si="1158"/>
        <v>0</v>
      </c>
      <c r="BX591">
        <f t="shared" si="1158"/>
        <v>0</v>
      </c>
      <c r="BY591">
        <f t="shared" si="1158"/>
        <v>0</v>
      </c>
      <c r="BZ591">
        <f t="shared" si="1158"/>
        <v>0</v>
      </c>
      <c r="CA591">
        <f t="shared" si="1158"/>
        <v>0</v>
      </c>
      <c r="CB591">
        <f t="shared" si="1158"/>
        <v>0</v>
      </c>
      <c r="CC591">
        <f t="shared" si="1159"/>
        <v>0</v>
      </c>
      <c r="CD591">
        <f t="shared" si="1159"/>
        <v>0</v>
      </c>
      <c r="CE591">
        <f t="shared" si="1159"/>
        <v>0</v>
      </c>
      <c r="CF591">
        <f t="shared" si="1159"/>
        <v>0</v>
      </c>
      <c r="CG591">
        <f t="shared" si="1159"/>
        <v>0</v>
      </c>
      <c r="CH591">
        <f t="shared" si="1159"/>
        <v>0</v>
      </c>
      <c r="CI591">
        <f t="shared" si="1159"/>
        <v>0</v>
      </c>
      <c r="CJ591">
        <f t="shared" si="1159"/>
        <v>0</v>
      </c>
      <c r="CK591">
        <f t="shared" si="1159"/>
        <v>0</v>
      </c>
      <c r="CL591">
        <f t="shared" si="1159"/>
        <v>0</v>
      </c>
      <c r="CM591">
        <f t="shared" si="1160"/>
        <v>0</v>
      </c>
      <c r="CN591">
        <f t="shared" si="1160"/>
        <v>0</v>
      </c>
      <c r="CO591">
        <f t="shared" si="1160"/>
        <v>0</v>
      </c>
      <c r="CP591">
        <f t="shared" si="1160"/>
        <v>0</v>
      </c>
      <c r="CQ591">
        <f t="shared" si="1160"/>
        <v>0</v>
      </c>
      <c r="CR591">
        <f t="shared" si="1160"/>
        <v>0</v>
      </c>
      <c r="CS591">
        <f t="shared" si="1160"/>
        <v>0</v>
      </c>
      <c r="CT591">
        <f t="shared" si="1160"/>
        <v>0</v>
      </c>
      <c r="CU591">
        <f t="shared" si="1160"/>
        <v>0</v>
      </c>
      <c r="CV591">
        <f t="shared" si="1160"/>
        <v>0</v>
      </c>
      <c r="CW591">
        <f t="shared" si="1161"/>
        <v>0</v>
      </c>
      <c r="CX591">
        <f t="shared" si="1161"/>
        <v>0</v>
      </c>
      <c r="CY591">
        <f t="shared" si="1161"/>
        <v>0</v>
      </c>
      <c r="CZ591">
        <f t="shared" si="1161"/>
        <v>0</v>
      </c>
      <c r="DA591">
        <f t="shared" si="1161"/>
        <v>0</v>
      </c>
      <c r="DB591">
        <f t="shared" si="1161"/>
        <v>0</v>
      </c>
      <c r="DC591">
        <f t="shared" si="1161"/>
        <v>0</v>
      </c>
      <c r="DD591">
        <f t="shared" si="1161"/>
        <v>0</v>
      </c>
      <c r="DE591">
        <f t="shared" si="1161"/>
        <v>0</v>
      </c>
      <c r="DF591">
        <f t="shared" si="1161"/>
        <v>0</v>
      </c>
      <c r="DG591">
        <f t="shared" si="1162"/>
        <v>0</v>
      </c>
      <c r="DH591">
        <f t="shared" si="1162"/>
        <v>0</v>
      </c>
      <c r="DI591">
        <f t="shared" si="1162"/>
        <v>0</v>
      </c>
      <c r="DJ591">
        <f t="shared" si="1162"/>
        <v>0</v>
      </c>
      <c r="DK591">
        <f t="shared" si="1162"/>
        <v>0</v>
      </c>
      <c r="DL591">
        <f t="shared" si="1162"/>
        <v>0</v>
      </c>
      <c r="DM591">
        <f t="shared" si="1162"/>
        <v>0</v>
      </c>
      <c r="DN591">
        <f t="shared" si="1162"/>
        <v>0</v>
      </c>
      <c r="DO591">
        <f t="shared" si="1162"/>
        <v>0</v>
      </c>
      <c r="DP591">
        <f t="shared" si="1162"/>
        <v>0</v>
      </c>
      <c r="DQ591">
        <f t="shared" si="1163"/>
        <v>0</v>
      </c>
      <c r="DR591">
        <f t="shared" si="1163"/>
        <v>0</v>
      </c>
      <c r="DS591">
        <f t="shared" si="1163"/>
        <v>0</v>
      </c>
      <c r="DT591">
        <f t="shared" si="1163"/>
        <v>0</v>
      </c>
      <c r="DU591">
        <f t="shared" si="1163"/>
        <v>0</v>
      </c>
      <c r="DV591">
        <f t="shared" si="1163"/>
        <v>0</v>
      </c>
      <c r="DW591">
        <f t="shared" si="1163"/>
        <v>0</v>
      </c>
      <c r="DX591">
        <f t="shared" si="1163"/>
        <v>0</v>
      </c>
      <c r="DY591">
        <f t="shared" si="1163"/>
        <v>0</v>
      </c>
      <c r="DZ591">
        <f t="shared" si="1163"/>
        <v>0</v>
      </c>
      <c r="EA591">
        <f t="shared" si="1164"/>
        <v>0</v>
      </c>
      <c r="EB591">
        <f t="shared" si="1164"/>
        <v>0</v>
      </c>
      <c r="EC591">
        <f t="shared" si="1164"/>
        <v>0</v>
      </c>
      <c r="ED591">
        <f t="shared" si="1164"/>
        <v>0</v>
      </c>
      <c r="EE591">
        <f t="shared" si="1164"/>
        <v>0</v>
      </c>
      <c r="EF591">
        <f t="shared" si="1164"/>
        <v>0</v>
      </c>
    </row>
    <row r="592" spans="1:136" ht="15.5">
      <c r="A592" s="90"/>
      <c r="B592" s="19" t="s">
        <v>184</v>
      </c>
      <c r="C592" s="96"/>
      <c r="D592" s="18">
        <v>0</v>
      </c>
      <c r="E592" s="18">
        <v>0</v>
      </c>
      <c r="F592" s="18">
        <v>0</v>
      </c>
      <c r="G592" s="18">
        <v>0</v>
      </c>
      <c r="H592" s="18">
        <v>0</v>
      </c>
      <c r="I592" s="18">
        <v>0</v>
      </c>
      <c r="J592" s="18">
        <v>0</v>
      </c>
      <c r="K592" s="18">
        <v>0</v>
      </c>
      <c r="L592" s="18">
        <v>0</v>
      </c>
      <c r="M592" s="18">
        <v>0</v>
      </c>
      <c r="N592" s="18">
        <v>0</v>
      </c>
      <c r="O592" s="18">
        <v>0</v>
      </c>
      <c r="P592" s="18">
        <v>0</v>
      </c>
      <c r="Q592" s="18">
        <v>0</v>
      </c>
      <c r="R592" s="18">
        <v>0</v>
      </c>
      <c r="S592" s="18">
        <v>0</v>
      </c>
      <c r="T592" s="18">
        <v>0</v>
      </c>
      <c r="U592" s="18">
        <v>0</v>
      </c>
      <c r="V592" s="18">
        <v>0</v>
      </c>
      <c r="W592" s="18">
        <v>0</v>
      </c>
      <c r="X592" s="18">
        <v>0</v>
      </c>
      <c r="Y592" s="18">
        <v>0</v>
      </c>
      <c r="Z592" s="18">
        <v>0</v>
      </c>
      <c r="AA592" s="18">
        <v>0</v>
      </c>
      <c r="AB592" s="18">
        <v>0</v>
      </c>
      <c r="AC592" s="18">
        <v>0</v>
      </c>
      <c r="AD592" s="18">
        <v>0</v>
      </c>
      <c r="AE592" s="18">
        <v>0</v>
      </c>
      <c r="AF592" s="18">
        <v>0</v>
      </c>
      <c r="AG592" s="18">
        <v>0</v>
      </c>
      <c r="AH592" s="18">
        <v>14</v>
      </c>
      <c r="AI592" s="18">
        <v>25</v>
      </c>
      <c r="AJ592" s="18">
        <v>31</v>
      </c>
      <c r="AK592" s="18">
        <v>43</v>
      </c>
      <c r="AL592" s="18">
        <v>61</v>
      </c>
      <c r="AM592" s="18">
        <v>66</v>
      </c>
      <c r="AN592" s="18">
        <v>68</v>
      </c>
      <c r="AO592" s="18">
        <v>68</v>
      </c>
      <c r="AP592" s="18">
        <v>69</v>
      </c>
      <c r="AQ592" s="18">
        <v>66</v>
      </c>
      <c r="AR592" s="18">
        <v>63</v>
      </c>
      <c r="AS592" s="18">
        <v>76</v>
      </c>
      <c r="AT592" s="18">
        <v>90</v>
      </c>
      <c r="AU592" s="18">
        <v>105</v>
      </c>
      <c r="AV592" s="18">
        <v>108</v>
      </c>
      <c r="AW592" s="18">
        <v>0</v>
      </c>
      <c r="AX592" s="18">
        <v>0</v>
      </c>
      <c r="AY592" s="18">
        <v>0</v>
      </c>
      <c r="AZ592" s="18">
        <v>0</v>
      </c>
      <c r="BA592" s="18">
        <v>0</v>
      </c>
      <c r="BB592" s="18">
        <v>0</v>
      </c>
      <c r="BC592" s="18">
        <v>0</v>
      </c>
      <c r="BD592" s="18">
        <v>0</v>
      </c>
      <c r="BE592" s="25">
        <v>0</v>
      </c>
      <c r="BF592" s="18">
        <v>0</v>
      </c>
      <c r="BG592" s="18">
        <v>0</v>
      </c>
      <c r="BH592" s="18">
        <v>0</v>
      </c>
      <c r="BI592" s="18">
        <v>0</v>
      </c>
      <c r="BJ592" s="113">
        <v>0</v>
      </c>
      <c r="BK592" s="113">
        <v>0</v>
      </c>
      <c r="BL592" s="113">
        <v>0</v>
      </c>
      <c r="BM592" s="113">
        <v>0</v>
      </c>
      <c r="BN592" s="113">
        <v>0</v>
      </c>
      <c r="BO592" s="113">
        <v>0</v>
      </c>
      <c r="BP592" s="113">
        <v>0</v>
      </c>
      <c r="BQ592" s="113">
        <v>0</v>
      </c>
      <c r="BR592" s="101"/>
      <c r="BS592">
        <f t="shared" si="1158"/>
        <v>0</v>
      </c>
      <c r="BT592">
        <f t="shared" si="1158"/>
        <v>0</v>
      </c>
      <c r="BU592">
        <f t="shared" si="1158"/>
        <v>0</v>
      </c>
      <c r="BV592">
        <f t="shared" si="1158"/>
        <v>0</v>
      </c>
      <c r="BW592">
        <f t="shared" si="1158"/>
        <v>0</v>
      </c>
      <c r="BX592">
        <f t="shared" si="1158"/>
        <v>0</v>
      </c>
      <c r="BY592">
        <f t="shared" si="1158"/>
        <v>0</v>
      </c>
      <c r="BZ592">
        <f t="shared" si="1158"/>
        <v>0</v>
      </c>
      <c r="CA592">
        <f t="shared" si="1158"/>
        <v>0</v>
      </c>
      <c r="CB592">
        <f t="shared" si="1158"/>
        <v>0</v>
      </c>
      <c r="CC592">
        <f t="shared" si="1159"/>
        <v>0</v>
      </c>
      <c r="CD592">
        <f t="shared" si="1159"/>
        <v>0</v>
      </c>
      <c r="CE592">
        <f t="shared" si="1159"/>
        <v>0</v>
      </c>
      <c r="CF592">
        <f t="shared" si="1159"/>
        <v>0</v>
      </c>
      <c r="CG592">
        <f t="shared" si="1159"/>
        <v>0</v>
      </c>
      <c r="CH592">
        <f t="shared" si="1159"/>
        <v>0</v>
      </c>
      <c r="CI592">
        <f t="shared" si="1159"/>
        <v>0</v>
      </c>
      <c r="CJ592">
        <f t="shared" si="1159"/>
        <v>0</v>
      </c>
      <c r="CK592">
        <f t="shared" si="1159"/>
        <v>0</v>
      </c>
      <c r="CL592">
        <f t="shared" si="1159"/>
        <v>0</v>
      </c>
      <c r="CM592">
        <f t="shared" si="1160"/>
        <v>0</v>
      </c>
      <c r="CN592">
        <f t="shared" si="1160"/>
        <v>0</v>
      </c>
      <c r="CO592">
        <f t="shared" si="1160"/>
        <v>0</v>
      </c>
      <c r="CP592">
        <f t="shared" si="1160"/>
        <v>0</v>
      </c>
      <c r="CQ592">
        <f t="shared" si="1160"/>
        <v>0</v>
      </c>
      <c r="CR592">
        <f t="shared" si="1160"/>
        <v>0</v>
      </c>
      <c r="CS592">
        <f t="shared" si="1160"/>
        <v>0</v>
      </c>
      <c r="CT592">
        <f t="shared" si="1160"/>
        <v>0</v>
      </c>
      <c r="CU592">
        <f t="shared" si="1160"/>
        <v>0</v>
      </c>
      <c r="CV592">
        <f t="shared" si="1160"/>
        <v>0</v>
      </c>
      <c r="CW592">
        <f t="shared" si="1161"/>
        <v>0</v>
      </c>
      <c r="CX592">
        <f t="shared" si="1161"/>
        <v>0</v>
      </c>
      <c r="CY592">
        <f t="shared" si="1161"/>
        <v>0</v>
      </c>
      <c r="CZ592">
        <f t="shared" si="1161"/>
        <v>0</v>
      </c>
      <c r="DA592">
        <f t="shared" si="1161"/>
        <v>0</v>
      </c>
      <c r="DB592">
        <f t="shared" si="1161"/>
        <v>0</v>
      </c>
      <c r="DC592">
        <f t="shared" si="1161"/>
        <v>0</v>
      </c>
      <c r="DD592">
        <f t="shared" si="1161"/>
        <v>0</v>
      </c>
      <c r="DE592">
        <f t="shared" si="1161"/>
        <v>0</v>
      </c>
      <c r="DF592">
        <f t="shared" si="1161"/>
        <v>0</v>
      </c>
      <c r="DG592">
        <f t="shared" si="1162"/>
        <v>0</v>
      </c>
      <c r="DH592">
        <f t="shared" si="1162"/>
        <v>0</v>
      </c>
      <c r="DI592">
        <f t="shared" si="1162"/>
        <v>0</v>
      </c>
      <c r="DJ592">
        <f t="shared" si="1162"/>
        <v>0</v>
      </c>
      <c r="DK592">
        <f t="shared" si="1162"/>
        <v>0</v>
      </c>
      <c r="DL592">
        <f t="shared" si="1162"/>
        <v>0</v>
      </c>
      <c r="DM592">
        <f t="shared" si="1162"/>
        <v>0</v>
      </c>
      <c r="DN592">
        <f t="shared" si="1162"/>
        <v>0</v>
      </c>
      <c r="DO592">
        <f t="shared" si="1162"/>
        <v>0</v>
      </c>
      <c r="DP592">
        <f t="shared" si="1162"/>
        <v>0</v>
      </c>
      <c r="DQ592">
        <f t="shared" si="1163"/>
        <v>0</v>
      </c>
      <c r="DR592">
        <f t="shared" si="1163"/>
        <v>0</v>
      </c>
      <c r="DS592">
        <f t="shared" si="1163"/>
        <v>0</v>
      </c>
      <c r="DT592">
        <f t="shared" si="1163"/>
        <v>0</v>
      </c>
      <c r="DU592">
        <f t="shared" si="1163"/>
        <v>0</v>
      </c>
      <c r="DV592">
        <f t="shared" si="1163"/>
        <v>0</v>
      </c>
      <c r="DW592">
        <f t="shared" si="1163"/>
        <v>0</v>
      </c>
      <c r="DX592">
        <f t="shared" si="1163"/>
        <v>0</v>
      </c>
      <c r="DY592">
        <f t="shared" si="1163"/>
        <v>0</v>
      </c>
      <c r="DZ592">
        <f t="shared" si="1163"/>
        <v>0</v>
      </c>
      <c r="EA592">
        <f t="shared" si="1164"/>
        <v>0</v>
      </c>
      <c r="EB592">
        <f t="shared" si="1164"/>
        <v>0</v>
      </c>
      <c r="EC592">
        <f t="shared" si="1164"/>
        <v>0</v>
      </c>
      <c r="ED592">
        <f t="shared" si="1164"/>
        <v>0</v>
      </c>
      <c r="EE592">
        <f t="shared" si="1164"/>
        <v>0</v>
      </c>
      <c r="EF592">
        <f t="shared" si="1164"/>
        <v>0</v>
      </c>
    </row>
    <row r="593" spans="1:136" ht="15.5">
      <c r="A593" s="90"/>
      <c r="B593" s="19" t="s">
        <v>2</v>
      </c>
      <c r="C593" s="96"/>
      <c r="D593" s="18">
        <v>0</v>
      </c>
      <c r="E593" s="18">
        <v>0</v>
      </c>
      <c r="F593" s="18">
        <v>0</v>
      </c>
      <c r="G593" s="18">
        <v>0</v>
      </c>
      <c r="H593" s="18">
        <v>0</v>
      </c>
      <c r="I593" s="18">
        <v>0</v>
      </c>
      <c r="J593" s="18">
        <v>0</v>
      </c>
      <c r="K593" s="18">
        <v>0</v>
      </c>
      <c r="L593" s="18">
        <v>0</v>
      </c>
      <c r="M593" s="18">
        <v>0</v>
      </c>
      <c r="N593" s="18">
        <v>0</v>
      </c>
      <c r="O593" s="18">
        <v>0</v>
      </c>
      <c r="P593" s="18">
        <v>0</v>
      </c>
      <c r="Q593" s="18">
        <v>0</v>
      </c>
      <c r="R593" s="18">
        <v>0</v>
      </c>
      <c r="S593" s="18">
        <v>0</v>
      </c>
      <c r="T593" s="18">
        <v>0</v>
      </c>
      <c r="U593" s="18">
        <v>0</v>
      </c>
      <c r="V593" s="18">
        <v>0</v>
      </c>
      <c r="W593" s="18">
        <v>0</v>
      </c>
      <c r="X593" s="18">
        <v>0</v>
      </c>
      <c r="Y593" s="18">
        <v>0</v>
      </c>
      <c r="Z593" s="18">
        <v>0</v>
      </c>
      <c r="AA593" s="18">
        <v>0</v>
      </c>
      <c r="AB593" s="18">
        <v>0</v>
      </c>
      <c r="AC593" s="18"/>
      <c r="AD593" s="18"/>
      <c r="AE593" s="18"/>
      <c r="AF593" s="18"/>
      <c r="AG593" s="18"/>
      <c r="AH593" s="18">
        <f>18000-1750</f>
        <v>16250</v>
      </c>
      <c r="AI593" s="18">
        <v>18000</v>
      </c>
      <c r="AJ593" s="18">
        <v>19750</v>
      </c>
      <c r="AK593" s="18">
        <v>21500</v>
      </c>
      <c r="AL593" s="18">
        <v>23250</v>
      </c>
      <c r="AM593" s="18">
        <v>25000</v>
      </c>
      <c r="AN593" s="18">
        <v>26750</v>
      </c>
      <c r="AO593" s="18">
        <v>28500</v>
      </c>
      <c r="AP593" s="18">
        <v>30250</v>
      </c>
      <c r="AQ593" s="18">
        <v>32000</v>
      </c>
      <c r="AR593" s="18">
        <v>33750</v>
      </c>
      <c r="AS593" s="18">
        <v>35500</v>
      </c>
      <c r="AT593" s="18">
        <v>37250</v>
      </c>
      <c r="AU593" s="18">
        <v>39000</v>
      </c>
      <c r="AV593" s="18">
        <v>37158</v>
      </c>
      <c r="AW593" s="18">
        <v>25550</v>
      </c>
      <c r="AX593" s="18">
        <v>13958</v>
      </c>
      <c r="AY593" s="18">
        <v>13958</v>
      </c>
      <c r="AZ593" s="18">
        <v>9750</v>
      </c>
      <c r="BA593" s="18">
        <v>0</v>
      </c>
      <c r="BB593" s="18">
        <v>0</v>
      </c>
      <c r="BC593" s="18">
        <v>0</v>
      </c>
      <c r="BD593" s="18">
        <v>0</v>
      </c>
      <c r="BE593" s="18">
        <v>0</v>
      </c>
      <c r="BF593" s="18">
        <v>0</v>
      </c>
      <c r="BG593" s="18">
        <v>0</v>
      </c>
      <c r="BH593" s="18">
        <v>0</v>
      </c>
      <c r="BI593" s="18">
        <v>0</v>
      </c>
      <c r="BJ593" s="113">
        <v>0</v>
      </c>
      <c r="BK593" s="113">
        <v>0</v>
      </c>
      <c r="BL593" s="113">
        <v>0</v>
      </c>
      <c r="BM593" s="113">
        <v>0</v>
      </c>
      <c r="BN593" s="113">
        <v>0</v>
      </c>
      <c r="BO593" s="113">
        <v>0</v>
      </c>
      <c r="BP593" s="113">
        <v>0</v>
      </c>
      <c r="BQ593" s="113">
        <v>0</v>
      </c>
      <c r="BR593" s="101"/>
      <c r="BS593">
        <f t="shared" si="1158"/>
        <v>0</v>
      </c>
      <c r="BT593">
        <f t="shared" si="1158"/>
        <v>0</v>
      </c>
      <c r="BU593">
        <f t="shared" si="1158"/>
        <v>0</v>
      </c>
      <c r="BV593">
        <f t="shared" si="1158"/>
        <v>0</v>
      </c>
      <c r="BW593">
        <f t="shared" si="1158"/>
        <v>0</v>
      </c>
      <c r="BX593">
        <f t="shared" si="1158"/>
        <v>0</v>
      </c>
      <c r="BY593">
        <f t="shared" si="1158"/>
        <v>0</v>
      </c>
      <c r="BZ593">
        <f t="shared" si="1158"/>
        <v>0</v>
      </c>
      <c r="CA593">
        <f t="shared" si="1158"/>
        <v>0</v>
      </c>
      <c r="CB593">
        <f t="shared" si="1158"/>
        <v>0</v>
      </c>
      <c r="CC593">
        <f t="shared" si="1159"/>
        <v>0</v>
      </c>
      <c r="CD593">
        <f t="shared" si="1159"/>
        <v>0</v>
      </c>
      <c r="CE593">
        <f t="shared" si="1159"/>
        <v>0</v>
      </c>
      <c r="CF593">
        <f t="shared" si="1159"/>
        <v>0</v>
      </c>
      <c r="CG593">
        <f t="shared" si="1159"/>
        <v>0</v>
      </c>
      <c r="CH593">
        <f t="shared" si="1159"/>
        <v>0</v>
      </c>
      <c r="CI593">
        <f t="shared" si="1159"/>
        <v>0</v>
      </c>
      <c r="CJ593">
        <f t="shared" si="1159"/>
        <v>0</v>
      </c>
      <c r="CK593">
        <f t="shared" si="1159"/>
        <v>0</v>
      </c>
      <c r="CL593">
        <f t="shared" si="1159"/>
        <v>0</v>
      </c>
      <c r="CM593">
        <f t="shared" si="1160"/>
        <v>0</v>
      </c>
      <c r="CN593">
        <f t="shared" si="1160"/>
        <v>0</v>
      </c>
      <c r="CO593">
        <f t="shared" si="1160"/>
        <v>0</v>
      </c>
      <c r="CP593">
        <f t="shared" si="1160"/>
        <v>0</v>
      </c>
      <c r="CQ593">
        <f t="shared" si="1160"/>
        <v>0</v>
      </c>
      <c r="CR593">
        <f t="shared" si="1160"/>
        <v>0</v>
      </c>
      <c r="CS593">
        <f t="shared" si="1160"/>
        <v>0</v>
      </c>
      <c r="CT593">
        <f t="shared" si="1160"/>
        <v>0</v>
      </c>
      <c r="CU593">
        <f t="shared" si="1160"/>
        <v>0</v>
      </c>
      <c r="CV593">
        <f t="shared" si="1160"/>
        <v>0</v>
      </c>
      <c r="CW593">
        <f t="shared" si="1161"/>
        <v>0</v>
      </c>
      <c r="CX593">
        <f t="shared" si="1161"/>
        <v>0</v>
      </c>
      <c r="CY593">
        <f t="shared" si="1161"/>
        <v>0</v>
      </c>
      <c r="CZ593">
        <f t="shared" si="1161"/>
        <v>0</v>
      </c>
      <c r="DA593">
        <f t="shared" si="1161"/>
        <v>0</v>
      </c>
      <c r="DB593">
        <f t="shared" si="1161"/>
        <v>0</v>
      </c>
      <c r="DC593">
        <f t="shared" si="1161"/>
        <v>0</v>
      </c>
      <c r="DD593">
        <f t="shared" si="1161"/>
        <v>0</v>
      </c>
      <c r="DE593">
        <f t="shared" si="1161"/>
        <v>0</v>
      </c>
      <c r="DF593">
        <f t="shared" si="1161"/>
        <v>0</v>
      </c>
      <c r="DG593">
        <f t="shared" si="1162"/>
        <v>0</v>
      </c>
      <c r="DH593">
        <f t="shared" si="1162"/>
        <v>0</v>
      </c>
      <c r="DI593">
        <f t="shared" si="1162"/>
        <v>0</v>
      </c>
      <c r="DJ593">
        <f t="shared" si="1162"/>
        <v>0</v>
      </c>
      <c r="DK593">
        <f t="shared" si="1162"/>
        <v>0</v>
      </c>
      <c r="DL593">
        <f t="shared" si="1162"/>
        <v>0</v>
      </c>
      <c r="DM593">
        <f t="shared" si="1162"/>
        <v>0</v>
      </c>
      <c r="DN593">
        <f t="shared" si="1162"/>
        <v>0</v>
      </c>
      <c r="DO593">
        <f t="shared" si="1162"/>
        <v>0</v>
      </c>
      <c r="DP593">
        <f t="shared" si="1162"/>
        <v>0</v>
      </c>
      <c r="DQ593">
        <f t="shared" si="1163"/>
        <v>0</v>
      </c>
      <c r="DR593">
        <f t="shared" si="1163"/>
        <v>0</v>
      </c>
      <c r="DS593">
        <f t="shared" si="1163"/>
        <v>0</v>
      </c>
      <c r="DT593">
        <f t="shared" si="1163"/>
        <v>0</v>
      </c>
      <c r="DU593">
        <f t="shared" si="1163"/>
        <v>0</v>
      </c>
      <c r="DV593">
        <f t="shared" si="1163"/>
        <v>0</v>
      </c>
      <c r="DW593">
        <f t="shared" si="1163"/>
        <v>0</v>
      </c>
      <c r="DX593">
        <f t="shared" si="1163"/>
        <v>0</v>
      </c>
      <c r="DY593">
        <f t="shared" si="1163"/>
        <v>0</v>
      </c>
      <c r="DZ593">
        <f t="shared" si="1163"/>
        <v>0</v>
      </c>
      <c r="EA593">
        <f t="shared" si="1164"/>
        <v>0</v>
      </c>
      <c r="EB593">
        <f t="shared" si="1164"/>
        <v>0</v>
      </c>
      <c r="EC593">
        <f t="shared" si="1164"/>
        <v>0</v>
      </c>
      <c r="ED593">
        <f t="shared" si="1164"/>
        <v>0</v>
      </c>
      <c r="EE593">
        <f t="shared" si="1164"/>
        <v>0</v>
      </c>
      <c r="EF593">
        <f t="shared" si="1164"/>
        <v>0</v>
      </c>
    </row>
    <row r="594" spans="1:136" ht="15.5">
      <c r="A594" s="90"/>
      <c r="B594" s="19" t="s">
        <v>205</v>
      </c>
      <c r="C594" s="96"/>
      <c r="D594" s="18">
        <v>0</v>
      </c>
      <c r="E594" s="18">
        <v>0</v>
      </c>
      <c r="F594" s="18">
        <v>0</v>
      </c>
      <c r="G594" s="18">
        <v>0</v>
      </c>
      <c r="H594" s="18">
        <v>0</v>
      </c>
      <c r="I594" s="18">
        <v>0</v>
      </c>
      <c r="J594" s="18">
        <v>0</v>
      </c>
      <c r="K594" s="18">
        <v>0</v>
      </c>
      <c r="L594" s="18">
        <v>0</v>
      </c>
      <c r="M594" s="18">
        <v>0</v>
      </c>
      <c r="N594" s="18">
        <v>0</v>
      </c>
      <c r="O594" s="18">
        <v>0</v>
      </c>
      <c r="P594" s="18">
        <v>0</v>
      </c>
      <c r="Q594" s="18">
        <v>0</v>
      </c>
      <c r="R594" s="18">
        <v>0</v>
      </c>
      <c r="S594" s="18">
        <v>0</v>
      </c>
      <c r="T594" s="18">
        <v>0</v>
      </c>
      <c r="U594" s="18">
        <v>0</v>
      </c>
      <c r="V594" s="18">
        <v>0</v>
      </c>
      <c r="W594" s="18">
        <v>0</v>
      </c>
      <c r="X594" s="18">
        <v>0</v>
      </c>
      <c r="Y594" s="18">
        <v>0</v>
      </c>
      <c r="Z594" s="18">
        <v>0</v>
      </c>
      <c r="AA594" s="18">
        <v>0</v>
      </c>
      <c r="AB594" s="18">
        <v>0</v>
      </c>
      <c r="AC594" s="18">
        <v>0</v>
      </c>
      <c r="AD594" s="18">
        <v>0</v>
      </c>
      <c r="AE594" s="18">
        <v>0</v>
      </c>
      <c r="AF594" s="18">
        <v>0</v>
      </c>
      <c r="AG594" s="18">
        <v>0</v>
      </c>
      <c r="AH594" s="71">
        <v>0</v>
      </c>
      <c r="AI594" s="71">
        <v>0</v>
      </c>
      <c r="AJ594" s="71">
        <v>0</v>
      </c>
      <c r="AK594" s="71">
        <v>0</v>
      </c>
      <c r="AL594" s="71">
        <v>0</v>
      </c>
      <c r="AM594" s="71">
        <v>0</v>
      </c>
      <c r="AN594" s="71">
        <v>0</v>
      </c>
      <c r="AO594" s="71">
        <v>0</v>
      </c>
      <c r="AP594" s="71">
        <v>0</v>
      </c>
      <c r="AQ594" s="71">
        <v>0</v>
      </c>
      <c r="AR594" s="71">
        <v>0</v>
      </c>
      <c r="AS594" s="71">
        <v>0</v>
      </c>
      <c r="AT594" s="71">
        <v>6855</v>
      </c>
      <c r="AU594" s="71">
        <f>8500/1.21</f>
        <v>7024.7933884297527</v>
      </c>
      <c r="AV594" s="71">
        <f>8500/1.18</f>
        <v>7203.3898305084749</v>
      </c>
      <c r="AW594" s="71">
        <f>8500/1.15</f>
        <v>7391.3043478260879</v>
      </c>
      <c r="AX594" s="71">
        <f>8500/1.12</f>
        <v>7589.2857142857138</v>
      </c>
      <c r="AY594" s="18">
        <f>8500/1.09</f>
        <v>7798.1651376146783</v>
      </c>
      <c r="AZ594" s="18">
        <f>8500/1.06</f>
        <v>8018.867924528301</v>
      </c>
      <c r="BA594" s="18">
        <f>8500/1.03</f>
        <v>8252.4271844660198</v>
      </c>
      <c r="BB594" s="18">
        <v>8500</v>
      </c>
      <c r="BC594" s="18">
        <v>0</v>
      </c>
      <c r="BD594" s="18">
        <v>0</v>
      </c>
      <c r="BE594" s="25">
        <v>0</v>
      </c>
      <c r="BF594" s="18">
        <v>0</v>
      </c>
      <c r="BG594" s="18">
        <v>0</v>
      </c>
      <c r="BH594" s="18">
        <v>0</v>
      </c>
      <c r="BI594" s="18">
        <v>289</v>
      </c>
      <c r="BJ594" s="113">
        <v>0</v>
      </c>
      <c r="BK594" s="113">
        <v>0</v>
      </c>
      <c r="BL594" s="113">
        <v>0</v>
      </c>
      <c r="BM594" s="113">
        <v>0</v>
      </c>
      <c r="BN594" s="113">
        <v>0</v>
      </c>
      <c r="BO594" s="113">
        <v>0</v>
      </c>
      <c r="BP594" s="113">
        <v>0</v>
      </c>
      <c r="BQ594" s="113">
        <v>0</v>
      </c>
      <c r="BR594" s="101"/>
      <c r="BS594">
        <f t="shared" si="1158"/>
        <v>0</v>
      </c>
      <c r="BT594">
        <f t="shared" si="1158"/>
        <v>0</v>
      </c>
      <c r="BU594">
        <f t="shared" si="1158"/>
        <v>0</v>
      </c>
      <c r="BV594">
        <f t="shared" si="1158"/>
        <v>0</v>
      </c>
      <c r="BW594">
        <f t="shared" si="1158"/>
        <v>0</v>
      </c>
      <c r="BX594">
        <f t="shared" si="1158"/>
        <v>0</v>
      </c>
      <c r="BY594">
        <f t="shared" si="1158"/>
        <v>0</v>
      </c>
      <c r="BZ594">
        <f t="shared" si="1158"/>
        <v>0</v>
      </c>
      <c r="CA594">
        <f t="shared" si="1158"/>
        <v>0</v>
      </c>
      <c r="CB594">
        <f t="shared" si="1158"/>
        <v>0</v>
      </c>
      <c r="CC594">
        <f t="shared" si="1159"/>
        <v>0</v>
      </c>
      <c r="CD594">
        <f t="shared" si="1159"/>
        <v>0</v>
      </c>
      <c r="CE594">
        <f t="shared" si="1159"/>
        <v>0</v>
      </c>
      <c r="CF594">
        <f t="shared" si="1159"/>
        <v>0</v>
      </c>
      <c r="CG594">
        <f t="shared" si="1159"/>
        <v>0</v>
      </c>
      <c r="CH594">
        <f t="shared" si="1159"/>
        <v>0</v>
      </c>
      <c r="CI594">
        <f t="shared" si="1159"/>
        <v>0</v>
      </c>
      <c r="CJ594">
        <f t="shared" si="1159"/>
        <v>0</v>
      </c>
      <c r="CK594">
        <f t="shared" si="1159"/>
        <v>0</v>
      </c>
      <c r="CL594">
        <f t="shared" si="1159"/>
        <v>0</v>
      </c>
      <c r="CM594">
        <f t="shared" si="1160"/>
        <v>0</v>
      </c>
      <c r="CN594">
        <f t="shared" si="1160"/>
        <v>0</v>
      </c>
      <c r="CO594">
        <f t="shared" si="1160"/>
        <v>0</v>
      </c>
      <c r="CP594">
        <f t="shared" si="1160"/>
        <v>0</v>
      </c>
      <c r="CQ594">
        <f t="shared" si="1160"/>
        <v>0</v>
      </c>
      <c r="CR594">
        <f t="shared" si="1160"/>
        <v>0</v>
      </c>
      <c r="CS594">
        <f t="shared" si="1160"/>
        <v>0</v>
      </c>
      <c r="CT594">
        <f t="shared" si="1160"/>
        <v>0</v>
      </c>
      <c r="CU594">
        <f t="shared" si="1160"/>
        <v>0</v>
      </c>
      <c r="CV594">
        <f t="shared" si="1160"/>
        <v>0</v>
      </c>
      <c r="CW594">
        <f t="shared" si="1161"/>
        <v>0</v>
      </c>
      <c r="CX594">
        <f t="shared" si="1161"/>
        <v>0</v>
      </c>
      <c r="CY594">
        <f t="shared" si="1161"/>
        <v>0</v>
      </c>
      <c r="CZ594">
        <f t="shared" si="1161"/>
        <v>0</v>
      </c>
      <c r="DA594">
        <f t="shared" si="1161"/>
        <v>0</v>
      </c>
      <c r="DB594">
        <f t="shared" si="1161"/>
        <v>0</v>
      </c>
      <c r="DC594">
        <f t="shared" si="1161"/>
        <v>0</v>
      </c>
      <c r="DD594">
        <f t="shared" si="1161"/>
        <v>0</v>
      </c>
      <c r="DE594">
        <f t="shared" si="1161"/>
        <v>0</v>
      </c>
      <c r="DF594">
        <f t="shared" si="1161"/>
        <v>0</v>
      </c>
      <c r="DG594">
        <f t="shared" si="1162"/>
        <v>0</v>
      </c>
      <c r="DH594">
        <f t="shared" si="1162"/>
        <v>0</v>
      </c>
      <c r="DI594">
        <f t="shared" si="1162"/>
        <v>0</v>
      </c>
      <c r="DJ594">
        <f t="shared" si="1162"/>
        <v>0</v>
      </c>
      <c r="DK594">
        <f t="shared" si="1162"/>
        <v>0</v>
      </c>
      <c r="DL594">
        <f t="shared" si="1162"/>
        <v>0</v>
      </c>
      <c r="DM594">
        <f t="shared" si="1162"/>
        <v>0</v>
      </c>
      <c r="DN594">
        <f t="shared" si="1162"/>
        <v>0</v>
      </c>
      <c r="DO594">
        <f t="shared" si="1162"/>
        <v>0</v>
      </c>
      <c r="DP594">
        <f t="shared" si="1162"/>
        <v>0</v>
      </c>
      <c r="DQ594">
        <f t="shared" si="1163"/>
        <v>0</v>
      </c>
      <c r="DR594">
        <f t="shared" si="1163"/>
        <v>0</v>
      </c>
      <c r="DS594">
        <f t="shared" si="1163"/>
        <v>0</v>
      </c>
      <c r="DT594">
        <f t="shared" si="1163"/>
        <v>0</v>
      </c>
      <c r="DU594">
        <f t="shared" si="1163"/>
        <v>0</v>
      </c>
      <c r="DV594">
        <f t="shared" si="1163"/>
        <v>0</v>
      </c>
      <c r="DW594">
        <f t="shared" si="1163"/>
        <v>0</v>
      </c>
      <c r="DX594">
        <f t="shared" si="1163"/>
        <v>0</v>
      </c>
      <c r="DY594">
        <f t="shared" si="1163"/>
        <v>0</v>
      </c>
      <c r="DZ594">
        <f t="shared" si="1163"/>
        <v>0</v>
      </c>
      <c r="EA594">
        <f t="shared" si="1164"/>
        <v>0</v>
      </c>
      <c r="EB594">
        <f t="shared" si="1164"/>
        <v>0</v>
      </c>
      <c r="EC594">
        <f t="shared" si="1164"/>
        <v>0</v>
      </c>
      <c r="ED594">
        <f t="shared" si="1164"/>
        <v>0</v>
      </c>
      <c r="EE594">
        <f t="shared" si="1164"/>
        <v>0</v>
      </c>
      <c r="EF594">
        <f t="shared" si="1164"/>
        <v>0</v>
      </c>
    </row>
    <row r="595" spans="1:136" ht="15.5">
      <c r="A595" s="90"/>
      <c r="B595" s="19" t="s">
        <v>3</v>
      </c>
      <c r="C595" s="96"/>
      <c r="D595" s="18">
        <v>0</v>
      </c>
      <c r="E595" s="18">
        <v>0</v>
      </c>
      <c r="F595" s="18">
        <v>0</v>
      </c>
      <c r="G595" s="18">
        <v>0</v>
      </c>
      <c r="H595" s="18">
        <v>0</v>
      </c>
      <c r="I595" s="18">
        <v>0</v>
      </c>
      <c r="J595" s="18">
        <v>0</v>
      </c>
      <c r="K595" s="18">
        <v>0</v>
      </c>
      <c r="L595" s="18">
        <v>0</v>
      </c>
      <c r="M595" s="18">
        <v>0</v>
      </c>
      <c r="N595" s="18">
        <v>0</v>
      </c>
      <c r="O595" s="18">
        <v>0</v>
      </c>
      <c r="P595" s="18">
        <v>0</v>
      </c>
      <c r="Q595" s="18">
        <v>0</v>
      </c>
      <c r="R595" s="18">
        <v>0</v>
      </c>
      <c r="S595" s="18">
        <v>0</v>
      </c>
      <c r="T595" s="18">
        <v>0</v>
      </c>
      <c r="U595" s="18">
        <v>0</v>
      </c>
      <c r="V595" s="18">
        <v>0</v>
      </c>
      <c r="W595" s="18">
        <v>0</v>
      </c>
      <c r="X595" s="18">
        <v>0</v>
      </c>
      <c r="Y595" s="18">
        <v>0</v>
      </c>
      <c r="Z595" s="18">
        <v>0</v>
      </c>
      <c r="AA595" s="18">
        <v>0</v>
      </c>
      <c r="AB595" s="18">
        <v>0</v>
      </c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>
        <v>0</v>
      </c>
      <c r="AT595" s="18">
        <v>0</v>
      </c>
      <c r="AU595" s="18">
        <f>91430-AU594-AU593-AU592</f>
        <v>45300.206611570247</v>
      </c>
      <c r="AV595" s="18">
        <f>57263-AV594</f>
        <v>50059.610169491527</v>
      </c>
      <c r="AW595" s="18">
        <f>69114-AW594</f>
        <v>61722.695652173912</v>
      </c>
      <c r="AX595" s="18">
        <f>67506-AX594</f>
        <v>59916.71428571429</v>
      </c>
      <c r="AY595" s="18">
        <f>52049-AY594</f>
        <v>44250.834862385324</v>
      </c>
      <c r="AZ595" s="18">
        <v>46432</v>
      </c>
      <c r="BA595" s="18">
        <v>50500</v>
      </c>
      <c r="BB595" s="18">
        <f>42000+4200</f>
        <v>46200</v>
      </c>
      <c r="BC595" s="18">
        <f>42000+4200</f>
        <v>46200</v>
      </c>
      <c r="BD595" s="18">
        <f>42000+4200</f>
        <v>46200</v>
      </c>
      <c r="BE595" s="18">
        <f>41000+1700</f>
        <v>42700</v>
      </c>
      <c r="BF595" s="18">
        <f>41000+1700</f>
        <v>42700</v>
      </c>
      <c r="BG595" s="18">
        <f>41000+1700</f>
        <v>42700</v>
      </c>
      <c r="BH595" s="18">
        <f>41000+2</f>
        <v>41002</v>
      </c>
      <c r="BI595" s="18">
        <f>40000+13</f>
        <v>40013</v>
      </c>
      <c r="BJ595" s="18">
        <f>40000+429</f>
        <v>40429</v>
      </c>
      <c r="BK595" s="18">
        <f>43114-1500</f>
        <v>41614</v>
      </c>
      <c r="BL595" s="18">
        <f>43100+14</f>
        <v>43114</v>
      </c>
      <c r="BM595" s="18">
        <f>40000+4+3100</f>
        <v>43104</v>
      </c>
      <c r="BN595" s="18">
        <v>42232</v>
      </c>
      <c r="BO595" s="18">
        <v>42760</v>
      </c>
      <c r="BP595" s="113">
        <v>43288</v>
      </c>
      <c r="BQ595" s="113">
        <v>43816</v>
      </c>
      <c r="BR595" s="101"/>
      <c r="BS595">
        <f t="shared" si="1158"/>
        <v>0</v>
      </c>
      <c r="BT595">
        <f t="shared" si="1158"/>
        <v>0</v>
      </c>
      <c r="BU595">
        <f t="shared" si="1158"/>
        <v>0</v>
      </c>
      <c r="BV595">
        <f t="shared" si="1158"/>
        <v>0</v>
      </c>
      <c r="BW595">
        <f t="shared" si="1158"/>
        <v>0</v>
      </c>
      <c r="BX595">
        <f t="shared" si="1158"/>
        <v>0</v>
      </c>
      <c r="BY595">
        <f t="shared" si="1158"/>
        <v>0</v>
      </c>
      <c r="BZ595">
        <f t="shared" si="1158"/>
        <v>0</v>
      </c>
      <c r="CA595">
        <f t="shared" si="1158"/>
        <v>0</v>
      </c>
      <c r="CB595">
        <f t="shared" si="1158"/>
        <v>0</v>
      </c>
      <c r="CC595">
        <f t="shared" si="1159"/>
        <v>0</v>
      </c>
      <c r="CD595">
        <f t="shared" si="1159"/>
        <v>0</v>
      </c>
      <c r="CE595">
        <f t="shared" si="1159"/>
        <v>0</v>
      </c>
      <c r="CF595">
        <f t="shared" si="1159"/>
        <v>0</v>
      </c>
      <c r="CG595">
        <f t="shared" si="1159"/>
        <v>0</v>
      </c>
      <c r="CH595">
        <f t="shared" si="1159"/>
        <v>0</v>
      </c>
      <c r="CI595">
        <f t="shared" si="1159"/>
        <v>0</v>
      </c>
      <c r="CJ595">
        <f t="shared" si="1159"/>
        <v>0</v>
      </c>
      <c r="CK595">
        <f t="shared" si="1159"/>
        <v>0</v>
      </c>
      <c r="CL595">
        <f t="shared" si="1159"/>
        <v>0</v>
      </c>
      <c r="CM595">
        <f t="shared" si="1160"/>
        <v>0</v>
      </c>
      <c r="CN595">
        <f t="shared" si="1160"/>
        <v>0</v>
      </c>
      <c r="CO595">
        <f t="shared" si="1160"/>
        <v>0</v>
      </c>
      <c r="CP595">
        <f t="shared" si="1160"/>
        <v>0</v>
      </c>
      <c r="CQ595">
        <f t="shared" si="1160"/>
        <v>0</v>
      </c>
      <c r="CR595">
        <f t="shared" si="1160"/>
        <v>0</v>
      </c>
      <c r="CS595">
        <f t="shared" si="1160"/>
        <v>0</v>
      </c>
      <c r="CT595">
        <f t="shared" si="1160"/>
        <v>0</v>
      </c>
      <c r="CU595">
        <f t="shared" si="1160"/>
        <v>0</v>
      </c>
      <c r="CV595">
        <f t="shared" si="1160"/>
        <v>0</v>
      </c>
      <c r="CW595">
        <f t="shared" si="1161"/>
        <v>0</v>
      </c>
      <c r="CX595">
        <f t="shared" si="1161"/>
        <v>0</v>
      </c>
      <c r="CY595">
        <f t="shared" si="1161"/>
        <v>0</v>
      </c>
      <c r="CZ595">
        <f t="shared" si="1161"/>
        <v>0</v>
      </c>
      <c r="DA595">
        <f t="shared" si="1161"/>
        <v>0</v>
      </c>
      <c r="DB595">
        <f t="shared" si="1161"/>
        <v>0</v>
      </c>
      <c r="DC595">
        <f t="shared" si="1161"/>
        <v>0</v>
      </c>
      <c r="DD595">
        <f t="shared" si="1161"/>
        <v>0</v>
      </c>
      <c r="DE595">
        <f t="shared" si="1161"/>
        <v>0</v>
      </c>
      <c r="DF595">
        <f t="shared" si="1161"/>
        <v>0</v>
      </c>
      <c r="DG595">
        <f t="shared" si="1162"/>
        <v>0</v>
      </c>
      <c r="DH595">
        <f t="shared" si="1162"/>
        <v>0</v>
      </c>
      <c r="DI595">
        <f t="shared" si="1162"/>
        <v>0</v>
      </c>
      <c r="DJ595">
        <f t="shared" si="1162"/>
        <v>0</v>
      </c>
      <c r="DK595">
        <f t="shared" si="1162"/>
        <v>0</v>
      </c>
      <c r="DL595">
        <f t="shared" si="1162"/>
        <v>0</v>
      </c>
      <c r="DM595">
        <f t="shared" si="1162"/>
        <v>0</v>
      </c>
      <c r="DN595">
        <f t="shared" si="1162"/>
        <v>0</v>
      </c>
      <c r="DO595">
        <f t="shared" si="1162"/>
        <v>0</v>
      </c>
      <c r="DP595">
        <f t="shared" si="1162"/>
        <v>0</v>
      </c>
      <c r="DQ595">
        <f t="shared" si="1163"/>
        <v>0</v>
      </c>
      <c r="DR595">
        <f t="shared" si="1163"/>
        <v>0</v>
      </c>
      <c r="DS595">
        <f t="shared" si="1163"/>
        <v>0</v>
      </c>
      <c r="DT595">
        <f t="shared" si="1163"/>
        <v>0</v>
      </c>
      <c r="DU595">
        <f t="shared" si="1163"/>
        <v>0</v>
      </c>
      <c r="DV595">
        <f t="shared" si="1163"/>
        <v>0</v>
      </c>
      <c r="DW595">
        <f t="shared" si="1163"/>
        <v>0</v>
      </c>
      <c r="DX595">
        <f t="shared" si="1163"/>
        <v>0</v>
      </c>
      <c r="DY595">
        <f t="shared" si="1163"/>
        <v>0</v>
      </c>
      <c r="DZ595">
        <f t="shared" si="1163"/>
        <v>0</v>
      </c>
      <c r="EA595">
        <f t="shared" si="1164"/>
        <v>0</v>
      </c>
      <c r="EB595">
        <f t="shared" si="1164"/>
        <v>0</v>
      </c>
      <c r="EC595">
        <f t="shared" si="1164"/>
        <v>0</v>
      </c>
      <c r="ED595">
        <f t="shared" si="1164"/>
        <v>0</v>
      </c>
      <c r="EE595">
        <f t="shared" si="1164"/>
        <v>0</v>
      </c>
      <c r="EF595">
        <f t="shared" si="1164"/>
        <v>0</v>
      </c>
    </row>
    <row r="596" spans="1:136" ht="15.5">
      <c r="A596" s="90"/>
      <c r="B596" s="53" t="s">
        <v>18</v>
      </c>
      <c r="C596" s="95"/>
      <c r="D596" s="18">
        <v>0</v>
      </c>
      <c r="E596" s="18">
        <v>0</v>
      </c>
      <c r="F596" s="18">
        <v>0</v>
      </c>
      <c r="G596" s="18">
        <v>0</v>
      </c>
      <c r="H596" s="18">
        <v>0</v>
      </c>
      <c r="I596" s="18">
        <v>0</v>
      </c>
      <c r="J596" s="18">
        <v>0</v>
      </c>
      <c r="K596" s="18">
        <v>0</v>
      </c>
      <c r="L596" s="18">
        <v>0</v>
      </c>
      <c r="M596" s="18">
        <v>0</v>
      </c>
      <c r="N596" s="18">
        <v>0</v>
      </c>
      <c r="O596" s="18">
        <v>0</v>
      </c>
      <c r="P596" s="18">
        <v>0</v>
      </c>
      <c r="Q596" s="18">
        <v>0</v>
      </c>
      <c r="R596" s="18">
        <v>0</v>
      </c>
      <c r="S596" s="18">
        <v>0</v>
      </c>
      <c r="T596" s="18">
        <v>0</v>
      </c>
      <c r="U596" s="18">
        <v>0</v>
      </c>
      <c r="V596" s="18">
        <v>0</v>
      </c>
      <c r="W596" s="18">
        <v>0</v>
      </c>
      <c r="X596" s="18">
        <v>0</v>
      </c>
      <c r="Y596" s="18">
        <v>0</v>
      </c>
      <c r="Z596" s="18">
        <v>0</v>
      </c>
      <c r="AA596" s="18">
        <v>0</v>
      </c>
      <c r="AB596" s="18">
        <v>0</v>
      </c>
      <c r="AC596" s="18">
        <v>0</v>
      </c>
      <c r="AD596" s="18">
        <v>0</v>
      </c>
      <c r="AE596" s="18">
        <v>0</v>
      </c>
      <c r="AF596" s="18">
        <v>5780.695999999999</v>
      </c>
      <c r="AG596" s="18">
        <v>6393.4497759999986</v>
      </c>
      <c r="AH596" s="18">
        <v>7013.614404271998</v>
      </c>
      <c r="AI596" s="18">
        <v>7532.6218701881244</v>
      </c>
      <c r="AJ596" s="18">
        <v>7931.850829308094</v>
      </c>
      <c r="AK596" s="18">
        <v>8312.5796691148807</v>
      </c>
      <c r="AL596" s="18">
        <v>8827.959608600002</v>
      </c>
      <c r="AM596" s="18">
        <v>9490.0565792450016</v>
      </c>
      <c r="AN596" s="18">
        <v>10144.870483212906</v>
      </c>
      <c r="AO596" s="18">
        <v>10875.301158004233</v>
      </c>
      <c r="AP596" s="18">
        <v>11636.572239064528</v>
      </c>
      <c r="AQ596" s="18">
        <v>12439.49572355998</v>
      </c>
      <c r="AR596" s="18">
        <v>13434.655381444776</v>
      </c>
      <c r="AS596" s="18">
        <v>14133.257461279902</v>
      </c>
      <c r="AT596" s="18">
        <v>14628</v>
      </c>
      <c r="AU596" s="18">
        <v>15030.189312916375</v>
      </c>
      <c r="AV596" s="18">
        <v>15631.396885433027</v>
      </c>
      <c r="AW596" s="18">
        <v>16569.280698559007</v>
      </c>
      <c r="AX596" s="18">
        <v>17712.561066759579</v>
      </c>
      <c r="AY596" s="18">
        <v>0</v>
      </c>
      <c r="AZ596" s="18">
        <v>0</v>
      </c>
      <c r="BA596" s="18">
        <v>0</v>
      </c>
      <c r="BB596" s="18">
        <v>0</v>
      </c>
      <c r="BC596" s="18">
        <v>0</v>
      </c>
      <c r="BD596" s="18">
        <v>0</v>
      </c>
      <c r="BE596" s="25">
        <v>0</v>
      </c>
      <c r="BF596" s="18">
        <v>0</v>
      </c>
      <c r="BG596" s="18">
        <v>0</v>
      </c>
      <c r="BH596" s="18">
        <v>0</v>
      </c>
      <c r="BI596" s="18">
        <v>0</v>
      </c>
      <c r="BJ596" s="113">
        <v>0</v>
      </c>
      <c r="BK596" s="113">
        <v>0</v>
      </c>
      <c r="BL596" s="113">
        <v>0</v>
      </c>
      <c r="BM596" s="113">
        <v>0</v>
      </c>
      <c r="BN596" s="113">
        <v>0</v>
      </c>
      <c r="BO596" s="113">
        <v>0</v>
      </c>
      <c r="BP596" s="113">
        <v>0</v>
      </c>
      <c r="BQ596" s="113">
        <v>0</v>
      </c>
      <c r="BR596" s="101"/>
      <c r="BS596">
        <f t="shared" si="1158"/>
        <v>0</v>
      </c>
      <c r="BT596">
        <f t="shared" si="1158"/>
        <v>0</v>
      </c>
      <c r="BU596">
        <f t="shared" si="1158"/>
        <v>0</v>
      </c>
      <c r="BV596">
        <f t="shared" si="1158"/>
        <v>0</v>
      </c>
      <c r="BW596">
        <f t="shared" si="1158"/>
        <v>0</v>
      </c>
      <c r="BX596">
        <f t="shared" si="1158"/>
        <v>0</v>
      </c>
      <c r="BY596">
        <f t="shared" si="1158"/>
        <v>0</v>
      </c>
      <c r="BZ596">
        <f t="shared" si="1158"/>
        <v>0</v>
      </c>
      <c r="CA596">
        <f t="shared" si="1158"/>
        <v>0</v>
      </c>
      <c r="CB596">
        <f t="shared" si="1158"/>
        <v>0</v>
      </c>
      <c r="CC596">
        <f t="shared" si="1159"/>
        <v>0</v>
      </c>
      <c r="CD596">
        <f t="shared" si="1159"/>
        <v>0</v>
      </c>
      <c r="CE596">
        <f t="shared" si="1159"/>
        <v>0</v>
      </c>
      <c r="CF596">
        <f t="shared" si="1159"/>
        <v>0</v>
      </c>
      <c r="CG596">
        <f t="shared" si="1159"/>
        <v>0</v>
      </c>
      <c r="CH596">
        <f t="shared" si="1159"/>
        <v>0</v>
      </c>
      <c r="CI596">
        <f t="shared" si="1159"/>
        <v>0</v>
      </c>
      <c r="CJ596">
        <f t="shared" si="1159"/>
        <v>0</v>
      </c>
      <c r="CK596">
        <f t="shared" si="1159"/>
        <v>0</v>
      </c>
      <c r="CL596">
        <f t="shared" si="1159"/>
        <v>0</v>
      </c>
      <c r="CM596">
        <f t="shared" si="1160"/>
        <v>0</v>
      </c>
      <c r="CN596">
        <f t="shared" si="1160"/>
        <v>0</v>
      </c>
      <c r="CO596">
        <f t="shared" si="1160"/>
        <v>0</v>
      </c>
      <c r="CP596">
        <f t="shared" si="1160"/>
        <v>0</v>
      </c>
      <c r="CQ596">
        <f t="shared" si="1160"/>
        <v>0</v>
      </c>
      <c r="CR596">
        <f t="shared" si="1160"/>
        <v>0</v>
      </c>
      <c r="CS596">
        <f t="shared" si="1160"/>
        <v>0</v>
      </c>
      <c r="CT596">
        <f t="shared" si="1160"/>
        <v>0</v>
      </c>
      <c r="CU596">
        <f t="shared" si="1160"/>
        <v>0</v>
      </c>
      <c r="CV596">
        <f t="shared" si="1160"/>
        <v>0</v>
      </c>
      <c r="CW596">
        <f t="shared" si="1161"/>
        <v>0</v>
      </c>
      <c r="CX596">
        <f t="shared" si="1161"/>
        <v>0</v>
      </c>
      <c r="CY596">
        <f t="shared" si="1161"/>
        <v>0</v>
      </c>
      <c r="CZ596">
        <f t="shared" si="1161"/>
        <v>0</v>
      </c>
      <c r="DA596">
        <f t="shared" si="1161"/>
        <v>0</v>
      </c>
      <c r="DB596">
        <f t="shared" si="1161"/>
        <v>0</v>
      </c>
      <c r="DC596">
        <f t="shared" si="1161"/>
        <v>0</v>
      </c>
      <c r="DD596">
        <f t="shared" si="1161"/>
        <v>0</v>
      </c>
      <c r="DE596">
        <f t="shared" si="1161"/>
        <v>0</v>
      </c>
      <c r="DF596">
        <f t="shared" si="1161"/>
        <v>0</v>
      </c>
      <c r="DG596">
        <f t="shared" si="1162"/>
        <v>0</v>
      </c>
      <c r="DH596">
        <f t="shared" si="1162"/>
        <v>0</v>
      </c>
      <c r="DI596">
        <f t="shared" si="1162"/>
        <v>0</v>
      </c>
      <c r="DJ596">
        <f t="shared" si="1162"/>
        <v>0</v>
      </c>
      <c r="DK596">
        <f t="shared" si="1162"/>
        <v>0</v>
      </c>
      <c r="DL596">
        <f t="shared" si="1162"/>
        <v>0</v>
      </c>
      <c r="DM596">
        <f t="shared" si="1162"/>
        <v>0</v>
      </c>
      <c r="DN596">
        <f t="shared" si="1162"/>
        <v>0</v>
      </c>
      <c r="DO596">
        <f t="shared" si="1162"/>
        <v>0</v>
      </c>
      <c r="DP596">
        <f t="shared" si="1162"/>
        <v>0</v>
      </c>
      <c r="DQ596">
        <f t="shared" si="1163"/>
        <v>0</v>
      </c>
      <c r="DR596">
        <f t="shared" si="1163"/>
        <v>0</v>
      </c>
      <c r="DS596">
        <f t="shared" si="1163"/>
        <v>0</v>
      </c>
      <c r="DT596">
        <f t="shared" si="1163"/>
        <v>0</v>
      </c>
      <c r="DU596">
        <f t="shared" si="1163"/>
        <v>0</v>
      </c>
      <c r="DV596">
        <f t="shared" si="1163"/>
        <v>0</v>
      </c>
      <c r="DW596">
        <f t="shared" si="1163"/>
        <v>0</v>
      </c>
      <c r="DX596">
        <f t="shared" si="1163"/>
        <v>0</v>
      </c>
      <c r="DY596">
        <f t="shared" si="1163"/>
        <v>0</v>
      </c>
      <c r="DZ596">
        <f t="shared" si="1163"/>
        <v>0</v>
      </c>
      <c r="EA596">
        <f t="shared" si="1164"/>
        <v>0</v>
      </c>
      <c r="EB596">
        <f t="shared" si="1164"/>
        <v>0</v>
      </c>
      <c r="EC596">
        <f t="shared" si="1164"/>
        <v>0</v>
      </c>
      <c r="ED596">
        <f t="shared" si="1164"/>
        <v>0</v>
      </c>
      <c r="EE596">
        <f t="shared" si="1164"/>
        <v>0</v>
      </c>
      <c r="EF596">
        <f t="shared" si="1164"/>
        <v>0</v>
      </c>
    </row>
    <row r="597" spans="1:136" ht="15.5">
      <c r="A597" s="90"/>
      <c r="B597" s="53" t="s">
        <v>21</v>
      </c>
      <c r="C597" s="95"/>
      <c r="D597" s="18">
        <v>0</v>
      </c>
      <c r="E597" s="18">
        <v>0</v>
      </c>
      <c r="F597" s="18">
        <v>0</v>
      </c>
      <c r="G597" s="18">
        <v>0</v>
      </c>
      <c r="H597" s="18">
        <v>0</v>
      </c>
      <c r="I597" s="18">
        <v>0</v>
      </c>
      <c r="J597" s="18">
        <v>0</v>
      </c>
      <c r="K597" s="18">
        <v>0</v>
      </c>
      <c r="L597" s="18">
        <v>0</v>
      </c>
      <c r="M597" s="18">
        <v>0</v>
      </c>
      <c r="N597" s="18">
        <v>0</v>
      </c>
      <c r="O597" s="18">
        <v>0</v>
      </c>
      <c r="P597" s="18">
        <v>0</v>
      </c>
      <c r="Q597" s="18">
        <v>0</v>
      </c>
      <c r="R597" s="18">
        <v>0</v>
      </c>
      <c r="S597" s="18">
        <v>0</v>
      </c>
      <c r="T597" s="18">
        <v>0</v>
      </c>
      <c r="U597" s="18">
        <v>0</v>
      </c>
      <c r="V597" s="18">
        <v>0</v>
      </c>
      <c r="W597" s="18">
        <v>0</v>
      </c>
      <c r="X597" s="18">
        <v>0</v>
      </c>
      <c r="Y597" s="18">
        <v>0</v>
      </c>
      <c r="Z597" s="18">
        <v>0</v>
      </c>
      <c r="AA597" s="18">
        <v>0</v>
      </c>
      <c r="AB597" s="18">
        <v>0</v>
      </c>
      <c r="AC597" s="18">
        <v>0</v>
      </c>
      <c r="AD597" s="18">
        <v>0</v>
      </c>
      <c r="AE597" s="18">
        <v>0</v>
      </c>
      <c r="AF597" s="18">
        <v>0</v>
      </c>
      <c r="AG597" s="18">
        <v>0</v>
      </c>
      <c r="AH597" s="18">
        <v>1241</v>
      </c>
      <c r="AI597" s="18">
        <v>0</v>
      </c>
      <c r="AJ597" s="18">
        <v>0</v>
      </c>
      <c r="AK597" s="18">
        <v>1842</v>
      </c>
      <c r="AL597" s="18">
        <v>0</v>
      </c>
      <c r="AM597" s="18">
        <v>0</v>
      </c>
      <c r="AN597" s="18">
        <v>0</v>
      </c>
      <c r="AO597" s="18">
        <v>0</v>
      </c>
      <c r="AP597" s="18">
        <v>0</v>
      </c>
      <c r="AQ597" s="18">
        <v>0</v>
      </c>
      <c r="AR597" s="18">
        <v>0</v>
      </c>
      <c r="AS597" s="18">
        <v>0</v>
      </c>
      <c r="AT597" s="18">
        <v>0</v>
      </c>
      <c r="AU597" s="18">
        <v>0</v>
      </c>
      <c r="AV597" s="18">
        <v>0</v>
      </c>
      <c r="AW597" s="18">
        <v>0</v>
      </c>
      <c r="AX597" s="18">
        <v>0</v>
      </c>
      <c r="AY597" s="18">
        <v>0</v>
      </c>
      <c r="AZ597" s="18">
        <v>0</v>
      </c>
      <c r="BA597" s="18">
        <v>0</v>
      </c>
      <c r="BB597" s="18">
        <v>0</v>
      </c>
      <c r="BC597" s="18">
        <v>0</v>
      </c>
      <c r="BD597" s="18">
        <v>0</v>
      </c>
      <c r="BE597" s="18">
        <v>0</v>
      </c>
      <c r="BF597" s="18">
        <v>0</v>
      </c>
      <c r="BG597" s="18">
        <v>0</v>
      </c>
      <c r="BH597" s="18">
        <v>0</v>
      </c>
      <c r="BI597" s="18">
        <v>0</v>
      </c>
      <c r="BJ597" s="113">
        <v>0</v>
      </c>
      <c r="BK597" s="113">
        <v>0</v>
      </c>
      <c r="BL597" s="113">
        <v>5072</v>
      </c>
      <c r="BM597" s="113">
        <v>0</v>
      </c>
      <c r="BN597" s="113">
        <v>0</v>
      </c>
      <c r="BO597" s="113">
        <v>0</v>
      </c>
      <c r="BP597" s="113">
        <v>0</v>
      </c>
      <c r="BQ597" s="113">
        <v>0</v>
      </c>
      <c r="BR597" s="101"/>
      <c r="BS597">
        <f t="shared" si="1158"/>
        <v>0</v>
      </c>
      <c r="BT597">
        <f t="shared" si="1158"/>
        <v>0</v>
      </c>
      <c r="BU597">
        <f t="shared" si="1158"/>
        <v>0</v>
      </c>
      <c r="BV597">
        <f t="shared" si="1158"/>
        <v>0</v>
      </c>
      <c r="BW597">
        <f t="shared" si="1158"/>
        <v>0</v>
      </c>
      <c r="BX597">
        <f t="shared" si="1158"/>
        <v>0</v>
      </c>
      <c r="BY597">
        <f t="shared" si="1158"/>
        <v>0</v>
      </c>
      <c r="BZ597">
        <f t="shared" si="1158"/>
        <v>0</v>
      </c>
      <c r="CA597">
        <f t="shared" si="1158"/>
        <v>0</v>
      </c>
      <c r="CB597">
        <f t="shared" si="1158"/>
        <v>0</v>
      </c>
      <c r="CC597">
        <f t="shared" si="1159"/>
        <v>0</v>
      </c>
      <c r="CD597">
        <f t="shared" si="1159"/>
        <v>0</v>
      </c>
      <c r="CE597">
        <f t="shared" si="1159"/>
        <v>0</v>
      </c>
      <c r="CF597">
        <f t="shared" si="1159"/>
        <v>0</v>
      </c>
      <c r="CG597">
        <f t="shared" si="1159"/>
        <v>0</v>
      </c>
      <c r="CH597">
        <f t="shared" si="1159"/>
        <v>0</v>
      </c>
      <c r="CI597">
        <f t="shared" si="1159"/>
        <v>0</v>
      </c>
      <c r="CJ597">
        <f t="shared" si="1159"/>
        <v>0</v>
      </c>
      <c r="CK597">
        <f t="shared" si="1159"/>
        <v>0</v>
      </c>
      <c r="CL597">
        <f t="shared" si="1159"/>
        <v>0</v>
      </c>
      <c r="CM597">
        <f t="shared" si="1160"/>
        <v>0</v>
      </c>
      <c r="CN597">
        <f t="shared" si="1160"/>
        <v>0</v>
      </c>
      <c r="CO597">
        <f t="shared" si="1160"/>
        <v>0</v>
      </c>
      <c r="CP597">
        <f t="shared" si="1160"/>
        <v>0</v>
      </c>
      <c r="CQ597">
        <f t="shared" si="1160"/>
        <v>0</v>
      </c>
      <c r="CR597">
        <f t="shared" si="1160"/>
        <v>0</v>
      </c>
      <c r="CS597">
        <f t="shared" si="1160"/>
        <v>0</v>
      </c>
      <c r="CT597">
        <f t="shared" si="1160"/>
        <v>0</v>
      </c>
      <c r="CU597">
        <f t="shared" si="1160"/>
        <v>0</v>
      </c>
      <c r="CV597">
        <f t="shared" si="1160"/>
        <v>0</v>
      </c>
      <c r="CW597">
        <f t="shared" si="1161"/>
        <v>0</v>
      </c>
      <c r="CX597">
        <f t="shared" si="1161"/>
        <v>0</v>
      </c>
      <c r="CY597">
        <f t="shared" si="1161"/>
        <v>0</v>
      </c>
      <c r="CZ597">
        <f t="shared" si="1161"/>
        <v>0</v>
      </c>
      <c r="DA597">
        <f t="shared" si="1161"/>
        <v>0</v>
      </c>
      <c r="DB597">
        <f t="shared" si="1161"/>
        <v>0</v>
      </c>
      <c r="DC597">
        <f t="shared" si="1161"/>
        <v>0</v>
      </c>
      <c r="DD597">
        <f t="shared" si="1161"/>
        <v>0</v>
      </c>
      <c r="DE597">
        <f t="shared" si="1161"/>
        <v>0</v>
      </c>
      <c r="DF597">
        <f t="shared" si="1161"/>
        <v>0</v>
      </c>
      <c r="DG597">
        <f t="shared" si="1162"/>
        <v>0</v>
      </c>
      <c r="DH597">
        <f t="shared" si="1162"/>
        <v>0</v>
      </c>
      <c r="DI597">
        <f t="shared" si="1162"/>
        <v>0</v>
      </c>
      <c r="DJ597">
        <f t="shared" si="1162"/>
        <v>0</v>
      </c>
      <c r="DK597">
        <f t="shared" si="1162"/>
        <v>0</v>
      </c>
      <c r="DL597">
        <f t="shared" si="1162"/>
        <v>0</v>
      </c>
      <c r="DM597">
        <f t="shared" si="1162"/>
        <v>0</v>
      </c>
      <c r="DN597">
        <f t="shared" si="1162"/>
        <v>0</v>
      </c>
      <c r="DO597">
        <f t="shared" si="1162"/>
        <v>0</v>
      </c>
      <c r="DP597">
        <f t="shared" si="1162"/>
        <v>0</v>
      </c>
      <c r="DQ597">
        <f t="shared" si="1163"/>
        <v>0</v>
      </c>
      <c r="DR597">
        <f t="shared" si="1163"/>
        <v>0</v>
      </c>
      <c r="DS597">
        <f t="shared" si="1163"/>
        <v>0</v>
      </c>
      <c r="DT597">
        <f t="shared" si="1163"/>
        <v>0</v>
      </c>
      <c r="DU597">
        <f t="shared" si="1163"/>
        <v>0</v>
      </c>
      <c r="DV597">
        <f t="shared" si="1163"/>
        <v>0</v>
      </c>
      <c r="DW597">
        <f t="shared" si="1163"/>
        <v>0</v>
      </c>
      <c r="DX597">
        <f t="shared" si="1163"/>
        <v>0</v>
      </c>
      <c r="DY597">
        <f t="shared" si="1163"/>
        <v>0</v>
      </c>
      <c r="DZ597">
        <f t="shared" si="1163"/>
        <v>0</v>
      </c>
      <c r="EA597">
        <f t="shared" si="1164"/>
        <v>0</v>
      </c>
      <c r="EB597">
        <f t="shared" si="1164"/>
        <v>0</v>
      </c>
      <c r="EC597">
        <f t="shared" si="1164"/>
        <v>0</v>
      </c>
      <c r="ED597">
        <f t="shared" si="1164"/>
        <v>0</v>
      </c>
      <c r="EE597">
        <f t="shared" si="1164"/>
        <v>0</v>
      </c>
      <c r="EF597">
        <f t="shared" si="1164"/>
        <v>0</v>
      </c>
    </row>
    <row r="598" spans="1:136" ht="15.5">
      <c r="A598" s="90"/>
      <c r="B598" s="19" t="s">
        <v>212</v>
      </c>
      <c r="C598" s="95"/>
      <c r="D598" s="18">
        <v>0</v>
      </c>
      <c r="E598" s="18">
        <v>0</v>
      </c>
      <c r="F598" s="18">
        <v>0</v>
      </c>
      <c r="G598" s="18">
        <v>0</v>
      </c>
      <c r="H598" s="18">
        <v>0</v>
      </c>
      <c r="I598" s="18">
        <v>0</v>
      </c>
      <c r="J598" s="18">
        <v>0</v>
      </c>
      <c r="K598" s="18">
        <v>0</v>
      </c>
      <c r="L598" s="18">
        <v>0</v>
      </c>
      <c r="M598" s="18">
        <v>0</v>
      </c>
      <c r="N598" s="18">
        <v>0</v>
      </c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40" t="s">
        <v>16</v>
      </c>
      <c r="AL598" s="18"/>
      <c r="AM598" s="18"/>
      <c r="AN598" s="18"/>
      <c r="AO598" s="18"/>
      <c r="AP598" s="18">
        <v>0</v>
      </c>
      <c r="AQ598" s="18">
        <v>0</v>
      </c>
      <c r="AR598" s="18">
        <v>0</v>
      </c>
      <c r="AS598" s="18">
        <v>0</v>
      </c>
      <c r="AT598" s="18">
        <v>0</v>
      </c>
      <c r="AU598" s="18">
        <v>0</v>
      </c>
      <c r="AV598" s="18">
        <v>0</v>
      </c>
      <c r="AW598" s="18">
        <v>0</v>
      </c>
      <c r="AX598" s="18">
        <v>0</v>
      </c>
      <c r="AY598" s="18">
        <f>636000/1255</f>
        <v>506.77290836653384</v>
      </c>
      <c r="AZ598" s="18">
        <v>0</v>
      </c>
      <c r="BA598" s="18">
        <v>0</v>
      </c>
      <c r="BB598" s="18">
        <v>0</v>
      </c>
      <c r="BC598" s="18">
        <v>0</v>
      </c>
      <c r="BD598" s="18">
        <v>0</v>
      </c>
      <c r="BE598" s="18">
        <v>1134.3804537521814</v>
      </c>
      <c r="BF598" s="18">
        <v>2660.9442060085835</v>
      </c>
      <c r="BG598" s="18">
        <v>6367.0411985018727</v>
      </c>
      <c r="BH598" s="34">
        <v>6482.2817631806392</v>
      </c>
      <c r="BI598" s="175">
        <v>3859.3481989708403</v>
      </c>
      <c r="BJ598" s="175">
        <v>2350.9655751469354</v>
      </c>
      <c r="BK598" s="175">
        <v>2527.379949452401</v>
      </c>
      <c r="BL598" s="175">
        <v>4033.3796940194716</v>
      </c>
      <c r="BM598" s="175">
        <v>4657.5342465753429</v>
      </c>
      <c r="BN598" s="142">
        <v>5407.2553045859004</v>
      </c>
      <c r="BO598" s="142">
        <v>2593.440122044241</v>
      </c>
      <c r="BP598" s="113">
        <f>14000000/1310</f>
        <v>10687.022900763359</v>
      </c>
      <c r="BQ598" s="113">
        <v>11450</v>
      </c>
      <c r="BR598" s="101"/>
      <c r="BS598">
        <f t="shared" ref="BS598:DM598" si="1165">IF($C598&lt;&gt;"",IF(D598&gt;0,1,0),0)</f>
        <v>0</v>
      </c>
      <c r="BT598">
        <f t="shared" si="1165"/>
        <v>0</v>
      </c>
      <c r="BU598">
        <f t="shared" si="1165"/>
        <v>0</v>
      </c>
      <c r="BV598">
        <f t="shared" si="1165"/>
        <v>0</v>
      </c>
      <c r="BW598">
        <f t="shared" si="1165"/>
        <v>0</v>
      </c>
      <c r="BX598">
        <f t="shared" si="1165"/>
        <v>0</v>
      </c>
      <c r="BY598">
        <f t="shared" si="1165"/>
        <v>0</v>
      </c>
      <c r="BZ598">
        <f t="shared" si="1165"/>
        <v>0</v>
      </c>
      <c r="CA598">
        <f t="shared" si="1165"/>
        <v>0</v>
      </c>
      <c r="CB598">
        <f t="shared" si="1165"/>
        <v>0</v>
      </c>
      <c r="CC598">
        <f t="shared" si="1165"/>
        <v>0</v>
      </c>
      <c r="CD598">
        <f t="shared" si="1165"/>
        <v>0</v>
      </c>
      <c r="CE598">
        <f t="shared" si="1165"/>
        <v>0</v>
      </c>
      <c r="CF598">
        <f t="shared" si="1165"/>
        <v>0</v>
      </c>
      <c r="CG598">
        <f t="shared" si="1165"/>
        <v>0</v>
      </c>
      <c r="CH598">
        <f t="shared" si="1165"/>
        <v>0</v>
      </c>
      <c r="CI598">
        <f t="shared" si="1165"/>
        <v>0</v>
      </c>
      <c r="CJ598">
        <f t="shared" si="1165"/>
        <v>0</v>
      </c>
      <c r="CK598">
        <f t="shared" si="1165"/>
        <v>0</v>
      </c>
      <c r="CL598">
        <f t="shared" si="1165"/>
        <v>0</v>
      </c>
      <c r="CM598">
        <f t="shared" si="1165"/>
        <v>0</v>
      </c>
      <c r="CN598">
        <f t="shared" si="1165"/>
        <v>0</v>
      </c>
      <c r="CO598">
        <f t="shared" si="1165"/>
        <v>0</v>
      </c>
      <c r="CP598">
        <f t="shared" si="1165"/>
        <v>0</v>
      </c>
      <c r="CQ598">
        <f t="shared" si="1165"/>
        <v>0</v>
      </c>
      <c r="CR598">
        <f t="shared" si="1165"/>
        <v>0</v>
      </c>
      <c r="CS598">
        <f t="shared" si="1165"/>
        <v>0</v>
      </c>
      <c r="CT598">
        <f t="shared" si="1165"/>
        <v>0</v>
      </c>
      <c r="CU598">
        <f t="shared" si="1165"/>
        <v>0</v>
      </c>
      <c r="CV598">
        <f t="shared" si="1165"/>
        <v>0</v>
      </c>
      <c r="CW598">
        <f t="shared" si="1165"/>
        <v>0</v>
      </c>
      <c r="CX598">
        <f t="shared" si="1165"/>
        <v>0</v>
      </c>
      <c r="CY598">
        <f t="shared" si="1165"/>
        <v>0</v>
      </c>
      <c r="CZ598">
        <f t="shared" si="1165"/>
        <v>0</v>
      </c>
      <c r="DA598">
        <f t="shared" si="1165"/>
        <v>0</v>
      </c>
      <c r="DB598">
        <f t="shared" si="1165"/>
        <v>0</v>
      </c>
      <c r="DC598">
        <f t="shared" si="1165"/>
        <v>0</v>
      </c>
      <c r="DD598">
        <f t="shared" si="1165"/>
        <v>0</v>
      </c>
      <c r="DE598">
        <f t="shared" si="1165"/>
        <v>0</v>
      </c>
      <c r="DF598">
        <f t="shared" si="1165"/>
        <v>0</v>
      </c>
      <c r="DG598">
        <f t="shared" si="1165"/>
        <v>0</v>
      </c>
      <c r="DH598">
        <f t="shared" si="1165"/>
        <v>0</v>
      </c>
      <c r="DI598">
        <f t="shared" si="1165"/>
        <v>0</v>
      </c>
      <c r="DJ598">
        <f t="shared" si="1165"/>
        <v>0</v>
      </c>
      <c r="DK598">
        <f t="shared" si="1165"/>
        <v>0</v>
      </c>
      <c r="DL598">
        <f t="shared" si="1165"/>
        <v>0</v>
      </c>
      <c r="DM598">
        <f t="shared" si="1165"/>
        <v>0</v>
      </c>
      <c r="DN598">
        <f>IF($C598&lt;&gt;"",IF(#REF!&gt;0,1,0),0)</f>
        <v>0</v>
      </c>
      <c r="DO598">
        <f t="shared" ref="DO598:EF598" si="1166">IF($C598&lt;&gt;"",IF(AZ598&gt;0,1,0),0)</f>
        <v>0</v>
      </c>
      <c r="DP598">
        <f t="shared" si="1166"/>
        <v>0</v>
      </c>
      <c r="DQ598">
        <f t="shared" si="1166"/>
        <v>0</v>
      </c>
      <c r="DR598">
        <f t="shared" si="1166"/>
        <v>0</v>
      </c>
      <c r="DS598">
        <f t="shared" si="1166"/>
        <v>0</v>
      </c>
      <c r="DT598">
        <f t="shared" si="1166"/>
        <v>0</v>
      </c>
      <c r="DU598">
        <f t="shared" si="1166"/>
        <v>0</v>
      </c>
      <c r="DV598">
        <f t="shared" si="1166"/>
        <v>0</v>
      </c>
      <c r="DW598">
        <f t="shared" si="1166"/>
        <v>0</v>
      </c>
      <c r="DX598">
        <f t="shared" si="1166"/>
        <v>0</v>
      </c>
      <c r="DY598">
        <f t="shared" si="1166"/>
        <v>0</v>
      </c>
      <c r="DZ598">
        <f t="shared" si="1166"/>
        <v>0</v>
      </c>
      <c r="EA598">
        <f t="shared" si="1166"/>
        <v>0</v>
      </c>
      <c r="EB598">
        <f t="shared" si="1166"/>
        <v>0</v>
      </c>
      <c r="EC598">
        <f t="shared" si="1166"/>
        <v>0</v>
      </c>
      <c r="ED598">
        <f t="shared" si="1166"/>
        <v>0</v>
      </c>
      <c r="EE598">
        <f t="shared" si="1166"/>
        <v>0</v>
      </c>
      <c r="EF598">
        <f t="shared" si="1166"/>
        <v>0</v>
      </c>
    </row>
    <row r="599" spans="1:136" ht="15.5">
      <c r="A599" s="90"/>
      <c r="B599" s="53"/>
      <c r="C599" s="95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  <c r="AK599" s="31"/>
      <c r="AL599" s="31"/>
      <c r="AM599" s="31"/>
      <c r="AN599" s="31"/>
      <c r="AO599" s="31"/>
      <c r="AP599" s="31"/>
      <c r="AQ599" s="31"/>
      <c r="AR599" s="31"/>
      <c r="AS599" s="31"/>
      <c r="AT599" s="31"/>
      <c r="AU599" s="31"/>
      <c r="AV599" s="31"/>
      <c r="AW599" s="31"/>
      <c r="AX599" s="31"/>
      <c r="AY599" s="31"/>
      <c r="AZ599" s="31"/>
      <c r="BA599" s="31"/>
      <c r="BB599" s="31"/>
      <c r="BC599" s="31"/>
      <c r="BD599" s="31"/>
      <c r="BE599" s="106"/>
      <c r="BF599" s="106"/>
      <c r="BG599" s="31"/>
      <c r="BH599" s="124"/>
      <c r="BI599" s="113"/>
      <c r="BJ599" s="2"/>
      <c r="BK599" s="2"/>
      <c r="BL599" s="2"/>
      <c r="BM599" s="2"/>
      <c r="BN599" s="2"/>
      <c r="BO599" s="2"/>
      <c r="BP599" s="2"/>
      <c r="BQ599" s="2"/>
      <c r="BR599" s="101"/>
    </row>
    <row r="600" spans="1:136" ht="15.5">
      <c r="A600" s="93">
        <v>71</v>
      </c>
      <c r="B600" s="52" t="s">
        <v>84</v>
      </c>
      <c r="C600" s="95">
        <v>1</v>
      </c>
      <c r="D600" s="9">
        <f t="shared" ref="D600:AI600" si="1167">D601</f>
        <v>0</v>
      </c>
      <c r="E600" s="9">
        <f t="shared" si="1167"/>
        <v>0</v>
      </c>
      <c r="F600" s="9">
        <f t="shared" si="1167"/>
        <v>0</v>
      </c>
      <c r="G600" s="9">
        <f t="shared" si="1167"/>
        <v>0</v>
      </c>
      <c r="H600" s="9">
        <f t="shared" si="1167"/>
        <v>0</v>
      </c>
      <c r="I600" s="9">
        <f t="shared" si="1167"/>
        <v>0</v>
      </c>
      <c r="J600" s="9">
        <f t="shared" si="1167"/>
        <v>0</v>
      </c>
      <c r="K600" s="9">
        <f t="shared" si="1167"/>
        <v>0</v>
      </c>
      <c r="L600" s="9">
        <f t="shared" si="1167"/>
        <v>0</v>
      </c>
      <c r="M600" s="9">
        <f t="shared" si="1167"/>
        <v>0</v>
      </c>
      <c r="N600" s="9">
        <f t="shared" si="1167"/>
        <v>0</v>
      </c>
      <c r="O600" s="9">
        <f t="shared" si="1167"/>
        <v>0</v>
      </c>
      <c r="P600" s="9">
        <f t="shared" si="1167"/>
        <v>0</v>
      </c>
      <c r="Q600" s="9">
        <f t="shared" si="1167"/>
        <v>0</v>
      </c>
      <c r="R600" s="9">
        <f t="shared" si="1167"/>
        <v>0</v>
      </c>
      <c r="S600" s="9">
        <f t="shared" si="1167"/>
        <v>0</v>
      </c>
      <c r="T600" s="9">
        <f t="shared" si="1167"/>
        <v>0</v>
      </c>
      <c r="U600" s="9">
        <f t="shared" si="1167"/>
        <v>0</v>
      </c>
      <c r="V600" s="9">
        <f t="shared" si="1167"/>
        <v>0</v>
      </c>
      <c r="W600" s="9">
        <f t="shared" si="1167"/>
        <v>0</v>
      </c>
      <c r="X600" s="9">
        <f t="shared" si="1167"/>
        <v>0</v>
      </c>
      <c r="Y600" s="9">
        <f t="shared" si="1167"/>
        <v>0</v>
      </c>
      <c r="Z600" s="9">
        <f t="shared" si="1167"/>
        <v>0</v>
      </c>
      <c r="AA600" s="9">
        <f t="shared" si="1167"/>
        <v>0</v>
      </c>
      <c r="AB600" s="9">
        <f t="shared" si="1167"/>
        <v>0</v>
      </c>
      <c r="AC600" s="9">
        <f t="shared" si="1167"/>
        <v>0</v>
      </c>
      <c r="AD600" s="9">
        <f t="shared" si="1167"/>
        <v>0</v>
      </c>
      <c r="AE600" s="9">
        <f t="shared" si="1167"/>
        <v>0</v>
      </c>
      <c r="AF600" s="9">
        <f t="shared" si="1167"/>
        <v>0</v>
      </c>
      <c r="AG600" s="9">
        <f t="shared" si="1167"/>
        <v>0</v>
      </c>
      <c r="AH600" s="9">
        <f t="shared" si="1167"/>
        <v>0</v>
      </c>
      <c r="AI600" s="9">
        <f t="shared" si="1167"/>
        <v>0</v>
      </c>
      <c r="AJ600" s="9">
        <f t="shared" ref="AJ600:BQ600" si="1168">AJ601</f>
        <v>0</v>
      </c>
      <c r="AK600" s="9">
        <f t="shared" si="1168"/>
        <v>0</v>
      </c>
      <c r="AL600" s="9">
        <f t="shared" si="1168"/>
        <v>0</v>
      </c>
      <c r="AM600" s="9">
        <f t="shared" si="1168"/>
        <v>0</v>
      </c>
      <c r="AN600" s="9">
        <f t="shared" si="1168"/>
        <v>0</v>
      </c>
      <c r="AO600" s="9">
        <f t="shared" si="1168"/>
        <v>0</v>
      </c>
      <c r="AP600" s="9">
        <f t="shared" si="1168"/>
        <v>0</v>
      </c>
      <c r="AQ600" s="9">
        <f t="shared" si="1168"/>
        <v>0</v>
      </c>
      <c r="AR600" s="9">
        <f t="shared" si="1168"/>
        <v>0</v>
      </c>
      <c r="AS600" s="9">
        <f t="shared" si="1168"/>
        <v>0</v>
      </c>
      <c r="AT600" s="9">
        <f t="shared" si="1168"/>
        <v>0</v>
      </c>
      <c r="AU600" s="9">
        <f t="shared" si="1168"/>
        <v>0</v>
      </c>
      <c r="AV600" s="9">
        <f t="shared" si="1168"/>
        <v>0</v>
      </c>
      <c r="AW600" s="9">
        <f t="shared" si="1168"/>
        <v>0</v>
      </c>
      <c r="AX600" s="9">
        <f t="shared" si="1168"/>
        <v>0</v>
      </c>
      <c r="AY600" s="9">
        <f t="shared" si="1168"/>
        <v>0</v>
      </c>
      <c r="AZ600" s="9">
        <f t="shared" si="1168"/>
        <v>0</v>
      </c>
      <c r="BA600" s="9">
        <f t="shared" si="1168"/>
        <v>0</v>
      </c>
      <c r="BB600" s="9">
        <f t="shared" si="1168"/>
        <v>0</v>
      </c>
      <c r="BC600" s="9">
        <f t="shared" si="1168"/>
        <v>0</v>
      </c>
      <c r="BD600" s="9">
        <f t="shared" si="1168"/>
        <v>0</v>
      </c>
      <c r="BE600" s="9">
        <f t="shared" si="1168"/>
        <v>88290</v>
      </c>
      <c r="BF600" s="9">
        <f t="shared" si="1168"/>
        <v>0</v>
      </c>
      <c r="BG600" s="9">
        <f t="shared" si="1168"/>
        <v>0</v>
      </c>
      <c r="BH600" s="9">
        <f t="shared" si="1168"/>
        <v>0</v>
      </c>
      <c r="BI600" s="9">
        <f t="shared" si="1168"/>
        <v>0</v>
      </c>
      <c r="BJ600" s="4">
        <f t="shared" si="1168"/>
        <v>0</v>
      </c>
      <c r="BK600" s="4">
        <f t="shared" si="1168"/>
        <v>0</v>
      </c>
      <c r="BL600" s="4">
        <f t="shared" si="1168"/>
        <v>0</v>
      </c>
      <c r="BM600" s="4">
        <f t="shared" si="1168"/>
        <v>0</v>
      </c>
      <c r="BN600" s="4">
        <f t="shared" si="1168"/>
        <v>0</v>
      </c>
      <c r="BO600" s="4">
        <f t="shared" si="1168"/>
        <v>0</v>
      </c>
      <c r="BP600" s="4">
        <f t="shared" si="1168"/>
        <v>0</v>
      </c>
      <c r="BQ600" s="4">
        <f t="shared" si="1168"/>
        <v>0</v>
      </c>
      <c r="BR600" s="101"/>
      <c r="BS600">
        <f t="shared" ref="BS600:CB601" si="1169">IF($C600&lt;&gt;"",IF(D600&gt;0,1,0),0)</f>
        <v>0</v>
      </c>
      <c r="BT600">
        <f t="shared" si="1169"/>
        <v>0</v>
      </c>
      <c r="BU600">
        <f t="shared" si="1169"/>
        <v>0</v>
      </c>
      <c r="BV600">
        <f t="shared" si="1169"/>
        <v>0</v>
      </c>
      <c r="BW600">
        <f t="shared" si="1169"/>
        <v>0</v>
      </c>
      <c r="BX600">
        <f t="shared" si="1169"/>
        <v>0</v>
      </c>
      <c r="BY600">
        <f t="shared" si="1169"/>
        <v>0</v>
      </c>
      <c r="BZ600">
        <f t="shared" si="1169"/>
        <v>0</v>
      </c>
      <c r="CA600">
        <f t="shared" si="1169"/>
        <v>0</v>
      </c>
      <c r="CB600">
        <f t="shared" si="1169"/>
        <v>0</v>
      </c>
      <c r="CC600">
        <f t="shared" ref="CC600:CL601" si="1170">IF($C600&lt;&gt;"",IF(N600&gt;0,1,0),0)</f>
        <v>0</v>
      </c>
      <c r="CD600">
        <f t="shared" si="1170"/>
        <v>0</v>
      </c>
      <c r="CE600">
        <f t="shared" si="1170"/>
        <v>0</v>
      </c>
      <c r="CF600">
        <f t="shared" si="1170"/>
        <v>0</v>
      </c>
      <c r="CG600">
        <f t="shared" si="1170"/>
        <v>0</v>
      </c>
      <c r="CH600">
        <f t="shared" si="1170"/>
        <v>0</v>
      </c>
      <c r="CI600">
        <f t="shared" si="1170"/>
        <v>0</v>
      </c>
      <c r="CJ600">
        <f t="shared" si="1170"/>
        <v>0</v>
      </c>
      <c r="CK600">
        <f t="shared" si="1170"/>
        <v>0</v>
      </c>
      <c r="CL600">
        <f t="shared" si="1170"/>
        <v>0</v>
      </c>
      <c r="CM600">
        <f t="shared" ref="CM600:CV601" si="1171">IF($C600&lt;&gt;"",IF(X600&gt;0,1,0),0)</f>
        <v>0</v>
      </c>
      <c r="CN600">
        <f t="shared" si="1171"/>
        <v>0</v>
      </c>
      <c r="CO600">
        <f t="shared" si="1171"/>
        <v>0</v>
      </c>
      <c r="CP600">
        <f t="shared" si="1171"/>
        <v>0</v>
      </c>
      <c r="CQ600">
        <f t="shared" si="1171"/>
        <v>0</v>
      </c>
      <c r="CR600">
        <f t="shared" si="1171"/>
        <v>0</v>
      </c>
      <c r="CS600">
        <f t="shared" si="1171"/>
        <v>0</v>
      </c>
      <c r="CT600">
        <f t="shared" si="1171"/>
        <v>0</v>
      </c>
      <c r="CU600">
        <f t="shared" si="1171"/>
        <v>0</v>
      </c>
      <c r="CV600">
        <f t="shared" si="1171"/>
        <v>0</v>
      </c>
      <c r="CW600">
        <f t="shared" ref="CW600:DF601" si="1172">IF($C600&lt;&gt;"",IF(AH600&gt;0,1,0),0)</f>
        <v>0</v>
      </c>
      <c r="CX600">
        <f t="shared" si="1172"/>
        <v>0</v>
      </c>
      <c r="CY600">
        <f t="shared" si="1172"/>
        <v>0</v>
      </c>
      <c r="CZ600">
        <f t="shared" si="1172"/>
        <v>0</v>
      </c>
      <c r="DA600">
        <f t="shared" si="1172"/>
        <v>0</v>
      </c>
      <c r="DB600">
        <f t="shared" si="1172"/>
        <v>0</v>
      </c>
      <c r="DC600">
        <f t="shared" si="1172"/>
        <v>0</v>
      </c>
      <c r="DD600">
        <f t="shared" si="1172"/>
        <v>0</v>
      </c>
      <c r="DE600">
        <f t="shared" si="1172"/>
        <v>0</v>
      </c>
      <c r="DF600">
        <f t="shared" si="1172"/>
        <v>0</v>
      </c>
      <c r="DG600">
        <f t="shared" ref="DG600:DP601" si="1173">IF($C600&lt;&gt;"",IF(AR600&gt;0,1,0),0)</f>
        <v>0</v>
      </c>
      <c r="DH600">
        <f t="shared" si="1173"/>
        <v>0</v>
      </c>
      <c r="DI600">
        <f t="shared" si="1173"/>
        <v>0</v>
      </c>
      <c r="DJ600">
        <f t="shared" si="1173"/>
        <v>0</v>
      </c>
      <c r="DK600">
        <f t="shared" si="1173"/>
        <v>0</v>
      </c>
      <c r="DL600">
        <f t="shared" si="1173"/>
        <v>0</v>
      </c>
      <c r="DM600">
        <f t="shared" si="1173"/>
        <v>0</v>
      </c>
      <c r="DN600">
        <f t="shared" si="1173"/>
        <v>0</v>
      </c>
      <c r="DO600">
        <f t="shared" si="1173"/>
        <v>0</v>
      </c>
      <c r="DP600">
        <f t="shared" si="1173"/>
        <v>0</v>
      </c>
      <c r="DQ600">
        <f t="shared" ref="DQ600:DZ601" si="1174">IF($C600&lt;&gt;"",IF(BB600&gt;0,1,0),0)</f>
        <v>0</v>
      </c>
      <c r="DR600">
        <f t="shared" si="1174"/>
        <v>0</v>
      </c>
      <c r="DS600">
        <f t="shared" si="1174"/>
        <v>0</v>
      </c>
      <c r="DT600">
        <f t="shared" si="1174"/>
        <v>1</v>
      </c>
      <c r="DU600">
        <f t="shared" si="1174"/>
        <v>0</v>
      </c>
      <c r="DV600">
        <f t="shared" si="1174"/>
        <v>0</v>
      </c>
      <c r="DW600">
        <f t="shared" si="1174"/>
        <v>0</v>
      </c>
      <c r="DX600">
        <f t="shared" si="1174"/>
        <v>0</v>
      </c>
      <c r="DY600">
        <f t="shared" si="1174"/>
        <v>0</v>
      </c>
      <c r="DZ600">
        <f t="shared" si="1174"/>
        <v>0</v>
      </c>
      <c r="EA600">
        <f t="shared" ref="EA600:EF601" si="1175">IF($C600&lt;&gt;"",IF(BL600&gt;0,1,0),0)</f>
        <v>0</v>
      </c>
      <c r="EB600">
        <f t="shared" si="1175"/>
        <v>0</v>
      </c>
      <c r="EC600">
        <f t="shared" si="1175"/>
        <v>0</v>
      </c>
      <c r="ED600">
        <f t="shared" si="1175"/>
        <v>0</v>
      </c>
      <c r="EE600">
        <f t="shared" si="1175"/>
        <v>0</v>
      </c>
      <c r="EF600">
        <f t="shared" si="1175"/>
        <v>0</v>
      </c>
    </row>
    <row r="601" spans="1:136" ht="15.5">
      <c r="A601" s="90"/>
      <c r="B601" s="19" t="s">
        <v>3</v>
      </c>
      <c r="C601" s="88"/>
      <c r="D601" s="18">
        <v>0</v>
      </c>
      <c r="E601" s="18">
        <v>0</v>
      </c>
      <c r="F601" s="18">
        <v>0</v>
      </c>
      <c r="G601" s="18">
        <v>0</v>
      </c>
      <c r="H601" s="18">
        <v>0</v>
      </c>
      <c r="I601" s="18">
        <v>0</v>
      </c>
      <c r="J601" s="18">
        <v>0</v>
      </c>
      <c r="K601" s="18">
        <v>0</v>
      </c>
      <c r="L601" s="18">
        <v>0</v>
      </c>
      <c r="M601" s="18">
        <v>0</v>
      </c>
      <c r="N601" s="18">
        <v>0</v>
      </c>
      <c r="O601" s="18">
        <v>0</v>
      </c>
      <c r="P601" s="18">
        <v>0</v>
      </c>
      <c r="Q601" s="18">
        <v>0</v>
      </c>
      <c r="R601" s="18">
        <v>0</v>
      </c>
      <c r="S601" s="18">
        <v>0</v>
      </c>
      <c r="T601" s="18">
        <v>0</v>
      </c>
      <c r="U601" s="18">
        <v>0</v>
      </c>
      <c r="V601" s="18">
        <v>0</v>
      </c>
      <c r="W601" s="18">
        <v>0</v>
      </c>
      <c r="X601" s="18">
        <v>0</v>
      </c>
      <c r="Y601" s="18">
        <v>0</v>
      </c>
      <c r="Z601" s="18">
        <v>0</v>
      </c>
      <c r="AA601" s="18">
        <v>0</v>
      </c>
      <c r="AB601" s="18">
        <v>0</v>
      </c>
      <c r="AC601" s="18">
        <v>0</v>
      </c>
      <c r="AD601" s="18">
        <v>0</v>
      </c>
      <c r="AE601" s="18">
        <v>0</v>
      </c>
      <c r="AF601" s="18">
        <v>0</v>
      </c>
      <c r="AG601" s="18">
        <v>0</v>
      </c>
      <c r="AH601" s="18">
        <v>0</v>
      </c>
      <c r="AI601" s="18">
        <v>0</v>
      </c>
      <c r="AJ601" s="18">
        <v>0</v>
      </c>
      <c r="AK601" s="18">
        <v>0</v>
      </c>
      <c r="AL601" s="18">
        <v>0</v>
      </c>
      <c r="AM601" s="18">
        <v>0</v>
      </c>
      <c r="AN601" s="18">
        <v>0</v>
      </c>
      <c r="AO601" s="18">
        <v>0</v>
      </c>
      <c r="AP601" s="18">
        <v>0</v>
      </c>
      <c r="AQ601" s="18">
        <v>0</v>
      </c>
      <c r="AR601" s="18">
        <v>0</v>
      </c>
      <c r="AS601" s="18">
        <v>0</v>
      </c>
      <c r="AT601" s="18">
        <v>0</v>
      </c>
      <c r="AU601" s="18">
        <v>0</v>
      </c>
      <c r="AV601" s="18">
        <v>0</v>
      </c>
      <c r="AW601" s="18">
        <v>0</v>
      </c>
      <c r="AX601" s="18">
        <v>0</v>
      </c>
      <c r="AY601" s="18">
        <v>0</v>
      </c>
      <c r="AZ601" s="18">
        <v>0</v>
      </c>
      <c r="BA601" s="18">
        <v>0</v>
      </c>
      <c r="BB601" s="18">
        <v>0</v>
      </c>
      <c r="BC601" s="18">
        <v>0</v>
      </c>
      <c r="BD601" s="18">
        <v>0</v>
      </c>
      <c r="BE601" s="25">
        <v>88290</v>
      </c>
      <c r="BF601" s="18">
        <v>0</v>
      </c>
      <c r="BG601" s="18">
        <v>0</v>
      </c>
      <c r="BH601" s="18">
        <v>0</v>
      </c>
      <c r="BI601" s="18">
        <v>0</v>
      </c>
      <c r="BJ601" s="113">
        <v>0</v>
      </c>
      <c r="BK601" s="113">
        <v>0</v>
      </c>
      <c r="BL601" s="113">
        <v>0</v>
      </c>
      <c r="BM601" s="113">
        <v>0</v>
      </c>
      <c r="BN601" s="113">
        <v>0</v>
      </c>
      <c r="BO601" s="113">
        <v>0</v>
      </c>
      <c r="BP601" s="113">
        <v>0</v>
      </c>
      <c r="BQ601" s="113">
        <v>0</v>
      </c>
      <c r="BR601" s="101"/>
      <c r="BS601">
        <f t="shared" si="1169"/>
        <v>0</v>
      </c>
      <c r="BT601">
        <f t="shared" si="1169"/>
        <v>0</v>
      </c>
      <c r="BU601">
        <f t="shared" si="1169"/>
        <v>0</v>
      </c>
      <c r="BV601">
        <f t="shared" si="1169"/>
        <v>0</v>
      </c>
      <c r="BW601">
        <f t="shared" si="1169"/>
        <v>0</v>
      </c>
      <c r="BX601">
        <f t="shared" si="1169"/>
        <v>0</v>
      </c>
      <c r="BY601">
        <f t="shared" si="1169"/>
        <v>0</v>
      </c>
      <c r="BZ601">
        <f t="shared" si="1169"/>
        <v>0</v>
      </c>
      <c r="CA601">
        <f t="shared" si="1169"/>
        <v>0</v>
      </c>
      <c r="CB601">
        <f t="shared" si="1169"/>
        <v>0</v>
      </c>
      <c r="CC601">
        <f t="shared" si="1170"/>
        <v>0</v>
      </c>
      <c r="CD601">
        <f t="shared" si="1170"/>
        <v>0</v>
      </c>
      <c r="CE601">
        <f t="shared" si="1170"/>
        <v>0</v>
      </c>
      <c r="CF601">
        <f t="shared" si="1170"/>
        <v>0</v>
      </c>
      <c r="CG601">
        <f t="shared" si="1170"/>
        <v>0</v>
      </c>
      <c r="CH601">
        <f t="shared" si="1170"/>
        <v>0</v>
      </c>
      <c r="CI601">
        <f t="shared" si="1170"/>
        <v>0</v>
      </c>
      <c r="CJ601">
        <f t="shared" si="1170"/>
        <v>0</v>
      </c>
      <c r="CK601">
        <f t="shared" si="1170"/>
        <v>0</v>
      </c>
      <c r="CL601">
        <f t="shared" si="1170"/>
        <v>0</v>
      </c>
      <c r="CM601">
        <f t="shared" si="1171"/>
        <v>0</v>
      </c>
      <c r="CN601">
        <f t="shared" si="1171"/>
        <v>0</v>
      </c>
      <c r="CO601">
        <f t="shared" si="1171"/>
        <v>0</v>
      </c>
      <c r="CP601">
        <f t="shared" si="1171"/>
        <v>0</v>
      </c>
      <c r="CQ601">
        <f t="shared" si="1171"/>
        <v>0</v>
      </c>
      <c r="CR601">
        <f t="shared" si="1171"/>
        <v>0</v>
      </c>
      <c r="CS601">
        <f t="shared" si="1171"/>
        <v>0</v>
      </c>
      <c r="CT601">
        <f t="shared" si="1171"/>
        <v>0</v>
      </c>
      <c r="CU601">
        <f t="shared" si="1171"/>
        <v>0</v>
      </c>
      <c r="CV601">
        <f t="shared" si="1171"/>
        <v>0</v>
      </c>
      <c r="CW601">
        <f t="shared" si="1172"/>
        <v>0</v>
      </c>
      <c r="CX601">
        <f t="shared" si="1172"/>
        <v>0</v>
      </c>
      <c r="CY601">
        <f t="shared" si="1172"/>
        <v>0</v>
      </c>
      <c r="CZ601">
        <f t="shared" si="1172"/>
        <v>0</v>
      </c>
      <c r="DA601">
        <f t="shared" si="1172"/>
        <v>0</v>
      </c>
      <c r="DB601">
        <f t="shared" si="1172"/>
        <v>0</v>
      </c>
      <c r="DC601">
        <f t="shared" si="1172"/>
        <v>0</v>
      </c>
      <c r="DD601">
        <f t="shared" si="1172"/>
        <v>0</v>
      </c>
      <c r="DE601">
        <f t="shared" si="1172"/>
        <v>0</v>
      </c>
      <c r="DF601">
        <f t="shared" si="1172"/>
        <v>0</v>
      </c>
      <c r="DG601">
        <f t="shared" si="1173"/>
        <v>0</v>
      </c>
      <c r="DH601">
        <f t="shared" si="1173"/>
        <v>0</v>
      </c>
      <c r="DI601">
        <f t="shared" si="1173"/>
        <v>0</v>
      </c>
      <c r="DJ601">
        <f t="shared" si="1173"/>
        <v>0</v>
      </c>
      <c r="DK601">
        <f t="shared" si="1173"/>
        <v>0</v>
      </c>
      <c r="DL601">
        <f t="shared" si="1173"/>
        <v>0</v>
      </c>
      <c r="DM601">
        <f t="shared" si="1173"/>
        <v>0</v>
      </c>
      <c r="DN601">
        <f t="shared" si="1173"/>
        <v>0</v>
      </c>
      <c r="DO601">
        <f t="shared" si="1173"/>
        <v>0</v>
      </c>
      <c r="DP601">
        <f t="shared" si="1173"/>
        <v>0</v>
      </c>
      <c r="DQ601">
        <f t="shared" si="1174"/>
        <v>0</v>
      </c>
      <c r="DR601">
        <f t="shared" si="1174"/>
        <v>0</v>
      </c>
      <c r="DS601">
        <f t="shared" si="1174"/>
        <v>0</v>
      </c>
      <c r="DT601">
        <f t="shared" si="1174"/>
        <v>0</v>
      </c>
      <c r="DU601">
        <f t="shared" si="1174"/>
        <v>0</v>
      </c>
      <c r="DV601">
        <f t="shared" si="1174"/>
        <v>0</v>
      </c>
      <c r="DW601">
        <f t="shared" si="1174"/>
        <v>0</v>
      </c>
      <c r="DX601">
        <f t="shared" si="1174"/>
        <v>0</v>
      </c>
      <c r="DY601">
        <f t="shared" si="1174"/>
        <v>0</v>
      </c>
      <c r="DZ601">
        <f t="shared" si="1174"/>
        <v>0</v>
      </c>
      <c r="EA601">
        <f t="shared" si="1175"/>
        <v>0</v>
      </c>
      <c r="EB601">
        <f t="shared" si="1175"/>
        <v>0</v>
      </c>
      <c r="EC601">
        <f t="shared" si="1175"/>
        <v>0</v>
      </c>
      <c r="ED601">
        <f t="shared" si="1175"/>
        <v>0</v>
      </c>
      <c r="EE601">
        <f t="shared" si="1175"/>
        <v>0</v>
      </c>
      <c r="EF601">
        <f t="shared" si="1175"/>
        <v>0</v>
      </c>
    </row>
    <row r="602" spans="1:136" ht="15.5">
      <c r="A602" s="90"/>
      <c r="B602" s="75"/>
      <c r="C602" s="95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  <c r="AS602" s="18"/>
      <c r="AT602" s="18"/>
      <c r="AU602" s="18"/>
      <c r="AV602" s="18"/>
      <c r="AW602" s="18"/>
      <c r="AX602" s="18"/>
      <c r="AY602" s="18"/>
      <c r="AZ602" s="18"/>
      <c r="BA602" s="18"/>
      <c r="BB602" s="18"/>
      <c r="BC602" s="18"/>
      <c r="BD602" s="18"/>
      <c r="BE602" s="25"/>
      <c r="BF602" s="18"/>
      <c r="BG602" s="18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101"/>
    </row>
    <row r="603" spans="1:136" ht="15.5">
      <c r="A603" s="93">
        <v>72</v>
      </c>
      <c r="B603" s="52" t="s">
        <v>85</v>
      </c>
      <c r="C603" s="94">
        <v>3</v>
      </c>
      <c r="D603" s="22"/>
      <c r="E603" s="22"/>
      <c r="F603" s="22">
        <f t="shared" ref="F603:AK603" si="1176">SUM(F604:F611)</f>
        <v>0</v>
      </c>
      <c r="G603" s="22">
        <f t="shared" si="1176"/>
        <v>0</v>
      </c>
      <c r="H603" s="22">
        <f t="shared" si="1176"/>
        <v>0</v>
      </c>
      <c r="I603" s="22">
        <f t="shared" si="1176"/>
        <v>0</v>
      </c>
      <c r="J603" s="22">
        <f t="shared" si="1176"/>
        <v>0</v>
      </c>
      <c r="K603" s="22">
        <f t="shared" si="1176"/>
        <v>0</v>
      </c>
      <c r="L603" s="22">
        <f t="shared" si="1176"/>
        <v>0</v>
      </c>
      <c r="M603" s="22">
        <f t="shared" si="1176"/>
        <v>0</v>
      </c>
      <c r="N603" s="22">
        <f t="shared" si="1176"/>
        <v>1.4943E-2</v>
      </c>
      <c r="O603" s="22">
        <f t="shared" si="1176"/>
        <v>0</v>
      </c>
      <c r="P603" s="22">
        <f t="shared" si="1176"/>
        <v>0</v>
      </c>
      <c r="Q603" s="22">
        <f t="shared" si="1176"/>
        <v>0.98307599999999995</v>
      </c>
      <c r="R603" s="22">
        <f t="shared" si="1176"/>
        <v>0.55400000000000005</v>
      </c>
      <c r="S603" s="22">
        <f t="shared" si="1176"/>
        <v>0.35699999999999998</v>
      </c>
      <c r="T603" s="22">
        <f t="shared" si="1176"/>
        <v>0.35699999999999998</v>
      </c>
      <c r="U603" s="22">
        <f t="shared" si="1176"/>
        <v>0</v>
      </c>
      <c r="V603" s="22">
        <f t="shared" si="1176"/>
        <v>63</v>
      </c>
      <c r="W603" s="22">
        <f t="shared" si="1176"/>
        <v>149.054236</v>
      </c>
      <c r="X603" s="22">
        <f t="shared" si="1176"/>
        <v>28.597480000000001</v>
      </c>
      <c r="Y603" s="22">
        <f t="shared" si="1176"/>
        <v>152.45151000000001</v>
      </c>
      <c r="Z603" s="22">
        <f t="shared" si="1176"/>
        <v>130.11964500000002</v>
      </c>
      <c r="AA603" s="22">
        <f t="shared" si="1176"/>
        <v>267.97406999999998</v>
      </c>
      <c r="AB603" s="22">
        <f t="shared" si="1176"/>
        <v>377.365565</v>
      </c>
      <c r="AC603" s="22">
        <f t="shared" si="1176"/>
        <v>478.390784</v>
      </c>
      <c r="AD603" s="22">
        <f t="shared" si="1176"/>
        <v>961.18974189073867</v>
      </c>
      <c r="AE603" s="22">
        <f t="shared" si="1176"/>
        <v>1432.4329826969547</v>
      </c>
      <c r="AF603" s="22">
        <f t="shared" si="1176"/>
        <v>503</v>
      </c>
      <c r="AG603" s="22">
        <f t="shared" si="1176"/>
        <v>621.82330000000002</v>
      </c>
      <c r="AH603" s="22">
        <f t="shared" si="1176"/>
        <v>653</v>
      </c>
      <c r="AI603" s="22">
        <f t="shared" si="1176"/>
        <v>917</v>
      </c>
      <c r="AJ603" s="22">
        <f t="shared" si="1176"/>
        <v>643.72080000000005</v>
      </c>
      <c r="AK603" s="22">
        <f t="shared" si="1176"/>
        <v>742</v>
      </c>
      <c r="AL603" s="22">
        <f t="shared" ref="AL603:BP603" si="1177">SUM(AL604:AL611)</f>
        <v>419.94914999999997</v>
      </c>
      <c r="AM603" s="22">
        <f t="shared" si="1177"/>
        <v>406.23875000000004</v>
      </c>
      <c r="AN603" s="22">
        <f t="shared" si="1177"/>
        <v>298.34251999999998</v>
      </c>
      <c r="AO603" s="22">
        <f t="shared" si="1177"/>
        <v>230.91913</v>
      </c>
      <c r="AP603" s="22">
        <f t="shared" si="1177"/>
        <v>236.68436</v>
      </c>
      <c r="AQ603" s="22">
        <f t="shared" si="1177"/>
        <v>285.15490999999997</v>
      </c>
      <c r="AR603" s="22">
        <f t="shared" si="1177"/>
        <v>284.5530359</v>
      </c>
      <c r="AS603" s="22">
        <f t="shared" si="1177"/>
        <v>232.68246390000002</v>
      </c>
      <c r="AT603" s="22">
        <f t="shared" si="1177"/>
        <v>261.38519760000003</v>
      </c>
      <c r="AU603" s="22">
        <f t="shared" si="1177"/>
        <v>321.35607390000001</v>
      </c>
      <c r="AV603" s="22">
        <f t="shared" si="1177"/>
        <v>355.29066610000001</v>
      </c>
      <c r="AW603" s="22">
        <f t="shared" si="1177"/>
        <v>368.65320150000002</v>
      </c>
      <c r="AX603" s="22">
        <f t="shared" si="1177"/>
        <v>437.81927100000007</v>
      </c>
      <c r="AY603" s="22">
        <f t="shared" si="1177"/>
        <v>436.87529130000001</v>
      </c>
      <c r="AZ603" s="22">
        <f t="shared" si="1177"/>
        <v>404.29203619999993</v>
      </c>
      <c r="BA603" s="22">
        <f t="shared" si="1177"/>
        <v>390.9279507</v>
      </c>
      <c r="BB603" s="22">
        <f t="shared" si="1177"/>
        <v>9172.5309923999994</v>
      </c>
      <c r="BC603" s="22">
        <f t="shared" si="1177"/>
        <v>620.34592590000011</v>
      </c>
      <c r="BD603" s="22">
        <f t="shared" si="1177"/>
        <v>218.84394719999997</v>
      </c>
      <c r="BE603" s="22">
        <f t="shared" si="1177"/>
        <v>9545.0895003000005</v>
      </c>
      <c r="BF603" s="22">
        <f t="shared" si="1177"/>
        <v>136.82129809999998</v>
      </c>
      <c r="BG603" s="22">
        <f t="shared" si="1177"/>
        <v>45.479806400000001</v>
      </c>
      <c r="BH603" s="22">
        <f t="shared" si="1177"/>
        <v>89.946811999999994</v>
      </c>
      <c r="BI603" s="22">
        <f t="shared" si="1177"/>
        <v>656.91071599999987</v>
      </c>
      <c r="BJ603" s="22">
        <f t="shared" si="1177"/>
        <v>79.695532900000003</v>
      </c>
      <c r="BK603" s="22">
        <f t="shared" si="1177"/>
        <v>79.590272400000003</v>
      </c>
      <c r="BL603" s="22">
        <f t="shared" si="1177"/>
        <v>21.316807399999998</v>
      </c>
      <c r="BM603" s="22">
        <f t="shared" si="1177"/>
        <v>20.922999999999998</v>
      </c>
      <c r="BN603" s="22">
        <f t="shared" si="1177"/>
        <v>24.783256399999999</v>
      </c>
      <c r="BO603" s="22">
        <f t="shared" si="1177"/>
        <v>0</v>
      </c>
      <c r="BP603" s="22">
        <f t="shared" si="1177"/>
        <v>0</v>
      </c>
      <c r="BQ603" s="22">
        <f t="shared" ref="BQ603" si="1178">SUM(BQ604:BQ611)</f>
        <v>0</v>
      </c>
      <c r="BR603" s="101"/>
      <c r="BS603">
        <f t="shared" ref="BS603:CB605" si="1179">IF($C603&lt;&gt;"",IF(D603&gt;0,1,0),0)</f>
        <v>0</v>
      </c>
      <c r="BT603">
        <f t="shared" si="1179"/>
        <v>0</v>
      </c>
      <c r="BU603">
        <f t="shared" si="1179"/>
        <v>0</v>
      </c>
      <c r="BV603">
        <f t="shared" si="1179"/>
        <v>0</v>
      </c>
      <c r="BW603">
        <f t="shared" si="1179"/>
        <v>0</v>
      </c>
      <c r="BX603">
        <f t="shared" si="1179"/>
        <v>0</v>
      </c>
      <c r="BY603">
        <f t="shared" si="1179"/>
        <v>0</v>
      </c>
      <c r="BZ603">
        <f t="shared" si="1179"/>
        <v>0</v>
      </c>
      <c r="CA603">
        <f t="shared" si="1179"/>
        <v>0</v>
      </c>
      <c r="CB603">
        <f t="shared" si="1179"/>
        <v>0</v>
      </c>
      <c r="CC603">
        <f t="shared" ref="CC603:CL605" si="1180">IF($C603&lt;&gt;"",IF(N603&gt;0,1,0),0)</f>
        <v>1</v>
      </c>
      <c r="CD603">
        <f t="shared" si="1180"/>
        <v>0</v>
      </c>
      <c r="CE603">
        <f t="shared" si="1180"/>
        <v>0</v>
      </c>
      <c r="CF603">
        <f t="shared" si="1180"/>
        <v>1</v>
      </c>
      <c r="CG603">
        <f t="shared" si="1180"/>
        <v>1</v>
      </c>
      <c r="CH603">
        <f t="shared" si="1180"/>
        <v>1</v>
      </c>
      <c r="CI603">
        <f t="shared" si="1180"/>
        <v>1</v>
      </c>
      <c r="CJ603">
        <f t="shared" si="1180"/>
        <v>0</v>
      </c>
      <c r="CK603">
        <f t="shared" si="1180"/>
        <v>1</v>
      </c>
      <c r="CL603">
        <f t="shared" si="1180"/>
        <v>1</v>
      </c>
      <c r="CM603">
        <f t="shared" ref="CM603:CV605" si="1181">IF($C603&lt;&gt;"",IF(X603&gt;0,1,0),0)</f>
        <v>1</v>
      </c>
      <c r="CN603">
        <f t="shared" si="1181"/>
        <v>1</v>
      </c>
      <c r="CO603">
        <f t="shared" si="1181"/>
        <v>1</v>
      </c>
      <c r="CP603">
        <f t="shared" si="1181"/>
        <v>1</v>
      </c>
      <c r="CQ603">
        <f t="shared" si="1181"/>
        <v>1</v>
      </c>
      <c r="CR603">
        <f t="shared" si="1181"/>
        <v>1</v>
      </c>
      <c r="CS603">
        <f t="shared" si="1181"/>
        <v>1</v>
      </c>
      <c r="CT603">
        <f t="shared" si="1181"/>
        <v>1</v>
      </c>
      <c r="CU603">
        <f t="shared" si="1181"/>
        <v>1</v>
      </c>
      <c r="CV603">
        <f t="shared" si="1181"/>
        <v>1</v>
      </c>
      <c r="CW603">
        <f t="shared" ref="CW603:DF605" si="1182">IF($C603&lt;&gt;"",IF(AH603&gt;0,1,0),0)</f>
        <v>1</v>
      </c>
      <c r="CX603">
        <f t="shared" si="1182"/>
        <v>1</v>
      </c>
      <c r="CY603">
        <f t="shared" si="1182"/>
        <v>1</v>
      </c>
      <c r="CZ603">
        <f t="shared" si="1182"/>
        <v>1</v>
      </c>
      <c r="DA603">
        <f t="shared" si="1182"/>
        <v>1</v>
      </c>
      <c r="DB603">
        <f t="shared" si="1182"/>
        <v>1</v>
      </c>
      <c r="DC603">
        <f t="shared" si="1182"/>
        <v>1</v>
      </c>
      <c r="DD603">
        <f t="shared" si="1182"/>
        <v>1</v>
      </c>
      <c r="DE603">
        <f t="shared" si="1182"/>
        <v>1</v>
      </c>
      <c r="DF603">
        <f t="shared" si="1182"/>
        <v>1</v>
      </c>
      <c r="DG603">
        <f t="shared" ref="DG603:DP605" si="1183">IF($C603&lt;&gt;"",IF(AR603&gt;0,1,0),0)</f>
        <v>1</v>
      </c>
      <c r="DH603">
        <f t="shared" si="1183"/>
        <v>1</v>
      </c>
      <c r="DI603">
        <f t="shared" si="1183"/>
        <v>1</v>
      </c>
      <c r="DJ603">
        <f t="shared" si="1183"/>
        <v>1</v>
      </c>
      <c r="DK603">
        <f t="shared" si="1183"/>
        <v>1</v>
      </c>
      <c r="DL603">
        <f t="shared" si="1183"/>
        <v>1</v>
      </c>
      <c r="DM603">
        <f t="shared" si="1183"/>
        <v>1</v>
      </c>
      <c r="DN603">
        <f t="shared" si="1183"/>
        <v>1</v>
      </c>
      <c r="DO603">
        <f t="shared" si="1183"/>
        <v>1</v>
      </c>
      <c r="DP603">
        <f t="shared" si="1183"/>
        <v>1</v>
      </c>
      <c r="DQ603">
        <f t="shared" ref="DQ603:DZ605" si="1184">IF($C603&lt;&gt;"",IF(BB603&gt;0,1,0),0)</f>
        <v>1</v>
      </c>
      <c r="DR603">
        <f t="shared" si="1184"/>
        <v>1</v>
      </c>
      <c r="DS603">
        <f t="shared" si="1184"/>
        <v>1</v>
      </c>
      <c r="DT603">
        <f t="shared" si="1184"/>
        <v>1</v>
      </c>
      <c r="DU603">
        <f t="shared" si="1184"/>
        <v>1</v>
      </c>
      <c r="DV603">
        <f t="shared" si="1184"/>
        <v>1</v>
      </c>
      <c r="DW603">
        <f t="shared" si="1184"/>
        <v>1</v>
      </c>
      <c r="DX603">
        <f t="shared" si="1184"/>
        <v>1</v>
      </c>
      <c r="DY603">
        <f t="shared" si="1184"/>
        <v>1</v>
      </c>
      <c r="DZ603">
        <f t="shared" si="1184"/>
        <v>1</v>
      </c>
      <c r="EA603">
        <f t="shared" ref="EA603:EF605" si="1185">IF($C603&lt;&gt;"",IF(BL603&gt;0,1,0),0)</f>
        <v>1</v>
      </c>
      <c r="EB603">
        <f t="shared" si="1185"/>
        <v>1</v>
      </c>
      <c r="EC603">
        <f t="shared" si="1185"/>
        <v>1</v>
      </c>
      <c r="ED603">
        <f t="shared" si="1185"/>
        <v>0</v>
      </c>
      <c r="EE603">
        <f t="shared" si="1185"/>
        <v>0</v>
      </c>
      <c r="EF603">
        <f t="shared" si="1185"/>
        <v>0</v>
      </c>
    </row>
    <row r="604" spans="1:136" ht="15.5">
      <c r="A604" s="90"/>
      <c r="B604" s="24" t="s">
        <v>15</v>
      </c>
      <c r="C604" s="95"/>
      <c r="D604" s="18"/>
      <c r="E604" s="18"/>
      <c r="F604" s="18">
        <v>0</v>
      </c>
      <c r="G604" s="18">
        <v>0</v>
      </c>
      <c r="H604" s="18">
        <v>0</v>
      </c>
      <c r="I604" s="18">
        <v>0</v>
      </c>
      <c r="J604" s="18">
        <v>0</v>
      </c>
      <c r="K604" s="18">
        <v>0</v>
      </c>
      <c r="L604" s="18">
        <v>0</v>
      </c>
      <c r="M604" s="18">
        <v>0</v>
      </c>
      <c r="N604" s="18">
        <v>0</v>
      </c>
      <c r="O604" s="18">
        <v>0</v>
      </c>
      <c r="P604" s="18">
        <v>0</v>
      </c>
      <c r="Q604" s="18">
        <v>0</v>
      </c>
      <c r="R604" s="18">
        <v>0</v>
      </c>
      <c r="S604" s="18">
        <v>0</v>
      </c>
      <c r="T604" s="18">
        <v>0</v>
      </c>
      <c r="U604" s="18">
        <v>0</v>
      </c>
      <c r="V604" s="18">
        <v>0</v>
      </c>
      <c r="W604" s="18">
        <v>0</v>
      </c>
      <c r="X604" s="18">
        <v>1.29</v>
      </c>
      <c r="Y604" s="18">
        <v>20.8</v>
      </c>
      <c r="Z604" s="18">
        <v>0</v>
      </c>
      <c r="AA604" s="18">
        <v>6.7</v>
      </c>
      <c r="AB604" s="18">
        <v>0</v>
      </c>
      <c r="AC604" s="18">
        <v>0</v>
      </c>
      <c r="AD604" s="18">
        <v>744.43959189073871</v>
      </c>
      <c r="AE604" s="18">
        <v>927.43298269695458</v>
      </c>
      <c r="AF604" s="18">
        <v>0</v>
      </c>
      <c r="AG604" s="18">
        <v>0</v>
      </c>
      <c r="AH604" s="18">
        <v>0</v>
      </c>
      <c r="AI604" s="18">
        <v>0</v>
      </c>
      <c r="AJ604" s="18">
        <v>0</v>
      </c>
      <c r="AK604" s="18">
        <v>0</v>
      </c>
      <c r="AL604" s="18">
        <v>0</v>
      </c>
      <c r="AM604" s="18">
        <v>0</v>
      </c>
      <c r="AN604" s="18">
        <v>0</v>
      </c>
      <c r="AO604" s="18">
        <v>0</v>
      </c>
      <c r="AP604" s="18">
        <v>0</v>
      </c>
      <c r="AQ604" s="18">
        <v>0</v>
      </c>
      <c r="AR604" s="18">
        <v>0</v>
      </c>
      <c r="AS604" s="18">
        <v>0</v>
      </c>
      <c r="AT604" s="18">
        <v>0</v>
      </c>
      <c r="AU604" s="18">
        <v>0</v>
      </c>
      <c r="AV604" s="18">
        <v>0</v>
      </c>
      <c r="AW604" s="18">
        <v>0</v>
      </c>
      <c r="AX604" s="18">
        <v>0</v>
      </c>
      <c r="AY604" s="18">
        <v>0</v>
      </c>
      <c r="AZ604" s="18">
        <v>0</v>
      </c>
      <c r="BA604" s="18">
        <v>0</v>
      </c>
      <c r="BB604" s="18">
        <v>0</v>
      </c>
      <c r="BC604" s="18">
        <v>0</v>
      </c>
      <c r="BD604" s="18">
        <v>0</v>
      </c>
      <c r="BE604" s="25">
        <v>0</v>
      </c>
      <c r="BF604" s="18">
        <v>0</v>
      </c>
      <c r="BG604" s="18">
        <v>0</v>
      </c>
      <c r="BH604" s="18">
        <v>0</v>
      </c>
      <c r="BI604" s="18">
        <v>0</v>
      </c>
      <c r="BJ604" s="113">
        <v>0</v>
      </c>
      <c r="BK604" s="113">
        <v>0</v>
      </c>
      <c r="BL604" s="113">
        <v>0</v>
      </c>
      <c r="BM604" s="113">
        <v>0</v>
      </c>
      <c r="BN604" s="113">
        <v>0</v>
      </c>
      <c r="BO604" s="113">
        <v>0</v>
      </c>
      <c r="BP604" s="113">
        <v>0</v>
      </c>
      <c r="BQ604" s="113">
        <v>0</v>
      </c>
      <c r="BR604" s="101"/>
      <c r="BS604">
        <f t="shared" si="1179"/>
        <v>0</v>
      </c>
      <c r="BT604">
        <f t="shared" si="1179"/>
        <v>0</v>
      </c>
      <c r="BU604">
        <f t="shared" si="1179"/>
        <v>0</v>
      </c>
      <c r="BV604">
        <f t="shared" si="1179"/>
        <v>0</v>
      </c>
      <c r="BW604">
        <f t="shared" si="1179"/>
        <v>0</v>
      </c>
      <c r="BX604">
        <f t="shared" si="1179"/>
        <v>0</v>
      </c>
      <c r="BY604">
        <f t="shared" si="1179"/>
        <v>0</v>
      </c>
      <c r="BZ604">
        <f t="shared" si="1179"/>
        <v>0</v>
      </c>
      <c r="CA604">
        <f t="shared" si="1179"/>
        <v>0</v>
      </c>
      <c r="CB604">
        <f t="shared" si="1179"/>
        <v>0</v>
      </c>
      <c r="CC604">
        <f t="shared" si="1180"/>
        <v>0</v>
      </c>
      <c r="CD604">
        <f t="shared" si="1180"/>
        <v>0</v>
      </c>
      <c r="CE604">
        <f t="shared" si="1180"/>
        <v>0</v>
      </c>
      <c r="CF604">
        <f t="shared" si="1180"/>
        <v>0</v>
      </c>
      <c r="CG604">
        <f t="shared" si="1180"/>
        <v>0</v>
      </c>
      <c r="CH604">
        <f t="shared" si="1180"/>
        <v>0</v>
      </c>
      <c r="CI604">
        <f t="shared" si="1180"/>
        <v>0</v>
      </c>
      <c r="CJ604">
        <f t="shared" si="1180"/>
        <v>0</v>
      </c>
      <c r="CK604">
        <f t="shared" si="1180"/>
        <v>0</v>
      </c>
      <c r="CL604">
        <f t="shared" si="1180"/>
        <v>0</v>
      </c>
      <c r="CM604">
        <f t="shared" si="1181"/>
        <v>0</v>
      </c>
      <c r="CN604">
        <f t="shared" si="1181"/>
        <v>0</v>
      </c>
      <c r="CO604">
        <f t="shared" si="1181"/>
        <v>0</v>
      </c>
      <c r="CP604">
        <f t="shared" si="1181"/>
        <v>0</v>
      </c>
      <c r="CQ604">
        <f t="shared" si="1181"/>
        <v>0</v>
      </c>
      <c r="CR604">
        <f t="shared" si="1181"/>
        <v>0</v>
      </c>
      <c r="CS604">
        <f t="shared" si="1181"/>
        <v>0</v>
      </c>
      <c r="CT604">
        <f t="shared" si="1181"/>
        <v>0</v>
      </c>
      <c r="CU604">
        <f t="shared" si="1181"/>
        <v>0</v>
      </c>
      <c r="CV604">
        <f t="shared" si="1181"/>
        <v>0</v>
      </c>
      <c r="CW604">
        <f t="shared" si="1182"/>
        <v>0</v>
      </c>
      <c r="CX604">
        <f t="shared" si="1182"/>
        <v>0</v>
      </c>
      <c r="CY604">
        <f t="shared" si="1182"/>
        <v>0</v>
      </c>
      <c r="CZ604">
        <f t="shared" si="1182"/>
        <v>0</v>
      </c>
      <c r="DA604">
        <f t="shared" si="1182"/>
        <v>0</v>
      </c>
      <c r="DB604">
        <f t="shared" si="1182"/>
        <v>0</v>
      </c>
      <c r="DC604">
        <f t="shared" si="1182"/>
        <v>0</v>
      </c>
      <c r="DD604">
        <f t="shared" si="1182"/>
        <v>0</v>
      </c>
      <c r="DE604">
        <f t="shared" si="1182"/>
        <v>0</v>
      </c>
      <c r="DF604">
        <f t="shared" si="1182"/>
        <v>0</v>
      </c>
      <c r="DG604">
        <f t="shared" si="1183"/>
        <v>0</v>
      </c>
      <c r="DH604">
        <f t="shared" si="1183"/>
        <v>0</v>
      </c>
      <c r="DI604">
        <f t="shared" si="1183"/>
        <v>0</v>
      </c>
      <c r="DJ604">
        <f t="shared" si="1183"/>
        <v>0</v>
      </c>
      <c r="DK604">
        <f t="shared" si="1183"/>
        <v>0</v>
      </c>
      <c r="DL604">
        <f t="shared" si="1183"/>
        <v>0</v>
      </c>
      <c r="DM604">
        <f t="shared" si="1183"/>
        <v>0</v>
      </c>
      <c r="DN604">
        <f t="shared" si="1183"/>
        <v>0</v>
      </c>
      <c r="DO604">
        <f t="shared" si="1183"/>
        <v>0</v>
      </c>
      <c r="DP604">
        <f t="shared" si="1183"/>
        <v>0</v>
      </c>
      <c r="DQ604">
        <f t="shared" si="1184"/>
        <v>0</v>
      </c>
      <c r="DR604">
        <f t="shared" si="1184"/>
        <v>0</v>
      </c>
      <c r="DS604">
        <f t="shared" si="1184"/>
        <v>0</v>
      </c>
      <c r="DT604">
        <f t="shared" si="1184"/>
        <v>0</v>
      </c>
      <c r="DU604">
        <f t="shared" si="1184"/>
        <v>0</v>
      </c>
      <c r="DV604">
        <f t="shared" si="1184"/>
        <v>0</v>
      </c>
      <c r="DW604">
        <f t="shared" si="1184"/>
        <v>0</v>
      </c>
      <c r="DX604">
        <f t="shared" si="1184"/>
        <v>0</v>
      </c>
      <c r="DY604">
        <f t="shared" si="1184"/>
        <v>0</v>
      </c>
      <c r="DZ604">
        <f t="shared" si="1184"/>
        <v>0</v>
      </c>
      <c r="EA604">
        <f t="shared" si="1185"/>
        <v>0</v>
      </c>
      <c r="EB604">
        <f t="shared" si="1185"/>
        <v>0</v>
      </c>
      <c r="EC604">
        <f t="shared" si="1185"/>
        <v>0</v>
      </c>
      <c r="ED604">
        <f t="shared" si="1185"/>
        <v>0</v>
      </c>
      <c r="EE604">
        <f t="shared" si="1185"/>
        <v>0</v>
      </c>
      <c r="EF604">
        <f t="shared" si="1185"/>
        <v>0</v>
      </c>
    </row>
    <row r="605" spans="1:136" ht="15.5">
      <c r="A605" s="90"/>
      <c r="B605" s="19" t="s">
        <v>2</v>
      </c>
      <c r="C605" s="95"/>
      <c r="D605" s="18"/>
      <c r="E605" s="18"/>
      <c r="F605" s="18">
        <v>0</v>
      </c>
      <c r="G605" s="18">
        <v>0</v>
      </c>
      <c r="H605" s="18">
        <v>0</v>
      </c>
      <c r="I605" s="18">
        <v>0</v>
      </c>
      <c r="J605" s="18">
        <v>0</v>
      </c>
      <c r="K605" s="18">
        <v>0</v>
      </c>
      <c r="L605" s="18">
        <v>0</v>
      </c>
      <c r="M605" s="18">
        <v>0</v>
      </c>
      <c r="N605" s="18">
        <v>0</v>
      </c>
      <c r="O605" s="18">
        <v>0</v>
      </c>
      <c r="P605" s="18">
        <v>0</v>
      </c>
      <c r="Q605" s="18">
        <v>0</v>
      </c>
      <c r="R605" s="18">
        <v>0</v>
      </c>
      <c r="S605" s="18">
        <v>0</v>
      </c>
      <c r="T605" s="18">
        <v>0</v>
      </c>
      <c r="U605" s="18">
        <v>0</v>
      </c>
      <c r="V605" s="18">
        <v>0</v>
      </c>
      <c r="W605" s="18">
        <v>0</v>
      </c>
      <c r="X605" s="18">
        <v>0</v>
      </c>
      <c r="Y605" s="18">
        <v>0</v>
      </c>
      <c r="Z605" s="18">
        <v>0</v>
      </c>
      <c r="AA605" s="40" t="s">
        <v>16</v>
      </c>
      <c r="AB605" s="18">
        <v>207</v>
      </c>
      <c r="AC605" s="18">
        <v>67</v>
      </c>
      <c r="AD605" s="40" t="s">
        <v>16</v>
      </c>
      <c r="AE605" s="18">
        <v>81</v>
      </c>
      <c r="AF605" s="18">
        <v>146</v>
      </c>
      <c r="AG605" s="40" t="s">
        <v>16</v>
      </c>
      <c r="AH605" s="18">
        <v>178</v>
      </c>
      <c r="AI605" s="18">
        <v>125</v>
      </c>
      <c r="AJ605" s="40" t="s">
        <v>16</v>
      </c>
      <c r="AK605" s="18">
        <v>293</v>
      </c>
      <c r="AL605" s="18">
        <v>0</v>
      </c>
      <c r="AM605" s="18">
        <v>0</v>
      </c>
      <c r="AN605" s="18">
        <v>0</v>
      </c>
      <c r="AO605" s="18">
        <v>0</v>
      </c>
      <c r="AP605" s="18">
        <v>0</v>
      </c>
      <c r="AQ605" s="18">
        <v>0</v>
      </c>
      <c r="AR605" s="18">
        <v>0</v>
      </c>
      <c r="AS605" s="18">
        <v>0</v>
      </c>
      <c r="AT605" s="18">
        <v>0</v>
      </c>
      <c r="AU605" s="18">
        <v>0</v>
      </c>
      <c r="AV605" s="18">
        <v>0</v>
      </c>
      <c r="AW605" s="18">
        <v>0</v>
      </c>
      <c r="AX605" s="18">
        <v>0</v>
      </c>
      <c r="AY605" s="18">
        <v>0</v>
      </c>
      <c r="AZ605" s="18">
        <v>0</v>
      </c>
      <c r="BA605" s="18">
        <v>0</v>
      </c>
      <c r="BB605" s="18">
        <v>0</v>
      </c>
      <c r="BC605" s="18">
        <v>0</v>
      </c>
      <c r="BD605" s="18">
        <v>0</v>
      </c>
      <c r="BE605" s="25">
        <v>0</v>
      </c>
      <c r="BF605" s="18">
        <v>0</v>
      </c>
      <c r="BG605" s="18">
        <v>0</v>
      </c>
      <c r="BH605" s="18">
        <v>0</v>
      </c>
      <c r="BI605" s="18">
        <v>0</v>
      </c>
      <c r="BJ605" s="18">
        <v>0</v>
      </c>
      <c r="BK605" s="18">
        <v>0</v>
      </c>
      <c r="BL605" s="18">
        <v>0</v>
      </c>
      <c r="BM605" s="18">
        <v>0</v>
      </c>
      <c r="BN605" s="113">
        <v>0</v>
      </c>
      <c r="BO605" s="113">
        <v>0</v>
      </c>
      <c r="BP605" s="113">
        <v>0</v>
      </c>
      <c r="BQ605" s="113">
        <v>0</v>
      </c>
      <c r="BR605" s="101"/>
      <c r="BS605">
        <f t="shared" si="1179"/>
        <v>0</v>
      </c>
      <c r="BT605">
        <f t="shared" si="1179"/>
        <v>0</v>
      </c>
      <c r="BU605">
        <f t="shared" si="1179"/>
        <v>0</v>
      </c>
      <c r="BV605">
        <f t="shared" si="1179"/>
        <v>0</v>
      </c>
      <c r="BW605">
        <f t="shared" si="1179"/>
        <v>0</v>
      </c>
      <c r="BX605">
        <f t="shared" si="1179"/>
        <v>0</v>
      </c>
      <c r="BY605">
        <f t="shared" si="1179"/>
        <v>0</v>
      </c>
      <c r="BZ605">
        <f t="shared" si="1179"/>
        <v>0</v>
      </c>
      <c r="CA605">
        <f t="shared" si="1179"/>
        <v>0</v>
      </c>
      <c r="CB605">
        <f t="shared" si="1179"/>
        <v>0</v>
      </c>
      <c r="CC605">
        <f t="shared" si="1180"/>
        <v>0</v>
      </c>
      <c r="CD605">
        <f t="shared" si="1180"/>
        <v>0</v>
      </c>
      <c r="CE605">
        <f t="shared" si="1180"/>
        <v>0</v>
      </c>
      <c r="CF605">
        <f t="shared" si="1180"/>
        <v>0</v>
      </c>
      <c r="CG605">
        <f t="shared" si="1180"/>
        <v>0</v>
      </c>
      <c r="CH605">
        <f t="shared" si="1180"/>
        <v>0</v>
      </c>
      <c r="CI605">
        <f t="shared" si="1180"/>
        <v>0</v>
      </c>
      <c r="CJ605">
        <f t="shared" si="1180"/>
        <v>0</v>
      </c>
      <c r="CK605">
        <f t="shared" si="1180"/>
        <v>0</v>
      </c>
      <c r="CL605">
        <f t="shared" si="1180"/>
        <v>0</v>
      </c>
      <c r="CM605">
        <f t="shared" si="1181"/>
        <v>0</v>
      </c>
      <c r="CN605">
        <f t="shared" si="1181"/>
        <v>0</v>
      </c>
      <c r="CO605">
        <f t="shared" si="1181"/>
        <v>0</v>
      </c>
      <c r="CP605">
        <f t="shared" si="1181"/>
        <v>0</v>
      </c>
      <c r="CQ605">
        <f t="shared" si="1181"/>
        <v>0</v>
      </c>
      <c r="CR605">
        <f t="shared" si="1181"/>
        <v>0</v>
      </c>
      <c r="CS605">
        <f t="shared" si="1181"/>
        <v>0</v>
      </c>
      <c r="CT605">
        <f t="shared" si="1181"/>
        <v>0</v>
      </c>
      <c r="CU605">
        <f t="shared" si="1181"/>
        <v>0</v>
      </c>
      <c r="CV605">
        <f t="shared" si="1181"/>
        <v>0</v>
      </c>
      <c r="CW605">
        <f t="shared" si="1182"/>
        <v>0</v>
      </c>
      <c r="CX605">
        <f t="shared" si="1182"/>
        <v>0</v>
      </c>
      <c r="CY605">
        <f t="shared" si="1182"/>
        <v>0</v>
      </c>
      <c r="CZ605">
        <f t="shared" si="1182"/>
        <v>0</v>
      </c>
      <c r="DA605">
        <f t="shared" si="1182"/>
        <v>0</v>
      </c>
      <c r="DB605">
        <f t="shared" si="1182"/>
        <v>0</v>
      </c>
      <c r="DC605">
        <f t="shared" si="1182"/>
        <v>0</v>
      </c>
      <c r="DD605">
        <f t="shared" si="1182"/>
        <v>0</v>
      </c>
      <c r="DE605">
        <f t="shared" si="1182"/>
        <v>0</v>
      </c>
      <c r="DF605">
        <f t="shared" si="1182"/>
        <v>0</v>
      </c>
      <c r="DG605">
        <f t="shared" si="1183"/>
        <v>0</v>
      </c>
      <c r="DH605">
        <f t="shared" si="1183"/>
        <v>0</v>
      </c>
      <c r="DI605">
        <f t="shared" si="1183"/>
        <v>0</v>
      </c>
      <c r="DJ605">
        <f t="shared" si="1183"/>
        <v>0</v>
      </c>
      <c r="DK605">
        <f t="shared" si="1183"/>
        <v>0</v>
      </c>
      <c r="DL605">
        <f t="shared" si="1183"/>
        <v>0</v>
      </c>
      <c r="DM605">
        <f t="shared" si="1183"/>
        <v>0</v>
      </c>
      <c r="DN605">
        <f t="shared" si="1183"/>
        <v>0</v>
      </c>
      <c r="DO605">
        <f t="shared" si="1183"/>
        <v>0</v>
      </c>
      <c r="DP605">
        <f t="shared" si="1183"/>
        <v>0</v>
      </c>
      <c r="DQ605">
        <f t="shared" si="1184"/>
        <v>0</v>
      </c>
      <c r="DR605">
        <f t="shared" si="1184"/>
        <v>0</v>
      </c>
      <c r="DS605">
        <f t="shared" si="1184"/>
        <v>0</v>
      </c>
      <c r="DT605">
        <f t="shared" si="1184"/>
        <v>0</v>
      </c>
      <c r="DU605">
        <f t="shared" si="1184"/>
        <v>0</v>
      </c>
      <c r="DV605">
        <f t="shared" si="1184"/>
        <v>0</v>
      </c>
      <c r="DW605">
        <f t="shared" si="1184"/>
        <v>0</v>
      </c>
      <c r="DX605">
        <f t="shared" si="1184"/>
        <v>0</v>
      </c>
      <c r="DY605">
        <f t="shared" si="1184"/>
        <v>0</v>
      </c>
      <c r="DZ605">
        <f t="shared" si="1184"/>
        <v>0</v>
      </c>
      <c r="EA605">
        <f t="shared" si="1185"/>
        <v>0</v>
      </c>
      <c r="EB605">
        <f t="shared" si="1185"/>
        <v>0</v>
      </c>
      <c r="EC605">
        <f t="shared" si="1185"/>
        <v>0</v>
      </c>
      <c r="ED605">
        <f t="shared" si="1185"/>
        <v>0</v>
      </c>
      <c r="EE605">
        <f t="shared" si="1185"/>
        <v>0</v>
      </c>
      <c r="EF605">
        <f t="shared" si="1185"/>
        <v>0</v>
      </c>
    </row>
    <row r="606" spans="1:136" ht="15.5">
      <c r="A606" s="90"/>
      <c r="B606" s="19" t="s">
        <v>205</v>
      </c>
      <c r="C606" s="95"/>
      <c r="D606" s="18"/>
      <c r="E606" s="18"/>
      <c r="F606" s="18">
        <v>0</v>
      </c>
      <c r="G606" s="18">
        <v>0</v>
      </c>
      <c r="H606" s="18">
        <v>0</v>
      </c>
      <c r="I606" s="18">
        <v>0</v>
      </c>
      <c r="J606" s="18">
        <v>0</v>
      </c>
      <c r="K606" s="18">
        <v>0</v>
      </c>
      <c r="L606" s="18">
        <v>0</v>
      </c>
      <c r="M606" s="18">
        <v>0</v>
      </c>
      <c r="N606" s="18">
        <v>0</v>
      </c>
      <c r="O606" s="18">
        <v>0</v>
      </c>
      <c r="P606" s="18">
        <v>0</v>
      </c>
      <c r="Q606" s="18">
        <v>0</v>
      </c>
      <c r="R606" s="18">
        <v>0</v>
      </c>
      <c r="S606" s="18">
        <v>0</v>
      </c>
      <c r="T606" s="18">
        <v>0</v>
      </c>
      <c r="U606" s="18">
        <v>0</v>
      </c>
      <c r="V606" s="18">
        <v>0</v>
      </c>
      <c r="W606" s="18">
        <v>0</v>
      </c>
      <c r="X606" s="18">
        <v>0</v>
      </c>
      <c r="Y606" s="18">
        <v>1.192285</v>
      </c>
      <c r="Z606" s="18">
        <v>2.4573299999999998</v>
      </c>
      <c r="AA606" s="71">
        <v>3.7338589999999998</v>
      </c>
      <c r="AB606" s="18">
        <v>1.2350000000000001</v>
      </c>
      <c r="AC606" s="18">
        <v>0</v>
      </c>
      <c r="AD606" s="18">
        <v>0</v>
      </c>
      <c r="AE606" s="18">
        <v>0</v>
      </c>
      <c r="AF606" s="18">
        <v>0</v>
      </c>
      <c r="AG606" s="18">
        <v>0</v>
      </c>
      <c r="AH606" s="18">
        <v>0</v>
      </c>
      <c r="AI606" s="18">
        <v>0</v>
      </c>
      <c r="AJ606" s="71">
        <v>0</v>
      </c>
      <c r="AK606" s="18">
        <v>0</v>
      </c>
      <c r="AL606" s="18">
        <v>0</v>
      </c>
      <c r="AM606" s="18">
        <v>0</v>
      </c>
      <c r="AN606" s="18">
        <v>0</v>
      </c>
      <c r="AO606" s="18">
        <v>0</v>
      </c>
      <c r="AP606" s="18">
        <v>0</v>
      </c>
      <c r="AQ606" s="18">
        <v>0</v>
      </c>
      <c r="AR606" s="18">
        <v>0</v>
      </c>
      <c r="AS606" s="18">
        <v>0.1668519</v>
      </c>
      <c r="AT606" s="18">
        <v>0.54196420000000001</v>
      </c>
      <c r="AU606" s="18">
        <v>0.53330430000000006</v>
      </c>
      <c r="AV606" s="18">
        <v>0.52667189999999997</v>
      </c>
      <c r="AW606" s="18">
        <v>0.56204449999999995</v>
      </c>
      <c r="AX606" s="18">
        <v>0.57816500000000004</v>
      </c>
      <c r="AY606" s="18">
        <v>4.1761976000000001</v>
      </c>
      <c r="AZ606" s="18">
        <v>1.0003521</v>
      </c>
      <c r="BA606" s="18">
        <v>4.0632682000000004</v>
      </c>
      <c r="BB606" s="18">
        <v>5.633318</v>
      </c>
      <c r="BC606" s="18">
        <v>5.633318</v>
      </c>
      <c r="BD606" s="18">
        <v>5.0183280000000003</v>
      </c>
      <c r="BE606" s="25">
        <v>0.34665299999999999</v>
      </c>
      <c r="BF606" s="18">
        <v>0.43099999999999999</v>
      </c>
      <c r="BG606" s="18">
        <v>0</v>
      </c>
      <c r="BH606" s="18">
        <v>0</v>
      </c>
      <c r="BI606" s="18">
        <v>289</v>
      </c>
      <c r="BJ606" s="18">
        <v>0</v>
      </c>
      <c r="BK606" s="18">
        <v>0</v>
      </c>
      <c r="BL606" s="18">
        <v>0</v>
      </c>
      <c r="BM606" s="18">
        <v>0</v>
      </c>
      <c r="BN606" s="113">
        <v>0</v>
      </c>
      <c r="BO606" s="113">
        <v>0</v>
      </c>
      <c r="BP606" s="113">
        <v>0</v>
      </c>
      <c r="BQ606" s="113">
        <v>0</v>
      </c>
      <c r="BR606" s="101"/>
      <c r="BU606">
        <f t="shared" ref="BU606:CB612" si="1186">IF($C606&lt;&gt;"",IF(F606&gt;0,1,0),0)</f>
        <v>0</v>
      </c>
      <c r="BV606">
        <f t="shared" si="1186"/>
        <v>0</v>
      </c>
      <c r="BW606">
        <f t="shared" si="1186"/>
        <v>0</v>
      </c>
      <c r="BX606">
        <f t="shared" si="1186"/>
        <v>0</v>
      </c>
      <c r="BY606">
        <f t="shared" si="1186"/>
        <v>0</v>
      </c>
      <c r="BZ606">
        <f t="shared" si="1186"/>
        <v>0</v>
      </c>
      <c r="CA606">
        <f t="shared" si="1186"/>
        <v>0</v>
      </c>
      <c r="CB606">
        <f t="shared" si="1186"/>
        <v>0</v>
      </c>
    </row>
    <row r="607" spans="1:136" ht="15.5">
      <c r="A607" s="90"/>
      <c r="B607" s="19" t="s">
        <v>3</v>
      </c>
      <c r="C607" s="95"/>
      <c r="D607" s="40"/>
      <c r="E607" s="40"/>
      <c r="F607" s="18">
        <v>0</v>
      </c>
      <c r="G607" s="18">
        <v>0</v>
      </c>
      <c r="H607" s="18">
        <v>0</v>
      </c>
      <c r="I607" s="18">
        <v>0</v>
      </c>
      <c r="J607" s="18">
        <v>0</v>
      </c>
      <c r="K607" s="18">
        <v>0</v>
      </c>
      <c r="L607" s="18">
        <v>0</v>
      </c>
      <c r="M607" s="18">
        <v>0</v>
      </c>
      <c r="N607" s="40">
        <v>1.4943E-2</v>
      </c>
      <c r="O607" s="18">
        <v>0</v>
      </c>
      <c r="P607" s="18">
        <v>0</v>
      </c>
      <c r="Q607" s="18">
        <v>1.8075999999999998E-2</v>
      </c>
      <c r="R607" s="18">
        <v>3.6999999999999998E-2</v>
      </c>
      <c r="S607" s="18">
        <v>0</v>
      </c>
      <c r="T607" s="18">
        <v>0</v>
      </c>
      <c r="U607" s="18">
        <v>0</v>
      </c>
      <c r="V607" s="18">
        <v>0</v>
      </c>
      <c r="W607" s="18">
        <v>0</v>
      </c>
      <c r="X607" s="18">
        <v>8.0969999999999995</v>
      </c>
      <c r="Y607" s="18">
        <f>41.04931-Y606</f>
        <v>39.857025</v>
      </c>
      <c r="Z607" s="18">
        <f>62.11716-Z606</f>
        <v>59.659829999999999</v>
      </c>
      <c r="AA607" s="18">
        <f>101.6574-AA606</f>
        <v>97.923541</v>
      </c>
      <c r="AB607" s="40" t="s">
        <v>16</v>
      </c>
      <c r="AC607" s="18">
        <v>38</v>
      </c>
      <c r="AD607" s="18">
        <v>198.28049999999999</v>
      </c>
      <c r="AE607" s="18">
        <v>47</v>
      </c>
      <c r="AF607" s="40" t="s">
        <v>16</v>
      </c>
      <c r="AG607" s="18">
        <v>297.82330000000002</v>
      </c>
      <c r="AH607" s="18">
        <v>143</v>
      </c>
      <c r="AI607" s="18">
        <v>497</v>
      </c>
      <c r="AJ607" s="18">
        <v>372.7208</v>
      </c>
      <c r="AK607" s="18">
        <f>203-11</f>
        <v>192</v>
      </c>
      <c r="AL607" s="18">
        <v>367.95749999999998</v>
      </c>
      <c r="AM607" s="18">
        <v>353.95190000000002</v>
      </c>
      <c r="AN607" s="18">
        <v>248.4802</v>
      </c>
      <c r="AO607" s="18">
        <v>199.334</v>
      </c>
      <c r="AP607" s="18">
        <v>204.4117</v>
      </c>
      <c r="AQ607" s="18">
        <v>253.8372</v>
      </c>
      <c r="AR607" s="18">
        <v>235.48842349999998</v>
      </c>
      <c r="AS607" s="18">
        <v>178.22465720000002</v>
      </c>
      <c r="AT607" s="18">
        <f>178.9409218-AT606</f>
        <v>178.39895760000002</v>
      </c>
      <c r="AU607" s="18">
        <f>206.2544677-AU606</f>
        <v>205.72116339999999</v>
      </c>
      <c r="AV607" s="18">
        <f>213.4814471-AV606</f>
        <v>212.9547752</v>
      </c>
      <c r="AW607" s="18">
        <f>274.7767746-AW606</f>
        <v>274.2147301</v>
      </c>
      <c r="AX607" s="18">
        <v>295.37836980000003</v>
      </c>
      <c r="AY607" s="18">
        <v>301.50011319999999</v>
      </c>
      <c r="AZ607" s="18">
        <v>278.10515259999994</v>
      </c>
      <c r="BA607" s="18">
        <v>294.48337750000002</v>
      </c>
      <c r="BB607" s="18">
        <v>284.10831840000003</v>
      </c>
      <c r="BC607" s="18">
        <v>554.44184270000005</v>
      </c>
      <c r="BD607" s="18">
        <v>159.33205829999997</v>
      </c>
      <c r="BE607" s="25">
        <v>68.563412900000003</v>
      </c>
      <c r="BF607" s="18">
        <v>93.519077599999989</v>
      </c>
      <c r="BG607" s="18">
        <v>44.238806400000001</v>
      </c>
      <c r="BH607" s="18">
        <v>89.946811999999994</v>
      </c>
      <c r="BI607" s="18">
        <v>367.43232089999998</v>
      </c>
      <c r="BJ607" s="18">
        <v>79.695532900000003</v>
      </c>
      <c r="BK607" s="130">
        <v>79.590272400000003</v>
      </c>
      <c r="BL607" s="113">
        <v>21.316807399999998</v>
      </c>
      <c r="BM607" s="113">
        <v>20.922999999999998</v>
      </c>
      <c r="BN607" s="113">
        <v>22.3652564</v>
      </c>
      <c r="BO607" s="113">
        <v>0</v>
      </c>
      <c r="BP607" s="113">
        <v>0</v>
      </c>
      <c r="BQ607" s="113">
        <v>0</v>
      </c>
      <c r="BR607" s="101"/>
      <c r="BS607">
        <f t="shared" ref="BS607:BT612" si="1187">IF($C607&lt;&gt;"",IF(D607&gt;0,1,0),0)</f>
        <v>0</v>
      </c>
      <c r="BT607">
        <f t="shared" si="1187"/>
        <v>0</v>
      </c>
      <c r="BU607">
        <f t="shared" si="1186"/>
        <v>0</v>
      </c>
      <c r="BV607">
        <f t="shared" si="1186"/>
        <v>0</v>
      </c>
      <c r="BW607">
        <f t="shared" si="1186"/>
        <v>0</v>
      </c>
      <c r="BX607">
        <f t="shared" si="1186"/>
        <v>0</v>
      </c>
      <c r="BY607">
        <f t="shared" si="1186"/>
        <v>0</v>
      </c>
      <c r="BZ607">
        <f t="shared" si="1186"/>
        <v>0</v>
      </c>
      <c r="CA607">
        <f t="shared" si="1186"/>
        <v>0</v>
      </c>
      <c r="CB607">
        <f t="shared" si="1186"/>
        <v>0</v>
      </c>
      <c r="CC607">
        <f t="shared" ref="CC607:CL612" si="1188">IF($C607&lt;&gt;"",IF(N607&gt;0,1,0),0)</f>
        <v>0</v>
      </c>
      <c r="CD607">
        <f t="shared" si="1188"/>
        <v>0</v>
      </c>
      <c r="CE607">
        <f t="shared" si="1188"/>
        <v>0</v>
      </c>
      <c r="CF607">
        <f t="shared" si="1188"/>
        <v>0</v>
      </c>
      <c r="CG607">
        <f t="shared" si="1188"/>
        <v>0</v>
      </c>
      <c r="CH607">
        <f t="shared" si="1188"/>
        <v>0</v>
      </c>
      <c r="CI607">
        <f t="shared" si="1188"/>
        <v>0</v>
      </c>
      <c r="CJ607">
        <f t="shared" si="1188"/>
        <v>0</v>
      </c>
      <c r="CK607">
        <f t="shared" si="1188"/>
        <v>0</v>
      </c>
      <c r="CL607">
        <f t="shared" si="1188"/>
        <v>0</v>
      </c>
      <c r="CM607">
        <f t="shared" ref="CM607:CV612" si="1189">IF($C607&lt;&gt;"",IF(X607&gt;0,1,0),0)</f>
        <v>0</v>
      </c>
      <c r="CN607">
        <f t="shared" si="1189"/>
        <v>0</v>
      </c>
      <c r="CO607">
        <f t="shared" si="1189"/>
        <v>0</v>
      </c>
      <c r="CP607">
        <f t="shared" si="1189"/>
        <v>0</v>
      </c>
      <c r="CQ607">
        <f t="shared" si="1189"/>
        <v>0</v>
      </c>
      <c r="CR607">
        <f t="shared" si="1189"/>
        <v>0</v>
      </c>
      <c r="CS607">
        <f t="shared" si="1189"/>
        <v>0</v>
      </c>
      <c r="CT607">
        <f t="shared" si="1189"/>
        <v>0</v>
      </c>
      <c r="CU607">
        <f t="shared" si="1189"/>
        <v>0</v>
      </c>
      <c r="CV607">
        <f t="shared" si="1189"/>
        <v>0</v>
      </c>
      <c r="CW607">
        <f t="shared" ref="CW607:DF612" si="1190">IF($C607&lt;&gt;"",IF(AH607&gt;0,1,0),0)</f>
        <v>0</v>
      </c>
      <c r="CX607">
        <f t="shared" si="1190"/>
        <v>0</v>
      </c>
      <c r="CY607">
        <f t="shared" si="1190"/>
        <v>0</v>
      </c>
      <c r="CZ607">
        <f t="shared" si="1190"/>
        <v>0</v>
      </c>
      <c r="DA607">
        <f t="shared" si="1190"/>
        <v>0</v>
      </c>
      <c r="DB607">
        <f t="shared" si="1190"/>
        <v>0</v>
      </c>
      <c r="DC607">
        <f t="shared" si="1190"/>
        <v>0</v>
      </c>
      <c r="DD607">
        <f t="shared" si="1190"/>
        <v>0</v>
      </c>
      <c r="DE607">
        <f t="shared" si="1190"/>
        <v>0</v>
      </c>
      <c r="DF607">
        <f t="shared" si="1190"/>
        <v>0</v>
      </c>
      <c r="DG607">
        <f t="shared" ref="DG607:DP612" si="1191">IF($C607&lt;&gt;"",IF(AR607&gt;0,1,0),0)</f>
        <v>0</v>
      </c>
      <c r="DH607">
        <f t="shared" si="1191"/>
        <v>0</v>
      </c>
      <c r="DI607">
        <f t="shared" si="1191"/>
        <v>0</v>
      </c>
      <c r="DJ607">
        <f t="shared" si="1191"/>
        <v>0</v>
      </c>
      <c r="DK607">
        <f t="shared" si="1191"/>
        <v>0</v>
      </c>
      <c r="DL607">
        <f t="shared" si="1191"/>
        <v>0</v>
      </c>
      <c r="DM607">
        <f t="shared" si="1191"/>
        <v>0</v>
      </c>
      <c r="DN607">
        <f t="shared" si="1191"/>
        <v>0</v>
      </c>
      <c r="DO607">
        <f t="shared" si="1191"/>
        <v>0</v>
      </c>
      <c r="DP607">
        <f t="shared" si="1191"/>
        <v>0</v>
      </c>
      <c r="DQ607">
        <f t="shared" ref="DQ607:DZ612" si="1192">IF($C607&lt;&gt;"",IF(BB607&gt;0,1,0),0)</f>
        <v>0</v>
      </c>
      <c r="DR607">
        <f t="shared" si="1192"/>
        <v>0</v>
      </c>
      <c r="DS607">
        <f t="shared" si="1192"/>
        <v>0</v>
      </c>
      <c r="DT607">
        <f t="shared" si="1192"/>
        <v>0</v>
      </c>
      <c r="DU607">
        <f t="shared" si="1192"/>
        <v>0</v>
      </c>
      <c r="DV607">
        <f t="shared" si="1192"/>
        <v>0</v>
      </c>
      <c r="DW607">
        <f t="shared" si="1192"/>
        <v>0</v>
      </c>
      <c r="DX607">
        <f t="shared" si="1192"/>
        <v>0</v>
      </c>
      <c r="DY607">
        <f t="shared" si="1192"/>
        <v>0</v>
      </c>
      <c r="DZ607">
        <f t="shared" si="1192"/>
        <v>0</v>
      </c>
      <c r="EA607">
        <f t="shared" ref="EA607:EF612" si="1193">IF($C607&lt;&gt;"",IF(BL607&gt;0,1,0),0)</f>
        <v>0</v>
      </c>
      <c r="EB607">
        <f t="shared" si="1193"/>
        <v>0</v>
      </c>
      <c r="EC607">
        <f t="shared" si="1193"/>
        <v>0</v>
      </c>
      <c r="ED607">
        <f t="shared" si="1193"/>
        <v>0</v>
      </c>
      <c r="EE607">
        <f t="shared" si="1193"/>
        <v>0</v>
      </c>
      <c r="EF607">
        <f t="shared" si="1193"/>
        <v>0</v>
      </c>
    </row>
    <row r="608" spans="1:136" ht="15.5">
      <c r="A608" s="90"/>
      <c r="B608" s="53" t="s">
        <v>18</v>
      </c>
      <c r="C608" s="95"/>
      <c r="D608" s="18"/>
      <c r="E608" s="18"/>
      <c r="F608" s="18">
        <v>0</v>
      </c>
      <c r="G608" s="18">
        <v>0</v>
      </c>
      <c r="H608" s="18">
        <v>0</v>
      </c>
      <c r="I608" s="18">
        <v>0</v>
      </c>
      <c r="J608" s="18">
        <v>0</v>
      </c>
      <c r="K608" s="18">
        <v>0</v>
      </c>
      <c r="L608" s="18">
        <v>0</v>
      </c>
      <c r="M608" s="18">
        <v>0</v>
      </c>
      <c r="N608" s="18">
        <v>0</v>
      </c>
      <c r="O608" s="18">
        <v>0</v>
      </c>
      <c r="P608" s="18">
        <v>0</v>
      </c>
      <c r="Q608" s="18">
        <v>0</v>
      </c>
      <c r="R608" s="18">
        <v>0</v>
      </c>
      <c r="S608" s="18">
        <v>0</v>
      </c>
      <c r="T608" s="18">
        <v>0</v>
      </c>
      <c r="U608" s="18">
        <v>0</v>
      </c>
      <c r="V608" s="18">
        <v>63</v>
      </c>
      <c r="W608" s="18">
        <v>149</v>
      </c>
      <c r="X608" s="18">
        <v>0</v>
      </c>
      <c r="Y608" s="18">
        <v>89</v>
      </c>
      <c r="Z608" s="18">
        <v>67.87</v>
      </c>
      <c r="AA608" s="18">
        <v>143.41800000000001</v>
      </c>
      <c r="AB608" s="18">
        <v>164</v>
      </c>
      <c r="AC608" s="18">
        <v>369</v>
      </c>
      <c r="AD608" s="18">
        <v>0</v>
      </c>
      <c r="AE608" s="18">
        <v>377</v>
      </c>
      <c r="AF608" s="18">
        <v>357</v>
      </c>
      <c r="AG608" s="18">
        <v>324</v>
      </c>
      <c r="AH608" s="18">
        <v>332</v>
      </c>
      <c r="AI608" s="18">
        <v>295</v>
      </c>
      <c r="AJ608" s="18">
        <v>271</v>
      </c>
      <c r="AK608" s="18">
        <v>257</v>
      </c>
      <c r="AL608" s="18">
        <v>0</v>
      </c>
      <c r="AM608" s="18">
        <v>0</v>
      </c>
      <c r="AN608" s="18">
        <v>0</v>
      </c>
      <c r="AO608" s="18">
        <v>0</v>
      </c>
      <c r="AP608" s="18">
        <v>0</v>
      </c>
      <c r="AQ608" s="18">
        <v>0</v>
      </c>
      <c r="AR608" s="18">
        <v>0</v>
      </c>
      <c r="AS608" s="18">
        <v>0</v>
      </c>
      <c r="AT608" s="18">
        <v>0</v>
      </c>
      <c r="AU608" s="18">
        <v>0</v>
      </c>
      <c r="AV608" s="18">
        <v>0</v>
      </c>
      <c r="AW608" s="18">
        <v>0</v>
      </c>
      <c r="AX608" s="18">
        <v>0</v>
      </c>
      <c r="AY608" s="18">
        <v>0</v>
      </c>
      <c r="AZ608" s="18">
        <v>0</v>
      </c>
      <c r="BA608" s="18">
        <v>0</v>
      </c>
      <c r="BB608" s="18">
        <v>0</v>
      </c>
      <c r="BC608" s="18">
        <v>0</v>
      </c>
      <c r="BD608" s="18">
        <v>0</v>
      </c>
      <c r="BE608" s="25">
        <v>0</v>
      </c>
      <c r="BF608" s="18">
        <v>0</v>
      </c>
      <c r="BG608" s="18">
        <v>0</v>
      </c>
      <c r="BH608" s="18">
        <v>0</v>
      </c>
      <c r="BI608" s="18">
        <v>0</v>
      </c>
      <c r="BJ608" s="34">
        <v>0</v>
      </c>
      <c r="BK608" s="113">
        <v>0</v>
      </c>
      <c r="BL608" s="113">
        <v>0</v>
      </c>
      <c r="BM608" s="113">
        <v>0</v>
      </c>
      <c r="BN608" s="113">
        <v>0</v>
      </c>
      <c r="BO608" s="113">
        <v>0</v>
      </c>
      <c r="BP608" s="113">
        <v>0</v>
      </c>
      <c r="BQ608" s="113">
        <v>0</v>
      </c>
      <c r="BR608" s="101"/>
      <c r="BS608">
        <f t="shared" si="1187"/>
        <v>0</v>
      </c>
      <c r="BT608">
        <f t="shared" si="1187"/>
        <v>0</v>
      </c>
      <c r="BU608">
        <f t="shared" si="1186"/>
        <v>0</v>
      </c>
      <c r="BV608">
        <f t="shared" si="1186"/>
        <v>0</v>
      </c>
      <c r="BW608">
        <f t="shared" si="1186"/>
        <v>0</v>
      </c>
      <c r="BX608">
        <f t="shared" si="1186"/>
        <v>0</v>
      </c>
      <c r="BY608">
        <f t="shared" si="1186"/>
        <v>0</v>
      </c>
      <c r="BZ608">
        <f t="shared" si="1186"/>
        <v>0</v>
      </c>
      <c r="CA608">
        <f t="shared" si="1186"/>
        <v>0</v>
      </c>
      <c r="CB608">
        <f t="shared" si="1186"/>
        <v>0</v>
      </c>
      <c r="CC608">
        <f t="shared" si="1188"/>
        <v>0</v>
      </c>
      <c r="CD608">
        <f t="shared" si="1188"/>
        <v>0</v>
      </c>
      <c r="CE608">
        <f t="shared" si="1188"/>
        <v>0</v>
      </c>
      <c r="CF608">
        <f t="shared" si="1188"/>
        <v>0</v>
      </c>
      <c r="CG608">
        <f t="shared" si="1188"/>
        <v>0</v>
      </c>
      <c r="CH608">
        <f t="shared" si="1188"/>
        <v>0</v>
      </c>
      <c r="CI608">
        <f t="shared" si="1188"/>
        <v>0</v>
      </c>
      <c r="CJ608">
        <f t="shared" si="1188"/>
        <v>0</v>
      </c>
      <c r="CK608">
        <f t="shared" si="1188"/>
        <v>0</v>
      </c>
      <c r="CL608">
        <f t="shared" si="1188"/>
        <v>0</v>
      </c>
      <c r="CM608">
        <f t="shared" si="1189"/>
        <v>0</v>
      </c>
      <c r="CN608">
        <f t="shared" si="1189"/>
        <v>0</v>
      </c>
      <c r="CO608">
        <f t="shared" si="1189"/>
        <v>0</v>
      </c>
      <c r="CP608">
        <f t="shared" si="1189"/>
        <v>0</v>
      </c>
      <c r="CQ608">
        <f t="shared" si="1189"/>
        <v>0</v>
      </c>
      <c r="CR608">
        <f t="shared" si="1189"/>
        <v>0</v>
      </c>
      <c r="CS608">
        <f t="shared" si="1189"/>
        <v>0</v>
      </c>
      <c r="CT608">
        <f t="shared" si="1189"/>
        <v>0</v>
      </c>
      <c r="CU608">
        <f t="shared" si="1189"/>
        <v>0</v>
      </c>
      <c r="CV608">
        <f t="shared" si="1189"/>
        <v>0</v>
      </c>
      <c r="CW608">
        <f t="shared" si="1190"/>
        <v>0</v>
      </c>
      <c r="CX608">
        <f t="shared" si="1190"/>
        <v>0</v>
      </c>
      <c r="CY608">
        <f t="shared" si="1190"/>
        <v>0</v>
      </c>
      <c r="CZ608">
        <f t="shared" si="1190"/>
        <v>0</v>
      </c>
      <c r="DA608">
        <f t="shared" si="1190"/>
        <v>0</v>
      </c>
      <c r="DB608">
        <f t="shared" si="1190"/>
        <v>0</v>
      </c>
      <c r="DC608">
        <f t="shared" si="1190"/>
        <v>0</v>
      </c>
      <c r="DD608">
        <f t="shared" si="1190"/>
        <v>0</v>
      </c>
      <c r="DE608">
        <f t="shared" si="1190"/>
        <v>0</v>
      </c>
      <c r="DF608">
        <f t="shared" si="1190"/>
        <v>0</v>
      </c>
      <c r="DG608">
        <f t="shared" si="1191"/>
        <v>0</v>
      </c>
      <c r="DH608">
        <f t="shared" si="1191"/>
        <v>0</v>
      </c>
      <c r="DI608">
        <f t="shared" si="1191"/>
        <v>0</v>
      </c>
      <c r="DJ608">
        <f t="shared" si="1191"/>
        <v>0</v>
      </c>
      <c r="DK608">
        <f t="shared" si="1191"/>
        <v>0</v>
      </c>
      <c r="DL608">
        <f t="shared" si="1191"/>
        <v>0</v>
      </c>
      <c r="DM608">
        <f t="shared" si="1191"/>
        <v>0</v>
      </c>
      <c r="DN608">
        <f t="shared" si="1191"/>
        <v>0</v>
      </c>
      <c r="DO608">
        <f t="shared" si="1191"/>
        <v>0</v>
      </c>
      <c r="DP608">
        <f t="shared" si="1191"/>
        <v>0</v>
      </c>
      <c r="DQ608">
        <f t="shared" si="1192"/>
        <v>0</v>
      </c>
      <c r="DR608">
        <f t="shared" si="1192"/>
        <v>0</v>
      </c>
      <c r="DS608">
        <f t="shared" si="1192"/>
        <v>0</v>
      </c>
      <c r="DT608">
        <f t="shared" si="1192"/>
        <v>0</v>
      </c>
      <c r="DU608">
        <f t="shared" si="1192"/>
        <v>0</v>
      </c>
      <c r="DV608">
        <f t="shared" si="1192"/>
        <v>0</v>
      </c>
      <c r="DW608">
        <f t="shared" si="1192"/>
        <v>0</v>
      </c>
      <c r="DX608">
        <f t="shared" si="1192"/>
        <v>0</v>
      </c>
      <c r="DY608">
        <f t="shared" si="1192"/>
        <v>0</v>
      </c>
      <c r="DZ608">
        <f t="shared" si="1192"/>
        <v>0</v>
      </c>
      <c r="EA608">
        <f t="shared" si="1193"/>
        <v>0</v>
      </c>
      <c r="EB608">
        <f t="shared" si="1193"/>
        <v>0</v>
      </c>
      <c r="EC608">
        <f t="shared" si="1193"/>
        <v>0</v>
      </c>
      <c r="ED608">
        <f t="shared" si="1193"/>
        <v>0</v>
      </c>
      <c r="EE608">
        <f t="shared" si="1193"/>
        <v>0</v>
      </c>
      <c r="EF608">
        <f t="shared" si="1193"/>
        <v>0</v>
      </c>
    </row>
    <row r="609" spans="1:136" ht="15.5">
      <c r="A609" s="90"/>
      <c r="B609" s="53" t="s">
        <v>25</v>
      </c>
      <c r="C609" s="95"/>
      <c r="D609" s="34"/>
      <c r="E609" s="34"/>
      <c r="F609" s="34">
        <v>0</v>
      </c>
      <c r="G609" s="34">
        <v>0</v>
      </c>
      <c r="H609" s="34">
        <v>0</v>
      </c>
      <c r="I609" s="34">
        <v>0</v>
      </c>
      <c r="J609" s="34">
        <v>0</v>
      </c>
      <c r="K609" s="34">
        <v>0</v>
      </c>
      <c r="L609" s="34">
        <v>0</v>
      </c>
      <c r="M609" s="34">
        <v>0</v>
      </c>
      <c r="N609" s="34">
        <v>0</v>
      </c>
      <c r="O609" s="34">
        <v>0</v>
      </c>
      <c r="P609" s="34">
        <v>0</v>
      </c>
      <c r="Q609" s="34">
        <v>0</v>
      </c>
      <c r="R609" s="34">
        <v>0</v>
      </c>
      <c r="S609" s="34">
        <v>0</v>
      </c>
      <c r="T609" s="34">
        <v>0</v>
      </c>
      <c r="U609" s="34">
        <v>0</v>
      </c>
      <c r="V609" s="34">
        <v>0</v>
      </c>
      <c r="W609" s="34">
        <v>0</v>
      </c>
      <c r="X609" s="34">
        <v>0</v>
      </c>
      <c r="Y609" s="34">
        <v>0</v>
      </c>
      <c r="Z609" s="34">
        <v>0</v>
      </c>
      <c r="AA609" s="34">
        <v>0</v>
      </c>
      <c r="AB609" s="34">
        <v>0</v>
      </c>
      <c r="AC609" s="34">
        <v>0</v>
      </c>
      <c r="AD609" s="34">
        <v>0</v>
      </c>
      <c r="AE609" s="34">
        <v>0</v>
      </c>
      <c r="AF609" s="34">
        <v>0</v>
      </c>
      <c r="AG609" s="34">
        <v>0</v>
      </c>
      <c r="AH609" s="34">
        <v>0</v>
      </c>
      <c r="AI609" s="34">
        <v>0</v>
      </c>
      <c r="AJ609" s="34">
        <v>0</v>
      </c>
      <c r="AK609" s="34">
        <v>0</v>
      </c>
      <c r="AL609" s="34">
        <v>0</v>
      </c>
      <c r="AM609" s="34">
        <v>0</v>
      </c>
      <c r="AN609" s="34">
        <v>0</v>
      </c>
      <c r="AO609" s="34">
        <v>0</v>
      </c>
      <c r="AP609" s="34">
        <v>0</v>
      </c>
      <c r="AQ609" s="34">
        <v>0</v>
      </c>
      <c r="AR609" s="34">
        <v>0</v>
      </c>
      <c r="AS609" s="34">
        <v>0</v>
      </c>
      <c r="AT609" s="34">
        <v>0</v>
      </c>
      <c r="AU609" s="34">
        <v>0</v>
      </c>
      <c r="AV609" s="34">
        <v>0</v>
      </c>
      <c r="AW609" s="34">
        <v>0</v>
      </c>
      <c r="AX609" s="34">
        <v>0</v>
      </c>
      <c r="AY609" s="34">
        <v>0</v>
      </c>
      <c r="AZ609" s="34">
        <v>0</v>
      </c>
      <c r="BA609" s="34">
        <v>0</v>
      </c>
      <c r="BB609" s="34">
        <v>912</v>
      </c>
      <c r="BC609" s="34">
        <v>0</v>
      </c>
      <c r="BD609" s="34">
        <v>0</v>
      </c>
      <c r="BE609" s="42">
        <v>654</v>
      </c>
      <c r="BF609" s="18">
        <v>0</v>
      </c>
      <c r="BG609" s="18">
        <v>0</v>
      </c>
      <c r="BH609" s="18">
        <v>0</v>
      </c>
      <c r="BI609" s="18">
        <v>0</v>
      </c>
      <c r="BJ609" s="113">
        <v>0</v>
      </c>
      <c r="BK609" s="113">
        <v>0</v>
      </c>
      <c r="BL609" s="113">
        <v>0</v>
      </c>
      <c r="BM609" s="113">
        <v>0</v>
      </c>
      <c r="BN609" s="113">
        <v>0</v>
      </c>
      <c r="BO609" s="113">
        <v>0</v>
      </c>
      <c r="BP609" s="113">
        <v>0</v>
      </c>
      <c r="BQ609" s="113">
        <v>0</v>
      </c>
      <c r="BR609" s="101"/>
      <c r="BS609">
        <f t="shared" si="1187"/>
        <v>0</v>
      </c>
      <c r="BT609">
        <f t="shared" si="1187"/>
        <v>0</v>
      </c>
      <c r="BU609">
        <f t="shared" si="1186"/>
        <v>0</v>
      </c>
      <c r="BV609">
        <f t="shared" si="1186"/>
        <v>0</v>
      </c>
      <c r="BW609">
        <f t="shared" si="1186"/>
        <v>0</v>
      </c>
      <c r="BX609">
        <f t="shared" si="1186"/>
        <v>0</v>
      </c>
      <c r="BY609">
        <f t="shared" si="1186"/>
        <v>0</v>
      </c>
      <c r="BZ609">
        <f t="shared" si="1186"/>
        <v>0</v>
      </c>
      <c r="CA609">
        <f t="shared" si="1186"/>
        <v>0</v>
      </c>
      <c r="CB609">
        <f t="shared" si="1186"/>
        <v>0</v>
      </c>
      <c r="CC609">
        <f t="shared" si="1188"/>
        <v>0</v>
      </c>
      <c r="CD609">
        <f t="shared" si="1188"/>
        <v>0</v>
      </c>
      <c r="CE609">
        <f t="shared" si="1188"/>
        <v>0</v>
      </c>
      <c r="CF609">
        <f t="shared" si="1188"/>
        <v>0</v>
      </c>
      <c r="CG609">
        <f t="shared" si="1188"/>
        <v>0</v>
      </c>
      <c r="CH609">
        <f t="shared" si="1188"/>
        <v>0</v>
      </c>
      <c r="CI609">
        <f t="shared" si="1188"/>
        <v>0</v>
      </c>
      <c r="CJ609">
        <f t="shared" si="1188"/>
        <v>0</v>
      </c>
      <c r="CK609">
        <f t="shared" si="1188"/>
        <v>0</v>
      </c>
      <c r="CL609">
        <f t="shared" si="1188"/>
        <v>0</v>
      </c>
      <c r="CM609">
        <f t="shared" si="1189"/>
        <v>0</v>
      </c>
      <c r="CN609">
        <f t="shared" si="1189"/>
        <v>0</v>
      </c>
      <c r="CO609">
        <f t="shared" si="1189"/>
        <v>0</v>
      </c>
      <c r="CP609">
        <f t="shared" si="1189"/>
        <v>0</v>
      </c>
      <c r="CQ609">
        <f t="shared" si="1189"/>
        <v>0</v>
      </c>
      <c r="CR609">
        <f t="shared" si="1189"/>
        <v>0</v>
      </c>
      <c r="CS609">
        <f t="shared" si="1189"/>
        <v>0</v>
      </c>
      <c r="CT609">
        <f t="shared" si="1189"/>
        <v>0</v>
      </c>
      <c r="CU609">
        <f t="shared" si="1189"/>
        <v>0</v>
      </c>
      <c r="CV609">
        <f t="shared" si="1189"/>
        <v>0</v>
      </c>
      <c r="CW609">
        <f t="shared" si="1190"/>
        <v>0</v>
      </c>
      <c r="CX609">
        <f t="shared" si="1190"/>
        <v>0</v>
      </c>
      <c r="CY609">
        <f t="shared" si="1190"/>
        <v>0</v>
      </c>
      <c r="CZ609">
        <f t="shared" si="1190"/>
        <v>0</v>
      </c>
      <c r="DA609">
        <f t="shared" si="1190"/>
        <v>0</v>
      </c>
      <c r="DB609">
        <f t="shared" si="1190"/>
        <v>0</v>
      </c>
      <c r="DC609">
        <f t="shared" si="1190"/>
        <v>0</v>
      </c>
      <c r="DD609">
        <f t="shared" si="1190"/>
        <v>0</v>
      </c>
      <c r="DE609">
        <f t="shared" si="1190"/>
        <v>0</v>
      </c>
      <c r="DF609">
        <f t="shared" si="1190"/>
        <v>0</v>
      </c>
      <c r="DG609">
        <f t="shared" si="1191"/>
        <v>0</v>
      </c>
      <c r="DH609">
        <f t="shared" si="1191"/>
        <v>0</v>
      </c>
      <c r="DI609">
        <f t="shared" si="1191"/>
        <v>0</v>
      </c>
      <c r="DJ609">
        <f t="shared" si="1191"/>
        <v>0</v>
      </c>
      <c r="DK609">
        <f t="shared" si="1191"/>
        <v>0</v>
      </c>
      <c r="DL609">
        <f t="shared" si="1191"/>
        <v>0</v>
      </c>
      <c r="DM609">
        <f t="shared" si="1191"/>
        <v>0</v>
      </c>
      <c r="DN609">
        <f t="shared" si="1191"/>
        <v>0</v>
      </c>
      <c r="DO609">
        <f t="shared" si="1191"/>
        <v>0</v>
      </c>
      <c r="DP609">
        <f t="shared" si="1191"/>
        <v>0</v>
      </c>
      <c r="DQ609">
        <f t="shared" si="1192"/>
        <v>0</v>
      </c>
      <c r="DR609">
        <f t="shared" si="1192"/>
        <v>0</v>
      </c>
      <c r="DS609">
        <f t="shared" si="1192"/>
        <v>0</v>
      </c>
      <c r="DT609">
        <f t="shared" si="1192"/>
        <v>0</v>
      </c>
      <c r="DU609">
        <f t="shared" si="1192"/>
        <v>0</v>
      </c>
      <c r="DV609">
        <f t="shared" si="1192"/>
        <v>0</v>
      </c>
      <c r="DW609">
        <f t="shared" si="1192"/>
        <v>0</v>
      </c>
      <c r="DX609">
        <f t="shared" si="1192"/>
        <v>0</v>
      </c>
      <c r="DY609">
        <f t="shared" si="1192"/>
        <v>0</v>
      </c>
      <c r="DZ609">
        <f t="shared" si="1192"/>
        <v>0</v>
      </c>
      <c r="EA609">
        <f t="shared" si="1193"/>
        <v>0</v>
      </c>
      <c r="EB609">
        <f t="shared" si="1193"/>
        <v>0</v>
      </c>
      <c r="EC609">
        <f t="shared" si="1193"/>
        <v>0</v>
      </c>
      <c r="ED609">
        <f t="shared" si="1193"/>
        <v>0</v>
      </c>
      <c r="EE609">
        <f t="shared" si="1193"/>
        <v>0</v>
      </c>
      <c r="EF609">
        <f t="shared" si="1193"/>
        <v>0</v>
      </c>
    </row>
    <row r="610" spans="1:136" ht="15.5">
      <c r="A610" s="90"/>
      <c r="B610" s="19" t="s">
        <v>208</v>
      </c>
      <c r="C610" s="95"/>
      <c r="D610" s="18"/>
      <c r="E610" s="18"/>
      <c r="F610" s="18">
        <v>0</v>
      </c>
      <c r="G610" s="18">
        <v>0</v>
      </c>
      <c r="H610" s="18">
        <v>0</v>
      </c>
      <c r="I610" s="18">
        <v>0</v>
      </c>
      <c r="J610" s="18">
        <v>0</v>
      </c>
      <c r="K610" s="18">
        <v>0</v>
      </c>
      <c r="L610" s="18">
        <v>0</v>
      </c>
      <c r="M610" s="18">
        <v>0</v>
      </c>
      <c r="N610" s="18">
        <v>0</v>
      </c>
      <c r="O610" s="18">
        <v>0</v>
      </c>
      <c r="P610" s="18">
        <v>0</v>
      </c>
      <c r="Q610" s="18">
        <v>0.96499999999999997</v>
      </c>
      <c r="R610" s="18">
        <v>0.51700000000000002</v>
      </c>
      <c r="S610" s="18">
        <v>0.35699999999999998</v>
      </c>
      <c r="T610" s="18">
        <v>0.35699999999999998</v>
      </c>
      <c r="U610" s="18">
        <v>0</v>
      </c>
      <c r="V610" s="18">
        <v>0</v>
      </c>
      <c r="W610" s="18">
        <v>5.4235999999999999E-2</v>
      </c>
      <c r="X610" s="18">
        <v>19.21048</v>
      </c>
      <c r="Y610" s="18">
        <v>1.6022000000000001</v>
      </c>
      <c r="Z610" s="18">
        <v>0.13248499999999999</v>
      </c>
      <c r="AA610" s="18">
        <v>16.19867</v>
      </c>
      <c r="AB610" s="18">
        <v>5.1305649999999998</v>
      </c>
      <c r="AC610" s="18">
        <v>4.390784</v>
      </c>
      <c r="AD610" s="18">
        <v>18.469650000000001</v>
      </c>
      <c r="AE610" s="40" t="s">
        <v>16</v>
      </c>
      <c r="AF610" s="40" t="s">
        <v>16</v>
      </c>
      <c r="AG610" s="40" t="s">
        <v>16</v>
      </c>
      <c r="AH610" s="40" t="s">
        <v>16</v>
      </c>
      <c r="AI610" s="40" t="s">
        <v>16</v>
      </c>
      <c r="AJ610" s="40" t="s">
        <v>16</v>
      </c>
      <c r="AK610" s="40" t="s">
        <v>16</v>
      </c>
      <c r="AL610" s="18">
        <v>51.99165</v>
      </c>
      <c r="AM610" s="18">
        <v>52.286850000000001</v>
      </c>
      <c r="AN610" s="18">
        <v>49.862319999999997</v>
      </c>
      <c r="AO610" s="18">
        <v>31.585129999999999</v>
      </c>
      <c r="AP610" s="18">
        <v>32.272660000000002</v>
      </c>
      <c r="AQ610" s="18">
        <v>31.317710000000002</v>
      </c>
      <c r="AR610" s="18">
        <v>49.064612400000001</v>
      </c>
      <c r="AS610" s="18">
        <v>54.290954799999994</v>
      </c>
      <c r="AT610" s="18">
        <v>82.4442758</v>
      </c>
      <c r="AU610" s="18">
        <v>115.10160620000001</v>
      </c>
      <c r="AV610" s="18">
        <v>141.80921900000001</v>
      </c>
      <c r="AW610" s="18">
        <v>93.876426900000013</v>
      </c>
      <c r="AX610" s="18">
        <v>141.8627362</v>
      </c>
      <c r="AY610" s="18">
        <v>131.1989805</v>
      </c>
      <c r="AZ610" s="18">
        <v>125.1865315</v>
      </c>
      <c r="BA610" s="18">
        <v>92.381304999999998</v>
      </c>
      <c r="BB610" s="18">
        <v>70.789355999999998</v>
      </c>
      <c r="BC610" s="18">
        <v>60.270765199999992</v>
      </c>
      <c r="BD610" s="18">
        <v>54.493560899999999</v>
      </c>
      <c r="BE610" s="18">
        <v>26.179434399999998</v>
      </c>
      <c r="BF610" s="18">
        <v>42.8712205</v>
      </c>
      <c r="BG610" s="18">
        <v>1.2410000000000001</v>
      </c>
      <c r="BH610" s="18">
        <v>0</v>
      </c>
      <c r="BI610" s="18">
        <v>0.47839509999999996</v>
      </c>
      <c r="BJ610" s="18">
        <v>0</v>
      </c>
      <c r="BK610" s="113">
        <v>0</v>
      </c>
      <c r="BL610" s="113">
        <v>0</v>
      </c>
      <c r="BM610" s="113">
        <v>0</v>
      </c>
      <c r="BN610" s="113">
        <v>2.4180000000000001</v>
      </c>
      <c r="BO610" s="113">
        <v>0</v>
      </c>
      <c r="BP610" s="113">
        <v>0</v>
      </c>
      <c r="BQ610" s="113">
        <v>0</v>
      </c>
      <c r="BR610" s="101"/>
      <c r="BS610">
        <f t="shared" si="1187"/>
        <v>0</v>
      </c>
      <c r="BT610">
        <f t="shared" si="1187"/>
        <v>0</v>
      </c>
      <c r="BU610">
        <f t="shared" si="1186"/>
        <v>0</v>
      </c>
      <c r="BV610">
        <f t="shared" si="1186"/>
        <v>0</v>
      </c>
      <c r="BW610">
        <f t="shared" si="1186"/>
        <v>0</v>
      </c>
      <c r="BX610">
        <f t="shared" si="1186"/>
        <v>0</v>
      </c>
      <c r="BY610">
        <f t="shared" si="1186"/>
        <v>0</v>
      </c>
      <c r="BZ610">
        <f t="shared" si="1186"/>
        <v>0</v>
      </c>
      <c r="CA610">
        <f t="shared" si="1186"/>
        <v>0</v>
      </c>
      <c r="CB610">
        <f t="shared" si="1186"/>
        <v>0</v>
      </c>
      <c r="CC610">
        <f t="shared" si="1188"/>
        <v>0</v>
      </c>
      <c r="CD610">
        <f t="shared" si="1188"/>
        <v>0</v>
      </c>
      <c r="CE610">
        <f t="shared" si="1188"/>
        <v>0</v>
      </c>
      <c r="CF610">
        <f t="shared" si="1188"/>
        <v>0</v>
      </c>
      <c r="CG610">
        <f t="shared" si="1188"/>
        <v>0</v>
      </c>
      <c r="CH610">
        <f t="shared" si="1188"/>
        <v>0</v>
      </c>
      <c r="CI610">
        <f t="shared" si="1188"/>
        <v>0</v>
      </c>
      <c r="CJ610">
        <f t="shared" si="1188"/>
        <v>0</v>
      </c>
      <c r="CK610">
        <f t="shared" si="1188"/>
        <v>0</v>
      </c>
      <c r="CL610">
        <f t="shared" si="1188"/>
        <v>0</v>
      </c>
      <c r="CM610">
        <f t="shared" si="1189"/>
        <v>0</v>
      </c>
      <c r="CN610">
        <f t="shared" si="1189"/>
        <v>0</v>
      </c>
      <c r="CO610">
        <f t="shared" si="1189"/>
        <v>0</v>
      </c>
      <c r="CP610">
        <f t="shared" si="1189"/>
        <v>0</v>
      </c>
      <c r="CQ610">
        <f t="shared" si="1189"/>
        <v>0</v>
      </c>
      <c r="CR610">
        <f t="shared" si="1189"/>
        <v>0</v>
      </c>
      <c r="CS610">
        <f t="shared" si="1189"/>
        <v>0</v>
      </c>
      <c r="CT610">
        <f t="shared" si="1189"/>
        <v>0</v>
      </c>
      <c r="CU610">
        <f t="shared" si="1189"/>
        <v>0</v>
      </c>
      <c r="CV610">
        <f t="shared" si="1189"/>
        <v>0</v>
      </c>
      <c r="CW610">
        <f t="shared" si="1190"/>
        <v>0</v>
      </c>
      <c r="CX610">
        <f t="shared" si="1190"/>
        <v>0</v>
      </c>
      <c r="CY610">
        <f t="shared" si="1190"/>
        <v>0</v>
      </c>
      <c r="CZ610">
        <f t="shared" si="1190"/>
        <v>0</v>
      </c>
      <c r="DA610">
        <f t="shared" si="1190"/>
        <v>0</v>
      </c>
      <c r="DB610">
        <f t="shared" si="1190"/>
        <v>0</v>
      </c>
      <c r="DC610">
        <f t="shared" si="1190"/>
        <v>0</v>
      </c>
      <c r="DD610">
        <f t="shared" si="1190"/>
        <v>0</v>
      </c>
      <c r="DE610">
        <f t="shared" si="1190"/>
        <v>0</v>
      </c>
      <c r="DF610">
        <f t="shared" si="1190"/>
        <v>0</v>
      </c>
      <c r="DG610">
        <f t="shared" si="1191"/>
        <v>0</v>
      </c>
      <c r="DH610">
        <f t="shared" si="1191"/>
        <v>0</v>
      </c>
      <c r="DI610">
        <f t="shared" si="1191"/>
        <v>0</v>
      </c>
      <c r="DJ610">
        <f t="shared" si="1191"/>
        <v>0</v>
      </c>
      <c r="DK610">
        <f t="shared" si="1191"/>
        <v>0</v>
      </c>
      <c r="DL610">
        <f t="shared" si="1191"/>
        <v>0</v>
      </c>
      <c r="DM610">
        <f t="shared" si="1191"/>
        <v>0</v>
      </c>
      <c r="DN610">
        <f t="shared" si="1191"/>
        <v>0</v>
      </c>
      <c r="DO610">
        <f t="shared" si="1191"/>
        <v>0</v>
      </c>
      <c r="DP610">
        <f t="shared" si="1191"/>
        <v>0</v>
      </c>
      <c r="DQ610">
        <f t="shared" si="1192"/>
        <v>0</v>
      </c>
      <c r="DR610">
        <f t="shared" si="1192"/>
        <v>0</v>
      </c>
      <c r="DS610">
        <f t="shared" si="1192"/>
        <v>0</v>
      </c>
      <c r="DT610">
        <f t="shared" si="1192"/>
        <v>0</v>
      </c>
      <c r="DU610">
        <f t="shared" si="1192"/>
        <v>0</v>
      </c>
      <c r="DV610">
        <f t="shared" si="1192"/>
        <v>0</v>
      </c>
      <c r="DW610">
        <f t="shared" si="1192"/>
        <v>0</v>
      </c>
      <c r="DX610">
        <f t="shared" si="1192"/>
        <v>0</v>
      </c>
      <c r="DY610">
        <f t="shared" si="1192"/>
        <v>0</v>
      </c>
      <c r="DZ610">
        <f t="shared" si="1192"/>
        <v>0</v>
      </c>
      <c r="EA610">
        <f t="shared" si="1193"/>
        <v>0</v>
      </c>
      <c r="EB610">
        <f t="shared" si="1193"/>
        <v>0</v>
      </c>
      <c r="EC610">
        <f t="shared" si="1193"/>
        <v>0</v>
      </c>
      <c r="ED610">
        <f t="shared" si="1193"/>
        <v>0</v>
      </c>
      <c r="EE610">
        <f t="shared" si="1193"/>
        <v>0</v>
      </c>
      <c r="EF610">
        <f t="shared" si="1193"/>
        <v>0</v>
      </c>
    </row>
    <row r="611" spans="1:136" ht="15.5">
      <c r="A611" s="90"/>
      <c r="B611" s="53" t="s">
        <v>21</v>
      </c>
      <c r="C611" s="94"/>
      <c r="D611" s="18"/>
      <c r="E611" s="18"/>
      <c r="F611" s="18">
        <v>0</v>
      </c>
      <c r="G611" s="18">
        <v>0</v>
      </c>
      <c r="H611" s="18">
        <v>0</v>
      </c>
      <c r="I611" s="18">
        <v>0</v>
      </c>
      <c r="J611" s="18">
        <v>0</v>
      </c>
      <c r="K611" s="18">
        <v>0</v>
      </c>
      <c r="L611" s="18">
        <v>0</v>
      </c>
      <c r="M611" s="18">
        <v>0</v>
      </c>
      <c r="N611" s="18">
        <v>0</v>
      </c>
      <c r="O611" s="18">
        <v>0</v>
      </c>
      <c r="P611" s="18">
        <v>0</v>
      </c>
      <c r="Q611" s="18">
        <v>0</v>
      </c>
      <c r="R611" s="18">
        <v>0</v>
      </c>
      <c r="S611" s="18">
        <v>0</v>
      </c>
      <c r="T611" s="18">
        <v>0</v>
      </c>
      <c r="U611" s="18">
        <v>0</v>
      </c>
      <c r="V611" s="18">
        <v>0</v>
      </c>
      <c r="W611" s="18">
        <v>0</v>
      </c>
      <c r="X611" s="18">
        <v>0</v>
      </c>
      <c r="Y611" s="18">
        <v>0</v>
      </c>
      <c r="Z611" s="18">
        <v>0</v>
      </c>
      <c r="AA611" s="18">
        <v>0</v>
      </c>
      <c r="AB611" s="18">
        <v>0</v>
      </c>
      <c r="AC611" s="18">
        <v>0</v>
      </c>
      <c r="AD611" s="18">
        <v>0</v>
      </c>
      <c r="AE611" s="18">
        <v>0</v>
      </c>
      <c r="AF611" s="18">
        <v>0</v>
      </c>
      <c r="AG611" s="18">
        <v>0</v>
      </c>
      <c r="AH611" s="18">
        <v>0</v>
      </c>
      <c r="AI611" s="18">
        <v>0</v>
      </c>
      <c r="AJ611" s="18">
        <v>0</v>
      </c>
      <c r="AK611" s="18">
        <v>0</v>
      </c>
      <c r="AL611" s="18">
        <v>0</v>
      </c>
      <c r="AM611" s="18">
        <v>0</v>
      </c>
      <c r="AN611" s="18">
        <v>0</v>
      </c>
      <c r="AO611" s="18">
        <v>0</v>
      </c>
      <c r="AP611" s="18">
        <v>0</v>
      </c>
      <c r="AQ611" s="18">
        <v>0</v>
      </c>
      <c r="AR611" s="18">
        <v>0</v>
      </c>
      <c r="AS611" s="18">
        <v>0</v>
      </c>
      <c r="AT611" s="18">
        <v>0</v>
      </c>
      <c r="AU611" s="18">
        <v>0</v>
      </c>
      <c r="AV611" s="18">
        <v>0</v>
      </c>
      <c r="AW611" s="18">
        <v>0</v>
      </c>
      <c r="AX611" s="18">
        <v>0</v>
      </c>
      <c r="AY611" s="18">
        <v>0</v>
      </c>
      <c r="AZ611" s="18">
        <v>0</v>
      </c>
      <c r="BA611" s="18">
        <v>0</v>
      </c>
      <c r="BB611" s="18">
        <v>7900</v>
      </c>
      <c r="BC611" s="18">
        <v>0</v>
      </c>
      <c r="BD611" s="18">
        <v>0</v>
      </c>
      <c r="BE611" s="25">
        <v>8796</v>
      </c>
      <c r="BF611" s="18">
        <v>0</v>
      </c>
      <c r="BG611" s="18">
        <v>0</v>
      </c>
      <c r="BH611" s="18">
        <v>0</v>
      </c>
      <c r="BI611" s="18">
        <v>0</v>
      </c>
      <c r="BJ611" s="113">
        <v>0</v>
      </c>
      <c r="BK611" s="113">
        <v>0</v>
      </c>
      <c r="BL611" s="113">
        <v>0</v>
      </c>
      <c r="BM611" s="113">
        <v>0</v>
      </c>
      <c r="BN611" s="113">
        <v>0</v>
      </c>
      <c r="BO611" s="113">
        <v>0</v>
      </c>
      <c r="BP611" s="113">
        <v>0</v>
      </c>
      <c r="BQ611" s="113">
        <v>0</v>
      </c>
      <c r="BR611" s="101"/>
      <c r="BS611">
        <f t="shared" si="1187"/>
        <v>0</v>
      </c>
      <c r="BT611">
        <f t="shared" si="1187"/>
        <v>0</v>
      </c>
      <c r="BU611">
        <f t="shared" si="1186"/>
        <v>0</v>
      </c>
      <c r="BV611">
        <f t="shared" si="1186"/>
        <v>0</v>
      </c>
      <c r="BW611">
        <f t="shared" si="1186"/>
        <v>0</v>
      </c>
      <c r="BX611">
        <f t="shared" si="1186"/>
        <v>0</v>
      </c>
      <c r="BY611">
        <f t="shared" si="1186"/>
        <v>0</v>
      </c>
      <c r="BZ611">
        <f t="shared" si="1186"/>
        <v>0</v>
      </c>
      <c r="CA611">
        <f t="shared" si="1186"/>
        <v>0</v>
      </c>
      <c r="CB611">
        <f t="shared" si="1186"/>
        <v>0</v>
      </c>
      <c r="CC611">
        <f t="shared" si="1188"/>
        <v>0</v>
      </c>
      <c r="CD611">
        <f t="shared" si="1188"/>
        <v>0</v>
      </c>
      <c r="CE611">
        <f t="shared" si="1188"/>
        <v>0</v>
      </c>
      <c r="CF611">
        <f t="shared" si="1188"/>
        <v>0</v>
      </c>
      <c r="CG611">
        <f t="shared" si="1188"/>
        <v>0</v>
      </c>
      <c r="CH611">
        <f t="shared" si="1188"/>
        <v>0</v>
      </c>
      <c r="CI611">
        <f t="shared" si="1188"/>
        <v>0</v>
      </c>
      <c r="CJ611">
        <f t="shared" si="1188"/>
        <v>0</v>
      </c>
      <c r="CK611">
        <f t="shared" si="1188"/>
        <v>0</v>
      </c>
      <c r="CL611">
        <f t="shared" si="1188"/>
        <v>0</v>
      </c>
      <c r="CM611">
        <f t="shared" si="1189"/>
        <v>0</v>
      </c>
      <c r="CN611">
        <f t="shared" si="1189"/>
        <v>0</v>
      </c>
      <c r="CO611">
        <f t="shared" si="1189"/>
        <v>0</v>
      </c>
      <c r="CP611">
        <f t="shared" si="1189"/>
        <v>0</v>
      </c>
      <c r="CQ611">
        <f t="shared" si="1189"/>
        <v>0</v>
      </c>
      <c r="CR611">
        <f t="shared" si="1189"/>
        <v>0</v>
      </c>
      <c r="CS611">
        <f t="shared" si="1189"/>
        <v>0</v>
      </c>
      <c r="CT611">
        <f t="shared" si="1189"/>
        <v>0</v>
      </c>
      <c r="CU611">
        <f t="shared" si="1189"/>
        <v>0</v>
      </c>
      <c r="CV611">
        <f t="shared" si="1189"/>
        <v>0</v>
      </c>
      <c r="CW611">
        <f t="shared" si="1190"/>
        <v>0</v>
      </c>
      <c r="CX611">
        <f t="shared" si="1190"/>
        <v>0</v>
      </c>
      <c r="CY611">
        <f t="shared" si="1190"/>
        <v>0</v>
      </c>
      <c r="CZ611">
        <f t="shared" si="1190"/>
        <v>0</v>
      </c>
      <c r="DA611">
        <f t="shared" si="1190"/>
        <v>0</v>
      </c>
      <c r="DB611">
        <f t="shared" si="1190"/>
        <v>0</v>
      </c>
      <c r="DC611">
        <f t="shared" si="1190"/>
        <v>0</v>
      </c>
      <c r="DD611">
        <f t="shared" si="1190"/>
        <v>0</v>
      </c>
      <c r="DE611">
        <f t="shared" si="1190"/>
        <v>0</v>
      </c>
      <c r="DF611">
        <f t="shared" si="1190"/>
        <v>0</v>
      </c>
      <c r="DG611">
        <f t="shared" si="1191"/>
        <v>0</v>
      </c>
      <c r="DH611">
        <f t="shared" si="1191"/>
        <v>0</v>
      </c>
      <c r="DI611">
        <f t="shared" si="1191"/>
        <v>0</v>
      </c>
      <c r="DJ611">
        <f t="shared" si="1191"/>
        <v>0</v>
      </c>
      <c r="DK611">
        <f t="shared" si="1191"/>
        <v>0</v>
      </c>
      <c r="DL611">
        <f t="shared" si="1191"/>
        <v>0</v>
      </c>
      <c r="DM611">
        <f t="shared" si="1191"/>
        <v>0</v>
      </c>
      <c r="DN611">
        <f t="shared" si="1191"/>
        <v>0</v>
      </c>
      <c r="DO611">
        <f t="shared" si="1191"/>
        <v>0</v>
      </c>
      <c r="DP611">
        <f t="shared" si="1191"/>
        <v>0</v>
      </c>
      <c r="DQ611">
        <f t="shared" si="1192"/>
        <v>0</v>
      </c>
      <c r="DR611">
        <f t="shared" si="1192"/>
        <v>0</v>
      </c>
      <c r="DS611">
        <f t="shared" si="1192"/>
        <v>0</v>
      </c>
      <c r="DT611">
        <f t="shared" si="1192"/>
        <v>0</v>
      </c>
      <c r="DU611">
        <f t="shared" si="1192"/>
        <v>0</v>
      </c>
      <c r="DV611">
        <f t="shared" si="1192"/>
        <v>0</v>
      </c>
      <c r="DW611">
        <f t="shared" si="1192"/>
        <v>0</v>
      </c>
      <c r="DX611">
        <f t="shared" si="1192"/>
        <v>0</v>
      </c>
      <c r="DY611">
        <f t="shared" si="1192"/>
        <v>0</v>
      </c>
      <c r="DZ611">
        <f t="shared" si="1192"/>
        <v>0</v>
      </c>
      <c r="EA611">
        <f t="shared" si="1193"/>
        <v>0</v>
      </c>
      <c r="EB611">
        <f t="shared" si="1193"/>
        <v>0</v>
      </c>
      <c r="EC611">
        <f t="shared" si="1193"/>
        <v>0</v>
      </c>
      <c r="ED611">
        <f t="shared" si="1193"/>
        <v>0</v>
      </c>
      <c r="EE611">
        <f t="shared" si="1193"/>
        <v>0</v>
      </c>
      <c r="EF611">
        <f t="shared" si="1193"/>
        <v>0</v>
      </c>
    </row>
    <row r="612" spans="1:136" ht="15.5">
      <c r="A612" s="90"/>
      <c r="B612" s="53" t="s">
        <v>212</v>
      </c>
      <c r="C612" s="94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>
        <v>0</v>
      </c>
      <c r="AI612" s="18">
        <v>0</v>
      </c>
      <c r="AJ612" s="18">
        <v>0</v>
      </c>
      <c r="AK612" s="18">
        <v>0</v>
      </c>
      <c r="AL612" s="18">
        <v>0</v>
      </c>
      <c r="AM612" s="18">
        <v>0</v>
      </c>
      <c r="AN612" s="18">
        <v>0</v>
      </c>
      <c r="AO612" s="18">
        <v>0</v>
      </c>
      <c r="AP612" s="18">
        <v>0</v>
      </c>
      <c r="AQ612" s="18">
        <v>0</v>
      </c>
      <c r="AR612" s="18">
        <v>0</v>
      </c>
      <c r="AS612" s="18">
        <v>0</v>
      </c>
      <c r="AT612" s="18">
        <v>0</v>
      </c>
      <c r="AU612" s="18">
        <v>54.884868421052637</v>
      </c>
      <c r="AV612" s="18">
        <v>0</v>
      </c>
      <c r="AW612" s="18">
        <v>0</v>
      </c>
      <c r="AX612" s="18">
        <v>0</v>
      </c>
      <c r="AY612" s="18">
        <v>0</v>
      </c>
      <c r="AZ612" s="18">
        <v>0</v>
      </c>
      <c r="BA612" s="18">
        <v>777.35722284434496</v>
      </c>
      <c r="BB612" s="18">
        <v>802.78037383177571</v>
      </c>
      <c r="BC612" s="18">
        <v>795.34722222222217</v>
      </c>
      <c r="BD612" s="18">
        <v>638.390928725702</v>
      </c>
      <c r="BE612" s="18">
        <v>434.90566037735852</v>
      </c>
      <c r="BF612" s="18">
        <v>627.73601398601397</v>
      </c>
      <c r="BG612" s="18">
        <v>498.33333333333331</v>
      </c>
      <c r="BH612" s="18">
        <v>456.18153364632241</v>
      </c>
      <c r="BI612" s="18">
        <v>316.97506033789222</v>
      </c>
      <c r="BJ612" s="113">
        <v>172.33201581027669</v>
      </c>
      <c r="BK612" s="113">
        <v>0</v>
      </c>
      <c r="BL612" s="113">
        <v>0</v>
      </c>
      <c r="BM612" s="113">
        <v>0</v>
      </c>
      <c r="BN612" s="113">
        <v>0</v>
      </c>
      <c r="BO612" s="113">
        <v>0</v>
      </c>
      <c r="BP612" s="113">
        <v>0</v>
      </c>
      <c r="BQ612" s="113">
        <v>0</v>
      </c>
      <c r="BR612" s="101"/>
      <c r="BS612">
        <f t="shared" si="1187"/>
        <v>0</v>
      </c>
      <c r="BT612">
        <f t="shared" si="1187"/>
        <v>0</v>
      </c>
      <c r="BU612">
        <f t="shared" si="1186"/>
        <v>0</v>
      </c>
      <c r="BV612">
        <f t="shared" si="1186"/>
        <v>0</v>
      </c>
      <c r="BW612">
        <f t="shared" si="1186"/>
        <v>0</v>
      </c>
      <c r="BX612">
        <f t="shared" si="1186"/>
        <v>0</v>
      </c>
      <c r="BY612">
        <f t="shared" si="1186"/>
        <v>0</v>
      </c>
      <c r="BZ612">
        <f t="shared" si="1186"/>
        <v>0</v>
      </c>
      <c r="CA612">
        <f t="shared" si="1186"/>
        <v>0</v>
      </c>
      <c r="CB612">
        <f t="shared" si="1186"/>
        <v>0</v>
      </c>
      <c r="CC612">
        <f t="shared" si="1188"/>
        <v>0</v>
      </c>
      <c r="CD612">
        <f t="shared" si="1188"/>
        <v>0</v>
      </c>
      <c r="CE612">
        <f t="shared" si="1188"/>
        <v>0</v>
      </c>
      <c r="CF612">
        <f t="shared" si="1188"/>
        <v>0</v>
      </c>
      <c r="CG612">
        <f t="shared" si="1188"/>
        <v>0</v>
      </c>
      <c r="CH612">
        <f t="shared" si="1188"/>
        <v>0</v>
      </c>
      <c r="CI612">
        <f t="shared" si="1188"/>
        <v>0</v>
      </c>
      <c r="CJ612">
        <f t="shared" si="1188"/>
        <v>0</v>
      </c>
      <c r="CK612">
        <f t="shared" si="1188"/>
        <v>0</v>
      </c>
      <c r="CL612">
        <f t="shared" si="1188"/>
        <v>0</v>
      </c>
      <c r="CM612">
        <f t="shared" si="1189"/>
        <v>0</v>
      </c>
      <c r="CN612">
        <f t="shared" si="1189"/>
        <v>0</v>
      </c>
      <c r="CO612">
        <f t="shared" si="1189"/>
        <v>0</v>
      </c>
      <c r="CP612">
        <f t="shared" si="1189"/>
        <v>0</v>
      </c>
      <c r="CQ612">
        <f t="shared" si="1189"/>
        <v>0</v>
      </c>
      <c r="CR612">
        <f t="shared" si="1189"/>
        <v>0</v>
      </c>
      <c r="CS612">
        <f t="shared" si="1189"/>
        <v>0</v>
      </c>
      <c r="CT612">
        <f t="shared" si="1189"/>
        <v>0</v>
      </c>
      <c r="CU612">
        <f t="shared" si="1189"/>
        <v>0</v>
      </c>
      <c r="CV612">
        <f t="shared" si="1189"/>
        <v>0</v>
      </c>
      <c r="CW612">
        <f t="shared" si="1190"/>
        <v>0</v>
      </c>
      <c r="CX612">
        <f t="shared" si="1190"/>
        <v>0</v>
      </c>
      <c r="CY612">
        <f t="shared" si="1190"/>
        <v>0</v>
      </c>
      <c r="CZ612">
        <f t="shared" si="1190"/>
        <v>0</v>
      </c>
      <c r="DA612">
        <f t="shared" si="1190"/>
        <v>0</v>
      </c>
      <c r="DB612">
        <f t="shared" si="1190"/>
        <v>0</v>
      </c>
      <c r="DC612">
        <f t="shared" si="1190"/>
        <v>0</v>
      </c>
      <c r="DD612">
        <f t="shared" si="1190"/>
        <v>0</v>
      </c>
      <c r="DE612">
        <f t="shared" si="1190"/>
        <v>0</v>
      </c>
      <c r="DF612">
        <f t="shared" si="1190"/>
        <v>0</v>
      </c>
      <c r="DG612">
        <f t="shared" si="1191"/>
        <v>0</v>
      </c>
      <c r="DH612">
        <f t="shared" si="1191"/>
        <v>0</v>
      </c>
      <c r="DI612">
        <f t="shared" si="1191"/>
        <v>0</v>
      </c>
      <c r="DJ612">
        <f t="shared" si="1191"/>
        <v>0</v>
      </c>
      <c r="DK612">
        <f t="shared" si="1191"/>
        <v>0</v>
      </c>
      <c r="DL612">
        <f t="shared" si="1191"/>
        <v>0</v>
      </c>
      <c r="DM612">
        <f t="shared" si="1191"/>
        <v>0</v>
      </c>
      <c r="DN612">
        <f t="shared" si="1191"/>
        <v>0</v>
      </c>
      <c r="DO612">
        <f t="shared" si="1191"/>
        <v>0</v>
      </c>
      <c r="DP612">
        <f t="shared" si="1191"/>
        <v>0</v>
      </c>
      <c r="DQ612">
        <f t="shared" si="1192"/>
        <v>0</v>
      </c>
      <c r="DR612">
        <f t="shared" si="1192"/>
        <v>0</v>
      </c>
      <c r="DS612">
        <f t="shared" si="1192"/>
        <v>0</v>
      </c>
      <c r="DT612">
        <f t="shared" si="1192"/>
        <v>0</v>
      </c>
      <c r="DU612">
        <f t="shared" si="1192"/>
        <v>0</v>
      </c>
      <c r="DV612">
        <f t="shared" si="1192"/>
        <v>0</v>
      </c>
      <c r="DW612">
        <f t="shared" si="1192"/>
        <v>0</v>
      </c>
      <c r="DX612">
        <f t="shared" si="1192"/>
        <v>0</v>
      </c>
      <c r="DY612">
        <f t="shared" si="1192"/>
        <v>0</v>
      </c>
      <c r="DZ612">
        <f t="shared" si="1192"/>
        <v>0</v>
      </c>
      <c r="EA612">
        <f t="shared" si="1193"/>
        <v>0</v>
      </c>
      <c r="EB612">
        <f t="shared" si="1193"/>
        <v>0</v>
      </c>
      <c r="EC612">
        <f t="shared" si="1193"/>
        <v>0</v>
      </c>
      <c r="ED612">
        <f t="shared" si="1193"/>
        <v>0</v>
      </c>
      <c r="EE612">
        <f t="shared" si="1193"/>
        <v>0</v>
      </c>
      <c r="EF612">
        <f t="shared" si="1193"/>
        <v>0</v>
      </c>
    </row>
    <row r="613" spans="1:136" ht="15.5">
      <c r="A613" s="90"/>
      <c r="B613" s="53"/>
      <c r="C613" s="94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  <c r="AS613" s="18"/>
      <c r="AT613" s="18"/>
      <c r="AU613" s="18"/>
      <c r="AV613" s="18"/>
      <c r="AW613" s="18"/>
      <c r="AX613" s="18"/>
      <c r="AY613" s="18"/>
      <c r="AZ613" s="18"/>
      <c r="BA613" s="18"/>
      <c r="BB613" s="18"/>
      <c r="BC613" s="18"/>
      <c r="BD613" s="18"/>
      <c r="BE613" s="18"/>
      <c r="BF613" s="18"/>
      <c r="BG613" s="18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101"/>
    </row>
    <row r="614" spans="1:136" ht="15.5">
      <c r="A614" s="93">
        <v>73</v>
      </c>
      <c r="B614" s="52" t="s">
        <v>86</v>
      </c>
      <c r="C614" s="94">
        <v>3</v>
      </c>
      <c r="D614" s="22">
        <f t="shared" ref="D614:AI614" si="1194">SUM(D615:D619)</f>
        <v>0</v>
      </c>
      <c r="E614" s="22">
        <f t="shared" si="1194"/>
        <v>0</v>
      </c>
      <c r="F614" s="22">
        <f t="shared" si="1194"/>
        <v>0</v>
      </c>
      <c r="G614" s="22">
        <f t="shared" si="1194"/>
        <v>0</v>
      </c>
      <c r="H614" s="22">
        <f t="shared" si="1194"/>
        <v>0</v>
      </c>
      <c r="I614" s="22">
        <f t="shared" si="1194"/>
        <v>0</v>
      </c>
      <c r="J614" s="22">
        <f t="shared" si="1194"/>
        <v>0</v>
      </c>
      <c r="K614" s="22">
        <f t="shared" si="1194"/>
        <v>0</v>
      </c>
      <c r="L614" s="22">
        <f t="shared" si="1194"/>
        <v>0</v>
      </c>
      <c r="M614" s="22">
        <f t="shared" si="1194"/>
        <v>0</v>
      </c>
      <c r="N614" s="22">
        <f t="shared" si="1194"/>
        <v>0.28000000000000003</v>
      </c>
      <c r="O614" s="22">
        <f t="shared" si="1194"/>
        <v>3.4990399999999999</v>
      </c>
      <c r="P614" s="22">
        <f t="shared" si="1194"/>
        <v>6.0633999999999997</v>
      </c>
      <c r="Q614" s="22">
        <f t="shared" si="1194"/>
        <v>7.65327</v>
      </c>
      <c r="R614" s="22">
        <f t="shared" si="1194"/>
        <v>10.654719999999999</v>
      </c>
      <c r="S614" s="22">
        <f t="shared" si="1194"/>
        <v>13.22784</v>
      </c>
      <c r="T614" s="22">
        <f t="shared" si="1194"/>
        <v>17.025410000000001</v>
      </c>
      <c r="U614" s="22">
        <f t="shared" si="1194"/>
        <v>19.667200000000001</v>
      </c>
      <c r="V614" s="22">
        <f t="shared" si="1194"/>
        <v>22.4712</v>
      </c>
      <c r="W614" s="22">
        <f t="shared" si="1194"/>
        <v>25.95749</v>
      </c>
      <c r="X614" s="22">
        <f t="shared" si="1194"/>
        <v>26.992709999999999</v>
      </c>
      <c r="Y614" s="22">
        <f t="shared" si="1194"/>
        <v>28.249659999999999</v>
      </c>
      <c r="Z614" s="22">
        <f t="shared" si="1194"/>
        <v>30.247219999999999</v>
      </c>
      <c r="AA614" s="22">
        <f t="shared" si="1194"/>
        <v>30.153880000000001</v>
      </c>
      <c r="AB614" s="22">
        <f t="shared" si="1194"/>
        <v>8.9296240000000004</v>
      </c>
      <c r="AC614" s="22">
        <f t="shared" si="1194"/>
        <v>9.3640000000000008</v>
      </c>
      <c r="AD614" s="22">
        <f t="shared" si="1194"/>
        <v>10.3</v>
      </c>
      <c r="AE614" s="22">
        <f t="shared" si="1194"/>
        <v>22.072465999999999</v>
      </c>
      <c r="AF614" s="22">
        <f t="shared" si="1194"/>
        <v>66.138839999999988</v>
      </c>
      <c r="AG614" s="22">
        <f t="shared" si="1194"/>
        <v>1056.4578000000001</v>
      </c>
      <c r="AH614" s="22">
        <f t="shared" si="1194"/>
        <v>985.31200000000001</v>
      </c>
      <c r="AI614" s="22">
        <f t="shared" si="1194"/>
        <v>1143.3800999999999</v>
      </c>
      <c r="AJ614" s="22">
        <f t="shared" ref="AJ614:BO614" si="1195">SUM(AJ615:AJ619)</f>
        <v>2025.9179999999999</v>
      </c>
      <c r="AK614" s="22">
        <f t="shared" si="1195"/>
        <v>1740.2571</v>
      </c>
      <c r="AL614" s="22">
        <f t="shared" si="1195"/>
        <v>1321.3038999999999</v>
      </c>
      <c r="AM614" s="22">
        <f t="shared" si="1195"/>
        <v>931.79039999999998</v>
      </c>
      <c r="AN614" s="22">
        <f t="shared" si="1195"/>
        <v>726.16800000000001</v>
      </c>
      <c r="AO614" s="22">
        <f t="shared" si="1195"/>
        <v>996.86249999999995</v>
      </c>
      <c r="AP614" s="22">
        <f t="shared" si="1195"/>
        <v>532.52467000000001</v>
      </c>
      <c r="AQ614" s="22">
        <f t="shared" si="1195"/>
        <v>901.58743200000004</v>
      </c>
      <c r="AR614" s="22">
        <f t="shared" si="1195"/>
        <v>562.78168149999999</v>
      </c>
      <c r="AS614" s="22">
        <f t="shared" si="1195"/>
        <v>696.13145049999991</v>
      </c>
      <c r="AT614" s="22">
        <f t="shared" si="1195"/>
        <v>1219.6064838</v>
      </c>
      <c r="AU614" s="22">
        <f t="shared" si="1195"/>
        <v>503.65946160000004</v>
      </c>
      <c r="AV614" s="22">
        <f t="shared" si="1195"/>
        <v>320.20783699999998</v>
      </c>
      <c r="AW614" s="22">
        <f t="shared" si="1195"/>
        <v>237.40663940000002</v>
      </c>
      <c r="AX614" s="22">
        <f t="shared" si="1195"/>
        <v>342.68370090000002</v>
      </c>
      <c r="AY614" s="22">
        <f t="shared" si="1195"/>
        <v>2618.4839692</v>
      </c>
      <c r="AZ614" s="22">
        <f t="shared" si="1195"/>
        <v>2318.1667797</v>
      </c>
      <c r="BA614" s="22">
        <f t="shared" si="1195"/>
        <v>17.423027400000002</v>
      </c>
      <c r="BB614" s="22">
        <f t="shared" si="1195"/>
        <v>17.929445200000004</v>
      </c>
      <c r="BC614" s="22">
        <f t="shared" si="1195"/>
        <v>20.654354299999998</v>
      </c>
      <c r="BD614" s="22">
        <f t="shared" si="1195"/>
        <v>17.374823600000003</v>
      </c>
      <c r="BE614" s="22">
        <f t="shared" si="1195"/>
        <v>17.6776734</v>
      </c>
      <c r="BF614" s="22">
        <f t="shared" si="1195"/>
        <v>17.579660899999997</v>
      </c>
      <c r="BG614" s="22">
        <f t="shared" si="1195"/>
        <v>17.642489100000002</v>
      </c>
      <c r="BH614" s="22">
        <f t="shared" si="1195"/>
        <v>17.437515999999999</v>
      </c>
      <c r="BI614" s="22">
        <f t="shared" si="1195"/>
        <v>17.500265499999998</v>
      </c>
      <c r="BJ614" s="22">
        <f t="shared" si="1195"/>
        <v>241.74826459999997</v>
      </c>
      <c r="BK614" s="22">
        <f t="shared" si="1195"/>
        <v>17.639173700000004</v>
      </c>
      <c r="BL614" s="22">
        <f t="shared" si="1195"/>
        <v>17.462889699999998</v>
      </c>
      <c r="BM614" s="22">
        <f t="shared" si="1195"/>
        <v>17.452110899999997</v>
      </c>
      <c r="BN614" s="22">
        <f t="shared" si="1195"/>
        <v>17.081218599999996</v>
      </c>
      <c r="BO614" s="22">
        <f t="shared" si="1195"/>
        <v>17</v>
      </c>
      <c r="BP614" s="256">
        <f>SUM(BP615:BP619)</f>
        <v>17</v>
      </c>
      <c r="BQ614" s="256">
        <f>SUM(BQ615:BQ619)</f>
        <v>17</v>
      </c>
      <c r="BR614" s="101"/>
      <c r="BS614">
        <f t="shared" ref="BS614:CB615" si="1196">IF($C614&lt;&gt;"",IF(D614&gt;0,1,0),0)</f>
        <v>0</v>
      </c>
      <c r="BT614">
        <f t="shared" si="1196"/>
        <v>0</v>
      </c>
      <c r="BU614">
        <f t="shared" si="1196"/>
        <v>0</v>
      </c>
      <c r="BV614">
        <f t="shared" si="1196"/>
        <v>0</v>
      </c>
      <c r="BW614">
        <f t="shared" si="1196"/>
        <v>0</v>
      </c>
      <c r="BX614">
        <f t="shared" si="1196"/>
        <v>0</v>
      </c>
      <c r="BY614">
        <f t="shared" si="1196"/>
        <v>0</v>
      </c>
      <c r="BZ614">
        <f t="shared" si="1196"/>
        <v>0</v>
      </c>
      <c r="CA614">
        <f t="shared" si="1196"/>
        <v>0</v>
      </c>
      <c r="CB614">
        <f t="shared" si="1196"/>
        <v>0</v>
      </c>
      <c r="CC614">
        <f t="shared" ref="CC614:CL615" si="1197">IF($C614&lt;&gt;"",IF(N614&gt;0,1,0),0)</f>
        <v>1</v>
      </c>
      <c r="CD614">
        <f t="shared" si="1197"/>
        <v>1</v>
      </c>
      <c r="CE614">
        <f t="shared" si="1197"/>
        <v>1</v>
      </c>
      <c r="CF614">
        <f t="shared" si="1197"/>
        <v>1</v>
      </c>
      <c r="CG614">
        <f t="shared" si="1197"/>
        <v>1</v>
      </c>
      <c r="CH614">
        <f t="shared" si="1197"/>
        <v>1</v>
      </c>
      <c r="CI614">
        <f t="shared" si="1197"/>
        <v>1</v>
      </c>
      <c r="CJ614">
        <f t="shared" si="1197"/>
        <v>1</v>
      </c>
      <c r="CK614">
        <f t="shared" si="1197"/>
        <v>1</v>
      </c>
      <c r="CL614">
        <f t="shared" si="1197"/>
        <v>1</v>
      </c>
      <c r="CM614">
        <f t="shared" ref="CM614:CV615" si="1198">IF($C614&lt;&gt;"",IF(X614&gt;0,1,0),0)</f>
        <v>1</v>
      </c>
      <c r="CN614">
        <f t="shared" si="1198"/>
        <v>1</v>
      </c>
      <c r="CO614">
        <f t="shared" si="1198"/>
        <v>1</v>
      </c>
      <c r="CP614">
        <f t="shared" si="1198"/>
        <v>1</v>
      </c>
      <c r="CQ614">
        <f t="shared" si="1198"/>
        <v>1</v>
      </c>
      <c r="CR614">
        <f t="shared" si="1198"/>
        <v>1</v>
      </c>
      <c r="CS614">
        <f t="shared" si="1198"/>
        <v>1</v>
      </c>
      <c r="CT614">
        <f t="shared" si="1198"/>
        <v>1</v>
      </c>
      <c r="CU614">
        <f t="shared" si="1198"/>
        <v>1</v>
      </c>
      <c r="CV614">
        <f t="shared" si="1198"/>
        <v>1</v>
      </c>
      <c r="CW614">
        <f t="shared" ref="CW614:DF615" si="1199">IF($C614&lt;&gt;"",IF(AH614&gt;0,1,0),0)</f>
        <v>1</v>
      </c>
      <c r="CX614">
        <f t="shared" si="1199"/>
        <v>1</v>
      </c>
      <c r="CY614">
        <f t="shared" si="1199"/>
        <v>1</v>
      </c>
      <c r="CZ614">
        <f t="shared" si="1199"/>
        <v>1</v>
      </c>
      <c r="DA614">
        <f t="shared" si="1199"/>
        <v>1</v>
      </c>
      <c r="DB614">
        <f t="shared" si="1199"/>
        <v>1</v>
      </c>
      <c r="DC614">
        <f t="shared" si="1199"/>
        <v>1</v>
      </c>
      <c r="DD614">
        <f t="shared" si="1199"/>
        <v>1</v>
      </c>
      <c r="DE614">
        <f t="shared" si="1199"/>
        <v>1</v>
      </c>
      <c r="DF614">
        <f t="shared" si="1199"/>
        <v>1</v>
      </c>
      <c r="DG614">
        <f t="shared" ref="DG614:DP615" si="1200">IF($C614&lt;&gt;"",IF(AR614&gt;0,1,0),0)</f>
        <v>1</v>
      </c>
      <c r="DH614">
        <f t="shared" si="1200"/>
        <v>1</v>
      </c>
      <c r="DI614">
        <f t="shared" si="1200"/>
        <v>1</v>
      </c>
      <c r="DJ614">
        <f t="shared" si="1200"/>
        <v>1</v>
      </c>
      <c r="DK614">
        <f t="shared" si="1200"/>
        <v>1</v>
      </c>
      <c r="DL614">
        <f t="shared" si="1200"/>
        <v>1</v>
      </c>
      <c r="DM614">
        <f t="shared" si="1200"/>
        <v>1</v>
      </c>
      <c r="DN614">
        <f t="shared" si="1200"/>
        <v>1</v>
      </c>
      <c r="DO614">
        <f t="shared" si="1200"/>
        <v>1</v>
      </c>
      <c r="DP614">
        <f t="shared" si="1200"/>
        <v>1</v>
      </c>
      <c r="DQ614">
        <f t="shared" ref="DQ614:DZ615" si="1201">IF($C614&lt;&gt;"",IF(BB614&gt;0,1,0),0)</f>
        <v>1</v>
      </c>
      <c r="DR614">
        <f t="shared" si="1201"/>
        <v>1</v>
      </c>
      <c r="DS614">
        <f t="shared" si="1201"/>
        <v>1</v>
      </c>
      <c r="DT614">
        <f t="shared" si="1201"/>
        <v>1</v>
      </c>
      <c r="DU614">
        <f t="shared" si="1201"/>
        <v>1</v>
      </c>
      <c r="DV614">
        <f t="shared" si="1201"/>
        <v>1</v>
      </c>
      <c r="DW614">
        <f t="shared" si="1201"/>
        <v>1</v>
      </c>
      <c r="DX614">
        <f t="shared" si="1201"/>
        <v>1</v>
      </c>
      <c r="DY614">
        <f t="shared" si="1201"/>
        <v>1</v>
      </c>
      <c r="DZ614">
        <f t="shared" si="1201"/>
        <v>1</v>
      </c>
      <c r="EA614">
        <f t="shared" ref="EA614:EF615" si="1202">IF($C614&lt;&gt;"",IF(BL614&gt;0,1,0),0)</f>
        <v>1</v>
      </c>
      <c r="EB614">
        <f t="shared" si="1202"/>
        <v>1</v>
      </c>
      <c r="EC614">
        <f t="shared" si="1202"/>
        <v>1</v>
      </c>
      <c r="ED614">
        <f t="shared" si="1202"/>
        <v>1</v>
      </c>
      <c r="EE614">
        <f t="shared" si="1202"/>
        <v>1</v>
      </c>
      <c r="EF614">
        <f t="shared" si="1202"/>
        <v>1</v>
      </c>
    </row>
    <row r="615" spans="1:136" ht="15.5">
      <c r="A615" s="90"/>
      <c r="B615" s="19" t="s">
        <v>2</v>
      </c>
      <c r="C615" s="96"/>
      <c r="D615" s="18">
        <v>0</v>
      </c>
      <c r="E615" s="18">
        <v>0</v>
      </c>
      <c r="F615" s="18">
        <v>0</v>
      </c>
      <c r="G615" s="18">
        <v>0</v>
      </c>
      <c r="H615" s="18">
        <v>0</v>
      </c>
      <c r="I615" s="18">
        <v>0</v>
      </c>
      <c r="J615" s="18">
        <v>0</v>
      </c>
      <c r="K615" s="18">
        <v>0</v>
      </c>
      <c r="L615" s="18">
        <v>0</v>
      </c>
      <c r="M615" s="18">
        <v>0</v>
      </c>
      <c r="N615" s="18">
        <v>0</v>
      </c>
      <c r="O615" s="18">
        <v>0</v>
      </c>
      <c r="P615" s="18">
        <v>0</v>
      </c>
      <c r="Q615" s="18">
        <v>0</v>
      </c>
      <c r="R615" s="18">
        <v>0</v>
      </c>
      <c r="S615" s="18">
        <v>0</v>
      </c>
      <c r="T615" s="18">
        <v>0</v>
      </c>
      <c r="U615" s="18">
        <v>0</v>
      </c>
      <c r="V615" s="18">
        <v>0</v>
      </c>
      <c r="W615" s="18">
        <v>0</v>
      </c>
      <c r="X615" s="18">
        <v>0</v>
      </c>
      <c r="Y615" s="18">
        <v>0</v>
      </c>
      <c r="Z615" s="18">
        <v>0</v>
      </c>
      <c r="AA615" s="18">
        <v>0</v>
      </c>
      <c r="AB615" s="18">
        <v>0</v>
      </c>
      <c r="AC615" s="18">
        <v>0</v>
      </c>
      <c r="AD615" s="18">
        <v>0</v>
      </c>
      <c r="AE615" s="18">
        <v>0</v>
      </c>
      <c r="AF615" s="40" t="s">
        <v>16</v>
      </c>
      <c r="AG615" s="18">
        <v>586</v>
      </c>
      <c r="AH615" s="40" t="s">
        <v>16</v>
      </c>
      <c r="AI615" s="40" t="s">
        <v>16</v>
      </c>
      <c r="AJ615" s="18">
        <v>771</v>
      </c>
      <c r="AK615" s="22"/>
      <c r="AL615" s="18">
        <v>1147</v>
      </c>
      <c r="AM615" s="22"/>
      <c r="AN615" s="40" t="s">
        <v>16</v>
      </c>
      <c r="AO615" s="18">
        <v>400</v>
      </c>
      <c r="AP615" s="40" t="s">
        <v>16</v>
      </c>
      <c r="AQ615" s="18">
        <v>821</v>
      </c>
      <c r="AR615" s="22"/>
      <c r="AS615" s="40" t="s">
        <v>16</v>
      </c>
      <c r="AT615" s="18">
        <v>1170</v>
      </c>
      <c r="AU615" s="18">
        <v>0</v>
      </c>
      <c r="AV615" s="18">
        <v>0</v>
      </c>
      <c r="AW615" s="18">
        <v>0</v>
      </c>
      <c r="AX615" s="18">
        <v>0</v>
      </c>
      <c r="AY615" s="18">
        <v>2500</v>
      </c>
      <c r="AZ615" s="147">
        <v>2103</v>
      </c>
      <c r="BA615" s="18">
        <v>0</v>
      </c>
      <c r="BB615" s="18">
        <v>0</v>
      </c>
      <c r="BC615" s="18">
        <v>0</v>
      </c>
      <c r="BD615" s="18">
        <v>0</v>
      </c>
      <c r="BE615" s="18">
        <v>0</v>
      </c>
      <c r="BF615" s="20">
        <v>0</v>
      </c>
      <c r="BG615" s="20">
        <v>0</v>
      </c>
      <c r="BH615" s="20">
        <v>0</v>
      </c>
      <c r="BI615" s="20">
        <v>0</v>
      </c>
      <c r="BJ615" s="113">
        <v>0</v>
      </c>
      <c r="BK615" s="113">
        <v>0</v>
      </c>
      <c r="BL615" s="113">
        <v>0</v>
      </c>
      <c r="BM615" s="113">
        <v>0</v>
      </c>
      <c r="BN615" s="113">
        <v>0</v>
      </c>
      <c r="BO615" s="113">
        <v>0</v>
      </c>
      <c r="BP615" s="257">
        <v>0</v>
      </c>
      <c r="BQ615" s="113">
        <v>0</v>
      </c>
      <c r="BR615" s="101"/>
      <c r="BS615">
        <f t="shared" si="1196"/>
        <v>0</v>
      </c>
      <c r="BT615">
        <f t="shared" si="1196"/>
        <v>0</v>
      </c>
      <c r="BU615">
        <f t="shared" si="1196"/>
        <v>0</v>
      </c>
      <c r="BV615">
        <f t="shared" si="1196"/>
        <v>0</v>
      </c>
      <c r="BW615">
        <f t="shared" si="1196"/>
        <v>0</v>
      </c>
      <c r="BX615">
        <f t="shared" si="1196"/>
        <v>0</v>
      </c>
      <c r="BY615">
        <f t="shared" si="1196"/>
        <v>0</v>
      </c>
      <c r="BZ615">
        <f t="shared" si="1196"/>
        <v>0</v>
      </c>
      <c r="CA615">
        <f t="shared" si="1196"/>
        <v>0</v>
      </c>
      <c r="CB615">
        <f t="shared" si="1196"/>
        <v>0</v>
      </c>
      <c r="CC615">
        <f t="shared" si="1197"/>
        <v>0</v>
      </c>
      <c r="CD615">
        <f t="shared" si="1197"/>
        <v>0</v>
      </c>
      <c r="CE615">
        <f t="shared" si="1197"/>
        <v>0</v>
      </c>
      <c r="CF615">
        <f t="shared" si="1197"/>
        <v>0</v>
      </c>
      <c r="CG615">
        <f t="shared" si="1197"/>
        <v>0</v>
      </c>
      <c r="CH615">
        <f t="shared" si="1197"/>
        <v>0</v>
      </c>
      <c r="CI615">
        <f t="shared" si="1197"/>
        <v>0</v>
      </c>
      <c r="CJ615">
        <f t="shared" si="1197"/>
        <v>0</v>
      </c>
      <c r="CK615">
        <f t="shared" si="1197"/>
        <v>0</v>
      </c>
      <c r="CL615">
        <f t="shared" si="1197"/>
        <v>0</v>
      </c>
      <c r="CM615">
        <f t="shared" si="1198"/>
        <v>0</v>
      </c>
      <c r="CN615">
        <f t="shared" si="1198"/>
        <v>0</v>
      </c>
      <c r="CO615">
        <f t="shared" si="1198"/>
        <v>0</v>
      </c>
      <c r="CP615">
        <f t="shared" si="1198"/>
        <v>0</v>
      </c>
      <c r="CQ615">
        <f t="shared" si="1198"/>
        <v>0</v>
      </c>
      <c r="CR615">
        <f t="shared" si="1198"/>
        <v>0</v>
      </c>
      <c r="CS615">
        <f t="shared" si="1198"/>
        <v>0</v>
      </c>
      <c r="CT615">
        <f t="shared" si="1198"/>
        <v>0</v>
      </c>
      <c r="CU615">
        <f t="shared" si="1198"/>
        <v>0</v>
      </c>
      <c r="CV615">
        <f t="shared" si="1198"/>
        <v>0</v>
      </c>
      <c r="CW615">
        <f t="shared" si="1199"/>
        <v>0</v>
      </c>
      <c r="CX615">
        <f t="shared" si="1199"/>
        <v>0</v>
      </c>
      <c r="CY615">
        <f t="shared" si="1199"/>
        <v>0</v>
      </c>
      <c r="CZ615">
        <f t="shared" si="1199"/>
        <v>0</v>
      </c>
      <c r="DA615">
        <f t="shared" si="1199"/>
        <v>0</v>
      </c>
      <c r="DB615">
        <f t="shared" si="1199"/>
        <v>0</v>
      </c>
      <c r="DC615">
        <f t="shared" si="1199"/>
        <v>0</v>
      </c>
      <c r="DD615">
        <f t="shared" si="1199"/>
        <v>0</v>
      </c>
      <c r="DE615">
        <f t="shared" si="1199"/>
        <v>0</v>
      </c>
      <c r="DF615">
        <f t="shared" si="1199"/>
        <v>0</v>
      </c>
      <c r="DG615">
        <f t="shared" si="1200"/>
        <v>0</v>
      </c>
      <c r="DH615">
        <f t="shared" si="1200"/>
        <v>0</v>
      </c>
      <c r="DI615">
        <f t="shared" si="1200"/>
        <v>0</v>
      </c>
      <c r="DJ615">
        <f t="shared" si="1200"/>
        <v>0</v>
      </c>
      <c r="DK615">
        <f t="shared" si="1200"/>
        <v>0</v>
      </c>
      <c r="DL615">
        <f t="shared" si="1200"/>
        <v>0</v>
      </c>
      <c r="DM615">
        <f t="shared" si="1200"/>
        <v>0</v>
      </c>
      <c r="DN615">
        <f t="shared" si="1200"/>
        <v>0</v>
      </c>
      <c r="DO615">
        <f t="shared" si="1200"/>
        <v>0</v>
      </c>
      <c r="DP615">
        <f t="shared" si="1200"/>
        <v>0</v>
      </c>
      <c r="DQ615">
        <f t="shared" si="1201"/>
        <v>0</v>
      </c>
      <c r="DR615">
        <f t="shared" si="1201"/>
        <v>0</v>
      </c>
      <c r="DS615">
        <f t="shared" si="1201"/>
        <v>0</v>
      </c>
      <c r="DT615">
        <f t="shared" si="1201"/>
        <v>0</v>
      </c>
      <c r="DU615">
        <f t="shared" si="1201"/>
        <v>0</v>
      </c>
      <c r="DV615">
        <f t="shared" si="1201"/>
        <v>0</v>
      </c>
      <c r="DW615">
        <f t="shared" si="1201"/>
        <v>0</v>
      </c>
      <c r="DX615">
        <f t="shared" si="1201"/>
        <v>0</v>
      </c>
      <c r="DY615">
        <f t="shared" si="1201"/>
        <v>0</v>
      </c>
      <c r="DZ615">
        <f t="shared" si="1201"/>
        <v>0</v>
      </c>
      <c r="EA615">
        <f t="shared" si="1202"/>
        <v>0</v>
      </c>
      <c r="EB615">
        <f t="shared" si="1202"/>
        <v>0</v>
      </c>
      <c r="EC615">
        <f t="shared" si="1202"/>
        <v>0</v>
      </c>
      <c r="ED615">
        <f t="shared" si="1202"/>
        <v>0</v>
      </c>
      <c r="EE615">
        <f t="shared" si="1202"/>
        <v>0</v>
      </c>
      <c r="EF615">
        <f t="shared" si="1202"/>
        <v>0</v>
      </c>
    </row>
    <row r="616" spans="1:136" ht="15.5">
      <c r="A616" s="90"/>
      <c r="B616" s="19" t="s">
        <v>205</v>
      </c>
      <c r="C616" s="96"/>
      <c r="D616" s="18">
        <v>0</v>
      </c>
      <c r="E616" s="18">
        <v>0</v>
      </c>
      <c r="F616" s="18">
        <v>0</v>
      </c>
      <c r="G616" s="18">
        <v>0</v>
      </c>
      <c r="H616" s="18">
        <v>0</v>
      </c>
      <c r="I616" s="18">
        <v>0</v>
      </c>
      <c r="J616" s="18">
        <v>0</v>
      </c>
      <c r="K616" s="18">
        <v>0</v>
      </c>
      <c r="L616" s="18">
        <v>0</v>
      </c>
      <c r="M616" s="18">
        <v>0</v>
      </c>
      <c r="N616" s="18">
        <v>0</v>
      </c>
      <c r="O616" s="18">
        <v>0</v>
      </c>
      <c r="P616" s="18">
        <v>0</v>
      </c>
      <c r="Q616" s="18">
        <v>0</v>
      </c>
      <c r="R616" s="18">
        <v>0</v>
      </c>
      <c r="S616" s="18">
        <v>0</v>
      </c>
      <c r="T616" s="18">
        <v>0</v>
      </c>
      <c r="U616" s="18">
        <v>0</v>
      </c>
      <c r="V616" s="18">
        <v>0</v>
      </c>
      <c r="W616" s="18">
        <v>0</v>
      </c>
      <c r="X616" s="18">
        <v>0</v>
      </c>
      <c r="Y616" s="18">
        <v>0</v>
      </c>
      <c r="Z616" s="18">
        <v>0</v>
      </c>
      <c r="AA616" s="18">
        <v>0</v>
      </c>
      <c r="AB616" s="18">
        <v>0</v>
      </c>
      <c r="AC616" s="18">
        <v>0</v>
      </c>
      <c r="AD616" s="18">
        <v>0</v>
      </c>
      <c r="AE616" s="18">
        <v>0</v>
      </c>
      <c r="AF616" s="18">
        <v>0</v>
      </c>
      <c r="AG616" s="18">
        <v>0</v>
      </c>
      <c r="AH616" s="18">
        <v>0</v>
      </c>
      <c r="AI616" s="18">
        <v>0</v>
      </c>
      <c r="AJ616" s="18">
        <v>0</v>
      </c>
      <c r="AK616" s="18">
        <v>0</v>
      </c>
      <c r="AL616" s="18">
        <v>0</v>
      </c>
      <c r="AM616" s="18">
        <v>2.3055286000000002</v>
      </c>
      <c r="AN616" s="18">
        <v>3.6260886000000001</v>
      </c>
      <c r="AO616" s="18">
        <v>4.7120717999999995</v>
      </c>
      <c r="AP616" s="18">
        <v>5.7906427999999996</v>
      </c>
      <c r="AQ616" s="18">
        <v>5.790082</v>
      </c>
      <c r="AR616" s="18">
        <v>5.7915537000000006</v>
      </c>
      <c r="AS616" s="18">
        <v>6.02</v>
      </c>
      <c r="AT616" s="18">
        <v>0</v>
      </c>
      <c r="AU616" s="18">
        <v>0</v>
      </c>
      <c r="AV616" s="18">
        <v>0</v>
      </c>
      <c r="AW616" s="18">
        <v>0</v>
      </c>
      <c r="AX616" s="18">
        <v>0</v>
      </c>
      <c r="AY616" s="18">
        <v>0</v>
      </c>
      <c r="AZ616" s="147">
        <v>0</v>
      </c>
      <c r="BA616" s="18">
        <v>0</v>
      </c>
      <c r="BB616" s="18">
        <v>0</v>
      </c>
      <c r="BC616" s="18">
        <v>0</v>
      </c>
      <c r="BD616" s="18">
        <v>0</v>
      </c>
      <c r="BE616" s="25">
        <v>0</v>
      </c>
      <c r="BF616" s="20">
        <v>0</v>
      </c>
      <c r="BG616" s="20">
        <v>0</v>
      </c>
      <c r="BH616" s="20">
        <v>0</v>
      </c>
      <c r="BI616" s="20">
        <v>0</v>
      </c>
      <c r="BJ616" s="113">
        <v>0</v>
      </c>
      <c r="BK616" s="113">
        <v>0</v>
      </c>
      <c r="BL616" s="113">
        <v>0</v>
      </c>
      <c r="BM616" s="113">
        <v>0</v>
      </c>
      <c r="BN616" s="113">
        <v>0</v>
      </c>
      <c r="BO616" s="113">
        <v>0</v>
      </c>
      <c r="BP616" s="113">
        <v>0</v>
      </c>
      <c r="BQ616" s="113">
        <v>0</v>
      </c>
      <c r="BR616" s="101"/>
      <c r="CY616">
        <f>IF($C616&lt;&gt;"",IF(AJ616&gt;0,1,0),0)</f>
        <v>0</v>
      </c>
      <c r="DA616">
        <f>IF($C616&lt;&gt;"",IF(AL616&gt;0,1,0),0)</f>
        <v>0</v>
      </c>
      <c r="DI616">
        <f t="shared" ref="DI616:DS620" si="1203">IF($C616&lt;&gt;"",IF(AT616&gt;0,1,0),0)</f>
        <v>0</v>
      </c>
      <c r="DJ616">
        <f t="shared" si="1203"/>
        <v>0</v>
      </c>
      <c r="DK616">
        <f t="shared" si="1203"/>
        <v>0</v>
      </c>
      <c r="DL616">
        <f t="shared" si="1203"/>
        <v>0</v>
      </c>
      <c r="DM616">
        <f t="shared" si="1203"/>
        <v>0</v>
      </c>
      <c r="DN616">
        <f t="shared" si="1203"/>
        <v>0</v>
      </c>
      <c r="DO616">
        <f t="shared" si="1203"/>
        <v>0</v>
      </c>
      <c r="DP616">
        <f t="shared" si="1203"/>
        <v>0</v>
      </c>
      <c r="DQ616">
        <f t="shared" si="1203"/>
        <v>0</v>
      </c>
      <c r="DR616">
        <f t="shared" si="1203"/>
        <v>0</v>
      </c>
      <c r="DS616">
        <f t="shared" si="1203"/>
        <v>0</v>
      </c>
      <c r="DY616">
        <f t="shared" ref="DY616:EF620" si="1204">IF($C616&lt;&gt;"",IF(BJ616&gt;0,1,0),0)</f>
        <v>0</v>
      </c>
      <c r="DZ616">
        <f t="shared" si="1204"/>
        <v>0</v>
      </c>
      <c r="EA616">
        <f t="shared" si="1204"/>
        <v>0</v>
      </c>
      <c r="EB616">
        <f t="shared" si="1204"/>
        <v>0</v>
      </c>
      <c r="EC616">
        <f t="shared" si="1204"/>
        <v>0</v>
      </c>
      <c r="ED616">
        <f t="shared" si="1204"/>
        <v>0</v>
      </c>
      <c r="EE616">
        <f t="shared" si="1204"/>
        <v>0</v>
      </c>
      <c r="EF616">
        <f t="shared" si="1204"/>
        <v>0</v>
      </c>
    </row>
    <row r="617" spans="1:136" ht="15.5">
      <c r="A617" s="90"/>
      <c r="B617" s="53" t="s">
        <v>3</v>
      </c>
      <c r="C617" s="96"/>
      <c r="D617" s="18">
        <v>0</v>
      </c>
      <c r="E617" s="18">
        <v>0</v>
      </c>
      <c r="F617" s="18">
        <v>0</v>
      </c>
      <c r="G617" s="18">
        <v>0</v>
      </c>
      <c r="H617" s="18">
        <v>0</v>
      </c>
      <c r="I617" s="18">
        <v>0</v>
      </c>
      <c r="J617" s="18">
        <v>0</v>
      </c>
      <c r="K617" s="18">
        <v>0</v>
      </c>
      <c r="L617" s="18">
        <v>0</v>
      </c>
      <c r="M617" s="18">
        <v>0</v>
      </c>
      <c r="N617" s="18">
        <v>0.28000000000000003</v>
      </c>
      <c r="O617" s="18">
        <v>3.4990399999999999</v>
      </c>
      <c r="P617" s="18">
        <v>6.0633999999999997</v>
      </c>
      <c r="Q617" s="18">
        <v>7.65327</v>
      </c>
      <c r="R617" s="18">
        <v>10.654719999999999</v>
      </c>
      <c r="S617" s="18">
        <v>13.22784</v>
      </c>
      <c r="T617" s="18">
        <v>17.025410000000001</v>
      </c>
      <c r="U617" s="18">
        <v>19.667200000000001</v>
      </c>
      <c r="V617" s="18">
        <v>22.4712</v>
      </c>
      <c r="W617" s="18">
        <v>25.95749</v>
      </c>
      <c r="X617" s="18">
        <v>26.992709999999999</v>
      </c>
      <c r="Y617" s="18">
        <v>28.249659999999999</v>
      </c>
      <c r="Z617" s="18">
        <v>30.247219999999999</v>
      </c>
      <c r="AA617" s="18">
        <v>30.153880000000001</v>
      </c>
      <c r="AB617" s="18">
        <v>8.9296240000000004</v>
      </c>
      <c r="AC617" s="18">
        <v>9.3640000000000008</v>
      </c>
      <c r="AD617" s="18">
        <v>10.3</v>
      </c>
      <c r="AE617" s="18">
        <v>14.483219999999999</v>
      </c>
      <c r="AF617" s="18">
        <v>33.179969999999997</v>
      </c>
      <c r="AG617" s="40" t="s">
        <v>16</v>
      </c>
      <c r="AH617" s="18">
        <v>256.31619999999998</v>
      </c>
      <c r="AI617" s="18">
        <v>129.12909999999999</v>
      </c>
      <c r="AJ617" s="40" t="s">
        <v>16</v>
      </c>
      <c r="AK617" s="18">
        <v>451.25709999999998</v>
      </c>
      <c r="AL617" s="40" t="s">
        <v>16</v>
      </c>
      <c r="AM617" s="18">
        <f>731.7595-AM616</f>
        <v>729.4539714</v>
      </c>
      <c r="AN617" s="18">
        <f>425.1075-AN616</f>
        <v>421.48141140000001</v>
      </c>
      <c r="AO617" s="18">
        <f>459.3665-AO616</f>
        <v>454.65442819999998</v>
      </c>
      <c r="AP617" s="18">
        <f>450.762-AP616</f>
        <v>444.9713572</v>
      </c>
      <c r="AQ617" s="40" t="s">
        <v>16</v>
      </c>
      <c r="AR617" s="18">
        <f>511.4625393-AR616</f>
        <v>505.67098559999999</v>
      </c>
      <c r="AS617" s="18">
        <f>641.3595505-AS616</f>
        <v>635.33955049999997</v>
      </c>
      <c r="AT617" s="40" t="s">
        <v>16</v>
      </c>
      <c r="AU617" s="18">
        <v>432.76738270000004</v>
      </c>
      <c r="AV617" s="18">
        <v>290.54553129999999</v>
      </c>
      <c r="AW617" s="18">
        <v>209.92189190000002</v>
      </c>
      <c r="AX617" s="18">
        <v>220.09108800000001</v>
      </c>
      <c r="AY617" s="40" t="s">
        <v>16</v>
      </c>
      <c r="AZ617" s="18">
        <f>2318.1667797-AZ615</f>
        <v>215.16677970000001</v>
      </c>
      <c r="BA617" s="18">
        <v>17.423027400000002</v>
      </c>
      <c r="BB617" s="18">
        <v>17.204445200000002</v>
      </c>
      <c r="BC617" s="18">
        <v>20.654354299999998</v>
      </c>
      <c r="BD617" s="34">
        <v>17.374823600000003</v>
      </c>
      <c r="BE617" s="74">
        <v>17.6776734</v>
      </c>
      <c r="BF617" s="18">
        <v>17.579660899999997</v>
      </c>
      <c r="BG617" s="18">
        <v>17.642489100000002</v>
      </c>
      <c r="BH617" s="18">
        <v>17.437515999999999</v>
      </c>
      <c r="BI617" s="18">
        <v>17.500265499999998</v>
      </c>
      <c r="BJ617" s="18">
        <v>172.11762049999999</v>
      </c>
      <c r="BK617" s="130">
        <v>17.639173700000004</v>
      </c>
      <c r="BL617" s="113">
        <v>17.462889699999998</v>
      </c>
      <c r="BM617" s="113">
        <v>17.452110899999997</v>
      </c>
      <c r="BN617" s="113">
        <v>17.081218599999996</v>
      </c>
      <c r="BO617" s="113">
        <v>17</v>
      </c>
      <c r="BP617" s="113">
        <v>17</v>
      </c>
      <c r="BQ617" s="113">
        <v>17</v>
      </c>
      <c r="BR617" s="101"/>
      <c r="BS617">
        <f t="shared" ref="BS617:CB620" si="1205">IF($C617&lt;&gt;"",IF(D617&gt;0,1,0),0)</f>
        <v>0</v>
      </c>
      <c r="BT617">
        <f t="shared" si="1205"/>
        <v>0</v>
      </c>
      <c r="BU617">
        <f t="shared" si="1205"/>
        <v>0</v>
      </c>
      <c r="BV617">
        <f t="shared" si="1205"/>
        <v>0</v>
      </c>
      <c r="BW617">
        <f t="shared" si="1205"/>
        <v>0</v>
      </c>
      <c r="BX617">
        <f t="shared" si="1205"/>
        <v>0</v>
      </c>
      <c r="BY617">
        <f t="shared" si="1205"/>
        <v>0</v>
      </c>
      <c r="BZ617">
        <f t="shared" si="1205"/>
        <v>0</v>
      </c>
      <c r="CA617">
        <f t="shared" si="1205"/>
        <v>0</v>
      </c>
      <c r="CB617">
        <f t="shared" si="1205"/>
        <v>0</v>
      </c>
      <c r="CC617">
        <f t="shared" ref="CC617:CL620" si="1206">IF($C617&lt;&gt;"",IF(N617&gt;0,1,0),0)</f>
        <v>0</v>
      </c>
      <c r="CD617">
        <f t="shared" si="1206"/>
        <v>0</v>
      </c>
      <c r="CE617">
        <f t="shared" si="1206"/>
        <v>0</v>
      </c>
      <c r="CF617">
        <f t="shared" si="1206"/>
        <v>0</v>
      </c>
      <c r="CG617">
        <f t="shared" si="1206"/>
        <v>0</v>
      </c>
      <c r="CH617">
        <f t="shared" si="1206"/>
        <v>0</v>
      </c>
      <c r="CI617">
        <f t="shared" si="1206"/>
        <v>0</v>
      </c>
      <c r="CJ617">
        <f t="shared" si="1206"/>
        <v>0</v>
      </c>
      <c r="CK617">
        <f t="shared" si="1206"/>
        <v>0</v>
      </c>
      <c r="CL617">
        <f t="shared" si="1206"/>
        <v>0</v>
      </c>
      <c r="CM617">
        <f t="shared" ref="CM617:CV620" si="1207">IF($C617&lt;&gt;"",IF(X617&gt;0,1,0),0)</f>
        <v>0</v>
      </c>
      <c r="CN617">
        <f t="shared" si="1207"/>
        <v>0</v>
      </c>
      <c r="CO617">
        <f t="shared" si="1207"/>
        <v>0</v>
      </c>
      <c r="CP617">
        <f t="shared" si="1207"/>
        <v>0</v>
      </c>
      <c r="CQ617">
        <f t="shared" si="1207"/>
        <v>0</v>
      </c>
      <c r="CR617">
        <f t="shared" si="1207"/>
        <v>0</v>
      </c>
      <c r="CS617">
        <f t="shared" si="1207"/>
        <v>0</v>
      </c>
      <c r="CT617">
        <f t="shared" si="1207"/>
        <v>0</v>
      </c>
      <c r="CU617">
        <f t="shared" si="1207"/>
        <v>0</v>
      </c>
      <c r="CV617">
        <f t="shared" si="1207"/>
        <v>0</v>
      </c>
      <c r="CW617">
        <f t="shared" ref="CW617:CX620" si="1208">IF($C617&lt;&gt;"",IF(AH617&gt;0,1,0),0)</f>
        <v>0</v>
      </c>
      <c r="CX617">
        <f t="shared" si="1208"/>
        <v>0</v>
      </c>
      <c r="CY617">
        <f>IF($C617&lt;&gt;"",IF(AJ617&gt;0,1,0),0)</f>
        <v>0</v>
      </c>
      <c r="CZ617">
        <f>IF($C617&lt;&gt;"",IF(AK617&gt;0,1,0),0)</f>
        <v>0</v>
      </c>
      <c r="DA617">
        <f>IF($C617&lt;&gt;"",IF(AL617&gt;0,1,0),0)</f>
        <v>0</v>
      </c>
      <c r="DB617">
        <f t="shared" ref="DB617:DH620" si="1209">IF($C617&lt;&gt;"",IF(AM617&gt;0,1,0),0)</f>
        <v>0</v>
      </c>
      <c r="DC617">
        <f t="shared" si="1209"/>
        <v>0</v>
      </c>
      <c r="DD617">
        <f t="shared" si="1209"/>
        <v>0</v>
      </c>
      <c r="DE617">
        <f t="shared" si="1209"/>
        <v>0</v>
      </c>
      <c r="DF617">
        <f t="shared" si="1209"/>
        <v>0</v>
      </c>
      <c r="DG617">
        <f t="shared" si="1209"/>
        <v>0</v>
      </c>
      <c r="DH617">
        <f t="shared" si="1209"/>
        <v>0</v>
      </c>
      <c r="DI617">
        <f t="shared" si="1203"/>
        <v>0</v>
      </c>
      <c r="DJ617">
        <f t="shared" si="1203"/>
        <v>0</v>
      </c>
      <c r="DK617">
        <f t="shared" si="1203"/>
        <v>0</v>
      </c>
      <c r="DL617">
        <f t="shared" si="1203"/>
        <v>0</v>
      </c>
      <c r="DM617">
        <f t="shared" si="1203"/>
        <v>0</v>
      </c>
      <c r="DN617">
        <f t="shared" si="1203"/>
        <v>0</v>
      </c>
      <c r="DO617">
        <f t="shared" si="1203"/>
        <v>0</v>
      </c>
      <c r="DP617">
        <f t="shared" si="1203"/>
        <v>0</v>
      </c>
      <c r="DQ617">
        <f t="shared" si="1203"/>
        <v>0</v>
      </c>
      <c r="DR617">
        <f t="shared" si="1203"/>
        <v>0</v>
      </c>
      <c r="DS617">
        <f t="shared" si="1203"/>
        <v>0</v>
      </c>
      <c r="DT617">
        <f t="shared" ref="DT617:DX620" si="1210">IF($C617&lt;&gt;"",IF(BE617&gt;0,1,0),0)</f>
        <v>0</v>
      </c>
      <c r="DU617">
        <f t="shared" si="1210"/>
        <v>0</v>
      </c>
      <c r="DV617">
        <f t="shared" si="1210"/>
        <v>0</v>
      </c>
      <c r="DW617">
        <f t="shared" si="1210"/>
        <v>0</v>
      </c>
      <c r="DX617">
        <f t="shared" si="1210"/>
        <v>0</v>
      </c>
      <c r="DY617">
        <f t="shared" si="1204"/>
        <v>0</v>
      </c>
      <c r="DZ617">
        <f t="shared" si="1204"/>
        <v>0</v>
      </c>
      <c r="EA617">
        <f t="shared" si="1204"/>
        <v>0</v>
      </c>
      <c r="EB617">
        <f t="shared" si="1204"/>
        <v>0</v>
      </c>
      <c r="EC617">
        <f t="shared" si="1204"/>
        <v>0</v>
      </c>
      <c r="ED617">
        <f t="shared" si="1204"/>
        <v>0</v>
      </c>
      <c r="EE617">
        <f t="shared" si="1204"/>
        <v>0</v>
      </c>
      <c r="EF617">
        <f t="shared" si="1204"/>
        <v>0</v>
      </c>
    </row>
    <row r="618" spans="1:136" ht="15.5">
      <c r="A618" s="90"/>
      <c r="B618" s="53" t="s">
        <v>18</v>
      </c>
      <c r="C618" s="96"/>
      <c r="D618" s="18">
        <v>0</v>
      </c>
      <c r="E618" s="18">
        <v>0</v>
      </c>
      <c r="F618" s="18">
        <v>0</v>
      </c>
      <c r="G618" s="18">
        <v>0</v>
      </c>
      <c r="H618" s="18">
        <v>0</v>
      </c>
      <c r="I618" s="18">
        <v>0</v>
      </c>
      <c r="J618" s="18">
        <v>0</v>
      </c>
      <c r="K618" s="18">
        <v>0</v>
      </c>
      <c r="L618" s="18">
        <v>0</v>
      </c>
      <c r="M618" s="18">
        <v>0</v>
      </c>
      <c r="N618" s="18">
        <v>0</v>
      </c>
      <c r="O618" s="18">
        <v>0</v>
      </c>
      <c r="P618" s="18">
        <v>0</v>
      </c>
      <c r="Q618" s="18">
        <v>0</v>
      </c>
      <c r="R618" s="18">
        <v>0</v>
      </c>
      <c r="S618" s="18">
        <v>0</v>
      </c>
      <c r="T618" s="18">
        <v>0</v>
      </c>
      <c r="U618" s="18">
        <v>0</v>
      </c>
      <c r="V618" s="18">
        <v>0</v>
      </c>
      <c r="W618" s="18">
        <v>0</v>
      </c>
      <c r="X618" s="18">
        <v>0</v>
      </c>
      <c r="Y618" s="18">
        <v>0</v>
      </c>
      <c r="Z618" s="18">
        <v>0</v>
      </c>
      <c r="AA618" s="18">
        <v>0</v>
      </c>
      <c r="AB618" s="18">
        <v>0</v>
      </c>
      <c r="AC618" s="18">
        <v>0</v>
      </c>
      <c r="AD618" s="18">
        <v>0</v>
      </c>
      <c r="AE618" s="18">
        <v>0</v>
      </c>
      <c r="AF618" s="18">
        <v>0</v>
      </c>
      <c r="AG618" s="40" t="s">
        <v>16</v>
      </c>
      <c r="AH618" s="40" t="s">
        <v>16</v>
      </c>
      <c r="AI618" s="40" t="s">
        <v>16</v>
      </c>
      <c r="AJ618" s="40" t="s">
        <v>16</v>
      </c>
      <c r="AK618" s="18">
        <v>1289</v>
      </c>
      <c r="AL618" s="18">
        <v>0</v>
      </c>
      <c r="AM618" s="18">
        <v>0</v>
      </c>
      <c r="AN618" s="18">
        <v>0</v>
      </c>
      <c r="AO618" s="18">
        <v>0</v>
      </c>
      <c r="AP618" s="18">
        <v>0</v>
      </c>
      <c r="AQ618" s="18">
        <v>0</v>
      </c>
      <c r="AR618" s="18">
        <v>0</v>
      </c>
      <c r="AS618" s="18">
        <v>0</v>
      </c>
      <c r="AT618" s="18">
        <v>0</v>
      </c>
      <c r="AU618" s="18">
        <v>0</v>
      </c>
      <c r="AV618" s="18">
        <v>0</v>
      </c>
      <c r="AW618" s="18">
        <v>0</v>
      </c>
      <c r="AX618" s="18">
        <v>0</v>
      </c>
      <c r="AY618" s="18">
        <v>0</v>
      </c>
      <c r="AZ618" s="18">
        <v>0</v>
      </c>
      <c r="BA618" s="18">
        <v>0</v>
      </c>
      <c r="BB618" s="34">
        <v>0</v>
      </c>
      <c r="BC618" s="34">
        <v>0</v>
      </c>
      <c r="BD618" s="34">
        <v>0</v>
      </c>
      <c r="BE618" s="42">
        <v>0</v>
      </c>
      <c r="BF618" s="20">
        <v>0</v>
      </c>
      <c r="BG618" s="20">
        <v>0</v>
      </c>
      <c r="BH618" s="20">
        <v>0</v>
      </c>
      <c r="BI618" s="20">
        <v>0</v>
      </c>
      <c r="BJ618" s="113">
        <v>0</v>
      </c>
      <c r="BK618" s="113">
        <v>0</v>
      </c>
      <c r="BL618" s="113">
        <v>0</v>
      </c>
      <c r="BM618" s="113">
        <v>0</v>
      </c>
      <c r="BN618" s="113">
        <v>0</v>
      </c>
      <c r="BO618" s="113">
        <v>0</v>
      </c>
      <c r="BP618" s="257">
        <v>0</v>
      </c>
      <c r="BQ618" s="113">
        <v>0</v>
      </c>
      <c r="BR618" s="101"/>
      <c r="BS618">
        <f t="shared" si="1205"/>
        <v>0</v>
      </c>
      <c r="BT618">
        <f t="shared" si="1205"/>
        <v>0</v>
      </c>
      <c r="BU618">
        <f t="shared" si="1205"/>
        <v>0</v>
      </c>
      <c r="BV618">
        <f t="shared" si="1205"/>
        <v>0</v>
      </c>
      <c r="BW618">
        <f t="shared" si="1205"/>
        <v>0</v>
      </c>
      <c r="BX618">
        <f t="shared" si="1205"/>
        <v>0</v>
      </c>
      <c r="BY618">
        <f t="shared" si="1205"/>
        <v>0</v>
      </c>
      <c r="BZ618">
        <f t="shared" si="1205"/>
        <v>0</v>
      </c>
      <c r="CA618">
        <f t="shared" si="1205"/>
        <v>0</v>
      </c>
      <c r="CB618">
        <f t="shared" si="1205"/>
        <v>0</v>
      </c>
      <c r="CC618">
        <f t="shared" si="1206"/>
        <v>0</v>
      </c>
      <c r="CD618">
        <f t="shared" si="1206"/>
        <v>0</v>
      </c>
      <c r="CE618">
        <f t="shared" si="1206"/>
        <v>0</v>
      </c>
      <c r="CF618">
        <f t="shared" si="1206"/>
        <v>0</v>
      </c>
      <c r="CG618">
        <f t="shared" si="1206"/>
        <v>0</v>
      </c>
      <c r="CH618">
        <f t="shared" si="1206"/>
        <v>0</v>
      </c>
      <c r="CI618">
        <f t="shared" si="1206"/>
        <v>0</v>
      </c>
      <c r="CJ618">
        <f t="shared" si="1206"/>
        <v>0</v>
      </c>
      <c r="CK618">
        <f t="shared" si="1206"/>
        <v>0</v>
      </c>
      <c r="CL618">
        <f t="shared" si="1206"/>
        <v>0</v>
      </c>
      <c r="CM618">
        <f t="shared" si="1207"/>
        <v>0</v>
      </c>
      <c r="CN618">
        <f t="shared" si="1207"/>
        <v>0</v>
      </c>
      <c r="CO618">
        <f t="shared" si="1207"/>
        <v>0</v>
      </c>
      <c r="CP618">
        <f t="shared" si="1207"/>
        <v>0</v>
      </c>
      <c r="CQ618">
        <f t="shared" si="1207"/>
        <v>0</v>
      </c>
      <c r="CR618">
        <f t="shared" si="1207"/>
        <v>0</v>
      </c>
      <c r="CS618">
        <f t="shared" si="1207"/>
        <v>0</v>
      </c>
      <c r="CT618">
        <f t="shared" si="1207"/>
        <v>0</v>
      </c>
      <c r="CU618">
        <f t="shared" si="1207"/>
        <v>0</v>
      </c>
      <c r="CV618">
        <f t="shared" si="1207"/>
        <v>0</v>
      </c>
      <c r="CW618">
        <f t="shared" si="1208"/>
        <v>0</v>
      </c>
      <c r="CX618">
        <f t="shared" si="1208"/>
        <v>0</v>
      </c>
      <c r="CY618">
        <f>IF($C618&lt;&gt;"",IF(AJ618&gt;0,1,0),0)</f>
        <v>0</v>
      </c>
      <c r="CZ618">
        <f>IF($C618&lt;&gt;"",IF(AK618&gt;0,1,0),0)</f>
        <v>0</v>
      </c>
      <c r="DA618">
        <f>IF($C618&lt;&gt;"",IF(AL618&gt;0,1,0),0)</f>
        <v>0</v>
      </c>
      <c r="DB618">
        <f t="shared" si="1209"/>
        <v>0</v>
      </c>
      <c r="DC618">
        <f t="shared" si="1209"/>
        <v>0</v>
      </c>
      <c r="DD618">
        <f t="shared" si="1209"/>
        <v>0</v>
      </c>
      <c r="DE618">
        <f t="shared" si="1209"/>
        <v>0</v>
      </c>
      <c r="DF618">
        <f t="shared" si="1209"/>
        <v>0</v>
      </c>
      <c r="DG618">
        <f t="shared" si="1209"/>
        <v>0</v>
      </c>
      <c r="DH618">
        <f t="shared" si="1209"/>
        <v>0</v>
      </c>
      <c r="DI618">
        <f t="shared" si="1203"/>
        <v>0</v>
      </c>
      <c r="DJ618">
        <f t="shared" si="1203"/>
        <v>0</v>
      </c>
      <c r="DK618">
        <f t="shared" si="1203"/>
        <v>0</v>
      </c>
      <c r="DL618">
        <f t="shared" si="1203"/>
        <v>0</v>
      </c>
      <c r="DM618">
        <f t="shared" si="1203"/>
        <v>0</v>
      </c>
      <c r="DN618">
        <f t="shared" si="1203"/>
        <v>0</v>
      </c>
      <c r="DO618">
        <f t="shared" si="1203"/>
        <v>0</v>
      </c>
      <c r="DP618">
        <f t="shared" si="1203"/>
        <v>0</v>
      </c>
      <c r="DQ618">
        <f t="shared" si="1203"/>
        <v>0</v>
      </c>
      <c r="DR618">
        <f t="shared" si="1203"/>
        <v>0</v>
      </c>
      <c r="DS618">
        <f t="shared" si="1203"/>
        <v>0</v>
      </c>
      <c r="DT618">
        <f t="shared" si="1210"/>
        <v>0</v>
      </c>
      <c r="DU618">
        <f t="shared" si="1210"/>
        <v>0</v>
      </c>
      <c r="DV618">
        <f t="shared" si="1210"/>
        <v>0</v>
      </c>
      <c r="DW618">
        <f t="shared" si="1210"/>
        <v>0</v>
      </c>
      <c r="DX618">
        <f t="shared" si="1210"/>
        <v>0</v>
      </c>
      <c r="DY618">
        <f t="shared" si="1204"/>
        <v>0</v>
      </c>
      <c r="DZ618">
        <f t="shared" si="1204"/>
        <v>0</v>
      </c>
      <c r="EA618">
        <f t="shared" si="1204"/>
        <v>0</v>
      </c>
      <c r="EB618">
        <f t="shared" si="1204"/>
        <v>0</v>
      </c>
      <c r="EC618">
        <f t="shared" si="1204"/>
        <v>0</v>
      </c>
      <c r="ED618">
        <f t="shared" si="1204"/>
        <v>0</v>
      </c>
      <c r="EE618">
        <f t="shared" si="1204"/>
        <v>0</v>
      </c>
      <c r="EF618">
        <f t="shared" si="1204"/>
        <v>0</v>
      </c>
    </row>
    <row r="619" spans="1:136" ht="15.5">
      <c r="A619" s="90"/>
      <c r="B619" s="19" t="s">
        <v>208</v>
      </c>
      <c r="C619" s="96"/>
      <c r="D619" s="18">
        <v>0</v>
      </c>
      <c r="E619" s="18">
        <v>0</v>
      </c>
      <c r="F619" s="18">
        <v>0</v>
      </c>
      <c r="G619" s="18">
        <v>0</v>
      </c>
      <c r="H619" s="18">
        <v>0</v>
      </c>
      <c r="I619" s="18">
        <v>0</v>
      </c>
      <c r="J619" s="18">
        <v>0</v>
      </c>
      <c r="K619" s="18">
        <v>0</v>
      </c>
      <c r="L619" s="18">
        <v>0</v>
      </c>
      <c r="M619" s="18">
        <v>0</v>
      </c>
      <c r="N619" s="18">
        <v>0</v>
      </c>
      <c r="O619" s="18">
        <v>0</v>
      </c>
      <c r="P619" s="18">
        <v>0</v>
      </c>
      <c r="Q619" s="18">
        <v>0</v>
      </c>
      <c r="R619" s="18">
        <v>0</v>
      </c>
      <c r="S619" s="18">
        <v>0</v>
      </c>
      <c r="T619" s="18">
        <v>0</v>
      </c>
      <c r="U619" s="18">
        <v>0</v>
      </c>
      <c r="V619" s="18">
        <v>0</v>
      </c>
      <c r="W619" s="18">
        <v>0</v>
      </c>
      <c r="X619" s="18">
        <v>0</v>
      </c>
      <c r="Y619" s="18">
        <v>0</v>
      </c>
      <c r="Z619" s="18">
        <v>0</v>
      </c>
      <c r="AA619" s="18">
        <v>0</v>
      </c>
      <c r="AB619" s="18">
        <v>0</v>
      </c>
      <c r="AC619" s="18">
        <v>0</v>
      </c>
      <c r="AD619" s="18">
        <v>0</v>
      </c>
      <c r="AE619" s="18">
        <v>7.5892460000000002</v>
      </c>
      <c r="AF619" s="18">
        <v>32.958869999999997</v>
      </c>
      <c r="AG619" s="18">
        <v>470.45780000000002</v>
      </c>
      <c r="AH619" s="18">
        <v>728.99580000000003</v>
      </c>
      <c r="AI619" s="18">
        <v>1014.251</v>
      </c>
      <c r="AJ619" s="18">
        <v>1254.9179999999999</v>
      </c>
      <c r="AK619" s="40" t="s">
        <v>16</v>
      </c>
      <c r="AL619" s="18">
        <v>174.3039</v>
      </c>
      <c r="AM619" s="18">
        <v>200.0309</v>
      </c>
      <c r="AN619" s="18">
        <v>301.06049999999999</v>
      </c>
      <c r="AO619" s="18">
        <v>137.49600000000001</v>
      </c>
      <c r="AP619" s="18">
        <v>81.76267</v>
      </c>
      <c r="AQ619" s="18">
        <v>74.797349999999994</v>
      </c>
      <c r="AR619" s="18">
        <v>51.319142200000002</v>
      </c>
      <c r="AS619" s="18">
        <v>54.771900000000002</v>
      </c>
      <c r="AT619" s="18">
        <v>49.606483799999999</v>
      </c>
      <c r="AU619" s="18">
        <v>70.892078900000001</v>
      </c>
      <c r="AV619" s="18">
        <v>29.662305700000001</v>
      </c>
      <c r="AW619" s="18">
        <v>27.484747500000001</v>
      </c>
      <c r="AX619" s="18">
        <v>122.59261289999999</v>
      </c>
      <c r="AY619" s="18">
        <v>118.4839692</v>
      </c>
      <c r="AZ619" s="18">
        <v>0</v>
      </c>
      <c r="BA619" s="18">
        <v>0</v>
      </c>
      <c r="BB619" s="34">
        <v>0.72499999999999998</v>
      </c>
      <c r="BC619" s="34">
        <v>0</v>
      </c>
      <c r="BD619" s="34">
        <v>0</v>
      </c>
      <c r="BE619" s="74">
        <v>0</v>
      </c>
      <c r="BF619" s="18">
        <v>0</v>
      </c>
      <c r="BG619" s="18">
        <v>0</v>
      </c>
      <c r="BH619" s="18">
        <v>0</v>
      </c>
      <c r="BI619" s="20">
        <v>0</v>
      </c>
      <c r="BJ619" s="113">
        <v>69.630644099999998</v>
      </c>
      <c r="BK619" s="113">
        <v>0</v>
      </c>
      <c r="BL619" s="113">
        <v>0</v>
      </c>
      <c r="BM619" s="113">
        <v>0</v>
      </c>
      <c r="BN619" s="113">
        <v>0</v>
      </c>
      <c r="BO619" s="113">
        <v>0</v>
      </c>
      <c r="BP619" s="257">
        <v>0</v>
      </c>
      <c r="BQ619" s="113">
        <v>0</v>
      </c>
      <c r="BR619" s="101"/>
      <c r="BS619">
        <f t="shared" si="1205"/>
        <v>0</v>
      </c>
      <c r="BT619">
        <f t="shared" si="1205"/>
        <v>0</v>
      </c>
      <c r="BU619">
        <f t="shared" si="1205"/>
        <v>0</v>
      </c>
      <c r="BV619">
        <f t="shared" si="1205"/>
        <v>0</v>
      </c>
      <c r="BW619">
        <f t="shared" si="1205"/>
        <v>0</v>
      </c>
      <c r="BX619">
        <f t="shared" si="1205"/>
        <v>0</v>
      </c>
      <c r="BY619">
        <f t="shared" si="1205"/>
        <v>0</v>
      </c>
      <c r="BZ619">
        <f t="shared" si="1205"/>
        <v>0</v>
      </c>
      <c r="CA619">
        <f t="shared" si="1205"/>
        <v>0</v>
      </c>
      <c r="CB619">
        <f t="shared" si="1205"/>
        <v>0</v>
      </c>
      <c r="CC619">
        <f t="shared" si="1206"/>
        <v>0</v>
      </c>
      <c r="CD619">
        <f t="shared" si="1206"/>
        <v>0</v>
      </c>
      <c r="CE619">
        <f t="shared" si="1206"/>
        <v>0</v>
      </c>
      <c r="CF619">
        <f t="shared" si="1206"/>
        <v>0</v>
      </c>
      <c r="CG619">
        <f t="shared" si="1206"/>
        <v>0</v>
      </c>
      <c r="CH619">
        <f t="shared" si="1206"/>
        <v>0</v>
      </c>
      <c r="CI619">
        <f t="shared" si="1206"/>
        <v>0</v>
      </c>
      <c r="CJ619">
        <f t="shared" si="1206"/>
        <v>0</v>
      </c>
      <c r="CK619">
        <f t="shared" si="1206"/>
        <v>0</v>
      </c>
      <c r="CL619">
        <f t="shared" si="1206"/>
        <v>0</v>
      </c>
      <c r="CM619">
        <f t="shared" si="1207"/>
        <v>0</v>
      </c>
      <c r="CN619">
        <f t="shared" si="1207"/>
        <v>0</v>
      </c>
      <c r="CO619">
        <f t="shared" si="1207"/>
        <v>0</v>
      </c>
      <c r="CP619">
        <f t="shared" si="1207"/>
        <v>0</v>
      </c>
      <c r="CQ619">
        <f t="shared" si="1207"/>
        <v>0</v>
      </c>
      <c r="CR619">
        <f t="shared" si="1207"/>
        <v>0</v>
      </c>
      <c r="CS619">
        <f t="shared" si="1207"/>
        <v>0</v>
      </c>
      <c r="CT619">
        <f t="shared" si="1207"/>
        <v>0</v>
      </c>
      <c r="CU619">
        <f t="shared" si="1207"/>
        <v>0</v>
      </c>
      <c r="CV619">
        <f t="shared" si="1207"/>
        <v>0</v>
      </c>
      <c r="CW619">
        <f t="shared" si="1208"/>
        <v>0</v>
      </c>
      <c r="CX619">
        <f t="shared" si="1208"/>
        <v>0</v>
      </c>
      <c r="CY619">
        <f>IF($C619&lt;&gt;"",IF(AJ619&gt;0,1,0),0)</f>
        <v>0</v>
      </c>
      <c r="CZ619">
        <f>IF($C619&lt;&gt;"",IF(AK619&gt;0,1,0),0)</f>
        <v>0</v>
      </c>
      <c r="DA619">
        <f>IF($C619&lt;&gt;"",IF(AL619&gt;0,1,0),0)</f>
        <v>0</v>
      </c>
      <c r="DB619">
        <f t="shared" si="1209"/>
        <v>0</v>
      </c>
      <c r="DC619">
        <f t="shared" si="1209"/>
        <v>0</v>
      </c>
      <c r="DD619">
        <f t="shared" si="1209"/>
        <v>0</v>
      </c>
      <c r="DE619">
        <f t="shared" si="1209"/>
        <v>0</v>
      </c>
      <c r="DF619">
        <f t="shared" si="1209"/>
        <v>0</v>
      </c>
      <c r="DG619">
        <f t="shared" si="1209"/>
        <v>0</v>
      </c>
      <c r="DH619">
        <f t="shared" si="1209"/>
        <v>0</v>
      </c>
      <c r="DI619">
        <f t="shared" si="1203"/>
        <v>0</v>
      </c>
      <c r="DJ619">
        <f t="shared" si="1203"/>
        <v>0</v>
      </c>
      <c r="DK619">
        <f t="shared" si="1203"/>
        <v>0</v>
      </c>
      <c r="DL619">
        <f t="shared" si="1203"/>
        <v>0</v>
      </c>
      <c r="DM619">
        <f t="shared" si="1203"/>
        <v>0</v>
      </c>
      <c r="DN619">
        <f t="shared" si="1203"/>
        <v>0</v>
      </c>
      <c r="DO619">
        <f t="shared" si="1203"/>
        <v>0</v>
      </c>
      <c r="DP619">
        <f t="shared" si="1203"/>
        <v>0</v>
      </c>
      <c r="DQ619">
        <f t="shared" si="1203"/>
        <v>0</v>
      </c>
      <c r="DR619">
        <f t="shared" si="1203"/>
        <v>0</v>
      </c>
      <c r="DS619">
        <f t="shared" si="1203"/>
        <v>0</v>
      </c>
      <c r="DT619">
        <f t="shared" si="1210"/>
        <v>0</v>
      </c>
      <c r="DU619">
        <f t="shared" si="1210"/>
        <v>0</v>
      </c>
      <c r="DV619">
        <f t="shared" si="1210"/>
        <v>0</v>
      </c>
      <c r="DW619">
        <f t="shared" si="1210"/>
        <v>0</v>
      </c>
      <c r="DX619">
        <f t="shared" si="1210"/>
        <v>0</v>
      </c>
      <c r="DY619">
        <f t="shared" si="1204"/>
        <v>0</v>
      </c>
      <c r="DZ619">
        <f t="shared" si="1204"/>
        <v>0</v>
      </c>
      <c r="EA619">
        <f t="shared" si="1204"/>
        <v>0</v>
      </c>
      <c r="EB619">
        <f t="shared" si="1204"/>
        <v>0</v>
      </c>
      <c r="EC619">
        <f t="shared" si="1204"/>
        <v>0</v>
      </c>
      <c r="ED619">
        <f t="shared" si="1204"/>
        <v>0</v>
      </c>
      <c r="EE619">
        <f t="shared" si="1204"/>
        <v>0</v>
      </c>
      <c r="EF619">
        <f t="shared" si="1204"/>
        <v>0</v>
      </c>
    </row>
    <row r="620" spans="1:136" ht="15.5">
      <c r="A620" s="90"/>
      <c r="B620" s="19" t="s">
        <v>212</v>
      </c>
      <c r="C620" s="96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>
        <v>0</v>
      </c>
      <c r="AI620" s="18">
        <v>0</v>
      </c>
      <c r="AJ620" s="18">
        <v>0</v>
      </c>
      <c r="AK620" s="18">
        <v>0</v>
      </c>
      <c r="AL620" s="18">
        <v>0</v>
      </c>
      <c r="AM620" s="18">
        <v>0</v>
      </c>
      <c r="AN620" s="18">
        <v>0</v>
      </c>
      <c r="AO620" s="18">
        <v>28</v>
      </c>
      <c r="AP620" s="18">
        <v>0</v>
      </c>
      <c r="AQ620" s="18">
        <v>0</v>
      </c>
      <c r="AR620" s="18">
        <v>0</v>
      </c>
      <c r="AS620" s="18">
        <v>0</v>
      </c>
      <c r="AT620" s="18">
        <v>0</v>
      </c>
      <c r="AU620" s="18">
        <f>77*1.4</f>
        <v>107.8</v>
      </c>
      <c r="AV620" s="18">
        <v>0</v>
      </c>
      <c r="AW620" s="18">
        <f>58.5*1.4</f>
        <v>81.899999999999991</v>
      </c>
      <c r="AX620" s="18">
        <v>0</v>
      </c>
      <c r="AY620" s="18">
        <v>0</v>
      </c>
      <c r="AZ620" s="18">
        <v>0</v>
      </c>
      <c r="BA620" s="18">
        <v>0</v>
      </c>
      <c r="BB620" s="34">
        <f>687*1.4</f>
        <v>961.8</v>
      </c>
      <c r="BC620" s="34">
        <f>((22447*0.019)+687)*1.4</f>
        <v>1558.8901999999998</v>
      </c>
      <c r="BD620" s="34">
        <f>500+(682*1.4)</f>
        <v>1454.8</v>
      </c>
      <c r="BE620" s="74">
        <f>BF620-788</f>
        <v>787</v>
      </c>
      <c r="BF620" s="18">
        <v>1575</v>
      </c>
      <c r="BG620" s="18">
        <f>(328+345)*1.4</f>
        <v>942.19999999999993</v>
      </c>
      <c r="BH620" s="18">
        <f>(343+307)*1.41</f>
        <v>916.5</v>
      </c>
      <c r="BI620" s="156">
        <v>1587</v>
      </c>
      <c r="BJ620" s="154">
        <f>1002*1.4</f>
        <v>1402.8</v>
      </c>
      <c r="BK620" s="154">
        <f>300*1.4</f>
        <v>420</v>
      </c>
      <c r="BL620" s="154">
        <v>592.19999999999993</v>
      </c>
      <c r="BM620" s="154">
        <v>1084.29</v>
      </c>
      <c r="BN620" s="154">
        <v>1009.56</v>
      </c>
      <c r="BO620" s="168">
        <v>939.06</v>
      </c>
      <c r="BP620" s="113">
        <v>846</v>
      </c>
      <c r="BQ620" s="113">
        <v>134</v>
      </c>
      <c r="BR620" s="101"/>
      <c r="BS620">
        <f t="shared" si="1205"/>
        <v>0</v>
      </c>
      <c r="BT620">
        <f t="shared" si="1205"/>
        <v>0</v>
      </c>
      <c r="BU620">
        <f t="shared" si="1205"/>
        <v>0</v>
      </c>
      <c r="BV620">
        <f t="shared" si="1205"/>
        <v>0</v>
      </c>
      <c r="BW620">
        <f t="shared" si="1205"/>
        <v>0</v>
      </c>
      <c r="BX620">
        <f t="shared" si="1205"/>
        <v>0</v>
      </c>
      <c r="BY620">
        <f t="shared" si="1205"/>
        <v>0</v>
      </c>
      <c r="BZ620">
        <f t="shared" si="1205"/>
        <v>0</v>
      </c>
      <c r="CA620">
        <f t="shared" si="1205"/>
        <v>0</v>
      </c>
      <c r="CB620">
        <f t="shared" si="1205"/>
        <v>0</v>
      </c>
      <c r="CC620">
        <f t="shared" si="1206"/>
        <v>0</v>
      </c>
      <c r="CD620">
        <f t="shared" si="1206"/>
        <v>0</v>
      </c>
      <c r="CE620">
        <f t="shared" si="1206"/>
        <v>0</v>
      </c>
      <c r="CF620">
        <f t="shared" si="1206"/>
        <v>0</v>
      </c>
      <c r="CG620">
        <f t="shared" si="1206"/>
        <v>0</v>
      </c>
      <c r="CH620">
        <f t="shared" si="1206"/>
        <v>0</v>
      </c>
      <c r="CI620">
        <f t="shared" si="1206"/>
        <v>0</v>
      </c>
      <c r="CJ620">
        <f t="shared" si="1206"/>
        <v>0</v>
      </c>
      <c r="CK620">
        <f t="shared" si="1206"/>
        <v>0</v>
      </c>
      <c r="CL620">
        <f t="shared" si="1206"/>
        <v>0</v>
      </c>
      <c r="CM620">
        <f t="shared" si="1207"/>
        <v>0</v>
      </c>
      <c r="CN620">
        <f t="shared" si="1207"/>
        <v>0</v>
      </c>
      <c r="CO620">
        <f t="shared" si="1207"/>
        <v>0</v>
      </c>
      <c r="CP620">
        <f t="shared" si="1207"/>
        <v>0</v>
      </c>
      <c r="CQ620">
        <f t="shared" si="1207"/>
        <v>0</v>
      </c>
      <c r="CR620">
        <f t="shared" si="1207"/>
        <v>0</v>
      </c>
      <c r="CS620">
        <f t="shared" si="1207"/>
        <v>0</v>
      </c>
      <c r="CT620">
        <f t="shared" si="1207"/>
        <v>0</v>
      </c>
      <c r="CU620">
        <f t="shared" si="1207"/>
        <v>0</v>
      </c>
      <c r="CV620">
        <f t="shared" si="1207"/>
        <v>0</v>
      </c>
      <c r="CW620">
        <f t="shared" si="1208"/>
        <v>0</v>
      </c>
      <c r="CX620">
        <f t="shared" si="1208"/>
        <v>0</v>
      </c>
      <c r="CY620">
        <f>IF($C620&lt;&gt;"",IF(AJ620&gt;0,1,0),0)</f>
        <v>0</v>
      </c>
      <c r="CZ620">
        <f>IF($C620&lt;&gt;"",IF(AK620&gt;0,1,0),0)</f>
        <v>0</v>
      </c>
      <c r="DA620">
        <f>IF($C620&lt;&gt;"",IF(AL620&gt;0,1,0),0)</f>
        <v>0</v>
      </c>
      <c r="DB620">
        <f t="shared" si="1209"/>
        <v>0</v>
      </c>
      <c r="DC620">
        <f t="shared" si="1209"/>
        <v>0</v>
      </c>
      <c r="DD620">
        <f t="shared" si="1209"/>
        <v>0</v>
      </c>
      <c r="DE620">
        <f t="shared" si="1209"/>
        <v>0</v>
      </c>
      <c r="DF620">
        <f t="shared" si="1209"/>
        <v>0</v>
      </c>
      <c r="DG620">
        <f t="shared" si="1209"/>
        <v>0</v>
      </c>
      <c r="DH620">
        <f t="shared" si="1209"/>
        <v>0</v>
      </c>
      <c r="DI620">
        <f t="shared" si="1203"/>
        <v>0</v>
      </c>
      <c r="DJ620">
        <f t="shared" si="1203"/>
        <v>0</v>
      </c>
      <c r="DK620">
        <f t="shared" si="1203"/>
        <v>0</v>
      </c>
      <c r="DL620">
        <f t="shared" si="1203"/>
        <v>0</v>
      </c>
      <c r="DM620">
        <f t="shared" si="1203"/>
        <v>0</v>
      </c>
      <c r="DN620">
        <f t="shared" si="1203"/>
        <v>0</v>
      </c>
      <c r="DO620">
        <f t="shared" si="1203"/>
        <v>0</v>
      </c>
      <c r="DP620">
        <f t="shared" si="1203"/>
        <v>0</v>
      </c>
      <c r="DQ620">
        <f t="shared" si="1203"/>
        <v>0</v>
      </c>
      <c r="DR620">
        <f t="shared" si="1203"/>
        <v>0</v>
      </c>
      <c r="DS620">
        <f t="shared" si="1203"/>
        <v>0</v>
      </c>
      <c r="DT620">
        <f t="shared" si="1210"/>
        <v>0</v>
      </c>
      <c r="DU620">
        <f t="shared" si="1210"/>
        <v>0</v>
      </c>
      <c r="DV620">
        <f t="shared" si="1210"/>
        <v>0</v>
      </c>
      <c r="DW620">
        <f t="shared" si="1210"/>
        <v>0</v>
      </c>
      <c r="DX620">
        <f t="shared" si="1210"/>
        <v>0</v>
      </c>
      <c r="DY620">
        <f t="shared" si="1204"/>
        <v>0</v>
      </c>
      <c r="DZ620">
        <f t="shared" si="1204"/>
        <v>0</v>
      </c>
      <c r="EA620">
        <f t="shared" si="1204"/>
        <v>0</v>
      </c>
      <c r="EB620">
        <f t="shared" si="1204"/>
        <v>0</v>
      </c>
      <c r="EC620">
        <f t="shared" si="1204"/>
        <v>0</v>
      </c>
      <c r="ED620">
        <f t="shared" si="1204"/>
        <v>0</v>
      </c>
      <c r="EE620">
        <f t="shared" si="1204"/>
        <v>0</v>
      </c>
      <c r="EF620">
        <f t="shared" si="1204"/>
        <v>0</v>
      </c>
    </row>
    <row r="621" spans="1:136" ht="15.5">
      <c r="A621" s="90"/>
      <c r="B621" s="19"/>
      <c r="C621" s="96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40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18"/>
      <c r="AW621" s="18"/>
      <c r="AX621" s="18"/>
      <c r="AY621" s="18"/>
      <c r="AZ621" s="18"/>
      <c r="BA621" s="18"/>
      <c r="BB621" s="34"/>
      <c r="BC621" s="34"/>
      <c r="BD621" s="34"/>
      <c r="BE621" s="74"/>
      <c r="BF621" s="18"/>
      <c r="BG621" s="40"/>
      <c r="BH621" s="40"/>
      <c r="BI621" s="20"/>
      <c r="BJ621" s="113"/>
      <c r="BK621" s="2"/>
      <c r="BL621" s="2"/>
      <c r="BM621" s="2"/>
      <c r="BN621" s="2"/>
      <c r="BO621" s="2"/>
      <c r="BP621" s="2"/>
      <c r="BQ621" s="2"/>
      <c r="BR621" s="101"/>
    </row>
    <row r="622" spans="1:136" ht="15.5">
      <c r="A622" s="93">
        <v>74</v>
      </c>
      <c r="B622" s="52" t="s">
        <v>87</v>
      </c>
      <c r="C622" s="94">
        <v>4</v>
      </c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>
        <f>SUM(AI623:AI625)</f>
        <v>0</v>
      </c>
      <c r="AJ622" s="22">
        <f t="shared" ref="AJ622:BO622" si="1211">SUM(AJ623:AJ625)</f>
        <v>0</v>
      </c>
      <c r="AK622" s="22">
        <f t="shared" si="1211"/>
        <v>21.467903</v>
      </c>
      <c r="AL622" s="22">
        <f t="shared" si="1211"/>
        <v>105.29990530000001</v>
      </c>
      <c r="AM622" s="22">
        <f t="shared" si="1211"/>
        <v>161.71899999999999</v>
      </c>
      <c r="AN622" s="22">
        <f t="shared" si="1211"/>
        <v>0</v>
      </c>
      <c r="AO622" s="22">
        <f t="shared" si="1211"/>
        <v>0</v>
      </c>
      <c r="AP622" s="22">
        <f t="shared" si="1211"/>
        <v>103.8</v>
      </c>
      <c r="AQ622" s="22">
        <f t="shared" si="1211"/>
        <v>388.11634079999999</v>
      </c>
      <c r="AR622" s="22">
        <f t="shared" si="1211"/>
        <v>0</v>
      </c>
      <c r="AS622" s="22">
        <f t="shared" si="1211"/>
        <v>169.721</v>
      </c>
      <c r="AT622" s="22">
        <f t="shared" si="1211"/>
        <v>0</v>
      </c>
      <c r="AU622" s="22">
        <f t="shared" si="1211"/>
        <v>12.08211001969384</v>
      </c>
      <c r="AV622" s="22">
        <f t="shared" si="1211"/>
        <v>0</v>
      </c>
      <c r="AW622" s="22">
        <f t="shared" si="1211"/>
        <v>0</v>
      </c>
      <c r="AX622" s="22">
        <f t="shared" si="1211"/>
        <v>0</v>
      </c>
      <c r="AY622" s="22">
        <f t="shared" si="1211"/>
        <v>0</v>
      </c>
      <c r="AZ622" s="22">
        <f t="shared" si="1211"/>
        <v>0</v>
      </c>
      <c r="BA622" s="22">
        <f t="shared" si="1211"/>
        <v>0</v>
      </c>
      <c r="BB622" s="22">
        <f t="shared" si="1211"/>
        <v>0</v>
      </c>
      <c r="BC622" s="22">
        <f t="shared" si="1211"/>
        <v>0</v>
      </c>
      <c r="BD622" s="22">
        <f t="shared" si="1211"/>
        <v>0</v>
      </c>
      <c r="BE622" s="22">
        <f t="shared" si="1211"/>
        <v>0</v>
      </c>
      <c r="BF622" s="22">
        <f t="shared" si="1211"/>
        <v>1209.5</v>
      </c>
      <c r="BG622" s="22">
        <f t="shared" si="1211"/>
        <v>1</v>
      </c>
      <c r="BH622" s="22">
        <f t="shared" si="1211"/>
        <v>574</v>
      </c>
      <c r="BI622" s="22">
        <f t="shared" si="1211"/>
        <v>687</v>
      </c>
      <c r="BJ622" s="22">
        <f t="shared" si="1211"/>
        <v>569</v>
      </c>
      <c r="BK622" s="22">
        <f t="shared" si="1211"/>
        <v>1113</v>
      </c>
      <c r="BL622" s="22">
        <f t="shared" si="1211"/>
        <v>767.89588377723976</v>
      </c>
      <c r="BM622" s="22">
        <f t="shared" si="1211"/>
        <v>645</v>
      </c>
      <c r="BN622" s="22">
        <f t="shared" si="1211"/>
        <v>96</v>
      </c>
      <c r="BO622" s="22">
        <f t="shared" si="1211"/>
        <v>69</v>
      </c>
      <c r="BP622" s="22">
        <f>SUM(BP623:BP625)</f>
        <v>75</v>
      </c>
      <c r="BQ622" s="22">
        <f>SUM(BQ623:BQ625)</f>
        <v>70</v>
      </c>
      <c r="BR622" s="101"/>
      <c r="BS622">
        <f t="shared" ref="BS622:CB626" si="1212">IF($C622&lt;&gt;"",IF(D622&gt;0,1,0),0)</f>
        <v>0</v>
      </c>
      <c r="BT622">
        <f t="shared" si="1212"/>
        <v>0</v>
      </c>
      <c r="BU622">
        <f t="shared" si="1212"/>
        <v>0</v>
      </c>
      <c r="BV622">
        <f t="shared" si="1212"/>
        <v>0</v>
      </c>
      <c r="BW622">
        <f t="shared" si="1212"/>
        <v>0</v>
      </c>
      <c r="BX622">
        <f t="shared" si="1212"/>
        <v>0</v>
      </c>
      <c r="BY622">
        <f t="shared" si="1212"/>
        <v>0</v>
      </c>
      <c r="BZ622">
        <f t="shared" si="1212"/>
        <v>0</v>
      </c>
      <c r="CA622">
        <f t="shared" si="1212"/>
        <v>0</v>
      </c>
      <c r="CB622">
        <f t="shared" si="1212"/>
        <v>0</v>
      </c>
      <c r="CC622">
        <f t="shared" ref="CC622:CL626" si="1213">IF($C622&lt;&gt;"",IF(N622&gt;0,1,0),0)</f>
        <v>0</v>
      </c>
      <c r="CD622">
        <f t="shared" si="1213"/>
        <v>0</v>
      </c>
      <c r="CE622">
        <f t="shared" si="1213"/>
        <v>0</v>
      </c>
      <c r="CF622">
        <f t="shared" si="1213"/>
        <v>0</v>
      </c>
      <c r="CG622">
        <f t="shared" si="1213"/>
        <v>0</v>
      </c>
      <c r="CH622">
        <f t="shared" si="1213"/>
        <v>0</v>
      </c>
      <c r="CI622">
        <f t="shared" si="1213"/>
        <v>0</v>
      </c>
      <c r="CJ622">
        <f t="shared" si="1213"/>
        <v>0</v>
      </c>
      <c r="CK622">
        <f t="shared" si="1213"/>
        <v>0</v>
      </c>
      <c r="CL622">
        <f t="shared" si="1213"/>
        <v>0</v>
      </c>
      <c r="CM622">
        <f t="shared" ref="CM622:CV626" si="1214">IF($C622&lt;&gt;"",IF(X622&gt;0,1,0),0)</f>
        <v>0</v>
      </c>
      <c r="CN622">
        <f t="shared" si="1214"/>
        <v>0</v>
      </c>
      <c r="CO622">
        <f t="shared" si="1214"/>
        <v>0</v>
      </c>
      <c r="CP622">
        <f t="shared" si="1214"/>
        <v>0</v>
      </c>
      <c r="CQ622">
        <f t="shared" si="1214"/>
        <v>0</v>
      </c>
      <c r="CR622">
        <f t="shared" si="1214"/>
        <v>0</v>
      </c>
      <c r="CS622">
        <f t="shared" si="1214"/>
        <v>0</v>
      </c>
      <c r="CT622">
        <f t="shared" si="1214"/>
        <v>0</v>
      </c>
      <c r="CU622">
        <f t="shared" si="1214"/>
        <v>0</v>
      </c>
      <c r="CV622">
        <f t="shared" si="1214"/>
        <v>0</v>
      </c>
      <c r="CW622">
        <f t="shared" ref="CW622:DF626" si="1215">IF($C622&lt;&gt;"",IF(AH622&gt;0,1,0),0)</f>
        <v>0</v>
      </c>
      <c r="CX622">
        <f t="shared" si="1215"/>
        <v>0</v>
      </c>
      <c r="CY622">
        <f t="shared" si="1215"/>
        <v>0</v>
      </c>
      <c r="CZ622">
        <f t="shared" si="1215"/>
        <v>1</v>
      </c>
      <c r="DA622">
        <f t="shared" si="1215"/>
        <v>1</v>
      </c>
      <c r="DB622">
        <f t="shared" si="1215"/>
        <v>1</v>
      </c>
      <c r="DC622">
        <f t="shared" si="1215"/>
        <v>0</v>
      </c>
      <c r="DD622">
        <f t="shared" si="1215"/>
        <v>0</v>
      </c>
      <c r="DE622">
        <f t="shared" si="1215"/>
        <v>1</v>
      </c>
      <c r="DF622">
        <f t="shared" si="1215"/>
        <v>1</v>
      </c>
      <c r="DG622">
        <f t="shared" ref="DG622:DP626" si="1216">IF($C622&lt;&gt;"",IF(AR622&gt;0,1,0),0)</f>
        <v>0</v>
      </c>
      <c r="DH622">
        <f t="shared" si="1216"/>
        <v>1</v>
      </c>
      <c r="DI622">
        <f t="shared" si="1216"/>
        <v>0</v>
      </c>
      <c r="DJ622">
        <f t="shared" si="1216"/>
        <v>1</v>
      </c>
      <c r="DK622">
        <f t="shared" si="1216"/>
        <v>0</v>
      </c>
      <c r="DL622">
        <f t="shared" si="1216"/>
        <v>0</v>
      </c>
      <c r="DM622">
        <f t="shared" si="1216"/>
        <v>0</v>
      </c>
      <c r="DN622">
        <f t="shared" si="1216"/>
        <v>0</v>
      </c>
      <c r="DO622">
        <f t="shared" si="1216"/>
        <v>0</v>
      </c>
      <c r="DP622">
        <f t="shared" si="1216"/>
        <v>0</v>
      </c>
      <c r="DQ622">
        <f t="shared" ref="DQ622:DZ626" si="1217">IF($C622&lt;&gt;"",IF(BB622&gt;0,1,0),0)</f>
        <v>0</v>
      </c>
      <c r="DR622">
        <f t="shared" si="1217"/>
        <v>0</v>
      </c>
      <c r="DS622">
        <f t="shared" si="1217"/>
        <v>0</v>
      </c>
      <c r="DT622">
        <f t="shared" si="1217"/>
        <v>0</v>
      </c>
      <c r="DU622">
        <f t="shared" si="1217"/>
        <v>1</v>
      </c>
      <c r="DV622">
        <f t="shared" si="1217"/>
        <v>1</v>
      </c>
      <c r="DW622">
        <f t="shared" si="1217"/>
        <v>1</v>
      </c>
      <c r="DX622">
        <f t="shared" si="1217"/>
        <v>1</v>
      </c>
      <c r="DY622">
        <f t="shared" si="1217"/>
        <v>1</v>
      </c>
      <c r="DZ622">
        <f t="shared" si="1217"/>
        <v>1</v>
      </c>
      <c r="EA622">
        <f t="shared" ref="EA622:EB626" si="1218">IF($C622&lt;&gt;"",IF(BL622&gt;0,1,0),0)</f>
        <v>1</v>
      </c>
      <c r="EB622">
        <f t="shared" si="1218"/>
        <v>1</v>
      </c>
      <c r="EC622">
        <f>IF($C622&lt;&gt;"",IF(BN633&gt;0,1,0),0)</f>
        <v>0</v>
      </c>
      <c r="ED622">
        <f>IF($C622&lt;&gt;"",IF(BO633&gt;0,1,0),0)</f>
        <v>0</v>
      </c>
      <c r="EE622">
        <f>IF($C622&lt;&gt;"",IF(BP633&gt;0,1,0),0)</f>
        <v>0</v>
      </c>
      <c r="EF622">
        <f>IF($C622&lt;&gt;"",IF(BQ633&gt;0,1,0),0)</f>
        <v>0</v>
      </c>
    </row>
    <row r="623" spans="1:136" ht="15.5">
      <c r="A623" s="90"/>
      <c r="B623" s="19" t="s">
        <v>205</v>
      </c>
      <c r="C623" s="94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18">
        <v>0</v>
      </c>
      <c r="AJ623" s="18">
        <v>0</v>
      </c>
      <c r="AK623" s="18">
        <v>0</v>
      </c>
      <c r="AL623" s="18">
        <v>0</v>
      </c>
      <c r="AM623" s="18">
        <v>0</v>
      </c>
      <c r="AN623" s="18">
        <v>0</v>
      </c>
      <c r="AO623" s="18">
        <v>0</v>
      </c>
      <c r="AP623" s="18">
        <v>0</v>
      </c>
      <c r="AQ623" s="18">
        <v>0</v>
      </c>
      <c r="AR623" s="18">
        <v>0</v>
      </c>
      <c r="AS623" s="18">
        <v>0</v>
      </c>
      <c r="AT623" s="18">
        <v>0</v>
      </c>
      <c r="AU623" s="18">
        <f>100000000/8.2767/1000000</f>
        <v>12.08211001969384</v>
      </c>
      <c r="AV623" s="18">
        <v>0</v>
      </c>
      <c r="AW623" s="18">
        <v>0</v>
      </c>
      <c r="AX623" s="18">
        <v>0</v>
      </c>
      <c r="AY623" s="18">
        <v>0</v>
      </c>
      <c r="AZ623" s="18">
        <v>0</v>
      </c>
      <c r="BA623" s="18">
        <v>0</v>
      </c>
      <c r="BB623" s="18">
        <v>0</v>
      </c>
      <c r="BC623" s="18">
        <v>0</v>
      </c>
      <c r="BD623" s="18">
        <v>0</v>
      </c>
      <c r="BE623" s="18">
        <v>0</v>
      </c>
      <c r="BF623" s="25">
        <v>199.5</v>
      </c>
      <c r="BG623" s="18">
        <v>0</v>
      </c>
      <c r="BH623" s="18">
        <v>0</v>
      </c>
      <c r="BI623" s="18">
        <v>0</v>
      </c>
      <c r="BJ623" s="25">
        <v>0</v>
      </c>
      <c r="BK623" s="18">
        <v>0</v>
      </c>
      <c r="BL623" s="25">
        <f>4500/413</f>
        <v>10.895883777239709</v>
      </c>
      <c r="BM623" s="18">
        <v>0</v>
      </c>
      <c r="BN623" s="18">
        <v>0</v>
      </c>
      <c r="BO623" s="18">
        <v>0</v>
      </c>
      <c r="BP623" s="18">
        <v>0</v>
      </c>
      <c r="BQ623" s="18">
        <v>0</v>
      </c>
      <c r="BR623" s="101"/>
      <c r="BS623">
        <f t="shared" si="1212"/>
        <v>0</v>
      </c>
      <c r="BT623">
        <f t="shared" si="1212"/>
        <v>0</v>
      </c>
      <c r="BU623">
        <f t="shared" si="1212"/>
        <v>0</v>
      </c>
      <c r="BV623">
        <f t="shared" si="1212"/>
        <v>0</v>
      </c>
      <c r="BW623">
        <f t="shared" si="1212"/>
        <v>0</v>
      </c>
      <c r="BX623">
        <f t="shared" si="1212"/>
        <v>0</v>
      </c>
      <c r="BY623">
        <f t="shared" si="1212"/>
        <v>0</v>
      </c>
      <c r="BZ623">
        <f t="shared" si="1212"/>
        <v>0</v>
      </c>
      <c r="CA623">
        <f t="shared" si="1212"/>
        <v>0</v>
      </c>
      <c r="CB623">
        <f t="shared" si="1212"/>
        <v>0</v>
      </c>
      <c r="CC623">
        <f t="shared" si="1213"/>
        <v>0</v>
      </c>
      <c r="CD623">
        <f t="shared" si="1213"/>
        <v>0</v>
      </c>
      <c r="CE623">
        <f t="shared" si="1213"/>
        <v>0</v>
      </c>
      <c r="CF623">
        <f t="shared" si="1213"/>
        <v>0</v>
      </c>
      <c r="CG623">
        <f t="shared" si="1213"/>
        <v>0</v>
      </c>
      <c r="CH623">
        <f t="shared" si="1213"/>
        <v>0</v>
      </c>
      <c r="CI623">
        <f t="shared" si="1213"/>
        <v>0</v>
      </c>
      <c r="CJ623">
        <f t="shared" si="1213"/>
        <v>0</v>
      </c>
      <c r="CK623">
        <f t="shared" si="1213"/>
        <v>0</v>
      </c>
      <c r="CL623">
        <f t="shared" si="1213"/>
        <v>0</v>
      </c>
      <c r="CM623">
        <f t="shared" si="1214"/>
        <v>0</v>
      </c>
      <c r="CN623">
        <f t="shared" si="1214"/>
        <v>0</v>
      </c>
      <c r="CO623">
        <f t="shared" si="1214"/>
        <v>0</v>
      </c>
      <c r="CP623">
        <f t="shared" si="1214"/>
        <v>0</v>
      </c>
      <c r="CQ623">
        <f t="shared" si="1214"/>
        <v>0</v>
      </c>
      <c r="CR623">
        <f t="shared" si="1214"/>
        <v>0</v>
      </c>
      <c r="CS623">
        <f t="shared" si="1214"/>
        <v>0</v>
      </c>
      <c r="CT623">
        <f t="shared" si="1214"/>
        <v>0</v>
      </c>
      <c r="CU623">
        <f t="shared" si="1214"/>
        <v>0</v>
      </c>
      <c r="CV623">
        <f t="shared" si="1214"/>
        <v>0</v>
      </c>
      <c r="CW623">
        <f t="shared" si="1215"/>
        <v>0</v>
      </c>
      <c r="CX623">
        <f t="shared" si="1215"/>
        <v>0</v>
      </c>
      <c r="CY623">
        <f t="shared" si="1215"/>
        <v>0</v>
      </c>
      <c r="CZ623">
        <f t="shared" si="1215"/>
        <v>0</v>
      </c>
      <c r="DA623">
        <f t="shared" si="1215"/>
        <v>0</v>
      </c>
      <c r="DB623">
        <f t="shared" si="1215"/>
        <v>0</v>
      </c>
      <c r="DC623">
        <f t="shared" si="1215"/>
        <v>0</v>
      </c>
      <c r="DD623">
        <f t="shared" si="1215"/>
        <v>0</v>
      </c>
      <c r="DE623">
        <f t="shared" si="1215"/>
        <v>0</v>
      </c>
      <c r="DF623">
        <f t="shared" si="1215"/>
        <v>0</v>
      </c>
      <c r="DG623">
        <f t="shared" si="1216"/>
        <v>0</v>
      </c>
      <c r="DH623">
        <f t="shared" si="1216"/>
        <v>0</v>
      </c>
      <c r="DI623">
        <f t="shared" si="1216"/>
        <v>0</v>
      </c>
      <c r="DJ623">
        <f t="shared" si="1216"/>
        <v>0</v>
      </c>
      <c r="DK623">
        <f t="shared" si="1216"/>
        <v>0</v>
      </c>
      <c r="DL623">
        <f t="shared" si="1216"/>
        <v>0</v>
      </c>
      <c r="DM623">
        <f t="shared" si="1216"/>
        <v>0</v>
      </c>
      <c r="DN623">
        <f t="shared" si="1216"/>
        <v>0</v>
      </c>
      <c r="DO623">
        <f t="shared" si="1216"/>
        <v>0</v>
      </c>
      <c r="DP623">
        <f t="shared" si="1216"/>
        <v>0</v>
      </c>
      <c r="DQ623">
        <f t="shared" si="1217"/>
        <v>0</v>
      </c>
      <c r="DR623">
        <f t="shared" si="1217"/>
        <v>0</v>
      </c>
      <c r="DS623">
        <f t="shared" si="1217"/>
        <v>0</v>
      </c>
      <c r="DT623">
        <f t="shared" si="1217"/>
        <v>0</v>
      </c>
      <c r="DU623">
        <f t="shared" si="1217"/>
        <v>0</v>
      </c>
      <c r="DV623">
        <f t="shared" si="1217"/>
        <v>0</v>
      </c>
      <c r="DW623">
        <f t="shared" si="1217"/>
        <v>0</v>
      </c>
      <c r="DX623">
        <f t="shared" si="1217"/>
        <v>0</v>
      </c>
      <c r="DY623">
        <f t="shared" si="1217"/>
        <v>0</v>
      </c>
      <c r="DZ623">
        <f t="shared" si="1217"/>
        <v>0</v>
      </c>
      <c r="EA623">
        <f t="shared" si="1218"/>
        <v>0</v>
      </c>
      <c r="EB623">
        <f t="shared" si="1218"/>
        <v>0</v>
      </c>
      <c r="EC623">
        <f t="shared" ref="EC623:EF626" si="1219">IF($C623&lt;&gt;"",IF(BN623&gt;0,1,0),0)</f>
        <v>0</v>
      </c>
      <c r="ED623">
        <f t="shared" si="1219"/>
        <v>0</v>
      </c>
      <c r="EE623">
        <f t="shared" si="1219"/>
        <v>0</v>
      </c>
      <c r="EF623">
        <f t="shared" si="1219"/>
        <v>0</v>
      </c>
    </row>
    <row r="624" spans="1:136" ht="15.5">
      <c r="A624" s="90"/>
      <c r="B624" s="53" t="s">
        <v>3</v>
      </c>
      <c r="C624" s="95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>
        <v>0</v>
      </c>
      <c r="AJ624" s="18">
        <v>0</v>
      </c>
      <c r="AK624" s="18">
        <v>0.66790300000000002</v>
      </c>
      <c r="AL624" s="18">
        <v>80.199905299999998</v>
      </c>
      <c r="AM624" s="18">
        <v>161.71899999999999</v>
      </c>
      <c r="AN624" s="18">
        <v>0</v>
      </c>
      <c r="AO624" s="18">
        <v>0</v>
      </c>
      <c r="AP624" s="18">
        <v>0</v>
      </c>
      <c r="AQ624" s="18">
        <v>184.71634080000001</v>
      </c>
      <c r="AR624" s="18">
        <v>0</v>
      </c>
      <c r="AS624" s="18">
        <v>169.721</v>
      </c>
      <c r="AT624" s="18">
        <v>0</v>
      </c>
      <c r="AU624" s="18">
        <v>0</v>
      </c>
      <c r="AV624" s="18">
        <v>0</v>
      </c>
      <c r="AW624" s="18">
        <v>0</v>
      </c>
      <c r="AX624" s="18">
        <v>0</v>
      </c>
      <c r="AY624" s="18">
        <v>0</v>
      </c>
      <c r="AZ624" s="18">
        <v>0</v>
      </c>
      <c r="BA624" s="18">
        <v>0</v>
      </c>
      <c r="BB624" s="34">
        <v>0</v>
      </c>
      <c r="BC624" s="34">
        <v>0</v>
      </c>
      <c r="BD624" s="20">
        <v>0</v>
      </c>
      <c r="BE624" s="56">
        <v>0</v>
      </c>
      <c r="BF624" s="42">
        <v>0</v>
      </c>
      <c r="BG624" s="42">
        <v>0</v>
      </c>
      <c r="BH624" s="42">
        <v>0</v>
      </c>
      <c r="BI624" s="42">
        <v>0</v>
      </c>
      <c r="BJ624" s="42">
        <v>0</v>
      </c>
      <c r="BK624" s="42">
        <v>0</v>
      </c>
      <c r="BL624" s="42">
        <v>0</v>
      </c>
      <c r="BM624" s="42">
        <v>0</v>
      </c>
      <c r="BN624" s="42">
        <v>0</v>
      </c>
      <c r="BO624" s="56">
        <v>0</v>
      </c>
      <c r="BP624" s="56">
        <v>0</v>
      </c>
      <c r="BQ624" s="18">
        <v>0</v>
      </c>
      <c r="BR624" s="101"/>
      <c r="BS624">
        <f t="shared" si="1212"/>
        <v>0</v>
      </c>
      <c r="BT624">
        <f t="shared" si="1212"/>
        <v>0</v>
      </c>
      <c r="BU624">
        <f t="shared" si="1212"/>
        <v>0</v>
      </c>
      <c r="BV624">
        <f t="shared" si="1212"/>
        <v>0</v>
      </c>
      <c r="BW624">
        <f t="shared" si="1212"/>
        <v>0</v>
      </c>
      <c r="BX624">
        <f t="shared" si="1212"/>
        <v>0</v>
      </c>
      <c r="BY624">
        <f t="shared" si="1212"/>
        <v>0</v>
      </c>
      <c r="BZ624">
        <f t="shared" si="1212"/>
        <v>0</v>
      </c>
      <c r="CA624">
        <f t="shared" si="1212"/>
        <v>0</v>
      </c>
      <c r="CB624">
        <f t="shared" si="1212"/>
        <v>0</v>
      </c>
      <c r="CC624">
        <f t="shared" si="1213"/>
        <v>0</v>
      </c>
      <c r="CD624">
        <f t="shared" si="1213"/>
        <v>0</v>
      </c>
      <c r="CE624">
        <f t="shared" si="1213"/>
        <v>0</v>
      </c>
      <c r="CF624">
        <f t="shared" si="1213"/>
        <v>0</v>
      </c>
      <c r="CG624">
        <f t="shared" si="1213"/>
        <v>0</v>
      </c>
      <c r="CH624">
        <f t="shared" si="1213"/>
        <v>0</v>
      </c>
      <c r="CI624">
        <f t="shared" si="1213"/>
        <v>0</v>
      </c>
      <c r="CJ624">
        <f t="shared" si="1213"/>
        <v>0</v>
      </c>
      <c r="CK624">
        <f t="shared" si="1213"/>
        <v>0</v>
      </c>
      <c r="CL624">
        <f t="shared" si="1213"/>
        <v>0</v>
      </c>
      <c r="CM624">
        <f t="shared" si="1214"/>
        <v>0</v>
      </c>
      <c r="CN624">
        <f t="shared" si="1214"/>
        <v>0</v>
      </c>
      <c r="CO624">
        <f t="shared" si="1214"/>
        <v>0</v>
      </c>
      <c r="CP624">
        <f t="shared" si="1214"/>
        <v>0</v>
      </c>
      <c r="CQ624">
        <f t="shared" si="1214"/>
        <v>0</v>
      </c>
      <c r="CR624">
        <f t="shared" si="1214"/>
        <v>0</v>
      </c>
      <c r="CS624">
        <f t="shared" si="1214"/>
        <v>0</v>
      </c>
      <c r="CT624">
        <f t="shared" si="1214"/>
        <v>0</v>
      </c>
      <c r="CU624">
        <f t="shared" si="1214"/>
        <v>0</v>
      </c>
      <c r="CV624">
        <f t="shared" si="1214"/>
        <v>0</v>
      </c>
      <c r="CW624">
        <f t="shared" si="1215"/>
        <v>0</v>
      </c>
      <c r="CX624">
        <f t="shared" si="1215"/>
        <v>0</v>
      </c>
      <c r="CY624">
        <f t="shared" si="1215"/>
        <v>0</v>
      </c>
      <c r="CZ624">
        <f t="shared" si="1215"/>
        <v>0</v>
      </c>
      <c r="DA624">
        <f t="shared" si="1215"/>
        <v>0</v>
      </c>
      <c r="DB624">
        <f t="shared" si="1215"/>
        <v>0</v>
      </c>
      <c r="DC624">
        <f t="shared" si="1215"/>
        <v>0</v>
      </c>
      <c r="DD624">
        <f t="shared" si="1215"/>
        <v>0</v>
      </c>
      <c r="DE624">
        <f t="shared" si="1215"/>
        <v>0</v>
      </c>
      <c r="DF624">
        <f t="shared" si="1215"/>
        <v>0</v>
      </c>
      <c r="DG624">
        <f t="shared" si="1216"/>
        <v>0</v>
      </c>
      <c r="DH624">
        <f t="shared" si="1216"/>
        <v>0</v>
      </c>
      <c r="DI624">
        <f t="shared" si="1216"/>
        <v>0</v>
      </c>
      <c r="DJ624">
        <f t="shared" si="1216"/>
        <v>0</v>
      </c>
      <c r="DK624">
        <f t="shared" si="1216"/>
        <v>0</v>
      </c>
      <c r="DL624">
        <f t="shared" si="1216"/>
        <v>0</v>
      </c>
      <c r="DM624">
        <f t="shared" si="1216"/>
        <v>0</v>
      </c>
      <c r="DN624">
        <f t="shared" si="1216"/>
        <v>0</v>
      </c>
      <c r="DO624">
        <f t="shared" si="1216"/>
        <v>0</v>
      </c>
      <c r="DP624">
        <f t="shared" si="1216"/>
        <v>0</v>
      </c>
      <c r="DQ624">
        <f t="shared" si="1217"/>
        <v>0</v>
      </c>
      <c r="DR624">
        <f t="shared" si="1217"/>
        <v>0</v>
      </c>
      <c r="DS624">
        <f t="shared" si="1217"/>
        <v>0</v>
      </c>
      <c r="DT624">
        <f t="shared" si="1217"/>
        <v>0</v>
      </c>
      <c r="DU624">
        <f t="shared" si="1217"/>
        <v>0</v>
      </c>
      <c r="DV624">
        <f t="shared" si="1217"/>
        <v>0</v>
      </c>
      <c r="DW624">
        <f t="shared" si="1217"/>
        <v>0</v>
      </c>
      <c r="DX624">
        <f t="shared" si="1217"/>
        <v>0</v>
      </c>
      <c r="DY624">
        <f t="shared" si="1217"/>
        <v>0</v>
      </c>
      <c r="DZ624">
        <f t="shared" si="1217"/>
        <v>0</v>
      </c>
      <c r="EA624">
        <f t="shared" si="1218"/>
        <v>0</v>
      </c>
      <c r="EB624">
        <f t="shared" si="1218"/>
        <v>0</v>
      </c>
      <c r="EC624">
        <f t="shared" si="1219"/>
        <v>0</v>
      </c>
      <c r="ED624">
        <f t="shared" si="1219"/>
        <v>0</v>
      </c>
      <c r="EE624">
        <f t="shared" si="1219"/>
        <v>0</v>
      </c>
      <c r="EF624">
        <f t="shared" si="1219"/>
        <v>0</v>
      </c>
    </row>
    <row r="625" spans="1:136" ht="15.5">
      <c r="A625" s="90"/>
      <c r="B625" s="19" t="s">
        <v>208</v>
      </c>
      <c r="C625" s="94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>
        <v>0</v>
      </c>
      <c r="AJ625" s="18">
        <v>0</v>
      </c>
      <c r="AK625" s="18">
        <v>20.8</v>
      </c>
      <c r="AL625" s="18">
        <v>25.1</v>
      </c>
      <c r="AM625" s="18">
        <v>0</v>
      </c>
      <c r="AN625" s="18">
        <v>0</v>
      </c>
      <c r="AO625" s="18">
        <v>0</v>
      </c>
      <c r="AP625" s="18">
        <v>103.8</v>
      </c>
      <c r="AQ625" s="18">
        <v>203.4</v>
      </c>
      <c r="AR625" s="18">
        <v>0</v>
      </c>
      <c r="AS625" s="18">
        <v>0</v>
      </c>
      <c r="AT625" s="18">
        <v>0</v>
      </c>
      <c r="AU625" s="18">
        <v>0</v>
      </c>
      <c r="AV625" s="18">
        <v>0</v>
      </c>
      <c r="AW625" s="18">
        <v>0</v>
      </c>
      <c r="AX625" s="18">
        <v>0</v>
      </c>
      <c r="AY625" s="18">
        <v>0</v>
      </c>
      <c r="AZ625" s="18">
        <v>0</v>
      </c>
      <c r="BA625" s="18">
        <v>0</v>
      </c>
      <c r="BB625" s="20">
        <v>0</v>
      </c>
      <c r="BC625" s="20">
        <v>0</v>
      </c>
      <c r="BD625" s="20">
        <v>0</v>
      </c>
      <c r="BE625" s="56">
        <v>0</v>
      </c>
      <c r="BF625" s="27">
        <v>1010</v>
      </c>
      <c r="BG625" s="27">
        <v>1</v>
      </c>
      <c r="BH625" s="27">
        <v>574</v>
      </c>
      <c r="BI625" s="27">
        <v>687</v>
      </c>
      <c r="BJ625" s="130">
        <v>569</v>
      </c>
      <c r="BK625" s="130">
        <v>1113</v>
      </c>
      <c r="BL625" s="18">
        <v>757</v>
      </c>
      <c r="BM625" s="113">
        <v>645</v>
      </c>
      <c r="BN625" s="113">
        <v>96</v>
      </c>
      <c r="BO625" s="113">
        <v>69</v>
      </c>
      <c r="BP625" s="113">
        <v>75</v>
      </c>
      <c r="BQ625" s="113">
        <v>70</v>
      </c>
      <c r="BR625" s="101"/>
      <c r="BS625">
        <f t="shared" si="1212"/>
        <v>0</v>
      </c>
      <c r="BT625">
        <f t="shared" si="1212"/>
        <v>0</v>
      </c>
      <c r="BU625">
        <f t="shared" si="1212"/>
        <v>0</v>
      </c>
      <c r="BV625">
        <f t="shared" si="1212"/>
        <v>0</v>
      </c>
      <c r="BW625">
        <f t="shared" si="1212"/>
        <v>0</v>
      </c>
      <c r="BX625">
        <f t="shared" si="1212"/>
        <v>0</v>
      </c>
      <c r="BY625">
        <f t="shared" si="1212"/>
        <v>0</v>
      </c>
      <c r="BZ625">
        <f t="shared" si="1212"/>
        <v>0</v>
      </c>
      <c r="CA625">
        <f t="shared" si="1212"/>
        <v>0</v>
      </c>
      <c r="CB625">
        <f t="shared" si="1212"/>
        <v>0</v>
      </c>
      <c r="CC625">
        <f t="shared" si="1213"/>
        <v>0</v>
      </c>
      <c r="CD625">
        <f t="shared" si="1213"/>
        <v>0</v>
      </c>
      <c r="CE625">
        <f t="shared" si="1213"/>
        <v>0</v>
      </c>
      <c r="CF625">
        <f t="shared" si="1213"/>
        <v>0</v>
      </c>
      <c r="CG625">
        <f t="shared" si="1213"/>
        <v>0</v>
      </c>
      <c r="CH625">
        <f t="shared" si="1213"/>
        <v>0</v>
      </c>
      <c r="CI625">
        <f t="shared" si="1213"/>
        <v>0</v>
      </c>
      <c r="CJ625">
        <f t="shared" si="1213"/>
        <v>0</v>
      </c>
      <c r="CK625">
        <f t="shared" si="1213"/>
        <v>0</v>
      </c>
      <c r="CL625">
        <f t="shared" si="1213"/>
        <v>0</v>
      </c>
      <c r="CM625">
        <f t="shared" si="1214"/>
        <v>0</v>
      </c>
      <c r="CN625">
        <f t="shared" si="1214"/>
        <v>0</v>
      </c>
      <c r="CO625">
        <f t="shared" si="1214"/>
        <v>0</v>
      </c>
      <c r="CP625">
        <f t="shared" si="1214"/>
        <v>0</v>
      </c>
      <c r="CQ625">
        <f t="shared" si="1214"/>
        <v>0</v>
      </c>
      <c r="CR625">
        <f t="shared" si="1214"/>
        <v>0</v>
      </c>
      <c r="CS625">
        <f t="shared" si="1214"/>
        <v>0</v>
      </c>
      <c r="CT625">
        <f t="shared" si="1214"/>
        <v>0</v>
      </c>
      <c r="CU625">
        <f t="shared" si="1214"/>
        <v>0</v>
      </c>
      <c r="CV625">
        <f t="shared" si="1214"/>
        <v>0</v>
      </c>
      <c r="CW625">
        <f t="shared" si="1215"/>
        <v>0</v>
      </c>
      <c r="CX625">
        <f t="shared" si="1215"/>
        <v>0</v>
      </c>
      <c r="CY625">
        <f t="shared" si="1215"/>
        <v>0</v>
      </c>
      <c r="CZ625">
        <f t="shared" si="1215"/>
        <v>0</v>
      </c>
      <c r="DA625">
        <f t="shared" si="1215"/>
        <v>0</v>
      </c>
      <c r="DB625">
        <f t="shared" si="1215"/>
        <v>0</v>
      </c>
      <c r="DC625">
        <f t="shared" si="1215"/>
        <v>0</v>
      </c>
      <c r="DD625">
        <f t="shared" si="1215"/>
        <v>0</v>
      </c>
      <c r="DE625">
        <f t="shared" si="1215"/>
        <v>0</v>
      </c>
      <c r="DF625">
        <f t="shared" si="1215"/>
        <v>0</v>
      </c>
      <c r="DG625">
        <f t="shared" si="1216"/>
        <v>0</v>
      </c>
      <c r="DH625">
        <f t="shared" si="1216"/>
        <v>0</v>
      </c>
      <c r="DI625">
        <f t="shared" si="1216"/>
        <v>0</v>
      </c>
      <c r="DJ625">
        <f t="shared" si="1216"/>
        <v>0</v>
      </c>
      <c r="DK625">
        <f t="shared" si="1216"/>
        <v>0</v>
      </c>
      <c r="DL625">
        <f t="shared" si="1216"/>
        <v>0</v>
      </c>
      <c r="DM625">
        <f t="shared" si="1216"/>
        <v>0</v>
      </c>
      <c r="DN625">
        <f t="shared" si="1216"/>
        <v>0</v>
      </c>
      <c r="DO625">
        <f t="shared" si="1216"/>
        <v>0</v>
      </c>
      <c r="DP625">
        <f t="shared" si="1216"/>
        <v>0</v>
      </c>
      <c r="DQ625">
        <f t="shared" si="1217"/>
        <v>0</v>
      </c>
      <c r="DR625">
        <f t="shared" si="1217"/>
        <v>0</v>
      </c>
      <c r="DS625">
        <f t="shared" si="1217"/>
        <v>0</v>
      </c>
      <c r="DT625">
        <f t="shared" si="1217"/>
        <v>0</v>
      </c>
      <c r="DU625">
        <f t="shared" si="1217"/>
        <v>0</v>
      </c>
      <c r="DV625">
        <f t="shared" si="1217"/>
        <v>0</v>
      </c>
      <c r="DW625">
        <f t="shared" si="1217"/>
        <v>0</v>
      </c>
      <c r="DX625">
        <f t="shared" si="1217"/>
        <v>0</v>
      </c>
      <c r="DY625">
        <f t="shared" si="1217"/>
        <v>0</v>
      </c>
      <c r="DZ625">
        <f t="shared" si="1217"/>
        <v>0</v>
      </c>
      <c r="EA625">
        <f t="shared" si="1218"/>
        <v>0</v>
      </c>
      <c r="EB625">
        <f t="shared" si="1218"/>
        <v>0</v>
      </c>
      <c r="EC625">
        <f t="shared" si="1219"/>
        <v>0</v>
      </c>
      <c r="ED625">
        <f t="shared" si="1219"/>
        <v>0</v>
      </c>
      <c r="EE625">
        <f t="shared" si="1219"/>
        <v>0</v>
      </c>
      <c r="EF625">
        <f t="shared" si="1219"/>
        <v>0</v>
      </c>
    </row>
    <row r="626" spans="1:136" ht="15.5">
      <c r="A626" s="90"/>
      <c r="B626" s="19" t="s">
        <v>212</v>
      </c>
      <c r="C626" s="94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>
        <v>0</v>
      </c>
      <c r="AJ626" s="18">
        <v>127.71084337349397</v>
      </c>
      <c r="AK626" s="18">
        <v>124</v>
      </c>
      <c r="AL626" s="18">
        <v>72</v>
      </c>
      <c r="AM626" s="34">
        <v>237.62</v>
      </c>
      <c r="AN626" s="18">
        <v>421</v>
      </c>
      <c r="AO626" s="18">
        <v>550</v>
      </c>
      <c r="AP626" s="34">
        <v>734.52380952380952</v>
      </c>
      <c r="AQ626" s="34">
        <v>396.38336347197105</v>
      </c>
      <c r="AR626" s="34">
        <v>345.79308413831723</v>
      </c>
      <c r="AS626" s="18">
        <v>257.14285714285717</v>
      </c>
      <c r="AT626" s="18">
        <v>245.45454545454547</v>
      </c>
      <c r="AU626" s="18">
        <v>0</v>
      </c>
      <c r="AV626" s="18">
        <v>0</v>
      </c>
      <c r="AW626" s="18">
        <v>0</v>
      </c>
      <c r="AX626" s="18">
        <v>0</v>
      </c>
      <c r="AY626" s="18">
        <v>0</v>
      </c>
      <c r="AZ626" s="18">
        <v>0</v>
      </c>
      <c r="BA626" s="18">
        <v>0</v>
      </c>
      <c r="BB626" s="20">
        <v>0</v>
      </c>
      <c r="BC626" s="20">
        <v>0</v>
      </c>
      <c r="BD626" s="20">
        <v>0</v>
      </c>
      <c r="BE626" s="56">
        <v>0</v>
      </c>
      <c r="BF626" s="27">
        <v>0</v>
      </c>
      <c r="BG626" s="27">
        <v>0</v>
      </c>
      <c r="BH626" s="27">
        <v>0</v>
      </c>
      <c r="BI626" s="27">
        <v>0</v>
      </c>
      <c r="BJ626" s="130">
        <v>0</v>
      </c>
      <c r="BK626" s="130">
        <v>0</v>
      </c>
      <c r="BL626" s="18">
        <v>0</v>
      </c>
      <c r="BM626" s="113">
        <v>0</v>
      </c>
      <c r="BN626" s="113">
        <v>0</v>
      </c>
      <c r="BO626" s="113">
        <v>0</v>
      </c>
      <c r="BP626" s="113">
        <v>0</v>
      </c>
      <c r="BQ626" s="18">
        <v>0</v>
      </c>
      <c r="BR626" s="101"/>
      <c r="BS626">
        <f t="shared" si="1212"/>
        <v>0</v>
      </c>
      <c r="BT626">
        <f t="shared" si="1212"/>
        <v>0</v>
      </c>
      <c r="BU626">
        <f t="shared" si="1212"/>
        <v>0</v>
      </c>
      <c r="BV626">
        <f t="shared" si="1212"/>
        <v>0</v>
      </c>
      <c r="BW626">
        <f t="shared" si="1212"/>
        <v>0</v>
      </c>
      <c r="BX626">
        <f t="shared" si="1212"/>
        <v>0</v>
      </c>
      <c r="BY626">
        <f t="shared" si="1212"/>
        <v>0</v>
      </c>
      <c r="BZ626">
        <f t="shared" si="1212"/>
        <v>0</v>
      </c>
      <c r="CA626">
        <f t="shared" si="1212"/>
        <v>0</v>
      </c>
      <c r="CB626">
        <f t="shared" si="1212"/>
        <v>0</v>
      </c>
      <c r="CC626">
        <f t="shared" si="1213"/>
        <v>0</v>
      </c>
      <c r="CD626">
        <f t="shared" si="1213"/>
        <v>0</v>
      </c>
      <c r="CE626">
        <f t="shared" si="1213"/>
        <v>0</v>
      </c>
      <c r="CF626">
        <f t="shared" si="1213"/>
        <v>0</v>
      </c>
      <c r="CG626">
        <f t="shared" si="1213"/>
        <v>0</v>
      </c>
      <c r="CH626">
        <f t="shared" si="1213"/>
        <v>0</v>
      </c>
      <c r="CI626">
        <f t="shared" si="1213"/>
        <v>0</v>
      </c>
      <c r="CJ626">
        <f t="shared" si="1213"/>
        <v>0</v>
      </c>
      <c r="CK626">
        <f t="shared" si="1213"/>
        <v>0</v>
      </c>
      <c r="CL626">
        <f t="shared" si="1213"/>
        <v>0</v>
      </c>
      <c r="CM626">
        <f t="shared" si="1214"/>
        <v>0</v>
      </c>
      <c r="CN626">
        <f t="shared" si="1214"/>
        <v>0</v>
      </c>
      <c r="CO626">
        <f t="shared" si="1214"/>
        <v>0</v>
      </c>
      <c r="CP626">
        <f t="shared" si="1214"/>
        <v>0</v>
      </c>
      <c r="CQ626">
        <f t="shared" si="1214"/>
        <v>0</v>
      </c>
      <c r="CR626">
        <f t="shared" si="1214"/>
        <v>0</v>
      </c>
      <c r="CS626">
        <f t="shared" si="1214"/>
        <v>0</v>
      </c>
      <c r="CT626">
        <f t="shared" si="1214"/>
        <v>0</v>
      </c>
      <c r="CU626">
        <f t="shared" si="1214"/>
        <v>0</v>
      </c>
      <c r="CV626">
        <f t="shared" si="1214"/>
        <v>0</v>
      </c>
      <c r="CW626">
        <f t="shared" si="1215"/>
        <v>0</v>
      </c>
      <c r="CX626">
        <f t="shared" si="1215"/>
        <v>0</v>
      </c>
      <c r="CY626">
        <f t="shared" si="1215"/>
        <v>0</v>
      </c>
      <c r="CZ626">
        <f t="shared" si="1215"/>
        <v>0</v>
      </c>
      <c r="DA626">
        <f t="shared" si="1215"/>
        <v>0</v>
      </c>
      <c r="DB626">
        <f t="shared" si="1215"/>
        <v>0</v>
      </c>
      <c r="DC626">
        <f t="shared" si="1215"/>
        <v>0</v>
      </c>
      <c r="DD626">
        <f t="shared" si="1215"/>
        <v>0</v>
      </c>
      <c r="DE626">
        <f t="shared" si="1215"/>
        <v>0</v>
      </c>
      <c r="DF626">
        <f t="shared" si="1215"/>
        <v>0</v>
      </c>
      <c r="DG626">
        <f t="shared" si="1216"/>
        <v>0</v>
      </c>
      <c r="DH626">
        <f t="shared" si="1216"/>
        <v>0</v>
      </c>
      <c r="DI626">
        <f t="shared" si="1216"/>
        <v>0</v>
      </c>
      <c r="DJ626">
        <f t="shared" si="1216"/>
        <v>0</v>
      </c>
      <c r="DK626">
        <f t="shared" si="1216"/>
        <v>0</v>
      </c>
      <c r="DL626">
        <f t="shared" si="1216"/>
        <v>0</v>
      </c>
      <c r="DM626">
        <f t="shared" si="1216"/>
        <v>0</v>
      </c>
      <c r="DN626">
        <f t="shared" si="1216"/>
        <v>0</v>
      </c>
      <c r="DO626">
        <f t="shared" si="1216"/>
        <v>0</v>
      </c>
      <c r="DP626">
        <f t="shared" si="1216"/>
        <v>0</v>
      </c>
      <c r="DQ626">
        <f t="shared" si="1217"/>
        <v>0</v>
      </c>
      <c r="DR626">
        <f t="shared" si="1217"/>
        <v>0</v>
      </c>
      <c r="DS626">
        <f t="shared" si="1217"/>
        <v>0</v>
      </c>
      <c r="DT626">
        <f t="shared" si="1217"/>
        <v>0</v>
      </c>
      <c r="DU626">
        <f t="shared" si="1217"/>
        <v>0</v>
      </c>
      <c r="DV626">
        <f t="shared" si="1217"/>
        <v>0</v>
      </c>
      <c r="DW626">
        <f t="shared" si="1217"/>
        <v>0</v>
      </c>
      <c r="DX626">
        <f t="shared" si="1217"/>
        <v>0</v>
      </c>
      <c r="DY626">
        <f t="shared" si="1217"/>
        <v>0</v>
      </c>
      <c r="DZ626">
        <f t="shared" si="1217"/>
        <v>0</v>
      </c>
      <c r="EA626">
        <f t="shared" si="1218"/>
        <v>0</v>
      </c>
      <c r="EB626">
        <f t="shared" si="1218"/>
        <v>0</v>
      </c>
      <c r="EC626">
        <f t="shared" si="1219"/>
        <v>0</v>
      </c>
      <c r="ED626">
        <f t="shared" si="1219"/>
        <v>0</v>
      </c>
      <c r="EE626">
        <f t="shared" si="1219"/>
        <v>0</v>
      </c>
      <c r="EF626">
        <f t="shared" si="1219"/>
        <v>0</v>
      </c>
    </row>
    <row r="627" spans="1:136" ht="15.5">
      <c r="A627" s="90"/>
      <c r="B627" s="54"/>
      <c r="C627" s="94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  <c r="BB627" s="9"/>
      <c r="BC627" s="9"/>
      <c r="BD627" s="9"/>
      <c r="BE627" s="8"/>
      <c r="BF627" s="9"/>
      <c r="BG627" s="9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101"/>
    </row>
    <row r="628" spans="1:136" ht="15.5">
      <c r="A628" s="93">
        <v>75</v>
      </c>
      <c r="B628" s="52" t="s">
        <v>88</v>
      </c>
      <c r="C628" s="94">
        <v>3</v>
      </c>
      <c r="D628" s="22"/>
      <c r="E628" s="22"/>
      <c r="F628" s="22"/>
      <c r="G628" s="22">
        <f t="shared" ref="G628:AL628" si="1220">SUM(G629:G633)</f>
        <v>0</v>
      </c>
      <c r="H628" s="22">
        <f t="shared" si="1220"/>
        <v>0</v>
      </c>
      <c r="I628" s="22">
        <f t="shared" si="1220"/>
        <v>0</v>
      </c>
      <c r="J628" s="22">
        <f t="shared" si="1220"/>
        <v>0</v>
      </c>
      <c r="K628" s="22">
        <f t="shared" si="1220"/>
        <v>0</v>
      </c>
      <c r="L628" s="22">
        <f t="shared" si="1220"/>
        <v>0</v>
      </c>
      <c r="M628" s="22">
        <f t="shared" si="1220"/>
        <v>0</v>
      </c>
      <c r="N628" s="22">
        <f t="shared" si="1220"/>
        <v>0.3</v>
      </c>
      <c r="O628" s="22">
        <f t="shared" si="1220"/>
        <v>0</v>
      </c>
      <c r="P628" s="22">
        <f t="shared" si="1220"/>
        <v>1.1741E-2</v>
      </c>
      <c r="Q628" s="22">
        <f t="shared" si="1220"/>
        <v>4.646E-3</v>
      </c>
      <c r="R628" s="22">
        <f t="shared" si="1220"/>
        <v>0</v>
      </c>
      <c r="S628" s="22">
        <f t="shared" si="1220"/>
        <v>4.7668000000000002E-2</v>
      </c>
      <c r="T628" s="22">
        <f t="shared" si="1220"/>
        <v>0.63412399999999991</v>
      </c>
      <c r="U628" s="22">
        <f t="shared" si="1220"/>
        <v>1.1419999999999999</v>
      </c>
      <c r="V628" s="22">
        <f t="shared" si="1220"/>
        <v>1.7130000000000001</v>
      </c>
      <c r="W628" s="22">
        <f t="shared" si="1220"/>
        <v>2.2839999999999998</v>
      </c>
      <c r="X628" s="22">
        <f t="shared" si="1220"/>
        <v>5.6647910000000001</v>
      </c>
      <c r="Y628" s="22">
        <f t="shared" si="1220"/>
        <v>8.0488809999999997</v>
      </c>
      <c r="Z628" s="22">
        <f t="shared" si="1220"/>
        <v>9.5739300000000007</v>
      </c>
      <c r="AA628" s="22">
        <f t="shared" si="1220"/>
        <v>10.412123000000001</v>
      </c>
      <c r="AB628" s="22">
        <f t="shared" si="1220"/>
        <v>11.030312</v>
      </c>
      <c r="AC628" s="22">
        <f t="shared" si="1220"/>
        <v>14.948661999999999</v>
      </c>
      <c r="AD628" s="22">
        <f t="shared" si="1220"/>
        <v>23.517726</v>
      </c>
      <c r="AE628" s="22">
        <f t="shared" si="1220"/>
        <v>40.851234000000005</v>
      </c>
      <c r="AF628" s="22">
        <f t="shared" si="1220"/>
        <v>65.898669999999996</v>
      </c>
      <c r="AG628" s="22">
        <f t="shared" si="1220"/>
        <v>549.16360999999995</v>
      </c>
      <c r="AH628" s="22">
        <f t="shared" si="1220"/>
        <v>258.28818739999997</v>
      </c>
      <c r="AI628" s="22">
        <f t="shared" si="1220"/>
        <v>166.18369999999999</v>
      </c>
      <c r="AJ628" s="22">
        <f t="shared" si="1220"/>
        <v>163.5008</v>
      </c>
      <c r="AK628" s="22">
        <f t="shared" si="1220"/>
        <v>206.51900000000001</v>
      </c>
      <c r="AL628" s="22">
        <f t="shared" si="1220"/>
        <v>537.05338419999998</v>
      </c>
      <c r="AM628" s="22">
        <f t="shared" ref="AM628:BP628" si="1221">SUM(AM629:AM633)</f>
        <v>24.73188</v>
      </c>
      <c r="AN628" s="22">
        <f t="shared" si="1221"/>
        <v>19.807220000000001</v>
      </c>
      <c r="AO628" s="22">
        <f t="shared" si="1221"/>
        <v>82.298649999999995</v>
      </c>
      <c r="AP628" s="22">
        <f t="shared" si="1221"/>
        <v>90.847980000000007</v>
      </c>
      <c r="AQ628" s="22">
        <f t="shared" si="1221"/>
        <v>154.9067</v>
      </c>
      <c r="AR628" s="22">
        <f t="shared" si="1221"/>
        <v>303.7503408</v>
      </c>
      <c r="AS628" s="22">
        <f t="shared" si="1221"/>
        <v>185.58062380000001</v>
      </c>
      <c r="AT628" s="22">
        <f t="shared" si="1221"/>
        <v>127.0499513</v>
      </c>
      <c r="AU628" s="22">
        <f t="shared" si="1221"/>
        <v>34.333385900000003</v>
      </c>
      <c r="AV628" s="22">
        <f t="shared" si="1221"/>
        <v>353</v>
      </c>
      <c r="AW628" s="22">
        <f t="shared" si="1221"/>
        <v>115.4729512</v>
      </c>
      <c r="AX628" s="22">
        <f t="shared" si="1221"/>
        <v>285.70331340000001</v>
      </c>
      <c r="AY628" s="22">
        <f t="shared" si="1221"/>
        <v>76.954135600000001</v>
      </c>
      <c r="AZ628" s="22">
        <f t="shared" si="1221"/>
        <v>51.226691200000005</v>
      </c>
      <c r="BA628" s="22">
        <f t="shared" si="1221"/>
        <v>28.178796600000002</v>
      </c>
      <c r="BB628" s="22">
        <f t="shared" si="1221"/>
        <v>49.587732000000003</v>
      </c>
      <c r="BC628" s="22">
        <f t="shared" si="1221"/>
        <v>51.069863699999999</v>
      </c>
      <c r="BD628" s="22">
        <f t="shared" si="1221"/>
        <v>64.287332200000009</v>
      </c>
      <c r="BE628" s="22">
        <f t="shared" si="1221"/>
        <v>7.9163008000000001</v>
      </c>
      <c r="BF628" s="22">
        <f t="shared" si="1221"/>
        <v>1021.967835</v>
      </c>
      <c r="BG628" s="22">
        <f t="shared" si="1221"/>
        <v>4.9126576999999996</v>
      </c>
      <c r="BH628" s="22">
        <f t="shared" si="1221"/>
        <v>894.42956100000004</v>
      </c>
      <c r="BI628" s="22">
        <f t="shared" si="1221"/>
        <v>713.02810490000002</v>
      </c>
      <c r="BJ628" s="22">
        <f t="shared" si="1221"/>
        <v>1186.3846082</v>
      </c>
      <c r="BK628" s="22">
        <f t="shared" si="1221"/>
        <v>781.53411040000003</v>
      </c>
      <c r="BL628" s="22">
        <f t="shared" si="1221"/>
        <v>8.2530695999999999</v>
      </c>
      <c r="BM628" s="22">
        <f t="shared" si="1221"/>
        <v>464</v>
      </c>
      <c r="BN628" s="22">
        <f t="shared" si="1221"/>
        <v>79</v>
      </c>
      <c r="BO628" s="22">
        <f t="shared" si="1221"/>
        <v>2.8075480000000002</v>
      </c>
      <c r="BP628" s="22">
        <f t="shared" si="1221"/>
        <v>42</v>
      </c>
      <c r="BQ628" s="22">
        <f t="shared" ref="BQ628" si="1222">SUM(BQ629:BQ633)</f>
        <v>45</v>
      </c>
      <c r="BR628" s="101"/>
      <c r="BS628">
        <f t="shared" ref="BS628:CB632" si="1223">IF($C628&lt;&gt;"",IF(D628&gt;0,1,0),0)</f>
        <v>0</v>
      </c>
      <c r="BT628">
        <f t="shared" si="1223"/>
        <v>0</v>
      </c>
      <c r="BU628">
        <f t="shared" si="1223"/>
        <v>0</v>
      </c>
      <c r="BV628">
        <f t="shared" si="1223"/>
        <v>0</v>
      </c>
      <c r="BW628">
        <f t="shared" si="1223"/>
        <v>0</v>
      </c>
      <c r="BX628">
        <f t="shared" si="1223"/>
        <v>0</v>
      </c>
      <c r="BY628">
        <f t="shared" si="1223"/>
        <v>0</v>
      </c>
      <c r="BZ628">
        <f t="shared" si="1223"/>
        <v>0</v>
      </c>
      <c r="CA628">
        <f t="shared" si="1223"/>
        <v>0</v>
      </c>
      <c r="CB628">
        <f t="shared" si="1223"/>
        <v>0</v>
      </c>
      <c r="CC628">
        <f t="shared" ref="CC628:CL632" si="1224">IF($C628&lt;&gt;"",IF(N628&gt;0,1,0),0)</f>
        <v>1</v>
      </c>
      <c r="CD628">
        <f t="shared" si="1224"/>
        <v>0</v>
      </c>
      <c r="CE628">
        <f t="shared" si="1224"/>
        <v>1</v>
      </c>
      <c r="CF628">
        <f t="shared" si="1224"/>
        <v>1</v>
      </c>
      <c r="CG628">
        <f t="shared" si="1224"/>
        <v>0</v>
      </c>
      <c r="CH628">
        <f t="shared" si="1224"/>
        <v>1</v>
      </c>
      <c r="CI628">
        <f t="shared" si="1224"/>
        <v>1</v>
      </c>
      <c r="CJ628">
        <f t="shared" si="1224"/>
        <v>1</v>
      </c>
      <c r="CK628">
        <f t="shared" si="1224"/>
        <v>1</v>
      </c>
      <c r="CL628">
        <f t="shared" si="1224"/>
        <v>1</v>
      </c>
      <c r="CM628">
        <f t="shared" ref="CM628:CV632" si="1225">IF($C628&lt;&gt;"",IF(X628&gt;0,1,0),0)</f>
        <v>1</v>
      </c>
      <c r="CN628">
        <f t="shared" si="1225"/>
        <v>1</v>
      </c>
      <c r="CO628">
        <f t="shared" si="1225"/>
        <v>1</v>
      </c>
      <c r="CP628">
        <f t="shared" si="1225"/>
        <v>1</v>
      </c>
      <c r="CQ628">
        <f t="shared" si="1225"/>
        <v>1</v>
      </c>
      <c r="CR628">
        <f t="shared" si="1225"/>
        <v>1</v>
      </c>
      <c r="CS628">
        <f t="shared" si="1225"/>
        <v>1</v>
      </c>
      <c r="CT628">
        <f t="shared" si="1225"/>
        <v>1</v>
      </c>
      <c r="CU628">
        <f t="shared" si="1225"/>
        <v>1</v>
      </c>
      <c r="CV628">
        <f t="shared" si="1225"/>
        <v>1</v>
      </c>
      <c r="CW628">
        <f t="shared" ref="CW628:DF632" si="1226">IF($C628&lt;&gt;"",IF(AH628&gt;0,1,0),0)</f>
        <v>1</v>
      </c>
      <c r="CX628">
        <f t="shared" si="1226"/>
        <v>1</v>
      </c>
      <c r="CY628">
        <f t="shared" si="1226"/>
        <v>1</v>
      </c>
      <c r="CZ628">
        <f t="shared" si="1226"/>
        <v>1</v>
      </c>
      <c r="DA628">
        <f t="shared" si="1226"/>
        <v>1</v>
      </c>
      <c r="DB628">
        <f t="shared" si="1226"/>
        <v>1</v>
      </c>
      <c r="DC628">
        <f t="shared" si="1226"/>
        <v>1</v>
      </c>
      <c r="DD628">
        <f t="shared" si="1226"/>
        <v>1</v>
      </c>
      <c r="DE628">
        <f t="shared" si="1226"/>
        <v>1</v>
      </c>
      <c r="DF628">
        <f t="shared" si="1226"/>
        <v>1</v>
      </c>
      <c r="DG628">
        <f t="shared" ref="DG628:DP632" si="1227">IF($C628&lt;&gt;"",IF(AR628&gt;0,1,0),0)</f>
        <v>1</v>
      </c>
      <c r="DH628">
        <f t="shared" si="1227"/>
        <v>1</v>
      </c>
      <c r="DI628">
        <f t="shared" si="1227"/>
        <v>1</v>
      </c>
      <c r="DJ628">
        <f t="shared" si="1227"/>
        <v>1</v>
      </c>
      <c r="DK628">
        <f t="shared" si="1227"/>
        <v>1</v>
      </c>
      <c r="DL628">
        <f t="shared" si="1227"/>
        <v>1</v>
      </c>
      <c r="DM628">
        <f t="shared" si="1227"/>
        <v>1</v>
      </c>
      <c r="DN628">
        <f t="shared" si="1227"/>
        <v>1</v>
      </c>
      <c r="DO628">
        <f t="shared" si="1227"/>
        <v>1</v>
      </c>
      <c r="DP628">
        <f t="shared" si="1227"/>
        <v>1</v>
      </c>
      <c r="DQ628">
        <f t="shared" ref="DQ628:DZ632" si="1228">IF($C628&lt;&gt;"",IF(BB628&gt;0,1,0),0)</f>
        <v>1</v>
      </c>
      <c r="DR628">
        <f t="shared" si="1228"/>
        <v>1</v>
      </c>
      <c r="DS628">
        <f t="shared" si="1228"/>
        <v>1</v>
      </c>
      <c r="DT628">
        <f t="shared" si="1228"/>
        <v>1</v>
      </c>
      <c r="DU628">
        <f t="shared" si="1228"/>
        <v>1</v>
      </c>
      <c r="DV628">
        <f t="shared" si="1228"/>
        <v>1</v>
      </c>
      <c r="DW628">
        <f t="shared" si="1228"/>
        <v>1</v>
      </c>
      <c r="DX628">
        <f t="shared" si="1228"/>
        <v>1</v>
      </c>
      <c r="DY628">
        <f t="shared" si="1228"/>
        <v>1</v>
      </c>
      <c r="DZ628">
        <f t="shared" si="1228"/>
        <v>1</v>
      </c>
      <c r="EA628">
        <f t="shared" ref="EA628:EF632" si="1229">IF($C628&lt;&gt;"",IF(BL628&gt;0,1,0),0)</f>
        <v>1</v>
      </c>
      <c r="EB628">
        <f t="shared" si="1229"/>
        <v>1</v>
      </c>
      <c r="EC628">
        <f t="shared" si="1229"/>
        <v>1</v>
      </c>
      <c r="ED628">
        <f t="shared" si="1229"/>
        <v>1</v>
      </c>
      <c r="EE628">
        <f t="shared" si="1229"/>
        <v>1</v>
      </c>
      <c r="EF628">
        <f t="shared" si="1229"/>
        <v>1</v>
      </c>
    </row>
    <row r="629" spans="1:136" ht="15.5">
      <c r="A629" s="90"/>
      <c r="B629" s="19" t="s">
        <v>2</v>
      </c>
      <c r="C629" s="95"/>
      <c r="D629" s="18"/>
      <c r="E629" s="18"/>
      <c r="F629" s="18"/>
      <c r="G629" s="18">
        <v>0</v>
      </c>
      <c r="H629" s="18">
        <v>0</v>
      </c>
      <c r="I629" s="18">
        <v>0</v>
      </c>
      <c r="J629" s="18">
        <v>0</v>
      </c>
      <c r="K629" s="18">
        <v>0</v>
      </c>
      <c r="L629" s="18">
        <v>0</v>
      </c>
      <c r="M629" s="18">
        <v>0</v>
      </c>
      <c r="N629" s="18">
        <v>0</v>
      </c>
      <c r="O629" s="18">
        <v>0</v>
      </c>
      <c r="P629" s="18">
        <v>0</v>
      </c>
      <c r="Q629" s="18">
        <v>0</v>
      </c>
      <c r="R629" s="18">
        <v>0</v>
      </c>
      <c r="S629" s="18">
        <v>0</v>
      </c>
      <c r="T629" s="18">
        <v>0</v>
      </c>
      <c r="U629" s="18">
        <v>0</v>
      </c>
      <c r="V629" s="18">
        <v>0</v>
      </c>
      <c r="W629" s="18">
        <v>0</v>
      </c>
      <c r="X629" s="18">
        <v>0</v>
      </c>
      <c r="Y629" s="18">
        <v>0</v>
      </c>
      <c r="Z629" s="18">
        <v>0</v>
      </c>
      <c r="AA629" s="18">
        <v>0</v>
      </c>
      <c r="AB629" s="18">
        <v>0</v>
      </c>
      <c r="AC629" s="18">
        <v>0</v>
      </c>
      <c r="AD629" s="18">
        <v>0</v>
      </c>
      <c r="AE629" s="18">
        <v>0</v>
      </c>
      <c r="AF629" s="18">
        <v>0</v>
      </c>
      <c r="AG629" s="18">
        <v>0</v>
      </c>
      <c r="AH629" s="18">
        <v>0</v>
      </c>
      <c r="AI629" s="18">
        <v>0</v>
      </c>
      <c r="AJ629" s="18">
        <v>0</v>
      </c>
      <c r="AK629" s="18">
        <v>51</v>
      </c>
      <c r="AL629" s="18">
        <v>535</v>
      </c>
      <c r="AM629" s="40" t="s">
        <v>16</v>
      </c>
      <c r="AN629" s="18">
        <v>0</v>
      </c>
      <c r="AO629" s="18">
        <v>0</v>
      </c>
      <c r="AP629" s="18">
        <v>0</v>
      </c>
      <c r="AQ629" s="40" t="s">
        <v>16</v>
      </c>
      <c r="AR629" s="18">
        <v>300</v>
      </c>
      <c r="AS629" s="40" t="s">
        <v>16</v>
      </c>
      <c r="AT629" s="18">
        <v>0</v>
      </c>
      <c r="AU629" s="40" t="s">
        <v>16</v>
      </c>
      <c r="AV629" s="18">
        <v>353</v>
      </c>
      <c r="AW629" s="40" t="s">
        <v>16</v>
      </c>
      <c r="AX629" s="40" t="s">
        <v>16</v>
      </c>
      <c r="AY629" s="18">
        <v>0</v>
      </c>
      <c r="AZ629" s="18">
        <v>0</v>
      </c>
      <c r="BA629" s="18">
        <v>0</v>
      </c>
      <c r="BB629" s="18">
        <v>0</v>
      </c>
      <c r="BC629" s="18">
        <v>0</v>
      </c>
      <c r="BD629" s="18">
        <v>0</v>
      </c>
      <c r="BE629" s="18">
        <v>0</v>
      </c>
      <c r="BF629" s="18">
        <v>0</v>
      </c>
      <c r="BG629" s="18">
        <v>0</v>
      </c>
      <c r="BH629" s="18">
        <v>0</v>
      </c>
      <c r="BI629" s="18">
        <v>0</v>
      </c>
      <c r="BJ629" s="18">
        <v>0</v>
      </c>
      <c r="BK629" s="18">
        <v>0</v>
      </c>
      <c r="BL629" s="113">
        <v>0</v>
      </c>
      <c r="BM629" s="113">
        <v>202</v>
      </c>
      <c r="BN629" s="18">
        <v>0</v>
      </c>
      <c r="BO629" s="18">
        <v>0</v>
      </c>
      <c r="BP629" s="18">
        <v>0</v>
      </c>
      <c r="BQ629" s="18">
        <v>0</v>
      </c>
      <c r="BR629" s="101"/>
      <c r="BS629">
        <f t="shared" si="1223"/>
        <v>0</v>
      </c>
      <c r="BT629">
        <f t="shared" si="1223"/>
        <v>0</v>
      </c>
      <c r="BU629">
        <f t="shared" si="1223"/>
        <v>0</v>
      </c>
      <c r="BV629">
        <f t="shared" si="1223"/>
        <v>0</v>
      </c>
      <c r="BW629">
        <f t="shared" si="1223"/>
        <v>0</v>
      </c>
      <c r="BX629">
        <f t="shared" si="1223"/>
        <v>0</v>
      </c>
      <c r="BY629">
        <f t="shared" si="1223"/>
        <v>0</v>
      </c>
      <c r="BZ629">
        <f t="shared" si="1223"/>
        <v>0</v>
      </c>
      <c r="CA629">
        <f t="shared" si="1223"/>
        <v>0</v>
      </c>
      <c r="CB629">
        <f t="shared" si="1223"/>
        <v>0</v>
      </c>
      <c r="CC629">
        <f t="shared" si="1224"/>
        <v>0</v>
      </c>
      <c r="CD629">
        <f t="shared" si="1224"/>
        <v>0</v>
      </c>
      <c r="CE629">
        <f t="shared" si="1224"/>
        <v>0</v>
      </c>
      <c r="CF629">
        <f t="shared" si="1224"/>
        <v>0</v>
      </c>
      <c r="CG629">
        <f t="shared" si="1224"/>
        <v>0</v>
      </c>
      <c r="CH629">
        <f t="shared" si="1224"/>
        <v>0</v>
      </c>
      <c r="CI629">
        <f t="shared" si="1224"/>
        <v>0</v>
      </c>
      <c r="CJ629">
        <f t="shared" si="1224"/>
        <v>0</v>
      </c>
      <c r="CK629">
        <f t="shared" si="1224"/>
        <v>0</v>
      </c>
      <c r="CL629">
        <f t="shared" si="1224"/>
        <v>0</v>
      </c>
      <c r="CM629">
        <f t="shared" si="1225"/>
        <v>0</v>
      </c>
      <c r="CN629">
        <f t="shared" si="1225"/>
        <v>0</v>
      </c>
      <c r="CO629">
        <f t="shared" si="1225"/>
        <v>0</v>
      </c>
      <c r="CP629">
        <f t="shared" si="1225"/>
        <v>0</v>
      </c>
      <c r="CQ629">
        <f t="shared" si="1225"/>
        <v>0</v>
      </c>
      <c r="CR629">
        <f t="shared" si="1225"/>
        <v>0</v>
      </c>
      <c r="CS629">
        <f t="shared" si="1225"/>
        <v>0</v>
      </c>
      <c r="CT629">
        <f t="shared" si="1225"/>
        <v>0</v>
      </c>
      <c r="CU629">
        <f t="shared" si="1225"/>
        <v>0</v>
      </c>
      <c r="CV629">
        <f t="shared" si="1225"/>
        <v>0</v>
      </c>
      <c r="CW629">
        <f t="shared" si="1226"/>
        <v>0</v>
      </c>
      <c r="CX629">
        <f t="shared" si="1226"/>
        <v>0</v>
      </c>
      <c r="CY629">
        <f t="shared" si="1226"/>
        <v>0</v>
      </c>
      <c r="CZ629">
        <f t="shared" si="1226"/>
        <v>0</v>
      </c>
      <c r="DA629">
        <f t="shared" si="1226"/>
        <v>0</v>
      </c>
      <c r="DB629">
        <f t="shared" si="1226"/>
        <v>0</v>
      </c>
      <c r="DC629">
        <f t="shared" si="1226"/>
        <v>0</v>
      </c>
      <c r="DD629">
        <f t="shared" si="1226"/>
        <v>0</v>
      </c>
      <c r="DE629">
        <f t="shared" si="1226"/>
        <v>0</v>
      </c>
      <c r="DF629">
        <f t="shared" si="1226"/>
        <v>0</v>
      </c>
      <c r="DG629">
        <f t="shared" si="1227"/>
        <v>0</v>
      </c>
      <c r="DH629">
        <f t="shared" si="1227"/>
        <v>0</v>
      </c>
      <c r="DI629">
        <f t="shared" si="1227"/>
        <v>0</v>
      </c>
      <c r="DJ629">
        <f t="shared" si="1227"/>
        <v>0</v>
      </c>
      <c r="DK629">
        <f t="shared" si="1227"/>
        <v>0</v>
      </c>
      <c r="DL629">
        <f t="shared" si="1227"/>
        <v>0</v>
      </c>
      <c r="DM629">
        <f t="shared" si="1227"/>
        <v>0</v>
      </c>
      <c r="DN629">
        <f t="shared" si="1227"/>
        <v>0</v>
      </c>
      <c r="DO629">
        <f t="shared" si="1227"/>
        <v>0</v>
      </c>
      <c r="DP629">
        <f t="shared" si="1227"/>
        <v>0</v>
      </c>
      <c r="DQ629">
        <f t="shared" si="1228"/>
        <v>0</v>
      </c>
      <c r="DR629">
        <f t="shared" si="1228"/>
        <v>0</v>
      </c>
      <c r="DS629">
        <f t="shared" si="1228"/>
        <v>0</v>
      </c>
      <c r="DT629">
        <f t="shared" si="1228"/>
        <v>0</v>
      </c>
      <c r="DU629">
        <f t="shared" si="1228"/>
        <v>0</v>
      </c>
      <c r="DV629">
        <f t="shared" si="1228"/>
        <v>0</v>
      </c>
      <c r="DW629">
        <f t="shared" si="1228"/>
        <v>0</v>
      </c>
      <c r="DX629">
        <f t="shared" si="1228"/>
        <v>0</v>
      </c>
      <c r="DY629">
        <f t="shared" si="1228"/>
        <v>0</v>
      </c>
      <c r="DZ629">
        <f t="shared" si="1228"/>
        <v>0</v>
      </c>
      <c r="EA629">
        <f t="shared" si="1229"/>
        <v>0</v>
      </c>
      <c r="EB629">
        <f t="shared" si="1229"/>
        <v>0</v>
      </c>
      <c r="EC629">
        <f t="shared" si="1229"/>
        <v>0</v>
      </c>
      <c r="ED629">
        <f t="shared" si="1229"/>
        <v>0</v>
      </c>
      <c r="EE629">
        <f t="shared" si="1229"/>
        <v>0</v>
      </c>
      <c r="EF629">
        <f t="shared" si="1229"/>
        <v>0</v>
      </c>
    </row>
    <row r="630" spans="1:136" ht="15.5">
      <c r="A630" s="90"/>
      <c r="B630" s="19" t="s">
        <v>205</v>
      </c>
      <c r="C630" s="95"/>
      <c r="D630" s="18"/>
      <c r="E630" s="18"/>
      <c r="F630" s="18"/>
      <c r="G630" s="18">
        <v>0</v>
      </c>
      <c r="H630" s="18">
        <v>0</v>
      </c>
      <c r="I630" s="18">
        <v>0</v>
      </c>
      <c r="J630" s="18">
        <v>0</v>
      </c>
      <c r="K630" s="18">
        <v>0</v>
      </c>
      <c r="L630" s="18">
        <v>0</v>
      </c>
      <c r="M630" s="18">
        <v>0</v>
      </c>
      <c r="N630" s="18">
        <v>0</v>
      </c>
      <c r="O630" s="18">
        <v>0</v>
      </c>
      <c r="P630" s="18">
        <v>0</v>
      </c>
      <c r="Q630" s="18">
        <v>0</v>
      </c>
      <c r="R630" s="18">
        <v>0</v>
      </c>
      <c r="S630" s="18">
        <v>0</v>
      </c>
      <c r="T630" s="18">
        <v>0</v>
      </c>
      <c r="U630" s="18">
        <v>0</v>
      </c>
      <c r="V630" s="18">
        <v>0</v>
      </c>
      <c r="W630" s="18">
        <v>0</v>
      </c>
      <c r="X630" s="18">
        <v>0</v>
      </c>
      <c r="Y630" s="18">
        <v>0</v>
      </c>
      <c r="Z630" s="18">
        <v>0</v>
      </c>
      <c r="AA630" s="18">
        <v>0</v>
      </c>
      <c r="AB630" s="18">
        <v>0</v>
      </c>
      <c r="AC630" s="18">
        <v>0</v>
      </c>
      <c r="AD630" s="18">
        <v>0</v>
      </c>
      <c r="AE630" s="18">
        <v>0</v>
      </c>
      <c r="AF630" s="18">
        <v>0</v>
      </c>
      <c r="AG630" s="18">
        <v>0</v>
      </c>
      <c r="AH630" s="18">
        <v>0.15028739999999999</v>
      </c>
      <c r="AI630" s="18">
        <v>0</v>
      </c>
      <c r="AJ630" s="18">
        <v>0.68443699999999996</v>
      </c>
      <c r="AK630" s="18">
        <v>1.3690553999999999</v>
      </c>
      <c r="AL630" s="18">
        <v>2.0533842</v>
      </c>
      <c r="AM630" s="18">
        <v>10.2675559</v>
      </c>
      <c r="AN630" s="18">
        <v>0</v>
      </c>
      <c r="AO630" s="18">
        <v>0.61481399999999997</v>
      </c>
      <c r="AP630" s="18">
        <v>1.3194859999999999</v>
      </c>
      <c r="AQ630" s="18">
        <v>2.4378662999999996</v>
      </c>
      <c r="AR630" s="18">
        <v>3.7503408</v>
      </c>
      <c r="AS630" s="18">
        <v>0</v>
      </c>
      <c r="AT630" s="71">
        <v>2.8312295999999999</v>
      </c>
      <c r="AU630" s="71">
        <v>1.5330816999999999</v>
      </c>
      <c r="AV630" s="71">
        <v>0</v>
      </c>
      <c r="AW630" s="71">
        <v>1.4668801</v>
      </c>
      <c r="AX630" s="18">
        <v>0</v>
      </c>
      <c r="AY630" s="18">
        <v>0</v>
      </c>
      <c r="AZ630" s="18">
        <v>0</v>
      </c>
      <c r="BA630" s="18">
        <v>0</v>
      </c>
      <c r="BB630" s="18">
        <v>0</v>
      </c>
      <c r="BC630" s="18">
        <v>3.7762800000000006E-2</v>
      </c>
      <c r="BD630" s="18">
        <v>0</v>
      </c>
      <c r="BE630" s="25">
        <v>7.9163008000000001</v>
      </c>
      <c r="BF630" s="18">
        <v>2.1548590000000001</v>
      </c>
      <c r="BG630" s="18">
        <v>0.76512259999999999</v>
      </c>
      <c r="BH630" s="113">
        <v>261.58519690000003</v>
      </c>
      <c r="BI630" s="113">
        <v>0</v>
      </c>
      <c r="BJ630" s="113">
        <v>8</v>
      </c>
      <c r="BK630" s="113">
        <v>2</v>
      </c>
      <c r="BL630" s="113">
        <v>0.76512259999999999</v>
      </c>
      <c r="BM630" s="113">
        <v>261.58519690000003</v>
      </c>
      <c r="BN630" s="18">
        <v>2.1551673999999998</v>
      </c>
      <c r="BO630" s="18">
        <v>2.8075480000000002</v>
      </c>
      <c r="BP630" s="18">
        <v>2.5402784</v>
      </c>
      <c r="BQ630" s="18">
        <v>3</v>
      </c>
      <c r="BR630" s="101"/>
      <c r="BS630">
        <f t="shared" si="1223"/>
        <v>0</v>
      </c>
      <c r="BT630">
        <f t="shared" si="1223"/>
        <v>0</v>
      </c>
      <c r="BU630">
        <f t="shared" si="1223"/>
        <v>0</v>
      </c>
      <c r="BV630">
        <f t="shared" si="1223"/>
        <v>0</v>
      </c>
      <c r="BW630">
        <f t="shared" si="1223"/>
        <v>0</v>
      </c>
      <c r="BX630">
        <f t="shared" si="1223"/>
        <v>0</v>
      </c>
      <c r="BY630">
        <f t="shared" si="1223"/>
        <v>0</v>
      </c>
      <c r="BZ630">
        <f t="shared" si="1223"/>
        <v>0</v>
      </c>
      <c r="CA630">
        <f t="shared" si="1223"/>
        <v>0</v>
      </c>
      <c r="CB630">
        <f t="shared" si="1223"/>
        <v>0</v>
      </c>
      <c r="CC630">
        <f t="shared" si="1224"/>
        <v>0</v>
      </c>
      <c r="CD630">
        <f t="shared" si="1224"/>
        <v>0</v>
      </c>
      <c r="CE630">
        <f t="shared" si="1224"/>
        <v>0</v>
      </c>
      <c r="CF630">
        <f t="shared" si="1224"/>
        <v>0</v>
      </c>
      <c r="CG630">
        <f t="shared" si="1224"/>
        <v>0</v>
      </c>
      <c r="CH630">
        <f t="shared" si="1224"/>
        <v>0</v>
      </c>
      <c r="CI630">
        <f t="shared" si="1224"/>
        <v>0</v>
      </c>
      <c r="CJ630">
        <f t="shared" si="1224"/>
        <v>0</v>
      </c>
      <c r="CK630">
        <f t="shared" si="1224"/>
        <v>0</v>
      </c>
      <c r="CL630">
        <f t="shared" si="1224"/>
        <v>0</v>
      </c>
      <c r="CM630">
        <f t="shared" si="1225"/>
        <v>0</v>
      </c>
      <c r="CN630">
        <f t="shared" si="1225"/>
        <v>0</v>
      </c>
      <c r="CO630">
        <f t="shared" si="1225"/>
        <v>0</v>
      </c>
      <c r="CP630">
        <f t="shared" si="1225"/>
        <v>0</v>
      </c>
      <c r="CQ630">
        <f t="shared" si="1225"/>
        <v>0</v>
      </c>
      <c r="CR630">
        <f t="shared" si="1225"/>
        <v>0</v>
      </c>
      <c r="CS630">
        <f t="shared" si="1225"/>
        <v>0</v>
      </c>
      <c r="CT630">
        <f t="shared" si="1225"/>
        <v>0</v>
      </c>
      <c r="CU630">
        <f t="shared" si="1225"/>
        <v>0</v>
      </c>
      <c r="CV630">
        <f t="shared" si="1225"/>
        <v>0</v>
      </c>
      <c r="CW630">
        <f t="shared" si="1226"/>
        <v>0</v>
      </c>
      <c r="CX630">
        <f t="shared" si="1226"/>
        <v>0</v>
      </c>
      <c r="CY630">
        <f t="shared" si="1226"/>
        <v>0</v>
      </c>
      <c r="CZ630">
        <f t="shared" si="1226"/>
        <v>0</v>
      </c>
      <c r="DA630">
        <f t="shared" si="1226"/>
        <v>0</v>
      </c>
      <c r="DB630">
        <f t="shared" si="1226"/>
        <v>0</v>
      </c>
      <c r="DC630">
        <f t="shared" si="1226"/>
        <v>0</v>
      </c>
      <c r="DD630">
        <f t="shared" si="1226"/>
        <v>0</v>
      </c>
      <c r="DE630">
        <f t="shared" si="1226"/>
        <v>0</v>
      </c>
      <c r="DF630">
        <f t="shared" si="1226"/>
        <v>0</v>
      </c>
      <c r="DG630">
        <f t="shared" si="1227"/>
        <v>0</v>
      </c>
      <c r="DH630">
        <f t="shared" si="1227"/>
        <v>0</v>
      </c>
      <c r="DI630">
        <f t="shared" si="1227"/>
        <v>0</v>
      </c>
      <c r="DJ630">
        <f t="shared" si="1227"/>
        <v>0</v>
      </c>
      <c r="DK630">
        <f t="shared" si="1227"/>
        <v>0</v>
      </c>
      <c r="DL630">
        <f t="shared" si="1227"/>
        <v>0</v>
      </c>
      <c r="DM630">
        <f t="shared" si="1227"/>
        <v>0</v>
      </c>
      <c r="DN630">
        <f t="shared" si="1227"/>
        <v>0</v>
      </c>
      <c r="DO630">
        <f t="shared" si="1227"/>
        <v>0</v>
      </c>
      <c r="DP630">
        <f t="shared" si="1227"/>
        <v>0</v>
      </c>
      <c r="DQ630">
        <f t="shared" si="1228"/>
        <v>0</v>
      </c>
      <c r="DR630">
        <f t="shared" si="1228"/>
        <v>0</v>
      </c>
      <c r="DS630">
        <f t="shared" si="1228"/>
        <v>0</v>
      </c>
      <c r="DT630">
        <f t="shared" si="1228"/>
        <v>0</v>
      </c>
      <c r="DU630">
        <f t="shared" si="1228"/>
        <v>0</v>
      </c>
      <c r="DV630">
        <f t="shared" si="1228"/>
        <v>0</v>
      </c>
      <c r="DW630">
        <f t="shared" si="1228"/>
        <v>0</v>
      </c>
      <c r="DX630">
        <f t="shared" si="1228"/>
        <v>0</v>
      </c>
      <c r="DY630">
        <f t="shared" si="1228"/>
        <v>0</v>
      </c>
      <c r="DZ630">
        <f t="shared" si="1228"/>
        <v>0</v>
      </c>
      <c r="EA630">
        <f t="shared" si="1229"/>
        <v>0</v>
      </c>
      <c r="EB630">
        <f t="shared" si="1229"/>
        <v>0</v>
      </c>
      <c r="EC630">
        <f t="shared" si="1229"/>
        <v>0</v>
      </c>
      <c r="ED630">
        <f t="shared" si="1229"/>
        <v>0</v>
      </c>
      <c r="EE630">
        <f t="shared" si="1229"/>
        <v>0</v>
      </c>
      <c r="EF630">
        <f t="shared" si="1229"/>
        <v>0</v>
      </c>
    </row>
    <row r="631" spans="1:136" ht="15.5">
      <c r="A631" s="90"/>
      <c r="B631" s="53" t="s">
        <v>3</v>
      </c>
      <c r="C631" s="94"/>
      <c r="D631" s="18"/>
      <c r="E631" s="18"/>
      <c r="F631" s="18"/>
      <c r="G631" s="18">
        <v>0</v>
      </c>
      <c r="H631" s="18">
        <v>0</v>
      </c>
      <c r="I631" s="18">
        <v>0</v>
      </c>
      <c r="J631" s="18">
        <v>0</v>
      </c>
      <c r="K631" s="18">
        <v>0</v>
      </c>
      <c r="L631" s="18">
        <v>0</v>
      </c>
      <c r="M631" s="18">
        <v>0</v>
      </c>
      <c r="N631" s="18">
        <v>0</v>
      </c>
      <c r="O631" s="18">
        <v>0</v>
      </c>
      <c r="P631" s="18">
        <v>0</v>
      </c>
      <c r="Q631" s="18">
        <v>0</v>
      </c>
      <c r="R631" s="18">
        <v>0</v>
      </c>
      <c r="S631" s="18">
        <v>4.7668000000000002E-2</v>
      </c>
      <c r="T631" s="18">
        <v>6.3124E-2</v>
      </c>
      <c r="U631" s="18">
        <v>0</v>
      </c>
      <c r="V631" s="18">
        <v>0</v>
      </c>
      <c r="W631" s="18">
        <v>0</v>
      </c>
      <c r="X631" s="18">
        <v>2.8097910000000001</v>
      </c>
      <c r="Y631" s="18">
        <v>4.6228809999999996</v>
      </c>
      <c r="Z631" s="18">
        <v>5.5739299999999998</v>
      </c>
      <c r="AA631" s="18">
        <v>6.4121230000000002</v>
      </c>
      <c r="AB631" s="18">
        <v>7.0303120000000003</v>
      </c>
      <c r="AC631" s="18">
        <v>10.76521</v>
      </c>
      <c r="AD631" s="18">
        <v>18.55255</v>
      </c>
      <c r="AE631" s="18">
        <v>33.357370000000003</v>
      </c>
      <c r="AF631" s="18">
        <v>39.434519999999999</v>
      </c>
      <c r="AG631" s="18">
        <v>491.77269999999999</v>
      </c>
      <c r="AH631" s="18">
        <v>167.1379</v>
      </c>
      <c r="AI631" s="18">
        <v>166.18369999999999</v>
      </c>
      <c r="AJ631" s="18">
        <f>163.5008-AJ630</f>
        <v>162.816363</v>
      </c>
      <c r="AK631" s="18">
        <f>155.519-AK630</f>
        <v>154.1499446</v>
      </c>
      <c r="AL631" s="40" t="s">
        <v>16</v>
      </c>
      <c r="AM631" s="18">
        <f>24.73188-AM630</f>
        <v>14.464324100000001</v>
      </c>
      <c r="AN631" s="18">
        <v>19.807220000000001</v>
      </c>
      <c r="AO631" s="18">
        <f>82.29865-AO630</f>
        <v>81.683835999999999</v>
      </c>
      <c r="AP631" s="18">
        <f>90.84798-AP630</f>
        <v>89.528494000000009</v>
      </c>
      <c r="AQ631" s="18">
        <f>154.9067-AQ630</f>
        <v>152.4688337</v>
      </c>
      <c r="AR631" s="40" t="s">
        <v>16</v>
      </c>
      <c r="AS631" s="18">
        <v>185.58062380000001</v>
      </c>
      <c r="AT631" s="18">
        <f>127.0499513-AT630</f>
        <v>124.2187217</v>
      </c>
      <c r="AU631" s="18">
        <f>34.3333859-AU630</f>
        <v>32.800304200000006</v>
      </c>
      <c r="AV631" s="40" t="s">
        <v>16</v>
      </c>
      <c r="AW631" s="18">
        <f>115.4729512-AW630</f>
        <v>114.0060711</v>
      </c>
      <c r="AX631" s="18">
        <v>285.70331340000001</v>
      </c>
      <c r="AY631" s="18">
        <v>76.954135600000001</v>
      </c>
      <c r="AZ631" s="18">
        <v>51.226691200000005</v>
      </c>
      <c r="BA631" s="18">
        <v>28.178796600000002</v>
      </c>
      <c r="BB631" s="18">
        <v>49.587732000000003</v>
      </c>
      <c r="BC631" s="18">
        <v>51.032100899999996</v>
      </c>
      <c r="BD631" s="18">
        <v>64.287332200000009</v>
      </c>
      <c r="BE631" s="25">
        <v>0</v>
      </c>
      <c r="BF631" s="18">
        <f>11.967835-BF630</f>
        <v>9.8129760000000008</v>
      </c>
      <c r="BG631" s="18">
        <f>3.9126577-BG630</f>
        <v>3.1475350999999998</v>
      </c>
      <c r="BH631" s="18">
        <v>58.844364099999993</v>
      </c>
      <c r="BI631" s="18">
        <v>26.028104899999999</v>
      </c>
      <c r="BJ631" s="18">
        <f>73.3846082-BJ630</f>
        <v>65.384608200000002</v>
      </c>
      <c r="BK631" s="130">
        <f>24.5341104-BK630</f>
        <v>22.534110399999999</v>
      </c>
      <c r="BL631" s="113">
        <f>8.2530696-BL630</f>
        <v>7.4879470000000001</v>
      </c>
      <c r="BM631" s="128">
        <f>464-BM630-BM629</f>
        <v>0.41480309999997189</v>
      </c>
      <c r="BN631" s="113">
        <f>79-BN630</f>
        <v>76.844832600000004</v>
      </c>
      <c r="BO631" s="18">
        <v>0</v>
      </c>
      <c r="BP631" s="18">
        <f>42-BP630</f>
        <v>39.459721600000002</v>
      </c>
      <c r="BQ631" s="18">
        <v>42</v>
      </c>
      <c r="BR631" s="101"/>
      <c r="BS631">
        <f t="shared" si="1223"/>
        <v>0</v>
      </c>
      <c r="BT631">
        <f t="shared" si="1223"/>
        <v>0</v>
      </c>
      <c r="BU631">
        <f t="shared" si="1223"/>
        <v>0</v>
      </c>
      <c r="BV631">
        <f t="shared" si="1223"/>
        <v>0</v>
      </c>
      <c r="BW631">
        <f t="shared" si="1223"/>
        <v>0</v>
      </c>
      <c r="BX631">
        <f t="shared" si="1223"/>
        <v>0</v>
      </c>
      <c r="BY631">
        <f t="shared" si="1223"/>
        <v>0</v>
      </c>
      <c r="BZ631">
        <f t="shared" si="1223"/>
        <v>0</v>
      </c>
      <c r="CA631">
        <f t="shared" si="1223"/>
        <v>0</v>
      </c>
      <c r="CB631">
        <f t="shared" si="1223"/>
        <v>0</v>
      </c>
      <c r="CC631">
        <f t="shared" si="1224"/>
        <v>0</v>
      </c>
      <c r="CD631">
        <f t="shared" si="1224"/>
        <v>0</v>
      </c>
      <c r="CE631">
        <f t="shared" si="1224"/>
        <v>0</v>
      </c>
      <c r="CF631">
        <f t="shared" si="1224"/>
        <v>0</v>
      </c>
      <c r="CG631">
        <f t="shared" si="1224"/>
        <v>0</v>
      </c>
      <c r="CH631">
        <f t="shared" si="1224"/>
        <v>0</v>
      </c>
      <c r="CI631">
        <f t="shared" si="1224"/>
        <v>0</v>
      </c>
      <c r="CJ631">
        <f t="shared" si="1224"/>
        <v>0</v>
      </c>
      <c r="CK631">
        <f t="shared" si="1224"/>
        <v>0</v>
      </c>
      <c r="CL631">
        <f t="shared" si="1224"/>
        <v>0</v>
      </c>
      <c r="CM631">
        <f t="shared" si="1225"/>
        <v>0</v>
      </c>
      <c r="CN631">
        <f t="shared" si="1225"/>
        <v>0</v>
      </c>
      <c r="CO631">
        <f t="shared" si="1225"/>
        <v>0</v>
      </c>
      <c r="CP631">
        <f t="shared" si="1225"/>
        <v>0</v>
      </c>
      <c r="CQ631">
        <f t="shared" si="1225"/>
        <v>0</v>
      </c>
      <c r="CR631">
        <f t="shared" si="1225"/>
        <v>0</v>
      </c>
      <c r="CS631">
        <f t="shared" si="1225"/>
        <v>0</v>
      </c>
      <c r="CT631">
        <f t="shared" si="1225"/>
        <v>0</v>
      </c>
      <c r="CU631">
        <f t="shared" si="1225"/>
        <v>0</v>
      </c>
      <c r="CV631">
        <f t="shared" si="1225"/>
        <v>0</v>
      </c>
      <c r="CW631">
        <f t="shared" si="1226"/>
        <v>0</v>
      </c>
      <c r="CX631">
        <f t="shared" si="1226"/>
        <v>0</v>
      </c>
      <c r="CY631">
        <f t="shared" si="1226"/>
        <v>0</v>
      </c>
      <c r="CZ631">
        <f t="shared" si="1226"/>
        <v>0</v>
      </c>
      <c r="DA631">
        <f t="shared" si="1226"/>
        <v>0</v>
      </c>
      <c r="DB631">
        <f t="shared" si="1226"/>
        <v>0</v>
      </c>
      <c r="DC631">
        <f t="shared" si="1226"/>
        <v>0</v>
      </c>
      <c r="DD631">
        <f t="shared" si="1226"/>
        <v>0</v>
      </c>
      <c r="DE631">
        <f t="shared" si="1226"/>
        <v>0</v>
      </c>
      <c r="DF631">
        <f t="shared" si="1226"/>
        <v>0</v>
      </c>
      <c r="DG631">
        <f t="shared" si="1227"/>
        <v>0</v>
      </c>
      <c r="DH631">
        <f t="shared" si="1227"/>
        <v>0</v>
      </c>
      <c r="DI631">
        <f t="shared" si="1227"/>
        <v>0</v>
      </c>
      <c r="DJ631">
        <f t="shared" si="1227"/>
        <v>0</v>
      </c>
      <c r="DK631">
        <f t="shared" si="1227"/>
        <v>0</v>
      </c>
      <c r="DL631">
        <f t="shared" si="1227"/>
        <v>0</v>
      </c>
      <c r="DM631">
        <f t="shared" si="1227"/>
        <v>0</v>
      </c>
      <c r="DN631">
        <f t="shared" si="1227"/>
        <v>0</v>
      </c>
      <c r="DO631">
        <f t="shared" si="1227"/>
        <v>0</v>
      </c>
      <c r="DP631">
        <f t="shared" si="1227"/>
        <v>0</v>
      </c>
      <c r="DQ631">
        <f t="shared" si="1228"/>
        <v>0</v>
      </c>
      <c r="DR631">
        <f t="shared" si="1228"/>
        <v>0</v>
      </c>
      <c r="DS631">
        <f t="shared" si="1228"/>
        <v>0</v>
      </c>
      <c r="DT631">
        <f t="shared" si="1228"/>
        <v>0</v>
      </c>
      <c r="DU631">
        <f t="shared" si="1228"/>
        <v>0</v>
      </c>
      <c r="DV631">
        <f t="shared" si="1228"/>
        <v>0</v>
      </c>
      <c r="DW631">
        <f t="shared" si="1228"/>
        <v>0</v>
      </c>
      <c r="DX631">
        <f t="shared" si="1228"/>
        <v>0</v>
      </c>
      <c r="DY631">
        <f t="shared" si="1228"/>
        <v>0</v>
      </c>
      <c r="DZ631">
        <f t="shared" si="1228"/>
        <v>0</v>
      </c>
      <c r="EA631">
        <f t="shared" si="1229"/>
        <v>0</v>
      </c>
      <c r="EB631">
        <f t="shared" si="1229"/>
        <v>0</v>
      </c>
      <c r="EC631">
        <f t="shared" si="1229"/>
        <v>0</v>
      </c>
      <c r="ED631">
        <f t="shared" si="1229"/>
        <v>0</v>
      </c>
      <c r="EE631">
        <f t="shared" si="1229"/>
        <v>0</v>
      </c>
      <c r="EF631">
        <f t="shared" si="1229"/>
        <v>0</v>
      </c>
    </row>
    <row r="632" spans="1:136" ht="15.5">
      <c r="A632" s="90"/>
      <c r="B632" s="19" t="s">
        <v>18</v>
      </c>
      <c r="C632" s="96"/>
      <c r="D632" s="18"/>
      <c r="E632" s="18"/>
      <c r="F632" s="18"/>
      <c r="G632" s="18">
        <v>0</v>
      </c>
      <c r="H632" s="18">
        <v>0</v>
      </c>
      <c r="I632" s="18">
        <v>0</v>
      </c>
      <c r="J632" s="18">
        <v>0</v>
      </c>
      <c r="K632" s="18">
        <v>0</v>
      </c>
      <c r="L632" s="18">
        <v>0</v>
      </c>
      <c r="M632" s="18">
        <v>0</v>
      </c>
      <c r="N632" s="18">
        <v>0</v>
      </c>
      <c r="O632" s="18">
        <v>0</v>
      </c>
      <c r="P632" s="18">
        <v>0</v>
      </c>
      <c r="Q632" s="18">
        <v>0</v>
      </c>
      <c r="R632" s="18">
        <v>0</v>
      </c>
      <c r="S632" s="18">
        <v>0</v>
      </c>
      <c r="T632" s="18">
        <v>0</v>
      </c>
      <c r="U632" s="18">
        <v>0</v>
      </c>
      <c r="V632" s="18">
        <v>0</v>
      </c>
      <c r="W632" s="18">
        <v>0</v>
      </c>
      <c r="X632" s="18">
        <v>0</v>
      </c>
      <c r="Y632" s="18">
        <v>0</v>
      </c>
      <c r="Z632" s="18">
        <v>0</v>
      </c>
      <c r="AA632" s="18">
        <v>0</v>
      </c>
      <c r="AB632" s="18">
        <v>0</v>
      </c>
      <c r="AC632" s="18">
        <v>0</v>
      </c>
      <c r="AD632" s="18">
        <v>0</v>
      </c>
      <c r="AE632" s="18">
        <v>0</v>
      </c>
      <c r="AF632" s="18">
        <v>0</v>
      </c>
      <c r="AG632" s="18">
        <v>0</v>
      </c>
      <c r="AH632" s="18">
        <v>91</v>
      </c>
      <c r="AI632" s="18">
        <v>0</v>
      </c>
      <c r="AJ632" s="18">
        <v>0</v>
      </c>
      <c r="AK632" s="18">
        <v>0</v>
      </c>
      <c r="AL632" s="18">
        <v>0</v>
      </c>
      <c r="AM632" s="18">
        <v>0</v>
      </c>
      <c r="AN632" s="18">
        <v>0</v>
      </c>
      <c r="AO632" s="18">
        <v>0</v>
      </c>
      <c r="AP632" s="18">
        <v>0</v>
      </c>
      <c r="AQ632" s="18">
        <v>0</v>
      </c>
      <c r="AR632" s="18">
        <v>0</v>
      </c>
      <c r="AS632" s="18">
        <v>0</v>
      </c>
      <c r="AT632" s="18">
        <v>0</v>
      </c>
      <c r="AU632" s="18">
        <v>0</v>
      </c>
      <c r="AV632" s="18">
        <v>0</v>
      </c>
      <c r="AW632" s="18">
        <v>0</v>
      </c>
      <c r="AX632" s="18">
        <v>0</v>
      </c>
      <c r="AY632" s="18">
        <v>0</v>
      </c>
      <c r="AZ632" s="18">
        <v>0</v>
      </c>
      <c r="BA632" s="18">
        <v>0</v>
      </c>
      <c r="BB632" s="18">
        <v>0</v>
      </c>
      <c r="BC632" s="18">
        <v>0</v>
      </c>
      <c r="BD632" s="18">
        <v>0</v>
      </c>
      <c r="BE632" s="18">
        <v>0</v>
      </c>
      <c r="BF632" s="18">
        <v>0</v>
      </c>
      <c r="BG632" s="18">
        <v>0</v>
      </c>
      <c r="BH632" s="18">
        <v>0</v>
      </c>
      <c r="BI632" s="18">
        <v>0</v>
      </c>
      <c r="BJ632" s="18">
        <v>0</v>
      </c>
      <c r="BK632" s="18">
        <v>0</v>
      </c>
      <c r="BL632" s="18">
        <v>0</v>
      </c>
      <c r="BM632" s="18">
        <v>0</v>
      </c>
      <c r="BN632" s="18">
        <v>0</v>
      </c>
      <c r="BO632" s="18">
        <v>0</v>
      </c>
      <c r="BP632" s="18">
        <v>0</v>
      </c>
      <c r="BQ632" s="18">
        <v>0</v>
      </c>
      <c r="BR632" s="101"/>
      <c r="BS632">
        <f t="shared" si="1223"/>
        <v>0</v>
      </c>
      <c r="BT632">
        <f t="shared" si="1223"/>
        <v>0</v>
      </c>
      <c r="BU632">
        <f t="shared" si="1223"/>
        <v>0</v>
      </c>
      <c r="BV632">
        <f t="shared" si="1223"/>
        <v>0</v>
      </c>
      <c r="BW632">
        <f t="shared" si="1223"/>
        <v>0</v>
      </c>
      <c r="BX632">
        <f t="shared" si="1223"/>
        <v>0</v>
      </c>
      <c r="BY632">
        <f t="shared" si="1223"/>
        <v>0</v>
      </c>
      <c r="BZ632">
        <f t="shared" si="1223"/>
        <v>0</v>
      </c>
      <c r="CA632">
        <f t="shared" si="1223"/>
        <v>0</v>
      </c>
      <c r="CB632">
        <f t="shared" si="1223"/>
        <v>0</v>
      </c>
      <c r="CC632">
        <f t="shared" si="1224"/>
        <v>0</v>
      </c>
      <c r="CD632">
        <f t="shared" si="1224"/>
        <v>0</v>
      </c>
      <c r="CE632">
        <f t="shared" si="1224"/>
        <v>0</v>
      </c>
      <c r="CF632">
        <f t="shared" si="1224"/>
        <v>0</v>
      </c>
      <c r="CG632">
        <f t="shared" si="1224"/>
        <v>0</v>
      </c>
      <c r="CH632">
        <f t="shared" si="1224"/>
        <v>0</v>
      </c>
      <c r="CI632">
        <f t="shared" si="1224"/>
        <v>0</v>
      </c>
      <c r="CJ632">
        <f t="shared" si="1224"/>
        <v>0</v>
      </c>
      <c r="CK632">
        <f t="shared" si="1224"/>
        <v>0</v>
      </c>
      <c r="CL632">
        <f t="shared" si="1224"/>
        <v>0</v>
      </c>
      <c r="CM632">
        <f t="shared" si="1225"/>
        <v>0</v>
      </c>
      <c r="CN632">
        <f t="shared" si="1225"/>
        <v>0</v>
      </c>
      <c r="CO632">
        <f t="shared" si="1225"/>
        <v>0</v>
      </c>
      <c r="CP632">
        <f t="shared" si="1225"/>
        <v>0</v>
      </c>
      <c r="CQ632">
        <f t="shared" si="1225"/>
        <v>0</v>
      </c>
      <c r="CR632">
        <f t="shared" si="1225"/>
        <v>0</v>
      </c>
      <c r="CS632">
        <f t="shared" si="1225"/>
        <v>0</v>
      </c>
      <c r="CT632">
        <f t="shared" si="1225"/>
        <v>0</v>
      </c>
      <c r="CU632">
        <f t="shared" si="1225"/>
        <v>0</v>
      </c>
      <c r="CV632">
        <f t="shared" si="1225"/>
        <v>0</v>
      </c>
      <c r="CW632">
        <f t="shared" si="1226"/>
        <v>0</v>
      </c>
      <c r="CX632">
        <f t="shared" si="1226"/>
        <v>0</v>
      </c>
      <c r="CY632">
        <f t="shared" si="1226"/>
        <v>0</v>
      </c>
      <c r="CZ632">
        <f t="shared" si="1226"/>
        <v>0</v>
      </c>
      <c r="DA632">
        <f t="shared" si="1226"/>
        <v>0</v>
      </c>
      <c r="DB632">
        <f t="shared" si="1226"/>
        <v>0</v>
      </c>
      <c r="DC632">
        <f t="shared" si="1226"/>
        <v>0</v>
      </c>
      <c r="DD632">
        <f t="shared" si="1226"/>
        <v>0</v>
      </c>
      <c r="DE632">
        <f t="shared" si="1226"/>
        <v>0</v>
      </c>
      <c r="DF632">
        <f t="shared" si="1226"/>
        <v>0</v>
      </c>
      <c r="DG632">
        <f t="shared" si="1227"/>
        <v>0</v>
      </c>
      <c r="DH632">
        <f t="shared" si="1227"/>
        <v>0</v>
      </c>
      <c r="DI632">
        <f t="shared" si="1227"/>
        <v>0</v>
      </c>
      <c r="DJ632">
        <f t="shared" si="1227"/>
        <v>0</v>
      </c>
      <c r="DK632">
        <f t="shared" si="1227"/>
        <v>0</v>
      </c>
      <c r="DL632">
        <f t="shared" si="1227"/>
        <v>0</v>
      </c>
      <c r="DM632">
        <f t="shared" si="1227"/>
        <v>0</v>
      </c>
      <c r="DN632">
        <f t="shared" si="1227"/>
        <v>0</v>
      </c>
      <c r="DO632">
        <f t="shared" si="1227"/>
        <v>0</v>
      </c>
      <c r="DP632">
        <f t="shared" si="1227"/>
        <v>0</v>
      </c>
      <c r="DQ632">
        <f t="shared" si="1228"/>
        <v>0</v>
      </c>
      <c r="DR632">
        <f t="shared" si="1228"/>
        <v>0</v>
      </c>
      <c r="DS632">
        <f t="shared" si="1228"/>
        <v>0</v>
      </c>
      <c r="DT632">
        <f t="shared" si="1228"/>
        <v>0</v>
      </c>
      <c r="DU632">
        <f t="shared" si="1228"/>
        <v>0</v>
      </c>
      <c r="DV632">
        <f t="shared" si="1228"/>
        <v>0</v>
      </c>
      <c r="DW632">
        <f t="shared" si="1228"/>
        <v>0</v>
      </c>
      <c r="DX632">
        <f t="shared" si="1228"/>
        <v>0</v>
      </c>
      <c r="DY632">
        <f t="shared" si="1228"/>
        <v>0</v>
      </c>
      <c r="DZ632">
        <f t="shared" si="1228"/>
        <v>0</v>
      </c>
      <c r="EA632">
        <f t="shared" si="1229"/>
        <v>0</v>
      </c>
      <c r="EB632">
        <f t="shared" si="1229"/>
        <v>0</v>
      </c>
      <c r="EC632">
        <f t="shared" si="1229"/>
        <v>0</v>
      </c>
      <c r="ED632">
        <f t="shared" si="1229"/>
        <v>0</v>
      </c>
      <c r="EE632">
        <f t="shared" si="1229"/>
        <v>0</v>
      </c>
      <c r="EF632">
        <f t="shared" si="1229"/>
        <v>0</v>
      </c>
    </row>
    <row r="633" spans="1:136" ht="15.5">
      <c r="A633" s="90"/>
      <c r="B633" s="105" t="s">
        <v>208</v>
      </c>
      <c r="C633" s="94"/>
      <c r="D633" s="18"/>
      <c r="E633" s="18"/>
      <c r="F633" s="18"/>
      <c r="G633" s="18">
        <v>0</v>
      </c>
      <c r="H633" s="18">
        <v>0</v>
      </c>
      <c r="I633" s="18">
        <v>0</v>
      </c>
      <c r="J633" s="18">
        <v>0</v>
      </c>
      <c r="K633" s="18">
        <v>0</v>
      </c>
      <c r="L633" s="18">
        <v>0</v>
      </c>
      <c r="M633" s="18">
        <v>0</v>
      </c>
      <c r="N633" s="18">
        <v>0.3</v>
      </c>
      <c r="O633" s="18">
        <v>0</v>
      </c>
      <c r="P633" s="18">
        <v>1.1741E-2</v>
      </c>
      <c r="Q633" s="18">
        <v>4.646E-3</v>
      </c>
      <c r="R633" s="18">
        <v>0</v>
      </c>
      <c r="S633" s="18">
        <v>0</v>
      </c>
      <c r="T633" s="18">
        <v>0.57099999999999995</v>
      </c>
      <c r="U633" s="18">
        <v>1.1419999999999999</v>
      </c>
      <c r="V633" s="18">
        <v>1.7130000000000001</v>
      </c>
      <c r="W633" s="18">
        <v>2.2839999999999998</v>
      </c>
      <c r="X633" s="18">
        <v>2.855</v>
      </c>
      <c r="Y633" s="18">
        <v>3.4260000000000002</v>
      </c>
      <c r="Z633" s="18">
        <v>4</v>
      </c>
      <c r="AA633" s="18">
        <v>4</v>
      </c>
      <c r="AB633" s="18">
        <v>4</v>
      </c>
      <c r="AC633" s="18">
        <v>4.1834519999999999</v>
      </c>
      <c r="AD633" s="18">
        <v>4.9651759999999996</v>
      </c>
      <c r="AE633" s="18">
        <v>7.4938640000000003</v>
      </c>
      <c r="AF633" s="18">
        <v>26.46415</v>
      </c>
      <c r="AG633" s="18">
        <v>57.390909999999998</v>
      </c>
      <c r="AH633" s="40" t="s">
        <v>16</v>
      </c>
      <c r="AI633" s="18">
        <v>0</v>
      </c>
      <c r="AJ633" s="18">
        <v>0</v>
      </c>
      <c r="AK633" s="18">
        <v>0</v>
      </c>
      <c r="AL633" s="18">
        <v>0</v>
      </c>
      <c r="AM633" s="18">
        <v>0</v>
      </c>
      <c r="AN633" s="18">
        <v>0</v>
      </c>
      <c r="AO633" s="18">
        <v>0</v>
      </c>
      <c r="AP633" s="18">
        <v>0</v>
      </c>
      <c r="AQ633" s="18">
        <v>0</v>
      </c>
      <c r="AR633" s="18">
        <v>0</v>
      </c>
      <c r="AS633" s="18">
        <v>0</v>
      </c>
      <c r="AT633" s="18">
        <v>0</v>
      </c>
      <c r="AU633" s="18">
        <v>0</v>
      </c>
      <c r="AV633" s="18">
        <v>0</v>
      </c>
      <c r="AW633" s="18">
        <v>0</v>
      </c>
      <c r="AX633" s="18">
        <v>0</v>
      </c>
      <c r="AY633" s="18">
        <v>0</v>
      </c>
      <c r="AZ633" s="18">
        <v>0</v>
      </c>
      <c r="BA633" s="18">
        <v>0</v>
      </c>
      <c r="BB633" s="18">
        <v>0</v>
      </c>
      <c r="BC633" s="18">
        <v>0</v>
      </c>
      <c r="BD633" s="18">
        <v>0</v>
      </c>
      <c r="BE633" s="18">
        <v>0</v>
      </c>
      <c r="BF633" s="18">
        <v>1010</v>
      </c>
      <c r="BG633" s="25">
        <v>1</v>
      </c>
      <c r="BH633" s="18">
        <v>574</v>
      </c>
      <c r="BI633" s="18">
        <v>687</v>
      </c>
      <c r="BJ633" s="18">
        <v>1113</v>
      </c>
      <c r="BK633" s="18">
        <v>757</v>
      </c>
      <c r="BL633" s="18">
        <v>0</v>
      </c>
      <c r="BM633" s="18">
        <v>0</v>
      </c>
      <c r="BN633" s="25">
        <v>0</v>
      </c>
      <c r="BO633" s="25">
        <v>0</v>
      </c>
      <c r="BP633" s="18">
        <v>0</v>
      </c>
      <c r="BQ633" s="18">
        <v>0</v>
      </c>
      <c r="BR633" s="101"/>
      <c r="BS633">
        <f t="shared" ref="BS633:CB634" si="1230">IF($C633&lt;&gt;"",IF(D633&gt;0,1,0),0)</f>
        <v>0</v>
      </c>
      <c r="BT633">
        <f t="shared" si="1230"/>
        <v>0</v>
      </c>
      <c r="BU633">
        <f t="shared" si="1230"/>
        <v>0</v>
      </c>
      <c r="BV633">
        <f t="shared" si="1230"/>
        <v>0</v>
      </c>
      <c r="BW633">
        <f t="shared" si="1230"/>
        <v>0</v>
      </c>
      <c r="BX633">
        <f t="shared" si="1230"/>
        <v>0</v>
      </c>
      <c r="BY633">
        <f t="shared" si="1230"/>
        <v>0</v>
      </c>
      <c r="BZ633">
        <f t="shared" si="1230"/>
        <v>0</v>
      </c>
      <c r="CA633">
        <f t="shared" si="1230"/>
        <v>0</v>
      </c>
      <c r="CB633">
        <f t="shared" si="1230"/>
        <v>0</v>
      </c>
      <c r="CC633">
        <f t="shared" ref="CC633:CL634" si="1231">IF($C633&lt;&gt;"",IF(N633&gt;0,1,0),0)</f>
        <v>0</v>
      </c>
      <c r="CD633">
        <f t="shared" si="1231"/>
        <v>0</v>
      </c>
      <c r="CE633">
        <f t="shared" si="1231"/>
        <v>0</v>
      </c>
      <c r="CF633">
        <f t="shared" si="1231"/>
        <v>0</v>
      </c>
      <c r="CG633">
        <f t="shared" si="1231"/>
        <v>0</v>
      </c>
      <c r="CH633">
        <f t="shared" si="1231"/>
        <v>0</v>
      </c>
      <c r="CI633">
        <f t="shared" si="1231"/>
        <v>0</v>
      </c>
      <c r="CJ633">
        <f t="shared" si="1231"/>
        <v>0</v>
      </c>
      <c r="CK633">
        <f t="shared" si="1231"/>
        <v>0</v>
      </c>
      <c r="CL633">
        <f t="shared" si="1231"/>
        <v>0</v>
      </c>
      <c r="CM633">
        <f t="shared" ref="CM633:CV634" si="1232">IF($C633&lt;&gt;"",IF(X633&gt;0,1,0),0)</f>
        <v>0</v>
      </c>
      <c r="CN633">
        <f t="shared" si="1232"/>
        <v>0</v>
      </c>
      <c r="CO633">
        <f t="shared" si="1232"/>
        <v>0</v>
      </c>
      <c r="CP633">
        <f t="shared" si="1232"/>
        <v>0</v>
      </c>
      <c r="CQ633">
        <f t="shared" si="1232"/>
        <v>0</v>
      </c>
      <c r="CR633">
        <f t="shared" si="1232"/>
        <v>0</v>
      </c>
      <c r="CS633">
        <f t="shared" si="1232"/>
        <v>0</v>
      </c>
      <c r="CT633">
        <f t="shared" si="1232"/>
        <v>0</v>
      </c>
      <c r="CU633">
        <f t="shared" si="1232"/>
        <v>0</v>
      </c>
      <c r="CV633">
        <f t="shared" si="1232"/>
        <v>0</v>
      </c>
      <c r="CW633">
        <f t="shared" ref="CW633:DF634" si="1233">IF($C633&lt;&gt;"",IF(AH633&gt;0,1,0),0)</f>
        <v>0</v>
      </c>
      <c r="CX633">
        <f t="shared" si="1233"/>
        <v>0</v>
      </c>
      <c r="CY633">
        <f t="shared" si="1233"/>
        <v>0</v>
      </c>
      <c r="CZ633">
        <f t="shared" si="1233"/>
        <v>0</v>
      </c>
      <c r="DA633">
        <f t="shared" si="1233"/>
        <v>0</v>
      </c>
      <c r="DB633">
        <f t="shared" si="1233"/>
        <v>0</v>
      </c>
      <c r="DC633">
        <f t="shared" si="1233"/>
        <v>0</v>
      </c>
      <c r="DD633">
        <f t="shared" si="1233"/>
        <v>0</v>
      </c>
      <c r="DE633">
        <f t="shared" si="1233"/>
        <v>0</v>
      </c>
      <c r="DF633">
        <f t="shared" si="1233"/>
        <v>0</v>
      </c>
      <c r="DG633">
        <f t="shared" ref="DG633:DP634" si="1234">IF($C633&lt;&gt;"",IF(AR633&gt;0,1,0),0)</f>
        <v>0</v>
      </c>
      <c r="DH633">
        <f t="shared" si="1234"/>
        <v>0</v>
      </c>
      <c r="DI633">
        <f t="shared" si="1234"/>
        <v>0</v>
      </c>
      <c r="DJ633">
        <f t="shared" si="1234"/>
        <v>0</v>
      </c>
      <c r="DK633">
        <f t="shared" si="1234"/>
        <v>0</v>
      </c>
      <c r="DL633">
        <f t="shared" si="1234"/>
        <v>0</v>
      </c>
      <c r="DM633">
        <f t="shared" si="1234"/>
        <v>0</v>
      </c>
      <c r="DN633">
        <f t="shared" si="1234"/>
        <v>0</v>
      </c>
      <c r="DO633">
        <f t="shared" si="1234"/>
        <v>0</v>
      </c>
      <c r="DP633">
        <f t="shared" si="1234"/>
        <v>0</v>
      </c>
      <c r="DQ633">
        <f t="shared" ref="DQ633:DZ634" si="1235">IF($C633&lt;&gt;"",IF(BB633&gt;0,1,0),0)</f>
        <v>0</v>
      </c>
      <c r="DR633">
        <f t="shared" si="1235"/>
        <v>0</v>
      </c>
      <c r="DS633">
        <f t="shared" si="1235"/>
        <v>0</v>
      </c>
      <c r="DT633">
        <f t="shared" si="1235"/>
        <v>0</v>
      </c>
      <c r="DU633">
        <f t="shared" si="1235"/>
        <v>0</v>
      </c>
      <c r="DV633">
        <f t="shared" si="1235"/>
        <v>0</v>
      </c>
      <c r="DW633">
        <f t="shared" si="1235"/>
        <v>0</v>
      </c>
      <c r="DX633">
        <f t="shared" si="1235"/>
        <v>0</v>
      </c>
      <c r="DY633">
        <f t="shared" si="1235"/>
        <v>0</v>
      </c>
      <c r="DZ633">
        <f t="shared" si="1235"/>
        <v>0</v>
      </c>
      <c r="EA633">
        <f t="shared" ref="EA633:EB634" si="1236">IF($C633&lt;&gt;"",IF(BL633&gt;0,1,0),0)</f>
        <v>0</v>
      </c>
      <c r="EB633">
        <f t="shared" si="1236"/>
        <v>0</v>
      </c>
      <c r="EC633">
        <f>IF($C633&lt;&gt;"",IF(#REF!&gt;0,1,0),0)</f>
        <v>0</v>
      </c>
      <c r="ED633">
        <f>IF($C633&lt;&gt;"",IF(#REF!&gt;0,1,0),0)</f>
        <v>0</v>
      </c>
      <c r="EE633">
        <f>IF($C633&lt;&gt;"",IF(#REF!&gt;0,1,0),0)</f>
        <v>0</v>
      </c>
      <c r="EF633">
        <f>IF($C633&lt;&gt;"",IF(#REF!&gt;0,1,0),0)</f>
        <v>0</v>
      </c>
    </row>
    <row r="634" spans="1:136" ht="15.5">
      <c r="A634" s="90"/>
      <c r="B634" s="105" t="s">
        <v>212</v>
      </c>
      <c r="C634" s="94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>
        <v>102.8169014084507</v>
      </c>
      <c r="AG634" s="18">
        <v>0</v>
      </c>
      <c r="AH634" s="18">
        <v>0</v>
      </c>
      <c r="AI634" s="18">
        <v>0</v>
      </c>
      <c r="AJ634" s="18">
        <v>0</v>
      </c>
      <c r="AK634" s="18">
        <v>0</v>
      </c>
      <c r="AL634" s="18">
        <v>0</v>
      </c>
      <c r="AM634" s="18">
        <v>0</v>
      </c>
      <c r="AN634" s="18">
        <v>133.7419015934162</v>
      </c>
      <c r="AO634" s="18">
        <v>0</v>
      </c>
      <c r="AP634" s="18">
        <v>162.28333333333333</v>
      </c>
      <c r="AQ634" s="18">
        <v>104.18275418275418</v>
      </c>
      <c r="AR634" s="18">
        <v>100.97499999999999</v>
      </c>
      <c r="AS634" s="18">
        <v>92.093663911845738</v>
      </c>
      <c r="AT634" s="18">
        <v>81.727748691099464</v>
      </c>
      <c r="AU634" s="18">
        <v>34.22053231939163</v>
      </c>
      <c r="AV634" s="18">
        <v>37.809647979139505</v>
      </c>
      <c r="AW634" s="18">
        <v>39.359391965255156</v>
      </c>
      <c r="AX634" s="18">
        <v>30.52325581395349</v>
      </c>
      <c r="AY634" s="18">
        <v>0</v>
      </c>
      <c r="AZ634" s="18">
        <v>0</v>
      </c>
      <c r="BA634" s="18">
        <v>0</v>
      </c>
      <c r="BB634" s="18">
        <v>0</v>
      </c>
      <c r="BC634" s="18">
        <v>0</v>
      </c>
      <c r="BD634" s="18">
        <v>0</v>
      </c>
      <c r="BE634" s="25">
        <v>3715.3609467455622</v>
      </c>
      <c r="BF634" s="18">
        <v>3645.7079889807164</v>
      </c>
      <c r="BG634" s="18">
        <v>3490.2479992095646</v>
      </c>
      <c r="BH634" s="18">
        <v>3373.2762909163266</v>
      </c>
      <c r="BI634" s="18">
        <v>3312.3094958968345</v>
      </c>
      <c r="BJ634" s="18">
        <v>3880.2747791952893</v>
      </c>
      <c r="BK634" s="34">
        <v>3945.3046450834509</v>
      </c>
      <c r="BL634" s="113">
        <v>3837.5942615412914</v>
      </c>
      <c r="BM634" s="113">
        <v>5011.0472823685368</v>
      </c>
      <c r="BN634" s="113">
        <v>4101.214574898785</v>
      </c>
      <c r="BO634" s="113">
        <v>3288.9610389610389</v>
      </c>
      <c r="BP634" s="113">
        <v>2823</v>
      </c>
      <c r="BQ634" s="113">
        <v>2823</v>
      </c>
      <c r="BR634" s="101"/>
      <c r="BS634">
        <f t="shared" si="1230"/>
        <v>0</v>
      </c>
      <c r="BT634">
        <f t="shared" si="1230"/>
        <v>0</v>
      </c>
      <c r="BU634">
        <f t="shared" si="1230"/>
        <v>0</v>
      </c>
      <c r="BV634">
        <f t="shared" si="1230"/>
        <v>0</v>
      </c>
      <c r="BW634">
        <f t="shared" si="1230"/>
        <v>0</v>
      </c>
      <c r="BX634">
        <f t="shared" si="1230"/>
        <v>0</v>
      </c>
      <c r="BY634">
        <f t="shared" si="1230"/>
        <v>0</v>
      </c>
      <c r="BZ634">
        <f t="shared" si="1230"/>
        <v>0</v>
      </c>
      <c r="CA634">
        <f t="shared" si="1230"/>
        <v>0</v>
      </c>
      <c r="CB634">
        <f t="shared" si="1230"/>
        <v>0</v>
      </c>
      <c r="CC634">
        <f t="shared" si="1231"/>
        <v>0</v>
      </c>
      <c r="CD634">
        <f t="shared" si="1231"/>
        <v>0</v>
      </c>
      <c r="CE634">
        <f t="shared" si="1231"/>
        <v>0</v>
      </c>
      <c r="CF634">
        <f t="shared" si="1231"/>
        <v>0</v>
      </c>
      <c r="CG634">
        <f t="shared" si="1231"/>
        <v>0</v>
      </c>
      <c r="CH634">
        <f t="shared" si="1231"/>
        <v>0</v>
      </c>
      <c r="CI634">
        <f t="shared" si="1231"/>
        <v>0</v>
      </c>
      <c r="CJ634">
        <f t="shared" si="1231"/>
        <v>0</v>
      </c>
      <c r="CK634">
        <f t="shared" si="1231"/>
        <v>0</v>
      </c>
      <c r="CL634">
        <f t="shared" si="1231"/>
        <v>0</v>
      </c>
      <c r="CM634">
        <f t="shared" si="1232"/>
        <v>0</v>
      </c>
      <c r="CN634">
        <f t="shared" si="1232"/>
        <v>0</v>
      </c>
      <c r="CO634">
        <f t="shared" si="1232"/>
        <v>0</v>
      </c>
      <c r="CP634">
        <f t="shared" si="1232"/>
        <v>0</v>
      </c>
      <c r="CQ634">
        <f t="shared" si="1232"/>
        <v>0</v>
      </c>
      <c r="CR634">
        <f t="shared" si="1232"/>
        <v>0</v>
      </c>
      <c r="CS634">
        <f t="shared" si="1232"/>
        <v>0</v>
      </c>
      <c r="CT634">
        <f t="shared" si="1232"/>
        <v>0</v>
      </c>
      <c r="CU634">
        <f t="shared" si="1232"/>
        <v>0</v>
      </c>
      <c r="CV634">
        <f t="shared" si="1232"/>
        <v>0</v>
      </c>
      <c r="CW634">
        <f t="shared" si="1233"/>
        <v>0</v>
      </c>
      <c r="CX634">
        <f t="shared" si="1233"/>
        <v>0</v>
      </c>
      <c r="CY634">
        <f t="shared" si="1233"/>
        <v>0</v>
      </c>
      <c r="CZ634">
        <f t="shared" si="1233"/>
        <v>0</v>
      </c>
      <c r="DA634">
        <f t="shared" si="1233"/>
        <v>0</v>
      </c>
      <c r="DB634">
        <f t="shared" si="1233"/>
        <v>0</v>
      </c>
      <c r="DC634">
        <f t="shared" si="1233"/>
        <v>0</v>
      </c>
      <c r="DD634">
        <f t="shared" si="1233"/>
        <v>0</v>
      </c>
      <c r="DE634">
        <f t="shared" si="1233"/>
        <v>0</v>
      </c>
      <c r="DF634">
        <f t="shared" si="1233"/>
        <v>0</v>
      </c>
      <c r="DG634">
        <f t="shared" si="1234"/>
        <v>0</v>
      </c>
      <c r="DH634">
        <f t="shared" si="1234"/>
        <v>0</v>
      </c>
      <c r="DI634">
        <f t="shared" si="1234"/>
        <v>0</v>
      </c>
      <c r="DJ634">
        <f t="shared" si="1234"/>
        <v>0</v>
      </c>
      <c r="DK634">
        <f t="shared" si="1234"/>
        <v>0</v>
      </c>
      <c r="DL634">
        <f t="shared" si="1234"/>
        <v>0</v>
      </c>
      <c r="DM634">
        <f t="shared" si="1234"/>
        <v>0</v>
      </c>
      <c r="DN634">
        <f t="shared" si="1234"/>
        <v>0</v>
      </c>
      <c r="DO634">
        <f t="shared" si="1234"/>
        <v>0</v>
      </c>
      <c r="DP634">
        <f t="shared" si="1234"/>
        <v>0</v>
      </c>
      <c r="DQ634">
        <f t="shared" si="1235"/>
        <v>0</v>
      </c>
      <c r="DR634">
        <f t="shared" si="1235"/>
        <v>0</v>
      </c>
      <c r="DS634">
        <f t="shared" si="1235"/>
        <v>0</v>
      </c>
      <c r="DT634">
        <f t="shared" si="1235"/>
        <v>0</v>
      </c>
      <c r="DU634">
        <f t="shared" si="1235"/>
        <v>0</v>
      </c>
      <c r="DV634">
        <f t="shared" si="1235"/>
        <v>0</v>
      </c>
      <c r="DW634">
        <f t="shared" si="1235"/>
        <v>0</v>
      </c>
      <c r="DX634">
        <f t="shared" si="1235"/>
        <v>0</v>
      </c>
      <c r="DY634">
        <f t="shared" si="1235"/>
        <v>0</v>
      </c>
      <c r="DZ634">
        <f t="shared" si="1235"/>
        <v>0</v>
      </c>
      <c r="EA634">
        <f t="shared" si="1236"/>
        <v>0</v>
      </c>
      <c r="EB634">
        <f t="shared" si="1236"/>
        <v>0</v>
      </c>
      <c r="EC634">
        <f>IF($C634&lt;&gt;"",IF(BN634&gt;0,1,0),0)</f>
        <v>0</v>
      </c>
      <c r="ED634">
        <f>IF($C634&lt;&gt;"",IF(BO634&gt;0,1,0),0)</f>
        <v>0</v>
      </c>
      <c r="EE634">
        <f>IF($C634&lt;&gt;"",IF(BP634&gt;0,1,0),0)</f>
        <v>0</v>
      </c>
      <c r="EF634">
        <f>IF($C634&lt;&gt;"",IF(BQ634&gt;0,1,0),0)</f>
        <v>0</v>
      </c>
    </row>
    <row r="635" spans="1:136" ht="15.5">
      <c r="A635" s="90"/>
      <c r="B635" s="105"/>
      <c r="C635" s="94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40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18"/>
      <c r="AW635" s="18"/>
      <c r="AX635" s="147"/>
      <c r="AY635" s="18"/>
      <c r="AZ635" s="18"/>
      <c r="BA635" s="18"/>
      <c r="BB635" s="18"/>
      <c r="BC635" s="18"/>
      <c r="BD635" s="18"/>
      <c r="BE635" s="25"/>
      <c r="BF635" s="18"/>
      <c r="BG635" s="18"/>
      <c r="BH635" s="18"/>
      <c r="BI635" s="18"/>
      <c r="BJ635" s="18"/>
      <c r="BK635" s="2"/>
      <c r="BL635" s="2"/>
      <c r="BM635" s="2"/>
      <c r="BN635" s="2"/>
      <c r="BO635" s="2"/>
      <c r="BP635" s="2"/>
      <c r="BQ635" s="2"/>
      <c r="BR635" s="101"/>
    </row>
    <row r="636" spans="1:136" ht="15.5">
      <c r="A636" s="93">
        <v>76</v>
      </c>
      <c r="B636" s="32" t="s">
        <v>235</v>
      </c>
      <c r="C636" s="95">
        <v>4</v>
      </c>
      <c r="D636" s="22">
        <f t="shared" ref="D636:AI636" si="1237">SUM(D637:D641)</f>
        <v>0</v>
      </c>
      <c r="E636" s="22">
        <f t="shared" si="1237"/>
        <v>0</v>
      </c>
      <c r="F636" s="22">
        <f t="shared" si="1237"/>
        <v>0</v>
      </c>
      <c r="G636" s="22">
        <f t="shared" si="1237"/>
        <v>0</v>
      </c>
      <c r="H636" s="22">
        <f t="shared" si="1237"/>
        <v>0</v>
      </c>
      <c r="I636" s="22">
        <f t="shared" si="1237"/>
        <v>0</v>
      </c>
      <c r="J636" s="22">
        <f t="shared" si="1237"/>
        <v>0</v>
      </c>
      <c r="K636" s="22">
        <f t="shared" si="1237"/>
        <v>0</v>
      </c>
      <c r="L636" s="22">
        <f t="shared" si="1237"/>
        <v>0</v>
      </c>
      <c r="M636" s="22">
        <f t="shared" si="1237"/>
        <v>0</v>
      </c>
      <c r="N636" s="22">
        <f t="shared" si="1237"/>
        <v>0</v>
      </c>
      <c r="O636" s="22">
        <f t="shared" si="1237"/>
        <v>0</v>
      </c>
      <c r="P636" s="22">
        <f t="shared" si="1237"/>
        <v>0</v>
      </c>
      <c r="Q636" s="22">
        <f t="shared" si="1237"/>
        <v>0</v>
      </c>
      <c r="R636" s="22">
        <f t="shared" si="1237"/>
        <v>74</v>
      </c>
      <c r="S636" s="22">
        <f t="shared" si="1237"/>
        <v>148.2737686139748</v>
      </c>
      <c r="T636" s="22">
        <f t="shared" si="1237"/>
        <v>222.26726342710998</v>
      </c>
      <c r="U636" s="22">
        <f t="shared" si="1237"/>
        <v>293.61129888942537</v>
      </c>
      <c r="V636" s="22">
        <f t="shared" si="1237"/>
        <v>381.11580680570802</v>
      </c>
      <c r="W636" s="22">
        <f t="shared" si="1237"/>
        <v>462.39754816112082</v>
      </c>
      <c r="X636" s="22">
        <f t="shared" si="1237"/>
        <v>469.50632911392404</v>
      </c>
      <c r="Y636" s="22">
        <f t="shared" si="1237"/>
        <v>451.1875</v>
      </c>
      <c r="Z636" s="22">
        <f t="shared" si="1237"/>
        <v>494.42355371900828</v>
      </c>
      <c r="AA636" s="22">
        <f t="shared" si="1237"/>
        <v>803.12616296049077</v>
      </c>
      <c r="AB636" s="22">
        <f t="shared" si="1237"/>
        <v>749.66181977895849</v>
      </c>
      <c r="AC636" s="22">
        <f t="shared" si="1237"/>
        <v>957.23730692666072</v>
      </c>
      <c r="AD636" s="22">
        <f t="shared" si="1237"/>
        <v>1255.4978228441398</v>
      </c>
      <c r="AE636" s="22">
        <f t="shared" si="1237"/>
        <v>1613.9430313196553</v>
      </c>
      <c r="AF636" s="22">
        <f t="shared" si="1237"/>
        <v>1533.047041504484</v>
      </c>
      <c r="AG636" s="22">
        <f t="shared" si="1237"/>
        <v>1609.8821948576378</v>
      </c>
      <c r="AH636" s="22">
        <f t="shared" si="1237"/>
        <v>2030.6680579975018</v>
      </c>
      <c r="AI636" s="22">
        <f t="shared" si="1237"/>
        <v>2128.2639135724176</v>
      </c>
      <c r="AJ636" s="22">
        <f t="shared" ref="AJ636:BH636" si="1238">SUM(AJ637:AJ641)</f>
        <v>2507.2396095299673</v>
      </c>
      <c r="AK636" s="22">
        <f t="shared" si="1238"/>
        <v>2370.3484990198622</v>
      </c>
      <c r="AL636" s="22">
        <f t="shared" si="1238"/>
        <v>2808.0585249485057</v>
      </c>
      <c r="AM636" s="22">
        <f t="shared" si="1238"/>
        <v>3295.04483340557</v>
      </c>
      <c r="AN636" s="22">
        <f t="shared" si="1238"/>
        <v>3143.3914152901471</v>
      </c>
      <c r="AO636" s="22">
        <f t="shared" si="1238"/>
        <v>4782.3034413497917</v>
      </c>
      <c r="AP636" s="22">
        <f t="shared" si="1238"/>
        <v>5032.5526474736316</v>
      </c>
      <c r="AQ636" s="22">
        <f t="shared" si="1238"/>
        <v>4789.770294157719</v>
      </c>
      <c r="AR636" s="22">
        <f t="shared" si="1238"/>
        <v>5124.6793505362912</v>
      </c>
      <c r="AS636" s="22">
        <f t="shared" si="1238"/>
        <v>5199.6957698999031</v>
      </c>
      <c r="AT636" s="22">
        <f t="shared" si="1238"/>
        <v>6460.8401827190501</v>
      </c>
      <c r="AU636" s="22">
        <f t="shared" si="1238"/>
        <v>7820.0149423028797</v>
      </c>
      <c r="AV636" s="22">
        <f t="shared" si="1238"/>
        <v>8690.5834425924586</v>
      </c>
      <c r="AW636" s="22">
        <f t="shared" si="1238"/>
        <v>7847.4953059495992</v>
      </c>
      <c r="AX636" s="22">
        <f t="shared" si="1238"/>
        <v>8897.2445761154013</v>
      </c>
      <c r="AY636" s="22">
        <f t="shared" si="1238"/>
        <v>10859.583561500674</v>
      </c>
      <c r="AZ636" s="22">
        <f t="shared" si="1238"/>
        <v>13624.968523219355</v>
      </c>
      <c r="BA636" s="22">
        <f t="shared" si="1238"/>
        <v>14229.437163589744</v>
      </c>
      <c r="BB636" s="22">
        <f t="shared" si="1238"/>
        <v>14276.4388826472</v>
      </c>
      <c r="BC636" s="22">
        <f t="shared" si="1238"/>
        <v>14561.248149395258</v>
      </c>
      <c r="BD636" s="22">
        <f t="shared" si="1238"/>
        <v>14968.012688113635</v>
      </c>
      <c r="BE636" s="22">
        <f t="shared" si="1238"/>
        <v>15494.020801417641</v>
      </c>
      <c r="BF636" s="22">
        <f t="shared" si="1238"/>
        <v>7117.5083299322014</v>
      </c>
      <c r="BG636" s="22">
        <f t="shared" si="1238"/>
        <v>6761.9369996847472</v>
      </c>
      <c r="BH636" s="22">
        <f t="shared" si="1238"/>
        <v>6481.9118511958113</v>
      </c>
      <c r="BI636" s="22">
        <f>+SUM(BI637:BI641)</f>
        <v>6839.7748517251985</v>
      </c>
      <c r="BJ636" s="22">
        <f>+SUM(BJ637:BJ641)</f>
        <v>6489.6630730062607</v>
      </c>
      <c r="BK636" s="22">
        <f t="shared" ref="BK636:BQ636" si="1239">SUM(BK637:BK641)</f>
        <v>6290.6175331275481</v>
      </c>
      <c r="BL636" s="22">
        <f t="shared" si="1239"/>
        <v>6675.6629948855398</v>
      </c>
      <c r="BM636" s="22">
        <f t="shared" si="1239"/>
        <v>6244.6757749419148</v>
      </c>
      <c r="BN636" s="22">
        <f t="shared" si="1239"/>
        <v>5834.9726211642237</v>
      </c>
      <c r="BO636" s="22">
        <f t="shared" si="1239"/>
        <v>6275</v>
      </c>
      <c r="BP636" s="22">
        <f t="shared" si="1239"/>
        <v>6032</v>
      </c>
      <c r="BQ636" s="22">
        <f t="shared" si="1239"/>
        <v>5776</v>
      </c>
      <c r="BR636" s="101"/>
      <c r="BS636">
        <f t="shared" ref="BS636:CX636" si="1240">IF($C636&lt;&gt;"",IF(D636&gt;0,1,0),0)</f>
        <v>0</v>
      </c>
      <c r="BT636">
        <f t="shared" si="1240"/>
        <v>0</v>
      </c>
      <c r="BU636">
        <f t="shared" si="1240"/>
        <v>0</v>
      </c>
      <c r="BV636">
        <f t="shared" si="1240"/>
        <v>0</v>
      </c>
      <c r="BW636">
        <f t="shared" si="1240"/>
        <v>0</v>
      </c>
      <c r="BX636">
        <f t="shared" si="1240"/>
        <v>0</v>
      </c>
      <c r="BY636">
        <f t="shared" si="1240"/>
        <v>0</v>
      </c>
      <c r="BZ636">
        <f t="shared" si="1240"/>
        <v>0</v>
      </c>
      <c r="CA636">
        <f t="shared" si="1240"/>
        <v>0</v>
      </c>
      <c r="CB636">
        <f t="shared" si="1240"/>
        <v>0</v>
      </c>
      <c r="CC636">
        <f t="shared" si="1240"/>
        <v>0</v>
      </c>
      <c r="CD636">
        <f t="shared" si="1240"/>
        <v>0</v>
      </c>
      <c r="CE636">
        <f t="shared" si="1240"/>
        <v>0</v>
      </c>
      <c r="CF636">
        <f t="shared" si="1240"/>
        <v>0</v>
      </c>
      <c r="CG636">
        <f t="shared" si="1240"/>
        <v>1</v>
      </c>
      <c r="CH636">
        <f t="shared" si="1240"/>
        <v>1</v>
      </c>
      <c r="CI636">
        <f t="shared" si="1240"/>
        <v>1</v>
      </c>
      <c r="CJ636">
        <f t="shared" si="1240"/>
        <v>1</v>
      </c>
      <c r="CK636">
        <f t="shared" si="1240"/>
        <v>1</v>
      </c>
      <c r="CL636">
        <f t="shared" si="1240"/>
        <v>1</v>
      </c>
      <c r="CM636">
        <f t="shared" si="1240"/>
        <v>1</v>
      </c>
      <c r="CN636">
        <f t="shared" si="1240"/>
        <v>1</v>
      </c>
      <c r="CO636">
        <f t="shared" si="1240"/>
        <v>1</v>
      </c>
      <c r="CP636">
        <f t="shared" si="1240"/>
        <v>1</v>
      </c>
      <c r="CQ636">
        <f t="shared" si="1240"/>
        <v>1</v>
      </c>
      <c r="CR636">
        <f t="shared" si="1240"/>
        <v>1</v>
      </c>
      <c r="CS636">
        <f t="shared" si="1240"/>
        <v>1</v>
      </c>
      <c r="CT636">
        <f t="shared" si="1240"/>
        <v>1</v>
      </c>
      <c r="CU636">
        <f t="shared" si="1240"/>
        <v>1</v>
      </c>
      <c r="CV636">
        <f t="shared" si="1240"/>
        <v>1</v>
      </c>
      <c r="CW636">
        <f t="shared" si="1240"/>
        <v>1</v>
      </c>
      <c r="CX636">
        <f t="shared" si="1240"/>
        <v>1</v>
      </c>
      <c r="CY636">
        <f t="shared" ref="CY636:ED636" si="1241">IF($C636&lt;&gt;"",IF(AJ636&gt;0,1,0),0)</f>
        <v>1</v>
      </c>
      <c r="CZ636">
        <f t="shared" si="1241"/>
        <v>1</v>
      </c>
      <c r="DA636">
        <f t="shared" si="1241"/>
        <v>1</v>
      </c>
      <c r="DB636">
        <f t="shared" si="1241"/>
        <v>1</v>
      </c>
      <c r="DC636">
        <f t="shared" si="1241"/>
        <v>1</v>
      </c>
      <c r="DD636">
        <f t="shared" si="1241"/>
        <v>1</v>
      </c>
      <c r="DE636">
        <f t="shared" si="1241"/>
        <v>1</v>
      </c>
      <c r="DF636">
        <f t="shared" si="1241"/>
        <v>1</v>
      </c>
      <c r="DG636">
        <f t="shared" si="1241"/>
        <v>1</v>
      </c>
      <c r="DH636">
        <f t="shared" si="1241"/>
        <v>1</v>
      </c>
      <c r="DI636">
        <f t="shared" si="1241"/>
        <v>1</v>
      </c>
      <c r="DJ636">
        <f t="shared" si="1241"/>
        <v>1</v>
      </c>
      <c r="DK636">
        <f t="shared" si="1241"/>
        <v>1</v>
      </c>
      <c r="DL636">
        <f t="shared" si="1241"/>
        <v>1</v>
      </c>
      <c r="DM636">
        <f t="shared" si="1241"/>
        <v>1</v>
      </c>
      <c r="DN636">
        <f t="shared" si="1241"/>
        <v>1</v>
      </c>
      <c r="DO636">
        <f t="shared" si="1241"/>
        <v>1</v>
      </c>
      <c r="DP636">
        <f t="shared" si="1241"/>
        <v>1</v>
      </c>
      <c r="DQ636">
        <f t="shared" si="1241"/>
        <v>1</v>
      </c>
      <c r="DR636">
        <f t="shared" si="1241"/>
        <v>1</v>
      </c>
      <c r="DS636">
        <f t="shared" si="1241"/>
        <v>1</v>
      </c>
      <c r="DT636">
        <f t="shared" si="1241"/>
        <v>1</v>
      </c>
      <c r="DU636">
        <f t="shared" si="1241"/>
        <v>1</v>
      </c>
      <c r="DV636">
        <f t="shared" si="1241"/>
        <v>1</v>
      </c>
      <c r="DW636">
        <f t="shared" si="1241"/>
        <v>1</v>
      </c>
      <c r="DX636">
        <f t="shared" si="1241"/>
        <v>1</v>
      </c>
      <c r="DY636">
        <f t="shared" si="1241"/>
        <v>1</v>
      </c>
      <c r="DZ636">
        <f t="shared" si="1241"/>
        <v>1</v>
      </c>
      <c r="EA636">
        <f t="shared" si="1241"/>
        <v>1</v>
      </c>
      <c r="EB636">
        <f t="shared" si="1241"/>
        <v>1</v>
      </c>
      <c r="EC636">
        <f t="shared" si="1241"/>
        <v>1</v>
      </c>
      <c r="ED636">
        <f t="shared" si="1241"/>
        <v>1</v>
      </c>
      <c r="EE636">
        <f t="shared" ref="EE636:EF636" si="1242">IF($C636&lt;&gt;"",IF(BP636&gt;0,1,0),0)</f>
        <v>1</v>
      </c>
      <c r="EF636">
        <f t="shared" si="1242"/>
        <v>1</v>
      </c>
    </row>
    <row r="637" spans="1:136" ht="15.5">
      <c r="A637" s="90"/>
      <c r="B637" s="19" t="s">
        <v>2</v>
      </c>
      <c r="C637" s="95"/>
      <c r="D637" s="18">
        <v>0</v>
      </c>
      <c r="E637" s="18">
        <v>0</v>
      </c>
      <c r="F637" s="18">
        <v>0</v>
      </c>
      <c r="G637" s="18">
        <v>0</v>
      </c>
      <c r="H637" s="18">
        <v>0</v>
      </c>
      <c r="I637" s="18">
        <v>0</v>
      </c>
      <c r="J637" s="18">
        <v>0</v>
      </c>
      <c r="K637" s="18">
        <v>0</v>
      </c>
      <c r="L637" s="18">
        <v>0</v>
      </c>
      <c r="M637" s="18">
        <v>0</v>
      </c>
      <c r="N637" s="18">
        <v>0</v>
      </c>
      <c r="O637" s="18">
        <v>0</v>
      </c>
      <c r="P637" s="18">
        <v>0</v>
      </c>
      <c r="Q637" s="18">
        <v>0</v>
      </c>
      <c r="R637" s="18">
        <v>0</v>
      </c>
      <c r="S637" s="18">
        <v>12</v>
      </c>
      <c r="T637" s="18">
        <f t="shared" ref="T637:AN637" si="1243">T639*0.5</f>
        <v>46.089087809036656</v>
      </c>
      <c r="U637" s="18">
        <f t="shared" si="1243"/>
        <v>68.203766296475123</v>
      </c>
      <c r="V637" s="18">
        <f t="shared" si="1243"/>
        <v>95.705268935236006</v>
      </c>
      <c r="W637" s="18">
        <f t="shared" si="1243"/>
        <v>121.13251605370694</v>
      </c>
      <c r="X637" s="18">
        <f t="shared" si="1243"/>
        <v>121.83544303797468</v>
      </c>
      <c r="Y637" s="18">
        <f t="shared" si="1243"/>
        <v>114.0625</v>
      </c>
      <c r="Z637" s="18">
        <f t="shared" si="1243"/>
        <v>126.80785123966943</v>
      </c>
      <c r="AA637" s="18">
        <f t="shared" si="1243"/>
        <v>228.04205432016357</v>
      </c>
      <c r="AB637" s="18">
        <f t="shared" si="1243"/>
        <v>208.55393992631952</v>
      </c>
      <c r="AC637" s="18">
        <f t="shared" si="1243"/>
        <v>276.07910230888689</v>
      </c>
      <c r="AD637" s="18">
        <f t="shared" si="1243"/>
        <v>373.83260761471325</v>
      </c>
      <c r="AE637" s="18">
        <f t="shared" si="1243"/>
        <v>491.64767710655178</v>
      </c>
      <c r="AF637" s="18">
        <f t="shared" si="1243"/>
        <v>463.01568050149467</v>
      </c>
      <c r="AG637" s="18">
        <f t="shared" si="1243"/>
        <v>486.96073161921265</v>
      </c>
      <c r="AH637" s="18">
        <f t="shared" si="1243"/>
        <v>625.55601933250057</v>
      </c>
      <c r="AI637" s="18">
        <f t="shared" si="1243"/>
        <v>656.42130452413926</v>
      </c>
      <c r="AJ637" s="18">
        <f t="shared" si="1243"/>
        <v>698.74653650998903</v>
      </c>
      <c r="AK637" s="18">
        <f t="shared" si="1243"/>
        <v>733.78283300662065</v>
      </c>
      <c r="AL637" s="18">
        <f t="shared" si="1243"/>
        <v>878.01950831616864</v>
      </c>
      <c r="AM637" s="18">
        <f t="shared" si="1243"/>
        <v>1038.68161113519</v>
      </c>
      <c r="AN637" s="18">
        <f t="shared" si="1243"/>
        <v>986.46380509671576</v>
      </c>
      <c r="AO637" s="18">
        <f>AO639*1.5</f>
        <v>2755.9820648098748</v>
      </c>
      <c r="AP637" s="18">
        <f>AP639*1.5</f>
        <v>2903.1315884841788</v>
      </c>
      <c r="AQ637" s="18">
        <f>AQ639*1.5</f>
        <v>2754.4621764946314</v>
      </c>
      <c r="AR637" s="18">
        <f t="shared" ref="AR637:AX637" si="1244">AR639*1.7</f>
        <v>3098.2055170043318</v>
      </c>
      <c r="AS637" s="18">
        <f t="shared" si="1244"/>
        <v>3142.2899291962353</v>
      </c>
      <c r="AT637" s="18">
        <f t="shared" si="1244"/>
        <v>3933.1956706008837</v>
      </c>
      <c r="AU637" s="18">
        <f t="shared" si="1244"/>
        <v>4785.8242229314428</v>
      </c>
      <c r="AV637" s="18">
        <f t="shared" si="1244"/>
        <v>5330.8117971878446</v>
      </c>
      <c r="AW637" s="18">
        <f t="shared" si="1244"/>
        <v>4796.830377820118</v>
      </c>
      <c r="AX637" s="18">
        <f t="shared" si="1244"/>
        <v>5454.6354738504378</v>
      </c>
      <c r="AY637" s="18">
        <f>AY639*1.9</f>
        <v>6958.3133678797521</v>
      </c>
      <c r="AZ637" s="18">
        <v>9544</v>
      </c>
      <c r="BA637" s="18">
        <v>9567</v>
      </c>
      <c r="BB637" s="18">
        <v>9742</v>
      </c>
      <c r="BC637" s="18">
        <f>9986</f>
        <v>9986</v>
      </c>
      <c r="BD637" s="18">
        <v>10188</v>
      </c>
      <c r="BE637" s="25">
        <v>10445</v>
      </c>
      <c r="BF637" s="18">
        <v>2526</v>
      </c>
      <c r="BG637" s="18">
        <v>2351</v>
      </c>
      <c r="BH637" s="18">
        <v>2234</v>
      </c>
      <c r="BI637" s="18">
        <v>2345</v>
      </c>
      <c r="BJ637" s="18">
        <v>2274</v>
      </c>
      <c r="BK637" s="113">
        <v>2218</v>
      </c>
      <c r="BL637" s="113">
        <v>2293</v>
      </c>
      <c r="BM637" s="113">
        <v>2128</v>
      </c>
      <c r="BN637" s="113">
        <v>1972</v>
      </c>
      <c r="BO637" s="113">
        <v>1976</v>
      </c>
      <c r="BP637" s="113">
        <v>2108</v>
      </c>
      <c r="BQ637" s="113">
        <v>2087</v>
      </c>
      <c r="BR637" s="101"/>
      <c r="BS637">
        <f t="shared" ref="BS637:CG639" si="1245">IF($C637&lt;&gt;"",IF(D637&gt;0,1,0),0)</f>
        <v>0</v>
      </c>
      <c r="BT637">
        <f t="shared" si="1245"/>
        <v>0</v>
      </c>
      <c r="BU637">
        <f t="shared" si="1245"/>
        <v>0</v>
      </c>
      <c r="BV637">
        <f t="shared" si="1245"/>
        <v>0</v>
      </c>
      <c r="BW637">
        <f t="shared" si="1245"/>
        <v>0</v>
      </c>
      <c r="BX637">
        <f t="shared" si="1245"/>
        <v>0</v>
      </c>
      <c r="BY637">
        <f t="shared" si="1245"/>
        <v>0</v>
      </c>
      <c r="BZ637">
        <f t="shared" si="1245"/>
        <v>0</v>
      </c>
      <c r="CA637">
        <f t="shared" si="1245"/>
        <v>0</v>
      </c>
      <c r="CB637">
        <f t="shared" si="1245"/>
        <v>0</v>
      </c>
      <c r="CC637">
        <f t="shared" si="1245"/>
        <v>0</v>
      </c>
      <c r="CD637">
        <f t="shared" si="1245"/>
        <v>0</v>
      </c>
      <c r="CE637">
        <f t="shared" si="1245"/>
        <v>0</v>
      </c>
      <c r="CF637">
        <f t="shared" si="1245"/>
        <v>0</v>
      </c>
      <c r="CG637">
        <f t="shared" si="1245"/>
        <v>0</v>
      </c>
      <c r="CH637">
        <f>IF($C637&lt;&gt;"",IF(#REF!&gt;0,1,0),0)</f>
        <v>0</v>
      </c>
      <c r="CI637">
        <f t="shared" ref="CI637:CR639" si="1246">IF($C637&lt;&gt;"",IF(T637&gt;0,1,0),0)</f>
        <v>0</v>
      </c>
      <c r="CJ637">
        <f t="shared" si="1246"/>
        <v>0</v>
      </c>
      <c r="CK637">
        <f t="shared" si="1246"/>
        <v>0</v>
      </c>
      <c r="CL637">
        <f t="shared" si="1246"/>
        <v>0</v>
      </c>
      <c r="CM637">
        <f t="shared" si="1246"/>
        <v>0</v>
      </c>
      <c r="CN637">
        <f t="shared" si="1246"/>
        <v>0</v>
      </c>
      <c r="CO637">
        <f t="shared" si="1246"/>
        <v>0</v>
      </c>
      <c r="CP637">
        <f t="shared" si="1246"/>
        <v>0</v>
      </c>
      <c r="CQ637">
        <f t="shared" si="1246"/>
        <v>0</v>
      </c>
      <c r="CR637">
        <f t="shared" si="1246"/>
        <v>0</v>
      </c>
      <c r="CS637">
        <f t="shared" ref="CS637:DB639" si="1247">IF($C637&lt;&gt;"",IF(AD637&gt;0,1,0),0)</f>
        <v>0</v>
      </c>
      <c r="CT637">
        <f t="shared" si="1247"/>
        <v>0</v>
      </c>
      <c r="CU637">
        <f t="shared" si="1247"/>
        <v>0</v>
      </c>
      <c r="CV637">
        <f t="shared" si="1247"/>
        <v>0</v>
      </c>
      <c r="CW637">
        <f t="shared" si="1247"/>
        <v>0</v>
      </c>
      <c r="CX637">
        <f t="shared" si="1247"/>
        <v>0</v>
      </c>
      <c r="CY637">
        <f t="shared" si="1247"/>
        <v>0</v>
      </c>
      <c r="CZ637">
        <f t="shared" si="1247"/>
        <v>0</v>
      </c>
      <c r="DA637">
        <f t="shared" si="1247"/>
        <v>0</v>
      </c>
      <c r="DB637">
        <f t="shared" si="1247"/>
        <v>0</v>
      </c>
      <c r="DC637">
        <f t="shared" ref="DC637:DL639" si="1248">IF($C637&lt;&gt;"",IF(AN637&gt;0,1,0),0)</f>
        <v>0</v>
      </c>
      <c r="DD637">
        <f t="shared" si="1248"/>
        <v>0</v>
      </c>
      <c r="DE637">
        <f t="shared" si="1248"/>
        <v>0</v>
      </c>
      <c r="DF637">
        <f t="shared" si="1248"/>
        <v>0</v>
      </c>
      <c r="DG637">
        <f t="shared" si="1248"/>
        <v>0</v>
      </c>
      <c r="DH637">
        <f t="shared" si="1248"/>
        <v>0</v>
      </c>
      <c r="DI637">
        <f t="shared" si="1248"/>
        <v>0</v>
      </c>
      <c r="DJ637">
        <f t="shared" si="1248"/>
        <v>0</v>
      </c>
      <c r="DK637">
        <f t="shared" si="1248"/>
        <v>0</v>
      </c>
      <c r="DL637">
        <f t="shared" si="1248"/>
        <v>0</v>
      </c>
      <c r="DM637">
        <f t="shared" ref="DM637:DV639" si="1249">IF($C637&lt;&gt;"",IF(AX637&gt;0,1,0),0)</f>
        <v>0</v>
      </c>
      <c r="DN637">
        <f t="shared" si="1249"/>
        <v>0</v>
      </c>
      <c r="DO637">
        <f t="shared" si="1249"/>
        <v>0</v>
      </c>
      <c r="DP637">
        <f t="shared" si="1249"/>
        <v>0</v>
      </c>
      <c r="DQ637">
        <f t="shared" si="1249"/>
        <v>0</v>
      </c>
      <c r="DR637">
        <f t="shared" si="1249"/>
        <v>0</v>
      </c>
      <c r="DS637">
        <f t="shared" si="1249"/>
        <v>0</v>
      </c>
      <c r="DT637">
        <f t="shared" si="1249"/>
        <v>0</v>
      </c>
      <c r="DU637">
        <f t="shared" si="1249"/>
        <v>0</v>
      </c>
      <c r="DV637">
        <f t="shared" si="1249"/>
        <v>0</v>
      </c>
      <c r="DW637">
        <f t="shared" ref="DW637:EF639" si="1250">IF($C637&lt;&gt;"",IF(BH637&gt;0,1,0),0)</f>
        <v>0</v>
      </c>
      <c r="DX637">
        <f t="shared" si="1250"/>
        <v>0</v>
      </c>
      <c r="DY637">
        <f t="shared" si="1250"/>
        <v>0</v>
      </c>
      <c r="DZ637">
        <f t="shared" si="1250"/>
        <v>0</v>
      </c>
      <c r="EA637">
        <f t="shared" si="1250"/>
        <v>0</v>
      </c>
      <c r="EB637">
        <f t="shared" si="1250"/>
        <v>0</v>
      </c>
      <c r="EC637">
        <f t="shared" si="1250"/>
        <v>0</v>
      </c>
      <c r="ED637">
        <f t="shared" si="1250"/>
        <v>0</v>
      </c>
      <c r="EE637">
        <f t="shared" si="1250"/>
        <v>0</v>
      </c>
      <c r="EF637">
        <f t="shared" si="1250"/>
        <v>0</v>
      </c>
    </row>
    <row r="638" spans="1:136" ht="15.5">
      <c r="A638" s="90"/>
      <c r="B638" s="53" t="s">
        <v>3</v>
      </c>
      <c r="C638" s="95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  <c r="AK638" s="40"/>
      <c r="AL638" s="40"/>
      <c r="AM638" s="40"/>
      <c r="AN638" s="40"/>
      <c r="AO638" s="40"/>
      <c r="AP638" s="40"/>
      <c r="AQ638" s="40"/>
      <c r="AR638" s="40"/>
      <c r="AS638" s="40"/>
      <c r="AT638" s="40"/>
      <c r="AU638" s="40"/>
      <c r="AV638" s="40"/>
      <c r="AW638" s="40"/>
      <c r="AX638" s="40"/>
      <c r="AY638" s="40"/>
      <c r="AZ638" s="18"/>
      <c r="BA638" s="18"/>
      <c r="BB638" s="18">
        <v>10</v>
      </c>
      <c r="BC638" s="18">
        <v>4</v>
      </c>
      <c r="BD638" s="18">
        <v>4</v>
      </c>
      <c r="BE638" s="25"/>
      <c r="BF638" s="18"/>
      <c r="BG638" s="18"/>
      <c r="BH638" s="18"/>
      <c r="BI638" s="18">
        <v>2.7</v>
      </c>
      <c r="BJ638" s="40"/>
      <c r="BK638" s="2"/>
      <c r="BL638" s="2"/>
      <c r="BM638" s="2"/>
      <c r="BN638" s="2"/>
      <c r="BO638" s="2"/>
      <c r="BP638" s="2"/>
      <c r="BQ638" s="113"/>
      <c r="BR638" s="101"/>
      <c r="BS638">
        <f t="shared" si="1245"/>
        <v>0</v>
      </c>
      <c r="BT638">
        <f t="shared" si="1245"/>
        <v>0</v>
      </c>
      <c r="BU638">
        <f t="shared" si="1245"/>
        <v>0</v>
      </c>
      <c r="BV638">
        <f t="shared" si="1245"/>
        <v>0</v>
      </c>
      <c r="BW638">
        <f t="shared" si="1245"/>
        <v>0</v>
      </c>
      <c r="BX638">
        <f t="shared" si="1245"/>
        <v>0</v>
      </c>
      <c r="BY638">
        <f t="shared" si="1245"/>
        <v>0</v>
      </c>
      <c r="BZ638">
        <f t="shared" si="1245"/>
        <v>0</v>
      </c>
      <c r="CA638">
        <f t="shared" si="1245"/>
        <v>0</v>
      </c>
      <c r="CB638">
        <f t="shared" si="1245"/>
        <v>0</v>
      </c>
      <c r="CC638">
        <f t="shared" si="1245"/>
        <v>0</v>
      </c>
      <c r="CD638">
        <f t="shared" si="1245"/>
        <v>0</v>
      </c>
      <c r="CE638">
        <f t="shared" si="1245"/>
        <v>0</v>
      </c>
      <c r="CF638">
        <f t="shared" si="1245"/>
        <v>0</v>
      </c>
      <c r="CG638">
        <f t="shared" si="1245"/>
        <v>0</v>
      </c>
      <c r="CH638">
        <f>IF($C638&lt;&gt;"",IF(S637&gt;0,1,0),0)</f>
        <v>0</v>
      </c>
      <c r="CI638">
        <f t="shared" si="1246"/>
        <v>0</v>
      </c>
      <c r="CJ638">
        <f t="shared" si="1246"/>
        <v>0</v>
      </c>
      <c r="CK638">
        <f t="shared" si="1246"/>
        <v>0</v>
      </c>
      <c r="CL638">
        <f t="shared" si="1246"/>
        <v>0</v>
      </c>
      <c r="CM638">
        <f t="shared" si="1246"/>
        <v>0</v>
      </c>
      <c r="CN638">
        <f t="shared" si="1246"/>
        <v>0</v>
      </c>
      <c r="CO638">
        <f t="shared" si="1246"/>
        <v>0</v>
      </c>
      <c r="CP638">
        <f t="shared" si="1246"/>
        <v>0</v>
      </c>
      <c r="CQ638">
        <f t="shared" si="1246"/>
        <v>0</v>
      </c>
      <c r="CR638">
        <f t="shared" si="1246"/>
        <v>0</v>
      </c>
      <c r="CS638">
        <f t="shared" si="1247"/>
        <v>0</v>
      </c>
      <c r="CT638">
        <f t="shared" si="1247"/>
        <v>0</v>
      </c>
      <c r="CU638">
        <f t="shared" si="1247"/>
        <v>0</v>
      </c>
      <c r="CV638">
        <f t="shared" si="1247"/>
        <v>0</v>
      </c>
      <c r="CW638">
        <f t="shared" si="1247"/>
        <v>0</v>
      </c>
      <c r="CX638">
        <f t="shared" si="1247"/>
        <v>0</v>
      </c>
      <c r="CY638">
        <f t="shared" si="1247"/>
        <v>0</v>
      </c>
      <c r="CZ638">
        <f t="shared" si="1247"/>
        <v>0</v>
      </c>
      <c r="DA638">
        <f t="shared" si="1247"/>
        <v>0</v>
      </c>
      <c r="DB638">
        <f t="shared" si="1247"/>
        <v>0</v>
      </c>
      <c r="DC638">
        <f t="shared" si="1248"/>
        <v>0</v>
      </c>
      <c r="DD638">
        <f t="shared" si="1248"/>
        <v>0</v>
      </c>
      <c r="DE638">
        <f t="shared" si="1248"/>
        <v>0</v>
      </c>
      <c r="DF638">
        <f t="shared" si="1248"/>
        <v>0</v>
      </c>
      <c r="DG638">
        <f t="shared" si="1248"/>
        <v>0</v>
      </c>
      <c r="DH638">
        <f t="shared" si="1248"/>
        <v>0</v>
      </c>
      <c r="DI638">
        <f t="shared" si="1248"/>
        <v>0</v>
      </c>
      <c r="DJ638">
        <f t="shared" si="1248"/>
        <v>0</v>
      </c>
      <c r="DK638">
        <f t="shared" si="1248"/>
        <v>0</v>
      </c>
      <c r="DL638">
        <f t="shared" si="1248"/>
        <v>0</v>
      </c>
      <c r="DM638">
        <f t="shared" si="1249"/>
        <v>0</v>
      </c>
      <c r="DN638">
        <f t="shared" si="1249"/>
        <v>0</v>
      </c>
      <c r="DO638">
        <f t="shared" si="1249"/>
        <v>0</v>
      </c>
      <c r="DP638">
        <f t="shared" si="1249"/>
        <v>0</v>
      </c>
      <c r="DQ638">
        <f t="shared" si="1249"/>
        <v>0</v>
      </c>
      <c r="DR638">
        <f t="shared" si="1249"/>
        <v>0</v>
      </c>
      <c r="DS638">
        <f t="shared" si="1249"/>
        <v>0</v>
      </c>
      <c r="DT638">
        <f t="shared" si="1249"/>
        <v>0</v>
      </c>
      <c r="DU638">
        <f t="shared" si="1249"/>
        <v>0</v>
      </c>
      <c r="DV638">
        <f t="shared" si="1249"/>
        <v>0</v>
      </c>
      <c r="DW638">
        <f t="shared" si="1250"/>
        <v>0</v>
      </c>
      <c r="DX638">
        <f t="shared" si="1250"/>
        <v>0</v>
      </c>
      <c r="DY638">
        <f t="shared" si="1250"/>
        <v>0</v>
      </c>
      <c r="DZ638">
        <f t="shared" si="1250"/>
        <v>0</v>
      </c>
      <c r="EA638">
        <f t="shared" si="1250"/>
        <v>0</v>
      </c>
      <c r="EB638">
        <f t="shared" si="1250"/>
        <v>0</v>
      </c>
      <c r="EC638">
        <f t="shared" si="1250"/>
        <v>0</v>
      </c>
      <c r="ED638">
        <f t="shared" si="1250"/>
        <v>0</v>
      </c>
      <c r="EE638">
        <f t="shared" si="1250"/>
        <v>0</v>
      </c>
      <c r="EF638">
        <f t="shared" si="1250"/>
        <v>0</v>
      </c>
    </row>
    <row r="639" spans="1:136" ht="15.5">
      <c r="A639" s="90"/>
      <c r="B639" s="19" t="s">
        <v>18</v>
      </c>
      <c r="C639" s="95"/>
      <c r="D639" s="18">
        <v>0</v>
      </c>
      <c r="E639" s="18">
        <v>0</v>
      </c>
      <c r="F639" s="18">
        <v>0</v>
      </c>
      <c r="G639" s="18">
        <v>0</v>
      </c>
      <c r="H639" s="18">
        <v>0</v>
      </c>
      <c r="I639" s="18">
        <v>0</v>
      </c>
      <c r="J639" s="18">
        <v>0</v>
      </c>
      <c r="K639" s="18">
        <v>0</v>
      </c>
      <c r="L639" s="18">
        <v>0</v>
      </c>
      <c r="M639" s="18">
        <v>0</v>
      </c>
      <c r="N639" s="18">
        <v>0</v>
      </c>
      <c r="O639" s="18">
        <v>0</v>
      </c>
      <c r="P639" s="18">
        <v>0</v>
      </c>
      <c r="Q639" s="18">
        <v>0</v>
      </c>
      <c r="R639" s="18">
        <v>0</v>
      </c>
      <c r="S639" s="18">
        <v>57.273768613974795</v>
      </c>
      <c r="T639" s="18">
        <v>92.178175618073311</v>
      </c>
      <c r="U639" s="18">
        <v>136.40753259295025</v>
      </c>
      <c r="V639" s="18">
        <v>191.41053787047201</v>
      </c>
      <c r="W639" s="18">
        <v>242.26503210741387</v>
      </c>
      <c r="X639" s="18">
        <v>243.67088607594937</v>
      </c>
      <c r="Y639" s="18">
        <v>228.125</v>
      </c>
      <c r="Z639" s="18">
        <v>253.61570247933886</v>
      </c>
      <c r="AA639" s="18">
        <v>456.08410864032714</v>
      </c>
      <c r="AB639" s="18">
        <v>417.10787985263903</v>
      </c>
      <c r="AC639" s="18">
        <v>552.15820461777378</v>
      </c>
      <c r="AD639" s="18">
        <v>747.66521522942651</v>
      </c>
      <c r="AE639" s="18">
        <v>983.29535421310356</v>
      </c>
      <c r="AF639" s="18">
        <v>926.03136100298934</v>
      </c>
      <c r="AG639" s="18">
        <v>973.9214632384253</v>
      </c>
      <c r="AH639" s="18">
        <v>1251.1120386650011</v>
      </c>
      <c r="AI639" s="18">
        <v>1312.8426090482785</v>
      </c>
      <c r="AJ639" s="18">
        <v>1397.4930730199781</v>
      </c>
      <c r="AK639" s="18">
        <v>1467.5656660132413</v>
      </c>
      <c r="AL639" s="18">
        <v>1756.0390166323373</v>
      </c>
      <c r="AM639" s="18">
        <v>2077.36322227038</v>
      </c>
      <c r="AN639" s="18">
        <v>1972.9276101934315</v>
      </c>
      <c r="AO639" s="18">
        <v>1837.3213765399164</v>
      </c>
      <c r="AP639" s="18">
        <v>1935.4210589894526</v>
      </c>
      <c r="AQ639" s="18">
        <v>1836.3081176630876</v>
      </c>
      <c r="AR639" s="18">
        <v>1822.4738335319598</v>
      </c>
      <c r="AS639" s="18">
        <v>1848.4058407036678</v>
      </c>
      <c r="AT639" s="18">
        <v>2313.6445121181669</v>
      </c>
      <c r="AU639" s="18">
        <v>2815.1907193714369</v>
      </c>
      <c r="AV639" s="18">
        <v>3135.7716454046144</v>
      </c>
      <c r="AW639" s="18">
        <v>2821.6649281294813</v>
      </c>
      <c r="AX639" s="18">
        <v>3208.6091022649634</v>
      </c>
      <c r="AY639" s="18">
        <v>3662.2701936209223</v>
      </c>
      <c r="AZ639" s="18">
        <v>3836.9685232193551</v>
      </c>
      <c r="BA639" s="18">
        <v>4172.4371635897442</v>
      </c>
      <c r="BB639" s="18">
        <v>4270.4388826472004</v>
      </c>
      <c r="BC639" s="18">
        <v>4312.2481493952591</v>
      </c>
      <c r="BD639" s="18">
        <v>4512.0126881136348</v>
      </c>
      <c r="BE639" s="25">
        <v>4780.0208014176405</v>
      </c>
      <c r="BF639" s="18">
        <v>4317.5083299322014</v>
      </c>
      <c r="BG639" s="18">
        <v>4131.9369996847472</v>
      </c>
      <c r="BH639" s="18">
        <v>3963.9118511958113</v>
      </c>
      <c r="BI639" s="113">
        <v>4203.0748517251986</v>
      </c>
      <c r="BJ639" s="18">
        <v>3920.6630730062607</v>
      </c>
      <c r="BK639" s="113">
        <v>3770.6175331275476</v>
      </c>
      <c r="BL639" s="113">
        <v>4073.6629948855398</v>
      </c>
      <c r="BM639" s="113">
        <v>3800.6757749419148</v>
      </c>
      <c r="BN639" s="113">
        <v>3539.9726211642237</v>
      </c>
      <c r="BO639" s="113">
        <v>3969</v>
      </c>
      <c r="BP639" s="113">
        <v>3587</v>
      </c>
      <c r="BQ639" s="113">
        <v>3345</v>
      </c>
      <c r="BR639" s="101"/>
      <c r="BS639">
        <f t="shared" si="1245"/>
        <v>0</v>
      </c>
      <c r="BT639">
        <f t="shared" si="1245"/>
        <v>0</v>
      </c>
      <c r="BU639">
        <f t="shared" si="1245"/>
        <v>0</v>
      </c>
      <c r="BV639">
        <f t="shared" si="1245"/>
        <v>0</v>
      </c>
      <c r="BW639">
        <f t="shared" si="1245"/>
        <v>0</v>
      </c>
      <c r="BX639">
        <f t="shared" si="1245"/>
        <v>0</v>
      </c>
      <c r="BY639">
        <f t="shared" si="1245"/>
        <v>0</v>
      </c>
      <c r="BZ639">
        <f t="shared" si="1245"/>
        <v>0</v>
      </c>
      <c r="CA639">
        <f t="shared" si="1245"/>
        <v>0</v>
      </c>
      <c r="CB639">
        <f t="shared" si="1245"/>
        <v>0</v>
      </c>
      <c r="CC639">
        <f t="shared" si="1245"/>
        <v>0</v>
      </c>
      <c r="CD639">
        <f t="shared" si="1245"/>
        <v>0</v>
      </c>
      <c r="CE639">
        <f t="shared" si="1245"/>
        <v>0</v>
      </c>
      <c r="CF639">
        <f t="shared" si="1245"/>
        <v>0</v>
      </c>
      <c r="CG639">
        <f t="shared" si="1245"/>
        <v>0</v>
      </c>
      <c r="CH639">
        <f>IF($C639&lt;&gt;"",IF(S639&gt;0,1,0),0)</f>
        <v>0</v>
      </c>
      <c r="CI639">
        <f t="shared" si="1246"/>
        <v>0</v>
      </c>
      <c r="CJ639">
        <f t="shared" si="1246"/>
        <v>0</v>
      </c>
      <c r="CK639">
        <f t="shared" si="1246"/>
        <v>0</v>
      </c>
      <c r="CL639">
        <f t="shared" si="1246"/>
        <v>0</v>
      </c>
      <c r="CM639">
        <f t="shared" si="1246"/>
        <v>0</v>
      </c>
      <c r="CN639">
        <f t="shared" si="1246"/>
        <v>0</v>
      </c>
      <c r="CO639">
        <f t="shared" si="1246"/>
        <v>0</v>
      </c>
      <c r="CP639">
        <f t="shared" si="1246"/>
        <v>0</v>
      </c>
      <c r="CQ639">
        <f t="shared" si="1246"/>
        <v>0</v>
      </c>
      <c r="CR639">
        <f t="shared" si="1246"/>
        <v>0</v>
      </c>
      <c r="CS639">
        <f t="shared" si="1247"/>
        <v>0</v>
      </c>
      <c r="CT639">
        <f t="shared" si="1247"/>
        <v>0</v>
      </c>
      <c r="CU639">
        <f t="shared" si="1247"/>
        <v>0</v>
      </c>
      <c r="CV639">
        <f t="shared" si="1247"/>
        <v>0</v>
      </c>
      <c r="CW639">
        <f t="shared" si="1247"/>
        <v>0</v>
      </c>
      <c r="CX639">
        <f t="shared" si="1247"/>
        <v>0</v>
      </c>
      <c r="CY639">
        <f t="shared" si="1247"/>
        <v>0</v>
      </c>
      <c r="CZ639">
        <f t="shared" si="1247"/>
        <v>0</v>
      </c>
      <c r="DA639">
        <f t="shared" si="1247"/>
        <v>0</v>
      </c>
      <c r="DB639">
        <f t="shared" si="1247"/>
        <v>0</v>
      </c>
      <c r="DC639">
        <f t="shared" si="1248"/>
        <v>0</v>
      </c>
      <c r="DD639">
        <f t="shared" si="1248"/>
        <v>0</v>
      </c>
      <c r="DE639">
        <f t="shared" si="1248"/>
        <v>0</v>
      </c>
      <c r="DF639">
        <f t="shared" si="1248"/>
        <v>0</v>
      </c>
      <c r="DG639">
        <f t="shared" si="1248"/>
        <v>0</v>
      </c>
      <c r="DH639">
        <f t="shared" si="1248"/>
        <v>0</v>
      </c>
      <c r="DI639">
        <f t="shared" si="1248"/>
        <v>0</v>
      </c>
      <c r="DJ639">
        <f t="shared" si="1248"/>
        <v>0</v>
      </c>
      <c r="DK639">
        <f t="shared" si="1248"/>
        <v>0</v>
      </c>
      <c r="DL639">
        <f t="shared" si="1248"/>
        <v>0</v>
      </c>
      <c r="DM639">
        <f t="shared" si="1249"/>
        <v>0</v>
      </c>
      <c r="DN639">
        <f t="shared" si="1249"/>
        <v>0</v>
      </c>
      <c r="DO639">
        <f t="shared" si="1249"/>
        <v>0</v>
      </c>
      <c r="DP639">
        <f t="shared" si="1249"/>
        <v>0</v>
      </c>
      <c r="DQ639">
        <f t="shared" si="1249"/>
        <v>0</v>
      </c>
      <c r="DR639">
        <f t="shared" si="1249"/>
        <v>0</v>
      </c>
      <c r="DS639">
        <f t="shared" si="1249"/>
        <v>0</v>
      </c>
      <c r="DT639">
        <f t="shared" si="1249"/>
        <v>0</v>
      </c>
      <c r="DU639">
        <f t="shared" si="1249"/>
        <v>0</v>
      </c>
      <c r="DV639">
        <f t="shared" si="1249"/>
        <v>0</v>
      </c>
      <c r="DW639">
        <f t="shared" si="1250"/>
        <v>0</v>
      </c>
      <c r="DX639">
        <f t="shared" si="1250"/>
        <v>0</v>
      </c>
      <c r="DY639">
        <f t="shared" si="1250"/>
        <v>0</v>
      </c>
      <c r="DZ639">
        <f t="shared" si="1250"/>
        <v>0</v>
      </c>
      <c r="EA639">
        <f t="shared" si="1250"/>
        <v>0</v>
      </c>
      <c r="EB639">
        <f t="shared" si="1250"/>
        <v>0</v>
      </c>
      <c r="EC639">
        <f t="shared" si="1250"/>
        <v>0</v>
      </c>
      <c r="ED639">
        <f t="shared" si="1250"/>
        <v>0</v>
      </c>
      <c r="EE639">
        <f t="shared" si="1250"/>
        <v>0</v>
      </c>
      <c r="EF639">
        <f t="shared" si="1250"/>
        <v>0</v>
      </c>
    </row>
    <row r="640" spans="1:136" ht="15.5">
      <c r="A640" s="90"/>
      <c r="B640" s="19" t="s">
        <v>208</v>
      </c>
      <c r="C640" s="95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>
        <v>74</v>
      </c>
      <c r="S640" s="18">
        <v>79</v>
      </c>
      <c r="T640" s="18">
        <v>84</v>
      </c>
      <c r="U640" s="18">
        <v>89</v>
      </c>
      <c r="V640" s="18">
        <v>94</v>
      </c>
      <c r="W640" s="18">
        <v>99</v>
      </c>
      <c r="X640" s="18">
        <v>104</v>
      </c>
      <c r="Y640" s="18">
        <v>109</v>
      </c>
      <c r="Z640" s="18">
        <v>114</v>
      </c>
      <c r="AA640" s="18">
        <v>119</v>
      </c>
      <c r="AB640" s="18">
        <v>124</v>
      </c>
      <c r="AC640" s="18">
        <v>129</v>
      </c>
      <c r="AD640" s="18">
        <v>134</v>
      </c>
      <c r="AE640" s="18">
        <v>139</v>
      </c>
      <c r="AF640" s="18">
        <v>144</v>
      </c>
      <c r="AG640" s="18">
        <v>149</v>
      </c>
      <c r="AH640" s="18">
        <v>154</v>
      </c>
      <c r="AI640" s="18">
        <v>159</v>
      </c>
      <c r="AJ640" s="18">
        <v>164</v>
      </c>
      <c r="AK640" s="18">
        <v>169</v>
      </c>
      <c r="AL640" s="18">
        <v>174</v>
      </c>
      <c r="AM640" s="18">
        <v>179</v>
      </c>
      <c r="AN640" s="18">
        <v>184</v>
      </c>
      <c r="AO640" s="18">
        <v>189</v>
      </c>
      <c r="AP640" s="18">
        <v>194</v>
      </c>
      <c r="AQ640" s="18">
        <v>199</v>
      </c>
      <c r="AR640" s="18">
        <v>204</v>
      </c>
      <c r="AS640" s="18">
        <v>209</v>
      </c>
      <c r="AT640" s="18">
        <v>214</v>
      </c>
      <c r="AU640" s="18">
        <v>219</v>
      </c>
      <c r="AV640" s="18">
        <v>224</v>
      </c>
      <c r="AW640" s="18">
        <v>229</v>
      </c>
      <c r="AX640" s="18">
        <v>234</v>
      </c>
      <c r="AY640" s="18">
        <v>239</v>
      </c>
      <c r="AZ640" s="18">
        <v>244</v>
      </c>
      <c r="BA640" s="18">
        <v>249</v>
      </c>
      <c r="BB640" s="18">
        <v>254</v>
      </c>
      <c r="BC640" s="18">
        <v>259</v>
      </c>
      <c r="BD640" s="18">
        <v>264</v>
      </c>
      <c r="BE640" s="25">
        <v>269</v>
      </c>
      <c r="BF640" s="18">
        <v>274</v>
      </c>
      <c r="BG640" s="18">
        <v>279</v>
      </c>
      <c r="BH640" s="18">
        <v>284</v>
      </c>
      <c r="BI640" s="113">
        <v>289</v>
      </c>
      <c r="BJ640" s="18">
        <v>295</v>
      </c>
      <c r="BK640" s="113">
        <v>302</v>
      </c>
      <c r="BL640" s="113">
        <v>309</v>
      </c>
      <c r="BM640" s="113">
        <v>316</v>
      </c>
      <c r="BN640" s="113">
        <v>323</v>
      </c>
      <c r="BO640" s="113">
        <v>330</v>
      </c>
      <c r="BP640" s="113">
        <v>337</v>
      </c>
      <c r="BQ640" s="113">
        <v>344</v>
      </c>
      <c r="BR640" s="101"/>
    </row>
    <row r="641" spans="1:136" ht="15.5">
      <c r="A641" s="90"/>
      <c r="B641" s="53" t="s">
        <v>21</v>
      </c>
      <c r="C641" s="95"/>
      <c r="D641" s="18">
        <v>0</v>
      </c>
      <c r="E641" s="18">
        <v>0</v>
      </c>
      <c r="F641" s="18">
        <v>0</v>
      </c>
      <c r="G641" s="18">
        <v>0</v>
      </c>
      <c r="H641" s="18">
        <v>0</v>
      </c>
      <c r="I641" s="18">
        <v>0</v>
      </c>
      <c r="J641" s="18">
        <v>0</v>
      </c>
      <c r="K641" s="18">
        <v>0</v>
      </c>
      <c r="L641" s="18">
        <v>0</v>
      </c>
      <c r="M641" s="18">
        <v>0</v>
      </c>
      <c r="N641" s="18">
        <v>0</v>
      </c>
      <c r="O641" s="18">
        <v>0</v>
      </c>
      <c r="P641" s="18">
        <v>0</v>
      </c>
      <c r="Q641" s="18">
        <v>0</v>
      </c>
      <c r="R641" s="18">
        <v>0</v>
      </c>
      <c r="S641" s="18">
        <v>0</v>
      </c>
      <c r="T641" s="18">
        <v>0</v>
      </c>
      <c r="U641" s="18">
        <v>0</v>
      </c>
      <c r="V641" s="18">
        <v>0</v>
      </c>
      <c r="W641" s="18">
        <v>0</v>
      </c>
      <c r="X641" s="18">
        <v>0</v>
      </c>
      <c r="Y641" s="18">
        <v>0</v>
      </c>
      <c r="Z641" s="18">
        <v>0</v>
      </c>
      <c r="AA641" s="18">
        <v>0</v>
      </c>
      <c r="AB641" s="18">
        <v>0</v>
      </c>
      <c r="AC641" s="18">
        <v>0</v>
      </c>
      <c r="AD641" s="18">
        <v>0</v>
      </c>
      <c r="AE641" s="18">
        <v>0</v>
      </c>
      <c r="AF641" s="18">
        <v>0</v>
      </c>
      <c r="AG641" s="18">
        <v>0</v>
      </c>
      <c r="AH641" s="18">
        <v>0</v>
      </c>
      <c r="AI641" s="18">
        <v>0</v>
      </c>
      <c r="AJ641" s="18">
        <v>247</v>
      </c>
      <c r="AK641" s="18">
        <v>0</v>
      </c>
      <c r="AL641" s="18">
        <v>0</v>
      </c>
      <c r="AM641" s="18">
        <v>0</v>
      </c>
      <c r="AN641" s="18">
        <v>0</v>
      </c>
      <c r="AO641" s="18">
        <v>0</v>
      </c>
      <c r="AP641" s="18">
        <v>0</v>
      </c>
      <c r="AQ641" s="18">
        <v>0</v>
      </c>
      <c r="AR641" s="18">
        <v>0</v>
      </c>
      <c r="AS641" s="18">
        <v>0</v>
      </c>
      <c r="AT641" s="18">
        <v>0</v>
      </c>
      <c r="AU641" s="18">
        <v>0</v>
      </c>
      <c r="AV641" s="18">
        <v>0</v>
      </c>
      <c r="AW641" s="18">
        <v>0</v>
      </c>
      <c r="AX641" s="18">
        <v>0</v>
      </c>
      <c r="AY641" s="18">
        <v>0</v>
      </c>
      <c r="AZ641" s="18">
        <v>0</v>
      </c>
      <c r="BA641" s="18">
        <v>241</v>
      </c>
      <c r="BB641" s="18">
        <v>0</v>
      </c>
      <c r="BC641" s="18">
        <v>0</v>
      </c>
      <c r="BD641" s="18">
        <v>0</v>
      </c>
      <c r="BE641" s="25">
        <v>0</v>
      </c>
      <c r="BF641" s="18">
        <v>0</v>
      </c>
      <c r="BG641" s="18">
        <v>0</v>
      </c>
      <c r="BH641" s="18">
        <v>0</v>
      </c>
      <c r="BI641" s="18">
        <v>0</v>
      </c>
      <c r="BJ641" s="18">
        <v>0</v>
      </c>
      <c r="BK641" s="18">
        <v>0</v>
      </c>
      <c r="BL641" s="18">
        <v>0</v>
      </c>
      <c r="BM641" s="18">
        <v>0</v>
      </c>
      <c r="BN641" s="18">
        <v>0</v>
      </c>
      <c r="BO641" s="18">
        <v>0</v>
      </c>
      <c r="BP641" s="18">
        <v>0</v>
      </c>
      <c r="BQ641" s="113">
        <v>0</v>
      </c>
      <c r="BR641" s="101"/>
      <c r="BS641">
        <f t="shared" ref="BS641:CX641" si="1251">IF($C641&lt;&gt;"",IF(D641&gt;0,1,0),0)</f>
        <v>0</v>
      </c>
      <c r="BT641">
        <f t="shared" si="1251"/>
        <v>0</v>
      </c>
      <c r="BU641">
        <f t="shared" si="1251"/>
        <v>0</v>
      </c>
      <c r="BV641">
        <f t="shared" si="1251"/>
        <v>0</v>
      </c>
      <c r="BW641">
        <f t="shared" si="1251"/>
        <v>0</v>
      </c>
      <c r="BX641">
        <f t="shared" si="1251"/>
        <v>0</v>
      </c>
      <c r="BY641">
        <f t="shared" si="1251"/>
        <v>0</v>
      </c>
      <c r="BZ641">
        <f t="shared" si="1251"/>
        <v>0</v>
      </c>
      <c r="CA641">
        <f t="shared" si="1251"/>
        <v>0</v>
      </c>
      <c r="CB641">
        <f t="shared" si="1251"/>
        <v>0</v>
      </c>
      <c r="CC641">
        <f t="shared" si="1251"/>
        <v>0</v>
      </c>
      <c r="CD641">
        <f t="shared" si="1251"/>
        <v>0</v>
      </c>
      <c r="CE641">
        <f t="shared" si="1251"/>
        <v>0</v>
      </c>
      <c r="CF641">
        <f t="shared" si="1251"/>
        <v>0</v>
      </c>
      <c r="CG641">
        <f t="shared" si="1251"/>
        <v>0</v>
      </c>
      <c r="CH641">
        <f t="shared" si="1251"/>
        <v>0</v>
      </c>
      <c r="CI641">
        <f t="shared" si="1251"/>
        <v>0</v>
      </c>
      <c r="CJ641">
        <f t="shared" si="1251"/>
        <v>0</v>
      </c>
      <c r="CK641">
        <f t="shared" si="1251"/>
        <v>0</v>
      </c>
      <c r="CL641">
        <f t="shared" si="1251"/>
        <v>0</v>
      </c>
      <c r="CM641">
        <f t="shared" si="1251"/>
        <v>0</v>
      </c>
      <c r="CN641">
        <f t="shared" si="1251"/>
        <v>0</v>
      </c>
      <c r="CO641">
        <f t="shared" si="1251"/>
        <v>0</v>
      </c>
      <c r="CP641">
        <f t="shared" si="1251"/>
        <v>0</v>
      </c>
      <c r="CQ641">
        <f t="shared" si="1251"/>
        <v>0</v>
      </c>
      <c r="CR641">
        <f t="shared" si="1251"/>
        <v>0</v>
      </c>
      <c r="CS641">
        <f t="shared" si="1251"/>
        <v>0</v>
      </c>
      <c r="CT641">
        <f t="shared" si="1251"/>
        <v>0</v>
      </c>
      <c r="CU641">
        <f t="shared" si="1251"/>
        <v>0</v>
      </c>
      <c r="CV641">
        <f t="shared" si="1251"/>
        <v>0</v>
      </c>
      <c r="CW641">
        <f t="shared" si="1251"/>
        <v>0</v>
      </c>
      <c r="CX641">
        <f t="shared" si="1251"/>
        <v>0</v>
      </c>
      <c r="CY641">
        <f t="shared" ref="CY641:ED641" si="1252">IF($C641&lt;&gt;"",IF(AJ641&gt;0,1,0),0)</f>
        <v>0</v>
      </c>
      <c r="CZ641">
        <f t="shared" si="1252"/>
        <v>0</v>
      </c>
      <c r="DA641">
        <f t="shared" si="1252"/>
        <v>0</v>
      </c>
      <c r="DB641">
        <f t="shared" si="1252"/>
        <v>0</v>
      </c>
      <c r="DC641">
        <f t="shared" si="1252"/>
        <v>0</v>
      </c>
      <c r="DD641">
        <f t="shared" si="1252"/>
        <v>0</v>
      </c>
      <c r="DE641">
        <f t="shared" si="1252"/>
        <v>0</v>
      </c>
      <c r="DF641">
        <f t="shared" si="1252"/>
        <v>0</v>
      </c>
      <c r="DG641">
        <f t="shared" si="1252"/>
        <v>0</v>
      </c>
      <c r="DH641">
        <f t="shared" si="1252"/>
        <v>0</v>
      </c>
      <c r="DI641">
        <f t="shared" si="1252"/>
        <v>0</v>
      </c>
      <c r="DJ641">
        <f t="shared" si="1252"/>
        <v>0</v>
      </c>
      <c r="DK641">
        <f t="shared" si="1252"/>
        <v>0</v>
      </c>
      <c r="DL641">
        <f t="shared" si="1252"/>
        <v>0</v>
      </c>
      <c r="DM641">
        <f t="shared" si="1252"/>
        <v>0</v>
      </c>
      <c r="DN641">
        <f t="shared" si="1252"/>
        <v>0</v>
      </c>
      <c r="DO641">
        <f t="shared" si="1252"/>
        <v>0</v>
      </c>
      <c r="DP641">
        <f t="shared" si="1252"/>
        <v>0</v>
      </c>
      <c r="DQ641">
        <f t="shared" si="1252"/>
        <v>0</v>
      </c>
      <c r="DR641">
        <f t="shared" si="1252"/>
        <v>0</v>
      </c>
      <c r="DS641">
        <f t="shared" si="1252"/>
        <v>0</v>
      </c>
      <c r="DT641">
        <f t="shared" si="1252"/>
        <v>0</v>
      </c>
      <c r="DU641">
        <f t="shared" si="1252"/>
        <v>0</v>
      </c>
      <c r="DV641">
        <f t="shared" si="1252"/>
        <v>0</v>
      </c>
      <c r="DW641">
        <f t="shared" si="1252"/>
        <v>0</v>
      </c>
      <c r="DX641">
        <f t="shared" si="1252"/>
        <v>0</v>
      </c>
      <c r="DY641">
        <f t="shared" si="1252"/>
        <v>0</v>
      </c>
      <c r="DZ641">
        <f t="shared" si="1252"/>
        <v>0</v>
      </c>
      <c r="EA641">
        <f t="shared" si="1252"/>
        <v>0</v>
      </c>
      <c r="EB641">
        <f t="shared" si="1252"/>
        <v>0</v>
      </c>
      <c r="EC641">
        <f t="shared" si="1252"/>
        <v>0</v>
      </c>
      <c r="ED641">
        <f t="shared" si="1252"/>
        <v>0</v>
      </c>
      <c r="EE641">
        <f t="shared" ref="EE641:EF641" si="1253">IF($C641&lt;&gt;"",IF(BP641&gt;0,1,0),0)</f>
        <v>0</v>
      </c>
      <c r="EF641">
        <f t="shared" si="1253"/>
        <v>0</v>
      </c>
    </row>
    <row r="642" spans="1:136" ht="15.5">
      <c r="A642" s="90"/>
      <c r="B642" s="32"/>
      <c r="C642" s="95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76"/>
      <c r="AI642" s="76"/>
      <c r="AJ642" s="22"/>
      <c r="AK642" s="22"/>
      <c r="AL642" s="22"/>
      <c r="AM642" s="22"/>
      <c r="AN642" s="22"/>
      <c r="AO642" s="22"/>
      <c r="AP642" s="22"/>
      <c r="AQ642" s="22"/>
      <c r="AR642" s="22"/>
      <c r="AS642" s="22"/>
      <c r="AT642" s="22"/>
      <c r="AU642" s="22"/>
      <c r="AV642" s="22"/>
      <c r="AW642" s="22"/>
      <c r="AX642" s="22"/>
      <c r="AY642" s="22"/>
      <c r="AZ642" s="22"/>
      <c r="BA642" s="22"/>
      <c r="BB642" s="22"/>
      <c r="BC642" s="18"/>
      <c r="BD642" s="18"/>
      <c r="BE642" s="23"/>
      <c r="BF642" s="22"/>
      <c r="BG642" s="2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101"/>
    </row>
    <row r="643" spans="1:136" ht="15.5">
      <c r="A643" s="93">
        <v>77</v>
      </c>
      <c r="B643" s="32" t="s">
        <v>230</v>
      </c>
      <c r="C643" s="95">
        <v>3</v>
      </c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76"/>
      <c r="AI643" s="76"/>
      <c r="AJ643" s="22"/>
      <c r="AK643" s="22"/>
      <c r="AL643" s="22"/>
      <c r="AM643" s="22"/>
      <c r="AN643" s="22"/>
      <c r="AO643" s="22"/>
      <c r="AP643" s="22"/>
      <c r="AQ643" s="22"/>
      <c r="AR643" s="22"/>
      <c r="AS643" s="22"/>
      <c r="AT643" s="22"/>
      <c r="AU643" s="22"/>
      <c r="AV643" s="22"/>
      <c r="AW643" s="22"/>
      <c r="AX643" s="22"/>
      <c r="AY643" s="22"/>
      <c r="AZ643" s="22">
        <f t="shared" ref="AZ643:BQ643" si="1254">AZ644</f>
        <v>0</v>
      </c>
      <c r="BA643" s="22">
        <f t="shared" si="1254"/>
        <v>0</v>
      </c>
      <c r="BB643" s="22">
        <f t="shared" si="1254"/>
        <v>0</v>
      </c>
      <c r="BC643" s="22">
        <f t="shared" si="1254"/>
        <v>0</v>
      </c>
      <c r="BD643" s="22">
        <f t="shared" si="1254"/>
        <v>0</v>
      </c>
      <c r="BE643" s="22">
        <f t="shared" si="1254"/>
        <v>0</v>
      </c>
      <c r="BF643" s="22">
        <f t="shared" si="1254"/>
        <v>0</v>
      </c>
      <c r="BG643" s="22">
        <f t="shared" si="1254"/>
        <v>0</v>
      </c>
      <c r="BH643" s="22">
        <f t="shared" si="1254"/>
        <v>0</v>
      </c>
      <c r="BI643" s="22">
        <f t="shared" si="1254"/>
        <v>0</v>
      </c>
      <c r="BJ643" s="22">
        <f t="shared" si="1254"/>
        <v>0</v>
      </c>
      <c r="BK643" s="22">
        <f t="shared" si="1254"/>
        <v>0</v>
      </c>
      <c r="BL643" s="22">
        <f t="shared" si="1254"/>
        <v>0</v>
      </c>
      <c r="BM643" s="22">
        <f t="shared" si="1254"/>
        <v>1.1325999999999999E-3</v>
      </c>
      <c r="BN643" s="22">
        <f t="shared" si="1254"/>
        <v>0</v>
      </c>
      <c r="BO643" s="22">
        <f t="shared" si="1254"/>
        <v>1</v>
      </c>
      <c r="BP643" s="22">
        <f t="shared" si="1254"/>
        <v>0</v>
      </c>
      <c r="BQ643" s="22">
        <f t="shared" si="1254"/>
        <v>0</v>
      </c>
      <c r="BR643" s="101"/>
      <c r="BS643">
        <f t="shared" ref="BS643:CB645" si="1255">IF($C643&lt;&gt;"",IF(D643&gt;0,1,0),0)</f>
        <v>0</v>
      </c>
      <c r="BT643">
        <f t="shared" si="1255"/>
        <v>0</v>
      </c>
      <c r="BU643">
        <f t="shared" si="1255"/>
        <v>0</v>
      </c>
      <c r="BV643">
        <f t="shared" si="1255"/>
        <v>0</v>
      </c>
      <c r="BW643">
        <f t="shared" si="1255"/>
        <v>0</v>
      </c>
      <c r="BX643">
        <f t="shared" si="1255"/>
        <v>0</v>
      </c>
      <c r="BY643">
        <f t="shared" si="1255"/>
        <v>0</v>
      </c>
      <c r="BZ643">
        <f t="shared" si="1255"/>
        <v>0</v>
      </c>
      <c r="CA643">
        <f t="shared" si="1255"/>
        <v>0</v>
      </c>
      <c r="CB643">
        <f t="shared" si="1255"/>
        <v>0</v>
      </c>
      <c r="CC643">
        <f t="shared" ref="CC643:CL645" si="1256">IF($C643&lt;&gt;"",IF(N643&gt;0,1,0),0)</f>
        <v>0</v>
      </c>
      <c r="CD643">
        <f t="shared" si="1256"/>
        <v>0</v>
      </c>
      <c r="CE643">
        <f t="shared" si="1256"/>
        <v>0</v>
      </c>
      <c r="CF643">
        <f t="shared" si="1256"/>
        <v>0</v>
      </c>
      <c r="CG643">
        <f t="shared" si="1256"/>
        <v>0</v>
      </c>
      <c r="CH643">
        <f t="shared" si="1256"/>
        <v>0</v>
      </c>
      <c r="CI643">
        <f t="shared" si="1256"/>
        <v>0</v>
      </c>
      <c r="CJ643">
        <f t="shared" si="1256"/>
        <v>0</v>
      </c>
      <c r="CK643">
        <f t="shared" si="1256"/>
        <v>0</v>
      </c>
      <c r="CL643">
        <f t="shared" si="1256"/>
        <v>0</v>
      </c>
      <c r="CM643">
        <f t="shared" ref="CM643:CV645" si="1257">IF($C643&lt;&gt;"",IF(X643&gt;0,1,0),0)</f>
        <v>0</v>
      </c>
      <c r="CN643">
        <f t="shared" si="1257"/>
        <v>0</v>
      </c>
      <c r="CO643">
        <f t="shared" si="1257"/>
        <v>0</v>
      </c>
      <c r="CP643">
        <f t="shared" si="1257"/>
        <v>0</v>
      </c>
      <c r="CQ643">
        <f t="shared" si="1257"/>
        <v>0</v>
      </c>
      <c r="CR643">
        <f t="shared" si="1257"/>
        <v>0</v>
      </c>
      <c r="CS643">
        <f t="shared" si="1257"/>
        <v>0</v>
      </c>
      <c r="CT643">
        <f t="shared" si="1257"/>
        <v>0</v>
      </c>
      <c r="CU643">
        <f t="shared" si="1257"/>
        <v>0</v>
      </c>
      <c r="CV643">
        <f t="shared" si="1257"/>
        <v>0</v>
      </c>
      <c r="CW643">
        <f t="shared" ref="CW643:DF645" si="1258">IF($C643&lt;&gt;"",IF(AH643&gt;0,1,0),0)</f>
        <v>0</v>
      </c>
      <c r="CX643">
        <f t="shared" si="1258"/>
        <v>0</v>
      </c>
      <c r="CY643">
        <f t="shared" si="1258"/>
        <v>0</v>
      </c>
      <c r="CZ643">
        <f t="shared" si="1258"/>
        <v>0</v>
      </c>
      <c r="DA643">
        <f t="shared" si="1258"/>
        <v>0</v>
      </c>
      <c r="DB643">
        <f t="shared" si="1258"/>
        <v>0</v>
      </c>
      <c r="DC643">
        <f t="shared" si="1258"/>
        <v>0</v>
      </c>
      <c r="DD643">
        <f t="shared" si="1258"/>
        <v>0</v>
      </c>
      <c r="DE643">
        <f t="shared" si="1258"/>
        <v>0</v>
      </c>
      <c r="DF643">
        <f t="shared" si="1258"/>
        <v>0</v>
      </c>
      <c r="DG643">
        <f t="shared" ref="DG643:DP645" si="1259">IF($C643&lt;&gt;"",IF(AR643&gt;0,1,0),0)</f>
        <v>0</v>
      </c>
      <c r="DH643">
        <f t="shared" si="1259"/>
        <v>0</v>
      </c>
      <c r="DI643">
        <f t="shared" si="1259"/>
        <v>0</v>
      </c>
      <c r="DJ643">
        <f t="shared" si="1259"/>
        <v>0</v>
      </c>
      <c r="DK643">
        <f t="shared" si="1259"/>
        <v>0</v>
      </c>
      <c r="DL643">
        <f t="shared" si="1259"/>
        <v>0</v>
      </c>
      <c r="DM643">
        <f t="shared" si="1259"/>
        <v>0</v>
      </c>
      <c r="DN643">
        <f t="shared" si="1259"/>
        <v>0</v>
      </c>
      <c r="DO643">
        <f t="shared" si="1259"/>
        <v>0</v>
      </c>
      <c r="DP643">
        <f t="shared" si="1259"/>
        <v>0</v>
      </c>
      <c r="DQ643">
        <f t="shared" ref="DQ643:DZ645" si="1260">IF($C643&lt;&gt;"",IF(BB643&gt;0,1,0),0)</f>
        <v>0</v>
      </c>
      <c r="DR643">
        <f t="shared" si="1260"/>
        <v>0</v>
      </c>
      <c r="DS643">
        <f t="shared" si="1260"/>
        <v>0</v>
      </c>
      <c r="DT643">
        <f t="shared" si="1260"/>
        <v>0</v>
      </c>
      <c r="DU643">
        <f t="shared" si="1260"/>
        <v>0</v>
      </c>
      <c r="DV643">
        <f t="shared" si="1260"/>
        <v>0</v>
      </c>
      <c r="DW643">
        <f t="shared" si="1260"/>
        <v>0</v>
      </c>
      <c r="DX643">
        <f t="shared" si="1260"/>
        <v>0</v>
      </c>
      <c r="DY643">
        <f t="shared" si="1260"/>
        <v>0</v>
      </c>
      <c r="DZ643">
        <f t="shared" si="1260"/>
        <v>0</v>
      </c>
      <c r="EA643">
        <f t="shared" ref="EA643:EF645" si="1261">IF($C643&lt;&gt;"",IF(BL643&gt;0,1,0),0)</f>
        <v>0</v>
      </c>
      <c r="EB643">
        <f t="shared" si="1261"/>
        <v>1</v>
      </c>
      <c r="EC643">
        <f t="shared" si="1261"/>
        <v>0</v>
      </c>
      <c r="ED643">
        <f t="shared" si="1261"/>
        <v>1</v>
      </c>
      <c r="EE643">
        <f t="shared" si="1261"/>
        <v>0</v>
      </c>
      <c r="EF643">
        <f t="shared" si="1261"/>
        <v>0</v>
      </c>
    </row>
    <row r="644" spans="1:136" ht="15.5">
      <c r="A644" s="90"/>
      <c r="B644" s="53" t="s">
        <v>3</v>
      </c>
      <c r="C644" s="95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76"/>
      <c r="AI644" s="76"/>
      <c r="AJ644" s="22"/>
      <c r="AK644" s="22"/>
      <c r="AL644" s="22"/>
      <c r="AM644" s="22"/>
      <c r="AN644" s="22"/>
      <c r="AO644" s="22"/>
      <c r="AP644" s="22"/>
      <c r="AQ644" s="22"/>
      <c r="AR644" s="22"/>
      <c r="AS644" s="22"/>
      <c r="AT644" s="22"/>
      <c r="AU644" s="22"/>
      <c r="AV644" s="22"/>
      <c r="AW644" s="22"/>
      <c r="AX644" s="22"/>
      <c r="AY644" s="22"/>
      <c r="AZ644" s="113">
        <v>0</v>
      </c>
      <c r="BA644" s="113">
        <v>0</v>
      </c>
      <c r="BB644" s="113">
        <v>0</v>
      </c>
      <c r="BC644" s="113">
        <v>0</v>
      </c>
      <c r="BD644" s="113">
        <v>0</v>
      </c>
      <c r="BE644" s="113">
        <v>0</v>
      </c>
      <c r="BF644" s="113">
        <v>0</v>
      </c>
      <c r="BG644" s="113">
        <v>0</v>
      </c>
      <c r="BH644" s="113">
        <v>0</v>
      </c>
      <c r="BI644" s="113">
        <v>0</v>
      </c>
      <c r="BJ644" s="113">
        <v>0</v>
      </c>
      <c r="BK644" s="113">
        <v>0</v>
      </c>
      <c r="BL644" s="113">
        <v>0</v>
      </c>
      <c r="BM644" s="103">
        <v>1.1325999999999999E-3</v>
      </c>
      <c r="BN644" s="113">
        <v>0</v>
      </c>
      <c r="BO644" s="113">
        <v>1</v>
      </c>
      <c r="BP644" s="113">
        <v>0</v>
      </c>
      <c r="BQ644" s="113">
        <v>0</v>
      </c>
      <c r="BR644" s="101"/>
      <c r="BS644">
        <f t="shared" si="1255"/>
        <v>0</v>
      </c>
      <c r="BT644">
        <f t="shared" si="1255"/>
        <v>0</v>
      </c>
      <c r="BU644">
        <f t="shared" si="1255"/>
        <v>0</v>
      </c>
      <c r="BV644">
        <f t="shared" si="1255"/>
        <v>0</v>
      </c>
      <c r="BW644">
        <f t="shared" si="1255"/>
        <v>0</v>
      </c>
      <c r="BX644">
        <f t="shared" si="1255"/>
        <v>0</v>
      </c>
      <c r="BY644">
        <f t="shared" si="1255"/>
        <v>0</v>
      </c>
      <c r="BZ644">
        <f t="shared" si="1255"/>
        <v>0</v>
      </c>
      <c r="CA644">
        <f t="shared" si="1255"/>
        <v>0</v>
      </c>
      <c r="CB644">
        <f t="shared" si="1255"/>
        <v>0</v>
      </c>
      <c r="CC644">
        <f t="shared" si="1256"/>
        <v>0</v>
      </c>
      <c r="CD644">
        <f t="shared" si="1256"/>
        <v>0</v>
      </c>
      <c r="CE644">
        <f t="shared" si="1256"/>
        <v>0</v>
      </c>
      <c r="CF644">
        <f t="shared" si="1256"/>
        <v>0</v>
      </c>
      <c r="CG644">
        <f t="shared" si="1256"/>
        <v>0</v>
      </c>
      <c r="CH644">
        <f t="shared" si="1256"/>
        <v>0</v>
      </c>
      <c r="CI644">
        <f t="shared" si="1256"/>
        <v>0</v>
      </c>
      <c r="CJ644">
        <f t="shared" si="1256"/>
        <v>0</v>
      </c>
      <c r="CK644">
        <f t="shared" si="1256"/>
        <v>0</v>
      </c>
      <c r="CL644">
        <f t="shared" si="1256"/>
        <v>0</v>
      </c>
      <c r="CM644">
        <f t="shared" si="1257"/>
        <v>0</v>
      </c>
      <c r="CN644">
        <f t="shared" si="1257"/>
        <v>0</v>
      </c>
      <c r="CO644">
        <f t="shared" si="1257"/>
        <v>0</v>
      </c>
      <c r="CP644">
        <f t="shared" si="1257"/>
        <v>0</v>
      </c>
      <c r="CQ644">
        <f t="shared" si="1257"/>
        <v>0</v>
      </c>
      <c r="CR644">
        <f t="shared" si="1257"/>
        <v>0</v>
      </c>
      <c r="CS644">
        <f t="shared" si="1257"/>
        <v>0</v>
      </c>
      <c r="CT644">
        <f t="shared" si="1257"/>
        <v>0</v>
      </c>
      <c r="CU644">
        <f t="shared" si="1257"/>
        <v>0</v>
      </c>
      <c r="CV644">
        <f t="shared" si="1257"/>
        <v>0</v>
      </c>
      <c r="CW644">
        <f t="shared" si="1258"/>
        <v>0</v>
      </c>
      <c r="CX644">
        <f t="shared" si="1258"/>
        <v>0</v>
      </c>
      <c r="CY644">
        <f t="shared" si="1258"/>
        <v>0</v>
      </c>
      <c r="CZ644">
        <f t="shared" si="1258"/>
        <v>0</v>
      </c>
      <c r="DA644">
        <f t="shared" si="1258"/>
        <v>0</v>
      </c>
      <c r="DB644">
        <f t="shared" si="1258"/>
        <v>0</v>
      </c>
      <c r="DC644">
        <f t="shared" si="1258"/>
        <v>0</v>
      </c>
      <c r="DD644">
        <f t="shared" si="1258"/>
        <v>0</v>
      </c>
      <c r="DE644">
        <f t="shared" si="1258"/>
        <v>0</v>
      </c>
      <c r="DF644">
        <f t="shared" si="1258"/>
        <v>0</v>
      </c>
      <c r="DG644">
        <f t="shared" si="1259"/>
        <v>0</v>
      </c>
      <c r="DH644">
        <f t="shared" si="1259"/>
        <v>0</v>
      </c>
      <c r="DI644">
        <f t="shared" si="1259"/>
        <v>0</v>
      </c>
      <c r="DJ644">
        <f t="shared" si="1259"/>
        <v>0</v>
      </c>
      <c r="DK644">
        <f t="shared" si="1259"/>
        <v>0</v>
      </c>
      <c r="DL644">
        <f t="shared" si="1259"/>
        <v>0</v>
      </c>
      <c r="DM644">
        <f t="shared" si="1259"/>
        <v>0</v>
      </c>
      <c r="DN644">
        <f t="shared" si="1259"/>
        <v>0</v>
      </c>
      <c r="DO644">
        <f t="shared" si="1259"/>
        <v>0</v>
      </c>
      <c r="DP644">
        <f t="shared" si="1259"/>
        <v>0</v>
      </c>
      <c r="DQ644">
        <f t="shared" si="1260"/>
        <v>0</v>
      </c>
      <c r="DR644">
        <f t="shared" si="1260"/>
        <v>0</v>
      </c>
      <c r="DS644">
        <f t="shared" si="1260"/>
        <v>0</v>
      </c>
      <c r="DT644">
        <f t="shared" si="1260"/>
        <v>0</v>
      </c>
      <c r="DU644">
        <f t="shared" si="1260"/>
        <v>0</v>
      </c>
      <c r="DV644">
        <f t="shared" si="1260"/>
        <v>0</v>
      </c>
      <c r="DW644">
        <f t="shared" si="1260"/>
        <v>0</v>
      </c>
      <c r="DX644">
        <f t="shared" si="1260"/>
        <v>0</v>
      </c>
      <c r="DY644">
        <f t="shared" si="1260"/>
        <v>0</v>
      </c>
      <c r="DZ644">
        <f t="shared" si="1260"/>
        <v>0</v>
      </c>
      <c r="EA644">
        <f t="shared" si="1261"/>
        <v>0</v>
      </c>
      <c r="EB644">
        <f t="shared" si="1261"/>
        <v>0</v>
      </c>
      <c r="EC644">
        <f t="shared" si="1261"/>
        <v>0</v>
      </c>
      <c r="ED644">
        <f t="shared" si="1261"/>
        <v>0</v>
      </c>
      <c r="EE644">
        <f t="shared" si="1261"/>
        <v>0</v>
      </c>
      <c r="EF644">
        <f t="shared" si="1261"/>
        <v>0</v>
      </c>
    </row>
    <row r="645" spans="1:136" ht="15.5">
      <c r="A645" s="90"/>
      <c r="B645" s="105" t="s">
        <v>212</v>
      </c>
      <c r="C645" s="95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76"/>
      <c r="AI645" s="76"/>
      <c r="AJ645" s="22"/>
      <c r="AK645" s="22"/>
      <c r="AL645" s="22"/>
      <c r="AM645" s="22"/>
      <c r="AN645" s="22"/>
      <c r="AO645" s="22"/>
      <c r="AP645" s="22"/>
      <c r="AQ645" s="22"/>
      <c r="AR645" s="22"/>
      <c r="AS645" s="22"/>
      <c r="AT645" s="22"/>
      <c r="AU645" s="22"/>
      <c r="AV645" s="22"/>
      <c r="AW645" s="22"/>
      <c r="AX645" s="22"/>
      <c r="AY645" s="22"/>
      <c r="AZ645" s="115" t="s">
        <v>16</v>
      </c>
      <c r="BA645" s="115" t="s">
        <v>16</v>
      </c>
      <c r="BB645" s="18">
        <f>(0.004*4192)*1.32</f>
        <v>22.133760000000002</v>
      </c>
      <c r="BC645" s="18">
        <f>0.9*1.3</f>
        <v>1.1700000000000002</v>
      </c>
      <c r="BD645" s="18">
        <v>5</v>
      </c>
      <c r="BE645" s="25">
        <v>0</v>
      </c>
      <c r="BF645" s="18">
        <v>0</v>
      </c>
      <c r="BG645" s="18">
        <f>5*1.09</f>
        <v>5.45</v>
      </c>
      <c r="BH645" s="113">
        <v>0</v>
      </c>
      <c r="BI645" s="113">
        <v>0</v>
      </c>
      <c r="BJ645" s="113">
        <v>0</v>
      </c>
      <c r="BK645" s="113">
        <v>0</v>
      </c>
      <c r="BL645" s="113">
        <f>196*0.81</f>
        <v>158.76000000000002</v>
      </c>
      <c r="BM645" s="113">
        <f>89*0.88</f>
        <v>78.320000000000007</v>
      </c>
      <c r="BN645" s="113">
        <f>36*0.935</f>
        <v>33.660000000000004</v>
      </c>
      <c r="BO645" s="113">
        <v>0</v>
      </c>
      <c r="BP645" s="113">
        <v>0</v>
      </c>
      <c r="BQ645" s="113">
        <v>0</v>
      </c>
      <c r="BR645" s="101"/>
      <c r="BS645">
        <f t="shared" si="1255"/>
        <v>0</v>
      </c>
      <c r="BT645">
        <f t="shared" si="1255"/>
        <v>0</v>
      </c>
      <c r="BU645">
        <f t="shared" si="1255"/>
        <v>0</v>
      </c>
      <c r="BV645">
        <f t="shared" si="1255"/>
        <v>0</v>
      </c>
      <c r="BW645">
        <f t="shared" si="1255"/>
        <v>0</v>
      </c>
      <c r="BX645">
        <f t="shared" si="1255"/>
        <v>0</v>
      </c>
      <c r="BY645">
        <f t="shared" si="1255"/>
        <v>0</v>
      </c>
      <c r="BZ645">
        <f t="shared" si="1255"/>
        <v>0</v>
      </c>
      <c r="CA645">
        <f t="shared" si="1255"/>
        <v>0</v>
      </c>
      <c r="CB645">
        <f t="shared" si="1255"/>
        <v>0</v>
      </c>
      <c r="CC645">
        <f t="shared" si="1256"/>
        <v>0</v>
      </c>
      <c r="CD645">
        <f t="shared" si="1256"/>
        <v>0</v>
      </c>
      <c r="CE645">
        <f t="shared" si="1256"/>
        <v>0</v>
      </c>
      <c r="CF645">
        <f t="shared" si="1256"/>
        <v>0</v>
      </c>
      <c r="CG645">
        <f t="shared" si="1256"/>
        <v>0</v>
      </c>
      <c r="CH645">
        <f t="shared" si="1256"/>
        <v>0</v>
      </c>
      <c r="CI645">
        <f t="shared" si="1256"/>
        <v>0</v>
      </c>
      <c r="CJ645">
        <f t="shared" si="1256"/>
        <v>0</v>
      </c>
      <c r="CK645">
        <f t="shared" si="1256"/>
        <v>0</v>
      </c>
      <c r="CL645">
        <f t="shared" si="1256"/>
        <v>0</v>
      </c>
      <c r="CM645">
        <f t="shared" si="1257"/>
        <v>0</v>
      </c>
      <c r="CN645">
        <f t="shared" si="1257"/>
        <v>0</v>
      </c>
      <c r="CO645">
        <f t="shared" si="1257"/>
        <v>0</v>
      </c>
      <c r="CP645">
        <f t="shared" si="1257"/>
        <v>0</v>
      </c>
      <c r="CQ645">
        <f t="shared" si="1257"/>
        <v>0</v>
      </c>
      <c r="CR645">
        <f t="shared" si="1257"/>
        <v>0</v>
      </c>
      <c r="CS645">
        <f t="shared" si="1257"/>
        <v>0</v>
      </c>
      <c r="CT645">
        <f t="shared" si="1257"/>
        <v>0</v>
      </c>
      <c r="CU645">
        <f t="shared" si="1257"/>
        <v>0</v>
      </c>
      <c r="CV645">
        <f t="shared" si="1257"/>
        <v>0</v>
      </c>
      <c r="CW645">
        <f t="shared" si="1258"/>
        <v>0</v>
      </c>
      <c r="CX645">
        <f t="shared" si="1258"/>
        <v>0</v>
      </c>
      <c r="CY645">
        <f t="shared" si="1258"/>
        <v>0</v>
      </c>
      <c r="CZ645">
        <f t="shared" si="1258"/>
        <v>0</v>
      </c>
      <c r="DA645">
        <f t="shared" si="1258"/>
        <v>0</v>
      </c>
      <c r="DB645">
        <f t="shared" si="1258"/>
        <v>0</v>
      </c>
      <c r="DC645">
        <f t="shared" si="1258"/>
        <v>0</v>
      </c>
      <c r="DD645">
        <f t="shared" si="1258"/>
        <v>0</v>
      </c>
      <c r="DE645">
        <f t="shared" si="1258"/>
        <v>0</v>
      </c>
      <c r="DF645">
        <f t="shared" si="1258"/>
        <v>0</v>
      </c>
      <c r="DG645">
        <f t="shared" si="1259"/>
        <v>0</v>
      </c>
      <c r="DH645">
        <f t="shared" si="1259"/>
        <v>0</v>
      </c>
      <c r="DI645">
        <f t="shared" si="1259"/>
        <v>0</v>
      </c>
      <c r="DJ645">
        <f t="shared" si="1259"/>
        <v>0</v>
      </c>
      <c r="DK645">
        <f t="shared" si="1259"/>
        <v>0</v>
      </c>
      <c r="DL645">
        <f t="shared" si="1259"/>
        <v>0</v>
      </c>
      <c r="DM645">
        <f t="shared" si="1259"/>
        <v>0</v>
      </c>
      <c r="DN645">
        <f t="shared" si="1259"/>
        <v>0</v>
      </c>
      <c r="DO645">
        <f t="shared" si="1259"/>
        <v>0</v>
      </c>
      <c r="DP645">
        <f t="shared" si="1259"/>
        <v>0</v>
      </c>
      <c r="DQ645">
        <f t="shared" si="1260"/>
        <v>0</v>
      </c>
      <c r="DR645">
        <f t="shared" si="1260"/>
        <v>0</v>
      </c>
      <c r="DS645">
        <f t="shared" si="1260"/>
        <v>0</v>
      </c>
      <c r="DT645">
        <f t="shared" si="1260"/>
        <v>0</v>
      </c>
      <c r="DU645">
        <f t="shared" si="1260"/>
        <v>0</v>
      </c>
      <c r="DV645">
        <f t="shared" si="1260"/>
        <v>0</v>
      </c>
      <c r="DW645">
        <f t="shared" si="1260"/>
        <v>0</v>
      </c>
      <c r="DX645">
        <f t="shared" si="1260"/>
        <v>0</v>
      </c>
      <c r="DY645">
        <f t="shared" si="1260"/>
        <v>0</v>
      </c>
      <c r="DZ645">
        <f t="shared" si="1260"/>
        <v>0</v>
      </c>
      <c r="EA645">
        <f t="shared" si="1261"/>
        <v>0</v>
      </c>
      <c r="EB645">
        <f t="shared" si="1261"/>
        <v>0</v>
      </c>
      <c r="EC645">
        <f t="shared" si="1261"/>
        <v>0</v>
      </c>
      <c r="ED645">
        <f t="shared" si="1261"/>
        <v>0</v>
      </c>
      <c r="EE645">
        <f t="shared" si="1261"/>
        <v>0</v>
      </c>
      <c r="EF645">
        <f t="shared" si="1261"/>
        <v>0</v>
      </c>
    </row>
    <row r="646" spans="1:136" ht="15.5">
      <c r="A646" s="90"/>
      <c r="B646" s="32"/>
      <c r="C646" s="95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76"/>
      <c r="AI646" s="76"/>
      <c r="AJ646" s="22"/>
      <c r="AK646" s="22"/>
      <c r="AL646" s="22"/>
      <c r="AM646" s="22"/>
      <c r="AN646" s="22"/>
      <c r="AO646" s="22"/>
      <c r="AP646" s="22"/>
      <c r="AQ646" s="22"/>
      <c r="AR646" s="22"/>
      <c r="AS646" s="22"/>
      <c r="AT646" s="22"/>
      <c r="AU646" s="22"/>
      <c r="AV646" s="22"/>
      <c r="AW646" s="22"/>
      <c r="AX646" s="22"/>
      <c r="AY646" s="22"/>
      <c r="AZ646" s="22"/>
      <c r="BA646" s="22"/>
      <c r="BB646" s="22"/>
      <c r="BC646" s="18"/>
      <c r="BD646" s="18"/>
      <c r="BE646" s="23"/>
      <c r="BF646" s="22"/>
      <c r="BG646" s="2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101"/>
    </row>
    <row r="647" spans="1:136" ht="15.5">
      <c r="A647" s="93">
        <v>78</v>
      </c>
      <c r="B647" s="270" t="s">
        <v>206</v>
      </c>
      <c r="C647" s="95">
        <v>4</v>
      </c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>
        <f t="shared" ref="AI647:BO647" si="1262">SUM(AI648:AI651)</f>
        <v>0</v>
      </c>
      <c r="AJ647" s="22">
        <f t="shared" si="1262"/>
        <v>0</v>
      </c>
      <c r="AK647" s="22">
        <f t="shared" si="1262"/>
        <v>0.90030399999999999</v>
      </c>
      <c r="AL647" s="22">
        <f t="shared" si="1262"/>
        <v>24.422910000000002</v>
      </c>
      <c r="AM647" s="22">
        <f t="shared" si="1262"/>
        <v>21.747599999999998</v>
      </c>
      <c r="AN647" s="22">
        <f t="shared" si="1262"/>
        <v>91.701980000000006</v>
      </c>
      <c r="AO647" s="22">
        <f t="shared" si="1262"/>
        <v>4.0205517000000004</v>
      </c>
      <c r="AP647" s="22">
        <f t="shared" si="1262"/>
        <v>0</v>
      </c>
      <c r="AQ647" s="22">
        <f t="shared" si="1262"/>
        <v>32.028109999999998</v>
      </c>
      <c r="AR647" s="22">
        <f t="shared" si="1262"/>
        <v>60.912086499999994</v>
      </c>
      <c r="AS647" s="22">
        <f t="shared" si="1262"/>
        <v>66.863473999999997</v>
      </c>
      <c r="AT647" s="22">
        <f t="shared" si="1262"/>
        <v>104.38641799999999</v>
      </c>
      <c r="AU647" s="22">
        <f t="shared" si="1262"/>
        <v>45.136902099999993</v>
      </c>
      <c r="AV647" s="22">
        <f t="shared" si="1262"/>
        <v>48.921360700000001</v>
      </c>
      <c r="AW647" s="22">
        <f t="shared" si="1262"/>
        <v>556.01826540000002</v>
      </c>
      <c r="AX647" s="22">
        <f t="shared" si="1262"/>
        <v>11.1170747</v>
      </c>
      <c r="AY647" s="22">
        <f t="shared" si="1262"/>
        <v>23.4186628</v>
      </c>
      <c r="AZ647" s="22">
        <f t="shared" si="1262"/>
        <v>25.296719400000001</v>
      </c>
      <c r="BA647" s="22">
        <f t="shared" si="1262"/>
        <v>17.273387700000001</v>
      </c>
      <c r="BB647" s="22">
        <f t="shared" si="1262"/>
        <v>18.256784700000001</v>
      </c>
      <c r="BC647" s="22">
        <f t="shared" si="1262"/>
        <v>9.7947746999999996</v>
      </c>
      <c r="BD647" s="22">
        <f t="shared" si="1262"/>
        <v>61.4250744</v>
      </c>
      <c r="BE647" s="22">
        <f t="shared" si="1262"/>
        <v>214.92979639999999</v>
      </c>
      <c r="BF647" s="22">
        <f t="shared" si="1262"/>
        <v>10.8545514</v>
      </c>
      <c r="BG647" s="22">
        <f t="shared" si="1262"/>
        <v>0</v>
      </c>
      <c r="BH647" s="22">
        <f t="shared" si="1262"/>
        <v>44.940471100000003</v>
      </c>
      <c r="BI647" s="22">
        <f t="shared" si="1262"/>
        <v>30</v>
      </c>
      <c r="BJ647" s="22">
        <f t="shared" si="1262"/>
        <v>240</v>
      </c>
      <c r="BK647" s="22">
        <f t="shared" si="1262"/>
        <v>0</v>
      </c>
      <c r="BL647" s="22">
        <f t="shared" si="1262"/>
        <v>0</v>
      </c>
      <c r="BM647" s="22">
        <f t="shared" si="1262"/>
        <v>115.04639739999999</v>
      </c>
      <c r="BN647" s="22">
        <f t="shared" si="1262"/>
        <v>2.0689837</v>
      </c>
      <c r="BO647" s="22">
        <f t="shared" si="1262"/>
        <v>2</v>
      </c>
      <c r="BP647" s="22">
        <f>SUM(BP648:BP651)</f>
        <v>3</v>
      </c>
      <c r="BQ647" s="22">
        <f>SUM(BQ648:BQ651)</f>
        <v>3</v>
      </c>
      <c r="BR647" s="101"/>
      <c r="BS647">
        <f t="shared" ref="BS647:CB651" si="1263">IF($C647&lt;&gt;"",IF(D647&gt;0,1,0),0)</f>
        <v>0</v>
      </c>
      <c r="BT647">
        <f t="shared" si="1263"/>
        <v>0</v>
      </c>
      <c r="BU647">
        <f t="shared" si="1263"/>
        <v>0</v>
      </c>
      <c r="BV647">
        <f t="shared" si="1263"/>
        <v>0</v>
      </c>
      <c r="BW647">
        <f t="shared" si="1263"/>
        <v>0</v>
      </c>
      <c r="BX647">
        <f t="shared" si="1263"/>
        <v>0</v>
      </c>
      <c r="BY647">
        <f t="shared" si="1263"/>
        <v>0</v>
      </c>
      <c r="BZ647">
        <f t="shared" si="1263"/>
        <v>0</v>
      </c>
      <c r="CA647">
        <f t="shared" si="1263"/>
        <v>0</v>
      </c>
      <c r="CB647">
        <f t="shared" si="1263"/>
        <v>0</v>
      </c>
      <c r="CC647">
        <f t="shared" ref="CC647:CL651" si="1264">IF($C647&lt;&gt;"",IF(N647&gt;0,1,0),0)</f>
        <v>0</v>
      </c>
      <c r="CD647">
        <f t="shared" si="1264"/>
        <v>0</v>
      </c>
      <c r="CE647">
        <f t="shared" si="1264"/>
        <v>0</v>
      </c>
      <c r="CF647">
        <f t="shared" si="1264"/>
        <v>0</v>
      </c>
      <c r="CG647">
        <f t="shared" si="1264"/>
        <v>0</v>
      </c>
      <c r="CH647">
        <f t="shared" si="1264"/>
        <v>0</v>
      </c>
      <c r="CI647">
        <f t="shared" si="1264"/>
        <v>0</v>
      </c>
      <c r="CJ647">
        <f t="shared" si="1264"/>
        <v>0</v>
      </c>
      <c r="CK647">
        <f t="shared" si="1264"/>
        <v>0</v>
      </c>
      <c r="CL647">
        <f t="shared" si="1264"/>
        <v>0</v>
      </c>
      <c r="CM647">
        <f t="shared" ref="CM647:CV651" si="1265">IF($C647&lt;&gt;"",IF(X647&gt;0,1,0),0)</f>
        <v>0</v>
      </c>
      <c r="CN647">
        <f t="shared" si="1265"/>
        <v>0</v>
      </c>
      <c r="CO647">
        <f t="shared" si="1265"/>
        <v>0</v>
      </c>
      <c r="CP647">
        <f t="shared" si="1265"/>
        <v>0</v>
      </c>
      <c r="CQ647">
        <f t="shared" si="1265"/>
        <v>0</v>
      </c>
      <c r="CR647">
        <f t="shared" si="1265"/>
        <v>0</v>
      </c>
      <c r="CS647">
        <f t="shared" si="1265"/>
        <v>0</v>
      </c>
      <c r="CT647">
        <f t="shared" si="1265"/>
        <v>0</v>
      </c>
      <c r="CU647">
        <f t="shared" si="1265"/>
        <v>0</v>
      </c>
      <c r="CV647">
        <f t="shared" si="1265"/>
        <v>0</v>
      </c>
      <c r="CW647">
        <f t="shared" ref="CW647:DF651" si="1266">IF($C647&lt;&gt;"",IF(AH647&gt;0,1,0),0)</f>
        <v>0</v>
      </c>
      <c r="CX647">
        <f t="shared" si="1266"/>
        <v>0</v>
      </c>
      <c r="CY647">
        <f t="shared" si="1266"/>
        <v>0</v>
      </c>
      <c r="CZ647">
        <f t="shared" si="1266"/>
        <v>1</v>
      </c>
      <c r="DA647">
        <f t="shared" si="1266"/>
        <v>1</v>
      </c>
      <c r="DB647">
        <f t="shared" si="1266"/>
        <v>1</v>
      </c>
      <c r="DC647">
        <f t="shared" si="1266"/>
        <v>1</v>
      </c>
      <c r="DD647">
        <f t="shared" si="1266"/>
        <v>1</v>
      </c>
      <c r="DE647">
        <f t="shared" si="1266"/>
        <v>0</v>
      </c>
      <c r="DF647">
        <f t="shared" si="1266"/>
        <v>1</v>
      </c>
      <c r="DG647">
        <f t="shared" ref="DG647:DP651" si="1267">IF($C647&lt;&gt;"",IF(AR647&gt;0,1,0),0)</f>
        <v>1</v>
      </c>
      <c r="DH647">
        <f t="shared" si="1267"/>
        <v>1</v>
      </c>
      <c r="DI647">
        <f t="shared" si="1267"/>
        <v>1</v>
      </c>
      <c r="DJ647">
        <f t="shared" si="1267"/>
        <v>1</v>
      </c>
      <c r="DK647">
        <f t="shared" si="1267"/>
        <v>1</v>
      </c>
      <c r="DL647">
        <f t="shared" si="1267"/>
        <v>1</v>
      </c>
      <c r="DM647">
        <f t="shared" si="1267"/>
        <v>1</v>
      </c>
      <c r="DN647">
        <f t="shared" si="1267"/>
        <v>1</v>
      </c>
      <c r="DO647">
        <f t="shared" si="1267"/>
        <v>1</v>
      </c>
      <c r="DP647">
        <f t="shared" si="1267"/>
        <v>1</v>
      </c>
      <c r="DQ647">
        <f t="shared" ref="DQ647:DZ651" si="1268">IF($C647&lt;&gt;"",IF(BB647&gt;0,1,0),0)</f>
        <v>1</v>
      </c>
      <c r="DR647">
        <f t="shared" si="1268"/>
        <v>1</v>
      </c>
      <c r="DS647">
        <f t="shared" si="1268"/>
        <v>1</v>
      </c>
      <c r="DT647">
        <f t="shared" si="1268"/>
        <v>1</v>
      </c>
      <c r="DU647">
        <f t="shared" si="1268"/>
        <v>1</v>
      </c>
      <c r="DV647">
        <f t="shared" si="1268"/>
        <v>0</v>
      </c>
      <c r="DW647">
        <f t="shared" si="1268"/>
        <v>1</v>
      </c>
      <c r="DX647">
        <f t="shared" si="1268"/>
        <v>1</v>
      </c>
      <c r="DY647">
        <f t="shared" si="1268"/>
        <v>1</v>
      </c>
      <c r="DZ647">
        <f t="shared" si="1268"/>
        <v>0</v>
      </c>
      <c r="EA647">
        <f t="shared" ref="EA647:EF651" si="1269">IF($C647&lt;&gt;"",IF(BL647&gt;0,1,0),0)</f>
        <v>0</v>
      </c>
      <c r="EB647">
        <f t="shared" si="1269"/>
        <v>1</v>
      </c>
      <c r="EC647">
        <f t="shared" si="1269"/>
        <v>1</v>
      </c>
      <c r="ED647">
        <f t="shared" si="1269"/>
        <v>1</v>
      </c>
      <c r="EE647">
        <f t="shared" si="1269"/>
        <v>1</v>
      </c>
      <c r="EF647">
        <f t="shared" si="1269"/>
        <v>1</v>
      </c>
    </row>
    <row r="648" spans="1:136" ht="15.5">
      <c r="A648" s="90"/>
      <c r="B648" s="19" t="s">
        <v>2</v>
      </c>
      <c r="C648" s="95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18">
        <v>0</v>
      </c>
      <c r="AJ648" s="18">
        <v>0</v>
      </c>
      <c r="AK648" s="18">
        <v>0</v>
      </c>
      <c r="AL648" s="18">
        <v>0</v>
      </c>
      <c r="AM648" s="18">
        <v>0</v>
      </c>
      <c r="AN648" s="18">
        <v>0</v>
      </c>
      <c r="AO648" s="18">
        <v>0</v>
      </c>
      <c r="AP648" s="18">
        <v>0</v>
      </c>
      <c r="AQ648" s="40" t="s">
        <v>16</v>
      </c>
      <c r="AR648" s="40" t="s">
        <v>16</v>
      </c>
      <c r="AS648" s="40" t="s">
        <v>16</v>
      </c>
      <c r="AT648" s="18">
        <v>102</v>
      </c>
      <c r="AU648" s="22"/>
      <c r="AV648" s="40" t="s">
        <v>16</v>
      </c>
      <c r="AW648" s="18">
        <v>555</v>
      </c>
      <c r="AX648" s="18">
        <v>0</v>
      </c>
      <c r="AY648" s="18">
        <v>0</v>
      </c>
      <c r="AZ648" s="18">
        <v>0</v>
      </c>
      <c r="BA648" s="18">
        <v>0</v>
      </c>
      <c r="BB648" s="18">
        <v>0</v>
      </c>
      <c r="BC648" s="18">
        <v>0</v>
      </c>
      <c r="BD648" s="18">
        <v>0</v>
      </c>
      <c r="BE648" s="18">
        <v>0</v>
      </c>
      <c r="BF648" s="18">
        <v>0</v>
      </c>
      <c r="BG648" s="18">
        <v>0</v>
      </c>
      <c r="BH648" s="18">
        <v>0</v>
      </c>
      <c r="BI648" s="18">
        <v>0</v>
      </c>
      <c r="BJ648" s="18">
        <v>0</v>
      </c>
      <c r="BK648" s="18">
        <v>0</v>
      </c>
      <c r="BL648" s="113">
        <v>0</v>
      </c>
      <c r="BM648" s="113">
        <v>63.862093599999994</v>
      </c>
      <c r="BN648" s="113">
        <v>0</v>
      </c>
      <c r="BO648" s="113">
        <v>0</v>
      </c>
      <c r="BP648" s="113">
        <v>0</v>
      </c>
      <c r="BQ648" s="113">
        <v>0</v>
      </c>
      <c r="BR648" s="101"/>
      <c r="BS648">
        <f t="shared" si="1263"/>
        <v>0</v>
      </c>
      <c r="BT648">
        <f t="shared" si="1263"/>
        <v>0</v>
      </c>
      <c r="BU648">
        <f t="shared" si="1263"/>
        <v>0</v>
      </c>
      <c r="BV648">
        <f t="shared" si="1263"/>
        <v>0</v>
      </c>
      <c r="BW648">
        <f t="shared" si="1263"/>
        <v>0</v>
      </c>
      <c r="BX648">
        <f t="shared" si="1263"/>
        <v>0</v>
      </c>
      <c r="BY648">
        <f t="shared" si="1263"/>
        <v>0</v>
      </c>
      <c r="BZ648">
        <f t="shared" si="1263"/>
        <v>0</v>
      </c>
      <c r="CA648">
        <f t="shared" si="1263"/>
        <v>0</v>
      </c>
      <c r="CB648">
        <f t="shared" si="1263"/>
        <v>0</v>
      </c>
      <c r="CC648">
        <f t="shared" si="1264"/>
        <v>0</v>
      </c>
      <c r="CD648">
        <f t="shared" si="1264"/>
        <v>0</v>
      </c>
      <c r="CE648">
        <f t="shared" si="1264"/>
        <v>0</v>
      </c>
      <c r="CF648">
        <f t="shared" si="1264"/>
        <v>0</v>
      </c>
      <c r="CG648">
        <f t="shared" si="1264"/>
        <v>0</v>
      </c>
      <c r="CH648">
        <f t="shared" si="1264"/>
        <v>0</v>
      </c>
      <c r="CI648">
        <f t="shared" si="1264"/>
        <v>0</v>
      </c>
      <c r="CJ648">
        <f t="shared" si="1264"/>
        <v>0</v>
      </c>
      <c r="CK648">
        <f t="shared" si="1264"/>
        <v>0</v>
      </c>
      <c r="CL648">
        <f t="shared" si="1264"/>
        <v>0</v>
      </c>
      <c r="CM648">
        <f t="shared" si="1265"/>
        <v>0</v>
      </c>
      <c r="CN648">
        <f t="shared" si="1265"/>
        <v>0</v>
      </c>
      <c r="CO648">
        <f t="shared" si="1265"/>
        <v>0</v>
      </c>
      <c r="CP648">
        <f t="shared" si="1265"/>
        <v>0</v>
      </c>
      <c r="CQ648">
        <f t="shared" si="1265"/>
        <v>0</v>
      </c>
      <c r="CR648">
        <f t="shared" si="1265"/>
        <v>0</v>
      </c>
      <c r="CS648">
        <f t="shared" si="1265"/>
        <v>0</v>
      </c>
      <c r="CT648">
        <f t="shared" si="1265"/>
        <v>0</v>
      </c>
      <c r="CU648">
        <f t="shared" si="1265"/>
        <v>0</v>
      </c>
      <c r="CV648">
        <f t="shared" si="1265"/>
        <v>0</v>
      </c>
      <c r="CW648">
        <f t="shared" si="1266"/>
        <v>0</v>
      </c>
      <c r="CX648">
        <f t="shared" si="1266"/>
        <v>0</v>
      </c>
      <c r="CY648">
        <f t="shared" si="1266"/>
        <v>0</v>
      </c>
      <c r="CZ648">
        <f t="shared" si="1266"/>
        <v>0</v>
      </c>
      <c r="DA648">
        <f t="shared" si="1266"/>
        <v>0</v>
      </c>
      <c r="DB648">
        <f t="shared" si="1266"/>
        <v>0</v>
      </c>
      <c r="DC648">
        <f t="shared" si="1266"/>
        <v>0</v>
      </c>
      <c r="DD648">
        <f t="shared" si="1266"/>
        <v>0</v>
      </c>
      <c r="DE648">
        <f t="shared" si="1266"/>
        <v>0</v>
      </c>
      <c r="DF648">
        <f t="shared" si="1266"/>
        <v>0</v>
      </c>
      <c r="DG648">
        <f t="shared" si="1267"/>
        <v>0</v>
      </c>
      <c r="DH648">
        <f t="shared" si="1267"/>
        <v>0</v>
      </c>
      <c r="DI648">
        <f t="shared" si="1267"/>
        <v>0</v>
      </c>
      <c r="DJ648">
        <f t="shared" si="1267"/>
        <v>0</v>
      </c>
      <c r="DK648">
        <f t="shared" si="1267"/>
        <v>0</v>
      </c>
      <c r="DL648">
        <f t="shared" si="1267"/>
        <v>0</v>
      </c>
      <c r="DM648">
        <f t="shared" si="1267"/>
        <v>0</v>
      </c>
      <c r="DN648">
        <f t="shared" si="1267"/>
        <v>0</v>
      </c>
      <c r="DO648">
        <f t="shared" si="1267"/>
        <v>0</v>
      </c>
      <c r="DP648">
        <f t="shared" si="1267"/>
        <v>0</v>
      </c>
      <c r="DQ648">
        <f t="shared" si="1268"/>
        <v>0</v>
      </c>
      <c r="DR648">
        <f t="shared" si="1268"/>
        <v>0</v>
      </c>
      <c r="DS648">
        <f t="shared" si="1268"/>
        <v>0</v>
      </c>
      <c r="DT648">
        <f t="shared" si="1268"/>
        <v>0</v>
      </c>
      <c r="DU648">
        <f t="shared" si="1268"/>
        <v>0</v>
      </c>
      <c r="DV648">
        <f t="shared" si="1268"/>
        <v>0</v>
      </c>
      <c r="DW648">
        <f t="shared" si="1268"/>
        <v>0</v>
      </c>
      <c r="DX648">
        <f t="shared" si="1268"/>
        <v>0</v>
      </c>
      <c r="DY648">
        <f t="shared" si="1268"/>
        <v>0</v>
      </c>
      <c r="DZ648">
        <f t="shared" si="1268"/>
        <v>0</v>
      </c>
      <c r="EA648">
        <f t="shared" si="1269"/>
        <v>0</v>
      </c>
      <c r="EB648">
        <f t="shared" si="1269"/>
        <v>0</v>
      </c>
      <c r="EC648">
        <f t="shared" si="1269"/>
        <v>0</v>
      </c>
      <c r="ED648">
        <f t="shared" si="1269"/>
        <v>0</v>
      </c>
      <c r="EE648">
        <f t="shared" si="1269"/>
        <v>0</v>
      </c>
      <c r="EF648">
        <f t="shared" si="1269"/>
        <v>0</v>
      </c>
    </row>
    <row r="649" spans="1:136" ht="15.5">
      <c r="A649" s="90"/>
      <c r="B649" s="19" t="s">
        <v>205</v>
      </c>
      <c r="C649" s="95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18">
        <v>0</v>
      </c>
      <c r="AJ649" s="18">
        <v>0</v>
      </c>
      <c r="AK649" s="18">
        <v>0.90030410000000005</v>
      </c>
      <c r="AL649" s="18">
        <v>1.9489134000000001</v>
      </c>
      <c r="AM649" s="18">
        <v>3.2186006000000003</v>
      </c>
      <c r="AN649" s="18">
        <v>3.5643196999999995</v>
      </c>
      <c r="AO649" s="18">
        <v>2.9060667000000002</v>
      </c>
      <c r="AP649" s="18">
        <v>0</v>
      </c>
      <c r="AQ649" s="71">
        <v>0</v>
      </c>
      <c r="AR649" s="71">
        <v>0</v>
      </c>
      <c r="AS649" s="71">
        <v>0</v>
      </c>
      <c r="AT649" s="71">
        <v>9.665E-3</v>
      </c>
      <c r="AU649" s="71">
        <v>0.1005195</v>
      </c>
      <c r="AV649" s="71">
        <v>0.16781670000000001</v>
      </c>
      <c r="AW649" s="71">
        <v>0.119204</v>
      </c>
      <c r="AX649" s="18">
        <v>1.22</v>
      </c>
      <c r="AY649" s="18">
        <v>7.5545469000000001</v>
      </c>
      <c r="AZ649" s="18">
        <v>2.0819067000000002</v>
      </c>
      <c r="BA649" s="18">
        <v>2.0838581</v>
      </c>
      <c r="BB649" s="18">
        <v>4.2292652000000004</v>
      </c>
      <c r="BC649" s="18">
        <v>5.5113925999999998</v>
      </c>
      <c r="BD649" s="18">
        <v>6.5710076999999991</v>
      </c>
      <c r="BE649" s="25">
        <v>7.8351381</v>
      </c>
      <c r="BF649" s="18">
        <v>8.8545514000000001</v>
      </c>
      <c r="BG649" s="40">
        <v>0</v>
      </c>
      <c r="BH649" s="113">
        <v>0</v>
      </c>
      <c r="BI649" s="113">
        <v>0</v>
      </c>
      <c r="BJ649" s="113">
        <v>0</v>
      </c>
      <c r="BK649" s="113">
        <v>0</v>
      </c>
      <c r="BL649" s="113">
        <v>0</v>
      </c>
      <c r="BM649" s="113">
        <v>51.184303799999995</v>
      </c>
      <c r="BN649" s="113">
        <v>0</v>
      </c>
      <c r="BO649" s="113">
        <v>0</v>
      </c>
      <c r="BP649" s="113">
        <v>0</v>
      </c>
      <c r="BQ649" s="113">
        <v>0</v>
      </c>
      <c r="BR649" s="101"/>
      <c r="BS649">
        <f t="shared" si="1263"/>
        <v>0</v>
      </c>
      <c r="BT649">
        <f t="shared" si="1263"/>
        <v>0</v>
      </c>
      <c r="BU649">
        <f t="shared" si="1263"/>
        <v>0</v>
      </c>
      <c r="BV649">
        <f t="shared" si="1263"/>
        <v>0</v>
      </c>
      <c r="BW649">
        <f t="shared" si="1263"/>
        <v>0</v>
      </c>
      <c r="BX649">
        <f t="shared" si="1263"/>
        <v>0</v>
      </c>
      <c r="BY649">
        <f t="shared" si="1263"/>
        <v>0</v>
      </c>
      <c r="BZ649">
        <f t="shared" si="1263"/>
        <v>0</v>
      </c>
      <c r="CA649">
        <f t="shared" si="1263"/>
        <v>0</v>
      </c>
      <c r="CB649">
        <f t="shared" si="1263"/>
        <v>0</v>
      </c>
      <c r="CC649">
        <f t="shared" si="1264"/>
        <v>0</v>
      </c>
      <c r="CD649">
        <f t="shared" si="1264"/>
        <v>0</v>
      </c>
      <c r="CE649">
        <f t="shared" si="1264"/>
        <v>0</v>
      </c>
      <c r="CF649">
        <f t="shared" si="1264"/>
        <v>0</v>
      </c>
      <c r="CG649">
        <f t="shared" si="1264"/>
        <v>0</v>
      </c>
      <c r="CH649">
        <f t="shared" si="1264"/>
        <v>0</v>
      </c>
      <c r="CI649">
        <f t="shared" si="1264"/>
        <v>0</v>
      </c>
      <c r="CJ649">
        <f t="shared" si="1264"/>
        <v>0</v>
      </c>
      <c r="CK649">
        <f t="shared" si="1264"/>
        <v>0</v>
      </c>
      <c r="CL649">
        <f t="shared" si="1264"/>
        <v>0</v>
      </c>
      <c r="CM649">
        <f t="shared" si="1265"/>
        <v>0</v>
      </c>
      <c r="CN649">
        <f t="shared" si="1265"/>
        <v>0</v>
      </c>
      <c r="CO649">
        <f t="shared" si="1265"/>
        <v>0</v>
      </c>
      <c r="CP649">
        <f t="shared" si="1265"/>
        <v>0</v>
      </c>
      <c r="CQ649">
        <f t="shared" si="1265"/>
        <v>0</v>
      </c>
      <c r="CR649">
        <f t="shared" si="1265"/>
        <v>0</v>
      </c>
      <c r="CS649">
        <f t="shared" si="1265"/>
        <v>0</v>
      </c>
      <c r="CT649">
        <f t="shared" si="1265"/>
        <v>0</v>
      </c>
      <c r="CU649">
        <f t="shared" si="1265"/>
        <v>0</v>
      </c>
      <c r="CV649">
        <f t="shared" si="1265"/>
        <v>0</v>
      </c>
      <c r="CW649">
        <f t="shared" si="1266"/>
        <v>0</v>
      </c>
      <c r="CX649">
        <f t="shared" si="1266"/>
        <v>0</v>
      </c>
      <c r="CY649">
        <f t="shared" si="1266"/>
        <v>0</v>
      </c>
      <c r="CZ649">
        <f t="shared" si="1266"/>
        <v>0</v>
      </c>
      <c r="DA649">
        <f t="shared" si="1266"/>
        <v>0</v>
      </c>
      <c r="DB649">
        <f t="shared" si="1266"/>
        <v>0</v>
      </c>
      <c r="DC649">
        <f t="shared" si="1266"/>
        <v>0</v>
      </c>
      <c r="DD649">
        <f t="shared" si="1266"/>
        <v>0</v>
      </c>
      <c r="DE649">
        <f t="shared" si="1266"/>
        <v>0</v>
      </c>
      <c r="DF649">
        <f t="shared" si="1266"/>
        <v>0</v>
      </c>
      <c r="DG649">
        <f t="shared" si="1267"/>
        <v>0</v>
      </c>
      <c r="DH649">
        <f t="shared" si="1267"/>
        <v>0</v>
      </c>
      <c r="DI649">
        <f t="shared" si="1267"/>
        <v>0</v>
      </c>
      <c r="DJ649">
        <f t="shared" si="1267"/>
        <v>0</v>
      </c>
      <c r="DK649">
        <f t="shared" si="1267"/>
        <v>0</v>
      </c>
      <c r="DL649">
        <f t="shared" si="1267"/>
        <v>0</v>
      </c>
      <c r="DM649">
        <f t="shared" si="1267"/>
        <v>0</v>
      </c>
      <c r="DN649">
        <f t="shared" si="1267"/>
        <v>0</v>
      </c>
      <c r="DO649">
        <f t="shared" si="1267"/>
        <v>0</v>
      </c>
      <c r="DP649">
        <f t="shared" si="1267"/>
        <v>0</v>
      </c>
      <c r="DQ649">
        <f t="shared" si="1268"/>
        <v>0</v>
      </c>
      <c r="DR649">
        <f t="shared" si="1268"/>
        <v>0</v>
      </c>
      <c r="DS649">
        <f t="shared" si="1268"/>
        <v>0</v>
      </c>
      <c r="DT649">
        <f t="shared" si="1268"/>
        <v>0</v>
      </c>
      <c r="DU649">
        <f t="shared" si="1268"/>
        <v>0</v>
      </c>
      <c r="DV649">
        <f t="shared" si="1268"/>
        <v>0</v>
      </c>
      <c r="DW649">
        <f t="shared" si="1268"/>
        <v>0</v>
      </c>
      <c r="DX649">
        <f t="shared" si="1268"/>
        <v>0</v>
      </c>
      <c r="DY649">
        <f t="shared" si="1268"/>
        <v>0</v>
      </c>
      <c r="DZ649">
        <f t="shared" si="1268"/>
        <v>0</v>
      </c>
      <c r="EA649">
        <f t="shared" si="1269"/>
        <v>0</v>
      </c>
      <c r="EB649">
        <f t="shared" si="1269"/>
        <v>0</v>
      </c>
      <c r="EC649">
        <f t="shared" si="1269"/>
        <v>0</v>
      </c>
      <c r="ED649">
        <f t="shared" si="1269"/>
        <v>0</v>
      </c>
      <c r="EE649">
        <f t="shared" si="1269"/>
        <v>0</v>
      </c>
      <c r="EF649">
        <f t="shared" si="1269"/>
        <v>0</v>
      </c>
    </row>
    <row r="650" spans="1:136" ht="15.5">
      <c r="A650" s="90"/>
      <c r="B650" s="53" t="s">
        <v>3</v>
      </c>
      <c r="C650" s="95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>
        <v>0</v>
      </c>
      <c r="AJ650" s="18">
        <v>0</v>
      </c>
      <c r="AK650" s="18">
        <f>0.900304-AK649</f>
        <v>-1.0000000005838672E-7</v>
      </c>
      <c r="AL650" s="18">
        <f>24.42291-AL649</f>
        <v>22.473996600000003</v>
      </c>
      <c r="AM650" s="18">
        <f>21.7476-AM649</f>
        <v>18.528999399999996</v>
      </c>
      <c r="AN650" s="18">
        <f>91.70198-AN649</f>
        <v>88.137660300000007</v>
      </c>
      <c r="AO650" s="18">
        <v>1.1144849999999999</v>
      </c>
      <c r="AP650" s="18">
        <v>0</v>
      </c>
      <c r="AQ650" s="18">
        <v>29.092110000000002</v>
      </c>
      <c r="AR650" s="18">
        <v>57.192326099999995</v>
      </c>
      <c r="AS650" s="18">
        <v>65.940618200000003</v>
      </c>
      <c r="AT650" s="40" t="s">
        <v>16</v>
      </c>
      <c r="AU650" s="18">
        <v>42.337691999999997</v>
      </c>
      <c r="AV650" s="18">
        <v>46.399635099999998</v>
      </c>
      <c r="AW650" s="40" t="s">
        <v>16</v>
      </c>
      <c r="AX650" s="18">
        <f>11.1170747-AX649</f>
        <v>9.8970746999999992</v>
      </c>
      <c r="AY650" s="18">
        <f>23.4186628-AY649</f>
        <v>15.8641159</v>
      </c>
      <c r="AZ650" s="18">
        <f>25.2967194-AZ649</f>
        <v>23.2148127</v>
      </c>
      <c r="BA650" s="18">
        <f>17.2733877-BA649</f>
        <v>15.1895296</v>
      </c>
      <c r="BB650" s="18">
        <f>18.2567847-BB649</f>
        <v>14.0275195</v>
      </c>
      <c r="BC650" s="18">
        <f>9.7947747-BC649</f>
        <v>4.2833820999999999</v>
      </c>
      <c r="BD650" s="18">
        <f>61.4250744-BD649</f>
        <v>54.854066700000004</v>
      </c>
      <c r="BE650" s="25">
        <f>214.9297964-BE649</f>
        <v>207.09465829999999</v>
      </c>
      <c r="BF650" s="18">
        <v>2</v>
      </c>
      <c r="BG650" s="18">
        <v>0</v>
      </c>
      <c r="BH650" s="18">
        <v>44.940471100000003</v>
      </c>
      <c r="BI650" s="18">
        <v>30</v>
      </c>
      <c r="BJ650" s="71">
        <v>240</v>
      </c>
      <c r="BK650" s="130">
        <v>0</v>
      </c>
      <c r="BL650" s="113">
        <v>0</v>
      </c>
      <c r="BM650" s="113">
        <v>0</v>
      </c>
      <c r="BN650" s="113">
        <v>2.0689837</v>
      </c>
      <c r="BO650" s="113">
        <v>2</v>
      </c>
      <c r="BP650" s="113">
        <v>3</v>
      </c>
      <c r="BQ650" s="113">
        <v>3</v>
      </c>
      <c r="BR650" s="101"/>
      <c r="BS650">
        <f t="shared" si="1263"/>
        <v>0</v>
      </c>
      <c r="BT650">
        <f t="shared" si="1263"/>
        <v>0</v>
      </c>
      <c r="BU650">
        <f t="shared" si="1263"/>
        <v>0</v>
      </c>
      <c r="BV650">
        <f t="shared" si="1263"/>
        <v>0</v>
      </c>
      <c r="BW650">
        <f t="shared" si="1263"/>
        <v>0</v>
      </c>
      <c r="BX650">
        <f t="shared" si="1263"/>
        <v>0</v>
      </c>
      <c r="BY650">
        <f t="shared" si="1263"/>
        <v>0</v>
      </c>
      <c r="BZ650">
        <f t="shared" si="1263"/>
        <v>0</v>
      </c>
      <c r="CA650">
        <f t="shared" si="1263"/>
        <v>0</v>
      </c>
      <c r="CB650">
        <f t="shared" si="1263"/>
        <v>0</v>
      </c>
      <c r="CC650">
        <f t="shared" si="1264"/>
        <v>0</v>
      </c>
      <c r="CD650">
        <f t="shared" si="1264"/>
        <v>0</v>
      </c>
      <c r="CE650">
        <f t="shared" si="1264"/>
        <v>0</v>
      </c>
      <c r="CF650">
        <f t="shared" si="1264"/>
        <v>0</v>
      </c>
      <c r="CG650">
        <f t="shared" si="1264"/>
        <v>0</v>
      </c>
      <c r="CH650">
        <f t="shared" si="1264"/>
        <v>0</v>
      </c>
      <c r="CI650">
        <f t="shared" si="1264"/>
        <v>0</v>
      </c>
      <c r="CJ650">
        <f t="shared" si="1264"/>
        <v>0</v>
      </c>
      <c r="CK650">
        <f t="shared" si="1264"/>
        <v>0</v>
      </c>
      <c r="CL650">
        <f t="shared" si="1264"/>
        <v>0</v>
      </c>
      <c r="CM650">
        <f t="shared" si="1265"/>
        <v>0</v>
      </c>
      <c r="CN650">
        <f t="shared" si="1265"/>
        <v>0</v>
      </c>
      <c r="CO650">
        <f t="shared" si="1265"/>
        <v>0</v>
      </c>
      <c r="CP650">
        <f t="shared" si="1265"/>
        <v>0</v>
      </c>
      <c r="CQ650">
        <f t="shared" si="1265"/>
        <v>0</v>
      </c>
      <c r="CR650">
        <f t="shared" si="1265"/>
        <v>0</v>
      </c>
      <c r="CS650">
        <f t="shared" si="1265"/>
        <v>0</v>
      </c>
      <c r="CT650">
        <f t="shared" si="1265"/>
        <v>0</v>
      </c>
      <c r="CU650">
        <f t="shared" si="1265"/>
        <v>0</v>
      </c>
      <c r="CV650">
        <f t="shared" si="1265"/>
        <v>0</v>
      </c>
      <c r="CW650">
        <f t="shared" si="1266"/>
        <v>0</v>
      </c>
      <c r="CX650">
        <f t="shared" si="1266"/>
        <v>0</v>
      </c>
      <c r="CY650">
        <f t="shared" si="1266"/>
        <v>0</v>
      </c>
      <c r="CZ650">
        <f t="shared" si="1266"/>
        <v>0</v>
      </c>
      <c r="DA650">
        <f t="shared" si="1266"/>
        <v>0</v>
      </c>
      <c r="DB650">
        <f t="shared" si="1266"/>
        <v>0</v>
      </c>
      <c r="DC650">
        <f t="shared" si="1266"/>
        <v>0</v>
      </c>
      <c r="DD650">
        <f t="shared" si="1266"/>
        <v>0</v>
      </c>
      <c r="DE650">
        <f t="shared" si="1266"/>
        <v>0</v>
      </c>
      <c r="DF650">
        <f t="shared" si="1266"/>
        <v>0</v>
      </c>
      <c r="DG650">
        <f t="shared" si="1267"/>
        <v>0</v>
      </c>
      <c r="DH650">
        <f t="shared" si="1267"/>
        <v>0</v>
      </c>
      <c r="DI650">
        <f t="shared" si="1267"/>
        <v>0</v>
      </c>
      <c r="DJ650">
        <f t="shared" si="1267"/>
        <v>0</v>
      </c>
      <c r="DK650">
        <f t="shared" si="1267"/>
        <v>0</v>
      </c>
      <c r="DL650">
        <f t="shared" si="1267"/>
        <v>0</v>
      </c>
      <c r="DM650">
        <f t="shared" si="1267"/>
        <v>0</v>
      </c>
      <c r="DN650">
        <f t="shared" si="1267"/>
        <v>0</v>
      </c>
      <c r="DO650">
        <f t="shared" si="1267"/>
        <v>0</v>
      </c>
      <c r="DP650">
        <f t="shared" si="1267"/>
        <v>0</v>
      </c>
      <c r="DQ650">
        <f t="shared" si="1268"/>
        <v>0</v>
      </c>
      <c r="DR650">
        <f t="shared" si="1268"/>
        <v>0</v>
      </c>
      <c r="DS650">
        <f t="shared" si="1268"/>
        <v>0</v>
      </c>
      <c r="DT650">
        <f t="shared" si="1268"/>
        <v>0</v>
      </c>
      <c r="DU650">
        <f t="shared" si="1268"/>
        <v>0</v>
      </c>
      <c r="DV650">
        <f t="shared" si="1268"/>
        <v>0</v>
      </c>
      <c r="DW650">
        <f t="shared" si="1268"/>
        <v>0</v>
      </c>
      <c r="DX650">
        <f t="shared" si="1268"/>
        <v>0</v>
      </c>
      <c r="DY650">
        <f t="shared" si="1268"/>
        <v>0</v>
      </c>
      <c r="DZ650">
        <f t="shared" si="1268"/>
        <v>0</v>
      </c>
      <c r="EA650">
        <f t="shared" si="1269"/>
        <v>0</v>
      </c>
      <c r="EB650">
        <f t="shared" si="1269"/>
        <v>0</v>
      </c>
      <c r="EC650">
        <f t="shared" si="1269"/>
        <v>0</v>
      </c>
      <c r="ED650">
        <f t="shared" si="1269"/>
        <v>0</v>
      </c>
      <c r="EE650">
        <f t="shared" si="1269"/>
        <v>0</v>
      </c>
      <c r="EF650">
        <f t="shared" si="1269"/>
        <v>0</v>
      </c>
    </row>
    <row r="651" spans="1:136" ht="15.5">
      <c r="A651" s="90"/>
      <c r="B651" s="105" t="s">
        <v>208</v>
      </c>
      <c r="C651" s="94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>
        <v>0</v>
      </c>
      <c r="AJ651" s="18">
        <v>0</v>
      </c>
      <c r="AK651" s="18">
        <v>0</v>
      </c>
      <c r="AL651" s="18">
        <v>0</v>
      </c>
      <c r="AM651" s="18">
        <v>0</v>
      </c>
      <c r="AN651" s="18">
        <v>0</v>
      </c>
      <c r="AO651" s="18">
        <v>0</v>
      </c>
      <c r="AP651" s="18">
        <v>0</v>
      </c>
      <c r="AQ651" s="18">
        <v>2.9359999999999999</v>
      </c>
      <c r="AR651" s="18">
        <v>3.7197603999999997</v>
      </c>
      <c r="AS651" s="18">
        <v>0.9228558</v>
      </c>
      <c r="AT651" s="18">
        <v>2.3767529999999999</v>
      </c>
      <c r="AU651" s="18">
        <v>2.6986905999999999</v>
      </c>
      <c r="AV651" s="18">
        <v>2.3539089</v>
      </c>
      <c r="AW651" s="18">
        <v>0.89906140000000001</v>
      </c>
      <c r="AX651" s="18">
        <v>0</v>
      </c>
      <c r="AY651" s="18">
        <v>0</v>
      </c>
      <c r="AZ651" s="18">
        <v>0</v>
      </c>
      <c r="BA651" s="18">
        <v>0</v>
      </c>
      <c r="BB651" s="18">
        <v>0</v>
      </c>
      <c r="BC651" s="18">
        <v>0</v>
      </c>
      <c r="BD651" s="18">
        <v>0</v>
      </c>
      <c r="BE651" s="25">
        <v>0</v>
      </c>
      <c r="BF651" s="18">
        <v>0</v>
      </c>
      <c r="BG651" s="18">
        <v>0</v>
      </c>
      <c r="BH651" s="18">
        <v>0</v>
      </c>
      <c r="BI651" s="18">
        <v>0</v>
      </c>
      <c r="BJ651" s="113">
        <v>0</v>
      </c>
      <c r="BK651" s="113">
        <v>0</v>
      </c>
      <c r="BL651" s="113">
        <v>0</v>
      </c>
      <c r="BM651" s="113">
        <v>0</v>
      </c>
      <c r="BN651" s="113">
        <v>0</v>
      </c>
      <c r="BO651" s="113">
        <v>0</v>
      </c>
      <c r="BP651" s="113">
        <v>0</v>
      </c>
      <c r="BQ651" s="113">
        <v>0</v>
      </c>
      <c r="BR651" s="101"/>
      <c r="BS651">
        <f t="shared" si="1263"/>
        <v>0</v>
      </c>
      <c r="BT651">
        <f t="shared" si="1263"/>
        <v>0</v>
      </c>
      <c r="BU651">
        <f t="shared" si="1263"/>
        <v>0</v>
      </c>
      <c r="BV651">
        <f t="shared" si="1263"/>
        <v>0</v>
      </c>
      <c r="BW651">
        <f t="shared" si="1263"/>
        <v>0</v>
      </c>
      <c r="BX651">
        <f t="shared" si="1263"/>
        <v>0</v>
      </c>
      <c r="BY651">
        <f t="shared" si="1263"/>
        <v>0</v>
      </c>
      <c r="BZ651">
        <f t="shared" si="1263"/>
        <v>0</v>
      </c>
      <c r="CA651">
        <f t="shared" si="1263"/>
        <v>0</v>
      </c>
      <c r="CB651">
        <f t="shared" si="1263"/>
        <v>0</v>
      </c>
      <c r="CC651">
        <f t="shared" si="1264"/>
        <v>0</v>
      </c>
      <c r="CD651">
        <f t="shared" si="1264"/>
        <v>0</v>
      </c>
      <c r="CE651">
        <f t="shared" si="1264"/>
        <v>0</v>
      </c>
      <c r="CF651">
        <f t="shared" si="1264"/>
        <v>0</v>
      </c>
      <c r="CG651">
        <f t="shared" si="1264"/>
        <v>0</v>
      </c>
      <c r="CH651">
        <f t="shared" si="1264"/>
        <v>0</v>
      </c>
      <c r="CI651">
        <f t="shared" si="1264"/>
        <v>0</v>
      </c>
      <c r="CJ651">
        <f t="shared" si="1264"/>
        <v>0</v>
      </c>
      <c r="CK651">
        <f t="shared" si="1264"/>
        <v>0</v>
      </c>
      <c r="CL651">
        <f t="shared" si="1264"/>
        <v>0</v>
      </c>
      <c r="CM651">
        <f t="shared" si="1265"/>
        <v>0</v>
      </c>
      <c r="CN651">
        <f t="shared" si="1265"/>
        <v>0</v>
      </c>
      <c r="CO651">
        <f t="shared" si="1265"/>
        <v>0</v>
      </c>
      <c r="CP651">
        <f t="shared" si="1265"/>
        <v>0</v>
      </c>
      <c r="CQ651">
        <f t="shared" si="1265"/>
        <v>0</v>
      </c>
      <c r="CR651">
        <f t="shared" si="1265"/>
        <v>0</v>
      </c>
      <c r="CS651">
        <f t="shared" si="1265"/>
        <v>0</v>
      </c>
      <c r="CT651">
        <f t="shared" si="1265"/>
        <v>0</v>
      </c>
      <c r="CU651">
        <f t="shared" si="1265"/>
        <v>0</v>
      </c>
      <c r="CV651">
        <f t="shared" si="1265"/>
        <v>0</v>
      </c>
      <c r="CW651">
        <f t="shared" si="1266"/>
        <v>0</v>
      </c>
      <c r="CX651">
        <f t="shared" si="1266"/>
        <v>0</v>
      </c>
      <c r="CY651">
        <f t="shared" si="1266"/>
        <v>0</v>
      </c>
      <c r="CZ651">
        <f t="shared" si="1266"/>
        <v>0</v>
      </c>
      <c r="DA651">
        <f t="shared" si="1266"/>
        <v>0</v>
      </c>
      <c r="DB651">
        <f t="shared" si="1266"/>
        <v>0</v>
      </c>
      <c r="DC651">
        <f t="shared" si="1266"/>
        <v>0</v>
      </c>
      <c r="DD651">
        <f t="shared" si="1266"/>
        <v>0</v>
      </c>
      <c r="DE651">
        <f t="shared" si="1266"/>
        <v>0</v>
      </c>
      <c r="DF651">
        <f t="shared" si="1266"/>
        <v>0</v>
      </c>
      <c r="DG651">
        <f t="shared" si="1267"/>
        <v>0</v>
      </c>
      <c r="DH651">
        <f t="shared" si="1267"/>
        <v>0</v>
      </c>
      <c r="DI651">
        <f t="shared" si="1267"/>
        <v>0</v>
      </c>
      <c r="DJ651">
        <f t="shared" si="1267"/>
        <v>0</v>
      </c>
      <c r="DK651">
        <f t="shared" si="1267"/>
        <v>0</v>
      </c>
      <c r="DL651">
        <f t="shared" si="1267"/>
        <v>0</v>
      </c>
      <c r="DM651">
        <f t="shared" si="1267"/>
        <v>0</v>
      </c>
      <c r="DN651">
        <f t="shared" si="1267"/>
        <v>0</v>
      </c>
      <c r="DO651">
        <f t="shared" si="1267"/>
        <v>0</v>
      </c>
      <c r="DP651">
        <f t="shared" si="1267"/>
        <v>0</v>
      </c>
      <c r="DQ651">
        <f t="shared" si="1268"/>
        <v>0</v>
      </c>
      <c r="DR651">
        <f t="shared" si="1268"/>
        <v>0</v>
      </c>
      <c r="DS651">
        <f t="shared" si="1268"/>
        <v>0</v>
      </c>
      <c r="DT651">
        <f t="shared" si="1268"/>
        <v>0</v>
      </c>
      <c r="DU651">
        <f t="shared" si="1268"/>
        <v>0</v>
      </c>
      <c r="DV651">
        <f t="shared" si="1268"/>
        <v>0</v>
      </c>
      <c r="DW651">
        <f t="shared" si="1268"/>
        <v>0</v>
      </c>
      <c r="DX651">
        <f t="shared" si="1268"/>
        <v>0</v>
      </c>
      <c r="DY651">
        <f t="shared" si="1268"/>
        <v>0</v>
      </c>
      <c r="DZ651">
        <f t="shared" si="1268"/>
        <v>0</v>
      </c>
      <c r="EA651">
        <f t="shared" si="1269"/>
        <v>0</v>
      </c>
      <c r="EB651">
        <f t="shared" si="1269"/>
        <v>0</v>
      </c>
      <c r="EC651">
        <f t="shared" si="1269"/>
        <v>0</v>
      </c>
      <c r="ED651">
        <f t="shared" si="1269"/>
        <v>0</v>
      </c>
      <c r="EE651">
        <f t="shared" si="1269"/>
        <v>0</v>
      </c>
      <c r="EF651">
        <f t="shared" si="1269"/>
        <v>0</v>
      </c>
    </row>
    <row r="652" spans="1:136" ht="15.5">
      <c r="A652" s="90"/>
      <c r="B652" s="53" t="s">
        <v>212</v>
      </c>
      <c r="C652" s="94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>
        <v>0</v>
      </c>
      <c r="AJ652" s="18">
        <v>0</v>
      </c>
      <c r="AK652" s="18">
        <v>156.08856088560887</v>
      </c>
      <c r="AL652" s="18">
        <v>292.89667896678969</v>
      </c>
      <c r="AM652" s="34">
        <v>27.859778597785979</v>
      </c>
      <c r="AN652" s="34">
        <v>10.091954022988507</v>
      </c>
      <c r="AO652" s="34">
        <v>9.5344827586206904</v>
      </c>
      <c r="AP652" s="18">
        <v>7.4489795918367347</v>
      </c>
      <c r="AQ652" s="18">
        <v>19.315673289183223</v>
      </c>
      <c r="AR652" s="18">
        <v>22.857142857142858</v>
      </c>
      <c r="AS652" s="18">
        <v>29.371069182389935</v>
      </c>
      <c r="AT652" s="18">
        <v>38</v>
      </c>
      <c r="AU652" s="18">
        <v>36.19047619047619</v>
      </c>
      <c r="AV652" s="34">
        <v>43.920187793427232</v>
      </c>
      <c r="AW652" s="34">
        <v>56.414634146341463</v>
      </c>
      <c r="AX652" s="34">
        <v>0</v>
      </c>
      <c r="AY652" s="18">
        <v>0</v>
      </c>
      <c r="AZ652" s="18">
        <v>0</v>
      </c>
      <c r="BA652" s="18">
        <v>0</v>
      </c>
      <c r="BB652" s="18">
        <v>0</v>
      </c>
      <c r="BC652" s="18">
        <v>0</v>
      </c>
      <c r="BD652" s="18">
        <v>0</v>
      </c>
      <c r="BE652" s="25">
        <v>0</v>
      </c>
      <c r="BF652" s="18">
        <v>0</v>
      </c>
      <c r="BG652" s="18">
        <v>0</v>
      </c>
      <c r="BH652" s="18">
        <v>0</v>
      </c>
      <c r="BI652" s="18">
        <v>0</v>
      </c>
      <c r="BJ652" s="113">
        <v>0</v>
      </c>
      <c r="BK652" s="113">
        <v>0</v>
      </c>
      <c r="BL652" s="113">
        <v>0</v>
      </c>
      <c r="BM652" s="113">
        <v>0</v>
      </c>
      <c r="BN652" s="113">
        <v>0</v>
      </c>
      <c r="BO652" s="113">
        <v>0</v>
      </c>
      <c r="BP652" s="113">
        <v>0</v>
      </c>
      <c r="BQ652" s="113">
        <v>0</v>
      </c>
      <c r="BR652" s="101"/>
      <c r="BS652">
        <f>0</f>
        <v>0</v>
      </c>
      <c r="BT652">
        <f t="shared" ref="BT652:CY652" si="1270">IF($C652&lt;&gt;"",IF(E652&gt;0,1,0),0)</f>
        <v>0</v>
      </c>
      <c r="BU652">
        <f t="shared" si="1270"/>
        <v>0</v>
      </c>
      <c r="BV652">
        <f t="shared" si="1270"/>
        <v>0</v>
      </c>
      <c r="BW652">
        <f t="shared" si="1270"/>
        <v>0</v>
      </c>
      <c r="BX652">
        <f t="shared" si="1270"/>
        <v>0</v>
      </c>
      <c r="BY652">
        <f t="shared" si="1270"/>
        <v>0</v>
      </c>
      <c r="BZ652">
        <f t="shared" si="1270"/>
        <v>0</v>
      </c>
      <c r="CA652">
        <f t="shared" si="1270"/>
        <v>0</v>
      </c>
      <c r="CB652">
        <f t="shared" si="1270"/>
        <v>0</v>
      </c>
      <c r="CC652">
        <f t="shared" si="1270"/>
        <v>0</v>
      </c>
      <c r="CD652">
        <f t="shared" si="1270"/>
        <v>0</v>
      </c>
      <c r="CE652">
        <f t="shared" si="1270"/>
        <v>0</v>
      </c>
      <c r="CF652">
        <f t="shared" si="1270"/>
        <v>0</v>
      </c>
      <c r="CG652">
        <f t="shared" si="1270"/>
        <v>0</v>
      </c>
      <c r="CH652">
        <f t="shared" si="1270"/>
        <v>0</v>
      </c>
      <c r="CI652">
        <f t="shared" si="1270"/>
        <v>0</v>
      </c>
      <c r="CJ652">
        <f t="shared" si="1270"/>
        <v>0</v>
      </c>
      <c r="CK652">
        <f t="shared" si="1270"/>
        <v>0</v>
      </c>
      <c r="CL652">
        <f t="shared" si="1270"/>
        <v>0</v>
      </c>
      <c r="CM652">
        <f t="shared" si="1270"/>
        <v>0</v>
      </c>
      <c r="CN652">
        <f t="shared" si="1270"/>
        <v>0</v>
      </c>
      <c r="CO652">
        <f t="shared" si="1270"/>
        <v>0</v>
      </c>
      <c r="CP652">
        <f t="shared" si="1270"/>
        <v>0</v>
      </c>
      <c r="CQ652">
        <f t="shared" si="1270"/>
        <v>0</v>
      </c>
      <c r="CR652">
        <f t="shared" si="1270"/>
        <v>0</v>
      </c>
      <c r="CS652">
        <f t="shared" si="1270"/>
        <v>0</v>
      </c>
      <c r="CT652">
        <f t="shared" si="1270"/>
        <v>0</v>
      </c>
      <c r="CU652">
        <f t="shared" si="1270"/>
        <v>0</v>
      </c>
      <c r="CV652">
        <f t="shared" si="1270"/>
        <v>0</v>
      </c>
      <c r="CW652">
        <f t="shared" si="1270"/>
        <v>0</v>
      </c>
      <c r="CX652">
        <f t="shared" si="1270"/>
        <v>0</v>
      </c>
      <c r="CY652">
        <f t="shared" si="1270"/>
        <v>0</v>
      </c>
      <c r="CZ652">
        <f t="shared" ref="CZ652:EF652" si="1271">IF($C652&lt;&gt;"",IF(AK652&gt;0,1,0),0)</f>
        <v>0</v>
      </c>
      <c r="DA652">
        <f t="shared" si="1271"/>
        <v>0</v>
      </c>
      <c r="DB652">
        <f t="shared" si="1271"/>
        <v>0</v>
      </c>
      <c r="DC652">
        <f t="shared" si="1271"/>
        <v>0</v>
      </c>
      <c r="DD652">
        <f t="shared" si="1271"/>
        <v>0</v>
      </c>
      <c r="DE652">
        <f t="shared" si="1271"/>
        <v>0</v>
      </c>
      <c r="DF652">
        <f t="shared" si="1271"/>
        <v>0</v>
      </c>
      <c r="DG652">
        <f t="shared" si="1271"/>
        <v>0</v>
      </c>
      <c r="DH652">
        <f t="shared" si="1271"/>
        <v>0</v>
      </c>
      <c r="DI652">
        <f t="shared" si="1271"/>
        <v>0</v>
      </c>
      <c r="DJ652">
        <f t="shared" si="1271"/>
        <v>0</v>
      </c>
      <c r="DK652">
        <f t="shared" si="1271"/>
        <v>0</v>
      </c>
      <c r="DL652">
        <f t="shared" si="1271"/>
        <v>0</v>
      </c>
      <c r="DM652">
        <f t="shared" si="1271"/>
        <v>0</v>
      </c>
      <c r="DN652">
        <f t="shared" si="1271"/>
        <v>0</v>
      </c>
      <c r="DO652">
        <f t="shared" si="1271"/>
        <v>0</v>
      </c>
      <c r="DP652">
        <f t="shared" si="1271"/>
        <v>0</v>
      </c>
      <c r="DQ652">
        <f t="shared" si="1271"/>
        <v>0</v>
      </c>
      <c r="DR652">
        <f t="shared" si="1271"/>
        <v>0</v>
      </c>
      <c r="DS652">
        <f t="shared" si="1271"/>
        <v>0</v>
      </c>
      <c r="DT652">
        <f t="shared" si="1271"/>
        <v>0</v>
      </c>
      <c r="DU652">
        <f t="shared" si="1271"/>
        <v>0</v>
      </c>
      <c r="DV652">
        <f t="shared" si="1271"/>
        <v>0</v>
      </c>
      <c r="DW652">
        <f t="shared" si="1271"/>
        <v>0</v>
      </c>
      <c r="DX652">
        <f t="shared" si="1271"/>
        <v>0</v>
      </c>
      <c r="DY652">
        <f t="shared" si="1271"/>
        <v>0</v>
      </c>
      <c r="DZ652">
        <f t="shared" si="1271"/>
        <v>0</v>
      </c>
      <c r="EA652">
        <f t="shared" si="1271"/>
        <v>0</v>
      </c>
      <c r="EB652">
        <f t="shared" si="1271"/>
        <v>0</v>
      </c>
      <c r="EC652">
        <f t="shared" si="1271"/>
        <v>0</v>
      </c>
      <c r="ED652">
        <f t="shared" si="1271"/>
        <v>0</v>
      </c>
      <c r="EE652">
        <f t="shared" si="1271"/>
        <v>0</v>
      </c>
      <c r="EF652">
        <f t="shared" si="1271"/>
        <v>0</v>
      </c>
    </row>
    <row r="653" spans="1:136" ht="15.5">
      <c r="A653" s="90"/>
      <c r="B653" s="37"/>
      <c r="C653" s="94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18"/>
      <c r="AQ653" s="18"/>
      <c r="AR653" s="18"/>
      <c r="AS653" s="18"/>
      <c r="AT653" s="18"/>
      <c r="AU653" s="18"/>
      <c r="AV653" s="34"/>
      <c r="AW653" s="34"/>
      <c r="AX653" s="9"/>
      <c r="AY653" s="9"/>
      <c r="AZ653" s="9"/>
      <c r="BA653" s="9"/>
      <c r="BB653" s="9"/>
      <c r="BC653" s="9"/>
      <c r="BD653" s="9"/>
      <c r="BE653" s="8"/>
      <c r="BF653" s="9"/>
      <c r="BG653" s="9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101"/>
    </row>
    <row r="654" spans="1:136" ht="15.5">
      <c r="A654" s="93">
        <v>79</v>
      </c>
      <c r="B654" s="54" t="s">
        <v>91</v>
      </c>
      <c r="C654" s="94">
        <v>4</v>
      </c>
      <c r="D654" s="22">
        <f t="shared" ref="D654:AI654" si="1272">SUM(D655:D659)</f>
        <v>0</v>
      </c>
      <c r="E654" s="22">
        <f t="shared" si="1272"/>
        <v>0</v>
      </c>
      <c r="F654" s="22">
        <f t="shared" si="1272"/>
        <v>0</v>
      </c>
      <c r="G654" s="22">
        <f t="shared" si="1272"/>
        <v>0</v>
      </c>
      <c r="H654" s="22">
        <f t="shared" si="1272"/>
        <v>0</v>
      </c>
      <c r="I654" s="22">
        <f t="shared" si="1272"/>
        <v>0</v>
      </c>
      <c r="J654" s="22">
        <f t="shared" si="1272"/>
        <v>0</v>
      </c>
      <c r="K654" s="22">
        <f t="shared" si="1272"/>
        <v>0</v>
      </c>
      <c r="L654" s="22">
        <f t="shared" si="1272"/>
        <v>0</v>
      </c>
      <c r="M654" s="22">
        <f t="shared" si="1272"/>
        <v>0</v>
      </c>
      <c r="N654" s="22">
        <f t="shared" si="1272"/>
        <v>0</v>
      </c>
      <c r="O654" s="22">
        <f t="shared" si="1272"/>
        <v>0</v>
      </c>
      <c r="P654" s="22">
        <f t="shared" si="1272"/>
        <v>0.22500000000000001</v>
      </c>
      <c r="Q654" s="22">
        <f t="shared" si="1272"/>
        <v>0.27300000000000002</v>
      </c>
      <c r="R654" s="22">
        <f t="shared" si="1272"/>
        <v>0.128</v>
      </c>
      <c r="S654" s="22">
        <f t="shared" si="1272"/>
        <v>0.60878900000000002</v>
      </c>
      <c r="T654" s="22">
        <f t="shared" si="1272"/>
        <v>156.11761899999999</v>
      </c>
      <c r="U654" s="22">
        <f t="shared" si="1272"/>
        <v>1.8009550000000001</v>
      </c>
      <c r="V654" s="22">
        <f t="shared" si="1272"/>
        <v>3.1868749999999997</v>
      </c>
      <c r="W654" s="22">
        <f t="shared" si="1272"/>
        <v>4.2618030000000005</v>
      </c>
      <c r="X654" s="22">
        <f t="shared" si="1272"/>
        <v>5.5088450000000009</v>
      </c>
      <c r="Y654" s="22">
        <f t="shared" si="1272"/>
        <v>5.3008480000000002</v>
      </c>
      <c r="Z654" s="22">
        <f t="shared" si="1272"/>
        <v>5.2465200000000003</v>
      </c>
      <c r="AA654" s="22">
        <f t="shared" si="1272"/>
        <v>4.8679410000000001</v>
      </c>
      <c r="AB654" s="22">
        <f t="shared" si="1272"/>
        <v>4.7775359999999996</v>
      </c>
      <c r="AC654" s="22">
        <f t="shared" si="1272"/>
        <v>6.7520950000000006</v>
      </c>
      <c r="AD654" s="22">
        <f t="shared" si="1272"/>
        <v>8.7669139999999999</v>
      </c>
      <c r="AE654" s="22">
        <f t="shared" si="1272"/>
        <v>12.713977</v>
      </c>
      <c r="AF654" s="22">
        <f t="shared" si="1272"/>
        <v>0.66799999999999993</v>
      </c>
      <c r="AG654" s="22">
        <f t="shared" si="1272"/>
        <v>0.254</v>
      </c>
      <c r="AH654" s="22">
        <f t="shared" si="1272"/>
        <v>1.0209999999999999</v>
      </c>
      <c r="AI654" s="22">
        <f t="shared" si="1272"/>
        <v>1291.9190000000001</v>
      </c>
      <c r="AJ654" s="22">
        <f t="shared" ref="AJ654:BQ654" si="1273">SUM(AJ655:AJ659)</f>
        <v>0.4</v>
      </c>
      <c r="AK654" s="22">
        <f t="shared" si="1273"/>
        <v>0</v>
      </c>
      <c r="AL654" s="22">
        <f t="shared" si="1273"/>
        <v>0</v>
      </c>
      <c r="AM654" s="22">
        <f t="shared" si="1273"/>
        <v>0</v>
      </c>
      <c r="AN654" s="22">
        <f t="shared" si="1273"/>
        <v>1.5840000000000001</v>
      </c>
      <c r="AO654" s="22">
        <f t="shared" si="1273"/>
        <v>1.659</v>
      </c>
      <c r="AP654" s="22">
        <f t="shared" si="1273"/>
        <v>0.69600000000000006</v>
      </c>
      <c r="AQ654" s="22">
        <f t="shared" si="1273"/>
        <v>0.98399999999999999</v>
      </c>
      <c r="AR654" s="22">
        <f t="shared" si="1273"/>
        <v>1.2195859</v>
      </c>
      <c r="AS654" s="22">
        <f t="shared" si="1273"/>
        <v>1.7000000000000001E-2</v>
      </c>
      <c r="AT654" s="22">
        <f t="shared" si="1273"/>
        <v>0</v>
      </c>
      <c r="AU654" s="22">
        <f t="shared" si="1273"/>
        <v>905</v>
      </c>
      <c r="AV654" s="22">
        <f t="shared" si="1273"/>
        <v>0</v>
      </c>
      <c r="AW654" s="22">
        <f t="shared" si="1273"/>
        <v>0</v>
      </c>
      <c r="AX654" s="22">
        <f t="shared" si="1273"/>
        <v>45</v>
      </c>
      <c r="AY654" s="22">
        <f t="shared" si="1273"/>
        <v>0</v>
      </c>
      <c r="AZ654" s="22">
        <f t="shared" si="1273"/>
        <v>0</v>
      </c>
      <c r="BA654" s="22">
        <f t="shared" si="1273"/>
        <v>0</v>
      </c>
      <c r="BB654" s="22">
        <f t="shared" si="1273"/>
        <v>0</v>
      </c>
      <c r="BC654" s="22">
        <f t="shared" si="1273"/>
        <v>0</v>
      </c>
      <c r="BD654" s="22">
        <f t="shared" si="1273"/>
        <v>2.6388000000000002E-3</v>
      </c>
      <c r="BE654" s="22">
        <f t="shared" si="1273"/>
        <v>2.7581999999999997E-3</v>
      </c>
      <c r="BF654" s="22">
        <f t="shared" si="1273"/>
        <v>2.4281999999999997E-3</v>
      </c>
      <c r="BG654" s="22">
        <f t="shared" si="1273"/>
        <v>2.1773999999999999E-3</v>
      </c>
      <c r="BH654" s="22">
        <f t="shared" si="1273"/>
        <v>2.1081999999999997E-3</v>
      </c>
      <c r="BI654" s="22">
        <f t="shared" si="1273"/>
        <v>2.3985999999999999E-3</v>
      </c>
      <c r="BJ654" s="109">
        <f t="shared" si="1273"/>
        <v>2.2899999999999999E-3</v>
      </c>
      <c r="BK654" s="109">
        <f t="shared" si="1273"/>
        <v>2.2468000000000002E-3</v>
      </c>
      <c r="BL654" s="138">
        <f t="shared" si="1273"/>
        <v>220.00245419999999</v>
      </c>
      <c r="BM654" s="9">
        <f t="shared" si="1273"/>
        <v>450.00226520000001</v>
      </c>
      <c r="BN654" s="9">
        <f t="shared" si="1273"/>
        <v>610.0021332</v>
      </c>
      <c r="BO654" s="9">
        <f t="shared" si="1273"/>
        <v>927.044173</v>
      </c>
      <c r="BP654" s="109">
        <f t="shared" si="1273"/>
        <v>2.1329999999999999E-3</v>
      </c>
      <c r="BQ654" s="109">
        <f t="shared" si="1273"/>
        <v>2.1329999999999999E-3</v>
      </c>
      <c r="BR654" s="101"/>
      <c r="BS654">
        <f t="shared" ref="BS654:CB660" si="1274">IF($C654&lt;&gt;"",IF(D654&gt;0,1,0),0)</f>
        <v>0</v>
      </c>
      <c r="BT654">
        <f t="shared" si="1274"/>
        <v>0</v>
      </c>
      <c r="BU654">
        <f t="shared" si="1274"/>
        <v>0</v>
      </c>
      <c r="BV654">
        <f t="shared" si="1274"/>
        <v>0</v>
      </c>
      <c r="BW654">
        <f t="shared" si="1274"/>
        <v>0</v>
      </c>
      <c r="BX654">
        <f t="shared" si="1274"/>
        <v>0</v>
      </c>
      <c r="BY654">
        <f t="shared" si="1274"/>
        <v>0</v>
      </c>
      <c r="BZ654">
        <f t="shared" si="1274"/>
        <v>0</v>
      </c>
      <c r="CA654">
        <f t="shared" si="1274"/>
        <v>0</v>
      </c>
      <c r="CB654">
        <f t="shared" si="1274"/>
        <v>0</v>
      </c>
      <c r="CC654">
        <f t="shared" ref="CC654:CL660" si="1275">IF($C654&lt;&gt;"",IF(N654&gt;0,1,0),0)</f>
        <v>0</v>
      </c>
      <c r="CD654">
        <f t="shared" si="1275"/>
        <v>0</v>
      </c>
      <c r="CE654">
        <f t="shared" si="1275"/>
        <v>1</v>
      </c>
      <c r="CF654">
        <f t="shared" si="1275"/>
        <v>1</v>
      </c>
      <c r="CG654">
        <f t="shared" si="1275"/>
        <v>1</v>
      </c>
      <c r="CH654">
        <f t="shared" si="1275"/>
        <v>1</v>
      </c>
      <c r="CI654">
        <f t="shared" si="1275"/>
        <v>1</v>
      </c>
      <c r="CJ654">
        <f t="shared" si="1275"/>
        <v>1</v>
      </c>
      <c r="CK654">
        <f t="shared" si="1275"/>
        <v>1</v>
      </c>
      <c r="CL654">
        <f t="shared" si="1275"/>
        <v>1</v>
      </c>
      <c r="CM654">
        <f t="shared" ref="CM654:CV660" si="1276">IF($C654&lt;&gt;"",IF(X654&gt;0,1,0),0)</f>
        <v>1</v>
      </c>
      <c r="CN654">
        <f t="shared" si="1276"/>
        <v>1</v>
      </c>
      <c r="CO654">
        <f t="shared" si="1276"/>
        <v>1</v>
      </c>
      <c r="CP654">
        <f t="shared" si="1276"/>
        <v>1</v>
      </c>
      <c r="CQ654">
        <f t="shared" si="1276"/>
        <v>1</v>
      </c>
      <c r="CR654">
        <f t="shared" si="1276"/>
        <v>1</v>
      </c>
      <c r="CS654">
        <f t="shared" si="1276"/>
        <v>1</v>
      </c>
      <c r="CT654">
        <f t="shared" si="1276"/>
        <v>1</v>
      </c>
      <c r="CU654">
        <f t="shared" si="1276"/>
        <v>1</v>
      </c>
      <c r="CV654">
        <f t="shared" si="1276"/>
        <v>1</v>
      </c>
      <c r="CW654">
        <f t="shared" ref="CW654:DF660" si="1277">IF($C654&lt;&gt;"",IF(AH654&gt;0,1,0),0)</f>
        <v>1</v>
      </c>
      <c r="CX654">
        <f t="shared" si="1277"/>
        <v>1</v>
      </c>
      <c r="CY654">
        <f t="shared" si="1277"/>
        <v>1</v>
      </c>
      <c r="CZ654">
        <f t="shared" si="1277"/>
        <v>0</v>
      </c>
      <c r="DA654">
        <f t="shared" si="1277"/>
        <v>0</v>
      </c>
      <c r="DB654">
        <f t="shared" si="1277"/>
        <v>0</v>
      </c>
      <c r="DC654">
        <f t="shared" si="1277"/>
        <v>1</v>
      </c>
      <c r="DD654">
        <f t="shared" si="1277"/>
        <v>1</v>
      </c>
      <c r="DE654">
        <f t="shared" si="1277"/>
        <v>1</v>
      </c>
      <c r="DF654">
        <f t="shared" si="1277"/>
        <v>1</v>
      </c>
      <c r="DG654">
        <f t="shared" ref="DG654:DP660" si="1278">IF($C654&lt;&gt;"",IF(AR654&gt;0,1,0),0)</f>
        <v>1</v>
      </c>
      <c r="DH654">
        <f t="shared" si="1278"/>
        <v>1</v>
      </c>
      <c r="DI654">
        <f t="shared" si="1278"/>
        <v>0</v>
      </c>
      <c r="DJ654">
        <f t="shared" si="1278"/>
        <v>1</v>
      </c>
      <c r="DK654">
        <f t="shared" si="1278"/>
        <v>0</v>
      </c>
      <c r="DL654">
        <f t="shared" si="1278"/>
        <v>0</v>
      </c>
      <c r="DM654">
        <f t="shared" si="1278"/>
        <v>1</v>
      </c>
      <c r="DN654">
        <f t="shared" si="1278"/>
        <v>0</v>
      </c>
      <c r="DO654">
        <f t="shared" si="1278"/>
        <v>0</v>
      </c>
      <c r="DP654">
        <f t="shared" si="1278"/>
        <v>0</v>
      </c>
      <c r="DQ654">
        <f t="shared" ref="DQ654:DZ660" si="1279">IF($C654&lt;&gt;"",IF(BB654&gt;0,1,0),0)</f>
        <v>0</v>
      </c>
      <c r="DR654">
        <f t="shared" si="1279"/>
        <v>0</v>
      </c>
      <c r="DS654">
        <f t="shared" si="1279"/>
        <v>1</v>
      </c>
      <c r="DT654">
        <f t="shared" si="1279"/>
        <v>1</v>
      </c>
      <c r="DU654">
        <f t="shared" si="1279"/>
        <v>1</v>
      </c>
      <c r="DV654">
        <f t="shared" si="1279"/>
        <v>1</v>
      </c>
      <c r="DW654">
        <f t="shared" si="1279"/>
        <v>1</v>
      </c>
      <c r="DX654">
        <f t="shared" si="1279"/>
        <v>1</v>
      </c>
      <c r="DY654">
        <f t="shared" si="1279"/>
        <v>1</v>
      </c>
      <c r="DZ654">
        <f t="shared" si="1279"/>
        <v>1</v>
      </c>
      <c r="EA654">
        <f t="shared" ref="EA654:EF660" si="1280">IF($C654&lt;&gt;"",IF(BL654&gt;0,1,0),0)</f>
        <v>1</v>
      </c>
      <c r="EB654">
        <f t="shared" si="1280"/>
        <v>1</v>
      </c>
      <c r="EC654">
        <f t="shared" si="1280"/>
        <v>1</v>
      </c>
      <c r="ED654">
        <f t="shared" si="1280"/>
        <v>1</v>
      </c>
      <c r="EE654">
        <f t="shared" si="1280"/>
        <v>1</v>
      </c>
      <c r="EF654">
        <f t="shared" si="1280"/>
        <v>1</v>
      </c>
    </row>
    <row r="655" spans="1:136" ht="15.5">
      <c r="A655" s="90"/>
      <c r="B655" s="24" t="s">
        <v>15</v>
      </c>
      <c r="C655" s="94"/>
      <c r="D655" s="18">
        <v>0</v>
      </c>
      <c r="E655" s="18">
        <v>0</v>
      </c>
      <c r="F655" s="18">
        <v>0</v>
      </c>
      <c r="G655" s="18">
        <v>0</v>
      </c>
      <c r="H655" s="18">
        <v>0</v>
      </c>
      <c r="I655" s="18">
        <v>0</v>
      </c>
      <c r="J655" s="18">
        <v>0</v>
      </c>
      <c r="K655" s="18">
        <v>0</v>
      </c>
      <c r="L655" s="18">
        <v>0</v>
      </c>
      <c r="M655" s="18">
        <v>0</v>
      </c>
      <c r="N655" s="18">
        <v>0</v>
      </c>
      <c r="O655" s="18">
        <v>0</v>
      </c>
      <c r="P655" s="18">
        <v>0</v>
      </c>
      <c r="Q655" s="18">
        <v>0</v>
      </c>
      <c r="R655" s="18">
        <v>0</v>
      </c>
      <c r="S655" s="18">
        <v>0</v>
      </c>
      <c r="T655" s="18">
        <v>0</v>
      </c>
      <c r="U655" s="18">
        <v>0</v>
      </c>
      <c r="V655" s="18">
        <v>0</v>
      </c>
      <c r="W655" s="18">
        <v>0</v>
      </c>
      <c r="X655" s="18">
        <v>0</v>
      </c>
      <c r="Y655" s="18">
        <v>0</v>
      </c>
      <c r="Z655" s="18">
        <v>0</v>
      </c>
      <c r="AA655" s="18">
        <v>0</v>
      </c>
      <c r="AB655" s="18">
        <v>0</v>
      </c>
      <c r="AC655" s="18">
        <v>0</v>
      </c>
      <c r="AD655" s="18">
        <v>0</v>
      </c>
      <c r="AE655" s="18">
        <v>1</v>
      </c>
      <c r="AF655" s="18">
        <v>0</v>
      </c>
      <c r="AG655" s="18">
        <v>0</v>
      </c>
      <c r="AH655" s="18">
        <v>0</v>
      </c>
      <c r="AI655" s="18">
        <v>0</v>
      </c>
      <c r="AJ655" s="18">
        <v>0</v>
      </c>
      <c r="AK655" s="18">
        <v>0</v>
      </c>
      <c r="AL655" s="18">
        <v>0</v>
      </c>
      <c r="AM655" s="18">
        <v>0</v>
      </c>
      <c r="AN655" s="18">
        <v>0</v>
      </c>
      <c r="AO655" s="18">
        <v>0</v>
      </c>
      <c r="AP655" s="18">
        <v>0</v>
      </c>
      <c r="AQ655" s="18">
        <v>0</v>
      </c>
      <c r="AR655" s="18">
        <v>0</v>
      </c>
      <c r="AS655" s="18">
        <v>0</v>
      </c>
      <c r="AT655" s="18">
        <v>0</v>
      </c>
      <c r="AU655" s="18">
        <v>0</v>
      </c>
      <c r="AV655" s="18">
        <v>0</v>
      </c>
      <c r="AW655" s="18">
        <v>0</v>
      </c>
      <c r="AX655" s="18">
        <v>0</v>
      </c>
      <c r="AY655" s="18">
        <v>0</v>
      </c>
      <c r="AZ655" s="18">
        <v>0</v>
      </c>
      <c r="BA655" s="18">
        <v>0</v>
      </c>
      <c r="BB655" s="18">
        <v>0</v>
      </c>
      <c r="BC655" s="18">
        <v>0</v>
      </c>
      <c r="BD655" s="18">
        <v>0</v>
      </c>
      <c r="BE655" s="18">
        <v>0</v>
      </c>
      <c r="BF655" s="18">
        <v>0</v>
      </c>
      <c r="BG655" s="18">
        <v>0</v>
      </c>
      <c r="BH655" s="18">
        <v>0</v>
      </c>
      <c r="BI655" s="18">
        <v>0</v>
      </c>
      <c r="BJ655" s="113">
        <v>0</v>
      </c>
      <c r="BK655" s="113">
        <v>0</v>
      </c>
      <c r="BL655" s="113">
        <v>0</v>
      </c>
      <c r="BM655" s="113">
        <v>0</v>
      </c>
      <c r="BN655" s="113">
        <v>0</v>
      </c>
      <c r="BO655" s="113">
        <v>0</v>
      </c>
      <c r="BP655" s="113">
        <v>0</v>
      </c>
      <c r="BQ655" s="113">
        <v>0</v>
      </c>
      <c r="BR655" s="101"/>
      <c r="BS655">
        <f t="shared" si="1274"/>
        <v>0</v>
      </c>
      <c r="BT655">
        <f t="shared" si="1274"/>
        <v>0</v>
      </c>
      <c r="BU655">
        <f t="shared" si="1274"/>
        <v>0</v>
      </c>
      <c r="BV655">
        <f t="shared" si="1274"/>
        <v>0</v>
      </c>
      <c r="BW655">
        <f t="shared" si="1274"/>
        <v>0</v>
      </c>
      <c r="BX655">
        <f t="shared" si="1274"/>
        <v>0</v>
      </c>
      <c r="BY655">
        <f t="shared" si="1274"/>
        <v>0</v>
      </c>
      <c r="BZ655">
        <f t="shared" si="1274"/>
        <v>0</v>
      </c>
      <c r="CA655">
        <f t="shared" si="1274"/>
        <v>0</v>
      </c>
      <c r="CB655">
        <f t="shared" si="1274"/>
        <v>0</v>
      </c>
      <c r="CC655">
        <f t="shared" si="1275"/>
        <v>0</v>
      </c>
      <c r="CD655">
        <f t="shared" si="1275"/>
        <v>0</v>
      </c>
      <c r="CE655">
        <f t="shared" si="1275"/>
        <v>0</v>
      </c>
      <c r="CF655">
        <f t="shared" si="1275"/>
        <v>0</v>
      </c>
      <c r="CG655">
        <f t="shared" si="1275"/>
        <v>0</v>
      </c>
      <c r="CH655">
        <f t="shared" si="1275"/>
        <v>0</v>
      </c>
      <c r="CI655">
        <f t="shared" si="1275"/>
        <v>0</v>
      </c>
      <c r="CJ655">
        <f t="shared" si="1275"/>
        <v>0</v>
      </c>
      <c r="CK655">
        <f t="shared" si="1275"/>
        <v>0</v>
      </c>
      <c r="CL655">
        <f t="shared" si="1275"/>
        <v>0</v>
      </c>
      <c r="CM655">
        <f t="shared" si="1276"/>
        <v>0</v>
      </c>
      <c r="CN655">
        <f t="shared" si="1276"/>
        <v>0</v>
      </c>
      <c r="CO655">
        <f t="shared" si="1276"/>
        <v>0</v>
      </c>
      <c r="CP655">
        <f t="shared" si="1276"/>
        <v>0</v>
      </c>
      <c r="CQ655">
        <f t="shared" si="1276"/>
        <v>0</v>
      </c>
      <c r="CR655">
        <f t="shared" si="1276"/>
        <v>0</v>
      </c>
      <c r="CS655">
        <f t="shared" si="1276"/>
        <v>0</v>
      </c>
      <c r="CT655">
        <f t="shared" si="1276"/>
        <v>0</v>
      </c>
      <c r="CU655">
        <f t="shared" si="1276"/>
        <v>0</v>
      </c>
      <c r="CV655">
        <f t="shared" si="1276"/>
        <v>0</v>
      </c>
      <c r="CW655">
        <f t="shared" si="1277"/>
        <v>0</v>
      </c>
      <c r="CX655">
        <f t="shared" si="1277"/>
        <v>0</v>
      </c>
      <c r="CY655">
        <f t="shared" si="1277"/>
        <v>0</v>
      </c>
      <c r="CZ655">
        <f t="shared" si="1277"/>
        <v>0</v>
      </c>
      <c r="DA655">
        <f t="shared" si="1277"/>
        <v>0</v>
      </c>
      <c r="DB655">
        <f t="shared" si="1277"/>
        <v>0</v>
      </c>
      <c r="DC655">
        <f t="shared" si="1277"/>
        <v>0</v>
      </c>
      <c r="DD655">
        <f t="shared" si="1277"/>
        <v>0</v>
      </c>
      <c r="DE655">
        <f t="shared" si="1277"/>
        <v>0</v>
      </c>
      <c r="DF655">
        <f t="shared" si="1277"/>
        <v>0</v>
      </c>
      <c r="DG655">
        <f t="shared" si="1278"/>
        <v>0</v>
      </c>
      <c r="DH655">
        <f t="shared" si="1278"/>
        <v>0</v>
      </c>
      <c r="DI655">
        <f t="shared" si="1278"/>
        <v>0</v>
      </c>
      <c r="DJ655">
        <f t="shared" si="1278"/>
        <v>0</v>
      </c>
      <c r="DK655">
        <f t="shared" si="1278"/>
        <v>0</v>
      </c>
      <c r="DL655">
        <f t="shared" si="1278"/>
        <v>0</v>
      </c>
      <c r="DM655">
        <f t="shared" si="1278"/>
        <v>0</v>
      </c>
      <c r="DN655">
        <f t="shared" si="1278"/>
        <v>0</v>
      </c>
      <c r="DO655">
        <f t="shared" si="1278"/>
        <v>0</v>
      </c>
      <c r="DP655">
        <f t="shared" si="1278"/>
        <v>0</v>
      </c>
      <c r="DQ655">
        <f t="shared" si="1279"/>
        <v>0</v>
      </c>
      <c r="DR655">
        <f t="shared" si="1279"/>
        <v>0</v>
      </c>
      <c r="DS655">
        <f t="shared" si="1279"/>
        <v>0</v>
      </c>
      <c r="DT655">
        <f t="shared" si="1279"/>
        <v>0</v>
      </c>
      <c r="DU655">
        <f t="shared" si="1279"/>
        <v>0</v>
      </c>
      <c r="DV655">
        <f t="shared" si="1279"/>
        <v>0</v>
      </c>
      <c r="DW655">
        <f t="shared" si="1279"/>
        <v>0</v>
      </c>
      <c r="DX655">
        <f t="shared" si="1279"/>
        <v>0</v>
      </c>
      <c r="DY655">
        <f t="shared" si="1279"/>
        <v>0</v>
      </c>
      <c r="DZ655">
        <f t="shared" si="1279"/>
        <v>0</v>
      </c>
      <c r="EA655">
        <f t="shared" si="1280"/>
        <v>0</v>
      </c>
      <c r="EB655">
        <f t="shared" si="1280"/>
        <v>0</v>
      </c>
      <c r="EC655">
        <f t="shared" si="1280"/>
        <v>0</v>
      </c>
      <c r="ED655">
        <f t="shared" si="1280"/>
        <v>0</v>
      </c>
      <c r="EE655">
        <f t="shared" si="1280"/>
        <v>0</v>
      </c>
      <c r="EF655">
        <f t="shared" si="1280"/>
        <v>0</v>
      </c>
    </row>
    <row r="656" spans="1:136" ht="15.5">
      <c r="A656" s="90"/>
      <c r="B656" s="24" t="s">
        <v>205</v>
      </c>
      <c r="C656" s="94"/>
      <c r="D656" s="18">
        <v>0</v>
      </c>
      <c r="E656" s="18">
        <v>0</v>
      </c>
      <c r="F656" s="18">
        <v>0</v>
      </c>
      <c r="G656" s="18">
        <v>0</v>
      </c>
      <c r="H656" s="18">
        <v>0</v>
      </c>
      <c r="I656" s="18">
        <v>0</v>
      </c>
      <c r="J656" s="18">
        <v>0</v>
      </c>
      <c r="K656" s="18">
        <v>0</v>
      </c>
      <c r="L656" s="18">
        <v>0</v>
      </c>
      <c r="M656" s="18">
        <v>0</v>
      </c>
      <c r="N656" s="18">
        <v>0</v>
      </c>
      <c r="O656" s="18">
        <v>0</v>
      </c>
      <c r="P656" s="18">
        <v>0</v>
      </c>
      <c r="Q656" s="18">
        <v>0</v>
      </c>
      <c r="R656" s="18">
        <v>0</v>
      </c>
      <c r="S656" s="18">
        <v>0</v>
      </c>
      <c r="T656" s="18">
        <v>0</v>
      </c>
      <c r="U656" s="18">
        <v>0</v>
      </c>
      <c r="V656" s="18">
        <v>0</v>
      </c>
      <c r="W656" s="18">
        <v>0</v>
      </c>
      <c r="X656" s="18">
        <v>0</v>
      </c>
      <c r="Y656" s="18">
        <v>0</v>
      </c>
      <c r="Z656" s="18">
        <v>0</v>
      </c>
      <c r="AA656" s="18">
        <v>0</v>
      </c>
      <c r="AB656" s="18">
        <v>0</v>
      </c>
      <c r="AC656" s="18">
        <v>0</v>
      </c>
      <c r="AD656" s="18">
        <v>0</v>
      </c>
      <c r="AE656" s="18">
        <v>0</v>
      </c>
      <c r="AF656" s="18">
        <v>0</v>
      </c>
      <c r="AG656" s="18">
        <v>0</v>
      </c>
      <c r="AH656" s="18">
        <v>0</v>
      </c>
      <c r="AI656" s="18">
        <v>0</v>
      </c>
      <c r="AJ656" s="18">
        <v>0</v>
      </c>
      <c r="AK656" s="18">
        <v>0</v>
      </c>
      <c r="AL656" s="18">
        <v>0</v>
      </c>
      <c r="AM656" s="18">
        <v>0</v>
      </c>
      <c r="AN656" s="18">
        <v>0</v>
      </c>
      <c r="AO656" s="18">
        <v>0</v>
      </c>
      <c r="AP656" s="18">
        <v>0</v>
      </c>
      <c r="AQ656" s="18">
        <v>0</v>
      </c>
      <c r="AR656" s="18">
        <v>0</v>
      </c>
      <c r="AS656" s="18">
        <v>0</v>
      </c>
      <c r="AT656" s="18">
        <v>0</v>
      </c>
      <c r="AU656" s="40" t="s">
        <v>16</v>
      </c>
      <c r="AV656" s="18">
        <v>0</v>
      </c>
      <c r="AW656" s="18">
        <v>0</v>
      </c>
      <c r="AX656" s="18">
        <v>45</v>
      </c>
      <c r="AY656" s="18">
        <v>0</v>
      </c>
      <c r="AZ656" s="18">
        <v>0</v>
      </c>
      <c r="BA656" s="18">
        <v>0</v>
      </c>
      <c r="BB656" s="18">
        <v>0</v>
      </c>
      <c r="BC656" s="18">
        <v>0</v>
      </c>
      <c r="BD656" s="18">
        <v>0</v>
      </c>
      <c r="BE656" s="25">
        <v>0</v>
      </c>
      <c r="BF656" s="18">
        <v>0</v>
      </c>
      <c r="BG656" s="18">
        <v>0</v>
      </c>
      <c r="BH656" s="18">
        <v>0</v>
      </c>
      <c r="BI656" s="18">
        <v>0</v>
      </c>
      <c r="BJ656" s="113">
        <v>0</v>
      </c>
      <c r="BK656" s="113">
        <v>0</v>
      </c>
      <c r="BL656" s="113">
        <v>220</v>
      </c>
      <c r="BM656" s="113">
        <v>450</v>
      </c>
      <c r="BN656" s="113">
        <v>610</v>
      </c>
      <c r="BO656" s="113">
        <v>927</v>
      </c>
      <c r="BP656" s="113">
        <v>0</v>
      </c>
      <c r="BQ656" s="113">
        <v>0</v>
      </c>
      <c r="BR656" s="101"/>
      <c r="BS656">
        <f t="shared" si="1274"/>
        <v>0</v>
      </c>
      <c r="BT656">
        <f t="shared" si="1274"/>
        <v>0</v>
      </c>
      <c r="BU656">
        <f t="shared" si="1274"/>
        <v>0</v>
      </c>
      <c r="BV656">
        <f t="shared" si="1274"/>
        <v>0</v>
      </c>
      <c r="BW656">
        <f t="shared" si="1274"/>
        <v>0</v>
      </c>
      <c r="BX656">
        <f t="shared" si="1274"/>
        <v>0</v>
      </c>
      <c r="BY656">
        <f t="shared" si="1274"/>
        <v>0</v>
      </c>
      <c r="BZ656">
        <f t="shared" si="1274"/>
        <v>0</v>
      </c>
      <c r="CA656">
        <f t="shared" si="1274"/>
        <v>0</v>
      </c>
      <c r="CB656">
        <f t="shared" si="1274"/>
        <v>0</v>
      </c>
      <c r="CC656">
        <f t="shared" si="1275"/>
        <v>0</v>
      </c>
      <c r="CD656">
        <f t="shared" si="1275"/>
        <v>0</v>
      </c>
      <c r="CE656">
        <f t="shared" si="1275"/>
        <v>0</v>
      </c>
      <c r="CF656">
        <f t="shared" si="1275"/>
        <v>0</v>
      </c>
      <c r="CG656">
        <f t="shared" si="1275"/>
        <v>0</v>
      </c>
      <c r="CH656">
        <f t="shared" si="1275"/>
        <v>0</v>
      </c>
      <c r="CI656">
        <f t="shared" si="1275"/>
        <v>0</v>
      </c>
      <c r="CJ656">
        <f t="shared" si="1275"/>
        <v>0</v>
      </c>
      <c r="CK656">
        <f t="shared" si="1275"/>
        <v>0</v>
      </c>
      <c r="CL656">
        <f t="shared" si="1275"/>
        <v>0</v>
      </c>
      <c r="CM656">
        <f t="shared" si="1276"/>
        <v>0</v>
      </c>
      <c r="CN656">
        <f t="shared" si="1276"/>
        <v>0</v>
      </c>
      <c r="CO656">
        <f t="shared" si="1276"/>
        <v>0</v>
      </c>
      <c r="CP656">
        <f t="shared" si="1276"/>
        <v>0</v>
      </c>
      <c r="CQ656">
        <f t="shared" si="1276"/>
        <v>0</v>
      </c>
      <c r="CR656">
        <f t="shared" si="1276"/>
        <v>0</v>
      </c>
      <c r="CS656">
        <f t="shared" si="1276"/>
        <v>0</v>
      </c>
      <c r="CT656">
        <f t="shared" si="1276"/>
        <v>0</v>
      </c>
      <c r="CU656">
        <f t="shared" si="1276"/>
        <v>0</v>
      </c>
      <c r="CV656">
        <f t="shared" si="1276"/>
        <v>0</v>
      </c>
      <c r="CW656">
        <f t="shared" si="1277"/>
        <v>0</v>
      </c>
      <c r="CX656">
        <f t="shared" si="1277"/>
        <v>0</v>
      </c>
      <c r="CY656">
        <f t="shared" si="1277"/>
        <v>0</v>
      </c>
      <c r="CZ656">
        <f t="shared" si="1277"/>
        <v>0</v>
      </c>
      <c r="DA656">
        <f t="shared" si="1277"/>
        <v>0</v>
      </c>
      <c r="DB656">
        <f t="shared" si="1277"/>
        <v>0</v>
      </c>
      <c r="DC656">
        <f t="shared" si="1277"/>
        <v>0</v>
      </c>
      <c r="DD656">
        <f t="shared" si="1277"/>
        <v>0</v>
      </c>
      <c r="DE656">
        <f t="shared" si="1277"/>
        <v>0</v>
      </c>
      <c r="DF656">
        <f t="shared" si="1277"/>
        <v>0</v>
      </c>
      <c r="DG656">
        <f t="shared" si="1278"/>
        <v>0</v>
      </c>
      <c r="DH656">
        <f t="shared" si="1278"/>
        <v>0</v>
      </c>
      <c r="DI656">
        <f t="shared" si="1278"/>
        <v>0</v>
      </c>
      <c r="DJ656">
        <f t="shared" si="1278"/>
        <v>0</v>
      </c>
      <c r="DK656">
        <f t="shared" si="1278"/>
        <v>0</v>
      </c>
      <c r="DL656">
        <f t="shared" si="1278"/>
        <v>0</v>
      </c>
      <c r="DM656">
        <f t="shared" si="1278"/>
        <v>0</v>
      </c>
      <c r="DN656">
        <f t="shared" si="1278"/>
        <v>0</v>
      </c>
      <c r="DO656">
        <f t="shared" si="1278"/>
        <v>0</v>
      </c>
      <c r="DP656">
        <f t="shared" si="1278"/>
        <v>0</v>
      </c>
      <c r="DQ656">
        <f t="shared" si="1279"/>
        <v>0</v>
      </c>
      <c r="DR656">
        <f t="shared" si="1279"/>
        <v>0</v>
      </c>
      <c r="DS656">
        <f t="shared" si="1279"/>
        <v>0</v>
      </c>
      <c r="DT656">
        <f t="shared" si="1279"/>
        <v>0</v>
      </c>
      <c r="DU656">
        <f t="shared" si="1279"/>
        <v>0</v>
      </c>
      <c r="DV656">
        <f t="shared" si="1279"/>
        <v>0</v>
      </c>
      <c r="DW656">
        <f t="shared" si="1279"/>
        <v>0</v>
      </c>
      <c r="DX656">
        <f t="shared" si="1279"/>
        <v>0</v>
      </c>
      <c r="DY656">
        <f t="shared" si="1279"/>
        <v>0</v>
      </c>
      <c r="DZ656">
        <f t="shared" si="1279"/>
        <v>0</v>
      </c>
      <c r="EA656">
        <f t="shared" si="1280"/>
        <v>0</v>
      </c>
      <c r="EB656">
        <f t="shared" si="1280"/>
        <v>0</v>
      </c>
      <c r="EC656">
        <f t="shared" si="1280"/>
        <v>0</v>
      </c>
      <c r="ED656">
        <f t="shared" si="1280"/>
        <v>0</v>
      </c>
      <c r="EE656">
        <f t="shared" si="1280"/>
        <v>0</v>
      </c>
      <c r="EF656">
        <f t="shared" si="1280"/>
        <v>0</v>
      </c>
    </row>
    <row r="657" spans="1:136" ht="15.5">
      <c r="A657" s="90"/>
      <c r="B657" s="53" t="s">
        <v>3</v>
      </c>
      <c r="C657" s="94"/>
      <c r="D657" s="18">
        <v>0</v>
      </c>
      <c r="E657" s="18">
        <v>0</v>
      </c>
      <c r="F657" s="18">
        <v>0</v>
      </c>
      <c r="G657" s="18">
        <v>0</v>
      </c>
      <c r="H657" s="18">
        <v>0</v>
      </c>
      <c r="I657" s="18">
        <v>0</v>
      </c>
      <c r="J657" s="18">
        <v>0</v>
      </c>
      <c r="K657" s="18">
        <v>0</v>
      </c>
      <c r="L657" s="18">
        <v>0</v>
      </c>
      <c r="M657" s="18">
        <v>0</v>
      </c>
      <c r="N657" s="18">
        <v>0</v>
      </c>
      <c r="O657" s="18">
        <v>0</v>
      </c>
      <c r="P657" s="18">
        <v>0.22500000000000001</v>
      </c>
      <c r="Q657" s="18">
        <v>0.27300000000000002</v>
      </c>
      <c r="R657" s="18">
        <v>0.128</v>
      </c>
      <c r="S657" s="18">
        <v>0.36399999999999999</v>
      </c>
      <c r="T657" s="18">
        <v>0.42000000000000004</v>
      </c>
      <c r="U657" s="18">
        <v>0.11700000000000001</v>
      </c>
      <c r="V657" s="18">
        <v>0.312</v>
      </c>
      <c r="W657" s="18">
        <v>0.47299999999999998</v>
      </c>
      <c r="X657" s="18">
        <v>1.246</v>
      </c>
      <c r="Y657" s="18">
        <v>1.3919999999999999</v>
      </c>
      <c r="Z657" s="18">
        <v>1.5569999999999999</v>
      </c>
      <c r="AA657" s="18">
        <v>1.6150000000000002</v>
      </c>
      <c r="AB657" s="18">
        <v>1.7010000000000001</v>
      </c>
      <c r="AC657" s="18">
        <v>2.746</v>
      </c>
      <c r="AD657" s="18">
        <v>3.9630000000000001</v>
      </c>
      <c r="AE657" s="18">
        <v>5.6429999999999998</v>
      </c>
      <c r="AF657" s="18">
        <v>0.66799999999999993</v>
      </c>
      <c r="AG657" s="18">
        <v>0.254</v>
      </c>
      <c r="AH657" s="18">
        <v>1.0209999999999999</v>
      </c>
      <c r="AI657" s="18">
        <v>1291.9190000000001</v>
      </c>
      <c r="AJ657" s="18">
        <v>0.4</v>
      </c>
      <c r="AK657" s="18">
        <v>0</v>
      </c>
      <c r="AL657" s="18">
        <v>0</v>
      </c>
      <c r="AM657" s="18">
        <v>0</v>
      </c>
      <c r="AN657" s="18">
        <v>1.5840000000000001</v>
      </c>
      <c r="AO657" s="18">
        <v>1.659</v>
      </c>
      <c r="AP657" s="18">
        <v>0.69600000000000006</v>
      </c>
      <c r="AQ657" s="18">
        <v>0.98399999999999999</v>
      </c>
      <c r="AR657" s="18">
        <v>1.2195859</v>
      </c>
      <c r="AS657" s="18">
        <v>1.7000000000000001E-2</v>
      </c>
      <c r="AT657" s="18">
        <v>0</v>
      </c>
      <c r="AU657" s="18">
        <v>905</v>
      </c>
      <c r="AV657" s="18">
        <v>0</v>
      </c>
      <c r="AW657" s="18">
        <v>0</v>
      </c>
      <c r="AX657" s="18">
        <v>0</v>
      </c>
      <c r="AY657" s="18">
        <v>0</v>
      </c>
      <c r="AZ657" s="18">
        <v>0</v>
      </c>
      <c r="BA657" s="18">
        <v>0</v>
      </c>
      <c r="BB657" s="18">
        <v>0</v>
      </c>
      <c r="BC657" s="18">
        <v>0</v>
      </c>
      <c r="BD657" s="18">
        <v>0</v>
      </c>
      <c r="BE657" s="25">
        <v>0</v>
      </c>
      <c r="BF657" s="18">
        <v>0</v>
      </c>
      <c r="BG657" s="18">
        <v>0</v>
      </c>
      <c r="BH657" s="18">
        <v>0</v>
      </c>
      <c r="BI657" s="18">
        <v>0</v>
      </c>
      <c r="BJ657" s="113">
        <v>0</v>
      </c>
      <c r="BK657" s="113">
        <v>0</v>
      </c>
      <c r="BL657" s="113">
        <v>0</v>
      </c>
      <c r="BM657" s="113">
        <v>0</v>
      </c>
      <c r="BN657" s="113">
        <v>0</v>
      </c>
      <c r="BO657" s="168">
        <f>SUM(BO659+BO660+BO661+BO663+BO665+BO667+BO669)/1000000</f>
        <v>4.2040000000000001E-2</v>
      </c>
      <c r="BP657" s="113">
        <v>0</v>
      </c>
      <c r="BQ657" s="113">
        <v>0</v>
      </c>
      <c r="BR657" s="101"/>
      <c r="BS657">
        <f t="shared" si="1274"/>
        <v>0</v>
      </c>
      <c r="BT657">
        <f t="shared" si="1274"/>
        <v>0</v>
      </c>
      <c r="BU657">
        <f t="shared" si="1274"/>
        <v>0</v>
      </c>
      <c r="BV657">
        <f t="shared" si="1274"/>
        <v>0</v>
      </c>
      <c r="BW657">
        <f t="shared" si="1274"/>
        <v>0</v>
      </c>
      <c r="BX657">
        <f t="shared" si="1274"/>
        <v>0</v>
      </c>
      <c r="BY657">
        <f t="shared" si="1274"/>
        <v>0</v>
      </c>
      <c r="BZ657">
        <f t="shared" si="1274"/>
        <v>0</v>
      </c>
      <c r="CA657">
        <f t="shared" si="1274"/>
        <v>0</v>
      </c>
      <c r="CB657">
        <f t="shared" si="1274"/>
        <v>0</v>
      </c>
      <c r="CC657">
        <f t="shared" si="1275"/>
        <v>0</v>
      </c>
      <c r="CD657">
        <f t="shared" si="1275"/>
        <v>0</v>
      </c>
      <c r="CE657">
        <f t="shared" si="1275"/>
        <v>0</v>
      </c>
      <c r="CF657">
        <f t="shared" si="1275"/>
        <v>0</v>
      </c>
      <c r="CG657">
        <f t="shared" si="1275"/>
        <v>0</v>
      </c>
      <c r="CH657">
        <f t="shared" si="1275"/>
        <v>0</v>
      </c>
      <c r="CI657">
        <f t="shared" si="1275"/>
        <v>0</v>
      </c>
      <c r="CJ657">
        <f t="shared" si="1275"/>
        <v>0</v>
      </c>
      <c r="CK657">
        <f t="shared" si="1275"/>
        <v>0</v>
      </c>
      <c r="CL657">
        <f t="shared" si="1275"/>
        <v>0</v>
      </c>
      <c r="CM657">
        <f t="shared" si="1276"/>
        <v>0</v>
      </c>
      <c r="CN657">
        <f t="shared" si="1276"/>
        <v>0</v>
      </c>
      <c r="CO657">
        <f t="shared" si="1276"/>
        <v>0</v>
      </c>
      <c r="CP657">
        <f t="shared" si="1276"/>
        <v>0</v>
      </c>
      <c r="CQ657">
        <f t="shared" si="1276"/>
        <v>0</v>
      </c>
      <c r="CR657">
        <f t="shared" si="1276"/>
        <v>0</v>
      </c>
      <c r="CS657">
        <f t="shared" si="1276"/>
        <v>0</v>
      </c>
      <c r="CT657">
        <f t="shared" si="1276"/>
        <v>0</v>
      </c>
      <c r="CU657">
        <f t="shared" si="1276"/>
        <v>0</v>
      </c>
      <c r="CV657">
        <f t="shared" si="1276"/>
        <v>0</v>
      </c>
      <c r="CW657">
        <f t="shared" si="1277"/>
        <v>0</v>
      </c>
      <c r="CX657">
        <f t="shared" si="1277"/>
        <v>0</v>
      </c>
      <c r="CY657">
        <f t="shared" si="1277"/>
        <v>0</v>
      </c>
      <c r="CZ657">
        <f t="shared" si="1277"/>
        <v>0</v>
      </c>
      <c r="DA657">
        <f t="shared" si="1277"/>
        <v>0</v>
      </c>
      <c r="DB657">
        <f t="shared" si="1277"/>
        <v>0</v>
      </c>
      <c r="DC657">
        <f t="shared" si="1277"/>
        <v>0</v>
      </c>
      <c r="DD657">
        <f t="shared" si="1277"/>
        <v>0</v>
      </c>
      <c r="DE657">
        <f t="shared" si="1277"/>
        <v>0</v>
      </c>
      <c r="DF657">
        <f t="shared" si="1277"/>
        <v>0</v>
      </c>
      <c r="DG657">
        <f t="shared" si="1278"/>
        <v>0</v>
      </c>
      <c r="DH657">
        <f t="shared" si="1278"/>
        <v>0</v>
      </c>
      <c r="DI657">
        <f t="shared" si="1278"/>
        <v>0</v>
      </c>
      <c r="DJ657">
        <f t="shared" si="1278"/>
        <v>0</v>
      </c>
      <c r="DK657">
        <f t="shared" si="1278"/>
        <v>0</v>
      </c>
      <c r="DL657">
        <f t="shared" si="1278"/>
        <v>0</v>
      </c>
      <c r="DM657">
        <f t="shared" si="1278"/>
        <v>0</v>
      </c>
      <c r="DN657">
        <f t="shared" si="1278"/>
        <v>0</v>
      </c>
      <c r="DO657">
        <f t="shared" si="1278"/>
        <v>0</v>
      </c>
      <c r="DP657">
        <f t="shared" si="1278"/>
        <v>0</v>
      </c>
      <c r="DQ657">
        <f t="shared" si="1279"/>
        <v>0</v>
      </c>
      <c r="DR657">
        <f t="shared" si="1279"/>
        <v>0</v>
      </c>
      <c r="DS657">
        <f t="shared" si="1279"/>
        <v>0</v>
      </c>
      <c r="DT657">
        <f t="shared" si="1279"/>
        <v>0</v>
      </c>
      <c r="DU657">
        <f t="shared" si="1279"/>
        <v>0</v>
      </c>
      <c r="DV657">
        <f t="shared" si="1279"/>
        <v>0</v>
      </c>
      <c r="DW657">
        <f t="shared" si="1279"/>
        <v>0</v>
      </c>
      <c r="DX657">
        <f t="shared" si="1279"/>
        <v>0</v>
      </c>
      <c r="DY657">
        <f t="shared" si="1279"/>
        <v>0</v>
      </c>
      <c r="DZ657">
        <f t="shared" si="1279"/>
        <v>0</v>
      </c>
      <c r="EA657">
        <f t="shared" si="1280"/>
        <v>0</v>
      </c>
      <c r="EB657">
        <f t="shared" si="1280"/>
        <v>0</v>
      </c>
      <c r="EC657">
        <f t="shared" si="1280"/>
        <v>0</v>
      </c>
      <c r="ED657">
        <f t="shared" si="1280"/>
        <v>0</v>
      </c>
      <c r="EE657">
        <f t="shared" si="1280"/>
        <v>0</v>
      </c>
      <c r="EF657">
        <f t="shared" si="1280"/>
        <v>0</v>
      </c>
    </row>
    <row r="658" spans="1:136" ht="15.5">
      <c r="A658" s="90"/>
      <c r="B658" s="19" t="s">
        <v>208</v>
      </c>
      <c r="C658" s="94"/>
      <c r="D658" s="18">
        <v>0</v>
      </c>
      <c r="E658" s="18">
        <v>0</v>
      </c>
      <c r="F658" s="18">
        <v>0</v>
      </c>
      <c r="G658" s="18">
        <v>0</v>
      </c>
      <c r="H658" s="18">
        <v>0</v>
      </c>
      <c r="I658" s="18">
        <v>0</v>
      </c>
      <c r="J658" s="18">
        <v>0</v>
      </c>
      <c r="K658" s="18">
        <v>0</v>
      </c>
      <c r="L658" s="18">
        <v>0</v>
      </c>
      <c r="M658" s="18">
        <v>0</v>
      </c>
      <c r="N658" s="18">
        <v>0</v>
      </c>
      <c r="O658" s="18">
        <v>0</v>
      </c>
      <c r="P658" s="18">
        <v>0</v>
      </c>
      <c r="Q658" s="18">
        <v>0</v>
      </c>
      <c r="R658" s="18">
        <v>0</v>
      </c>
      <c r="S658" s="18">
        <v>0.24478900000000001</v>
      </c>
      <c r="T658" s="18">
        <v>0.69761899999999999</v>
      </c>
      <c r="U658" s="18">
        <v>1.6839550000000001</v>
      </c>
      <c r="V658" s="18">
        <v>2.8748749999999998</v>
      </c>
      <c r="W658" s="18">
        <v>3.7888030000000001</v>
      </c>
      <c r="X658" s="18">
        <v>4.2628450000000004</v>
      </c>
      <c r="Y658" s="18">
        <v>3.9088479999999999</v>
      </c>
      <c r="Z658" s="18">
        <v>3.6895199999999999</v>
      </c>
      <c r="AA658" s="18">
        <v>3.2529409999999999</v>
      </c>
      <c r="AB658" s="18">
        <v>3.0765359999999999</v>
      </c>
      <c r="AC658" s="18">
        <v>4.0060950000000002</v>
      </c>
      <c r="AD658" s="18">
        <v>4.8039139999999998</v>
      </c>
      <c r="AE658" s="18">
        <v>6.0709770000000001</v>
      </c>
      <c r="AF658" s="18">
        <v>0</v>
      </c>
      <c r="AG658" s="18">
        <v>0</v>
      </c>
      <c r="AH658" s="18">
        <v>0</v>
      </c>
      <c r="AI658" s="18">
        <v>0</v>
      </c>
      <c r="AJ658" s="18">
        <v>0</v>
      </c>
      <c r="AK658" s="18">
        <v>0</v>
      </c>
      <c r="AL658" s="18">
        <v>0</v>
      </c>
      <c r="AM658" s="18">
        <v>0</v>
      </c>
      <c r="AN658" s="18">
        <v>0</v>
      </c>
      <c r="AO658" s="18">
        <v>0</v>
      </c>
      <c r="AP658" s="18">
        <v>0</v>
      </c>
      <c r="AQ658" s="18">
        <v>0</v>
      </c>
      <c r="AR658" s="18">
        <v>0</v>
      </c>
      <c r="AS658" s="18">
        <v>0</v>
      </c>
      <c r="AT658" s="18">
        <v>0</v>
      </c>
      <c r="AU658" s="18">
        <v>0</v>
      </c>
      <c r="AV658" s="18">
        <v>0</v>
      </c>
      <c r="AW658" s="18">
        <v>0</v>
      </c>
      <c r="AX658" s="18">
        <v>0</v>
      </c>
      <c r="AY658" s="18">
        <v>0</v>
      </c>
      <c r="AZ658" s="18">
        <v>0</v>
      </c>
      <c r="BA658" s="18">
        <v>0</v>
      </c>
      <c r="BB658" s="18">
        <v>0</v>
      </c>
      <c r="BC658" s="18">
        <v>0</v>
      </c>
      <c r="BD658" s="18">
        <v>2.6388000000000002E-3</v>
      </c>
      <c r="BE658" s="25">
        <v>2.7581999999999997E-3</v>
      </c>
      <c r="BF658" s="18">
        <v>2.4281999999999997E-3</v>
      </c>
      <c r="BG658" s="18">
        <v>2.1773999999999999E-3</v>
      </c>
      <c r="BH658" s="18">
        <v>2.1081999999999997E-3</v>
      </c>
      <c r="BI658" s="18">
        <v>2.3985999999999999E-3</v>
      </c>
      <c r="BJ658" s="103">
        <v>2.2899999999999999E-3</v>
      </c>
      <c r="BK658" s="103">
        <v>2.2468000000000002E-3</v>
      </c>
      <c r="BL658" s="103">
        <v>2.4541999999999997E-3</v>
      </c>
      <c r="BM658" s="103">
        <v>2.2651999999999998E-3</v>
      </c>
      <c r="BN658" s="103">
        <v>2.1332E-3</v>
      </c>
      <c r="BO658" s="187">
        <f>2133/1000000</f>
        <v>2.1329999999999999E-3</v>
      </c>
      <c r="BP658" s="187">
        <f>2133/1000000</f>
        <v>2.1329999999999999E-3</v>
      </c>
      <c r="BQ658" s="187">
        <f>2133/1000000</f>
        <v>2.1329999999999999E-3</v>
      </c>
      <c r="BR658" s="101"/>
      <c r="BS658">
        <f t="shared" si="1274"/>
        <v>0</v>
      </c>
      <c r="BT658">
        <f t="shared" si="1274"/>
        <v>0</v>
      </c>
      <c r="BU658">
        <f t="shared" si="1274"/>
        <v>0</v>
      </c>
      <c r="BV658">
        <f t="shared" si="1274"/>
        <v>0</v>
      </c>
      <c r="BW658">
        <f t="shared" si="1274"/>
        <v>0</v>
      </c>
      <c r="BX658">
        <f t="shared" si="1274"/>
        <v>0</v>
      </c>
      <c r="BY658">
        <f t="shared" si="1274"/>
        <v>0</v>
      </c>
      <c r="BZ658">
        <f t="shared" si="1274"/>
        <v>0</v>
      </c>
      <c r="CA658">
        <f t="shared" si="1274"/>
        <v>0</v>
      </c>
      <c r="CB658">
        <f t="shared" si="1274"/>
        <v>0</v>
      </c>
      <c r="CC658">
        <f t="shared" si="1275"/>
        <v>0</v>
      </c>
      <c r="CD658">
        <f t="shared" si="1275"/>
        <v>0</v>
      </c>
      <c r="CE658">
        <f t="shared" si="1275"/>
        <v>0</v>
      </c>
      <c r="CF658">
        <f t="shared" si="1275"/>
        <v>0</v>
      </c>
      <c r="CG658">
        <f t="shared" si="1275"/>
        <v>0</v>
      </c>
      <c r="CH658">
        <f t="shared" si="1275"/>
        <v>0</v>
      </c>
      <c r="CI658">
        <f t="shared" si="1275"/>
        <v>0</v>
      </c>
      <c r="CJ658">
        <f t="shared" si="1275"/>
        <v>0</v>
      </c>
      <c r="CK658">
        <f t="shared" si="1275"/>
        <v>0</v>
      </c>
      <c r="CL658">
        <f t="shared" si="1275"/>
        <v>0</v>
      </c>
      <c r="CM658">
        <f t="shared" si="1276"/>
        <v>0</v>
      </c>
      <c r="CN658">
        <f t="shared" si="1276"/>
        <v>0</v>
      </c>
      <c r="CO658">
        <f t="shared" si="1276"/>
        <v>0</v>
      </c>
      <c r="CP658">
        <f t="shared" si="1276"/>
        <v>0</v>
      </c>
      <c r="CQ658">
        <f t="shared" si="1276"/>
        <v>0</v>
      </c>
      <c r="CR658">
        <f t="shared" si="1276"/>
        <v>0</v>
      </c>
      <c r="CS658">
        <f t="shared" si="1276"/>
        <v>0</v>
      </c>
      <c r="CT658">
        <f t="shared" si="1276"/>
        <v>0</v>
      </c>
      <c r="CU658">
        <f t="shared" si="1276"/>
        <v>0</v>
      </c>
      <c r="CV658">
        <f t="shared" si="1276"/>
        <v>0</v>
      </c>
      <c r="CW658">
        <f t="shared" si="1277"/>
        <v>0</v>
      </c>
      <c r="CX658">
        <f t="shared" si="1277"/>
        <v>0</v>
      </c>
      <c r="CY658">
        <f t="shared" si="1277"/>
        <v>0</v>
      </c>
      <c r="CZ658">
        <f t="shared" si="1277"/>
        <v>0</v>
      </c>
      <c r="DA658">
        <f t="shared" si="1277"/>
        <v>0</v>
      </c>
      <c r="DB658">
        <f t="shared" si="1277"/>
        <v>0</v>
      </c>
      <c r="DC658">
        <f t="shared" si="1277"/>
        <v>0</v>
      </c>
      <c r="DD658">
        <f t="shared" si="1277"/>
        <v>0</v>
      </c>
      <c r="DE658">
        <f t="shared" si="1277"/>
        <v>0</v>
      </c>
      <c r="DF658">
        <f t="shared" si="1277"/>
        <v>0</v>
      </c>
      <c r="DG658">
        <f t="shared" si="1278"/>
        <v>0</v>
      </c>
      <c r="DH658">
        <f t="shared" si="1278"/>
        <v>0</v>
      </c>
      <c r="DI658">
        <f t="shared" si="1278"/>
        <v>0</v>
      </c>
      <c r="DJ658">
        <f t="shared" si="1278"/>
        <v>0</v>
      </c>
      <c r="DK658">
        <f t="shared" si="1278"/>
        <v>0</v>
      </c>
      <c r="DL658">
        <f t="shared" si="1278"/>
        <v>0</v>
      </c>
      <c r="DM658">
        <f t="shared" si="1278"/>
        <v>0</v>
      </c>
      <c r="DN658">
        <f t="shared" si="1278"/>
        <v>0</v>
      </c>
      <c r="DO658">
        <f t="shared" si="1278"/>
        <v>0</v>
      </c>
      <c r="DP658">
        <f t="shared" si="1278"/>
        <v>0</v>
      </c>
      <c r="DQ658">
        <f t="shared" si="1279"/>
        <v>0</v>
      </c>
      <c r="DR658">
        <f t="shared" si="1279"/>
        <v>0</v>
      </c>
      <c r="DS658">
        <f t="shared" si="1279"/>
        <v>0</v>
      </c>
      <c r="DT658">
        <f t="shared" si="1279"/>
        <v>0</v>
      </c>
      <c r="DU658">
        <f t="shared" si="1279"/>
        <v>0</v>
      </c>
      <c r="DV658">
        <f t="shared" si="1279"/>
        <v>0</v>
      </c>
      <c r="DW658">
        <f t="shared" si="1279"/>
        <v>0</v>
      </c>
      <c r="DX658">
        <f t="shared" si="1279"/>
        <v>0</v>
      </c>
      <c r="DY658">
        <f t="shared" si="1279"/>
        <v>0</v>
      </c>
      <c r="DZ658">
        <f t="shared" si="1279"/>
        <v>0</v>
      </c>
      <c r="EA658">
        <f t="shared" si="1280"/>
        <v>0</v>
      </c>
      <c r="EB658">
        <f t="shared" si="1280"/>
        <v>0</v>
      </c>
      <c r="EC658">
        <f t="shared" si="1280"/>
        <v>0</v>
      </c>
      <c r="ED658">
        <f t="shared" si="1280"/>
        <v>0</v>
      </c>
      <c r="EE658">
        <f t="shared" si="1280"/>
        <v>0</v>
      </c>
      <c r="EF658">
        <f t="shared" si="1280"/>
        <v>0</v>
      </c>
    </row>
    <row r="659" spans="1:136" ht="15.5">
      <c r="A659" s="90"/>
      <c r="B659" s="53" t="s">
        <v>21</v>
      </c>
      <c r="C659" s="94"/>
      <c r="D659" s="18">
        <v>0</v>
      </c>
      <c r="E659" s="18">
        <v>0</v>
      </c>
      <c r="F659" s="18">
        <v>0</v>
      </c>
      <c r="G659" s="18">
        <v>0</v>
      </c>
      <c r="H659" s="18">
        <v>0</v>
      </c>
      <c r="I659" s="18">
        <v>0</v>
      </c>
      <c r="J659" s="18">
        <v>0</v>
      </c>
      <c r="K659" s="18">
        <v>0</v>
      </c>
      <c r="L659" s="18">
        <v>0</v>
      </c>
      <c r="M659" s="18">
        <v>0</v>
      </c>
      <c r="N659" s="18">
        <v>0</v>
      </c>
      <c r="O659" s="18">
        <v>0</v>
      </c>
      <c r="P659" s="18">
        <v>0</v>
      </c>
      <c r="Q659" s="18">
        <v>0</v>
      </c>
      <c r="R659" s="18">
        <v>0</v>
      </c>
      <c r="S659" s="18">
        <v>0</v>
      </c>
      <c r="T659" s="18">
        <v>155</v>
      </c>
      <c r="U659" s="18">
        <v>0</v>
      </c>
      <c r="V659" s="18">
        <v>0</v>
      </c>
      <c r="W659" s="18">
        <v>0</v>
      </c>
      <c r="X659" s="18">
        <v>0</v>
      </c>
      <c r="Y659" s="18">
        <v>0</v>
      </c>
      <c r="Z659" s="18">
        <v>0</v>
      </c>
      <c r="AA659" s="18">
        <v>0</v>
      </c>
      <c r="AB659" s="18">
        <v>0</v>
      </c>
      <c r="AC659" s="18">
        <v>0</v>
      </c>
      <c r="AD659" s="18">
        <v>0</v>
      </c>
      <c r="AE659" s="18">
        <v>0</v>
      </c>
      <c r="AF659" s="18">
        <v>0</v>
      </c>
      <c r="AG659" s="18">
        <v>0</v>
      </c>
      <c r="AH659" s="18">
        <v>0</v>
      </c>
      <c r="AI659" s="18">
        <v>0</v>
      </c>
      <c r="AJ659" s="18">
        <v>0</v>
      </c>
      <c r="AK659" s="18">
        <v>0</v>
      </c>
      <c r="AL659" s="18">
        <v>0</v>
      </c>
      <c r="AM659" s="18">
        <v>0</v>
      </c>
      <c r="AN659" s="18">
        <v>0</v>
      </c>
      <c r="AO659" s="18">
        <v>0</v>
      </c>
      <c r="AP659" s="18">
        <v>0</v>
      </c>
      <c r="AQ659" s="18">
        <v>0</v>
      </c>
      <c r="AR659" s="18">
        <v>0</v>
      </c>
      <c r="AS659" s="18">
        <v>0</v>
      </c>
      <c r="AT659" s="18">
        <v>0</v>
      </c>
      <c r="AU659" s="18">
        <v>0</v>
      </c>
      <c r="AV659" s="18">
        <v>0</v>
      </c>
      <c r="AW659" s="18">
        <v>0</v>
      </c>
      <c r="AX659" s="18">
        <v>0</v>
      </c>
      <c r="AY659" s="18">
        <v>0</v>
      </c>
      <c r="AZ659" s="18">
        <v>0</v>
      </c>
      <c r="BA659" s="18">
        <v>0</v>
      </c>
      <c r="BB659" s="18">
        <v>0</v>
      </c>
      <c r="BC659" s="18">
        <v>0</v>
      </c>
      <c r="BD659" s="18">
        <v>0</v>
      </c>
      <c r="BE659" s="18">
        <v>0</v>
      </c>
      <c r="BF659" s="18">
        <v>0</v>
      </c>
      <c r="BG659" s="18">
        <v>0</v>
      </c>
      <c r="BH659" s="18">
        <v>0</v>
      </c>
      <c r="BI659" s="18">
        <v>0</v>
      </c>
      <c r="BJ659" s="113">
        <v>0</v>
      </c>
      <c r="BK659" s="113">
        <v>0</v>
      </c>
      <c r="BL659" s="113">
        <v>0</v>
      </c>
      <c r="BM659" s="113">
        <v>0</v>
      </c>
      <c r="BN659" s="113">
        <v>0</v>
      </c>
      <c r="BO659" s="113">
        <v>0</v>
      </c>
      <c r="BP659" s="113">
        <v>0</v>
      </c>
      <c r="BQ659" s="113">
        <v>0</v>
      </c>
      <c r="BR659" s="101"/>
      <c r="BS659">
        <f t="shared" si="1274"/>
        <v>0</v>
      </c>
      <c r="BT659">
        <f t="shared" si="1274"/>
        <v>0</v>
      </c>
      <c r="BU659">
        <f t="shared" si="1274"/>
        <v>0</v>
      </c>
      <c r="BV659">
        <f t="shared" si="1274"/>
        <v>0</v>
      </c>
      <c r="BW659">
        <f t="shared" si="1274"/>
        <v>0</v>
      </c>
      <c r="BX659">
        <f t="shared" si="1274"/>
        <v>0</v>
      </c>
      <c r="BY659">
        <f t="shared" si="1274"/>
        <v>0</v>
      </c>
      <c r="BZ659">
        <f t="shared" si="1274"/>
        <v>0</v>
      </c>
      <c r="CA659">
        <f t="shared" si="1274"/>
        <v>0</v>
      </c>
      <c r="CB659">
        <f t="shared" si="1274"/>
        <v>0</v>
      </c>
      <c r="CC659">
        <f t="shared" si="1275"/>
        <v>0</v>
      </c>
      <c r="CD659">
        <f t="shared" si="1275"/>
        <v>0</v>
      </c>
      <c r="CE659">
        <f t="shared" si="1275"/>
        <v>0</v>
      </c>
      <c r="CF659">
        <f t="shared" si="1275"/>
        <v>0</v>
      </c>
      <c r="CG659">
        <f t="shared" si="1275"/>
        <v>0</v>
      </c>
      <c r="CH659">
        <f t="shared" si="1275"/>
        <v>0</v>
      </c>
      <c r="CI659">
        <f t="shared" si="1275"/>
        <v>0</v>
      </c>
      <c r="CJ659">
        <f t="shared" si="1275"/>
        <v>0</v>
      </c>
      <c r="CK659">
        <f t="shared" si="1275"/>
        <v>0</v>
      </c>
      <c r="CL659">
        <f t="shared" si="1275"/>
        <v>0</v>
      </c>
      <c r="CM659">
        <f t="shared" si="1276"/>
        <v>0</v>
      </c>
      <c r="CN659">
        <f t="shared" si="1276"/>
        <v>0</v>
      </c>
      <c r="CO659">
        <f t="shared" si="1276"/>
        <v>0</v>
      </c>
      <c r="CP659">
        <f t="shared" si="1276"/>
        <v>0</v>
      </c>
      <c r="CQ659">
        <f t="shared" si="1276"/>
        <v>0</v>
      </c>
      <c r="CR659">
        <f t="shared" si="1276"/>
        <v>0</v>
      </c>
      <c r="CS659">
        <f t="shared" si="1276"/>
        <v>0</v>
      </c>
      <c r="CT659">
        <f t="shared" si="1276"/>
        <v>0</v>
      </c>
      <c r="CU659">
        <f t="shared" si="1276"/>
        <v>0</v>
      </c>
      <c r="CV659">
        <f t="shared" si="1276"/>
        <v>0</v>
      </c>
      <c r="CW659">
        <f t="shared" si="1277"/>
        <v>0</v>
      </c>
      <c r="CX659">
        <f t="shared" si="1277"/>
        <v>0</v>
      </c>
      <c r="CY659">
        <f t="shared" si="1277"/>
        <v>0</v>
      </c>
      <c r="CZ659">
        <f t="shared" si="1277"/>
        <v>0</v>
      </c>
      <c r="DA659">
        <f t="shared" si="1277"/>
        <v>0</v>
      </c>
      <c r="DB659">
        <f t="shared" si="1277"/>
        <v>0</v>
      </c>
      <c r="DC659">
        <f t="shared" si="1277"/>
        <v>0</v>
      </c>
      <c r="DD659">
        <f t="shared" si="1277"/>
        <v>0</v>
      </c>
      <c r="DE659">
        <f t="shared" si="1277"/>
        <v>0</v>
      </c>
      <c r="DF659">
        <f t="shared" si="1277"/>
        <v>0</v>
      </c>
      <c r="DG659">
        <f t="shared" si="1278"/>
        <v>0</v>
      </c>
      <c r="DH659">
        <f t="shared" si="1278"/>
        <v>0</v>
      </c>
      <c r="DI659">
        <f t="shared" si="1278"/>
        <v>0</v>
      </c>
      <c r="DJ659">
        <f t="shared" si="1278"/>
        <v>0</v>
      </c>
      <c r="DK659">
        <f t="shared" si="1278"/>
        <v>0</v>
      </c>
      <c r="DL659">
        <f t="shared" si="1278"/>
        <v>0</v>
      </c>
      <c r="DM659">
        <f t="shared" si="1278"/>
        <v>0</v>
      </c>
      <c r="DN659">
        <f t="shared" si="1278"/>
        <v>0</v>
      </c>
      <c r="DO659">
        <f t="shared" si="1278"/>
        <v>0</v>
      </c>
      <c r="DP659">
        <f t="shared" si="1278"/>
        <v>0</v>
      </c>
      <c r="DQ659">
        <f t="shared" si="1279"/>
        <v>0</v>
      </c>
      <c r="DR659">
        <f t="shared" si="1279"/>
        <v>0</v>
      </c>
      <c r="DS659">
        <f t="shared" si="1279"/>
        <v>0</v>
      </c>
      <c r="DT659">
        <f t="shared" si="1279"/>
        <v>0</v>
      </c>
      <c r="DU659">
        <f t="shared" si="1279"/>
        <v>0</v>
      </c>
      <c r="DV659">
        <f t="shared" si="1279"/>
        <v>0</v>
      </c>
      <c r="DW659">
        <f t="shared" si="1279"/>
        <v>0</v>
      </c>
      <c r="DX659">
        <f t="shared" si="1279"/>
        <v>0</v>
      </c>
      <c r="DY659">
        <f t="shared" si="1279"/>
        <v>0</v>
      </c>
      <c r="DZ659">
        <f t="shared" si="1279"/>
        <v>0</v>
      </c>
      <c r="EA659">
        <f t="shared" si="1280"/>
        <v>0</v>
      </c>
      <c r="EB659">
        <f t="shared" si="1280"/>
        <v>0</v>
      </c>
      <c r="EC659">
        <f t="shared" si="1280"/>
        <v>0</v>
      </c>
      <c r="ED659">
        <f t="shared" si="1280"/>
        <v>0</v>
      </c>
      <c r="EE659">
        <f t="shared" si="1280"/>
        <v>0</v>
      </c>
      <c r="EF659">
        <f t="shared" si="1280"/>
        <v>0</v>
      </c>
    </row>
    <row r="660" spans="1:136" ht="15.5">
      <c r="A660" s="90"/>
      <c r="B660" s="53" t="s">
        <v>212</v>
      </c>
      <c r="C660" s="94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40" t="s">
        <v>16</v>
      </c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>
        <v>31.645498165396557</v>
      </c>
      <c r="AI660" s="18">
        <v>22.009838369641603</v>
      </c>
      <c r="AJ660" s="18">
        <v>0</v>
      </c>
      <c r="AK660" s="18">
        <v>0</v>
      </c>
      <c r="AL660" s="18">
        <v>0</v>
      </c>
      <c r="AM660" s="18">
        <v>0</v>
      </c>
      <c r="AN660" s="18">
        <v>0</v>
      </c>
      <c r="AO660" s="18">
        <v>0</v>
      </c>
      <c r="AP660" s="18">
        <v>0</v>
      </c>
      <c r="AQ660" s="18">
        <v>0</v>
      </c>
      <c r="AR660" s="18">
        <v>0</v>
      </c>
      <c r="AS660" s="18">
        <v>15.187046342825237</v>
      </c>
      <c r="AT660" s="18">
        <v>12.856801909307876</v>
      </c>
      <c r="AU660" s="18">
        <v>19.340999999999998</v>
      </c>
      <c r="AV660" s="18">
        <v>30.108000000000001</v>
      </c>
      <c r="AW660" s="18">
        <v>27.61</v>
      </c>
      <c r="AX660" s="18">
        <v>53.655000000000001</v>
      </c>
      <c r="AY660" s="18">
        <v>37.565999999999995</v>
      </c>
      <c r="AZ660" s="18">
        <v>59.113999999999997</v>
      </c>
      <c r="BA660" s="18">
        <v>57.21</v>
      </c>
      <c r="BB660" s="18">
        <v>137.1</v>
      </c>
      <c r="BC660" s="18">
        <v>163.24</v>
      </c>
      <c r="BD660" s="18">
        <v>275.07</v>
      </c>
      <c r="BE660" s="25">
        <v>262.5430869398698</v>
      </c>
      <c r="BF660" s="18">
        <v>174.63</v>
      </c>
      <c r="BG660" s="18">
        <v>192.01499999999999</v>
      </c>
      <c r="BH660" s="18">
        <v>493.39600000000002</v>
      </c>
      <c r="BI660" s="18">
        <v>526.50400000000002</v>
      </c>
      <c r="BJ660" s="113">
        <v>561.72</v>
      </c>
      <c r="BK660" s="147">
        <v>325.2957746478873</v>
      </c>
      <c r="BL660" s="18">
        <v>297.06654991243431</v>
      </c>
      <c r="BM660" s="18">
        <v>615.55654894948589</v>
      </c>
      <c r="BN660" s="18">
        <v>1355</v>
      </c>
      <c r="BO660" s="215">
        <v>1243</v>
      </c>
      <c r="BP660" s="113">
        <v>30</v>
      </c>
      <c r="BQ660" s="113">
        <v>0</v>
      </c>
      <c r="BR660" s="101"/>
      <c r="BS660">
        <f t="shared" si="1274"/>
        <v>0</v>
      </c>
      <c r="BT660">
        <f t="shared" si="1274"/>
        <v>0</v>
      </c>
      <c r="BU660">
        <f t="shared" si="1274"/>
        <v>0</v>
      </c>
      <c r="BV660">
        <f t="shared" si="1274"/>
        <v>0</v>
      </c>
      <c r="BW660">
        <f t="shared" si="1274"/>
        <v>0</v>
      </c>
      <c r="BX660">
        <f t="shared" si="1274"/>
        <v>0</v>
      </c>
      <c r="BY660">
        <f t="shared" si="1274"/>
        <v>0</v>
      </c>
      <c r="BZ660">
        <f t="shared" si="1274"/>
        <v>0</v>
      </c>
      <c r="CA660">
        <f t="shared" si="1274"/>
        <v>0</v>
      </c>
      <c r="CB660">
        <f t="shared" si="1274"/>
        <v>0</v>
      </c>
      <c r="CC660">
        <f t="shared" si="1275"/>
        <v>0</v>
      </c>
      <c r="CD660">
        <f t="shared" si="1275"/>
        <v>0</v>
      </c>
      <c r="CE660">
        <f t="shared" si="1275"/>
        <v>0</v>
      </c>
      <c r="CF660">
        <f t="shared" si="1275"/>
        <v>0</v>
      </c>
      <c r="CG660">
        <f t="shared" si="1275"/>
        <v>0</v>
      </c>
      <c r="CH660">
        <f t="shared" si="1275"/>
        <v>0</v>
      </c>
      <c r="CI660">
        <f t="shared" si="1275"/>
        <v>0</v>
      </c>
      <c r="CJ660">
        <f t="shared" si="1275"/>
        <v>0</v>
      </c>
      <c r="CK660">
        <f t="shared" si="1275"/>
        <v>0</v>
      </c>
      <c r="CL660">
        <f t="shared" si="1275"/>
        <v>0</v>
      </c>
      <c r="CM660">
        <f t="shared" si="1276"/>
        <v>0</v>
      </c>
      <c r="CN660">
        <f t="shared" si="1276"/>
        <v>0</v>
      </c>
      <c r="CO660">
        <f t="shared" si="1276"/>
        <v>0</v>
      </c>
      <c r="CP660">
        <f t="shared" si="1276"/>
        <v>0</v>
      </c>
      <c r="CQ660">
        <f t="shared" si="1276"/>
        <v>0</v>
      </c>
      <c r="CR660">
        <f t="shared" si="1276"/>
        <v>0</v>
      </c>
      <c r="CS660">
        <f t="shared" si="1276"/>
        <v>0</v>
      </c>
      <c r="CT660">
        <f t="shared" si="1276"/>
        <v>0</v>
      </c>
      <c r="CU660">
        <f t="shared" si="1276"/>
        <v>0</v>
      </c>
      <c r="CV660">
        <f t="shared" si="1276"/>
        <v>0</v>
      </c>
      <c r="CW660">
        <f t="shared" si="1277"/>
        <v>0</v>
      </c>
      <c r="CX660">
        <f t="shared" si="1277"/>
        <v>0</v>
      </c>
      <c r="CY660">
        <f t="shared" si="1277"/>
        <v>0</v>
      </c>
      <c r="CZ660">
        <f t="shared" si="1277"/>
        <v>0</v>
      </c>
      <c r="DA660">
        <f t="shared" si="1277"/>
        <v>0</v>
      </c>
      <c r="DB660">
        <f t="shared" si="1277"/>
        <v>0</v>
      </c>
      <c r="DC660">
        <f t="shared" si="1277"/>
        <v>0</v>
      </c>
      <c r="DD660">
        <f t="shared" si="1277"/>
        <v>0</v>
      </c>
      <c r="DE660">
        <f t="shared" si="1277"/>
        <v>0</v>
      </c>
      <c r="DF660">
        <f t="shared" si="1277"/>
        <v>0</v>
      </c>
      <c r="DG660">
        <f t="shared" si="1278"/>
        <v>0</v>
      </c>
      <c r="DH660">
        <f t="shared" si="1278"/>
        <v>0</v>
      </c>
      <c r="DI660">
        <f t="shared" si="1278"/>
        <v>0</v>
      </c>
      <c r="DJ660">
        <f t="shared" si="1278"/>
        <v>0</v>
      </c>
      <c r="DK660">
        <f t="shared" si="1278"/>
        <v>0</v>
      </c>
      <c r="DL660">
        <f t="shared" si="1278"/>
        <v>0</v>
      </c>
      <c r="DM660">
        <f t="shared" si="1278"/>
        <v>0</v>
      </c>
      <c r="DN660">
        <f t="shared" si="1278"/>
        <v>0</v>
      </c>
      <c r="DO660">
        <f t="shared" si="1278"/>
        <v>0</v>
      </c>
      <c r="DP660">
        <f t="shared" si="1278"/>
        <v>0</v>
      </c>
      <c r="DQ660">
        <f t="shared" si="1279"/>
        <v>0</v>
      </c>
      <c r="DR660">
        <f t="shared" si="1279"/>
        <v>0</v>
      </c>
      <c r="DS660">
        <f t="shared" si="1279"/>
        <v>0</v>
      </c>
      <c r="DT660">
        <f t="shared" si="1279"/>
        <v>0</v>
      </c>
      <c r="DU660">
        <f t="shared" si="1279"/>
        <v>0</v>
      </c>
      <c r="DV660">
        <f t="shared" si="1279"/>
        <v>0</v>
      </c>
      <c r="DW660">
        <f t="shared" si="1279"/>
        <v>0</v>
      </c>
      <c r="DX660">
        <f t="shared" si="1279"/>
        <v>0</v>
      </c>
      <c r="DY660">
        <f t="shared" si="1279"/>
        <v>0</v>
      </c>
      <c r="DZ660">
        <f t="shared" si="1279"/>
        <v>0</v>
      </c>
      <c r="EA660">
        <f t="shared" si="1280"/>
        <v>0</v>
      </c>
      <c r="EB660">
        <f t="shared" si="1280"/>
        <v>0</v>
      </c>
      <c r="EC660">
        <f t="shared" si="1280"/>
        <v>0</v>
      </c>
      <c r="ED660">
        <f t="shared" si="1280"/>
        <v>0</v>
      </c>
      <c r="EE660">
        <f t="shared" si="1280"/>
        <v>0</v>
      </c>
      <c r="EF660">
        <f t="shared" si="1280"/>
        <v>0</v>
      </c>
    </row>
    <row r="661" spans="1:136" ht="15.5">
      <c r="A661" s="90"/>
      <c r="B661" s="53"/>
      <c r="C661" s="94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18"/>
      <c r="AW661" s="18"/>
      <c r="AX661" s="18"/>
      <c r="AY661" s="18"/>
      <c r="AZ661" s="18"/>
      <c r="BA661" s="18"/>
      <c r="BB661" s="18"/>
      <c r="BC661" s="18"/>
      <c r="BD661" s="18"/>
      <c r="BE661" s="25"/>
      <c r="BF661" s="18"/>
      <c r="BG661" s="18"/>
      <c r="BH661" s="18"/>
      <c r="BI661" s="18"/>
      <c r="BJ661" s="113"/>
      <c r="BK661" s="40"/>
      <c r="BL661" s="40"/>
      <c r="BM661" s="40"/>
      <c r="BN661" s="2"/>
      <c r="BO661" s="2"/>
      <c r="BP661" s="2"/>
      <c r="BQ661" s="2"/>
      <c r="BR661" s="101"/>
    </row>
    <row r="662" spans="1:136" ht="15.5">
      <c r="A662" s="93">
        <v>80</v>
      </c>
      <c r="B662" s="108" t="s">
        <v>228</v>
      </c>
      <c r="C662" s="94">
        <v>3</v>
      </c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>
        <f t="shared" ref="AI662:BQ662" si="1281">AI663</f>
        <v>0</v>
      </c>
      <c r="AJ662" s="9">
        <f t="shared" si="1281"/>
        <v>0</v>
      </c>
      <c r="AK662" s="9">
        <f t="shared" si="1281"/>
        <v>0</v>
      </c>
      <c r="AL662" s="9">
        <f t="shared" si="1281"/>
        <v>0</v>
      </c>
      <c r="AM662" s="9">
        <f t="shared" si="1281"/>
        <v>0</v>
      </c>
      <c r="AN662" s="9">
        <f t="shared" si="1281"/>
        <v>0</v>
      </c>
      <c r="AO662" s="9">
        <f t="shared" si="1281"/>
        <v>0</v>
      </c>
      <c r="AP662" s="9">
        <f t="shared" si="1281"/>
        <v>0</v>
      </c>
      <c r="AQ662" s="9">
        <f t="shared" si="1281"/>
        <v>0</v>
      </c>
      <c r="AR662" s="9">
        <f t="shared" si="1281"/>
        <v>0</v>
      </c>
      <c r="AS662" s="9">
        <f t="shared" si="1281"/>
        <v>0</v>
      </c>
      <c r="AT662" s="9">
        <f t="shared" si="1281"/>
        <v>0</v>
      </c>
      <c r="AU662" s="9">
        <f t="shared" si="1281"/>
        <v>0</v>
      </c>
      <c r="AV662" s="9">
        <f t="shared" si="1281"/>
        <v>0</v>
      </c>
      <c r="AW662" s="9">
        <f t="shared" si="1281"/>
        <v>0</v>
      </c>
      <c r="AX662" s="9">
        <f t="shared" si="1281"/>
        <v>0</v>
      </c>
      <c r="AY662" s="9">
        <f t="shared" si="1281"/>
        <v>0</v>
      </c>
      <c r="AZ662" s="9">
        <f t="shared" si="1281"/>
        <v>0</v>
      </c>
      <c r="BA662" s="9">
        <f t="shared" si="1281"/>
        <v>11.44</v>
      </c>
      <c r="BB662" s="9">
        <f t="shared" si="1281"/>
        <v>0</v>
      </c>
      <c r="BC662" s="9">
        <f t="shared" si="1281"/>
        <v>0</v>
      </c>
      <c r="BD662" s="9">
        <f t="shared" si="1281"/>
        <v>0</v>
      </c>
      <c r="BE662" s="9">
        <f t="shared" si="1281"/>
        <v>0</v>
      </c>
      <c r="BF662" s="9">
        <f t="shared" si="1281"/>
        <v>0</v>
      </c>
      <c r="BG662" s="9">
        <f t="shared" si="1281"/>
        <v>0</v>
      </c>
      <c r="BH662" s="9">
        <f t="shared" si="1281"/>
        <v>0</v>
      </c>
      <c r="BI662" s="9">
        <f t="shared" si="1281"/>
        <v>0</v>
      </c>
      <c r="BJ662" s="9">
        <f t="shared" si="1281"/>
        <v>0</v>
      </c>
      <c r="BK662" s="9">
        <f t="shared" si="1281"/>
        <v>0</v>
      </c>
      <c r="BL662" s="9">
        <f t="shared" si="1281"/>
        <v>0</v>
      </c>
      <c r="BM662" s="9">
        <f t="shared" si="1281"/>
        <v>0</v>
      </c>
      <c r="BN662" s="9">
        <f t="shared" si="1281"/>
        <v>0</v>
      </c>
      <c r="BO662" s="9">
        <f t="shared" si="1281"/>
        <v>0</v>
      </c>
      <c r="BP662" s="9">
        <f t="shared" si="1281"/>
        <v>0</v>
      </c>
      <c r="BQ662" s="9">
        <f t="shared" si="1281"/>
        <v>0</v>
      </c>
      <c r="BR662" s="101"/>
      <c r="BS662">
        <f t="shared" ref="BS662:CB663" si="1282">IF($C662&lt;&gt;"",IF(D662&gt;0,1,0),0)</f>
        <v>0</v>
      </c>
      <c r="BT662">
        <f t="shared" si="1282"/>
        <v>0</v>
      </c>
      <c r="BU662">
        <f t="shared" si="1282"/>
        <v>0</v>
      </c>
      <c r="BV662">
        <f t="shared" si="1282"/>
        <v>0</v>
      </c>
      <c r="BW662">
        <f t="shared" si="1282"/>
        <v>0</v>
      </c>
      <c r="BX662">
        <f t="shared" si="1282"/>
        <v>0</v>
      </c>
      <c r="BY662">
        <f t="shared" si="1282"/>
        <v>0</v>
      </c>
      <c r="BZ662">
        <f t="shared" si="1282"/>
        <v>0</v>
      </c>
      <c r="CA662">
        <f t="shared" si="1282"/>
        <v>0</v>
      </c>
      <c r="CB662">
        <f t="shared" si="1282"/>
        <v>0</v>
      </c>
      <c r="CC662">
        <f t="shared" ref="CC662:CL663" si="1283">IF($C662&lt;&gt;"",IF(N662&gt;0,1,0),0)</f>
        <v>0</v>
      </c>
      <c r="CD662">
        <f t="shared" si="1283"/>
        <v>0</v>
      </c>
      <c r="CE662">
        <f t="shared" si="1283"/>
        <v>0</v>
      </c>
      <c r="CF662">
        <f t="shared" si="1283"/>
        <v>0</v>
      </c>
      <c r="CG662">
        <f t="shared" si="1283"/>
        <v>0</v>
      </c>
      <c r="CH662">
        <f t="shared" si="1283"/>
        <v>0</v>
      </c>
      <c r="CI662">
        <f t="shared" si="1283"/>
        <v>0</v>
      </c>
      <c r="CJ662">
        <f t="shared" si="1283"/>
        <v>0</v>
      </c>
      <c r="CK662">
        <f t="shared" si="1283"/>
        <v>0</v>
      </c>
      <c r="CL662">
        <f t="shared" si="1283"/>
        <v>0</v>
      </c>
      <c r="CM662">
        <f t="shared" ref="CM662:CV663" si="1284">IF($C662&lt;&gt;"",IF(X662&gt;0,1,0),0)</f>
        <v>0</v>
      </c>
      <c r="CN662">
        <f t="shared" si="1284"/>
        <v>0</v>
      </c>
      <c r="CO662">
        <f t="shared" si="1284"/>
        <v>0</v>
      </c>
      <c r="CP662">
        <f t="shared" si="1284"/>
        <v>0</v>
      </c>
      <c r="CQ662">
        <f t="shared" si="1284"/>
        <v>0</v>
      </c>
      <c r="CR662">
        <f t="shared" si="1284"/>
        <v>0</v>
      </c>
      <c r="CS662">
        <f t="shared" si="1284"/>
        <v>0</v>
      </c>
      <c r="CT662">
        <f t="shared" si="1284"/>
        <v>0</v>
      </c>
      <c r="CU662">
        <f t="shared" si="1284"/>
        <v>0</v>
      </c>
      <c r="CV662">
        <f t="shared" si="1284"/>
        <v>0</v>
      </c>
      <c r="CW662">
        <f t="shared" ref="CW662:DF663" si="1285">IF($C662&lt;&gt;"",IF(AH662&gt;0,1,0),0)</f>
        <v>0</v>
      </c>
      <c r="CX662">
        <f t="shared" si="1285"/>
        <v>0</v>
      </c>
      <c r="CY662">
        <f t="shared" si="1285"/>
        <v>0</v>
      </c>
      <c r="CZ662">
        <f t="shared" si="1285"/>
        <v>0</v>
      </c>
      <c r="DA662">
        <f t="shared" si="1285"/>
        <v>0</v>
      </c>
      <c r="DB662">
        <f t="shared" si="1285"/>
        <v>0</v>
      </c>
      <c r="DC662">
        <f t="shared" si="1285"/>
        <v>0</v>
      </c>
      <c r="DD662">
        <f t="shared" si="1285"/>
        <v>0</v>
      </c>
      <c r="DE662">
        <f t="shared" si="1285"/>
        <v>0</v>
      </c>
      <c r="DF662">
        <f t="shared" si="1285"/>
        <v>0</v>
      </c>
      <c r="DG662">
        <f t="shared" ref="DG662:DP663" si="1286">IF($C662&lt;&gt;"",IF(AR662&gt;0,1,0),0)</f>
        <v>0</v>
      </c>
      <c r="DH662">
        <f t="shared" si="1286"/>
        <v>0</v>
      </c>
      <c r="DI662">
        <f t="shared" si="1286"/>
        <v>0</v>
      </c>
      <c r="DJ662">
        <f t="shared" si="1286"/>
        <v>0</v>
      </c>
      <c r="DK662">
        <f t="shared" si="1286"/>
        <v>0</v>
      </c>
      <c r="DL662">
        <f t="shared" si="1286"/>
        <v>0</v>
      </c>
      <c r="DM662">
        <f t="shared" si="1286"/>
        <v>0</v>
      </c>
      <c r="DN662">
        <f t="shared" si="1286"/>
        <v>0</v>
      </c>
      <c r="DO662">
        <f t="shared" si="1286"/>
        <v>0</v>
      </c>
      <c r="DP662">
        <f t="shared" si="1286"/>
        <v>1</v>
      </c>
      <c r="DQ662">
        <f t="shared" ref="DQ662:DZ663" si="1287">IF($C662&lt;&gt;"",IF(BB662&gt;0,1,0),0)</f>
        <v>0</v>
      </c>
      <c r="DR662">
        <f t="shared" si="1287"/>
        <v>0</v>
      </c>
      <c r="DS662">
        <f t="shared" si="1287"/>
        <v>0</v>
      </c>
      <c r="DT662">
        <f t="shared" si="1287"/>
        <v>0</v>
      </c>
      <c r="DU662">
        <f t="shared" si="1287"/>
        <v>0</v>
      </c>
      <c r="DV662">
        <f t="shared" si="1287"/>
        <v>0</v>
      </c>
      <c r="DW662">
        <f t="shared" si="1287"/>
        <v>0</v>
      </c>
      <c r="DX662">
        <f t="shared" si="1287"/>
        <v>0</v>
      </c>
      <c r="DY662">
        <f t="shared" si="1287"/>
        <v>0</v>
      </c>
      <c r="DZ662">
        <f t="shared" si="1287"/>
        <v>0</v>
      </c>
      <c r="EA662">
        <f t="shared" ref="EA662:EF663" si="1288">IF($C662&lt;&gt;"",IF(BL662&gt;0,1,0),0)</f>
        <v>0</v>
      </c>
      <c r="EB662">
        <f t="shared" si="1288"/>
        <v>0</v>
      </c>
      <c r="EC662">
        <f t="shared" si="1288"/>
        <v>0</v>
      </c>
      <c r="ED662">
        <f t="shared" si="1288"/>
        <v>0</v>
      </c>
      <c r="EE662">
        <f t="shared" si="1288"/>
        <v>0</v>
      </c>
      <c r="EF662">
        <f t="shared" si="1288"/>
        <v>0</v>
      </c>
    </row>
    <row r="663" spans="1:136" ht="15.5">
      <c r="A663" s="90"/>
      <c r="B663" s="105" t="s">
        <v>208</v>
      </c>
      <c r="C663" s="94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18">
        <v>0</v>
      </c>
      <c r="AJ663" s="18">
        <v>0</v>
      </c>
      <c r="AK663" s="18">
        <v>0</v>
      </c>
      <c r="AL663" s="18">
        <v>0</v>
      </c>
      <c r="AM663" s="18">
        <v>0</v>
      </c>
      <c r="AN663" s="18">
        <v>0</v>
      </c>
      <c r="AO663" s="18">
        <v>0</v>
      </c>
      <c r="AP663" s="18">
        <v>0</v>
      </c>
      <c r="AQ663" s="18">
        <v>0</v>
      </c>
      <c r="AR663" s="18">
        <v>0</v>
      </c>
      <c r="AS663" s="18">
        <v>0</v>
      </c>
      <c r="AT663" s="18">
        <v>0</v>
      </c>
      <c r="AU663" s="18">
        <v>0</v>
      </c>
      <c r="AV663" s="18">
        <v>0</v>
      </c>
      <c r="AW663" s="18">
        <v>0</v>
      </c>
      <c r="AX663" s="18">
        <v>0</v>
      </c>
      <c r="AY663" s="18">
        <v>0</v>
      </c>
      <c r="AZ663" s="18">
        <v>0</v>
      </c>
      <c r="BA663" s="34">
        <f>8*1.43</f>
        <v>11.44</v>
      </c>
      <c r="BB663" s="18">
        <v>0</v>
      </c>
      <c r="BC663" s="18">
        <v>0</v>
      </c>
      <c r="BD663" s="18">
        <v>0</v>
      </c>
      <c r="BE663" s="18">
        <v>0</v>
      </c>
      <c r="BF663" s="18">
        <v>0</v>
      </c>
      <c r="BG663" s="18">
        <v>0</v>
      </c>
      <c r="BH663" s="18">
        <v>0</v>
      </c>
      <c r="BI663" s="18">
        <v>0</v>
      </c>
      <c r="BJ663" s="18">
        <v>0</v>
      </c>
      <c r="BK663" s="18">
        <v>0</v>
      </c>
      <c r="BL663" s="18">
        <v>0</v>
      </c>
      <c r="BM663" s="18">
        <v>0</v>
      </c>
      <c r="BN663" s="18">
        <v>0</v>
      </c>
      <c r="BO663" s="18">
        <v>0</v>
      </c>
      <c r="BP663" s="18">
        <v>0</v>
      </c>
      <c r="BQ663" s="18">
        <v>0</v>
      </c>
      <c r="BR663" s="101"/>
      <c r="BS663">
        <f t="shared" si="1282"/>
        <v>0</v>
      </c>
      <c r="BT663">
        <f t="shared" si="1282"/>
        <v>0</v>
      </c>
      <c r="BU663">
        <f t="shared" si="1282"/>
        <v>0</v>
      </c>
      <c r="BV663">
        <f t="shared" si="1282"/>
        <v>0</v>
      </c>
      <c r="BW663">
        <f t="shared" si="1282"/>
        <v>0</v>
      </c>
      <c r="BX663">
        <f t="shared" si="1282"/>
        <v>0</v>
      </c>
      <c r="BY663">
        <f t="shared" si="1282"/>
        <v>0</v>
      </c>
      <c r="BZ663">
        <f t="shared" si="1282"/>
        <v>0</v>
      </c>
      <c r="CA663">
        <f t="shared" si="1282"/>
        <v>0</v>
      </c>
      <c r="CB663">
        <f t="shared" si="1282"/>
        <v>0</v>
      </c>
      <c r="CC663">
        <f t="shared" si="1283"/>
        <v>0</v>
      </c>
      <c r="CD663">
        <f t="shared" si="1283"/>
        <v>0</v>
      </c>
      <c r="CE663">
        <f t="shared" si="1283"/>
        <v>0</v>
      </c>
      <c r="CF663">
        <f t="shared" si="1283"/>
        <v>0</v>
      </c>
      <c r="CG663">
        <f t="shared" si="1283"/>
        <v>0</v>
      </c>
      <c r="CH663">
        <f t="shared" si="1283"/>
        <v>0</v>
      </c>
      <c r="CI663">
        <f t="shared" si="1283"/>
        <v>0</v>
      </c>
      <c r="CJ663">
        <f t="shared" si="1283"/>
        <v>0</v>
      </c>
      <c r="CK663">
        <f t="shared" si="1283"/>
        <v>0</v>
      </c>
      <c r="CL663">
        <f t="shared" si="1283"/>
        <v>0</v>
      </c>
      <c r="CM663">
        <f t="shared" si="1284"/>
        <v>0</v>
      </c>
      <c r="CN663">
        <f t="shared" si="1284"/>
        <v>0</v>
      </c>
      <c r="CO663">
        <f t="shared" si="1284"/>
        <v>0</v>
      </c>
      <c r="CP663">
        <f t="shared" si="1284"/>
        <v>0</v>
      </c>
      <c r="CQ663">
        <f t="shared" si="1284"/>
        <v>0</v>
      </c>
      <c r="CR663">
        <f t="shared" si="1284"/>
        <v>0</v>
      </c>
      <c r="CS663">
        <f t="shared" si="1284"/>
        <v>0</v>
      </c>
      <c r="CT663">
        <f t="shared" si="1284"/>
        <v>0</v>
      </c>
      <c r="CU663">
        <f t="shared" si="1284"/>
        <v>0</v>
      </c>
      <c r="CV663">
        <f t="shared" si="1284"/>
        <v>0</v>
      </c>
      <c r="CW663">
        <f t="shared" si="1285"/>
        <v>0</v>
      </c>
      <c r="CX663">
        <f t="shared" si="1285"/>
        <v>0</v>
      </c>
      <c r="CY663">
        <f t="shared" si="1285"/>
        <v>0</v>
      </c>
      <c r="CZ663">
        <f t="shared" si="1285"/>
        <v>0</v>
      </c>
      <c r="DA663">
        <f t="shared" si="1285"/>
        <v>0</v>
      </c>
      <c r="DB663">
        <f t="shared" si="1285"/>
        <v>0</v>
      </c>
      <c r="DC663">
        <f t="shared" si="1285"/>
        <v>0</v>
      </c>
      <c r="DD663">
        <f t="shared" si="1285"/>
        <v>0</v>
      </c>
      <c r="DE663">
        <f t="shared" si="1285"/>
        <v>0</v>
      </c>
      <c r="DF663">
        <f t="shared" si="1285"/>
        <v>0</v>
      </c>
      <c r="DG663">
        <f t="shared" si="1286"/>
        <v>0</v>
      </c>
      <c r="DH663">
        <f t="shared" si="1286"/>
        <v>0</v>
      </c>
      <c r="DI663">
        <f t="shared" si="1286"/>
        <v>0</v>
      </c>
      <c r="DJ663">
        <f t="shared" si="1286"/>
        <v>0</v>
      </c>
      <c r="DK663">
        <f t="shared" si="1286"/>
        <v>0</v>
      </c>
      <c r="DL663">
        <f t="shared" si="1286"/>
        <v>0</v>
      </c>
      <c r="DM663">
        <f t="shared" si="1286"/>
        <v>0</v>
      </c>
      <c r="DN663">
        <f t="shared" si="1286"/>
        <v>0</v>
      </c>
      <c r="DO663">
        <f t="shared" si="1286"/>
        <v>0</v>
      </c>
      <c r="DP663">
        <f t="shared" si="1286"/>
        <v>0</v>
      </c>
      <c r="DQ663">
        <f t="shared" si="1287"/>
        <v>0</v>
      </c>
      <c r="DR663">
        <f t="shared" si="1287"/>
        <v>0</v>
      </c>
      <c r="DS663">
        <f t="shared" si="1287"/>
        <v>0</v>
      </c>
      <c r="DT663">
        <f t="shared" si="1287"/>
        <v>0</v>
      </c>
      <c r="DU663">
        <f t="shared" si="1287"/>
        <v>0</v>
      </c>
      <c r="DV663">
        <f t="shared" si="1287"/>
        <v>0</v>
      </c>
      <c r="DW663">
        <f t="shared" si="1287"/>
        <v>0</v>
      </c>
      <c r="DX663">
        <f t="shared" si="1287"/>
        <v>0</v>
      </c>
      <c r="DY663">
        <f t="shared" si="1287"/>
        <v>0</v>
      </c>
      <c r="DZ663">
        <f t="shared" si="1287"/>
        <v>0</v>
      </c>
      <c r="EA663">
        <f t="shared" si="1288"/>
        <v>0</v>
      </c>
      <c r="EB663">
        <f t="shared" si="1288"/>
        <v>0</v>
      </c>
      <c r="EC663">
        <f t="shared" si="1288"/>
        <v>0</v>
      </c>
      <c r="ED663">
        <f t="shared" si="1288"/>
        <v>0</v>
      </c>
      <c r="EE663">
        <f t="shared" si="1288"/>
        <v>0</v>
      </c>
      <c r="EF663">
        <f t="shared" si="1288"/>
        <v>0</v>
      </c>
    </row>
    <row r="664" spans="1:136" ht="15.5">
      <c r="A664" s="90"/>
      <c r="B664" s="19"/>
      <c r="C664" s="94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  <c r="AJ664" s="31"/>
      <c r="AK664" s="31"/>
      <c r="AL664" s="31"/>
      <c r="AM664" s="31"/>
      <c r="AN664" s="31"/>
      <c r="AO664" s="31"/>
      <c r="AP664" s="31"/>
      <c r="AQ664" s="31"/>
      <c r="AR664" s="31"/>
      <c r="AS664" s="31"/>
      <c r="AT664" s="31"/>
      <c r="AU664" s="31"/>
      <c r="AV664" s="31"/>
      <c r="AW664" s="31"/>
      <c r="AX664" s="31"/>
      <c r="AY664" s="31"/>
      <c r="AZ664" s="31"/>
      <c r="BA664" s="31"/>
      <c r="BB664" s="31"/>
      <c r="BC664" s="31"/>
      <c r="BD664" s="31"/>
      <c r="BE664" s="55"/>
      <c r="BF664" s="31"/>
      <c r="BG664" s="31"/>
      <c r="BH664" s="2"/>
      <c r="BI664" s="221"/>
      <c r="BJ664" s="2"/>
      <c r="BK664" s="2"/>
      <c r="BL664" s="2"/>
      <c r="BM664" s="2"/>
      <c r="BN664" s="2"/>
      <c r="BO664" s="2"/>
      <c r="BP664" s="2"/>
      <c r="BQ664" s="2"/>
      <c r="BR664" s="101"/>
    </row>
    <row r="665" spans="1:136" ht="15.5">
      <c r="A665" s="93">
        <v>81</v>
      </c>
      <c r="B665" s="52" t="s">
        <v>92</v>
      </c>
      <c r="C665" s="94">
        <v>4</v>
      </c>
      <c r="D665" s="22">
        <f t="shared" ref="D665:AI665" si="1289">SUM(D666:D671)</f>
        <v>0</v>
      </c>
      <c r="E665" s="22">
        <f t="shared" si="1289"/>
        <v>0</v>
      </c>
      <c r="F665" s="22">
        <f t="shared" si="1289"/>
        <v>0</v>
      </c>
      <c r="G665" s="22">
        <f t="shared" si="1289"/>
        <v>0</v>
      </c>
      <c r="H665" s="22">
        <f t="shared" si="1289"/>
        <v>0</v>
      </c>
      <c r="I665" s="22">
        <f t="shared" si="1289"/>
        <v>0</v>
      </c>
      <c r="J665" s="22">
        <f t="shared" si="1289"/>
        <v>0</v>
      </c>
      <c r="K665" s="22">
        <f t="shared" si="1289"/>
        <v>0</v>
      </c>
      <c r="L665" s="22">
        <f t="shared" si="1289"/>
        <v>0</v>
      </c>
      <c r="M665" s="22">
        <f t="shared" si="1289"/>
        <v>0</v>
      </c>
      <c r="N665" s="22">
        <f t="shared" si="1289"/>
        <v>0</v>
      </c>
      <c r="O665" s="22">
        <f t="shared" si="1289"/>
        <v>0</v>
      </c>
      <c r="P665" s="22">
        <f t="shared" si="1289"/>
        <v>0</v>
      </c>
      <c r="Q665" s="22">
        <f t="shared" si="1289"/>
        <v>0</v>
      </c>
      <c r="R665" s="22">
        <f t="shared" si="1289"/>
        <v>0</v>
      </c>
      <c r="S665" s="22">
        <f t="shared" si="1289"/>
        <v>0</v>
      </c>
      <c r="T665" s="22">
        <f t="shared" si="1289"/>
        <v>0.3</v>
      </c>
      <c r="U665" s="22">
        <f t="shared" si="1289"/>
        <v>0</v>
      </c>
      <c r="V665" s="22">
        <f t="shared" si="1289"/>
        <v>0</v>
      </c>
      <c r="W665" s="22">
        <f t="shared" si="1289"/>
        <v>0</v>
      </c>
      <c r="X665" s="22">
        <f t="shared" si="1289"/>
        <v>0</v>
      </c>
      <c r="Y665" s="22">
        <f t="shared" si="1289"/>
        <v>0</v>
      </c>
      <c r="Z665" s="22">
        <f t="shared" si="1289"/>
        <v>8.2650000000000006</v>
      </c>
      <c r="AA665" s="22">
        <f t="shared" si="1289"/>
        <v>17.933</v>
      </c>
      <c r="AB665" s="22">
        <f t="shared" si="1289"/>
        <v>27.550999999999998</v>
      </c>
      <c r="AC665" s="22">
        <f t="shared" si="1289"/>
        <v>37.084000000000003</v>
      </c>
      <c r="AD665" s="22">
        <f t="shared" si="1289"/>
        <v>47.128999999999998</v>
      </c>
      <c r="AE665" s="22">
        <f t="shared" si="1289"/>
        <v>64.253999999999991</v>
      </c>
      <c r="AF665" s="22">
        <f t="shared" si="1289"/>
        <v>96.244</v>
      </c>
      <c r="AG665" s="22">
        <f t="shared" si="1289"/>
        <v>130.399</v>
      </c>
      <c r="AH665" s="22">
        <f t="shared" si="1289"/>
        <v>171.30699999999999</v>
      </c>
      <c r="AI665" s="22">
        <f t="shared" si="1289"/>
        <v>183.43099999999998</v>
      </c>
      <c r="AJ665" s="22">
        <f t="shared" ref="AJ665:BQ665" si="1290">SUM(AJ666:AJ671)</f>
        <v>77.798000000000002</v>
      </c>
      <c r="AK665" s="22">
        <f t="shared" si="1290"/>
        <v>71.975999999999999</v>
      </c>
      <c r="AL665" s="22">
        <f t="shared" si="1290"/>
        <v>59.594999999999999</v>
      </c>
      <c r="AM665" s="22">
        <f t="shared" si="1290"/>
        <v>51.298999999999999</v>
      </c>
      <c r="AN665" s="22">
        <f t="shared" si="1290"/>
        <v>0</v>
      </c>
      <c r="AO665" s="22">
        <f t="shared" si="1290"/>
        <v>0</v>
      </c>
      <c r="AP665" s="22">
        <f t="shared" si="1290"/>
        <v>0</v>
      </c>
      <c r="AQ665" s="22">
        <f t="shared" si="1290"/>
        <v>0</v>
      </c>
      <c r="AR665" s="22">
        <f t="shared" si="1290"/>
        <v>9.8160000000000001E-4</v>
      </c>
      <c r="AS665" s="22">
        <f t="shared" si="1290"/>
        <v>0</v>
      </c>
      <c r="AT665" s="22">
        <f t="shared" si="1290"/>
        <v>0.1254275</v>
      </c>
      <c r="AU665" s="22">
        <f t="shared" si="1290"/>
        <v>0</v>
      </c>
      <c r="AV665" s="22">
        <f t="shared" si="1290"/>
        <v>0</v>
      </c>
      <c r="AW665" s="22">
        <f t="shared" si="1290"/>
        <v>0</v>
      </c>
      <c r="AX665" s="22">
        <f t="shared" si="1290"/>
        <v>0</v>
      </c>
      <c r="AY665" s="22">
        <f t="shared" si="1290"/>
        <v>0</v>
      </c>
      <c r="AZ665" s="22">
        <f t="shared" si="1290"/>
        <v>0</v>
      </c>
      <c r="BA665" s="22">
        <f t="shared" si="1290"/>
        <v>0</v>
      </c>
      <c r="BB665" s="22">
        <f t="shared" si="1290"/>
        <v>0</v>
      </c>
      <c r="BC665" s="22">
        <f t="shared" si="1290"/>
        <v>0</v>
      </c>
      <c r="BD665" s="22">
        <f t="shared" si="1290"/>
        <v>0</v>
      </c>
      <c r="BE665" s="22">
        <f t="shared" si="1290"/>
        <v>0</v>
      </c>
      <c r="BF665" s="22">
        <f t="shared" si="1290"/>
        <v>0</v>
      </c>
      <c r="BG665" s="22">
        <f t="shared" si="1290"/>
        <v>0</v>
      </c>
      <c r="BH665" s="22">
        <f t="shared" si="1290"/>
        <v>0</v>
      </c>
      <c r="BI665" s="22">
        <f t="shared" si="1290"/>
        <v>0</v>
      </c>
      <c r="BJ665" s="22">
        <f t="shared" si="1290"/>
        <v>0</v>
      </c>
      <c r="BK665" s="22">
        <f t="shared" si="1290"/>
        <v>0</v>
      </c>
      <c r="BL665" s="22">
        <f t="shared" si="1290"/>
        <v>33410.042000000001</v>
      </c>
      <c r="BM665" s="22">
        <f t="shared" si="1290"/>
        <v>35700.633999999998</v>
      </c>
      <c r="BN665" s="22">
        <f t="shared" si="1290"/>
        <v>38022</v>
      </c>
      <c r="BO665" s="22">
        <f t="shared" si="1290"/>
        <v>40618</v>
      </c>
      <c r="BP665" s="22">
        <f t="shared" si="1290"/>
        <v>43236</v>
      </c>
      <c r="BQ665" s="22">
        <f t="shared" si="1290"/>
        <v>45854</v>
      </c>
      <c r="BR665" s="101"/>
      <c r="BS665">
        <f t="shared" ref="BS665:CB672" si="1291">IF($C665&lt;&gt;"",IF(D665&gt;0,1,0),0)</f>
        <v>0</v>
      </c>
      <c r="BT665">
        <f t="shared" si="1291"/>
        <v>0</v>
      </c>
      <c r="BU665">
        <f t="shared" si="1291"/>
        <v>0</v>
      </c>
      <c r="BV665">
        <f t="shared" si="1291"/>
        <v>0</v>
      </c>
      <c r="BW665">
        <f t="shared" si="1291"/>
        <v>0</v>
      </c>
      <c r="BX665">
        <f t="shared" si="1291"/>
        <v>0</v>
      </c>
      <c r="BY665">
        <f t="shared" si="1291"/>
        <v>0</v>
      </c>
      <c r="BZ665">
        <f t="shared" si="1291"/>
        <v>0</v>
      </c>
      <c r="CA665">
        <f t="shared" si="1291"/>
        <v>0</v>
      </c>
      <c r="CB665">
        <f t="shared" si="1291"/>
        <v>0</v>
      </c>
      <c r="CC665">
        <f t="shared" ref="CC665:CL672" si="1292">IF($C665&lt;&gt;"",IF(N665&gt;0,1,0),0)</f>
        <v>0</v>
      </c>
      <c r="CD665">
        <f t="shared" si="1292"/>
        <v>0</v>
      </c>
      <c r="CE665">
        <f t="shared" si="1292"/>
        <v>0</v>
      </c>
      <c r="CF665">
        <f t="shared" si="1292"/>
        <v>0</v>
      </c>
      <c r="CG665">
        <f t="shared" si="1292"/>
        <v>0</v>
      </c>
      <c r="CH665">
        <f t="shared" si="1292"/>
        <v>0</v>
      </c>
      <c r="CI665">
        <f t="shared" si="1292"/>
        <v>1</v>
      </c>
      <c r="CJ665">
        <f t="shared" si="1292"/>
        <v>0</v>
      </c>
      <c r="CK665">
        <f t="shared" si="1292"/>
        <v>0</v>
      </c>
      <c r="CL665">
        <f t="shared" si="1292"/>
        <v>0</v>
      </c>
      <c r="CM665">
        <f t="shared" ref="CM665:CV672" si="1293">IF($C665&lt;&gt;"",IF(X665&gt;0,1,0),0)</f>
        <v>0</v>
      </c>
      <c r="CN665">
        <f t="shared" si="1293"/>
        <v>0</v>
      </c>
      <c r="CO665">
        <f t="shared" si="1293"/>
        <v>1</v>
      </c>
      <c r="CP665">
        <f t="shared" si="1293"/>
        <v>1</v>
      </c>
      <c r="CQ665">
        <f t="shared" si="1293"/>
        <v>1</v>
      </c>
      <c r="CR665">
        <f t="shared" si="1293"/>
        <v>1</v>
      </c>
      <c r="CS665">
        <f t="shared" si="1293"/>
        <v>1</v>
      </c>
      <c r="CT665">
        <f t="shared" si="1293"/>
        <v>1</v>
      </c>
      <c r="CU665">
        <f t="shared" si="1293"/>
        <v>1</v>
      </c>
      <c r="CV665">
        <f t="shared" si="1293"/>
        <v>1</v>
      </c>
      <c r="CW665">
        <f t="shared" ref="CW665:DF672" si="1294">IF($C665&lt;&gt;"",IF(AH665&gt;0,1,0),0)</f>
        <v>1</v>
      </c>
      <c r="CX665">
        <f t="shared" si="1294"/>
        <v>1</v>
      </c>
      <c r="CY665">
        <f t="shared" si="1294"/>
        <v>1</v>
      </c>
      <c r="CZ665">
        <f t="shared" si="1294"/>
        <v>1</v>
      </c>
      <c r="DA665">
        <f t="shared" si="1294"/>
        <v>1</v>
      </c>
      <c r="DB665">
        <f t="shared" si="1294"/>
        <v>1</v>
      </c>
      <c r="DC665">
        <f t="shared" si="1294"/>
        <v>0</v>
      </c>
      <c r="DD665">
        <f t="shared" si="1294"/>
        <v>0</v>
      </c>
      <c r="DE665">
        <f t="shared" si="1294"/>
        <v>0</v>
      </c>
      <c r="DF665">
        <f t="shared" si="1294"/>
        <v>0</v>
      </c>
      <c r="DG665">
        <f t="shared" ref="DG665:DP672" si="1295">IF($C665&lt;&gt;"",IF(AR665&gt;0,1,0),0)</f>
        <v>1</v>
      </c>
      <c r="DH665">
        <f t="shared" si="1295"/>
        <v>0</v>
      </c>
      <c r="DI665">
        <f t="shared" si="1295"/>
        <v>1</v>
      </c>
      <c r="DJ665">
        <f t="shared" si="1295"/>
        <v>0</v>
      </c>
      <c r="DK665">
        <f t="shared" si="1295"/>
        <v>0</v>
      </c>
      <c r="DL665">
        <f t="shared" si="1295"/>
        <v>0</v>
      </c>
      <c r="DM665">
        <f t="shared" si="1295"/>
        <v>0</v>
      </c>
      <c r="DN665">
        <f t="shared" si="1295"/>
        <v>0</v>
      </c>
      <c r="DO665">
        <f t="shared" si="1295"/>
        <v>0</v>
      </c>
      <c r="DP665">
        <f t="shared" si="1295"/>
        <v>0</v>
      </c>
      <c r="DQ665">
        <f t="shared" ref="DQ665:DZ672" si="1296">IF($C665&lt;&gt;"",IF(BB665&gt;0,1,0),0)</f>
        <v>0</v>
      </c>
      <c r="DR665">
        <f t="shared" si="1296"/>
        <v>0</v>
      </c>
      <c r="DS665">
        <f t="shared" si="1296"/>
        <v>0</v>
      </c>
      <c r="DT665">
        <f t="shared" si="1296"/>
        <v>0</v>
      </c>
      <c r="DU665">
        <f t="shared" si="1296"/>
        <v>0</v>
      </c>
      <c r="DV665">
        <f t="shared" si="1296"/>
        <v>0</v>
      </c>
      <c r="DW665">
        <f t="shared" si="1296"/>
        <v>0</v>
      </c>
      <c r="DX665">
        <f t="shared" si="1296"/>
        <v>0</v>
      </c>
      <c r="DY665">
        <f t="shared" si="1296"/>
        <v>0</v>
      </c>
      <c r="DZ665">
        <f t="shared" si="1296"/>
        <v>0</v>
      </c>
      <c r="EA665">
        <f t="shared" ref="EA665:EF672" si="1297">IF($C665&lt;&gt;"",IF(BL665&gt;0,1,0),0)</f>
        <v>1</v>
      </c>
      <c r="EB665">
        <f t="shared" si="1297"/>
        <v>1</v>
      </c>
      <c r="EC665">
        <f t="shared" si="1297"/>
        <v>1</v>
      </c>
      <c r="ED665">
        <f t="shared" si="1297"/>
        <v>1</v>
      </c>
      <c r="EE665">
        <f t="shared" si="1297"/>
        <v>1</v>
      </c>
      <c r="EF665">
        <f t="shared" si="1297"/>
        <v>1</v>
      </c>
    </row>
    <row r="666" spans="1:136" ht="15.5">
      <c r="A666" s="90"/>
      <c r="B666" s="57" t="s">
        <v>184</v>
      </c>
      <c r="C666" s="94"/>
      <c r="D666" s="58">
        <v>0</v>
      </c>
      <c r="E666" s="58">
        <v>0</v>
      </c>
      <c r="F666" s="58">
        <v>0</v>
      </c>
      <c r="G666" s="58">
        <v>0</v>
      </c>
      <c r="H666" s="58">
        <v>0</v>
      </c>
      <c r="I666" s="58">
        <v>0</v>
      </c>
      <c r="J666" s="58">
        <v>0</v>
      </c>
      <c r="K666" s="58">
        <v>0</v>
      </c>
      <c r="L666" s="58">
        <v>0</v>
      </c>
      <c r="M666" s="58">
        <v>0</v>
      </c>
      <c r="N666" s="18">
        <v>0</v>
      </c>
      <c r="O666" s="18">
        <v>0</v>
      </c>
      <c r="P666" s="18">
        <v>0</v>
      </c>
      <c r="Q666" s="18">
        <v>0</v>
      </c>
      <c r="R666" s="18">
        <v>0</v>
      </c>
      <c r="S666" s="18">
        <v>0</v>
      </c>
      <c r="T666" s="18">
        <v>0.3</v>
      </c>
      <c r="U666" s="18">
        <v>0</v>
      </c>
      <c r="V666" s="18">
        <v>0</v>
      </c>
      <c r="W666" s="18">
        <v>0</v>
      </c>
      <c r="X666" s="18">
        <v>0</v>
      </c>
      <c r="Y666" s="18">
        <v>0</v>
      </c>
      <c r="Z666" s="18">
        <v>0</v>
      </c>
      <c r="AA666" s="18">
        <v>0</v>
      </c>
      <c r="AB666" s="18">
        <v>0</v>
      </c>
      <c r="AC666" s="18">
        <v>0</v>
      </c>
      <c r="AD666" s="18">
        <v>0</v>
      </c>
      <c r="AE666" s="18">
        <v>0</v>
      </c>
      <c r="AF666" s="18">
        <v>0</v>
      </c>
      <c r="AG666" s="18">
        <v>0</v>
      </c>
      <c r="AH666" s="18">
        <v>0</v>
      </c>
      <c r="AI666" s="18">
        <v>0</v>
      </c>
      <c r="AJ666" s="18">
        <v>0</v>
      </c>
      <c r="AK666" s="18">
        <v>0</v>
      </c>
      <c r="AL666" s="18">
        <v>0</v>
      </c>
      <c r="AM666" s="18">
        <v>0</v>
      </c>
      <c r="AN666" s="18">
        <v>0</v>
      </c>
      <c r="AO666" s="18">
        <v>0</v>
      </c>
      <c r="AP666" s="18">
        <v>0</v>
      </c>
      <c r="AQ666" s="18">
        <v>0</v>
      </c>
      <c r="AR666" s="18">
        <v>0</v>
      </c>
      <c r="AS666" s="18">
        <v>0</v>
      </c>
      <c r="AT666" s="18">
        <v>0</v>
      </c>
      <c r="AU666" s="18">
        <v>0</v>
      </c>
      <c r="AV666" s="18">
        <v>0</v>
      </c>
      <c r="AW666" s="18">
        <v>0</v>
      </c>
      <c r="AX666" s="18">
        <v>0</v>
      </c>
      <c r="AY666" s="18">
        <v>0</v>
      </c>
      <c r="AZ666" s="18">
        <v>0</v>
      </c>
      <c r="BA666" s="18">
        <v>0</v>
      </c>
      <c r="BB666" s="18">
        <v>0</v>
      </c>
      <c r="BC666" s="18">
        <v>0</v>
      </c>
      <c r="BD666" s="18">
        <v>0</v>
      </c>
      <c r="BE666" s="25">
        <v>0</v>
      </c>
      <c r="BF666" s="18">
        <v>0</v>
      </c>
      <c r="BG666" s="18">
        <v>0</v>
      </c>
      <c r="BH666" s="18">
        <v>0</v>
      </c>
      <c r="BI666" s="18">
        <v>0</v>
      </c>
      <c r="BJ666" s="113">
        <v>0</v>
      </c>
      <c r="BK666" s="113">
        <v>0</v>
      </c>
      <c r="BL666" s="113">
        <v>0</v>
      </c>
      <c r="BM666" s="113">
        <v>0</v>
      </c>
      <c r="BN666" s="113">
        <v>0</v>
      </c>
      <c r="BO666" s="113">
        <v>0</v>
      </c>
      <c r="BP666" s="113">
        <v>0</v>
      </c>
      <c r="BQ666" s="113">
        <v>0</v>
      </c>
      <c r="BR666" s="101"/>
      <c r="BS666">
        <f t="shared" si="1291"/>
        <v>0</v>
      </c>
      <c r="BT666">
        <f t="shared" si="1291"/>
        <v>0</v>
      </c>
      <c r="BU666">
        <f t="shared" si="1291"/>
        <v>0</v>
      </c>
      <c r="BV666">
        <f t="shared" si="1291"/>
        <v>0</v>
      </c>
      <c r="BW666">
        <f t="shared" si="1291"/>
        <v>0</v>
      </c>
      <c r="BX666">
        <f t="shared" si="1291"/>
        <v>0</v>
      </c>
      <c r="BY666">
        <f t="shared" si="1291"/>
        <v>0</v>
      </c>
      <c r="BZ666">
        <f t="shared" si="1291"/>
        <v>0</v>
      </c>
      <c r="CA666">
        <f t="shared" si="1291"/>
        <v>0</v>
      </c>
      <c r="CB666">
        <f t="shared" si="1291"/>
        <v>0</v>
      </c>
      <c r="CC666">
        <f t="shared" si="1292"/>
        <v>0</v>
      </c>
      <c r="CD666">
        <f t="shared" si="1292"/>
        <v>0</v>
      </c>
      <c r="CE666">
        <f t="shared" si="1292"/>
        <v>0</v>
      </c>
      <c r="CF666">
        <f t="shared" si="1292"/>
        <v>0</v>
      </c>
      <c r="CG666">
        <f t="shared" si="1292"/>
        <v>0</v>
      </c>
      <c r="CH666">
        <f t="shared" si="1292"/>
        <v>0</v>
      </c>
      <c r="CI666">
        <f t="shared" si="1292"/>
        <v>0</v>
      </c>
      <c r="CJ666">
        <f t="shared" si="1292"/>
        <v>0</v>
      </c>
      <c r="CK666">
        <f t="shared" si="1292"/>
        <v>0</v>
      </c>
      <c r="CL666">
        <f t="shared" si="1292"/>
        <v>0</v>
      </c>
      <c r="CM666">
        <f t="shared" si="1293"/>
        <v>0</v>
      </c>
      <c r="CN666">
        <f t="shared" si="1293"/>
        <v>0</v>
      </c>
      <c r="CO666">
        <f t="shared" si="1293"/>
        <v>0</v>
      </c>
      <c r="CP666">
        <f t="shared" si="1293"/>
        <v>0</v>
      </c>
      <c r="CQ666">
        <f t="shared" si="1293"/>
        <v>0</v>
      </c>
      <c r="CR666">
        <f t="shared" si="1293"/>
        <v>0</v>
      </c>
      <c r="CS666">
        <f t="shared" si="1293"/>
        <v>0</v>
      </c>
      <c r="CT666">
        <f t="shared" si="1293"/>
        <v>0</v>
      </c>
      <c r="CU666">
        <f t="shared" si="1293"/>
        <v>0</v>
      </c>
      <c r="CV666">
        <f t="shared" si="1293"/>
        <v>0</v>
      </c>
      <c r="CW666">
        <f t="shared" si="1294"/>
        <v>0</v>
      </c>
      <c r="CX666">
        <f t="shared" si="1294"/>
        <v>0</v>
      </c>
      <c r="CY666">
        <f t="shared" si="1294"/>
        <v>0</v>
      </c>
      <c r="CZ666">
        <f t="shared" si="1294"/>
        <v>0</v>
      </c>
      <c r="DA666">
        <f t="shared" si="1294"/>
        <v>0</v>
      </c>
      <c r="DB666">
        <f t="shared" si="1294"/>
        <v>0</v>
      </c>
      <c r="DC666">
        <f t="shared" si="1294"/>
        <v>0</v>
      </c>
      <c r="DD666">
        <f t="shared" si="1294"/>
        <v>0</v>
      </c>
      <c r="DE666">
        <f t="shared" si="1294"/>
        <v>0</v>
      </c>
      <c r="DF666">
        <f t="shared" si="1294"/>
        <v>0</v>
      </c>
      <c r="DG666">
        <f t="shared" si="1295"/>
        <v>0</v>
      </c>
      <c r="DH666">
        <f t="shared" si="1295"/>
        <v>0</v>
      </c>
      <c r="DI666">
        <f t="shared" si="1295"/>
        <v>0</v>
      </c>
      <c r="DJ666">
        <f t="shared" si="1295"/>
        <v>0</v>
      </c>
      <c r="DK666">
        <f t="shared" si="1295"/>
        <v>0</v>
      </c>
      <c r="DL666">
        <f t="shared" si="1295"/>
        <v>0</v>
      </c>
      <c r="DM666">
        <f t="shared" si="1295"/>
        <v>0</v>
      </c>
      <c r="DN666">
        <f t="shared" si="1295"/>
        <v>0</v>
      </c>
      <c r="DO666">
        <f t="shared" si="1295"/>
        <v>0</v>
      </c>
      <c r="DP666">
        <f t="shared" si="1295"/>
        <v>0</v>
      </c>
      <c r="DQ666">
        <f t="shared" si="1296"/>
        <v>0</v>
      </c>
      <c r="DR666">
        <f t="shared" si="1296"/>
        <v>0</v>
      </c>
      <c r="DS666">
        <f t="shared" si="1296"/>
        <v>0</v>
      </c>
      <c r="DT666">
        <f t="shared" si="1296"/>
        <v>0</v>
      </c>
      <c r="DU666">
        <f t="shared" si="1296"/>
        <v>0</v>
      </c>
      <c r="DV666">
        <f t="shared" si="1296"/>
        <v>0</v>
      </c>
      <c r="DW666">
        <f t="shared" si="1296"/>
        <v>0</v>
      </c>
      <c r="DX666">
        <f t="shared" si="1296"/>
        <v>0</v>
      </c>
      <c r="DY666">
        <f t="shared" si="1296"/>
        <v>0</v>
      </c>
      <c r="DZ666">
        <f t="shared" si="1296"/>
        <v>0</v>
      </c>
      <c r="EA666">
        <f t="shared" si="1297"/>
        <v>0</v>
      </c>
      <c r="EB666">
        <f t="shared" si="1297"/>
        <v>0</v>
      </c>
      <c r="EC666">
        <f t="shared" si="1297"/>
        <v>0</v>
      </c>
      <c r="ED666">
        <f t="shared" si="1297"/>
        <v>0</v>
      </c>
      <c r="EE666">
        <f t="shared" si="1297"/>
        <v>0</v>
      </c>
      <c r="EF666">
        <f t="shared" si="1297"/>
        <v>0</v>
      </c>
    </row>
    <row r="667" spans="1:136" ht="15.5">
      <c r="A667" s="90"/>
      <c r="B667" s="57" t="s">
        <v>2</v>
      </c>
      <c r="C667" s="94"/>
      <c r="D667" s="58">
        <v>0</v>
      </c>
      <c r="E667" s="58">
        <v>0</v>
      </c>
      <c r="F667" s="58">
        <v>0</v>
      </c>
      <c r="G667" s="58">
        <v>0</v>
      </c>
      <c r="H667" s="58">
        <v>0</v>
      </c>
      <c r="I667" s="58">
        <v>0</v>
      </c>
      <c r="J667" s="58">
        <v>0</v>
      </c>
      <c r="K667" s="58">
        <v>0</v>
      </c>
      <c r="L667" s="58">
        <v>0</v>
      </c>
      <c r="M667" s="58">
        <v>0</v>
      </c>
      <c r="N667" s="18">
        <v>0</v>
      </c>
      <c r="O667" s="18">
        <v>0</v>
      </c>
      <c r="P667" s="18">
        <v>0</v>
      </c>
      <c r="Q667" s="18">
        <v>0</v>
      </c>
      <c r="R667" s="18">
        <v>0</v>
      </c>
      <c r="S667" s="18">
        <v>0</v>
      </c>
      <c r="T667" s="18">
        <v>0</v>
      </c>
      <c r="U667" s="18">
        <v>0</v>
      </c>
      <c r="V667" s="18">
        <v>0</v>
      </c>
      <c r="W667" s="18">
        <v>0</v>
      </c>
      <c r="X667" s="18">
        <v>0</v>
      </c>
      <c r="Y667" s="18">
        <v>0</v>
      </c>
      <c r="Z667" s="18">
        <v>0</v>
      </c>
      <c r="AA667" s="18">
        <v>0</v>
      </c>
      <c r="AB667" s="18">
        <v>0</v>
      </c>
      <c r="AC667" s="18">
        <v>0</v>
      </c>
      <c r="AD667" s="18">
        <v>0</v>
      </c>
      <c r="AE667" s="18">
        <v>0</v>
      </c>
      <c r="AF667" s="18">
        <v>0</v>
      </c>
      <c r="AG667" s="18">
        <v>0</v>
      </c>
      <c r="AH667" s="18">
        <v>0</v>
      </c>
      <c r="AI667" s="18">
        <v>0</v>
      </c>
      <c r="AJ667" s="18">
        <v>0</v>
      </c>
      <c r="AK667" s="18">
        <v>0</v>
      </c>
      <c r="AL667" s="18">
        <v>0</v>
      </c>
      <c r="AM667" s="18">
        <v>0</v>
      </c>
      <c r="AN667" s="18">
        <v>0</v>
      </c>
      <c r="AO667" s="18">
        <v>0</v>
      </c>
      <c r="AP667" s="18">
        <v>0</v>
      </c>
      <c r="AQ667" s="18">
        <v>0</v>
      </c>
      <c r="AR667" s="18">
        <v>0</v>
      </c>
      <c r="AS667" s="18">
        <v>0</v>
      </c>
      <c r="AT667" s="18">
        <v>0</v>
      </c>
      <c r="AU667" s="18">
        <v>0</v>
      </c>
      <c r="AV667" s="18">
        <v>0</v>
      </c>
      <c r="AW667" s="18">
        <v>0</v>
      </c>
      <c r="AX667" s="18">
        <v>0</v>
      </c>
      <c r="AY667" s="18">
        <v>0</v>
      </c>
      <c r="AZ667" s="18">
        <v>0</v>
      </c>
      <c r="BA667" s="18">
        <v>0</v>
      </c>
      <c r="BB667" s="18">
        <v>0</v>
      </c>
      <c r="BC667" s="18">
        <v>0</v>
      </c>
      <c r="BD667" s="18">
        <v>0</v>
      </c>
      <c r="BE667" s="25">
        <v>0</v>
      </c>
      <c r="BF667" s="18">
        <v>0</v>
      </c>
      <c r="BG667" s="18">
        <v>0</v>
      </c>
      <c r="BH667" s="18">
        <v>0</v>
      </c>
      <c r="BI667" s="18">
        <v>0</v>
      </c>
      <c r="BJ667" s="113">
        <v>0</v>
      </c>
      <c r="BK667" s="113">
        <v>0</v>
      </c>
      <c r="BL667" s="113">
        <v>0</v>
      </c>
      <c r="BM667" s="113">
        <v>0</v>
      </c>
      <c r="BN667" s="113">
        <v>0</v>
      </c>
      <c r="BO667" s="113">
        <v>0</v>
      </c>
      <c r="BP667" s="113">
        <v>0</v>
      </c>
      <c r="BQ667" s="113">
        <v>0</v>
      </c>
      <c r="BR667" s="101"/>
      <c r="BS667">
        <f t="shared" si="1291"/>
        <v>0</v>
      </c>
      <c r="BT667">
        <f t="shared" si="1291"/>
        <v>0</v>
      </c>
      <c r="BU667">
        <f t="shared" si="1291"/>
        <v>0</v>
      </c>
      <c r="BV667">
        <f t="shared" si="1291"/>
        <v>0</v>
      </c>
      <c r="BW667">
        <f t="shared" si="1291"/>
        <v>0</v>
      </c>
      <c r="BX667">
        <f t="shared" si="1291"/>
        <v>0</v>
      </c>
      <c r="BY667">
        <f t="shared" si="1291"/>
        <v>0</v>
      </c>
      <c r="BZ667">
        <f t="shared" si="1291"/>
        <v>0</v>
      </c>
      <c r="CA667">
        <f t="shared" si="1291"/>
        <v>0</v>
      </c>
      <c r="CB667">
        <f t="shared" si="1291"/>
        <v>0</v>
      </c>
      <c r="CC667">
        <f t="shared" si="1292"/>
        <v>0</v>
      </c>
      <c r="CD667">
        <f t="shared" si="1292"/>
        <v>0</v>
      </c>
      <c r="CE667">
        <f t="shared" si="1292"/>
        <v>0</v>
      </c>
      <c r="CF667">
        <f t="shared" si="1292"/>
        <v>0</v>
      </c>
      <c r="CG667">
        <f t="shared" si="1292"/>
        <v>0</v>
      </c>
      <c r="CH667">
        <f t="shared" si="1292"/>
        <v>0</v>
      </c>
      <c r="CI667">
        <f t="shared" si="1292"/>
        <v>0</v>
      </c>
      <c r="CJ667">
        <f t="shared" si="1292"/>
        <v>0</v>
      </c>
      <c r="CK667">
        <f t="shared" si="1292"/>
        <v>0</v>
      </c>
      <c r="CL667">
        <f t="shared" si="1292"/>
        <v>0</v>
      </c>
      <c r="CM667">
        <f t="shared" si="1293"/>
        <v>0</v>
      </c>
      <c r="CN667">
        <f t="shared" si="1293"/>
        <v>0</v>
      </c>
      <c r="CO667">
        <f t="shared" si="1293"/>
        <v>0</v>
      </c>
      <c r="CP667">
        <f t="shared" si="1293"/>
        <v>0</v>
      </c>
      <c r="CQ667">
        <f t="shared" si="1293"/>
        <v>0</v>
      </c>
      <c r="CR667">
        <f t="shared" si="1293"/>
        <v>0</v>
      </c>
      <c r="CS667">
        <f t="shared" si="1293"/>
        <v>0</v>
      </c>
      <c r="CT667">
        <f t="shared" si="1293"/>
        <v>0</v>
      </c>
      <c r="CU667">
        <f t="shared" si="1293"/>
        <v>0</v>
      </c>
      <c r="CV667">
        <f t="shared" si="1293"/>
        <v>0</v>
      </c>
      <c r="CW667">
        <f t="shared" si="1294"/>
        <v>0</v>
      </c>
      <c r="CX667">
        <f t="shared" si="1294"/>
        <v>0</v>
      </c>
      <c r="CY667">
        <f t="shared" si="1294"/>
        <v>0</v>
      </c>
      <c r="CZ667">
        <f t="shared" si="1294"/>
        <v>0</v>
      </c>
      <c r="DA667">
        <f t="shared" si="1294"/>
        <v>0</v>
      </c>
      <c r="DB667">
        <f t="shared" si="1294"/>
        <v>0</v>
      </c>
      <c r="DC667">
        <f t="shared" si="1294"/>
        <v>0</v>
      </c>
      <c r="DD667">
        <f t="shared" si="1294"/>
        <v>0</v>
      </c>
      <c r="DE667">
        <f t="shared" si="1294"/>
        <v>0</v>
      </c>
      <c r="DF667">
        <f t="shared" si="1294"/>
        <v>0</v>
      </c>
      <c r="DG667">
        <f t="shared" si="1295"/>
        <v>0</v>
      </c>
      <c r="DH667">
        <f t="shared" si="1295"/>
        <v>0</v>
      </c>
      <c r="DI667">
        <f t="shared" si="1295"/>
        <v>0</v>
      </c>
      <c r="DJ667">
        <f t="shared" si="1295"/>
        <v>0</v>
      </c>
      <c r="DK667">
        <f t="shared" si="1295"/>
        <v>0</v>
      </c>
      <c r="DL667">
        <f t="shared" si="1295"/>
        <v>0</v>
      </c>
      <c r="DM667">
        <f t="shared" si="1295"/>
        <v>0</v>
      </c>
      <c r="DN667">
        <f t="shared" si="1295"/>
        <v>0</v>
      </c>
      <c r="DO667">
        <f t="shared" si="1295"/>
        <v>0</v>
      </c>
      <c r="DP667">
        <f t="shared" si="1295"/>
        <v>0</v>
      </c>
      <c r="DQ667">
        <f t="shared" si="1296"/>
        <v>0</v>
      </c>
      <c r="DR667">
        <f t="shared" si="1296"/>
        <v>0</v>
      </c>
      <c r="DS667">
        <f t="shared" si="1296"/>
        <v>0</v>
      </c>
      <c r="DT667">
        <f t="shared" si="1296"/>
        <v>0</v>
      </c>
      <c r="DU667">
        <f t="shared" si="1296"/>
        <v>0</v>
      </c>
      <c r="DV667">
        <f t="shared" si="1296"/>
        <v>0</v>
      </c>
      <c r="DW667">
        <f t="shared" si="1296"/>
        <v>0</v>
      </c>
      <c r="DX667">
        <f t="shared" si="1296"/>
        <v>0</v>
      </c>
      <c r="DY667">
        <f t="shared" si="1296"/>
        <v>0</v>
      </c>
      <c r="DZ667">
        <f t="shared" si="1296"/>
        <v>0</v>
      </c>
      <c r="EA667">
        <f t="shared" si="1297"/>
        <v>0</v>
      </c>
      <c r="EB667">
        <f t="shared" si="1297"/>
        <v>0</v>
      </c>
      <c r="EC667">
        <f t="shared" si="1297"/>
        <v>0</v>
      </c>
      <c r="ED667">
        <f t="shared" si="1297"/>
        <v>0</v>
      </c>
      <c r="EE667">
        <f t="shared" si="1297"/>
        <v>0</v>
      </c>
      <c r="EF667">
        <f t="shared" si="1297"/>
        <v>0</v>
      </c>
    </row>
    <row r="668" spans="1:136" ht="15.5">
      <c r="A668" s="90"/>
      <c r="B668" s="57" t="s">
        <v>205</v>
      </c>
      <c r="C668" s="94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  <c r="AS668" s="18"/>
      <c r="AT668" s="18"/>
      <c r="AU668" s="18"/>
      <c r="AV668" s="18"/>
      <c r="AW668" s="18"/>
      <c r="AX668" s="18"/>
      <c r="AY668" s="18"/>
      <c r="AZ668" s="18"/>
      <c r="BA668" s="18"/>
      <c r="BB668" s="18"/>
      <c r="BC668" s="18"/>
      <c r="BD668" s="18"/>
      <c r="BE668" s="25"/>
      <c r="BF668" s="18"/>
      <c r="BG668" s="18"/>
      <c r="BH668" s="18"/>
      <c r="BI668" s="18"/>
      <c r="BJ668" s="113"/>
      <c r="BK668" s="113"/>
      <c r="BL668" s="113"/>
      <c r="BM668" s="113"/>
      <c r="BN668" s="113"/>
      <c r="BO668" s="113">
        <v>7</v>
      </c>
      <c r="BP668" s="113">
        <v>7</v>
      </c>
      <c r="BQ668" s="113">
        <v>7</v>
      </c>
      <c r="BR668" s="101"/>
    </row>
    <row r="669" spans="1:136" ht="15.5">
      <c r="A669" s="90"/>
      <c r="B669" s="53" t="s">
        <v>3</v>
      </c>
      <c r="C669" s="94"/>
      <c r="D669" s="58">
        <v>0</v>
      </c>
      <c r="E669" s="58">
        <v>0</v>
      </c>
      <c r="F669" s="58">
        <v>0</v>
      </c>
      <c r="G669" s="58">
        <v>0</v>
      </c>
      <c r="H669" s="58">
        <v>0</v>
      </c>
      <c r="I669" s="58">
        <v>0</v>
      </c>
      <c r="J669" s="58">
        <v>0</v>
      </c>
      <c r="K669" s="58">
        <v>0</v>
      </c>
      <c r="L669" s="58">
        <v>0</v>
      </c>
      <c r="M669" s="58">
        <v>0</v>
      </c>
      <c r="N669" s="58">
        <v>0</v>
      </c>
      <c r="O669" s="58">
        <v>0</v>
      </c>
      <c r="P669" s="58">
        <v>0</v>
      </c>
      <c r="Q669" s="58">
        <v>0</v>
      </c>
      <c r="R669" s="58">
        <v>0</v>
      </c>
      <c r="S669" s="58">
        <v>0</v>
      </c>
      <c r="T669" s="58">
        <v>0</v>
      </c>
      <c r="U669" s="58">
        <v>0</v>
      </c>
      <c r="V669" s="58">
        <v>0</v>
      </c>
      <c r="W669" s="58">
        <v>0</v>
      </c>
      <c r="X669" s="58">
        <v>0</v>
      </c>
      <c r="Y669" s="58">
        <v>0</v>
      </c>
      <c r="Z669" s="58">
        <v>0</v>
      </c>
      <c r="AA669" s="58">
        <v>0</v>
      </c>
      <c r="AB669" s="58">
        <v>0</v>
      </c>
      <c r="AC669" s="58">
        <v>0.14899999999999999</v>
      </c>
      <c r="AD669" s="58">
        <v>1.044</v>
      </c>
      <c r="AE669" s="58">
        <v>4.7729999999999997</v>
      </c>
      <c r="AF669" s="58">
        <v>16.645</v>
      </c>
      <c r="AG669" s="58">
        <v>29.747</v>
      </c>
      <c r="AH669" s="58">
        <v>44.802</v>
      </c>
      <c r="AI669" s="58">
        <v>28.597999999999999</v>
      </c>
      <c r="AJ669" s="58">
        <v>13.06</v>
      </c>
      <c r="AK669" s="58">
        <v>12.273</v>
      </c>
      <c r="AL669" s="58">
        <v>13.181000000000001</v>
      </c>
      <c r="AM669" s="58">
        <v>0.27800000000000002</v>
      </c>
      <c r="AN669" s="58">
        <v>0</v>
      </c>
      <c r="AO669" s="58">
        <v>0</v>
      </c>
      <c r="AP669" s="58">
        <v>0</v>
      </c>
      <c r="AQ669" s="58">
        <v>0</v>
      </c>
      <c r="AR669" s="58">
        <v>2.7230000000000001E-4</v>
      </c>
      <c r="AS669" s="58">
        <v>0</v>
      </c>
      <c r="AT669" s="58">
        <v>0.1254275</v>
      </c>
      <c r="AU669" s="58">
        <v>0</v>
      </c>
      <c r="AV669" s="58">
        <v>0</v>
      </c>
      <c r="AW669" s="58">
        <v>0</v>
      </c>
      <c r="AX669" s="58">
        <v>0</v>
      </c>
      <c r="AY669" s="58">
        <v>0</v>
      </c>
      <c r="AZ669" s="58">
        <v>0</v>
      </c>
      <c r="BA669" s="58">
        <v>0</v>
      </c>
      <c r="BB669" s="58">
        <v>0</v>
      </c>
      <c r="BC669" s="58">
        <v>0</v>
      </c>
      <c r="BD669" s="18">
        <v>0</v>
      </c>
      <c r="BE669" s="25">
        <v>0</v>
      </c>
      <c r="BF669" s="18">
        <v>0</v>
      </c>
      <c r="BG669" s="18">
        <v>0</v>
      </c>
      <c r="BH669" s="18">
        <v>0</v>
      </c>
      <c r="BI669" s="18">
        <v>0</v>
      </c>
      <c r="BJ669" s="113">
        <v>0</v>
      </c>
      <c r="BK669" s="113">
        <v>0</v>
      </c>
      <c r="BL669" s="113">
        <v>0</v>
      </c>
      <c r="BM669" s="113">
        <v>0</v>
      </c>
      <c r="BN669" s="113">
        <v>30</v>
      </c>
      <c r="BO669" s="113">
        <f>186-BO668</f>
        <v>179</v>
      </c>
      <c r="BP669" s="113">
        <f>364-7</f>
        <v>357</v>
      </c>
      <c r="BQ669" s="113">
        <f>542-BQ668</f>
        <v>535</v>
      </c>
      <c r="BR669" s="101"/>
      <c r="BS669">
        <f t="shared" si="1291"/>
        <v>0</v>
      </c>
      <c r="BT669">
        <f t="shared" si="1291"/>
        <v>0</v>
      </c>
      <c r="BU669">
        <f t="shared" si="1291"/>
        <v>0</v>
      </c>
      <c r="BV669">
        <f t="shared" si="1291"/>
        <v>0</v>
      </c>
      <c r="BW669">
        <f t="shared" si="1291"/>
        <v>0</v>
      </c>
      <c r="BX669">
        <f t="shared" si="1291"/>
        <v>0</v>
      </c>
      <c r="BY669">
        <f t="shared" si="1291"/>
        <v>0</v>
      </c>
      <c r="BZ669">
        <f t="shared" si="1291"/>
        <v>0</v>
      </c>
      <c r="CA669">
        <f t="shared" si="1291"/>
        <v>0</v>
      </c>
      <c r="CB669">
        <f t="shared" si="1291"/>
        <v>0</v>
      </c>
      <c r="CC669">
        <f t="shared" si="1292"/>
        <v>0</v>
      </c>
      <c r="CD669">
        <f t="shared" si="1292"/>
        <v>0</v>
      </c>
      <c r="CE669">
        <f t="shared" si="1292"/>
        <v>0</v>
      </c>
      <c r="CF669">
        <f t="shared" si="1292"/>
        <v>0</v>
      </c>
      <c r="CG669">
        <f t="shared" si="1292"/>
        <v>0</v>
      </c>
      <c r="CH669">
        <f t="shared" si="1292"/>
        <v>0</v>
      </c>
      <c r="CI669">
        <f t="shared" si="1292"/>
        <v>0</v>
      </c>
      <c r="CJ669">
        <f t="shared" si="1292"/>
        <v>0</v>
      </c>
      <c r="CK669">
        <f t="shared" si="1292"/>
        <v>0</v>
      </c>
      <c r="CL669">
        <f t="shared" si="1292"/>
        <v>0</v>
      </c>
      <c r="CM669">
        <f t="shared" si="1293"/>
        <v>0</v>
      </c>
      <c r="CN669">
        <f t="shared" si="1293"/>
        <v>0</v>
      </c>
      <c r="CO669">
        <f t="shared" si="1293"/>
        <v>0</v>
      </c>
      <c r="CP669">
        <f t="shared" si="1293"/>
        <v>0</v>
      </c>
      <c r="CQ669">
        <f t="shared" si="1293"/>
        <v>0</v>
      </c>
      <c r="CR669">
        <f t="shared" si="1293"/>
        <v>0</v>
      </c>
      <c r="CS669">
        <f t="shared" si="1293"/>
        <v>0</v>
      </c>
      <c r="CT669">
        <f t="shared" si="1293"/>
        <v>0</v>
      </c>
      <c r="CU669">
        <f t="shared" si="1293"/>
        <v>0</v>
      </c>
      <c r="CV669">
        <f t="shared" si="1293"/>
        <v>0</v>
      </c>
      <c r="CW669">
        <f t="shared" si="1294"/>
        <v>0</v>
      </c>
      <c r="CX669">
        <f t="shared" si="1294"/>
        <v>0</v>
      </c>
      <c r="CY669">
        <f t="shared" si="1294"/>
        <v>0</v>
      </c>
      <c r="CZ669">
        <f t="shared" si="1294"/>
        <v>0</v>
      </c>
      <c r="DA669">
        <f t="shared" si="1294"/>
        <v>0</v>
      </c>
      <c r="DB669">
        <f t="shared" si="1294"/>
        <v>0</v>
      </c>
      <c r="DC669">
        <f t="shared" si="1294"/>
        <v>0</v>
      </c>
      <c r="DD669">
        <f t="shared" si="1294"/>
        <v>0</v>
      </c>
      <c r="DE669">
        <f t="shared" si="1294"/>
        <v>0</v>
      </c>
      <c r="DF669">
        <f t="shared" si="1294"/>
        <v>0</v>
      </c>
      <c r="DG669">
        <f t="shared" si="1295"/>
        <v>0</v>
      </c>
      <c r="DH669">
        <f t="shared" si="1295"/>
        <v>0</v>
      </c>
      <c r="DI669">
        <f t="shared" si="1295"/>
        <v>0</v>
      </c>
      <c r="DJ669">
        <f t="shared" si="1295"/>
        <v>0</v>
      </c>
      <c r="DK669">
        <f t="shared" si="1295"/>
        <v>0</v>
      </c>
      <c r="DL669">
        <f t="shared" si="1295"/>
        <v>0</v>
      </c>
      <c r="DM669">
        <f t="shared" si="1295"/>
        <v>0</v>
      </c>
      <c r="DN669">
        <f t="shared" si="1295"/>
        <v>0</v>
      </c>
      <c r="DO669">
        <f t="shared" si="1295"/>
        <v>0</v>
      </c>
      <c r="DP669">
        <f t="shared" si="1295"/>
        <v>0</v>
      </c>
      <c r="DQ669">
        <f t="shared" si="1296"/>
        <v>0</v>
      </c>
      <c r="DR669">
        <f t="shared" si="1296"/>
        <v>0</v>
      </c>
      <c r="DS669">
        <f t="shared" si="1296"/>
        <v>0</v>
      </c>
      <c r="DT669">
        <f t="shared" si="1296"/>
        <v>0</v>
      </c>
      <c r="DU669">
        <f t="shared" si="1296"/>
        <v>0</v>
      </c>
      <c r="DV669">
        <f t="shared" si="1296"/>
        <v>0</v>
      </c>
      <c r="DW669">
        <f t="shared" si="1296"/>
        <v>0</v>
      </c>
      <c r="DX669">
        <f t="shared" si="1296"/>
        <v>0</v>
      </c>
      <c r="DY669">
        <f t="shared" si="1296"/>
        <v>0</v>
      </c>
      <c r="DZ669">
        <f t="shared" si="1296"/>
        <v>0</v>
      </c>
      <c r="EA669">
        <f t="shared" si="1297"/>
        <v>0</v>
      </c>
      <c r="EB669">
        <f t="shared" si="1297"/>
        <v>0</v>
      </c>
      <c r="EC669">
        <f t="shared" si="1297"/>
        <v>0</v>
      </c>
      <c r="ED669">
        <f t="shared" si="1297"/>
        <v>0</v>
      </c>
      <c r="EE669">
        <f t="shared" si="1297"/>
        <v>0</v>
      </c>
      <c r="EF669">
        <f t="shared" si="1297"/>
        <v>0</v>
      </c>
    </row>
    <row r="670" spans="1:136" ht="15.5">
      <c r="A670" s="90"/>
      <c r="B670" s="53" t="s">
        <v>25</v>
      </c>
      <c r="C670" s="94"/>
      <c r="D670" s="113">
        <v>0</v>
      </c>
      <c r="E670" s="113">
        <v>0</v>
      </c>
      <c r="F670" s="113">
        <v>0</v>
      </c>
      <c r="G670" s="113">
        <v>0</v>
      </c>
      <c r="H670" s="113">
        <v>0</v>
      </c>
      <c r="I670" s="113">
        <v>0</v>
      </c>
      <c r="J670" s="113">
        <v>0</v>
      </c>
      <c r="K670" s="113">
        <v>0</v>
      </c>
      <c r="L670" s="113">
        <v>0</v>
      </c>
      <c r="M670" s="113">
        <v>0</v>
      </c>
      <c r="N670" s="113">
        <v>0</v>
      </c>
      <c r="O670" s="113">
        <v>0</v>
      </c>
      <c r="P670" s="113">
        <v>0</v>
      </c>
      <c r="Q670" s="113">
        <v>0</v>
      </c>
      <c r="R670" s="113">
        <v>0</v>
      </c>
      <c r="S670" s="113">
        <v>0</v>
      </c>
      <c r="T670" s="113">
        <v>0</v>
      </c>
      <c r="U670" s="113">
        <v>0</v>
      </c>
      <c r="V670" s="113">
        <v>0</v>
      </c>
      <c r="W670" s="113">
        <v>0</v>
      </c>
      <c r="X670" s="113">
        <v>0</v>
      </c>
      <c r="Y670" s="113">
        <v>0</v>
      </c>
      <c r="Z670" s="113">
        <v>0</v>
      </c>
      <c r="AA670" s="113">
        <v>0</v>
      </c>
      <c r="AB670" s="113">
        <v>0</v>
      </c>
      <c r="AC670" s="113">
        <v>0</v>
      </c>
      <c r="AD670" s="113">
        <v>0</v>
      </c>
      <c r="AE670" s="113">
        <v>0</v>
      </c>
      <c r="AF670" s="113">
        <v>0</v>
      </c>
      <c r="AG670" s="113">
        <v>0</v>
      </c>
      <c r="AH670" s="113">
        <v>0</v>
      </c>
      <c r="AI670" s="113">
        <v>0</v>
      </c>
      <c r="AJ670" s="113">
        <v>0</v>
      </c>
      <c r="AK670" s="113">
        <v>0</v>
      </c>
      <c r="AL670" s="113">
        <v>0</v>
      </c>
      <c r="AM670" s="113">
        <v>0</v>
      </c>
      <c r="AN670" s="113">
        <v>0</v>
      </c>
      <c r="AO670" s="113">
        <v>0</v>
      </c>
      <c r="AP670" s="113">
        <v>0</v>
      </c>
      <c r="AQ670" s="113">
        <v>0</v>
      </c>
      <c r="AR670" s="113">
        <v>0</v>
      </c>
      <c r="AS670" s="113">
        <v>0</v>
      </c>
      <c r="AT670" s="113">
        <v>0</v>
      </c>
      <c r="AU670" s="113">
        <v>0</v>
      </c>
      <c r="AV670" s="113">
        <v>0</v>
      </c>
      <c r="AW670" s="113">
        <v>0</v>
      </c>
      <c r="AX670" s="113">
        <v>0</v>
      </c>
      <c r="AY670" s="113">
        <v>0</v>
      </c>
      <c r="AZ670" s="113">
        <v>0</v>
      </c>
      <c r="BA670" s="113">
        <v>0</v>
      </c>
      <c r="BB670" s="113">
        <v>0</v>
      </c>
      <c r="BC670" s="113">
        <v>0</v>
      </c>
      <c r="BD670" s="113">
        <v>0</v>
      </c>
      <c r="BE670" s="113">
        <v>0</v>
      </c>
      <c r="BF670" s="113">
        <v>0</v>
      </c>
      <c r="BG670" s="113">
        <v>0</v>
      </c>
      <c r="BH670" s="113">
        <v>0</v>
      </c>
      <c r="BI670" s="113">
        <v>0</v>
      </c>
      <c r="BJ670" s="113">
        <v>0</v>
      </c>
      <c r="BK670" s="113">
        <v>0</v>
      </c>
      <c r="BL670" s="113">
        <v>33410.042000000001</v>
      </c>
      <c r="BM670" s="113">
        <v>35700.633999999998</v>
      </c>
      <c r="BN670" s="113">
        <v>37992</v>
      </c>
      <c r="BO670" s="113">
        <v>40432</v>
      </c>
      <c r="BP670" s="113">
        <v>42872</v>
      </c>
      <c r="BQ670" s="113">
        <v>45312</v>
      </c>
      <c r="BR670" s="101"/>
      <c r="BS670">
        <f t="shared" si="1291"/>
        <v>0</v>
      </c>
      <c r="BT670">
        <f t="shared" si="1291"/>
        <v>0</v>
      </c>
      <c r="BU670">
        <f t="shared" si="1291"/>
        <v>0</v>
      </c>
      <c r="BV670">
        <f t="shared" si="1291"/>
        <v>0</v>
      </c>
      <c r="BW670">
        <f t="shared" si="1291"/>
        <v>0</v>
      </c>
      <c r="BX670">
        <f t="shared" si="1291"/>
        <v>0</v>
      </c>
      <c r="BY670">
        <f t="shared" si="1291"/>
        <v>0</v>
      </c>
      <c r="BZ670">
        <f t="shared" si="1291"/>
        <v>0</v>
      </c>
      <c r="CA670">
        <f t="shared" si="1291"/>
        <v>0</v>
      </c>
      <c r="CB670">
        <f t="shared" si="1291"/>
        <v>0</v>
      </c>
      <c r="CC670">
        <f t="shared" si="1292"/>
        <v>0</v>
      </c>
      <c r="CD670">
        <f t="shared" si="1292"/>
        <v>0</v>
      </c>
      <c r="CE670">
        <f t="shared" si="1292"/>
        <v>0</v>
      </c>
      <c r="CF670">
        <f t="shared" si="1292"/>
        <v>0</v>
      </c>
      <c r="CG670">
        <f t="shared" si="1292"/>
        <v>0</v>
      </c>
      <c r="CH670">
        <f t="shared" si="1292"/>
        <v>0</v>
      </c>
      <c r="CI670">
        <f t="shared" si="1292"/>
        <v>0</v>
      </c>
      <c r="CJ670">
        <f t="shared" si="1292"/>
        <v>0</v>
      </c>
      <c r="CK670">
        <f t="shared" si="1292"/>
        <v>0</v>
      </c>
      <c r="CL670">
        <f t="shared" si="1292"/>
        <v>0</v>
      </c>
      <c r="CM670">
        <f t="shared" si="1293"/>
        <v>0</v>
      </c>
      <c r="CN670">
        <f t="shared" si="1293"/>
        <v>0</v>
      </c>
      <c r="CO670">
        <f t="shared" si="1293"/>
        <v>0</v>
      </c>
      <c r="CP670">
        <f t="shared" si="1293"/>
        <v>0</v>
      </c>
      <c r="CQ670">
        <f t="shared" si="1293"/>
        <v>0</v>
      </c>
      <c r="CR670">
        <f t="shared" si="1293"/>
        <v>0</v>
      </c>
      <c r="CS670">
        <f t="shared" si="1293"/>
        <v>0</v>
      </c>
      <c r="CT670">
        <f t="shared" si="1293"/>
        <v>0</v>
      </c>
      <c r="CU670">
        <f t="shared" si="1293"/>
        <v>0</v>
      </c>
      <c r="CV670">
        <f t="shared" si="1293"/>
        <v>0</v>
      </c>
      <c r="CW670">
        <f t="shared" si="1294"/>
        <v>0</v>
      </c>
      <c r="CX670">
        <f t="shared" si="1294"/>
        <v>0</v>
      </c>
      <c r="CY670">
        <f t="shared" si="1294"/>
        <v>0</v>
      </c>
      <c r="CZ670">
        <f t="shared" si="1294"/>
        <v>0</v>
      </c>
      <c r="DA670">
        <f t="shared" si="1294"/>
        <v>0</v>
      </c>
      <c r="DB670">
        <f t="shared" si="1294"/>
        <v>0</v>
      </c>
      <c r="DC670">
        <f t="shared" si="1294"/>
        <v>0</v>
      </c>
      <c r="DD670">
        <f t="shared" si="1294"/>
        <v>0</v>
      </c>
      <c r="DE670">
        <f t="shared" si="1294"/>
        <v>0</v>
      </c>
      <c r="DF670">
        <f t="shared" si="1294"/>
        <v>0</v>
      </c>
      <c r="DG670">
        <f t="shared" si="1295"/>
        <v>0</v>
      </c>
      <c r="DH670">
        <f t="shared" si="1295"/>
        <v>0</v>
      </c>
      <c r="DI670">
        <f t="shared" si="1295"/>
        <v>0</v>
      </c>
      <c r="DJ670">
        <f t="shared" si="1295"/>
        <v>0</v>
      </c>
      <c r="DK670">
        <f t="shared" si="1295"/>
        <v>0</v>
      </c>
      <c r="DL670">
        <f t="shared" si="1295"/>
        <v>0</v>
      </c>
      <c r="DM670">
        <f t="shared" si="1295"/>
        <v>0</v>
      </c>
      <c r="DN670">
        <f t="shared" si="1295"/>
        <v>0</v>
      </c>
      <c r="DO670">
        <f t="shared" si="1295"/>
        <v>0</v>
      </c>
      <c r="DP670">
        <f t="shared" si="1295"/>
        <v>0</v>
      </c>
      <c r="DQ670">
        <f t="shared" si="1296"/>
        <v>0</v>
      </c>
      <c r="DR670">
        <f t="shared" si="1296"/>
        <v>0</v>
      </c>
      <c r="DS670">
        <f t="shared" si="1296"/>
        <v>0</v>
      </c>
      <c r="DT670">
        <f t="shared" si="1296"/>
        <v>0</v>
      </c>
      <c r="DU670">
        <f t="shared" si="1296"/>
        <v>0</v>
      </c>
      <c r="DV670">
        <f t="shared" si="1296"/>
        <v>0</v>
      </c>
      <c r="DW670">
        <f t="shared" si="1296"/>
        <v>0</v>
      </c>
      <c r="DX670">
        <f t="shared" si="1296"/>
        <v>0</v>
      </c>
      <c r="DY670">
        <f t="shared" si="1296"/>
        <v>0</v>
      </c>
      <c r="DZ670">
        <f t="shared" si="1296"/>
        <v>0</v>
      </c>
      <c r="EA670">
        <f t="shared" si="1297"/>
        <v>0</v>
      </c>
      <c r="EB670">
        <f t="shared" si="1297"/>
        <v>0</v>
      </c>
      <c r="EC670">
        <f t="shared" si="1297"/>
        <v>0</v>
      </c>
      <c r="ED670">
        <f t="shared" si="1297"/>
        <v>0</v>
      </c>
      <c r="EE670">
        <f t="shared" si="1297"/>
        <v>0</v>
      </c>
      <c r="EF670">
        <f t="shared" si="1297"/>
        <v>0</v>
      </c>
    </row>
    <row r="671" spans="1:136" ht="15.5">
      <c r="A671" s="90"/>
      <c r="B671" s="19" t="s">
        <v>208</v>
      </c>
      <c r="C671" s="94"/>
      <c r="D671" s="18">
        <v>0</v>
      </c>
      <c r="E671" s="18">
        <v>0</v>
      </c>
      <c r="F671" s="18">
        <v>0</v>
      </c>
      <c r="G671" s="18">
        <v>0</v>
      </c>
      <c r="H671" s="18">
        <v>0</v>
      </c>
      <c r="I671" s="18">
        <v>0</v>
      </c>
      <c r="J671" s="18">
        <v>0</v>
      </c>
      <c r="K671" s="18">
        <v>0</v>
      </c>
      <c r="L671" s="18">
        <v>0</v>
      </c>
      <c r="M671" s="18">
        <v>0</v>
      </c>
      <c r="N671" s="18">
        <v>0</v>
      </c>
      <c r="O671" s="18">
        <v>0</v>
      </c>
      <c r="P671" s="18">
        <v>0</v>
      </c>
      <c r="Q671" s="18">
        <v>0</v>
      </c>
      <c r="R671" s="18">
        <v>0</v>
      </c>
      <c r="S671" s="18">
        <v>0</v>
      </c>
      <c r="T671" s="18">
        <v>0</v>
      </c>
      <c r="U671" s="18">
        <v>0</v>
      </c>
      <c r="V671" s="18">
        <v>0</v>
      </c>
      <c r="W671" s="18">
        <v>0</v>
      </c>
      <c r="X671" s="18">
        <v>0</v>
      </c>
      <c r="Y671" s="18">
        <v>0</v>
      </c>
      <c r="Z671" s="18">
        <v>8.2650000000000006</v>
      </c>
      <c r="AA671" s="18">
        <v>17.933</v>
      </c>
      <c r="AB671" s="18">
        <v>27.550999999999998</v>
      </c>
      <c r="AC671" s="18">
        <v>36.935000000000002</v>
      </c>
      <c r="AD671" s="18">
        <v>46.085000000000001</v>
      </c>
      <c r="AE671" s="18">
        <v>59.480999999999995</v>
      </c>
      <c r="AF671" s="18">
        <v>79.599000000000004</v>
      </c>
      <c r="AG671" s="18">
        <v>100.65200000000002</v>
      </c>
      <c r="AH671" s="18">
        <v>126.505</v>
      </c>
      <c r="AI671" s="18">
        <v>154.833</v>
      </c>
      <c r="AJ671" s="18">
        <v>64.738</v>
      </c>
      <c r="AK671" s="18">
        <v>59.703000000000003</v>
      </c>
      <c r="AL671" s="18">
        <v>46.414000000000001</v>
      </c>
      <c r="AM671" s="18">
        <v>51.021000000000001</v>
      </c>
      <c r="AN671" s="18">
        <v>0</v>
      </c>
      <c r="AO671" s="18">
        <v>0</v>
      </c>
      <c r="AP671" s="18">
        <v>0</v>
      </c>
      <c r="AQ671" s="18">
        <v>0</v>
      </c>
      <c r="AR671" s="18">
        <v>7.0929999999999995E-4</v>
      </c>
      <c r="AS671" s="18">
        <v>0</v>
      </c>
      <c r="AT671" s="18">
        <v>0</v>
      </c>
      <c r="AU671" s="18">
        <v>0</v>
      </c>
      <c r="AV671" s="18">
        <v>0</v>
      </c>
      <c r="AW671" s="18">
        <v>0</v>
      </c>
      <c r="AX671" s="18">
        <v>0</v>
      </c>
      <c r="AY671" s="18">
        <v>0</v>
      </c>
      <c r="AZ671" s="18">
        <v>0</v>
      </c>
      <c r="BA671" s="18">
        <v>0</v>
      </c>
      <c r="BB671" s="18">
        <v>0</v>
      </c>
      <c r="BC671" s="18">
        <v>0</v>
      </c>
      <c r="BD671" s="18">
        <v>0</v>
      </c>
      <c r="BE671" s="25">
        <v>0</v>
      </c>
      <c r="BF671" s="18">
        <v>0</v>
      </c>
      <c r="BG671" s="18">
        <v>0</v>
      </c>
      <c r="BH671" s="18">
        <v>0</v>
      </c>
      <c r="BI671" s="18">
        <v>0</v>
      </c>
      <c r="BJ671" s="113">
        <v>0</v>
      </c>
      <c r="BK671" s="113">
        <v>0</v>
      </c>
      <c r="BL671" s="221" t="s">
        <v>250</v>
      </c>
      <c r="BM671" s="221" t="s">
        <v>250</v>
      </c>
      <c r="BN671" s="221" t="s">
        <v>250</v>
      </c>
      <c r="BO671" s="221" t="s">
        <v>250</v>
      </c>
      <c r="BP671" s="221" t="s">
        <v>250</v>
      </c>
      <c r="BQ671" s="221" t="s">
        <v>250</v>
      </c>
      <c r="BR671" s="101"/>
      <c r="BS671">
        <f t="shared" si="1291"/>
        <v>0</v>
      </c>
      <c r="BT671">
        <f t="shared" si="1291"/>
        <v>0</v>
      </c>
      <c r="BU671">
        <f t="shared" si="1291"/>
        <v>0</v>
      </c>
      <c r="BV671">
        <f t="shared" si="1291"/>
        <v>0</v>
      </c>
      <c r="BW671">
        <f t="shared" si="1291"/>
        <v>0</v>
      </c>
      <c r="BX671">
        <f t="shared" si="1291"/>
        <v>0</v>
      </c>
      <c r="BY671">
        <f t="shared" si="1291"/>
        <v>0</v>
      </c>
      <c r="BZ671">
        <f t="shared" si="1291"/>
        <v>0</v>
      </c>
      <c r="CA671">
        <f t="shared" si="1291"/>
        <v>0</v>
      </c>
      <c r="CB671">
        <f t="shared" si="1291"/>
        <v>0</v>
      </c>
      <c r="CC671">
        <f t="shared" si="1292"/>
        <v>0</v>
      </c>
      <c r="CD671">
        <f t="shared" si="1292"/>
        <v>0</v>
      </c>
      <c r="CE671">
        <f t="shared" si="1292"/>
        <v>0</v>
      </c>
      <c r="CF671">
        <f t="shared" si="1292"/>
        <v>0</v>
      </c>
      <c r="CG671">
        <f t="shared" si="1292"/>
        <v>0</v>
      </c>
      <c r="CH671">
        <f t="shared" si="1292"/>
        <v>0</v>
      </c>
      <c r="CI671">
        <f t="shared" si="1292"/>
        <v>0</v>
      </c>
      <c r="CJ671">
        <f t="shared" si="1292"/>
        <v>0</v>
      </c>
      <c r="CK671">
        <f t="shared" si="1292"/>
        <v>0</v>
      </c>
      <c r="CL671">
        <f t="shared" si="1292"/>
        <v>0</v>
      </c>
      <c r="CM671">
        <f t="shared" si="1293"/>
        <v>0</v>
      </c>
      <c r="CN671">
        <f t="shared" si="1293"/>
        <v>0</v>
      </c>
      <c r="CO671">
        <f t="shared" si="1293"/>
        <v>0</v>
      </c>
      <c r="CP671">
        <f t="shared" si="1293"/>
        <v>0</v>
      </c>
      <c r="CQ671">
        <f t="shared" si="1293"/>
        <v>0</v>
      </c>
      <c r="CR671">
        <f t="shared" si="1293"/>
        <v>0</v>
      </c>
      <c r="CS671">
        <f t="shared" si="1293"/>
        <v>0</v>
      </c>
      <c r="CT671">
        <f t="shared" si="1293"/>
        <v>0</v>
      </c>
      <c r="CU671">
        <f t="shared" si="1293"/>
        <v>0</v>
      </c>
      <c r="CV671">
        <f t="shared" si="1293"/>
        <v>0</v>
      </c>
      <c r="CW671">
        <f t="shared" si="1294"/>
        <v>0</v>
      </c>
      <c r="CX671">
        <f t="shared" si="1294"/>
        <v>0</v>
      </c>
      <c r="CY671">
        <f t="shared" si="1294"/>
        <v>0</v>
      </c>
      <c r="CZ671">
        <f t="shared" si="1294"/>
        <v>0</v>
      </c>
      <c r="DA671">
        <f t="shared" si="1294"/>
        <v>0</v>
      </c>
      <c r="DB671">
        <f t="shared" si="1294"/>
        <v>0</v>
      </c>
      <c r="DC671">
        <f t="shared" si="1294"/>
        <v>0</v>
      </c>
      <c r="DD671">
        <f t="shared" si="1294"/>
        <v>0</v>
      </c>
      <c r="DE671">
        <f t="shared" si="1294"/>
        <v>0</v>
      </c>
      <c r="DF671">
        <f t="shared" si="1294"/>
        <v>0</v>
      </c>
      <c r="DG671">
        <f t="shared" si="1295"/>
        <v>0</v>
      </c>
      <c r="DH671">
        <f t="shared" si="1295"/>
        <v>0</v>
      </c>
      <c r="DI671">
        <f t="shared" si="1295"/>
        <v>0</v>
      </c>
      <c r="DJ671">
        <f t="shared" si="1295"/>
        <v>0</v>
      </c>
      <c r="DK671">
        <f t="shared" si="1295"/>
        <v>0</v>
      </c>
      <c r="DL671">
        <f t="shared" si="1295"/>
        <v>0</v>
      </c>
      <c r="DM671">
        <f t="shared" si="1295"/>
        <v>0</v>
      </c>
      <c r="DN671">
        <f t="shared" si="1295"/>
        <v>0</v>
      </c>
      <c r="DO671">
        <f t="shared" si="1295"/>
        <v>0</v>
      </c>
      <c r="DP671">
        <f t="shared" si="1295"/>
        <v>0</v>
      </c>
      <c r="DQ671">
        <f t="shared" si="1296"/>
        <v>0</v>
      </c>
      <c r="DR671">
        <f t="shared" si="1296"/>
        <v>0</v>
      </c>
      <c r="DS671">
        <f t="shared" si="1296"/>
        <v>0</v>
      </c>
      <c r="DT671">
        <f t="shared" si="1296"/>
        <v>0</v>
      </c>
      <c r="DU671">
        <f t="shared" si="1296"/>
        <v>0</v>
      </c>
      <c r="DV671">
        <f t="shared" si="1296"/>
        <v>0</v>
      </c>
      <c r="DW671">
        <f t="shared" si="1296"/>
        <v>0</v>
      </c>
      <c r="DX671">
        <f t="shared" si="1296"/>
        <v>0</v>
      </c>
      <c r="DY671">
        <f t="shared" si="1296"/>
        <v>0</v>
      </c>
      <c r="DZ671">
        <f t="shared" si="1296"/>
        <v>0</v>
      </c>
      <c r="EA671">
        <f t="shared" si="1297"/>
        <v>0</v>
      </c>
      <c r="EB671">
        <f t="shared" si="1297"/>
        <v>0</v>
      </c>
      <c r="EC671">
        <f t="shared" si="1297"/>
        <v>0</v>
      </c>
      <c r="ED671">
        <f t="shared" si="1297"/>
        <v>0</v>
      </c>
      <c r="EE671">
        <f t="shared" si="1297"/>
        <v>0</v>
      </c>
      <c r="EF671">
        <f t="shared" si="1297"/>
        <v>0</v>
      </c>
    </row>
    <row r="672" spans="1:136" ht="15.5">
      <c r="A672" s="90"/>
      <c r="B672" s="53" t="s">
        <v>212</v>
      </c>
      <c r="C672" s="94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>
        <v>0</v>
      </c>
      <c r="AI672" s="18">
        <v>0</v>
      </c>
      <c r="AJ672" s="18">
        <v>0</v>
      </c>
      <c r="AK672" s="18">
        <v>33.167495854062999</v>
      </c>
      <c r="AL672" s="18">
        <v>66.33499170812604</v>
      </c>
      <c r="AM672" s="18">
        <v>132.66998341625208</v>
      </c>
      <c r="AN672" s="18">
        <v>199.00497512437801</v>
      </c>
      <c r="AO672" s="18">
        <v>265.33996683250416</v>
      </c>
      <c r="AP672" s="18">
        <v>298.50746268656718</v>
      </c>
      <c r="AQ672" s="18">
        <v>331.6749585406302</v>
      </c>
      <c r="AR672" s="18">
        <v>348.25870646766168</v>
      </c>
      <c r="AS672" s="18">
        <v>364.84245439469322</v>
      </c>
      <c r="AT672" s="18">
        <v>381.4262023217247</v>
      </c>
      <c r="AU672" s="18">
        <v>398.00995024875624</v>
      </c>
      <c r="AV672" s="18">
        <v>663.3499170812604</v>
      </c>
      <c r="AW672" s="18">
        <v>530.67993366500832</v>
      </c>
      <c r="AX672" s="18">
        <v>530.67993366500832</v>
      </c>
      <c r="AY672" s="18">
        <v>497.5124378109453</v>
      </c>
      <c r="AZ672" s="18">
        <v>497.5124378109453</v>
      </c>
      <c r="BA672" s="18">
        <v>480.92868988391376</v>
      </c>
      <c r="BB672" s="18">
        <v>497.5124378109453</v>
      </c>
      <c r="BC672" s="18">
        <v>563.84742951907128</v>
      </c>
      <c r="BD672" s="18">
        <v>663.3499170812604</v>
      </c>
      <c r="BE672" s="25">
        <v>663.3499170812604</v>
      </c>
      <c r="BF672" s="18">
        <v>829.18739635157544</v>
      </c>
      <c r="BG672" s="18">
        <v>995.0248756218906</v>
      </c>
      <c r="BH672" s="18">
        <v>1326.6998341625208</v>
      </c>
      <c r="BI672" s="18">
        <v>1658.3747927031509</v>
      </c>
      <c r="BJ672" s="18">
        <v>1824.2122719734659</v>
      </c>
      <c r="BK672" s="18">
        <v>1945.5257048092869</v>
      </c>
      <c r="BL672" s="18">
        <v>2068</v>
      </c>
      <c r="BM672" s="18">
        <v>2190</v>
      </c>
      <c r="BN672" s="113">
        <f>2312</f>
        <v>2312</v>
      </c>
      <c r="BO672" s="221" t="s">
        <v>250</v>
      </c>
      <c r="BP672" s="221" t="s">
        <v>250</v>
      </c>
      <c r="BQ672" s="221" t="s">
        <v>250</v>
      </c>
      <c r="BR672" s="101"/>
      <c r="BS672">
        <f t="shared" si="1291"/>
        <v>0</v>
      </c>
      <c r="BT672">
        <f t="shared" si="1291"/>
        <v>0</v>
      </c>
      <c r="BU672">
        <f t="shared" si="1291"/>
        <v>0</v>
      </c>
      <c r="BV672">
        <f t="shared" si="1291"/>
        <v>0</v>
      </c>
      <c r="BW672">
        <f t="shared" si="1291"/>
        <v>0</v>
      </c>
      <c r="BX672">
        <f t="shared" si="1291"/>
        <v>0</v>
      </c>
      <c r="BY672">
        <f t="shared" si="1291"/>
        <v>0</v>
      </c>
      <c r="BZ672">
        <f t="shared" si="1291"/>
        <v>0</v>
      </c>
      <c r="CA672">
        <f t="shared" si="1291"/>
        <v>0</v>
      </c>
      <c r="CB672">
        <f t="shared" si="1291"/>
        <v>0</v>
      </c>
      <c r="CC672">
        <f t="shared" si="1292"/>
        <v>0</v>
      </c>
      <c r="CD672">
        <f t="shared" si="1292"/>
        <v>0</v>
      </c>
      <c r="CE672">
        <f t="shared" si="1292"/>
        <v>0</v>
      </c>
      <c r="CF672">
        <f t="shared" si="1292"/>
        <v>0</v>
      </c>
      <c r="CG672">
        <f t="shared" si="1292"/>
        <v>0</v>
      </c>
      <c r="CH672">
        <f t="shared" si="1292"/>
        <v>0</v>
      </c>
      <c r="CI672">
        <f t="shared" si="1292"/>
        <v>0</v>
      </c>
      <c r="CJ672">
        <f t="shared" si="1292"/>
        <v>0</v>
      </c>
      <c r="CK672">
        <f t="shared" si="1292"/>
        <v>0</v>
      </c>
      <c r="CL672">
        <f t="shared" si="1292"/>
        <v>0</v>
      </c>
      <c r="CM672">
        <f t="shared" si="1293"/>
        <v>0</v>
      </c>
      <c r="CN672">
        <f t="shared" si="1293"/>
        <v>0</v>
      </c>
      <c r="CO672">
        <f t="shared" si="1293"/>
        <v>0</v>
      </c>
      <c r="CP672">
        <f t="shared" si="1293"/>
        <v>0</v>
      </c>
      <c r="CQ672">
        <f t="shared" si="1293"/>
        <v>0</v>
      </c>
      <c r="CR672">
        <f t="shared" si="1293"/>
        <v>0</v>
      </c>
      <c r="CS672">
        <f t="shared" si="1293"/>
        <v>0</v>
      </c>
      <c r="CT672">
        <f t="shared" si="1293"/>
        <v>0</v>
      </c>
      <c r="CU672">
        <f t="shared" si="1293"/>
        <v>0</v>
      </c>
      <c r="CV672">
        <f t="shared" si="1293"/>
        <v>0</v>
      </c>
      <c r="CW672">
        <f t="shared" si="1294"/>
        <v>0</v>
      </c>
      <c r="CX672">
        <f t="shared" si="1294"/>
        <v>0</v>
      </c>
      <c r="CY672">
        <f t="shared" si="1294"/>
        <v>0</v>
      </c>
      <c r="CZ672">
        <f t="shared" si="1294"/>
        <v>0</v>
      </c>
      <c r="DA672">
        <f t="shared" si="1294"/>
        <v>0</v>
      </c>
      <c r="DB672">
        <f t="shared" si="1294"/>
        <v>0</v>
      </c>
      <c r="DC672">
        <f t="shared" si="1294"/>
        <v>0</v>
      </c>
      <c r="DD672">
        <f t="shared" si="1294"/>
        <v>0</v>
      </c>
      <c r="DE672">
        <f t="shared" si="1294"/>
        <v>0</v>
      </c>
      <c r="DF672">
        <f t="shared" si="1294"/>
        <v>0</v>
      </c>
      <c r="DG672">
        <f t="shared" si="1295"/>
        <v>0</v>
      </c>
      <c r="DH672">
        <f t="shared" si="1295"/>
        <v>0</v>
      </c>
      <c r="DI672">
        <f t="shared" si="1295"/>
        <v>0</v>
      </c>
      <c r="DJ672">
        <f t="shared" si="1295"/>
        <v>0</v>
      </c>
      <c r="DK672">
        <f t="shared" si="1295"/>
        <v>0</v>
      </c>
      <c r="DL672">
        <f t="shared" si="1295"/>
        <v>0</v>
      </c>
      <c r="DM672">
        <f t="shared" si="1295"/>
        <v>0</v>
      </c>
      <c r="DN672">
        <f t="shared" si="1295"/>
        <v>0</v>
      </c>
      <c r="DO672">
        <f t="shared" si="1295"/>
        <v>0</v>
      </c>
      <c r="DP672">
        <f t="shared" si="1295"/>
        <v>0</v>
      </c>
      <c r="DQ672">
        <f t="shared" si="1296"/>
        <v>0</v>
      </c>
      <c r="DR672">
        <f t="shared" si="1296"/>
        <v>0</v>
      </c>
      <c r="DS672">
        <f t="shared" si="1296"/>
        <v>0</v>
      </c>
      <c r="DT672">
        <f t="shared" si="1296"/>
        <v>0</v>
      </c>
      <c r="DU672">
        <f t="shared" si="1296"/>
        <v>0</v>
      </c>
      <c r="DV672">
        <f t="shared" si="1296"/>
        <v>0</v>
      </c>
      <c r="DW672">
        <f t="shared" si="1296"/>
        <v>0</v>
      </c>
      <c r="DX672">
        <f t="shared" si="1296"/>
        <v>0</v>
      </c>
      <c r="DY672">
        <f t="shared" si="1296"/>
        <v>0</v>
      </c>
      <c r="DZ672">
        <f t="shared" si="1296"/>
        <v>0</v>
      </c>
      <c r="EA672">
        <f t="shared" si="1297"/>
        <v>0</v>
      </c>
      <c r="EB672">
        <f t="shared" si="1297"/>
        <v>0</v>
      </c>
      <c r="EC672">
        <f t="shared" si="1297"/>
        <v>0</v>
      </c>
      <c r="ED672">
        <f t="shared" si="1297"/>
        <v>0</v>
      </c>
      <c r="EE672">
        <f t="shared" si="1297"/>
        <v>0</v>
      </c>
      <c r="EF672">
        <f t="shared" si="1297"/>
        <v>0</v>
      </c>
    </row>
    <row r="673" spans="1:136" ht="15.5">
      <c r="A673" s="90"/>
      <c r="B673" s="19"/>
      <c r="C673" s="94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18"/>
      <c r="AW673" s="18"/>
      <c r="AX673" s="18"/>
      <c r="AY673" s="18"/>
      <c r="AZ673" s="18"/>
      <c r="BA673" s="18"/>
      <c r="BB673" s="18"/>
      <c r="BC673" s="18"/>
      <c r="BD673" s="18"/>
      <c r="BE673" s="25"/>
      <c r="BF673" s="18"/>
      <c r="BG673" s="18"/>
      <c r="BH673" s="113"/>
      <c r="BI673" s="113"/>
      <c r="BJ673" s="113"/>
      <c r="BK673" s="2"/>
      <c r="BL673" s="2"/>
      <c r="BM673" s="2"/>
      <c r="BN673" s="2"/>
      <c r="BO673" s="2"/>
      <c r="BP673" s="2"/>
      <c r="BQ673" s="2"/>
      <c r="BR673" s="101"/>
    </row>
    <row r="674" spans="1:136" ht="15.5">
      <c r="A674" s="93">
        <v>82</v>
      </c>
      <c r="B674" s="54" t="s">
        <v>93</v>
      </c>
      <c r="C674" s="94">
        <v>4</v>
      </c>
      <c r="D674" s="22"/>
      <c r="E674" s="22"/>
      <c r="F674" s="22"/>
      <c r="G674" s="22"/>
      <c r="H674" s="22"/>
      <c r="I674" s="22"/>
      <c r="J674" s="22">
        <f t="shared" ref="J674:AO674" si="1298">J676+J677+J678</f>
        <v>0</v>
      </c>
      <c r="K674" s="22">
        <f t="shared" si="1298"/>
        <v>0</v>
      </c>
      <c r="L674" s="22">
        <f t="shared" si="1298"/>
        <v>0</v>
      </c>
      <c r="M674" s="22">
        <f t="shared" si="1298"/>
        <v>0</v>
      </c>
      <c r="N674" s="22">
        <f t="shared" si="1298"/>
        <v>0</v>
      </c>
      <c r="O674" s="22">
        <f t="shared" si="1298"/>
        <v>0</v>
      </c>
      <c r="P674" s="22">
        <f t="shared" si="1298"/>
        <v>0</v>
      </c>
      <c r="Q674" s="22">
        <f t="shared" si="1298"/>
        <v>0</v>
      </c>
      <c r="R674" s="22">
        <f t="shared" si="1298"/>
        <v>0</v>
      </c>
      <c r="S674" s="22">
        <f t="shared" si="1298"/>
        <v>0</v>
      </c>
      <c r="T674" s="22">
        <f t="shared" si="1298"/>
        <v>0</v>
      </c>
      <c r="U674" s="22">
        <f t="shared" si="1298"/>
        <v>0</v>
      </c>
      <c r="V674" s="22">
        <f t="shared" si="1298"/>
        <v>0</v>
      </c>
      <c r="W674" s="22">
        <f t="shared" si="1298"/>
        <v>5.7799999999999995E-4</v>
      </c>
      <c r="X674" s="22">
        <f t="shared" si="1298"/>
        <v>0</v>
      </c>
      <c r="Y674" s="22">
        <f t="shared" si="1298"/>
        <v>0</v>
      </c>
      <c r="Z674" s="22">
        <f t="shared" si="1298"/>
        <v>0</v>
      </c>
      <c r="AA674" s="22">
        <f t="shared" si="1298"/>
        <v>0</v>
      </c>
      <c r="AB674" s="22">
        <f t="shared" si="1298"/>
        <v>0</v>
      </c>
      <c r="AC674" s="22">
        <f t="shared" si="1298"/>
        <v>0.19575799999999999</v>
      </c>
      <c r="AD674" s="22">
        <f t="shared" si="1298"/>
        <v>4.3938999999999999E-2</v>
      </c>
      <c r="AE674" s="22">
        <f t="shared" si="1298"/>
        <v>4.6629999999999996E-3</v>
      </c>
      <c r="AF674" s="22">
        <f t="shared" si="1298"/>
        <v>7.5700000000000003E-3</v>
      </c>
      <c r="AG674" s="22">
        <f t="shared" si="1298"/>
        <v>0</v>
      </c>
      <c r="AH674" s="22">
        <f t="shared" si="1298"/>
        <v>8.1213119999999996</v>
      </c>
      <c r="AI674" s="22">
        <f t="shared" si="1298"/>
        <v>3.6962100000000002</v>
      </c>
      <c r="AJ674" s="22">
        <f t="shared" si="1298"/>
        <v>5.575755</v>
      </c>
      <c r="AK674" s="22">
        <f t="shared" si="1298"/>
        <v>12.051992</v>
      </c>
      <c r="AL674" s="22">
        <f t="shared" si="1298"/>
        <v>2.8844110000000001</v>
      </c>
      <c r="AM674" s="22">
        <f t="shared" si="1298"/>
        <v>0</v>
      </c>
      <c r="AN674" s="22">
        <f t="shared" si="1298"/>
        <v>0</v>
      </c>
      <c r="AO674" s="22">
        <f t="shared" si="1298"/>
        <v>0</v>
      </c>
      <c r="AP674" s="22">
        <f t="shared" ref="AP674:BJ674" si="1299">AP676+AP677+AP678</f>
        <v>6.3361000000000001E-2</v>
      </c>
      <c r="AQ674" s="22">
        <f t="shared" si="1299"/>
        <v>0</v>
      </c>
      <c r="AR674" s="22">
        <f t="shared" si="1299"/>
        <v>0</v>
      </c>
      <c r="AS674" s="22">
        <f t="shared" si="1299"/>
        <v>3</v>
      </c>
      <c r="AT674" s="22">
        <f t="shared" si="1299"/>
        <v>0</v>
      </c>
      <c r="AU674" s="22">
        <f t="shared" si="1299"/>
        <v>0</v>
      </c>
      <c r="AV674" s="22">
        <f t="shared" si="1299"/>
        <v>0</v>
      </c>
      <c r="AW674" s="22">
        <f t="shared" si="1299"/>
        <v>0</v>
      </c>
      <c r="AX674" s="22">
        <f t="shared" si="1299"/>
        <v>18.2805076</v>
      </c>
      <c r="AY674" s="22">
        <f t="shared" si="1299"/>
        <v>5.8502445999999999</v>
      </c>
      <c r="AZ674" s="22">
        <f t="shared" si="1299"/>
        <v>1.4396964999999999</v>
      </c>
      <c r="BA674" s="22">
        <f t="shared" si="1299"/>
        <v>1.5677E-3</v>
      </c>
      <c r="BB674" s="22">
        <f t="shared" si="1299"/>
        <v>0</v>
      </c>
      <c r="BC674" s="22">
        <f t="shared" si="1299"/>
        <v>0</v>
      </c>
      <c r="BD674" s="22">
        <f t="shared" si="1299"/>
        <v>0</v>
      </c>
      <c r="BE674" s="22">
        <f t="shared" si="1299"/>
        <v>7.0247199999999996E-2</v>
      </c>
      <c r="BF674" s="22">
        <f t="shared" si="1299"/>
        <v>0.21604599999999999</v>
      </c>
      <c r="BG674" s="22">
        <f t="shared" si="1299"/>
        <v>0.13216069999999999</v>
      </c>
      <c r="BH674" s="22">
        <f t="shared" si="1299"/>
        <v>0.37502950000000002</v>
      </c>
      <c r="BI674" s="22">
        <f t="shared" si="1299"/>
        <v>0.17687639999999999</v>
      </c>
      <c r="BJ674" s="22">
        <f t="shared" si="1299"/>
        <v>1.5338882</v>
      </c>
      <c r="BK674" s="109">
        <f t="shared" ref="BK674:BQ674" si="1300">SUM(BK676:BK678)</f>
        <v>0.30163000000000001</v>
      </c>
      <c r="BL674" s="9">
        <f t="shared" si="1300"/>
        <v>4.6598052999999995</v>
      </c>
      <c r="BM674" s="9">
        <f t="shared" si="1300"/>
        <v>9.773027299999999</v>
      </c>
      <c r="BN674" s="9">
        <f t="shared" si="1300"/>
        <v>12.401420100000001</v>
      </c>
      <c r="BO674" s="9">
        <f t="shared" si="1300"/>
        <v>11.261884999999999</v>
      </c>
      <c r="BP674" s="9">
        <f t="shared" si="1300"/>
        <v>11.2462193</v>
      </c>
      <c r="BQ674" s="9">
        <f t="shared" si="1300"/>
        <v>11</v>
      </c>
      <c r="BR674" s="101"/>
      <c r="BS674">
        <f t="shared" ref="BS674:CB679" si="1301">IF($C674&lt;&gt;"",IF(D674&gt;0,1,0),0)</f>
        <v>0</v>
      </c>
      <c r="BT674">
        <f t="shared" si="1301"/>
        <v>0</v>
      </c>
      <c r="BU674">
        <f t="shared" si="1301"/>
        <v>0</v>
      </c>
      <c r="BV674">
        <f t="shared" si="1301"/>
        <v>0</v>
      </c>
      <c r="BW674">
        <f t="shared" si="1301"/>
        <v>0</v>
      </c>
      <c r="BX674">
        <f t="shared" si="1301"/>
        <v>0</v>
      </c>
      <c r="BY674">
        <f t="shared" si="1301"/>
        <v>0</v>
      </c>
      <c r="BZ674">
        <f t="shared" si="1301"/>
        <v>0</v>
      </c>
      <c r="CA674">
        <f t="shared" si="1301"/>
        <v>0</v>
      </c>
      <c r="CB674">
        <f t="shared" si="1301"/>
        <v>0</v>
      </c>
      <c r="CC674">
        <f t="shared" ref="CC674:CL679" si="1302">IF($C674&lt;&gt;"",IF(N674&gt;0,1,0),0)</f>
        <v>0</v>
      </c>
      <c r="CD674">
        <f t="shared" si="1302"/>
        <v>0</v>
      </c>
      <c r="CE674">
        <f t="shared" si="1302"/>
        <v>0</v>
      </c>
      <c r="CF674">
        <f t="shared" si="1302"/>
        <v>0</v>
      </c>
      <c r="CG674">
        <f t="shared" si="1302"/>
        <v>0</v>
      </c>
      <c r="CH674">
        <f t="shared" si="1302"/>
        <v>0</v>
      </c>
      <c r="CI674">
        <f t="shared" si="1302"/>
        <v>0</v>
      </c>
      <c r="CJ674">
        <f t="shared" si="1302"/>
        <v>0</v>
      </c>
      <c r="CK674">
        <f t="shared" si="1302"/>
        <v>0</v>
      </c>
      <c r="CL674">
        <f t="shared" si="1302"/>
        <v>1</v>
      </c>
      <c r="CM674">
        <f t="shared" ref="CM674:CV679" si="1303">IF($C674&lt;&gt;"",IF(X674&gt;0,1,0),0)</f>
        <v>0</v>
      </c>
      <c r="CN674">
        <f t="shared" si="1303"/>
        <v>0</v>
      </c>
      <c r="CO674">
        <f t="shared" si="1303"/>
        <v>0</v>
      </c>
      <c r="CP674">
        <f t="shared" si="1303"/>
        <v>0</v>
      </c>
      <c r="CQ674">
        <f t="shared" si="1303"/>
        <v>0</v>
      </c>
      <c r="CR674">
        <f t="shared" si="1303"/>
        <v>1</v>
      </c>
      <c r="CS674">
        <f t="shared" si="1303"/>
        <v>1</v>
      </c>
      <c r="CT674">
        <f t="shared" si="1303"/>
        <v>1</v>
      </c>
      <c r="CU674">
        <f t="shared" si="1303"/>
        <v>1</v>
      </c>
      <c r="CV674">
        <f t="shared" si="1303"/>
        <v>0</v>
      </c>
      <c r="CW674">
        <f t="shared" ref="CW674:DF679" si="1304">IF($C674&lt;&gt;"",IF(AH674&gt;0,1,0),0)</f>
        <v>1</v>
      </c>
      <c r="CX674">
        <f t="shared" si="1304"/>
        <v>1</v>
      </c>
      <c r="CY674">
        <f t="shared" si="1304"/>
        <v>1</v>
      </c>
      <c r="CZ674">
        <f t="shared" si="1304"/>
        <v>1</v>
      </c>
      <c r="DA674">
        <f t="shared" si="1304"/>
        <v>1</v>
      </c>
      <c r="DB674">
        <f t="shared" si="1304"/>
        <v>0</v>
      </c>
      <c r="DC674">
        <f t="shared" si="1304"/>
        <v>0</v>
      </c>
      <c r="DD674">
        <f t="shared" si="1304"/>
        <v>0</v>
      </c>
      <c r="DE674">
        <f t="shared" si="1304"/>
        <v>1</v>
      </c>
      <c r="DF674">
        <f t="shared" si="1304"/>
        <v>0</v>
      </c>
      <c r="DG674">
        <f t="shared" ref="DG674:DP679" si="1305">IF($C674&lt;&gt;"",IF(AR674&gt;0,1,0),0)</f>
        <v>0</v>
      </c>
      <c r="DH674">
        <f t="shared" si="1305"/>
        <v>1</v>
      </c>
      <c r="DI674">
        <f t="shared" si="1305"/>
        <v>0</v>
      </c>
      <c r="DJ674">
        <f t="shared" si="1305"/>
        <v>0</v>
      </c>
      <c r="DK674">
        <f t="shared" si="1305"/>
        <v>0</v>
      </c>
      <c r="DL674">
        <f t="shared" si="1305"/>
        <v>0</v>
      </c>
      <c r="DM674">
        <f t="shared" si="1305"/>
        <v>1</v>
      </c>
      <c r="DN674">
        <f t="shared" si="1305"/>
        <v>1</v>
      </c>
      <c r="DO674">
        <f t="shared" si="1305"/>
        <v>1</v>
      </c>
      <c r="DP674">
        <f t="shared" si="1305"/>
        <v>1</v>
      </c>
      <c r="DQ674">
        <f t="shared" ref="DQ674:DZ679" si="1306">IF($C674&lt;&gt;"",IF(BB674&gt;0,1,0),0)</f>
        <v>0</v>
      </c>
      <c r="DR674">
        <f t="shared" si="1306"/>
        <v>0</v>
      </c>
      <c r="DS674">
        <f t="shared" si="1306"/>
        <v>0</v>
      </c>
      <c r="DT674">
        <f t="shared" si="1306"/>
        <v>1</v>
      </c>
      <c r="DU674">
        <f t="shared" si="1306"/>
        <v>1</v>
      </c>
      <c r="DV674">
        <f t="shared" si="1306"/>
        <v>1</v>
      </c>
      <c r="DW674">
        <f t="shared" si="1306"/>
        <v>1</v>
      </c>
      <c r="DX674">
        <f t="shared" si="1306"/>
        <v>1</v>
      </c>
      <c r="DY674">
        <f t="shared" si="1306"/>
        <v>1</v>
      </c>
      <c r="DZ674">
        <f t="shared" si="1306"/>
        <v>1</v>
      </c>
      <c r="EA674">
        <f t="shared" ref="EA674:EF679" si="1307">IF($C674&lt;&gt;"",IF(BL674&gt;0,1,0),0)</f>
        <v>1</v>
      </c>
      <c r="EB674">
        <f t="shared" si="1307"/>
        <v>1</v>
      </c>
      <c r="EC674">
        <f t="shared" si="1307"/>
        <v>1</v>
      </c>
      <c r="ED674">
        <f t="shared" si="1307"/>
        <v>1</v>
      </c>
      <c r="EE674">
        <f t="shared" si="1307"/>
        <v>1</v>
      </c>
      <c r="EF674">
        <f t="shared" si="1307"/>
        <v>1</v>
      </c>
    </row>
    <row r="675" spans="1:136" ht="15.5">
      <c r="A675" s="90"/>
      <c r="B675" s="19" t="s">
        <v>2</v>
      </c>
      <c r="C675" s="94"/>
      <c r="D675" s="22"/>
      <c r="E675" s="22"/>
      <c r="F675" s="22"/>
      <c r="G675" s="22"/>
      <c r="H675" s="22"/>
      <c r="I675" s="22"/>
      <c r="J675" s="18">
        <v>0</v>
      </c>
      <c r="K675" s="18">
        <v>0</v>
      </c>
      <c r="L675" s="18">
        <v>0</v>
      </c>
      <c r="M675" s="18">
        <v>0</v>
      </c>
      <c r="N675" s="18">
        <v>0</v>
      </c>
      <c r="O675" s="18">
        <v>0</v>
      </c>
      <c r="P675" s="18">
        <v>0</v>
      </c>
      <c r="Q675" s="18">
        <v>0</v>
      </c>
      <c r="R675" s="18">
        <v>0</v>
      </c>
      <c r="S675" s="18">
        <v>0</v>
      </c>
      <c r="T675" s="18">
        <v>0</v>
      </c>
      <c r="U675" s="18">
        <v>0</v>
      </c>
      <c r="V675" s="18">
        <v>0</v>
      </c>
      <c r="W675" s="18">
        <v>0</v>
      </c>
      <c r="X675" s="18">
        <v>0</v>
      </c>
      <c r="Y675" s="18">
        <v>0</v>
      </c>
      <c r="Z675" s="18">
        <v>0</v>
      </c>
      <c r="AA675" s="18">
        <v>0</v>
      </c>
      <c r="AB675" s="18">
        <v>0</v>
      </c>
      <c r="AC675" s="18">
        <v>0</v>
      </c>
      <c r="AD675" s="18">
        <v>0</v>
      </c>
      <c r="AE675" s="18">
        <v>0</v>
      </c>
      <c r="AF675" s="18">
        <v>0</v>
      </c>
      <c r="AG675" s="18">
        <v>0</v>
      </c>
      <c r="AH675" s="18">
        <v>0</v>
      </c>
      <c r="AI675" s="18">
        <v>0</v>
      </c>
      <c r="AJ675" s="18">
        <v>0</v>
      </c>
      <c r="AK675" s="18">
        <v>0</v>
      </c>
      <c r="AL675" s="18">
        <v>0</v>
      </c>
      <c r="AM675" s="18">
        <v>0</v>
      </c>
      <c r="AN675" s="18">
        <v>0</v>
      </c>
      <c r="AO675" s="18">
        <v>0</v>
      </c>
      <c r="AP675" s="18">
        <v>0</v>
      </c>
      <c r="AQ675" s="18">
        <v>0</v>
      </c>
      <c r="AR675" s="18">
        <v>0</v>
      </c>
      <c r="AS675" s="18">
        <v>0</v>
      </c>
      <c r="AT675" s="18">
        <v>0</v>
      </c>
      <c r="AU675" s="18">
        <v>0</v>
      </c>
      <c r="AV675" s="18">
        <v>0</v>
      </c>
      <c r="AW675" s="18">
        <v>0</v>
      </c>
      <c r="AX675" s="18">
        <v>0</v>
      </c>
      <c r="AY675" s="18">
        <v>0</v>
      </c>
      <c r="AZ675" s="18">
        <v>0</v>
      </c>
      <c r="BA675" s="18">
        <v>0</v>
      </c>
      <c r="BB675" s="18">
        <v>0</v>
      </c>
      <c r="BC675" s="18">
        <v>0</v>
      </c>
      <c r="BD675" s="18">
        <v>0</v>
      </c>
      <c r="BE675" s="18">
        <v>0</v>
      </c>
      <c r="BF675" s="18">
        <v>0</v>
      </c>
      <c r="BG675" s="18">
        <v>0</v>
      </c>
      <c r="BH675" s="18">
        <v>0</v>
      </c>
      <c r="BI675" s="18">
        <v>0</v>
      </c>
      <c r="BJ675" s="18">
        <v>0</v>
      </c>
      <c r="BK675" s="18">
        <v>0</v>
      </c>
      <c r="BL675" s="113">
        <v>0</v>
      </c>
      <c r="BM675" s="113">
        <v>0</v>
      </c>
      <c r="BN675" s="113">
        <v>0</v>
      </c>
      <c r="BO675" s="113">
        <v>0</v>
      </c>
      <c r="BP675" s="113">
        <v>0</v>
      </c>
      <c r="BQ675" s="113">
        <v>0</v>
      </c>
      <c r="BR675" s="101"/>
      <c r="BS675">
        <f t="shared" si="1301"/>
        <v>0</v>
      </c>
      <c r="BT675">
        <f t="shared" si="1301"/>
        <v>0</v>
      </c>
      <c r="BU675">
        <f t="shared" si="1301"/>
        <v>0</v>
      </c>
      <c r="BV675">
        <f t="shared" si="1301"/>
        <v>0</v>
      </c>
      <c r="BW675">
        <f t="shared" si="1301"/>
        <v>0</v>
      </c>
      <c r="BX675">
        <f t="shared" si="1301"/>
        <v>0</v>
      </c>
      <c r="BY675">
        <f t="shared" si="1301"/>
        <v>0</v>
      </c>
      <c r="BZ675">
        <f t="shared" si="1301"/>
        <v>0</v>
      </c>
      <c r="CA675">
        <f t="shared" si="1301"/>
        <v>0</v>
      </c>
      <c r="CB675">
        <f t="shared" si="1301"/>
        <v>0</v>
      </c>
      <c r="CC675">
        <f t="shared" si="1302"/>
        <v>0</v>
      </c>
      <c r="CD675">
        <f t="shared" si="1302"/>
        <v>0</v>
      </c>
      <c r="CE675">
        <f t="shared" si="1302"/>
        <v>0</v>
      </c>
      <c r="CF675">
        <f t="shared" si="1302"/>
        <v>0</v>
      </c>
      <c r="CG675">
        <f t="shared" si="1302"/>
        <v>0</v>
      </c>
      <c r="CH675">
        <f t="shared" si="1302"/>
        <v>0</v>
      </c>
      <c r="CI675">
        <f t="shared" si="1302"/>
        <v>0</v>
      </c>
      <c r="CJ675">
        <f t="shared" si="1302"/>
        <v>0</v>
      </c>
      <c r="CK675">
        <f t="shared" si="1302"/>
        <v>0</v>
      </c>
      <c r="CL675">
        <f t="shared" si="1302"/>
        <v>0</v>
      </c>
      <c r="CM675">
        <f t="shared" si="1303"/>
        <v>0</v>
      </c>
      <c r="CN675">
        <f t="shared" si="1303"/>
        <v>0</v>
      </c>
      <c r="CO675">
        <f t="shared" si="1303"/>
        <v>0</v>
      </c>
      <c r="CP675">
        <f t="shared" si="1303"/>
        <v>0</v>
      </c>
      <c r="CQ675">
        <f t="shared" si="1303"/>
        <v>0</v>
      </c>
      <c r="CR675">
        <f t="shared" si="1303"/>
        <v>0</v>
      </c>
      <c r="CS675">
        <f t="shared" si="1303"/>
        <v>0</v>
      </c>
      <c r="CT675">
        <f t="shared" si="1303"/>
        <v>0</v>
      </c>
      <c r="CU675">
        <f t="shared" si="1303"/>
        <v>0</v>
      </c>
      <c r="CV675">
        <f t="shared" si="1303"/>
        <v>0</v>
      </c>
      <c r="CW675">
        <f t="shared" si="1304"/>
        <v>0</v>
      </c>
      <c r="CX675">
        <f t="shared" si="1304"/>
        <v>0</v>
      </c>
      <c r="CY675">
        <f t="shared" si="1304"/>
        <v>0</v>
      </c>
      <c r="CZ675">
        <f t="shared" si="1304"/>
        <v>0</v>
      </c>
      <c r="DA675">
        <f t="shared" si="1304"/>
        <v>0</v>
      </c>
      <c r="DB675">
        <f t="shared" si="1304"/>
        <v>0</v>
      </c>
      <c r="DC675">
        <f t="shared" si="1304"/>
        <v>0</v>
      </c>
      <c r="DD675">
        <f t="shared" si="1304"/>
        <v>0</v>
      </c>
      <c r="DE675">
        <f t="shared" si="1304"/>
        <v>0</v>
      </c>
      <c r="DF675">
        <f t="shared" si="1304"/>
        <v>0</v>
      </c>
      <c r="DG675">
        <f t="shared" si="1305"/>
        <v>0</v>
      </c>
      <c r="DH675">
        <f t="shared" si="1305"/>
        <v>0</v>
      </c>
      <c r="DI675">
        <f t="shared" si="1305"/>
        <v>0</v>
      </c>
      <c r="DJ675">
        <f t="shared" si="1305"/>
        <v>0</v>
      </c>
      <c r="DK675">
        <f t="shared" si="1305"/>
        <v>0</v>
      </c>
      <c r="DL675">
        <f t="shared" si="1305"/>
        <v>0</v>
      </c>
      <c r="DM675">
        <f t="shared" si="1305"/>
        <v>0</v>
      </c>
      <c r="DN675">
        <f t="shared" si="1305"/>
        <v>0</v>
      </c>
      <c r="DO675">
        <f t="shared" si="1305"/>
        <v>0</v>
      </c>
      <c r="DP675">
        <f t="shared" si="1305"/>
        <v>0</v>
      </c>
      <c r="DQ675">
        <f t="shared" si="1306"/>
        <v>0</v>
      </c>
      <c r="DR675">
        <f t="shared" si="1306"/>
        <v>0</v>
      </c>
      <c r="DS675">
        <f t="shared" si="1306"/>
        <v>0</v>
      </c>
      <c r="DT675">
        <f t="shared" si="1306"/>
        <v>0</v>
      </c>
      <c r="DU675">
        <f t="shared" si="1306"/>
        <v>0</v>
      </c>
      <c r="DV675">
        <f t="shared" si="1306"/>
        <v>0</v>
      </c>
      <c r="DW675">
        <f t="shared" si="1306"/>
        <v>0</v>
      </c>
      <c r="DX675">
        <f t="shared" si="1306"/>
        <v>0</v>
      </c>
      <c r="DY675">
        <f t="shared" si="1306"/>
        <v>0</v>
      </c>
      <c r="DZ675">
        <f t="shared" si="1306"/>
        <v>0</v>
      </c>
      <c r="EA675">
        <f t="shared" si="1307"/>
        <v>0</v>
      </c>
      <c r="EB675">
        <f t="shared" si="1307"/>
        <v>0</v>
      </c>
      <c r="EC675">
        <f t="shared" si="1307"/>
        <v>0</v>
      </c>
      <c r="ED675">
        <f t="shared" si="1307"/>
        <v>0</v>
      </c>
      <c r="EE675">
        <f t="shared" si="1307"/>
        <v>0</v>
      </c>
      <c r="EF675">
        <f t="shared" si="1307"/>
        <v>0</v>
      </c>
    </row>
    <row r="676" spans="1:136" ht="15.5">
      <c r="A676" s="90"/>
      <c r="B676" s="53" t="s">
        <v>205</v>
      </c>
      <c r="C676" s="94"/>
      <c r="D676" s="22"/>
      <c r="E676" s="22"/>
      <c r="F676" s="22"/>
      <c r="G676" s="22"/>
      <c r="H676" s="22"/>
      <c r="I676" s="22"/>
      <c r="J676" s="147">
        <v>0</v>
      </c>
      <c r="K676" s="147">
        <v>0</v>
      </c>
      <c r="L676" s="147">
        <v>0</v>
      </c>
      <c r="M676" s="147">
        <v>0</v>
      </c>
      <c r="N676" s="147">
        <v>0</v>
      </c>
      <c r="O676" s="147">
        <v>0</v>
      </c>
      <c r="P676" s="147">
        <v>0</v>
      </c>
      <c r="Q676" s="147">
        <v>0</v>
      </c>
      <c r="R676" s="147">
        <v>0</v>
      </c>
      <c r="S676" s="147">
        <v>0</v>
      </c>
      <c r="T676" s="147">
        <v>0</v>
      </c>
      <c r="U676" s="147">
        <v>0</v>
      </c>
      <c r="V676" s="147">
        <v>0</v>
      </c>
      <c r="W676" s="147">
        <v>0</v>
      </c>
      <c r="X676" s="147">
        <v>0</v>
      </c>
      <c r="Y676" s="147">
        <v>0</v>
      </c>
      <c r="Z676" s="147">
        <v>0</v>
      </c>
      <c r="AA676" s="147">
        <v>0</v>
      </c>
      <c r="AB676" s="147">
        <v>0</v>
      </c>
      <c r="AC676" s="147">
        <v>0</v>
      </c>
      <c r="AD676" s="18">
        <v>0</v>
      </c>
      <c r="AE676" s="18">
        <v>0</v>
      </c>
      <c r="AF676" s="18">
        <v>0</v>
      </c>
      <c r="AG676" s="18">
        <v>0</v>
      </c>
      <c r="AH676" s="18">
        <v>0</v>
      </c>
      <c r="AI676" s="18">
        <v>0</v>
      </c>
      <c r="AJ676" s="18">
        <v>0</v>
      </c>
      <c r="AK676" s="18">
        <v>0</v>
      </c>
      <c r="AL676" s="18">
        <v>0</v>
      </c>
      <c r="AM676" s="18">
        <v>0</v>
      </c>
      <c r="AN676" s="18">
        <v>0</v>
      </c>
      <c r="AO676" s="18">
        <v>0</v>
      </c>
      <c r="AP676" s="18">
        <v>0</v>
      </c>
      <c r="AQ676" s="18">
        <v>0</v>
      </c>
      <c r="AR676" s="18">
        <v>0</v>
      </c>
      <c r="AS676" s="18">
        <v>3</v>
      </c>
      <c r="AT676" s="18">
        <v>0</v>
      </c>
      <c r="AU676" s="18">
        <v>0</v>
      </c>
      <c r="AV676" s="18">
        <v>0</v>
      </c>
      <c r="AW676" s="18">
        <v>0</v>
      </c>
      <c r="AX676" s="18">
        <v>6</v>
      </c>
      <c r="AY676" s="18">
        <v>5.8502445999999999</v>
      </c>
      <c r="AZ676" s="18">
        <v>1.4396964999999999</v>
      </c>
      <c r="BA676" s="18">
        <v>0</v>
      </c>
      <c r="BB676" s="18">
        <v>0</v>
      </c>
      <c r="BC676" s="18">
        <v>0</v>
      </c>
      <c r="BD676" s="18">
        <v>0</v>
      </c>
      <c r="BE676" s="25">
        <v>0</v>
      </c>
      <c r="BF676" s="18">
        <v>0</v>
      </c>
      <c r="BG676" s="18">
        <v>0</v>
      </c>
      <c r="BH676" s="18">
        <v>0</v>
      </c>
      <c r="BI676" s="18">
        <v>0</v>
      </c>
      <c r="BJ676" s="18">
        <v>0</v>
      </c>
      <c r="BK676" s="113">
        <v>0</v>
      </c>
      <c r="BL676" s="103">
        <v>0.3</v>
      </c>
      <c r="BM676" s="113">
        <v>1.1267738</v>
      </c>
      <c r="BN676" s="113">
        <v>2.0244775000000002</v>
      </c>
      <c r="BO676" s="113">
        <v>2</v>
      </c>
      <c r="BP676" s="113">
        <v>2</v>
      </c>
      <c r="BQ676" s="113">
        <v>2</v>
      </c>
      <c r="BR676" s="101"/>
      <c r="BS676">
        <f t="shared" si="1301"/>
        <v>0</v>
      </c>
      <c r="BT676">
        <f t="shared" si="1301"/>
        <v>0</v>
      </c>
      <c r="BU676">
        <f t="shared" si="1301"/>
        <v>0</v>
      </c>
      <c r="BV676">
        <f t="shared" si="1301"/>
        <v>0</v>
      </c>
      <c r="BW676">
        <f t="shared" si="1301"/>
        <v>0</v>
      </c>
      <c r="BX676">
        <f t="shared" si="1301"/>
        <v>0</v>
      </c>
      <c r="BY676">
        <f t="shared" si="1301"/>
        <v>0</v>
      </c>
      <c r="BZ676">
        <f t="shared" si="1301"/>
        <v>0</v>
      </c>
      <c r="CA676">
        <f t="shared" si="1301"/>
        <v>0</v>
      </c>
      <c r="CB676">
        <f t="shared" si="1301"/>
        <v>0</v>
      </c>
      <c r="CC676">
        <f t="shared" si="1302"/>
        <v>0</v>
      </c>
      <c r="CD676">
        <f t="shared" si="1302"/>
        <v>0</v>
      </c>
      <c r="CE676">
        <f t="shared" si="1302"/>
        <v>0</v>
      </c>
      <c r="CF676">
        <f t="shared" si="1302"/>
        <v>0</v>
      </c>
      <c r="CG676">
        <f t="shared" si="1302"/>
        <v>0</v>
      </c>
      <c r="CH676">
        <f t="shared" si="1302"/>
        <v>0</v>
      </c>
      <c r="CI676">
        <f t="shared" si="1302"/>
        <v>0</v>
      </c>
      <c r="CJ676">
        <f t="shared" si="1302"/>
        <v>0</v>
      </c>
      <c r="CK676">
        <f t="shared" si="1302"/>
        <v>0</v>
      </c>
      <c r="CL676">
        <f t="shared" si="1302"/>
        <v>0</v>
      </c>
      <c r="CM676">
        <f t="shared" si="1303"/>
        <v>0</v>
      </c>
      <c r="CN676">
        <f t="shared" si="1303"/>
        <v>0</v>
      </c>
      <c r="CO676">
        <f t="shared" si="1303"/>
        <v>0</v>
      </c>
      <c r="CP676">
        <f t="shared" si="1303"/>
        <v>0</v>
      </c>
      <c r="CQ676">
        <f t="shared" si="1303"/>
        <v>0</v>
      </c>
      <c r="CR676">
        <f t="shared" si="1303"/>
        <v>0</v>
      </c>
      <c r="CS676">
        <f t="shared" si="1303"/>
        <v>0</v>
      </c>
      <c r="CT676">
        <f t="shared" si="1303"/>
        <v>0</v>
      </c>
      <c r="CU676">
        <f t="shared" si="1303"/>
        <v>0</v>
      </c>
      <c r="CV676">
        <f t="shared" si="1303"/>
        <v>0</v>
      </c>
      <c r="CW676">
        <f t="shared" si="1304"/>
        <v>0</v>
      </c>
      <c r="CX676">
        <f t="shared" si="1304"/>
        <v>0</v>
      </c>
      <c r="CY676">
        <f t="shared" si="1304"/>
        <v>0</v>
      </c>
      <c r="CZ676">
        <f t="shared" si="1304"/>
        <v>0</v>
      </c>
      <c r="DA676">
        <f t="shared" si="1304"/>
        <v>0</v>
      </c>
      <c r="DB676">
        <f t="shared" si="1304"/>
        <v>0</v>
      </c>
      <c r="DC676">
        <f t="shared" si="1304"/>
        <v>0</v>
      </c>
      <c r="DD676">
        <f t="shared" si="1304"/>
        <v>0</v>
      </c>
      <c r="DE676">
        <f t="shared" si="1304"/>
        <v>0</v>
      </c>
      <c r="DF676">
        <f t="shared" si="1304"/>
        <v>0</v>
      </c>
      <c r="DG676">
        <f t="shared" si="1305"/>
        <v>0</v>
      </c>
      <c r="DH676">
        <f t="shared" si="1305"/>
        <v>0</v>
      </c>
      <c r="DI676">
        <f t="shared" si="1305"/>
        <v>0</v>
      </c>
      <c r="DJ676">
        <f t="shared" si="1305"/>
        <v>0</v>
      </c>
      <c r="DK676">
        <f t="shared" si="1305"/>
        <v>0</v>
      </c>
      <c r="DL676">
        <f t="shared" si="1305"/>
        <v>0</v>
      </c>
      <c r="DM676">
        <f t="shared" si="1305"/>
        <v>0</v>
      </c>
      <c r="DN676">
        <f t="shared" si="1305"/>
        <v>0</v>
      </c>
      <c r="DO676">
        <f t="shared" si="1305"/>
        <v>0</v>
      </c>
      <c r="DP676">
        <f t="shared" si="1305"/>
        <v>0</v>
      </c>
      <c r="DQ676">
        <f t="shared" si="1306"/>
        <v>0</v>
      </c>
      <c r="DR676">
        <f t="shared" si="1306"/>
        <v>0</v>
      </c>
      <c r="DS676">
        <f t="shared" si="1306"/>
        <v>0</v>
      </c>
      <c r="DT676">
        <f t="shared" si="1306"/>
        <v>0</v>
      </c>
      <c r="DU676">
        <f t="shared" si="1306"/>
        <v>0</v>
      </c>
      <c r="DV676">
        <f t="shared" si="1306"/>
        <v>0</v>
      </c>
      <c r="DW676">
        <f t="shared" si="1306"/>
        <v>0</v>
      </c>
      <c r="DX676">
        <f t="shared" si="1306"/>
        <v>0</v>
      </c>
      <c r="DY676">
        <f t="shared" si="1306"/>
        <v>0</v>
      </c>
      <c r="DZ676">
        <f t="shared" si="1306"/>
        <v>0</v>
      </c>
      <c r="EA676">
        <f t="shared" si="1307"/>
        <v>0</v>
      </c>
      <c r="EB676">
        <f t="shared" si="1307"/>
        <v>0</v>
      </c>
      <c r="EC676">
        <f t="shared" si="1307"/>
        <v>0</v>
      </c>
      <c r="ED676">
        <f t="shared" si="1307"/>
        <v>0</v>
      </c>
      <c r="EE676">
        <f t="shared" si="1307"/>
        <v>0</v>
      </c>
      <c r="EF676">
        <f t="shared" si="1307"/>
        <v>0</v>
      </c>
    </row>
    <row r="677" spans="1:136" ht="15.5">
      <c r="A677" s="90"/>
      <c r="B677" s="53" t="s">
        <v>3</v>
      </c>
      <c r="C677" s="94"/>
      <c r="D677" s="18"/>
      <c r="E677" s="18"/>
      <c r="F677" s="18"/>
      <c r="G677" s="18"/>
      <c r="H677" s="18"/>
      <c r="I677" s="18"/>
      <c r="J677" s="18">
        <v>0</v>
      </c>
      <c r="K677" s="18">
        <v>0</v>
      </c>
      <c r="L677" s="18">
        <v>0</v>
      </c>
      <c r="M677" s="18">
        <v>0</v>
      </c>
      <c r="N677" s="18">
        <v>0</v>
      </c>
      <c r="O677" s="18">
        <v>0</v>
      </c>
      <c r="P677" s="18">
        <v>0</v>
      </c>
      <c r="Q677" s="18">
        <v>0</v>
      </c>
      <c r="R677" s="18">
        <v>0</v>
      </c>
      <c r="S677" s="18">
        <v>0</v>
      </c>
      <c r="T677" s="18">
        <v>0</v>
      </c>
      <c r="U677" s="18">
        <v>0</v>
      </c>
      <c r="V677" s="18">
        <v>0</v>
      </c>
      <c r="W677" s="18">
        <v>5.7799999999999995E-4</v>
      </c>
      <c r="X677" s="18">
        <v>0</v>
      </c>
      <c r="Y677" s="18">
        <v>0</v>
      </c>
      <c r="Z677" s="18">
        <v>0</v>
      </c>
      <c r="AA677" s="18">
        <v>0</v>
      </c>
      <c r="AB677" s="18">
        <v>0</v>
      </c>
      <c r="AC677" s="18">
        <v>0.19575799999999999</v>
      </c>
      <c r="AD677" s="18">
        <v>4.3938999999999999E-2</v>
      </c>
      <c r="AE677" s="18">
        <v>4.6629999999999996E-3</v>
      </c>
      <c r="AF677" s="18">
        <v>7.5700000000000003E-3</v>
      </c>
      <c r="AG677" s="18">
        <v>0</v>
      </c>
      <c r="AH677" s="18">
        <v>6.1951140000000002</v>
      </c>
      <c r="AI677" s="18">
        <v>3.1372200000000001</v>
      </c>
      <c r="AJ677" s="18">
        <v>4.6062529999999997</v>
      </c>
      <c r="AK677" s="18">
        <v>11.069269999999999</v>
      </c>
      <c r="AL677" s="18">
        <v>2.1292249999999999</v>
      </c>
      <c r="AM677" s="18">
        <v>0</v>
      </c>
      <c r="AN677" s="18">
        <v>0</v>
      </c>
      <c r="AO677" s="18">
        <v>0</v>
      </c>
      <c r="AP677" s="18">
        <v>6.3361000000000001E-2</v>
      </c>
      <c r="AQ677" s="18">
        <v>0</v>
      </c>
      <c r="AR677" s="18">
        <v>0</v>
      </c>
      <c r="AS677" s="18">
        <v>0</v>
      </c>
      <c r="AT677" s="18">
        <v>0</v>
      </c>
      <c r="AU677" s="18">
        <v>0</v>
      </c>
      <c r="AV677" s="18">
        <v>0</v>
      </c>
      <c r="AW677" s="18">
        <v>0</v>
      </c>
      <c r="AX677" s="18">
        <f>18.2805076-AX676</f>
        <v>12.2805076</v>
      </c>
      <c r="AY677" s="18">
        <f>5.8502446-AY676</f>
        <v>0</v>
      </c>
      <c r="AZ677" s="18">
        <f>1.4396965-AZ676</f>
        <v>0</v>
      </c>
      <c r="BA677" s="18">
        <v>1.5677E-3</v>
      </c>
      <c r="BB677" s="18">
        <v>0</v>
      </c>
      <c r="BC677" s="18">
        <v>0</v>
      </c>
      <c r="BD677" s="18">
        <v>0</v>
      </c>
      <c r="BE677" s="25">
        <v>7.0247199999999996E-2</v>
      </c>
      <c r="BF677" s="18">
        <v>0.21604599999999999</v>
      </c>
      <c r="BG677" s="18">
        <v>0.1299833</v>
      </c>
      <c r="BH677" s="18">
        <v>0.37502950000000002</v>
      </c>
      <c r="BI677" s="18">
        <v>0.17687639999999999</v>
      </c>
      <c r="BJ677" s="71">
        <v>1.5338882</v>
      </c>
      <c r="BK677" s="18">
        <v>0.30163000000000001</v>
      </c>
      <c r="BL677" s="113">
        <v>4.0139395999999996</v>
      </c>
      <c r="BM677" s="18">
        <v>8.1031397999999992</v>
      </c>
      <c r="BN677" s="113">
        <v>10.124158400000001</v>
      </c>
      <c r="BO677" s="130">
        <v>9</v>
      </c>
      <c r="BP677" s="130">
        <v>9</v>
      </c>
      <c r="BQ677" s="130">
        <v>9</v>
      </c>
      <c r="BR677" s="101"/>
      <c r="BS677">
        <f t="shared" si="1301"/>
        <v>0</v>
      </c>
      <c r="BT677">
        <f t="shared" si="1301"/>
        <v>0</v>
      </c>
      <c r="BU677">
        <f t="shared" si="1301"/>
        <v>0</v>
      </c>
      <c r="BV677">
        <f t="shared" si="1301"/>
        <v>0</v>
      </c>
      <c r="BW677">
        <f t="shared" si="1301"/>
        <v>0</v>
      </c>
      <c r="BX677">
        <f t="shared" si="1301"/>
        <v>0</v>
      </c>
      <c r="BY677">
        <f t="shared" si="1301"/>
        <v>0</v>
      </c>
      <c r="BZ677">
        <f t="shared" si="1301"/>
        <v>0</v>
      </c>
      <c r="CA677">
        <f t="shared" si="1301"/>
        <v>0</v>
      </c>
      <c r="CB677">
        <f t="shared" si="1301"/>
        <v>0</v>
      </c>
      <c r="CC677">
        <f t="shared" si="1302"/>
        <v>0</v>
      </c>
      <c r="CD677">
        <f t="shared" si="1302"/>
        <v>0</v>
      </c>
      <c r="CE677">
        <f t="shared" si="1302"/>
        <v>0</v>
      </c>
      <c r="CF677">
        <f t="shared" si="1302"/>
        <v>0</v>
      </c>
      <c r="CG677">
        <f t="shared" si="1302"/>
        <v>0</v>
      </c>
      <c r="CH677">
        <f t="shared" si="1302"/>
        <v>0</v>
      </c>
      <c r="CI677">
        <f t="shared" si="1302"/>
        <v>0</v>
      </c>
      <c r="CJ677">
        <f t="shared" si="1302"/>
        <v>0</v>
      </c>
      <c r="CK677">
        <f t="shared" si="1302"/>
        <v>0</v>
      </c>
      <c r="CL677">
        <f t="shared" si="1302"/>
        <v>0</v>
      </c>
      <c r="CM677">
        <f t="shared" si="1303"/>
        <v>0</v>
      </c>
      <c r="CN677">
        <f t="shared" si="1303"/>
        <v>0</v>
      </c>
      <c r="CO677">
        <f t="shared" si="1303"/>
        <v>0</v>
      </c>
      <c r="CP677">
        <f t="shared" si="1303"/>
        <v>0</v>
      </c>
      <c r="CQ677">
        <f t="shared" si="1303"/>
        <v>0</v>
      </c>
      <c r="CR677">
        <f t="shared" si="1303"/>
        <v>0</v>
      </c>
      <c r="CS677">
        <f t="shared" si="1303"/>
        <v>0</v>
      </c>
      <c r="CT677">
        <f t="shared" si="1303"/>
        <v>0</v>
      </c>
      <c r="CU677">
        <f t="shared" si="1303"/>
        <v>0</v>
      </c>
      <c r="CV677">
        <f t="shared" si="1303"/>
        <v>0</v>
      </c>
      <c r="CW677">
        <f t="shared" si="1304"/>
        <v>0</v>
      </c>
      <c r="CX677">
        <f t="shared" si="1304"/>
        <v>0</v>
      </c>
      <c r="CY677">
        <f t="shared" si="1304"/>
        <v>0</v>
      </c>
      <c r="CZ677">
        <f t="shared" si="1304"/>
        <v>0</v>
      </c>
      <c r="DA677">
        <f t="shared" si="1304"/>
        <v>0</v>
      </c>
      <c r="DB677">
        <f t="shared" si="1304"/>
        <v>0</v>
      </c>
      <c r="DC677">
        <f t="shared" si="1304"/>
        <v>0</v>
      </c>
      <c r="DD677">
        <f t="shared" si="1304"/>
        <v>0</v>
      </c>
      <c r="DE677">
        <f t="shared" si="1304"/>
        <v>0</v>
      </c>
      <c r="DF677">
        <f t="shared" si="1304"/>
        <v>0</v>
      </c>
      <c r="DG677">
        <f t="shared" si="1305"/>
        <v>0</v>
      </c>
      <c r="DH677">
        <f t="shared" si="1305"/>
        <v>0</v>
      </c>
      <c r="DI677">
        <f t="shared" si="1305"/>
        <v>0</v>
      </c>
      <c r="DJ677">
        <f t="shared" si="1305"/>
        <v>0</v>
      </c>
      <c r="DK677">
        <f t="shared" si="1305"/>
        <v>0</v>
      </c>
      <c r="DL677">
        <f t="shared" si="1305"/>
        <v>0</v>
      </c>
      <c r="DM677">
        <f t="shared" si="1305"/>
        <v>0</v>
      </c>
      <c r="DN677">
        <f t="shared" si="1305"/>
        <v>0</v>
      </c>
      <c r="DO677">
        <f t="shared" si="1305"/>
        <v>0</v>
      </c>
      <c r="DP677">
        <f t="shared" si="1305"/>
        <v>0</v>
      </c>
      <c r="DQ677">
        <f t="shared" si="1306"/>
        <v>0</v>
      </c>
      <c r="DR677">
        <f t="shared" si="1306"/>
        <v>0</v>
      </c>
      <c r="DS677">
        <f t="shared" si="1306"/>
        <v>0</v>
      </c>
      <c r="DT677">
        <f t="shared" si="1306"/>
        <v>0</v>
      </c>
      <c r="DU677">
        <f t="shared" si="1306"/>
        <v>0</v>
      </c>
      <c r="DV677">
        <f t="shared" si="1306"/>
        <v>0</v>
      </c>
      <c r="DW677">
        <f t="shared" si="1306"/>
        <v>0</v>
      </c>
      <c r="DX677">
        <f t="shared" si="1306"/>
        <v>0</v>
      </c>
      <c r="DY677">
        <f t="shared" si="1306"/>
        <v>0</v>
      </c>
      <c r="DZ677">
        <f t="shared" si="1306"/>
        <v>0</v>
      </c>
      <c r="EA677">
        <f t="shared" si="1307"/>
        <v>0</v>
      </c>
      <c r="EB677">
        <f t="shared" si="1307"/>
        <v>0</v>
      </c>
      <c r="EC677">
        <f t="shared" si="1307"/>
        <v>0</v>
      </c>
      <c r="ED677">
        <f t="shared" si="1307"/>
        <v>0</v>
      </c>
      <c r="EE677">
        <f t="shared" si="1307"/>
        <v>0</v>
      </c>
      <c r="EF677">
        <f t="shared" si="1307"/>
        <v>0</v>
      </c>
    </row>
    <row r="678" spans="1:136" ht="15.5">
      <c r="A678" s="90"/>
      <c r="B678" s="19" t="s">
        <v>208</v>
      </c>
      <c r="C678" s="94"/>
      <c r="D678" s="18"/>
      <c r="E678" s="18"/>
      <c r="F678" s="18"/>
      <c r="G678" s="18"/>
      <c r="H678" s="18"/>
      <c r="I678" s="18"/>
      <c r="J678" s="18">
        <v>0</v>
      </c>
      <c r="K678" s="18">
        <v>0</v>
      </c>
      <c r="L678" s="18">
        <v>0</v>
      </c>
      <c r="M678" s="18">
        <v>0</v>
      </c>
      <c r="N678" s="18">
        <v>0</v>
      </c>
      <c r="O678" s="34">
        <v>0</v>
      </c>
      <c r="P678" s="34">
        <v>0</v>
      </c>
      <c r="Q678" s="34">
        <v>0</v>
      </c>
      <c r="R678" s="34">
        <v>0</v>
      </c>
      <c r="S678" s="34">
        <v>0</v>
      </c>
      <c r="T678" s="34">
        <v>0</v>
      </c>
      <c r="U678" s="34">
        <v>0</v>
      </c>
      <c r="V678" s="34">
        <v>0</v>
      </c>
      <c r="W678" s="34">
        <v>0</v>
      </c>
      <c r="X678" s="34">
        <v>0</v>
      </c>
      <c r="Y678" s="34">
        <v>0</v>
      </c>
      <c r="Z678" s="34">
        <v>0</v>
      </c>
      <c r="AA678" s="34">
        <v>0</v>
      </c>
      <c r="AB678" s="34">
        <v>0</v>
      </c>
      <c r="AC678" s="34">
        <v>0</v>
      </c>
      <c r="AD678" s="34">
        <v>0</v>
      </c>
      <c r="AE678" s="34">
        <v>0</v>
      </c>
      <c r="AF678" s="34">
        <v>0</v>
      </c>
      <c r="AG678" s="34">
        <v>0</v>
      </c>
      <c r="AH678" s="34">
        <v>1.9261980000000001</v>
      </c>
      <c r="AI678" s="34">
        <v>0.55898999999999999</v>
      </c>
      <c r="AJ678" s="34">
        <v>0.96950199999999997</v>
      </c>
      <c r="AK678" s="34">
        <v>0.98272199999999998</v>
      </c>
      <c r="AL678" s="34">
        <v>0.75518600000000002</v>
      </c>
      <c r="AM678" s="34">
        <v>0</v>
      </c>
      <c r="AN678" s="34">
        <v>0</v>
      </c>
      <c r="AO678" s="34">
        <v>0</v>
      </c>
      <c r="AP678" s="34">
        <v>0</v>
      </c>
      <c r="AQ678" s="34">
        <v>0</v>
      </c>
      <c r="AR678" s="34">
        <v>0</v>
      </c>
      <c r="AS678" s="34">
        <v>0</v>
      </c>
      <c r="AT678" s="34">
        <v>0</v>
      </c>
      <c r="AU678" s="34">
        <v>0</v>
      </c>
      <c r="AV678" s="34">
        <v>0</v>
      </c>
      <c r="AW678" s="34">
        <v>0</v>
      </c>
      <c r="AX678" s="34">
        <v>0</v>
      </c>
      <c r="AY678" s="34">
        <v>0</v>
      </c>
      <c r="AZ678" s="34">
        <v>0</v>
      </c>
      <c r="BA678" s="34">
        <v>0</v>
      </c>
      <c r="BB678" s="34">
        <v>0</v>
      </c>
      <c r="BC678" s="34">
        <v>0</v>
      </c>
      <c r="BD678" s="34">
        <v>0</v>
      </c>
      <c r="BE678" s="42">
        <v>0</v>
      </c>
      <c r="BF678" s="34">
        <v>0</v>
      </c>
      <c r="BG678" s="34">
        <v>2.1773999999999999E-3</v>
      </c>
      <c r="BH678" s="34">
        <v>0</v>
      </c>
      <c r="BI678" s="34">
        <v>0</v>
      </c>
      <c r="BJ678" s="113">
        <v>0</v>
      </c>
      <c r="BK678" s="113">
        <v>0</v>
      </c>
      <c r="BL678" s="103">
        <v>0.3458657</v>
      </c>
      <c r="BM678" s="34">
        <v>0.54311369999999992</v>
      </c>
      <c r="BN678" s="113">
        <v>0.25278420000000001</v>
      </c>
      <c r="BO678" s="113">
        <v>0.26188499999999998</v>
      </c>
      <c r="BP678" s="113">
        <v>0.2462193</v>
      </c>
      <c r="BQ678" s="113">
        <v>0</v>
      </c>
      <c r="BR678" s="101"/>
      <c r="BS678">
        <f t="shared" si="1301"/>
        <v>0</v>
      </c>
      <c r="BT678">
        <f t="shared" si="1301"/>
        <v>0</v>
      </c>
      <c r="BU678">
        <f t="shared" si="1301"/>
        <v>0</v>
      </c>
      <c r="BV678">
        <f t="shared" si="1301"/>
        <v>0</v>
      </c>
      <c r="BW678">
        <f t="shared" si="1301"/>
        <v>0</v>
      </c>
      <c r="BX678">
        <f t="shared" si="1301"/>
        <v>0</v>
      </c>
      <c r="BY678">
        <f t="shared" si="1301"/>
        <v>0</v>
      </c>
      <c r="BZ678">
        <f t="shared" si="1301"/>
        <v>0</v>
      </c>
      <c r="CA678">
        <f t="shared" si="1301"/>
        <v>0</v>
      </c>
      <c r="CB678">
        <f t="shared" si="1301"/>
        <v>0</v>
      </c>
      <c r="CC678">
        <f t="shared" si="1302"/>
        <v>0</v>
      </c>
      <c r="CD678">
        <f t="shared" si="1302"/>
        <v>0</v>
      </c>
      <c r="CE678">
        <f t="shared" si="1302"/>
        <v>0</v>
      </c>
      <c r="CF678">
        <f t="shared" si="1302"/>
        <v>0</v>
      </c>
      <c r="CG678">
        <f t="shared" si="1302"/>
        <v>0</v>
      </c>
      <c r="CH678">
        <f t="shared" si="1302"/>
        <v>0</v>
      </c>
      <c r="CI678">
        <f t="shared" si="1302"/>
        <v>0</v>
      </c>
      <c r="CJ678">
        <f t="shared" si="1302"/>
        <v>0</v>
      </c>
      <c r="CK678">
        <f t="shared" si="1302"/>
        <v>0</v>
      </c>
      <c r="CL678">
        <f t="shared" si="1302"/>
        <v>0</v>
      </c>
      <c r="CM678">
        <f t="shared" si="1303"/>
        <v>0</v>
      </c>
      <c r="CN678">
        <f t="shared" si="1303"/>
        <v>0</v>
      </c>
      <c r="CO678">
        <f t="shared" si="1303"/>
        <v>0</v>
      </c>
      <c r="CP678">
        <f t="shared" si="1303"/>
        <v>0</v>
      </c>
      <c r="CQ678">
        <f t="shared" si="1303"/>
        <v>0</v>
      </c>
      <c r="CR678">
        <f t="shared" si="1303"/>
        <v>0</v>
      </c>
      <c r="CS678">
        <f t="shared" si="1303"/>
        <v>0</v>
      </c>
      <c r="CT678">
        <f t="shared" si="1303"/>
        <v>0</v>
      </c>
      <c r="CU678">
        <f t="shared" si="1303"/>
        <v>0</v>
      </c>
      <c r="CV678">
        <f t="shared" si="1303"/>
        <v>0</v>
      </c>
      <c r="CW678">
        <f t="shared" si="1304"/>
        <v>0</v>
      </c>
      <c r="CX678">
        <f t="shared" si="1304"/>
        <v>0</v>
      </c>
      <c r="CY678">
        <f t="shared" si="1304"/>
        <v>0</v>
      </c>
      <c r="CZ678">
        <f t="shared" si="1304"/>
        <v>0</v>
      </c>
      <c r="DA678">
        <f t="shared" si="1304"/>
        <v>0</v>
      </c>
      <c r="DB678">
        <f t="shared" si="1304"/>
        <v>0</v>
      </c>
      <c r="DC678">
        <f t="shared" si="1304"/>
        <v>0</v>
      </c>
      <c r="DD678">
        <f t="shared" si="1304"/>
        <v>0</v>
      </c>
      <c r="DE678">
        <f t="shared" si="1304"/>
        <v>0</v>
      </c>
      <c r="DF678">
        <f t="shared" si="1304"/>
        <v>0</v>
      </c>
      <c r="DG678">
        <f t="shared" si="1305"/>
        <v>0</v>
      </c>
      <c r="DH678">
        <f t="shared" si="1305"/>
        <v>0</v>
      </c>
      <c r="DI678">
        <f t="shared" si="1305"/>
        <v>0</v>
      </c>
      <c r="DJ678">
        <f t="shared" si="1305"/>
        <v>0</v>
      </c>
      <c r="DK678">
        <f t="shared" si="1305"/>
        <v>0</v>
      </c>
      <c r="DL678">
        <f t="shared" si="1305"/>
        <v>0</v>
      </c>
      <c r="DM678">
        <f t="shared" si="1305"/>
        <v>0</v>
      </c>
      <c r="DN678">
        <f t="shared" si="1305"/>
        <v>0</v>
      </c>
      <c r="DO678">
        <f t="shared" si="1305"/>
        <v>0</v>
      </c>
      <c r="DP678">
        <f t="shared" si="1305"/>
        <v>0</v>
      </c>
      <c r="DQ678">
        <f t="shared" si="1306"/>
        <v>0</v>
      </c>
      <c r="DR678">
        <f t="shared" si="1306"/>
        <v>0</v>
      </c>
      <c r="DS678">
        <f t="shared" si="1306"/>
        <v>0</v>
      </c>
      <c r="DT678">
        <f t="shared" si="1306"/>
        <v>0</v>
      </c>
      <c r="DU678">
        <f t="shared" si="1306"/>
        <v>0</v>
      </c>
      <c r="DV678">
        <f t="shared" si="1306"/>
        <v>0</v>
      </c>
      <c r="DW678">
        <f t="shared" si="1306"/>
        <v>0</v>
      </c>
      <c r="DX678">
        <f t="shared" si="1306"/>
        <v>0</v>
      </c>
      <c r="DY678">
        <f t="shared" si="1306"/>
        <v>0</v>
      </c>
      <c r="DZ678">
        <f t="shared" si="1306"/>
        <v>0</v>
      </c>
      <c r="EA678">
        <f t="shared" si="1307"/>
        <v>0</v>
      </c>
      <c r="EB678">
        <f t="shared" si="1307"/>
        <v>0</v>
      </c>
      <c r="EC678">
        <f t="shared" si="1307"/>
        <v>0</v>
      </c>
      <c r="ED678">
        <f t="shared" si="1307"/>
        <v>0</v>
      </c>
      <c r="EE678">
        <f t="shared" si="1307"/>
        <v>0</v>
      </c>
      <c r="EF678">
        <f t="shared" si="1307"/>
        <v>0</v>
      </c>
    </row>
    <row r="679" spans="1:136" ht="15.5">
      <c r="A679" s="90"/>
      <c r="B679" s="19" t="s">
        <v>212</v>
      </c>
      <c r="C679" s="94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>
        <v>0</v>
      </c>
      <c r="AD679" s="34">
        <v>0</v>
      </c>
      <c r="AE679" s="34">
        <v>0</v>
      </c>
      <c r="AF679" s="34">
        <v>0</v>
      </c>
      <c r="AG679" s="34">
        <v>0</v>
      </c>
      <c r="AH679" s="34">
        <v>0</v>
      </c>
      <c r="AI679" s="34">
        <v>0</v>
      </c>
      <c r="AJ679" s="34">
        <v>0</v>
      </c>
      <c r="AK679" s="34">
        <v>0</v>
      </c>
      <c r="AL679" s="34">
        <v>0</v>
      </c>
      <c r="AM679" s="34">
        <v>0</v>
      </c>
      <c r="AN679" s="34">
        <v>0</v>
      </c>
      <c r="AO679" s="34">
        <v>0</v>
      </c>
      <c r="AP679" s="34">
        <v>0</v>
      </c>
      <c r="AQ679" s="34">
        <v>0</v>
      </c>
      <c r="AR679" s="34">
        <v>0</v>
      </c>
      <c r="AS679" s="34">
        <v>0</v>
      </c>
      <c r="AT679" s="34">
        <v>0</v>
      </c>
      <c r="AU679" s="34">
        <v>0</v>
      </c>
      <c r="AV679" s="34">
        <v>0</v>
      </c>
      <c r="AW679" s="34">
        <v>0</v>
      </c>
      <c r="AX679" s="34">
        <v>0</v>
      </c>
      <c r="AY679" s="34">
        <f>250/6.88</f>
        <v>36.337209302325583</v>
      </c>
      <c r="AZ679" s="34">
        <v>0</v>
      </c>
      <c r="BA679" s="34">
        <v>0</v>
      </c>
      <c r="BB679" s="34">
        <v>0</v>
      </c>
      <c r="BC679" s="18">
        <f>65/7.2</f>
        <v>9.0277777777777768</v>
      </c>
      <c r="BD679" s="18">
        <f>65/7.4</f>
        <v>8.7837837837837842</v>
      </c>
      <c r="BE679" s="42">
        <v>0</v>
      </c>
      <c r="BF679" s="34">
        <v>0</v>
      </c>
      <c r="BG679" s="34">
        <v>12.961762799740765</v>
      </c>
      <c r="BH679" s="34">
        <v>28.591851322373124</v>
      </c>
      <c r="BI679" s="34">
        <v>48.582995951417004</v>
      </c>
      <c r="BJ679" s="113">
        <v>59.790732436472346</v>
      </c>
      <c r="BK679" s="113">
        <v>68.917987594762238</v>
      </c>
      <c r="BL679" s="113">
        <v>49.689869055823571</v>
      </c>
      <c r="BM679" s="113">
        <v>44.569391113549095</v>
      </c>
      <c r="BN679" s="113">
        <v>44.091710758377424</v>
      </c>
      <c r="BO679" s="113">
        <v>37.695207323640282</v>
      </c>
      <c r="BP679" s="113">
        <v>20.75</v>
      </c>
      <c r="BQ679" s="113">
        <v>8</v>
      </c>
      <c r="BR679" s="101"/>
      <c r="BS679">
        <f t="shared" si="1301"/>
        <v>0</v>
      </c>
      <c r="BT679">
        <f t="shared" si="1301"/>
        <v>0</v>
      </c>
      <c r="BU679">
        <f t="shared" si="1301"/>
        <v>0</v>
      </c>
      <c r="BV679">
        <f t="shared" si="1301"/>
        <v>0</v>
      </c>
      <c r="BW679">
        <f t="shared" si="1301"/>
        <v>0</v>
      </c>
      <c r="BX679">
        <f t="shared" si="1301"/>
        <v>0</v>
      </c>
      <c r="BY679">
        <f t="shared" si="1301"/>
        <v>0</v>
      </c>
      <c r="BZ679">
        <f t="shared" si="1301"/>
        <v>0</v>
      </c>
      <c r="CA679">
        <f t="shared" si="1301"/>
        <v>0</v>
      </c>
      <c r="CB679">
        <f t="shared" si="1301"/>
        <v>0</v>
      </c>
      <c r="CC679">
        <f t="shared" si="1302"/>
        <v>0</v>
      </c>
      <c r="CD679">
        <f t="shared" si="1302"/>
        <v>0</v>
      </c>
      <c r="CE679">
        <f t="shared" si="1302"/>
        <v>0</v>
      </c>
      <c r="CF679">
        <f t="shared" si="1302"/>
        <v>0</v>
      </c>
      <c r="CG679">
        <f t="shared" si="1302"/>
        <v>0</v>
      </c>
      <c r="CH679">
        <f t="shared" si="1302"/>
        <v>0</v>
      </c>
      <c r="CI679">
        <f t="shared" si="1302"/>
        <v>0</v>
      </c>
      <c r="CJ679">
        <f t="shared" si="1302"/>
        <v>0</v>
      </c>
      <c r="CK679">
        <f t="shared" si="1302"/>
        <v>0</v>
      </c>
      <c r="CL679">
        <f t="shared" si="1302"/>
        <v>0</v>
      </c>
      <c r="CM679">
        <f t="shared" si="1303"/>
        <v>0</v>
      </c>
      <c r="CN679">
        <f t="shared" si="1303"/>
        <v>0</v>
      </c>
      <c r="CO679">
        <f t="shared" si="1303"/>
        <v>0</v>
      </c>
      <c r="CP679">
        <f t="shared" si="1303"/>
        <v>0</v>
      </c>
      <c r="CQ679">
        <f t="shared" si="1303"/>
        <v>0</v>
      </c>
      <c r="CR679">
        <f t="shared" si="1303"/>
        <v>0</v>
      </c>
      <c r="CS679">
        <f t="shared" si="1303"/>
        <v>0</v>
      </c>
      <c r="CT679">
        <f t="shared" si="1303"/>
        <v>0</v>
      </c>
      <c r="CU679">
        <f t="shared" si="1303"/>
        <v>0</v>
      </c>
      <c r="CV679">
        <f t="shared" si="1303"/>
        <v>0</v>
      </c>
      <c r="CW679">
        <f t="shared" si="1304"/>
        <v>0</v>
      </c>
      <c r="CX679">
        <f t="shared" si="1304"/>
        <v>0</v>
      </c>
      <c r="CY679">
        <f t="shared" si="1304"/>
        <v>0</v>
      </c>
      <c r="CZ679">
        <f t="shared" si="1304"/>
        <v>0</v>
      </c>
      <c r="DA679">
        <f t="shared" si="1304"/>
        <v>0</v>
      </c>
      <c r="DB679">
        <f t="shared" si="1304"/>
        <v>0</v>
      </c>
      <c r="DC679">
        <f t="shared" si="1304"/>
        <v>0</v>
      </c>
      <c r="DD679">
        <f t="shared" si="1304"/>
        <v>0</v>
      </c>
      <c r="DE679">
        <f t="shared" si="1304"/>
        <v>0</v>
      </c>
      <c r="DF679">
        <f t="shared" si="1304"/>
        <v>0</v>
      </c>
      <c r="DG679">
        <f t="shared" si="1305"/>
        <v>0</v>
      </c>
      <c r="DH679">
        <f t="shared" si="1305"/>
        <v>0</v>
      </c>
      <c r="DI679">
        <f t="shared" si="1305"/>
        <v>0</v>
      </c>
      <c r="DJ679">
        <f t="shared" si="1305"/>
        <v>0</v>
      </c>
      <c r="DK679">
        <f t="shared" si="1305"/>
        <v>0</v>
      </c>
      <c r="DL679">
        <f t="shared" si="1305"/>
        <v>0</v>
      </c>
      <c r="DM679">
        <f t="shared" si="1305"/>
        <v>0</v>
      </c>
      <c r="DN679">
        <f t="shared" si="1305"/>
        <v>0</v>
      </c>
      <c r="DO679">
        <f t="shared" si="1305"/>
        <v>0</v>
      </c>
      <c r="DP679">
        <f t="shared" si="1305"/>
        <v>0</v>
      </c>
      <c r="DQ679">
        <f t="shared" si="1306"/>
        <v>0</v>
      </c>
      <c r="DR679">
        <f t="shared" si="1306"/>
        <v>0</v>
      </c>
      <c r="DS679">
        <f t="shared" si="1306"/>
        <v>0</v>
      </c>
      <c r="DT679">
        <f t="shared" si="1306"/>
        <v>0</v>
      </c>
      <c r="DU679">
        <f t="shared" si="1306"/>
        <v>0</v>
      </c>
      <c r="DV679">
        <f t="shared" si="1306"/>
        <v>0</v>
      </c>
      <c r="DW679">
        <f t="shared" si="1306"/>
        <v>0</v>
      </c>
      <c r="DX679">
        <f t="shared" si="1306"/>
        <v>0</v>
      </c>
      <c r="DY679">
        <f t="shared" si="1306"/>
        <v>0</v>
      </c>
      <c r="DZ679">
        <f t="shared" si="1306"/>
        <v>0</v>
      </c>
      <c r="EA679">
        <f t="shared" si="1307"/>
        <v>0</v>
      </c>
      <c r="EB679">
        <f t="shared" si="1307"/>
        <v>0</v>
      </c>
      <c r="EC679">
        <f t="shared" si="1307"/>
        <v>0</v>
      </c>
      <c r="ED679">
        <f t="shared" si="1307"/>
        <v>0</v>
      </c>
      <c r="EE679">
        <f t="shared" si="1307"/>
        <v>0</v>
      </c>
      <c r="EF679">
        <f t="shared" si="1307"/>
        <v>0</v>
      </c>
    </row>
    <row r="680" spans="1:136" ht="15.5">
      <c r="A680" s="90"/>
      <c r="B680" s="53"/>
      <c r="C680" s="94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18"/>
      <c r="AW680" s="18"/>
      <c r="AX680" s="18"/>
      <c r="AY680" s="18"/>
      <c r="AZ680" s="18"/>
      <c r="BA680" s="18"/>
      <c r="BB680" s="18"/>
      <c r="BC680" s="18"/>
      <c r="BD680" s="18"/>
      <c r="BE680" s="25"/>
      <c r="BF680" s="18"/>
      <c r="BG680" s="18"/>
      <c r="BH680" s="113"/>
      <c r="BI680" s="113"/>
      <c r="BJ680" s="113"/>
      <c r="BK680" s="113"/>
      <c r="BL680" s="113"/>
      <c r="BM680" s="113"/>
      <c r="BN680" s="2"/>
      <c r="BO680" s="2"/>
      <c r="BP680" s="2"/>
      <c r="BQ680" s="2"/>
      <c r="BR680" s="101"/>
    </row>
    <row r="681" spans="1:136" ht="15.5">
      <c r="A681" s="93">
        <v>83</v>
      </c>
      <c r="B681" s="52" t="s">
        <v>94</v>
      </c>
      <c r="C681" s="94">
        <v>3</v>
      </c>
      <c r="D681" s="22">
        <f t="shared" ref="D681:AF681" si="1308">SUM(D682:D689)</f>
        <v>0</v>
      </c>
      <c r="E681" s="22">
        <f t="shared" si="1308"/>
        <v>0</v>
      </c>
      <c r="F681" s="22">
        <f t="shared" si="1308"/>
        <v>0</v>
      </c>
      <c r="G681" s="22">
        <f t="shared" si="1308"/>
        <v>122</v>
      </c>
      <c r="H681" s="22">
        <f t="shared" si="1308"/>
        <v>0</v>
      </c>
      <c r="I681" s="22">
        <f t="shared" si="1308"/>
        <v>0</v>
      </c>
      <c r="J681" s="22">
        <f t="shared" si="1308"/>
        <v>0</v>
      </c>
      <c r="K681" s="22">
        <f t="shared" si="1308"/>
        <v>0</v>
      </c>
      <c r="L681" s="22">
        <f t="shared" si="1308"/>
        <v>112</v>
      </c>
      <c r="M681" s="22">
        <f t="shared" si="1308"/>
        <v>5</v>
      </c>
      <c r="N681" s="22">
        <f t="shared" si="1308"/>
        <v>0</v>
      </c>
      <c r="O681" s="22">
        <f t="shared" si="1308"/>
        <v>7.8E-2</v>
      </c>
      <c r="P681" s="22">
        <f t="shared" si="1308"/>
        <v>7.6999999999999999E-2</v>
      </c>
      <c r="Q681" s="22">
        <f t="shared" si="1308"/>
        <v>0.13400000000000001</v>
      </c>
      <c r="R681" s="22">
        <f t="shared" si="1308"/>
        <v>0.24099999999999999</v>
      </c>
      <c r="S681" s="22">
        <f t="shared" si="1308"/>
        <v>4.7E-2</v>
      </c>
      <c r="T681" s="22">
        <f t="shared" si="1308"/>
        <v>5.3999999999999999E-2</v>
      </c>
      <c r="U681" s="22">
        <f t="shared" si="1308"/>
        <v>0.126</v>
      </c>
      <c r="V681" s="22">
        <f t="shared" si="1308"/>
        <v>1.2749999999999999</v>
      </c>
      <c r="W681" s="22">
        <f t="shared" si="1308"/>
        <v>1.7979999999999998</v>
      </c>
      <c r="X681" s="22">
        <f t="shared" si="1308"/>
        <v>37.299999999999997</v>
      </c>
      <c r="Y681" s="22">
        <f t="shared" si="1308"/>
        <v>43.900000000000006</v>
      </c>
      <c r="Z681" s="22">
        <f t="shared" si="1308"/>
        <v>60.647000000000006</v>
      </c>
      <c r="AA681" s="22">
        <f t="shared" si="1308"/>
        <v>71.3</v>
      </c>
      <c r="AB681" s="22">
        <f t="shared" si="1308"/>
        <v>113.25</v>
      </c>
      <c r="AC681" s="22">
        <f t="shared" si="1308"/>
        <v>469.55433768494999</v>
      </c>
      <c r="AD681" s="22">
        <f t="shared" si="1308"/>
        <v>838.92150112462787</v>
      </c>
      <c r="AE681" s="22">
        <f t="shared" si="1308"/>
        <v>1447.1060025816964</v>
      </c>
      <c r="AF681" s="22">
        <f t="shared" si="1308"/>
        <v>1700.4831599191184</v>
      </c>
      <c r="AG681" s="22">
        <f>SUM(AG682:AG690)</f>
        <v>1199.745481483003</v>
      </c>
      <c r="AH681" s="22">
        <f t="shared" ref="AH681:BG681" si="1309">SUM(AH682:AH689)</f>
        <v>1811.8894899070881</v>
      </c>
      <c r="AI681" s="22">
        <f t="shared" si="1309"/>
        <v>2052.6339578218976</v>
      </c>
      <c r="AJ681" s="22">
        <f t="shared" si="1309"/>
        <v>2111.6836365693043</v>
      </c>
      <c r="AK681" s="22">
        <f t="shared" si="1309"/>
        <v>2222.08376712169</v>
      </c>
      <c r="AL681" s="22">
        <f t="shared" si="1309"/>
        <v>2467.863295389227</v>
      </c>
      <c r="AM681" s="22">
        <f t="shared" si="1309"/>
        <v>2653.5552931094608</v>
      </c>
      <c r="AN681" s="22">
        <f t="shared" si="1309"/>
        <v>2721.9758554837072</v>
      </c>
      <c r="AO681" s="22">
        <f t="shared" si="1309"/>
        <v>2742.9397760745492</v>
      </c>
      <c r="AP681" s="22">
        <f t="shared" si="1309"/>
        <v>2972.0059508553186</v>
      </c>
      <c r="AQ681" s="22">
        <f t="shared" si="1309"/>
        <v>3030.938580008094</v>
      </c>
      <c r="AR681" s="22">
        <f t="shared" si="1309"/>
        <v>3370.8743870575099</v>
      </c>
      <c r="AS681" s="22">
        <f t="shared" si="1309"/>
        <v>3737.1286584689151</v>
      </c>
      <c r="AT681" s="22">
        <f t="shared" si="1309"/>
        <v>3972.1843380675446</v>
      </c>
      <c r="AU681" s="22">
        <f t="shared" si="1309"/>
        <v>4426.223555676761</v>
      </c>
      <c r="AV681" s="22">
        <f t="shared" si="1309"/>
        <v>4725.7666290648485</v>
      </c>
      <c r="AW681" s="22">
        <f t="shared" si="1309"/>
        <v>4792.9543219641555</v>
      </c>
      <c r="AX681" s="22">
        <f t="shared" si="1309"/>
        <v>5181.3789063717213</v>
      </c>
      <c r="AY681" s="22">
        <f t="shared" si="1309"/>
        <v>4948.2201064397068</v>
      </c>
      <c r="AZ681" s="22">
        <f t="shared" si="1309"/>
        <v>4076.039296299954</v>
      </c>
      <c r="BA681" s="22">
        <f t="shared" si="1309"/>
        <v>1765.6849824000001</v>
      </c>
      <c r="BB681" s="22">
        <f t="shared" si="1309"/>
        <v>2883.4672642</v>
      </c>
      <c r="BC681" s="22">
        <f t="shared" si="1309"/>
        <v>185.62700000000001</v>
      </c>
      <c r="BD681" s="22">
        <f t="shared" si="1309"/>
        <v>121.0419436</v>
      </c>
      <c r="BE681" s="22">
        <f t="shared" si="1309"/>
        <v>92.024792700000006</v>
      </c>
      <c r="BF681" s="22">
        <f t="shared" si="1309"/>
        <v>78.614834500000001</v>
      </c>
      <c r="BG681" s="22">
        <f t="shared" si="1309"/>
        <v>78.596000000000004</v>
      </c>
      <c r="BH681" s="22">
        <f t="shared" ref="BH681:BQ681" si="1310">SUM(BH682:BH690)</f>
        <v>88.596000000000004</v>
      </c>
      <c r="BI681" s="22">
        <f t="shared" si="1310"/>
        <v>405.4111312</v>
      </c>
      <c r="BJ681" s="22">
        <f t="shared" si="1310"/>
        <v>85.876000000000005</v>
      </c>
      <c r="BK681" s="22">
        <f t="shared" si="1310"/>
        <v>65.286695800000004</v>
      </c>
      <c r="BL681" s="22">
        <f t="shared" si="1310"/>
        <v>101</v>
      </c>
      <c r="BM681" s="22">
        <f t="shared" si="1310"/>
        <v>25</v>
      </c>
      <c r="BN681" s="22">
        <f t="shared" si="1310"/>
        <v>12</v>
      </c>
      <c r="BO681" s="22">
        <f t="shared" si="1310"/>
        <v>25</v>
      </c>
      <c r="BP681" s="22">
        <f t="shared" si="1310"/>
        <v>6.6280000000000001</v>
      </c>
      <c r="BQ681" s="22">
        <f t="shared" si="1310"/>
        <v>6</v>
      </c>
      <c r="BR681" s="101"/>
      <c r="BS681">
        <f t="shared" ref="BS681:BS691" si="1311">IF($C681&lt;&gt;"",IF(D681&gt;0,1,0),0)</f>
        <v>0</v>
      </c>
      <c r="BT681">
        <f t="shared" ref="BT681:BT691" si="1312">IF($C681&lt;&gt;"",IF(E681&gt;0,1,0),0)</f>
        <v>0</v>
      </c>
      <c r="BU681">
        <f t="shared" ref="BU681:BU691" si="1313">IF($C681&lt;&gt;"",IF(F681&gt;0,1,0),0)</f>
        <v>0</v>
      </c>
      <c r="BV681">
        <f t="shared" ref="BV681:BV691" si="1314">IF($C681&lt;&gt;"",IF(G681&gt;0,1,0),0)</f>
        <v>1</v>
      </c>
      <c r="BW681">
        <f t="shared" ref="BW681:BW691" si="1315">IF($C681&lt;&gt;"",IF(H681&gt;0,1,0),0)</f>
        <v>0</v>
      </c>
      <c r="BX681">
        <f t="shared" ref="BX681:BX691" si="1316">IF($C681&lt;&gt;"",IF(I681&gt;0,1,0),0)</f>
        <v>0</v>
      </c>
      <c r="BY681">
        <f t="shared" ref="BY681:BY691" si="1317">IF($C681&lt;&gt;"",IF(J681&gt;0,1,0),0)</f>
        <v>0</v>
      </c>
      <c r="BZ681">
        <f t="shared" ref="BZ681:BZ691" si="1318">IF($C681&lt;&gt;"",IF(K681&gt;0,1,0),0)</f>
        <v>0</v>
      </c>
      <c r="CA681">
        <f t="shared" ref="CA681:CA691" si="1319">IF($C681&lt;&gt;"",IF(L681&gt;0,1,0),0)</f>
        <v>1</v>
      </c>
      <c r="CB681">
        <f t="shared" ref="CB681:CB691" si="1320">IF($C681&lt;&gt;"",IF(M681&gt;0,1,0),0)</f>
        <v>1</v>
      </c>
      <c r="CC681">
        <f t="shared" ref="CC681:CC691" si="1321">IF($C681&lt;&gt;"",IF(N681&gt;0,1,0),0)</f>
        <v>0</v>
      </c>
      <c r="CD681">
        <f t="shared" ref="CD681:CD691" si="1322">IF($C681&lt;&gt;"",IF(O681&gt;0,1,0),0)</f>
        <v>1</v>
      </c>
      <c r="CE681">
        <f t="shared" ref="CE681:CE691" si="1323">IF($C681&lt;&gt;"",IF(P681&gt;0,1,0),0)</f>
        <v>1</v>
      </c>
      <c r="CF681">
        <f t="shared" ref="CF681:CF691" si="1324">IF($C681&lt;&gt;"",IF(Q681&gt;0,1,0),0)</f>
        <v>1</v>
      </c>
      <c r="CG681">
        <f t="shared" ref="CG681:CG691" si="1325">IF($C681&lt;&gt;"",IF(R681&gt;0,1,0),0)</f>
        <v>1</v>
      </c>
      <c r="CH681">
        <f t="shared" ref="CH681:CH691" si="1326">IF($C681&lt;&gt;"",IF(S681&gt;0,1,0),0)</f>
        <v>1</v>
      </c>
      <c r="CI681">
        <f t="shared" ref="CI681:CI691" si="1327">IF($C681&lt;&gt;"",IF(T681&gt;0,1,0),0)</f>
        <v>1</v>
      </c>
      <c r="CJ681">
        <f t="shared" ref="CJ681:CJ691" si="1328">IF($C681&lt;&gt;"",IF(U681&gt;0,1,0),0)</f>
        <v>1</v>
      </c>
      <c r="CK681">
        <f t="shared" ref="CK681:CK691" si="1329">IF($C681&lt;&gt;"",IF(V681&gt;0,1,0),0)</f>
        <v>1</v>
      </c>
      <c r="CL681">
        <f t="shared" ref="CL681:CL691" si="1330">IF($C681&lt;&gt;"",IF(W681&gt;0,1,0),0)</f>
        <v>1</v>
      </c>
      <c r="CM681">
        <f t="shared" ref="CM681:CM691" si="1331">IF($C681&lt;&gt;"",IF(X681&gt;0,1,0),0)</f>
        <v>1</v>
      </c>
      <c r="CN681">
        <f t="shared" ref="CN681:CN691" si="1332">IF($C681&lt;&gt;"",IF(Y681&gt;0,1,0),0)</f>
        <v>1</v>
      </c>
      <c r="CO681">
        <f t="shared" ref="CO681:CO691" si="1333">IF($C681&lt;&gt;"",IF(Z681&gt;0,1,0),0)</f>
        <v>1</v>
      </c>
      <c r="CP681">
        <f t="shared" ref="CP681:CP691" si="1334">IF($C681&lt;&gt;"",IF(AA681&gt;0,1,0),0)</f>
        <v>1</v>
      </c>
      <c r="CQ681">
        <f t="shared" ref="CQ681:CQ691" si="1335">IF($C681&lt;&gt;"",IF(AB681&gt;0,1,0),0)</f>
        <v>1</v>
      </c>
      <c r="CR681">
        <f t="shared" ref="CR681:CR691" si="1336">IF($C681&lt;&gt;"",IF(AC681&gt;0,1,0),0)</f>
        <v>1</v>
      </c>
      <c r="CS681">
        <f t="shared" ref="CS681:CS691" si="1337">IF($C681&lt;&gt;"",IF(AD681&gt;0,1,0),0)</f>
        <v>1</v>
      </c>
      <c r="CT681">
        <f t="shared" ref="CT681:CT691" si="1338">IF($C681&lt;&gt;"",IF(AE681&gt;0,1,0),0)</f>
        <v>1</v>
      </c>
      <c r="CU681">
        <f t="shared" ref="CU681:CU691" si="1339">IF($C681&lt;&gt;"",IF(AF681&gt;0,1,0),0)</f>
        <v>1</v>
      </c>
      <c r="CV681">
        <f t="shared" ref="CV681:CV691" si="1340">IF($C681&lt;&gt;"",IF(AG681&gt;0,1,0),0)</f>
        <v>1</v>
      </c>
      <c r="CW681">
        <f t="shared" ref="CW681:CW691" si="1341">IF($C681&lt;&gt;"",IF(AH681&gt;0,1,0),0)</f>
        <v>1</v>
      </c>
      <c r="CX681">
        <f t="shared" ref="CX681:CX691" si="1342">IF($C681&lt;&gt;"",IF(AI681&gt;0,1,0),0)</f>
        <v>1</v>
      </c>
      <c r="CY681">
        <f t="shared" ref="CY681:CY691" si="1343">IF($C681&lt;&gt;"",IF(AJ681&gt;0,1,0),0)</f>
        <v>1</v>
      </c>
      <c r="CZ681">
        <f t="shared" ref="CZ681:CZ691" si="1344">IF($C681&lt;&gt;"",IF(AK681&gt;0,1,0),0)</f>
        <v>1</v>
      </c>
      <c r="DA681">
        <f t="shared" ref="DA681:DA691" si="1345">IF($C681&lt;&gt;"",IF(AL681&gt;0,1,0),0)</f>
        <v>1</v>
      </c>
      <c r="DB681">
        <f t="shared" ref="DB681:DB691" si="1346">IF($C681&lt;&gt;"",IF(AM681&gt;0,1,0),0)</f>
        <v>1</v>
      </c>
      <c r="DC681">
        <f t="shared" ref="DC681:DC691" si="1347">IF($C681&lt;&gt;"",IF(AN681&gt;0,1,0),0)</f>
        <v>1</v>
      </c>
      <c r="DD681">
        <f t="shared" ref="DD681:DD691" si="1348">IF($C681&lt;&gt;"",IF(AO681&gt;0,1,0),0)</f>
        <v>1</v>
      </c>
      <c r="DE681">
        <f t="shared" ref="DE681:DE691" si="1349">IF($C681&lt;&gt;"",IF(AP681&gt;0,1,0),0)</f>
        <v>1</v>
      </c>
      <c r="DF681">
        <f t="shared" ref="DF681:DF691" si="1350">IF($C681&lt;&gt;"",IF(AQ681&gt;0,1,0),0)</f>
        <v>1</v>
      </c>
      <c r="DG681">
        <f t="shared" ref="DG681:DG691" si="1351">IF($C681&lt;&gt;"",IF(AR681&gt;0,1,0),0)</f>
        <v>1</v>
      </c>
      <c r="DH681">
        <f t="shared" ref="DH681:DH691" si="1352">IF($C681&lt;&gt;"",IF(AS681&gt;0,1,0),0)</f>
        <v>1</v>
      </c>
      <c r="DI681">
        <f t="shared" ref="DI681:DI691" si="1353">IF($C681&lt;&gt;"",IF(AT681&gt;0,1,0),0)</f>
        <v>1</v>
      </c>
      <c r="DJ681">
        <f t="shared" ref="DJ681:DJ691" si="1354">IF($C681&lt;&gt;"",IF(AU681&gt;0,1,0),0)</f>
        <v>1</v>
      </c>
      <c r="DK681">
        <f t="shared" ref="DK681:DK691" si="1355">IF($C681&lt;&gt;"",IF(AV681&gt;0,1,0),0)</f>
        <v>1</v>
      </c>
      <c r="DL681">
        <f t="shared" ref="DL681:DL691" si="1356">IF($C681&lt;&gt;"",IF(AW681&gt;0,1,0),0)</f>
        <v>1</v>
      </c>
      <c r="DM681">
        <f t="shared" ref="DM681:DM691" si="1357">IF($C681&lt;&gt;"",IF(AX681&gt;0,1,0),0)</f>
        <v>1</v>
      </c>
      <c r="DN681">
        <f t="shared" ref="DN681:DN691" si="1358">IF($C681&lt;&gt;"",IF(AY681&gt;0,1,0),0)</f>
        <v>1</v>
      </c>
      <c r="DO681">
        <f t="shared" ref="DO681:DO691" si="1359">IF($C681&lt;&gt;"",IF(AZ681&gt;0,1,0),0)</f>
        <v>1</v>
      </c>
      <c r="DP681">
        <f t="shared" ref="DP681:DP691" si="1360">IF($C681&lt;&gt;"",IF(BA681&gt;0,1,0),0)</f>
        <v>1</v>
      </c>
      <c r="DQ681">
        <f t="shared" ref="DQ681:DQ691" si="1361">IF($C681&lt;&gt;"",IF(BB681&gt;0,1,0),0)</f>
        <v>1</v>
      </c>
      <c r="DR681">
        <f t="shared" ref="DR681:DR691" si="1362">IF($C681&lt;&gt;"",IF(BC681&gt;0,1,0),0)</f>
        <v>1</v>
      </c>
      <c r="DS681">
        <f t="shared" ref="DS681:DS691" si="1363">IF($C681&lt;&gt;"",IF(BD681&gt;0,1,0),0)</f>
        <v>1</v>
      </c>
      <c r="DT681">
        <f t="shared" ref="DT681:DT691" si="1364">IF($C681&lt;&gt;"",IF(BE681&gt;0,1,0),0)</f>
        <v>1</v>
      </c>
      <c r="DU681">
        <f t="shared" ref="DU681:DU691" si="1365">IF($C681&lt;&gt;"",IF(BF681&gt;0,1,0),0)</f>
        <v>1</v>
      </c>
      <c r="DV681">
        <f t="shared" ref="DV681:DV691" si="1366">IF($C681&lt;&gt;"",IF(BG681&gt;0,1,0),0)</f>
        <v>1</v>
      </c>
      <c r="DW681">
        <f t="shared" ref="DW681:DW691" si="1367">IF($C681&lt;&gt;"",IF(BH681&gt;0,1,0),0)</f>
        <v>1</v>
      </c>
      <c r="DX681">
        <f t="shared" ref="DX681:DX691" si="1368">IF($C681&lt;&gt;"",IF(BI681&gt;0,1,0),0)</f>
        <v>1</v>
      </c>
      <c r="DY681">
        <f t="shared" ref="DY681:DY691" si="1369">IF($C681&lt;&gt;"",IF(BJ681&gt;0,1,0),0)</f>
        <v>1</v>
      </c>
      <c r="DZ681">
        <f t="shared" ref="DZ681:DZ691" si="1370">IF($C681&lt;&gt;"",IF(BK681&gt;0,1,0),0)</f>
        <v>1</v>
      </c>
      <c r="EA681">
        <f t="shared" ref="EA681:EA691" si="1371">IF($C681&lt;&gt;"",IF(BL681&gt;0,1,0),0)</f>
        <v>1</v>
      </c>
      <c r="EB681">
        <f t="shared" ref="EB681:EB691" si="1372">IF($C681&lt;&gt;"",IF(BM681&gt;0,1,0),0)</f>
        <v>1</v>
      </c>
      <c r="EC681">
        <f t="shared" ref="EC681:EC691" si="1373">IF($C681&lt;&gt;"",IF(BN681&gt;0,1,0),0)</f>
        <v>1</v>
      </c>
      <c r="ED681">
        <f t="shared" ref="ED681:ED691" si="1374">IF($C681&lt;&gt;"",IF(BO681&gt;0,1,0),0)</f>
        <v>1</v>
      </c>
      <c r="EE681">
        <f t="shared" ref="EE681:EF691" si="1375">IF($C681&lt;&gt;"",IF(BP681&gt;0,1,0),0)</f>
        <v>1</v>
      </c>
      <c r="EF681">
        <f t="shared" si="1375"/>
        <v>1</v>
      </c>
    </row>
    <row r="682" spans="1:136" ht="15.5">
      <c r="A682" s="90"/>
      <c r="B682" s="24" t="s">
        <v>15</v>
      </c>
      <c r="C682" s="95"/>
      <c r="D682" s="18">
        <v>0</v>
      </c>
      <c r="E682" s="18">
        <v>0</v>
      </c>
      <c r="F682" s="18">
        <v>0</v>
      </c>
      <c r="G682" s="18">
        <v>0</v>
      </c>
      <c r="H682" s="18">
        <v>0</v>
      </c>
      <c r="I682" s="18">
        <v>0</v>
      </c>
      <c r="J682" s="18">
        <v>0</v>
      </c>
      <c r="K682" s="18">
        <v>0</v>
      </c>
      <c r="L682" s="18">
        <v>0</v>
      </c>
      <c r="M682" s="18">
        <v>0</v>
      </c>
      <c r="N682" s="18">
        <v>0</v>
      </c>
      <c r="O682" s="18">
        <v>0</v>
      </c>
      <c r="P682" s="18">
        <v>0</v>
      </c>
      <c r="Q682" s="18">
        <v>0</v>
      </c>
      <c r="R682" s="18">
        <v>0</v>
      </c>
      <c r="S682" s="18">
        <v>0</v>
      </c>
      <c r="T682" s="18">
        <v>0</v>
      </c>
      <c r="U682" s="18">
        <v>0</v>
      </c>
      <c r="V682" s="18">
        <v>0</v>
      </c>
      <c r="W682" s="18">
        <v>0</v>
      </c>
      <c r="X682" s="18">
        <v>0</v>
      </c>
      <c r="Y682" s="18">
        <v>0</v>
      </c>
      <c r="Z682" s="18">
        <v>0</v>
      </c>
      <c r="AA682" s="18">
        <v>0</v>
      </c>
      <c r="AB682" s="18">
        <v>10.95</v>
      </c>
      <c r="AC682" s="18">
        <v>280.93133768494994</v>
      </c>
      <c r="AD682" s="18">
        <v>339.70250112462782</v>
      </c>
      <c r="AE682" s="18">
        <v>423.20600258169657</v>
      </c>
      <c r="AF682" s="18">
        <v>431.08315991911837</v>
      </c>
      <c r="AG682" s="18">
        <v>452.02648148300301</v>
      </c>
      <c r="AH682" s="18">
        <v>530.58948990708814</v>
      </c>
      <c r="AI682" s="18">
        <v>580.23395782189766</v>
      </c>
      <c r="AJ682" s="18">
        <v>599.48363656930417</v>
      </c>
      <c r="AK682" s="18">
        <v>635.6618034216898</v>
      </c>
      <c r="AL682" s="18">
        <v>709.96329538922714</v>
      </c>
      <c r="AM682" s="18">
        <v>758.8552931094606</v>
      </c>
      <c r="AN682" s="18">
        <v>767.5758554837073</v>
      </c>
      <c r="AO682" s="18">
        <v>752.83977607454926</v>
      </c>
      <c r="AP682" s="18">
        <v>820.10595085531838</v>
      </c>
      <c r="AQ682" s="18">
        <v>832.83858000809414</v>
      </c>
      <c r="AR682" s="18">
        <v>831.65973965751004</v>
      </c>
      <c r="AS682" s="18">
        <v>835.04162746891473</v>
      </c>
      <c r="AT682" s="18">
        <v>928.85669456754476</v>
      </c>
      <c r="AU682" s="18">
        <v>1038.016348876761</v>
      </c>
      <c r="AV682" s="18">
        <v>1114.6081303648489</v>
      </c>
      <c r="AW682" s="18">
        <v>1064.1516711641552</v>
      </c>
      <c r="AX682" s="18">
        <v>1175.6504050717208</v>
      </c>
      <c r="AY682" s="18">
        <v>1299.8559900397067</v>
      </c>
      <c r="AZ682" s="18">
        <v>1313.619691599954</v>
      </c>
      <c r="BA682" s="18">
        <v>0</v>
      </c>
      <c r="BB682" s="18">
        <v>0</v>
      </c>
      <c r="BC682" s="18">
        <v>0</v>
      </c>
      <c r="BD682" s="18">
        <v>0</v>
      </c>
      <c r="BE682" s="25">
        <v>0</v>
      </c>
      <c r="BF682" s="18">
        <v>0</v>
      </c>
      <c r="BG682" s="18">
        <v>0</v>
      </c>
      <c r="BH682" s="18">
        <v>0</v>
      </c>
      <c r="BI682" s="18">
        <v>0</v>
      </c>
      <c r="BJ682" s="113">
        <v>0</v>
      </c>
      <c r="BK682" s="113">
        <v>0</v>
      </c>
      <c r="BL682" s="113">
        <v>0</v>
      </c>
      <c r="BM682" s="113">
        <v>0</v>
      </c>
      <c r="BN682" s="113">
        <v>0</v>
      </c>
      <c r="BO682" s="113">
        <v>0</v>
      </c>
      <c r="BP682" s="113">
        <v>0</v>
      </c>
      <c r="BQ682" s="113">
        <v>0</v>
      </c>
      <c r="BR682" s="101"/>
      <c r="BS682">
        <f t="shared" si="1311"/>
        <v>0</v>
      </c>
      <c r="BT682">
        <f t="shared" si="1312"/>
        <v>0</v>
      </c>
      <c r="BU682">
        <f t="shared" si="1313"/>
        <v>0</v>
      </c>
      <c r="BV682">
        <f t="shared" si="1314"/>
        <v>0</v>
      </c>
      <c r="BW682">
        <f t="shared" si="1315"/>
        <v>0</v>
      </c>
      <c r="BX682">
        <f t="shared" si="1316"/>
        <v>0</v>
      </c>
      <c r="BY682">
        <f t="shared" si="1317"/>
        <v>0</v>
      </c>
      <c r="BZ682">
        <f t="shared" si="1318"/>
        <v>0</v>
      </c>
      <c r="CA682">
        <f t="shared" si="1319"/>
        <v>0</v>
      </c>
      <c r="CB682">
        <f t="shared" si="1320"/>
        <v>0</v>
      </c>
      <c r="CC682">
        <f t="shared" si="1321"/>
        <v>0</v>
      </c>
      <c r="CD682">
        <f t="shared" si="1322"/>
        <v>0</v>
      </c>
      <c r="CE682">
        <f t="shared" si="1323"/>
        <v>0</v>
      </c>
      <c r="CF682">
        <f t="shared" si="1324"/>
        <v>0</v>
      </c>
      <c r="CG682">
        <f t="shared" si="1325"/>
        <v>0</v>
      </c>
      <c r="CH682">
        <f t="shared" si="1326"/>
        <v>0</v>
      </c>
      <c r="CI682">
        <f t="shared" si="1327"/>
        <v>0</v>
      </c>
      <c r="CJ682">
        <f t="shared" si="1328"/>
        <v>0</v>
      </c>
      <c r="CK682">
        <f t="shared" si="1329"/>
        <v>0</v>
      </c>
      <c r="CL682">
        <f t="shared" si="1330"/>
        <v>0</v>
      </c>
      <c r="CM682">
        <f t="shared" si="1331"/>
        <v>0</v>
      </c>
      <c r="CN682">
        <f t="shared" si="1332"/>
        <v>0</v>
      </c>
      <c r="CO682">
        <f t="shared" si="1333"/>
        <v>0</v>
      </c>
      <c r="CP682">
        <f t="shared" si="1334"/>
        <v>0</v>
      </c>
      <c r="CQ682">
        <f t="shared" si="1335"/>
        <v>0</v>
      </c>
      <c r="CR682">
        <f t="shared" si="1336"/>
        <v>0</v>
      </c>
      <c r="CS682">
        <f t="shared" si="1337"/>
        <v>0</v>
      </c>
      <c r="CT682">
        <f t="shared" si="1338"/>
        <v>0</v>
      </c>
      <c r="CU682">
        <f t="shared" si="1339"/>
        <v>0</v>
      </c>
      <c r="CV682">
        <f t="shared" si="1340"/>
        <v>0</v>
      </c>
      <c r="CW682">
        <f t="shared" si="1341"/>
        <v>0</v>
      </c>
      <c r="CX682">
        <f t="shared" si="1342"/>
        <v>0</v>
      </c>
      <c r="CY682">
        <f t="shared" si="1343"/>
        <v>0</v>
      </c>
      <c r="CZ682">
        <f t="shared" si="1344"/>
        <v>0</v>
      </c>
      <c r="DA682">
        <f t="shared" si="1345"/>
        <v>0</v>
      </c>
      <c r="DB682">
        <f t="shared" si="1346"/>
        <v>0</v>
      </c>
      <c r="DC682">
        <f t="shared" si="1347"/>
        <v>0</v>
      </c>
      <c r="DD682">
        <f t="shared" si="1348"/>
        <v>0</v>
      </c>
      <c r="DE682">
        <f t="shared" si="1349"/>
        <v>0</v>
      </c>
      <c r="DF682">
        <f t="shared" si="1350"/>
        <v>0</v>
      </c>
      <c r="DG682">
        <f t="shared" si="1351"/>
        <v>0</v>
      </c>
      <c r="DH682">
        <f t="shared" si="1352"/>
        <v>0</v>
      </c>
      <c r="DI682">
        <f t="shared" si="1353"/>
        <v>0</v>
      </c>
      <c r="DJ682">
        <f t="shared" si="1354"/>
        <v>0</v>
      </c>
      <c r="DK682">
        <f t="shared" si="1355"/>
        <v>0</v>
      </c>
      <c r="DL682">
        <f t="shared" si="1356"/>
        <v>0</v>
      </c>
      <c r="DM682">
        <f t="shared" si="1357"/>
        <v>0</v>
      </c>
      <c r="DN682">
        <f t="shared" si="1358"/>
        <v>0</v>
      </c>
      <c r="DO682">
        <f t="shared" si="1359"/>
        <v>0</v>
      </c>
      <c r="DP682">
        <f t="shared" si="1360"/>
        <v>0</v>
      </c>
      <c r="DQ682">
        <f t="shared" si="1361"/>
        <v>0</v>
      </c>
      <c r="DR682">
        <f t="shared" si="1362"/>
        <v>0</v>
      </c>
      <c r="DS682">
        <f t="shared" si="1363"/>
        <v>0</v>
      </c>
      <c r="DT682">
        <f t="shared" si="1364"/>
        <v>0</v>
      </c>
      <c r="DU682">
        <f t="shared" si="1365"/>
        <v>0</v>
      </c>
      <c r="DV682">
        <f t="shared" si="1366"/>
        <v>0</v>
      </c>
      <c r="DW682">
        <f t="shared" si="1367"/>
        <v>0</v>
      </c>
      <c r="DX682">
        <f t="shared" si="1368"/>
        <v>0</v>
      </c>
      <c r="DY682">
        <f t="shared" si="1369"/>
        <v>0</v>
      </c>
      <c r="DZ682">
        <f t="shared" si="1370"/>
        <v>0</v>
      </c>
      <c r="EA682">
        <f t="shared" si="1371"/>
        <v>0</v>
      </c>
      <c r="EB682">
        <f t="shared" si="1372"/>
        <v>0</v>
      </c>
      <c r="EC682">
        <f t="shared" si="1373"/>
        <v>0</v>
      </c>
      <c r="ED682">
        <f t="shared" si="1374"/>
        <v>0</v>
      </c>
      <c r="EE682">
        <f t="shared" si="1375"/>
        <v>0</v>
      </c>
      <c r="EF682">
        <f t="shared" si="1375"/>
        <v>0</v>
      </c>
    </row>
    <row r="683" spans="1:136" ht="15.5">
      <c r="A683" s="90"/>
      <c r="B683" s="57" t="s">
        <v>184</v>
      </c>
      <c r="C683" s="95"/>
      <c r="D683" s="18">
        <v>0</v>
      </c>
      <c r="E683" s="18">
        <v>0</v>
      </c>
      <c r="F683" s="18">
        <v>0</v>
      </c>
      <c r="G683" s="18">
        <v>0</v>
      </c>
      <c r="H683" s="18">
        <v>0</v>
      </c>
      <c r="I683" s="18">
        <v>0</v>
      </c>
      <c r="J683" s="18">
        <v>0</v>
      </c>
      <c r="K683" s="18">
        <v>0</v>
      </c>
      <c r="L683" s="18">
        <v>0</v>
      </c>
      <c r="M683" s="18">
        <v>0</v>
      </c>
      <c r="N683" s="18">
        <v>0</v>
      </c>
      <c r="O683" s="18">
        <v>0</v>
      </c>
      <c r="P683" s="18">
        <v>0</v>
      </c>
      <c r="Q683" s="18">
        <v>0</v>
      </c>
      <c r="R683" s="18">
        <v>0</v>
      </c>
      <c r="S683" s="18">
        <v>0</v>
      </c>
      <c r="T683" s="18">
        <v>0</v>
      </c>
      <c r="U683" s="18">
        <v>0</v>
      </c>
      <c r="V683" s="18">
        <v>0</v>
      </c>
      <c r="W683" s="18">
        <v>0</v>
      </c>
      <c r="X683" s="18">
        <v>0</v>
      </c>
      <c r="Y683" s="18">
        <v>0</v>
      </c>
      <c r="Z683" s="18">
        <v>0</v>
      </c>
      <c r="AA683" s="18">
        <v>0</v>
      </c>
      <c r="AB683" s="18">
        <v>0</v>
      </c>
      <c r="AC683" s="18">
        <v>0</v>
      </c>
      <c r="AD683" s="18">
        <v>14</v>
      </c>
      <c r="AE683" s="18">
        <v>15</v>
      </c>
      <c r="AF683" s="18">
        <v>31</v>
      </c>
      <c r="AG683" s="18">
        <v>30</v>
      </c>
      <c r="AH683" s="18">
        <v>89</v>
      </c>
      <c r="AI683" s="18">
        <v>109</v>
      </c>
      <c r="AJ683" s="18">
        <v>144</v>
      </c>
      <c r="AK683" s="18">
        <v>166</v>
      </c>
      <c r="AL683" s="18">
        <v>202</v>
      </c>
      <c r="AM683" s="18">
        <v>253</v>
      </c>
      <c r="AN683" s="18">
        <v>250</v>
      </c>
      <c r="AO683" s="18">
        <v>252</v>
      </c>
      <c r="AP683" s="18">
        <v>254</v>
      </c>
      <c r="AQ683" s="18">
        <v>276</v>
      </c>
      <c r="AR683" s="34">
        <v>291</v>
      </c>
      <c r="AS683" s="34">
        <v>282</v>
      </c>
      <c r="AT683" s="34">
        <v>318</v>
      </c>
      <c r="AU683" s="34">
        <v>348</v>
      </c>
      <c r="AV683" s="34">
        <v>38</v>
      </c>
      <c r="AW683" s="34">
        <v>391</v>
      </c>
      <c r="AX683" s="34">
        <v>405</v>
      </c>
      <c r="AY683" s="34">
        <v>421</v>
      </c>
      <c r="AZ683" s="34">
        <v>179</v>
      </c>
      <c r="BA683" s="34">
        <v>0</v>
      </c>
      <c r="BB683" s="34">
        <v>0</v>
      </c>
      <c r="BC683" s="34">
        <v>0</v>
      </c>
      <c r="BD683" s="34">
        <v>0</v>
      </c>
      <c r="BE683" s="42">
        <v>0</v>
      </c>
      <c r="BF683" s="34">
        <v>0</v>
      </c>
      <c r="BG683" s="34">
        <v>0</v>
      </c>
      <c r="BH683" s="34">
        <v>0</v>
      </c>
      <c r="BI683" s="34">
        <v>0</v>
      </c>
      <c r="BJ683" s="113">
        <v>0</v>
      </c>
      <c r="BK683" s="113">
        <v>0</v>
      </c>
      <c r="BL683" s="113">
        <v>0</v>
      </c>
      <c r="BM683" s="113">
        <v>0</v>
      </c>
      <c r="BN683" s="113">
        <v>0</v>
      </c>
      <c r="BO683" s="113">
        <v>0</v>
      </c>
      <c r="BP683" s="113">
        <v>0</v>
      </c>
      <c r="BQ683" s="113">
        <v>0</v>
      </c>
      <c r="BR683" s="101"/>
      <c r="BS683">
        <f t="shared" si="1311"/>
        <v>0</v>
      </c>
      <c r="BT683">
        <f t="shared" si="1312"/>
        <v>0</v>
      </c>
      <c r="BU683">
        <f t="shared" si="1313"/>
        <v>0</v>
      </c>
      <c r="BV683">
        <f t="shared" si="1314"/>
        <v>0</v>
      </c>
      <c r="BW683">
        <f t="shared" si="1315"/>
        <v>0</v>
      </c>
      <c r="BX683">
        <f t="shared" si="1316"/>
        <v>0</v>
      </c>
      <c r="BY683">
        <f t="shared" si="1317"/>
        <v>0</v>
      </c>
      <c r="BZ683">
        <f t="shared" si="1318"/>
        <v>0</v>
      </c>
      <c r="CA683">
        <f t="shared" si="1319"/>
        <v>0</v>
      </c>
      <c r="CB683">
        <f t="shared" si="1320"/>
        <v>0</v>
      </c>
      <c r="CC683">
        <f t="shared" si="1321"/>
        <v>0</v>
      </c>
      <c r="CD683">
        <f t="shared" si="1322"/>
        <v>0</v>
      </c>
      <c r="CE683">
        <f t="shared" si="1323"/>
        <v>0</v>
      </c>
      <c r="CF683">
        <f t="shared" si="1324"/>
        <v>0</v>
      </c>
      <c r="CG683">
        <f t="shared" si="1325"/>
        <v>0</v>
      </c>
      <c r="CH683">
        <f t="shared" si="1326"/>
        <v>0</v>
      </c>
      <c r="CI683">
        <f t="shared" si="1327"/>
        <v>0</v>
      </c>
      <c r="CJ683">
        <f t="shared" si="1328"/>
        <v>0</v>
      </c>
      <c r="CK683">
        <f t="shared" si="1329"/>
        <v>0</v>
      </c>
      <c r="CL683">
        <f t="shared" si="1330"/>
        <v>0</v>
      </c>
      <c r="CM683">
        <f t="shared" si="1331"/>
        <v>0</v>
      </c>
      <c r="CN683">
        <f t="shared" si="1332"/>
        <v>0</v>
      </c>
      <c r="CO683">
        <f t="shared" si="1333"/>
        <v>0</v>
      </c>
      <c r="CP683">
        <f t="shared" si="1334"/>
        <v>0</v>
      </c>
      <c r="CQ683">
        <f t="shared" si="1335"/>
        <v>0</v>
      </c>
      <c r="CR683">
        <f t="shared" si="1336"/>
        <v>0</v>
      </c>
      <c r="CS683">
        <f t="shared" si="1337"/>
        <v>0</v>
      </c>
      <c r="CT683">
        <f t="shared" si="1338"/>
        <v>0</v>
      </c>
      <c r="CU683">
        <f t="shared" si="1339"/>
        <v>0</v>
      </c>
      <c r="CV683">
        <f t="shared" si="1340"/>
        <v>0</v>
      </c>
      <c r="CW683">
        <f t="shared" si="1341"/>
        <v>0</v>
      </c>
      <c r="CX683">
        <f t="shared" si="1342"/>
        <v>0</v>
      </c>
      <c r="CY683">
        <f t="shared" si="1343"/>
        <v>0</v>
      </c>
      <c r="CZ683">
        <f t="shared" si="1344"/>
        <v>0</v>
      </c>
      <c r="DA683">
        <f t="shared" si="1345"/>
        <v>0</v>
      </c>
      <c r="DB683">
        <f t="shared" si="1346"/>
        <v>0</v>
      </c>
      <c r="DC683">
        <f t="shared" si="1347"/>
        <v>0</v>
      </c>
      <c r="DD683">
        <f t="shared" si="1348"/>
        <v>0</v>
      </c>
      <c r="DE683">
        <f t="shared" si="1349"/>
        <v>0</v>
      </c>
      <c r="DF683">
        <f t="shared" si="1350"/>
        <v>0</v>
      </c>
      <c r="DG683">
        <f t="shared" si="1351"/>
        <v>0</v>
      </c>
      <c r="DH683">
        <f t="shared" si="1352"/>
        <v>0</v>
      </c>
      <c r="DI683">
        <f t="shared" si="1353"/>
        <v>0</v>
      </c>
      <c r="DJ683">
        <f t="shared" si="1354"/>
        <v>0</v>
      </c>
      <c r="DK683">
        <f t="shared" si="1355"/>
        <v>0</v>
      </c>
      <c r="DL683">
        <f t="shared" si="1356"/>
        <v>0</v>
      </c>
      <c r="DM683">
        <f t="shared" si="1357"/>
        <v>0</v>
      </c>
      <c r="DN683">
        <f t="shared" si="1358"/>
        <v>0</v>
      </c>
      <c r="DO683">
        <f t="shared" si="1359"/>
        <v>0</v>
      </c>
      <c r="DP683">
        <f t="shared" si="1360"/>
        <v>0</v>
      </c>
      <c r="DQ683">
        <f t="shared" si="1361"/>
        <v>0</v>
      </c>
      <c r="DR683">
        <f t="shared" si="1362"/>
        <v>0</v>
      </c>
      <c r="DS683">
        <f t="shared" si="1363"/>
        <v>0</v>
      </c>
      <c r="DT683">
        <f t="shared" si="1364"/>
        <v>0</v>
      </c>
      <c r="DU683">
        <f t="shared" si="1365"/>
        <v>0</v>
      </c>
      <c r="DV683">
        <f t="shared" si="1366"/>
        <v>0</v>
      </c>
      <c r="DW683">
        <f t="shared" si="1367"/>
        <v>0</v>
      </c>
      <c r="DX683">
        <f t="shared" si="1368"/>
        <v>0</v>
      </c>
      <c r="DY683">
        <f t="shared" si="1369"/>
        <v>0</v>
      </c>
      <c r="DZ683">
        <f t="shared" si="1370"/>
        <v>0</v>
      </c>
      <c r="EA683">
        <f t="shared" si="1371"/>
        <v>0</v>
      </c>
      <c r="EB683">
        <f t="shared" si="1372"/>
        <v>0</v>
      </c>
      <c r="EC683">
        <f t="shared" si="1373"/>
        <v>0</v>
      </c>
      <c r="ED683">
        <f t="shared" si="1374"/>
        <v>0</v>
      </c>
      <c r="EE683">
        <f t="shared" si="1375"/>
        <v>0</v>
      </c>
      <c r="EF683">
        <f t="shared" si="1375"/>
        <v>0</v>
      </c>
    </row>
    <row r="684" spans="1:136" ht="15.5">
      <c r="A684" s="90"/>
      <c r="B684" s="57" t="s">
        <v>202</v>
      </c>
      <c r="C684" s="95"/>
      <c r="D684" s="18">
        <v>0</v>
      </c>
      <c r="E684" s="18">
        <v>0</v>
      </c>
      <c r="F684" s="18">
        <v>0</v>
      </c>
      <c r="G684" s="18">
        <v>0</v>
      </c>
      <c r="H684" s="18">
        <v>0</v>
      </c>
      <c r="I684" s="18">
        <v>0</v>
      </c>
      <c r="J684" s="18">
        <v>0</v>
      </c>
      <c r="K684" s="18">
        <v>0</v>
      </c>
      <c r="L684" s="18">
        <v>0</v>
      </c>
      <c r="M684" s="18">
        <v>0</v>
      </c>
      <c r="N684" s="18">
        <v>0</v>
      </c>
      <c r="O684" s="18">
        <v>0</v>
      </c>
      <c r="P684" s="18">
        <v>0</v>
      </c>
      <c r="Q684" s="18">
        <v>0</v>
      </c>
      <c r="R684" s="18">
        <v>0</v>
      </c>
      <c r="S684" s="18">
        <v>0</v>
      </c>
      <c r="T684" s="18">
        <v>0</v>
      </c>
      <c r="U684" s="18">
        <v>0</v>
      </c>
      <c r="V684" s="18">
        <v>0</v>
      </c>
      <c r="W684" s="18">
        <v>0</v>
      </c>
      <c r="X684" s="18">
        <v>0</v>
      </c>
      <c r="Y684" s="18">
        <v>0</v>
      </c>
      <c r="Z684" s="18">
        <v>0</v>
      </c>
      <c r="AA684" s="18">
        <v>0</v>
      </c>
      <c r="AB684" s="18">
        <v>0</v>
      </c>
      <c r="AC684" s="18">
        <v>0</v>
      </c>
      <c r="AD684" s="18">
        <v>0</v>
      </c>
      <c r="AE684" s="18">
        <v>0</v>
      </c>
      <c r="AF684" s="18">
        <v>2</v>
      </c>
      <c r="AG684" s="18">
        <v>1</v>
      </c>
      <c r="AH684" s="18">
        <v>5</v>
      </c>
      <c r="AI684" s="18">
        <v>5</v>
      </c>
      <c r="AJ684" s="18">
        <v>6</v>
      </c>
      <c r="AK684" s="18">
        <v>8</v>
      </c>
      <c r="AL684" s="18">
        <v>11</v>
      </c>
      <c r="AM684" s="18">
        <v>13</v>
      </c>
      <c r="AN684" s="18">
        <v>15</v>
      </c>
      <c r="AO684" s="18">
        <v>17</v>
      </c>
      <c r="AP684" s="18">
        <v>19</v>
      </c>
      <c r="AQ684" s="18">
        <v>21</v>
      </c>
      <c r="AR684" s="34">
        <v>24</v>
      </c>
      <c r="AS684" s="34">
        <v>26</v>
      </c>
      <c r="AT684" s="34">
        <v>29</v>
      </c>
      <c r="AU684" s="34">
        <v>33</v>
      </c>
      <c r="AV684" s="34">
        <v>38</v>
      </c>
      <c r="AW684" s="34">
        <v>42</v>
      </c>
      <c r="AX684" s="34">
        <v>46</v>
      </c>
      <c r="AY684" s="34">
        <v>51</v>
      </c>
      <c r="AZ684" s="34">
        <v>0</v>
      </c>
      <c r="BA684" s="34">
        <v>0</v>
      </c>
      <c r="BB684" s="34">
        <v>0</v>
      </c>
      <c r="BC684" s="34">
        <v>0</v>
      </c>
      <c r="BD684" s="34">
        <v>0</v>
      </c>
      <c r="BE684" s="42">
        <v>0</v>
      </c>
      <c r="BF684" s="34">
        <v>0</v>
      </c>
      <c r="BG684" s="34">
        <v>0</v>
      </c>
      <c r="BH684" s="34">
        <v>0</v>
      </c>
      <c r="BI684" s="34">
        <v>0</v>
      </c>
      <c r="BJ684" s="113">
        <v>0</v>
      </c>
      <c r="BK684" s="113">
        <v>0</v>
      </c>
      <c r="BL684" s="113">
        <v>0</v>
      </c>
      <c r="BM684" s="113">
        <v>0</v>
      </c>
      <c r="BN684" s="113">
        <v>0</v>
      </c>
      <c r="BO684" s="113">
        <v>5</v>
      </c>
      <c r="BP684" s="113">
        <v>0</v>
      </c>
      <c r="BQ684" s="113">
        <v>0</v>
      </c>
      <c r="BR684" s="101"/>
      <c r="BS684">
        <f t="shared" si="1311"/>
        <v>0</v>
      </c>
      <c r="BT684">
        <f t="shared" si="1312"/>
        <v>0</v>
      </c>
      <c r="BU684">
        <f t="shared" si="1313"/>
        <v>0</v>
      </c>
      <c r="BV684">
        <f t="shared" si="1314"/>
        <v>0</v>
      </c>
      <c r="BW684">
        <f t="shared" si="1315"/>
        <v>0</v>
      </c>
      <c r="BX684">
        <f t="shared" si="1316"/>
        <v>0</v>
      </c>
      <c r="BY684">
        <f t="shared" si="1317"/>
        <v>0</v>
      </c>
      <c r="BZ684">
        <f t="shared" si="1318"/>
        <v>0</v>
      </c>
      <c r="CA684">
        <f t="shared" si="1319"/>
        <v>0</v>
      </c>
      <c r="CB684">
        <f t="shared" si="1320"/>
        <v>0</v>
      </c>
      <c r="CC684">
        <f t="shared" si="1321"/>
        <v>0</v>
      </c>
      <c r="CD684">
        <f t="shared" si="1322"/>
        <v>0</v>
      </c>
      <c r="CE684">
        <f t="shared" si="1323"/>
        <v>0</v>
      </c>
      <c r="CF684">
        <f t="shared" si="1324"/>
        <v>0</v>
      </c>
      <c r="CG684">
        <f t="shared" si="1325"/>
        <v>0</v>
      </c>
      <c r="CH684">
        <f t="shared" si="1326"/>
        <v>0</v>
      </c>
      <c r="CI684">
        <f t="shared" si="1327"/>
        <v>0</v>
      </c>
      <c r="CJ684">
        <f t="shared" si="1328"/>
        <v>0</v>
      </c>
      <c r="CK684">
        <f t="shared" si="1329"/>
        <v>0</v>
      </c>
      <c r="CL684">
        <f t="shared" si="1330"/>
        <v>0</v>
      </c>
      <c r="CM684">
        <f t="shared" si="1331"/>
        <v>0</v>
      </c>
      <c r="CN684">
        <f t="shared" si="1332"/>
        <v>0</v>
      </c>
      <c r="CO684">
        <f t="shared" si="1333"/>
        <v>0</v>
      </c>
      <c r="CP684">
        <f t="shared" si="1334"/>
        <v>0</v>
      </c>
      <c r="CQ684">
        <f t="shared" si="1335"/>
        <v>0</v>
      </c>
      <c r="CR684">
        <f t="shared" si="1336"/>
        <v>0</v>
      </c>
      <c r="CS684">
        <f t="shared" si="1337"/>
        <v>0</v>
      </c>
      <c r="CT684">
        <f t="shared" si="1338"/>
        <v>0</v>
      </c>
      <c r="CU684">
        <f t="shared" si="1339"/>
        <v>0</v>
      </c>
      <c r="CV684">
        <f t="shared" si="1340"/>
        <v>0</v>
      </c>
      <c r="CW684">
        <f t="shared" si="1341"/>
        <v>0</v>
      </c>
      <c r="CX684">
        <f t="shared" si="1342"/>
        <v>0</v>
      </c>
      <c r="CY684">
        <f t="shared" si="1343"/>
        <v>0</v>
      </c>
      <c r="CZ684">
        <f t="shared" si="1344"/>
        <v>0</v>
      </c>
      <c r="DA684">
        <f t="shared" si="1345"/>
        <v>0</v>
      </c>
      <c r="DB684">
        <f t="shared" si="1346"/>
        <v>0</v>
      </c>
      <c r="DC684">
        <f t="shared" si="1347"/>
        <v>0</v>
      </c>
      <c r="DD684">
        <f t="shared" si="1348"/>
        <v>0</v>
      </c>
      <c r="DE684">
        <f t="shared" si="1349"/>
        <v>0</v>
      </c>
      <c r="DF684">
        <f t="shared" si="1350"/>
        <v>0</v>
      </c>
      <c r="DG684">
        <f t="shared" si="1351"/>
        <v>0</v>
      </c>
      <c r="DH684">
        <f t="shared" si="1352"/>
        <v>0</v>
      </c>
      <c r="DI684">
        <f t="shared" si="1353"/>
        <v>0</v>
      </c>
      <c r="DJ684">
        <f t="shared" si="1354"/>
        <v>0</v>
      </c>
      <c r="DK684">
        <f t="shared" si="1355"/>
        <v>0</v>
      </c>
      <c r="DL684">
        <f t="shared" si="1356"/>
        <v>0</v>
      </c>
      <c r="DM684">
        <f t="shared" si="1357"/>
        <v>0</v>
      </c>
      <c r="DN684">
        <f t="shared" si="1358"/>
        <v>0</v>
      </c>
      <c r="DO684">
        <f t="shared" si="1359"/>
        <v>0</v>
      </c>
      <c r="DP684">
        <f t="shared" si="1360"/>
        <v>0</v>
      </c>
      <c r="DQ684">
        <f t="shared" si="1361"/>
        <v>0</v>
      </c>
      <c r="DR684">
        <f t="shared" si="1362"/>
        <v>0</v>
      </c>
      <c r="DS684">
        <f t="shared" si="1363"/>
        <v>0</v>
      </c>
      <c r="DT684">
        <f t="shared" si="1364"/>
        <v>0</v>
      </c>
      <c r="DU684">
        <f t="shared" si="1365"/>
        <v>0</v>
      </c>
      <c r="DV684">
        <f t="shared" si="1366"/>
        <v>0</v>
      </c>
      <c r="DW684">
        <f t="shared" si="1367"/>
        <v>0</v>
      </c>
      <c r="DX684">
        <f t="shared" si="1368"/>
        <v>0</v>
      </c>
      <c r="DY684">
        <f t="shared" si="1369"/>
        <v>0</v>
      </c>
      <c r="DZ684">
        <f t="shared" si="1370"/>
        <v>0</v>
      </c>
      <c r="EA684">
        <f t="shared" si="1371"/>
        <v>0</v>
      </c>
      <c r="EB684">
        <f t="shared" si="1372"/>
        <v>0</v>
      </c>
      <c r="EC684">
        <f t="shared" si="1373"/>
        <v>0</v>
      </c>
      <c r="ED684">
        <f t="shared" si="1374"/>
        <v>0</v>
      </c>
      <c r="EE684">
        <f t="shared" si="1375"/>
        <v>0</v>
      </c>
      <c r="EF684">
        <f t="shared" si="1375"/>
        <v>0</v>
      </c>
    </row>
    <row r="685" spans="1:136" ht="15.5">
      <c r="A685" s="90"/>
      <c r="B685" s="19" t="s">
        <v>2</v>
      </c>
      <c r="C685" s="95"/>
      <c r="D685" s="34">
        <v>0</v>
      </c>
      <c r="E685" s="34">
        <v>0</v>
      </c>
      <c r="F685" s="34">
        <v>0</v>
      </c>
      <c r="G685" s="34">
        <v>0</v>
      </c>
      <c r="H685" s="34">
        <v>0</v>
      </c>
      <c r="I685" s="34">
        <v>0</v>
      </c>
      <c r="J685" s="34">
        <v>0</v>
      </c>
      <c r="K685" s="34">
        <v>0</v>
      </c>
      <c r="L685" s="34">
        <v>0</v>
      </c>
      <c r="M685" s="34">
        <v>0</v>
      </c>
      <c r="N685" s="34">
        <v>0</v>
      </c>
      <c r="O685" s="34">
        <v>0</v>
      </c>
      <c r="P685" s="34">
        <v>0</v>
      </c>
      <c r="Q685" s="34">
        <v>0</v>
      </c>
      <c r="R685" s="34">
        <v>0</v>
      </c>
      <c r="S685" s="34">
        <v>0</v>
      </c>
      <c r="T685" s="34">
        <v>0</v>
      </c>
      <c r="U685" s="34">
        <v>0</v>
      </c>
      <c r="V685" s="34">
        <v>0</v>
      </c>
      <c r="W685" s="34">
        <v>0</v>
      </c>
      <c r="X685" s="34">
        <v>35</v>
      </c>
      <c r="Y685" s="34">
        <v>30</v>
      </c>
      <c r="Z685" s="40" t="s">
        <v>16</v>
      </c>
      <c r="AA685" s="34">
        <v>19</v>
      </c>
      <c r="AB685" s="34">
        <v>16</v>
      </c>
      <c r="AC685" s="40" t="s">
        <v>16</v>
      </c>
      <c r="AD685" s="40" t="s">
        <v>16</v>
      </c>
      <c r="AE685" s="40" t="s">
        <v>16</v>
      </c>
      <c r="AF685" s="40" t="s">
        <v>16</v>
      </c>
      <c r="AG685" s="40" t="s">
        <v>16</v>
      </c>
      <c r="AH685" s="40" t="s">
        <v>16</v>
      </c>
      <c r="AI685" s="40" t="s">
        <v>16</v>
      </c>
      <c r="AJ685" s="40" t="s">
        <v>16</v>
      </c>
      <c r="AK685" s="40" t="s">
        <v>16</v>
      </c>
      <c r="AL685" s="40" t="s">
        <v>16</v>
      </c>
      <c r="AM685" s="40" t="s">
        <v>16</v>
      </c>
      <c r="AN685" s="40" t="s">
        <v>16</v>
      </c>
      <c r="AO685" s="40" t="s">
        <v>16</v>
      </c>
      <c r="AP685" s="18">
        <v>741</v>
      </c>
      <c r="AQ685" s="18">
        <v>746</v>
      </c>
      <c r="AR685" s="18">
        <v>672</v>
      </c>
      <c r="AS685" s="18">
        <v>683</v>
      </c>
      <c r="AT685" s="18">
        <v>712</v>
      </c>
      <c r="AU685" s="18">
        <v>717</v>
      </c>
      <c r="AV685" s="18">
        <v>720</v>
      </c>
      <c r="AW685" s="40" t="s">
        <v>16</v>
      </c>
      <c r="AX685" s="40" t="s">
        <v>16</v>
      </c>
      <c r="AY685" s="40" t="s">
        <v>16</v>
      </c>
      <c r="AZ685" s="34">
        <v>1043</v>
      </c>
      <c r="BA685" s="40" t="s">
        <v>16</v>
      </c>
      <c r="BB685" s="34">
        <v>1366</v>
      </c>
      <c r="BC685" s="40" t="s">
        <v>16</v>
      </c>
      <c r="BD685" s="34">
        <v>0</v>
      </c>
      <c r="BE685" s="34">
        <v>0</v>
      </c>
      <c r="BF685" s="34">
        <v>0</v>
      </c>
      <c r="BG685" s="34">
        <v>0</v>
      </c>
      <c r="BH685" s="34">
        <v>0</v>
      </c>
      <c r="BI685" s="34">
        <v>0</v>
      </c>
      <c r="BJ685" s="113">
        <v>0</v>
      </c>
      <c r="BK685" s="113">
        <v>0</v>
      </c>
      <c r="BL685" s="113">
        <v>0</v>
      </c>
      <c r="BM685" s="113">
        <v>0</v>
      </c>
      <c r="BN685" s="113">
        <v>0</v>
      </c>
      <c r="BO685" s="113">
        <v>0</v>
      </c>
      <c r="BP685" s="113">
        <v>0</v>
      </c>
      <c r="BQ685" s="113">
        <v>0</v>
      </c>
      <c r="BR685" s="101"/>
      <c r="BS685">
        <f t="shared" si="1311"/>
        <v>0</v>
      </c>
      <c r="BT685">
        <f t="shared" si="1312"/>
        <v>0</v>
      </c>
      <c r="BU685">
        <f t="shared" si="1313"/>
        <v>0</v>
      </c>
      <c r="BV685">
        <f t="shared" si="1314"/>
        <v>0</v>
      </c>
      <c r="BW685">
        <f t="shared" si="1315"/>
        <v>0</v>
      </c>
      <c r="BX685">
        <f t="shared" si="1316"/>
        <v>0</v>
      </c>
      <c r="BY685">
        <f t="shared" si="1317"/>
        <v>0</v>
      </c>
      <c r="BZ685">
        <f t="shared" si="1318"/>
        <v>0</v>
      </c>
      <c r="CA685">
        <f t="shared" si="1319"/>
        <v>0</v>
      </c>
      <c r="CB685">
        <f t="shared" si="1320"/>
        <v>0</v>
      </c>
      <c r="CC685">
        <f t="shared" si="1321"/>
        <v>0</v>
      </c>
      <c r="CD685">
        <f t="shared" si="1322"/>
        <v>0</v>
      </c>
      <c r="CE685">
        <f t="shared" si="1323"/>
        <v>0</v>
      </c>
      <c r="CF685">
        <f t="shared" si="1324"/>
        <v>0</v>
      </c>
      <c r="CG685">
        <f t="shared" si="1325"/>
        <v>0</v>
      </c>
      <c r="CH685">
        <f t="shared" si="1326"/>
        <v>0</v>
      </c>
      <c r="CI685">
        <f t="shared" si="1327"/>
        <v>0</v>
      </c>
      <c r="CJ685">
        <f t="shared" si="1328"/>
        <v>0</v>
      </c>
      <c r="CK685">
        <f t="shared" si="1329"/>
        <v>0</v>
      </c>
      <c r="CL685">
        <f t="shared" si="1330"/>
        <v>0</v>
      </c>
      <c r="CM685">
        <f t="shared" si="1331"/>
        <v>0</v>
      </c>
      <c r="CN685">
        <f t="shared" si="1332"/>
        <v>0</v>
      </c>
      <c r="CO685">
        <f t="shared" si="1333"/>
        <v>0</v>
      </c>
      <c r="CP685">
        <f t="shared" si="1334"/>
        <v>0</v>
      </c>
      <c r="CQ685">
        <f t="shared" si="1335"/>
        <v>0</v>
      </c>
      <c r="CR685">
        <f t="shared" si="1336"/>
        <v>0</v>
      </c>
      <c r="CS685">
        <f t="shared" si="1337"/>
        <v>0</v>
      </c>
      <c r="CT685">
        <f t="shared" si="1338"/>
        <v>0</v>
      </c>
      <c r="CU685">
        <f t="shared" si="1339"/>
        <v>0</v>
      </c>
      <c r="CV685">
        <f t="shared" si="1340"/>
        <v>0</v>
      </c>
      <c r="CW685">
        <f t="shared" si="1341"/>
        <v>0</v>
      </c>
      <c r="CX685">
        <f t="shared" si="1342"/>
        <v>0</v>
      </c>
      <c r="CY685">
        <f t="shared" si="1343"/>
        <v>0</v>
      </c>
      <c r="CZ685">
        <f t="shared" si="1344"/>
        <v>0</v>
      </c>
      <c r="DA685">
        <f t="shared" si="1345"/>
        <v>0</v>
      </c>
      <c r="DB685">
        <f t="shared" si="1346"/>
        <v>0</v>
      </c>
      <c r="DC685">
        <f t="shared" si="1347"/>
        <v>0</v>
      </c>
      <c r="DD685">
        <f t="shared" si="1348"/>
        <v>0</v>
      </c>
      <c r="DE685">
        <f t="shared" si="1349"/>
        <v>0</v>
      </c>
      <c r="DF685">
        <f t="shared" si="1350"/>
        <v>0</v>
      </c>
      <c r="DG685">
        <f t="shared" si="1351"/>
        <v>0</v>
      </c>
      <c r="DH685">
        <f t="shared" si="1352"/>
        <v>0</v>
      </c>
      <c r="DI685">
        <f t="shared" si="1353"/>
        <v>0</v>
      </c>
      <c r="DJ685">
        <f t="shared" si="1354"/>
        <v>0</v>
      </c>
      <c r="DK685">
        <f t="shared" si="1355"/>
        <v>0</v>
      </c>
      <c r="DL685">
        <f t="shared" si="1356"/>
        <v>0</v>
      </c>
      <c r="DM685">
        <f t="shared" si="1357"/>
        <v>0</v>
      </c>
      <c r="DN685">
        <f t="shared" si="1358"/>
        <v>0</v>
      </c>
      <c r="DO685">
        <f t="shared" si="1359"/>
        <v>0</v>
      </c>
      <c r="DP685">
        <f t="shared" si="1360"/>
        <v>0</v>
      </c>
      <c r="DQ685">
        <f t="shared" si="1361"/>
        <v>0</v>
      </c>
      <c r="DR685">
        <f t="shared" si="1362"/>
        <v>0</v>
      </c>
      <c r="DS685">
        <f t="shared" si="1363"/>
        <v>0</v>
      </c>
      <c r="DT685">
        <f t="shared" si="1364"/>
        <v>0</v>
      </c>
      <c r="DU685">
        <f t="shared" si="1365"/>
        <v>0</v>
      </c>
      <c r="DV685">
        <f t="shared" si="1366"/>
        <v>0</v>
      </c>
      <c r="DW685">
        <f t="shared" si="1367"/>
        <v>0</v>
      </c>
      <c r="DX685">
        <f t="shared" si="1368"/>
        <v>0</v>
      </c>
      <c r="DY685">
        <f t="shared" si="1369"/>
        <v>0</v>
      </c>
      <c r="DZ685">
        <f t="shared" si="1370"/>
        <v>0</v>
      </c>
      <c r="EA685">
        <f t="shared" si="1371"/>
        <v>0</v>
      </c>
      <c r="EB685">
        <f t="shared" si="1372"/>
        <v>0</v>
      </c>
      <c r="EC685">
        <f t="shared" si="1373"/>
        <v>0</v>
      </c>
      <c r="ED685">
        <f t="shared" si="1374"/>
        <v>0</v>
      </c>
      <c r="EE685">
        <f t="shared" si="1375"/>
        <v>0</v>
      </c>
      <c r="EF685">
        <f t="shared" si="1375"/>
        <v>0</v>
      </c>
    </row>
    <row r="686" spans="1:136" ht="15.5">
      <c r="A686" s="90"/>
      <c r="B686" s="19" t="s">
        <v>205</v>
      </c>
      <c r="C686" s="95"/>
      <c r="D686" s="34">
        <v>0</v>
      </c>
      <c r="E686" s="34">
        <v>0</v>
      </c>
      <c r="F686" s="34">
        <v>0</v>
      </c>
      <c r="G686" s="34">
        <v>0</v>
      </c>
      <c r="H686" s="34">
        <v>0</v>
      </c>
      <c r="I686" s="34">
        <v>0</v>
      </c>
      <c r="J686" s="34">
        <v>0</v>
      </c>
      <c r="K686" s="34">
        <v>0</v>
      </c>
      <c r="L686" s="34">
        <v>0</v>
      </c>
      <c r="M686" s="34">
        <v>0</v>
      </c>
      <c r="N686" s="34">
        <v>0</v>
      </c>
      <c r="O686" s="34">
        <v>0</v>
      </c>
      <c r="P686" s="34">
        <v>0</v>
      </c>
      <c r="Q686" s="34">
        <v>0</v>
      </c>
      <c r="R686" s="34">
        <v>0</v>
      </c>
      <c r="S686" s="34">
        <v>0</v>
      </c>
      <c r="T686" s="34">
        <v>0</v>
      </c>
      <c r="U686" s="34">
        <v>0</v>
      </c>
      <c r="V686" s="34">
        <v>0</v>
      </c>
      <c r="W686" s="34">
        <v>0</v>
      </c>
      <c r="X686" s="34">
        <v>0</v>
      </c>
      <c r="Y686" s="34">
        <v>0</v>
      </c>
      <c r="Z686" s="71">
        <v>0</v>
      </c>
      <c r="AA686" s="34">
        <v>0</v>
      </c>
      <c r="AB686" s="34">
        <v>0</v>
      </c>
      <c r="AC686" s="18">
        <v>0</v>
      </c>
      <c r="AD686" s="18">
        <v>0</v>
      </c>
      <c r="AE686" s="18">
        <v>0</v>
      </c>
      <c r="AF686" s="18">
        <v>0</v>
      </c>
      <c r="AG686" s="18">
        <v>1.254</v>
      </c>
      <c r="AH686" s="18">
        <v>2.3180000000000001</v>
      </c>
      <c r="AI686" s="18">
        <v>3.4249999999999998</v>
      </c>
      <c r="AJ686" s="18">
        <v>4.4349999999999996</v>
      </c>
      <c r="AK686" s="18">
        <v>5.4450000000000003</v>
      </c>
      <c r="AL686" s="18">
        <v>6.4550000000000001</v>
      </c>
      <c r="AM686" s="18">
        <v>7.4649999999999999</v>
      </c>
      <c r="AN686" s="18">
        <v>8.4749999999999996</v>
      </c>
      <c r="AO686" s="18">
        <v>9.4849999999999994</v>
      </c>
      <c r="AP686" s="18">
        <v>10.442</v>
      </c>
      <c r="AQ686" s="18">
        <v>11.456</v>
      </c>
      <c r="AR686" s="71">
        <v>42.463874200000006</v>
      </c>
      <c r="AS686" s="71">
        <v>148.99036859999998</v>
      </c>
      <c r="AT686" s="71">
        <v>29.494</v>
      </c>
      <c r="AU686" s="71">
        <v>28.708670999999999</v>
      </c>
      <c r="AV686" s="71">
        <v>51.716205200000005</v>
      </c>
      <c r="AW686" s="71">
        <v>25.195499999999999</v>
      </c>
      <c r="AX686" s="71">
        <v>44.414180999999999</v>
      </c>
      <c r="AY686" s="18">
        <v>250.66169819999999</v>
      </c>
      <c r="AZ686" s="34">
        <v>11.1</v>
      </c>
      <c r="BA686" s="18">
        <v>5.0999999999999996</v>
      </c>
      <c r="BB686" s="34">
        <v>0</v>
      </c>
      <c r="BC686" s="34">
        <v>185.62700000000001</v>
      </c>
      <c r="BD686" s="34">
        <v>8.3706344999999995</v>
      </c>
      <c r="BE686" s="42">
        <v>22.986999999999998</v>
      </c>
      <c r="BF686" s="34">
        <v>0</v>
      </c>
      <c r="BG686" s="34">
        <v>0</v>
      </c>
      <c r="BH686" s="34">
        <v>3.7637754999999999</v>
      </c>
      <c r="BI686" s="34">
        <v>395.4111312</v>
      </c>
      <c r="BJ686" s="113">
        <v>0</v>
      </c>
      <c r="BK686" s="113">
        <v>0</v>
      </c>
      <c r="BL686" s="113">
        <v>16</v>
      </c>
      <c r="BM686" s="113">
        <v>0</v>
      </c>
      <c r="BN686" s="113">
        <v>0</v>
      </c>
      <c r="BO686" s="113">
        <v>0</v>
      </c>
      <c r="BP686" s="113">
        <v>5.6280000000000001</v>
      </c>
      <c r="BQ686" s="113">
        <v>6</v>
      </c>
      <c r="BR686" s="101"/>
      <c r="BS686">
        <f t="shared" si="1311"/>
        <v>0</v>
      </c>
      <c r="BT686">
        <f t="shared" si="1312"/>
        <v>0</v>
      </c>
      <c r="BU686">
        <f t="shared" si="1313"/>
        <v>0</v>
      </c>
      <c r="BV686">
        <f t="shared" si="1314"/>
        <v>0</v>
      </c>
      <c r="BW686">
        <f t="shared" si="1315"/>
        <v>0</v>
      </c>
      <c r="BX686">
        <f t="shared" si="1316"/>
        <v>0</v>
      </c>
      <c r="BY686">
        <f t="shared" si="1317"/>
        <v>0</v>
      </c>
      <c r="BZ686">
        <f t="shared" si="1318"/>
        <v>0</v>
      </c>
      <c r="CA686">
        <f t="shared" si="1319"/>
        <v>0</v>
      </c>
      <c r="CB686">
        <f t="shared" si="1320"/>
        <v>0</v>
      </c>
      <c r="CC686">
        <f t="shared" si="1321"/>
        <v>0</v>
      </c>
      <c r="CD686">
        <f t="shared" si="1322"/>
        <v>0</v>
      </c>
      <c r="CE686">
        <f t="shared" si="1323"/>
        <v>0</v>
      </c>
      <c r="CF686">
        <f t="shared" si="1324"/>
        <v>0</v>
      </c>
      <c r="CG686">
        <f t="shared" si="1325"/>
        <v>0</v>
      </c>
      <c r="CH686">
        <f t="shared" si="1326"/>
        <v>0</v>
      </c>
      <c r="CI686">
        <f t="shared" si="1327"/>
        <v>0</v>
      </c>
      <c r="CJ686">
        <f t="shared" si="1328"/>
        <v>0</v>
      </c>
      <c r="CK686">
        <f t="shared" si="1329"/>
        <v>0</v>
      </c>
      <c r="CL686">
        <f t="shared" si="1330"/>
        <v>0</v>
      </c>
      <c r="CM686">
        <f t="shared" si="1331"/>
        <v>0</v>
      </c>
      <c r="CN686">
        <f t="shared" si="1332"/>
        <v>0</v>
      </c>
      <c r="CO686">
        <f t="shared" si="1333"/>
        <v>0</v>
      </c>
      <c r="CP686">
        <f t="shared" si="1334"/>
        <v>0</v>
      </c>
      <c r="CQ686">
        <f t="shared" si="1335"/>
        <v>0</v>
      </c>
      <c r="CR686">
        <f t="shared" si="1336"/>
        <v>0</v>
      </c>
      <c r="CS686">
        <f t="shared" si="1337"/>
        <v>0</v>
      </c>
      <c r="CT686">
        <f t="shared" si="1338"/>
        <v>0</v>
      </c>
      <c r="CU686">
        <f t="shared" si="1339"/>
        <v>0</v>
      </c>
      <c r="CV686">
        <f t="shared" si="1340"/>
        <v>0</v>
      </c>
      <c r="CW686">
        <f t="shared" si="1341"/>
        <v>0</v>
      </c>
      <c r="CX686">
        <f t="shared" si="1342"/>
        <v>0</v>
      </c>
      <c r="CY686">
        <f t="shared" si="1343"/>
        <v>0</v>
      </c>
      <c r="CZ686">
        <f t="shared" si="1344"/>
        <v>0</v>
      </c>
      <c r="DA686">
        <f t="shared" si="1345"/>
        <v>0</v>
      </c>
      <c r="DB686">
        <f t="shared" si="1346"/>
        <v>0</v>
      </c>
      <c r="DC686">
        <f t="shared" si="1347"/>
        <v>0</v>
      </c>
      <c r="DD686">
        <f t="shared" si="1348"/>
        <v>0</v>
      </c>
      <c r="DE686">
        <f t="shared" si="1349"/>
        <v>0</v>
      </c>
      <c r="DF686">
        <f t="shared" si="1350"/>
        <v>0</v>
      </c>
      <c r="DG686">
        <f t="shared" si="1351"/>
        <v>0</v>
      </c>
      <c r="DH686">
        <f t="shared" si="1352"/>
        <v>0</v>
      </c>
      <c r="DI686">
        <f t="shared" si="1353"/>
        <v>0</v>
      </c>
      <c r="DJ686">
        <f t="shared" si="1354"/>
        <v>0</v>
      </c>
      <c r="DK686">
        <f t="shared" si="1355"/>
        <v>0</v>
      </c>
      <c r="DL686">
        <f t="shared" si="1356"/>
        <v>0</v>
      </c>
      <c r="DM686">
        <f t="shared" si="1357"/>
        <v>0</v>
      </c>
      <c r="DN686">
        <f t="shared" si="1358"/>
        <v>0</v>
      </c>
      <c r="DO686">
        <f t="shared" si="1359"/>
        <v>0</v>
      </c>
      <c r="DP686">
        <f t="shared" si="1360"/>
        <v>0</v>
      </c>
      <c r="DQ686">
        <f t="shared" si="1361"/>
        <v>0</v>
      </c>
      <c r="DR686">
        <f t="shared" si="1362"/>
        <v>0</v>
      </c>
      <c r="DS686">
        <f t="shared" si="1363"/>
        <v>0</v>
      </c>
      <c r="DT686">
        <f t="shared" si="1364"/>
        <v>0</v>
      </c>
      <c r="DU686">
        <f t="shared" si="1365"/>
        <v>0</v>
      </c>
      <c r="DV686">
        <f t="shared" si="1366"/>
        <v>0</v>
      </c>
      <c r="DW686">
        <f t="shared" si="1367"/>
        <v>0</v>
      </c>
      <c r="DX686">
        <f t="shared" si="1368"/>
        <v>0</v>
      </c>
      <c r="DY686">
        <f t="shared" si="1369"/>
        <v>0</v>
      </c>
      <c r="DZ686">
        <f t="shared" si="1370"/>
        <v>0</v>
      </c>
      <c r="EA686">
        <f t="shared" si="1371"/>
        <v>0</v>
      </c>
      <c r="EB686">
        <f t="shared" si="1372"/>
        <v>0</v>
      </c>
      <c r="EC686">
        <f t="shared" si="1373"/>
        <v>0</v>
      </c>
      <c r="ED686">
        <f t="shared" si="1374"/>
        <v>0</v>
      </c>
      <c r="EE686">
        <f t="shared" si="1375"/>
        <v>0</v>
      </c>
      <c r="EF686">
        <f t="shared" si="1375"/>
        <v>0</v>
      </c>
    </row>
    <row r="687" spans="1:136" ht="15.5">
      <c r="A687" s="90"/>
      <c r="B687" s="57" t="s">
        <v>3</v>
      </c>
      <c r="C687" s="95"/>
      <c r="D687" s="34">
        <v>0</v>
      </c>
      <c r="E687" s="34">
        <v>0</v>
      </c>
      <c r="F687" s="34">
        <v>0</v>
      </c>
      <c r="G687" s="34">
        <v>46</v>
      </c>
      <c r="H687" s="34">
        <v>0</v>
      </c>
      <c r="I687" s="34">
        <v>0</v>
      </c>
      <c r="J687" s="34">
        <v>0</v>
      </c>
      <c r="K687" s="34">
        <v>0</v>
      </c>
      <c r="L687" s="34">
        <v>100</v>
      </c>
      <c r="M687" s="34">
        <v>5</v>
      </c>
      <c r="N687" s="34">
        <v>0</v>
      </c>
      <c r="O687" s="34">
        <v>7.8E-2</v>
      </c>
      <c r="P687" s="34">
        <v>7.6999999999999999E-2</v>
      </c>
      <c r="Q687" s="34">
        <v>0.13400000000000001</v>
      </c>
      <c r="R687" s="34">
        <v>0.24099999999999999</v>
      </c>
      <c r="S687" s="34">
        <v>4.7E-2</v>
      </c>
      <c r="T687" s="34">
        <v>5.3999999999999999E-2</v>
      </c>
      <c r="U687" s="34">
        <v>0.126</v>
      </c>
      <c r="V687" s="34">
        <v>1.2749999999999999</v>
      </c>
      <c r="W687" s="34">
        <v>1.7979999999999998</v>
      </c>
      <c r="X687" s="40" t="s">
        <v>16</v>
      </c>
      <c r="Y687" s="40" t="s">
        <v>16</v>
      </c>
      <c r="Z687" s="34">
        <v>10.347000000000001</v>
      </c>
      <c r="AA687" s="40" t="s">
        <v>16</v>
      </c>
      <c r="AB687" s="40" t="s">
        <v>16</v>
      </c>
      <c r="AC687" s="34">
        <v>58.823000000000008</v>
      </c>
      <c r="AD687" s="34">
        <f>210.219-AD683</f>
        <v>196.21899999999999</v>
      </c>
      <c r="AE687" s="34">
        <f>653-AE683</f>
        <v>638</v>
      </c>
      <c r="AF687" s="34">
        <f>863-AF683-AF684</f>
        <v>830</v>
      </c>
      <c r="AG687" s="34">
        <f>210.219-AG683-AG684-AG686</f>
        <v>177.965</v>
      </c>
      <c r="AH687" s="34">
        <f>781-AH683-AH684-AH686</f>
        <v>684.68200000000002</v>
      </c>
      <c r="AI687" s="34">
        <f>929-AI683-AI684-AI686</f>
        <v>811.57500000000005</v>
      </c>
      <c r="AJ687" s="34">
        <f>931-AJ683-AJ684-AJ686</f>
        <v>776.56500000000005</v>
      </c>
      <c r="AK687" s="34">
        <f>973-AK683-AK684-AK686</f>
        <v>793.55499999999995</v>
      </c>
      <c r="AL687" s="34">
        <f>1105-AL683-AL684-AL686</f>
        <v>885.54499999999996</v>
      </c>
      <c r="AM687" s="34">
        <f>1212-AM683-AM684-AM686</f>
        <v>938.53499999999997</v>
      </c>
      <c r="AN687" s="34">
        <f>1224-AN683-AN684-AN686</f>
        <v>950.52499999999998</v>
      </c>
      <c r="AO687" s="18">
        <f>1215-AO683-AO684-AO686</f>
        <v>936.51499999999999</v>
      </c>
      <c r="AP687" s="18">
        <f>1299-AP683-AP684-AP685-AP686</f>
        <v>274.55799999999999</v>
      </c>
      <c r="AQ687" s="18">
        <f>1312-AQ683-AQ684-AQ685-AQ686</f>
        <v>257.54399999999998</v>
      </c>
      <c r="AR687" s="18">
        <f>1538.5176541-AR685-AR684-AR683-AR686</f>
        <v>509.05377990000005</v>
      </c>
      <c r="AS687" s="18">
        <f>1856.3269677-AS685-AS684-AS683-AS686</f>
        <v>716.33659910000006</v>
      </c>
      <c r="AT687" s="18">
        <f>1906.5133999-AT685-AT684-AT683-AT686</f>
        <v>818.01939989999994</v>
      </c>
      <c r="AU687" s="18">
        <f>2143.4740561-AU685-AU684-AU683-AU686</f>
        <v>1016.7653850999999</v>
      </c>
      <c r="AV687" s="18">
        <f>2281.2851429-AV685-AV684-AV683-AV686</f>
        <v>1433.5689377000001</v>
      </c>
      <c r="AW687" s="18">
        <f>2350.0813093-AW684-AW683-AW686</f>
        <v>1891.8858093000001</v>
      </c>
      <c r="AX687" s="18">
        <f>2569.7374589-AX683-AX684-AX686</f>
        <v>2074.3232779</v>
      </c>
      <c r="AY687" s="18">
        <f>2140.5868765-AY683-AY684-AY686</f>
        <v>1417.9251783</v>
      </c>
      <c r="AZ687" s="40" t="s">
        <v>16</v>
      </c>
      <c r="BA687" s="34">
        <f>511.1849824-BA686</f>
        <v>506.0849824</v>
      </c>
      <c r="BB687" s="18">
        <f>1626.4672642-BB685</f>
        <v>260.46726420000005</v>
      </c>
      <c r="BC687" s="40" t="s">
        <v>16</v>
      </c>
      <c r="BD687" s="34">
        <f>121.0419436-BD686</f>
        <v>112.6713091</v>
      </c>
      <c r="BE687" s="42">
        <f>92.0247927-BE686</f>
        <v>69.037792700000011</v>
      </c>
      <c r="BF687" s="18">
        <v>78.614834500000001</v>
      </c>
      <c r="BG687" s="18">
        <v>78.596000000000004</v>
      </c>
      <c r="BH687" s="18">
        <f>78.596-BH686</f>
        <v>74.832224500000009</v>
      </c>
      <c r="BI687" s="40" t="s">
        <v>16</v>
      </c>
      <c r="BJ687" s="71">
        <v>75.876000000000005</v>
      </c>
      <c r="BK687" s="40">
        <v>5.6695800000000005E-2</v>
      </c>
      <c r="BL687" s="71">
        <v>0</v>
      </c>
      <c r="BM687" s="113">
        <v>0</v>
      </c>
      <c r="BN687" s="113">
        <v>0</v>
      </c>
      <c r="BO687" s="113">
        <v>0</v>
      </c>
      <c r="BP687" s="113">
        <v>1</v>
      </c>
      <c r="BQ687" s="113">
        <v>0</v>
      </c>
      <c r="BR687" s="101"/>
      <c r="BS687">
        <f t="shared" si="1311"/>
        <v>0</v>
      </c>
      <c r="BT687">
        <f t="shared" si="1312"/>
        <v>0</v>
      </c>
      <c r="BU687">
        <f t="shared" si="1313"/>
        <v>0</v>
      </c>
      <c r="BV687">
        <f t="shared" si="1314"/>
        <v>0</v>
      </c>
      <c r="BW687">
        <f t="shared" si="1315"/>
        <v>0</v>
      </c>
      <c r="BX687">
        <f t="shared" si="1316"/>
        <v>0</v>
      </c>
      <c r="BY687">
        <f t="shared" si="1317"/>
        <v>0</v>
      </c>
      <c r="BZ687">
        <f t="shared" si="1318"/>
        <v>0</v>
      </c>
      <c r="CA687">
        <f t="shared" si="1319"/>
        <v>0</v>
      </c>
      <c r="CB687">
        <f t="shared" si="1320"/>
        <v>0</v>
      </c>
      <c r="CC687">
        <f t="shared" si="1321"/>
        <v>0</v>
      </c>
      <c r="CD687">
        <f t="shared" si="1322"/>
        <v>0</v>
      </c>
      <c r="CE687">
        <f t="shared" si="1323"/>
        <v>0</v>
      </c>
      <c r="CF687">
        <f t="shared" si="1324"/>
        <v>0</v>
      </c>
      <c r="CG687">
        <f t="shared" si="1325"/>
        <v>0</v>
      </c>
      <c r="CH687">
        <f t="shared" si="1326"/>
        <v>0</v>
      </c>
      <c r="CI687">
        <f t="shared" si="1327"/>
        <v>0</v>
      </c>
      <c r="CJ687">
        <f t="shared" si="1328"/>
        <v>0</v>
      </c>
      <c r="CK687">
        <f t="shared" si="1329"/>
        <v>0</v>
      </c>
      <c r="CL687">
        <f t="shared" si="1330"/>
        <v>0</v>
      </c>
      <c r="CM687">
        <f t="shared" si="1331"/>
        <v>0</v>
      </c>
      <c r="CN687">
        <f t="shared" si="1332"/>
        <v>0</v>
      </c>
      <c r="CO687">
        <f t="shared" si="1333"/>
        <v>0</v>
      </c>
      <c r="CP687">
        <f t="shared" si="1334"/>
        <v>0</v>
      </c>
      <c r="CQ687">
        <f t="shared" si="1335"/>
        <v>0</v>
      </c>
      <c r="CR687">
        <f t="shared" si="1336"/>
        <v>0</v>
      </c>
      <c r="CS687">
        <f t="shared" si="1337"/>
        <v>0</v>
      </c>
      <c r="CT687">
        <f t="shared" si="1338"/>
        <v>0</v>
      </c>
      <c r="CU687">
        <f t="shared" si="1339"/>
        <v>0</v>
      </c>
      <c r="CV687">
        <f t="shared" si="1340"/>
        <v>0</v>
      </c>
      <c r="CW687">
        <f t="shared" si="1341"/>
        <v>0</v>
      </c>
      <c r="CX687">
        <f t="shared" si="1342"/>
        <v>0</v>
      </c>
      <c r="CY687">
        <f t="shared" si="1343"/>
        <v>0</v>
      </c>
      <c r="CZ687">
        <f t="shared" si="1344"/>
        <v>0</v>
      </c>
      <c r="DA687">
        <f t="shared" si="1345"/>
        <v>0</v>
      </c>
      <c r="DB687">
        <f t="shared" si="1346"/>
        <v>0</v>
      </c>
      <c r="DC687">
        <f t="shared" si="1347"/>
        <v>0</v>
      </c>
      <c r="DD687">
        <f t="shared" si="1348"/>
        <v>0</v>
      </c>
      <c r="DE687">
        <f t="shared" si="1349"/>
        <v>0</v>
      </c>
      <c r="DF687">
        <f t="shared" si="1350"/>
        <v>0</v>
      </c>
      <c r="DG687">
        <f t="shared" si="1351"/>
        <v>0</v>
      </c>
      <c r="DH687">
        <f t="shared" si="1352"/>
        <v>0</v>
      </c>
      <c r="DI687">
        <f t="shared" si="1353"/>
        <v>0</v>
      </c>
      <c r="DJ687">
        <f t="shared" si="1354"/>
        <v>0</v>
      </c>
      <c r="DK687">
        <f t="shared" si="1355"/>
        <v>0</v>
      </c>
      <c r="DL687">
        <f t="shared" si="1356"/>
        <v>0</v>
      </c>
      <c r="DM687">
        <f t="shared" si="1357"/>
        <v>0</v>
      </c>
      <c r="DN687">
        <f t="shared" si="1358"/>
        <v>0</v>
      </c>
      <c r="DO687">
        <f t="shared" si="1359"/>
        <v>0</v>
      </c>
      <c r="DP687">
        <f t="shared" si="1360"/>
        <v>0</v>
      </c>
      <c r="DQ687">
        <f t="shared" si="1361"/>
        <v>0</v>
      </c>
      <c r="DR687">
        <f t="shared" si="1362"/>
        <v>0</v>
      </c>
      <c r="DS687">
        <f t="shared" si="1363"/>
        <v>0</v>
      </c>
      <c r="DT687">
        <f t="shared" si="1364"/>
        <v>0</v>
      </c>
      <c r="DU687">
        <f t="shared" si="1365"/>
        <v>0</v>
      </c>
      <c r="DV687">
        <f t="shared" si="1366"/>
        <v>0</v>
      </c>
      <c r="DW687">
        <f t="shared" si="1367"/>
        <v>0</v>
      </c>
      <c r="DX687">
        <f t="shared" si="1368"/>
        <v>0</v>
      </c>
      <c r="DY687">
        <f t="shared" si="1369"/>
        <v>0</v>
      </c>
      <c r="DZ687">
        <f t="shared" si="1370"/>
        <v>0</v>
      </c>
      <c r="EA687">
        <f t="shared" si="1371"/>
        <v>0</v>
      </c>
      <c r="EB687">
        <f t="shared" si="1372"/>
        <v>0</v>
      </c>
      <c r="EC687">
        <f t="shared" si="1373"/>
        <v>0</v>
      </c>
      <c r="ED687">
        <f t="shared" si="1374"/>
        <v>0</v>
      </c>
      <c r="EE687">
        <f t="shared" si="1375"/>
        <v>0</v>
      </c>
      <c r="EF687">
        <f t="shared" si="1375"/>
        <v>0</v>
      </c>
    </row>
    <row r="688" spans="1:136" ht="15.5">
      <c r="A688" s="90"/>
      <c r="B688" s="19" t="s">
        <v>18</v>
      </c>
      <c r="C688" s="95"/>
      <c r="D688" s="18">
        <v>0</v>
      </c>
      <c r="E688" s="18">
        <v>0</v>
      </c>
      <c r="F688" s="18">
        <v>0</v>
      </c>
      <c r="G688" s="18">
        <v>16</v>
      </c>
      <c r="H688" s="18">
        <v>0</v>
      </c>
      <c r="I688" s="18">
        <v>0</v>
      </c>
      <c r="J688" s="18">
        <v>0</v>
      </c>
      <c r="K688" s="18">
        <v>0</v>
      </c>
      <c r="L688" s="18">
        <v>12</v>
      </c>
      <c r="M688" s="18">
        <v>0</v>
      </c>
      <c r="N688" s="18">
        <v>0</v>
      </c>
      <c r="O688" s="18">
        <v>0</v>
      </c>
      <c r="P688" s="18">
        <v>0</v>
      </c>
      <c r="Q688" s="18">
        <v>0</v>
      </c>
      <c r="R688" s="18">
        <v>0</v>
      </c>
      <c r="S688" s="18">
        <v>0</v>
      </c>
      <c r="T688" s="18">
        <v>0</v>
      </c>
      <c r="U688" s="18">
        <v>0</v>
      </c>
      <c r="V688" s="18">
        <v>0</v>
      </c>
      <c r="W688" s="18">
        <v>0</v>
      </c>
      <c r="X688" s="40" t="s">
        <v>16</v>
      </c>
      <c r="Y688" s="18">
        <v>1.6</v>
      </c>
      <c r="Z688" s="18">
        <v>30</v>
      </c>
      <c r="AA688" s="18">
        <v>35</v>
      </c>
      <c r="AB688" s="40" t="s">
        <v>16</v>
      </c>
      <c r="AC688" s="40" t="s">
        <v>16</v>
      </c>
      <c r="AD688" s="40" t="s">
        <v>16</v>
      </c>
      <c r="AE688" s="40" t="s">
        <v>16</v>
      </c>
      <c r="AF688" s="40" t="s">
        <v>16</v>
      </c>
      <c r="AG688" s="40" t="s">
        <v>16</v>
      </c>
      <c r="AH688" s="40" t="s">
        <v>16</v>
      </c>
      <c r="AI688" s="40" t="s">
        <v>16</v>
      </c>
      <c r="AJ688" s="40" t="s">
        <v>16</v>
      </c>
      <c r="AK688" s="40" t="s">
        <v>16</v>
      </c>
      <c r="AL688" s="40" t="s">
        <v>16</v>
      </c>
      <c r="AM688" s="40" t="s">
        <v>16</v>
      </c>
      <c r="AN688" s="40" t="s">
        <v>16</v>
      </c>
      <c r="AO688" s="40" t="s">
        <v>16</v>
      </c>
      <c r="AP688" s="40" t="s">
        <v>16</v>
      </c>
      <c r="AQ688" s="40" t="s">
        <v>16</v>
      </c>
      <c r="AR688" s="40" t="s">
        <v>16</v>
      </c>
      <c r="AS688" s="40" t="s">
        <v>16</v>
      </c>
      <c r="AT688" s="40" t="s">
        <v>16</v>
      </c>
      <c r="AU688" s="40" t="s">
        <v>16</v>
      </c>
      <c r="AV688" s="40" t="s">
        <v>16</v>
      </c>
      <c r="AW688" s="40" t="s">
        <v>16</v>
      </c>
      <c r="AX688" s="40" t="s">
        <v>16</v>
      </c>
      <c r="AY688" s="40" t="s">
        <v>16</v>
      </c>
      <c r="AZ688" s="40" t="s">
        <v>16</v>
      </c>
      <c r="BA688" s="18">
        <v>1234</v>
      </c>
      <c r="BB688" s="18">
        <v>1257</v>
      </c>
      <c r="BC688" s="18">
        <v>0</v>
      </c>
      <c r="BD688" s="18">
        <v>0</v>
      </c>
      <c r="BE688" s="18">
        <v>0</v>
      </c>
      <c r="BF688" s="18">
        <v>0</v>
      </c>
      <c r="BG688" s="18">
        <v>0</v>
      </c>
      <c r="BH688" s="113">
        <v>0</v>
      </c>
      <c r="BI688" s="113">
        <v>0</v>
      </c>
      <c r="BJ688" s="113">
        <v>0</v>
      </c>
      <c r="BK688" s="113">
        <v>0</v>
      </c>
      <c r="BL688" s="113">
        <v>0</v>
      </c>
      <c r="BM688" s="113">
        <v>0</v>
      </c>
      <c r="BN688" s="113">
        <v>0</v>
      </c>
      <c r="BO688" s="113">
        <v>0</v>
      </c>
      <c r="BP688" s="113">
        <v>0</v>
      </c>
      <c r="BQ688" s="113">
        <v>0</v>
      </c>
      <c r="BR688" s="101"/>
      <c r="BS688">
        <f t="shared" si="1311"/>
        <v>0</v>
      </c>
      <c r="BT688">
        <f t="shared" si="1312"/>
        <v>0</v>
      </c>
      <c r="BU688">
        <f t="shared" si="1313"/>
        <v>0</v>
      </c>
      <c r="BV688">
        <f t="shared" si="1314"/>
        <v>0</v>
      </c>
      <c r="BW688">
        <f t="shared" si="1315"/>
        <v>0</v>
      </c>
      <c r="BX688">
        <f t="shared" si="1316"/>
        <v>0</v>
      </c>
      <c r="BY688">
        <f t="shared" si="1317"/>
        <v>0</v>
      </c>
      <c r="BZ688">
        <f t="shared" si="1318"/>
        <v>0</v>
      </c>
      <c r="CA688">
        <f t="shared" si="1319"/>
        <v>0</v>
      </c>
      <c r="CB688">
        <f t="shared" si="1320"/>
        <v>0</v>
      </c>
      <c r="CC688">
        <f t="shared" si="1321"/>
        <v>0</v>
      </c>
      <c r="CD688">
        <f t="shared" si="1322"/>
        <v>0</v>
      </c>
      <c r="CE688">
        <f t="shared" si="1323"/>
        <v>0</v>
      </c>
      <c r="CF688">
        <f t="shared" si="1324"/>
        <v>0</v>
      </c>
      <c r="CG688">
        <f t="shared" si="1325"/>
        <v>0</v>
      </c>
      <c r="CH688">
        <f t="shared" si="1326"/>
        <v>0</v>
      </c>
      <c r="CI688">
        <f t="shared" si="1327"/>
        <v>0</v>
      </c>
      <c r="CJ688">
        <f t="shared" si="1328"/>
        <v>0</v>
      </c>
      <c r="CK688">
        <f t="shared" si="1329"/>
        <v>0</v>
      </c>
      <c r="CL688">
        <f t="shared" si="1330"/>
        <v>0</v>
      </c>
      <c r="CM688">
        <f t="shared" si="1331"/>
        <v>0</v>
      </c>
      <c r="CN688">
        <f t="shared" si="1332"/>
        <v>0</v>
      </c>
      <c r="CO688">
        <f t="shared" si="1333"/>
        <v>0</v>
      </c>
      <c r="CP688">
        <f t="shared" si="1334"/>
        <v>0</v>
      </c>
      <c r="CQ688">
        <f t="shared" si="1335"/>
        <v>0</v>
      </c>
      <c r="CR688">
        <f t="shared" si="1336"/>
        <v>0</v>
      </c>
      <c r="CS688">
        <f t="shared" si="1337"/>
        <v>0</v>
      </c>
      <c r="CT688">
        <f t="shared" si="1338"/>
        <v>0</v>
      </c>
      <c r="CU688">
        <f t="shared" si="1339"/>
        <v>0</v>
      </c>
      <c r="CV688">
        <f t="shared" si="1340"/>
        <v>0</v>
      </c>
      <c r="CW688">
        <f t="shared" si="1341"/>
        <v>0</v>
      </c>
      <c r="CX688">
        <f t="shared" si="1342"/>
        <v>0</v>
      </c>
      <c r="CY688">
        <f t="shared" si="1343"/>
        <v>0</v>
      </c>
      <c r="CZ688">
        <f t="shared" si="1344"/>
        <v>0</v>
      </c>
      <c r="DA688">
        <f t="shared" si="1345"/>
        <v>0</v>
      </c>
      <c r="DB688">
        <f t="shared" si="1346"/>
        <v>0</v>
      </c>
      <c r="DC688">
        <f t="shared" si="1347"/>
        <v>0</v>
      </c>
      <c r="DD688">
        <f t="shared" si="1348"/>
        <v>0</v>
      </c>
      <c r="DE688">
        <f t="shared" si="1349"/>
        <v>0</v>
      </c>
      <c r="DF688">
        <f t="shared" si="1350"/>
        <v>0</v>
      </c>
      <c r="DG688">
        <f t="shared" si="1351"/>
        <v>0</v>
      </c>
      <c r="DH688">
        <f t="shared" si="1352"/>
        <v>0</v>
      </c>
      <c r="DI688">
        <f t="shared" si="1353"/>
        <v>0</v>
      </c>
      <c r="DJ688">
        <f t="shared" si="1354"/>
        <v>0</v>
      </c>
      <c r="DK688">
        <f t="shared" si="1355"/>
        <v>0</v>
      </c>
      <c r="DL688">
        <f t="shared" si="1356"/>
        <v>0</v>
      </c>
      <c r="DM688">
        <f t="shared" si="1357"/>
        <v>0</v>
      </c>
      <c r="DN688">
        <f t="shared" si="1358"/>
        <v>0</v>
      </c>
      <c r="DO688">
        <f t="shared" si="1359"/>
        <v>0</v>
      </c>
      <c r="DP688">
        <f t="shared" si="1360"/>
        <v>0</v>
      </c>
      <c r="DQ688">
        <f t="shared" si="1361"/>
        <v>0</v>
      </c>
      <c r="DR688">
        <f t="shared" si="1362"/>
        <v>0</v>
      </c>
      <c r="DS688">
        <f t="shared" si="1363"/>
        <v>0</v>
      </c>
      <c r="DT688">
        <f t="shared" si="1364"/>
        <v>0</v>
      </c>
      <c r="DU688">
        <f t="shared" si="1365"/>
        <v>0</v>
      </c>
      <c r="DV688">
        <f t="shared" si="1366"/>
        <v>0</v>
      </c>
      <c r="DW688">
        <f t="shared" si="1367"/>
        <v>0</v>
      </c>
      <c r="DX688">
        <f t="shared" si="1368"/>
        <v>0</v>
      </c>
      <c r="DY688">
        <f t="shared" si="1369"/>
        <v>0</v>
      </c>
      <c r="DZ688">
        <f t="shared" si="1370"/>
        <v>0</v>
      </c>
      <c r="EA688">
        <f t="shared" si="1371"/>
        <v>0</v>
      </c>
      <c r="EB688">
        <f t="shared" si="1372"/>
        <v>0</v>
      </c>
      <c r="EC688">
        <f t="shared" si="1373"/>
        <v>0</v>
      </c>
      <c r="ED688">
        <f t="shared" si="1374"/>
        <v>0</v>
      </c>
      <c r="EE688">
        <f t="shared" si="1375"/>
        <v>0</v>
      </c>
      <c r="EF688">
        <f t="shared" si="1375"/>
        <v>0</v>
      </c>
    </row>
    <row r="689" spans="1:136" ht="15.5">
      <c r="A689" s="90"/>
      <c r="B689" s="19" t="s">
        <v>208</v>
      </c>
      <c r="C689" s="95"/>
      <c r="D689" s="34">
        <v>0</v>
      </c>
      <c r="E689" s="34">
        <v>0</v>
      </c>
      <c r="F689" s="34">
        <v>0</v>
      </c>
      <c r="G689" s="34">
        <v>60</v>
      </c>
      <c r="H689" s="34">
        <v>0</v>
      </c>
      <c r="I689" s="34">
        <v>0</v>
      </c>
      <c r="J689" s="34">
        <v>0</v>
      </c>
      <c r="K689" s="34">
        <v>0</v>
      </c>
      <c r="L689" s="34">
        <v>0</v>
      </c>
      <c r="M689" s="34">
        <v>0</v>
      </c>
      <c r="N689" s="34">
        <v>0</v>
      </c>
      <c r="O689" s="34">
        <v>0</v>
      </c>
      <c r="P689" s="34">
        <v>0</v>
      </c>
      <c r="Q689" s="34">
        <v>0</v>
      </c>
      <c r="R689" s="34">
        <v>0</v>
      </c>
      <c r="S689" s="34">
        <v>0</v>
      </c>
      <c r="T689" s="34">
        <v>0</v>
      </c>
      <c r="U689" s="34">
        <v>0</v>
      </c>
      <c r="V689" s="34">
        <v>0</v>
      </c>
      <c r="W689" s="34">
        <v>0</v>
      </c>
      <c r="X689" s="34">
        <v>2.2999999999999998</v>
      </c>
      <c r="Y689" s="34">
        <v>12.3</v>
      </c>
      <c r="Z689" s="34">
        <v>20.3</v>
      </c>
      <c r="AA689" s="34">
        <f>52.3-35</f>
        <v>17.299999999999997</v>
      </c>
      <c r="AB689" s="34">
        <v>86.3</v>
      </c>
      <c r="AC689" s="34">
        <v>129.80000000000001</v>
      </c>
      <c r="AD689" s="34">
        <v>289</v>
      </c>
      <c r="AE689" s="34">
        <v>370.9</v>
      </c>
      <c r="AF689" s="34">
        <v>406.4</v>
      </c>
      <c r="AG689" s="34">
        <v>455.5</v>
      </c>
      <c r="AH689" s="34">
        <v>500.29999999999995</v>
      </c>
      <c r="AI689" s="34">
        <v>543.4</v>
      </c>
      <c r="AJ689" s="34">
        <v>581.20000000000005</v>
      </c>
      <c r="AK689" s="34">
        <v>613.42196369999999</v>
      </c>
      <c r="AL689" s="34">
        <v>652.9</v>
      </c>
      <c r="AM689" s="34">
        <v>682.7</v>
      </c>
      <c r="AN689" s="34">
        <v>730.4</v>
      </c>
      <c r="AO689" s="34">
        <v>775.1</v>
      </c>
      <c r="AP689" s="34">
        <v>852.90000000000009</v>
      </c>
      <c r="AQ689" s="34">
        <v>886.1</v>
      </c>
      <c r="AR689" s="34">
        <v>1000.6969932999999</v>
      </c>
      <c r="AS689" s="34">
        <v>1045.7600633</v>
      </c>
      <c r="AT689" s="34">
        <v>1136.8142435999998</v>
      </c>
      <c r="AU689" s="34">
        <v>1244.7331507000001</v>
      </c>
      <c r="AV689" s="34">
        <v>1329.8733557999999</v>
      </c>
      <c r="AW689" s="34">
        <v>1378.7213415000001</v>
      </c>
      <c r="AX689" s="34">
        <v>1435.9910424</v>
      </c>
      <c r="AY689" s="34">
        <v>1507.7772399</v>
      </c>
      <c r="AZ689" s="34">
        <v>1529.3196047000001</v>
      </c>
      <c r="BA689" s="34">
        <v>20.5</v>
      </c>
      <c r="BB689" s="34">
        <v>0</v>
      </c>
      <c r="BC689" s="34">
        <v>0</v>
      </c>
      <c r="BD689" s="34">
        <v>0</v>
      </c>
      <c r="BE689" s="42">
        <v>0</v>
      </c>
      <c r="BF689" s="34">
        <v>0</v>
      </c>
      <c r="BG689" s="34">
        <v>0</v>
      </c>
      <c r="BH689" s="18">
        <v>0</v>
      </c>
      <c r="BI689" s="18">
        <v>0</v>
      </c>
      <c r="BJ689" s="113">
        <v>0</v>
      </c>
      <c r="BK689" s="113">
        <v>0</v>
      </c>
      <c r="BL689" s="113">
        <v>0</v>
      </c>
      <c r="BM689" s="113">
        <v>0</v>
      </c>
      <c r="BN689" s="113">
        <v>0</v>
      </c>
      <c r="BO689" s="113">
        <v>0</v>
      </c>
      <c r="BP689" s="113">
        <v>0</v>
      </c>
      <c r="BQ689" s="113">
        <v>0</v>
      </c>
      <c r="BR689" s="101"/>
      <c r="BS689">
        <f t="shared" si="1311"/>
        <v>0</v>
      </c>
      <c r="BT689">
        <f t="shared" si="1312"/>
        <v>0</v>
      </c>
      <c r="BU689">
        <f t="shared" si="1313"/>
        <v>0</v>
      </c>
      <c r="BV689">
        <f t="shared" si="1314"/>
        <v>0</v>
      </c>
      <c r="BW689">
        <f t="shared" si="1315"/>
        <v>0</v>
      </c>
      <c r="BX689">
        <f t="shared" si="1316"/>
        <v>0</v>
      </c>
      <c r="BY689">
        <f t="shared" si="1317"/>
        <v>0</v>
      </c>
      <c r="BZ689">
        <f t="shared" si="1318"/>
        <v>0</v>
      </c>
      <c r="CA689">
        <f t="shared" si="1319"/>
        <v>0</v>
      </c>
      <c r="CB689">
        <f t="shared" si="1320"/>
        <v>0</v>
      </c>
      <c r="CC689">
        <f t="shared" si="1321"/>
        <v>0</v>
      </c>
      <c r="CD689">
        <f t="shared" si="1322"/>
        <v>0</v>
      </c>
      <c r="CE689">
        <f t="shared" si="1323"/>
        <v>0</v>
      </c>
      <c r="CF689">
        <f t="shared" si="1324"/>
        <v>0</v>
      </c>
      <c r="CG689">
        <f t="shared" si="1325"/>
        <v>0</v>
      </c>
      <c r="CH689">
        <f t="shared" si="1326"/>
        <v>0</v>
      </c>
      <c r="CI689">
        <f t="shared" si="1327"/>
        <v>0</v>
      </c>
      <c r="CJ689">
        <f t="shared" si="1328"/>
        <v>0</v>
      </c>
      <c r="CK689">
        <f t="shared" si="1329"/>
        <v>0</v>
      </c>
      <c r="CL689">
        <f t="shared" si="1330"/>
        <v>0</v>
      </c>
      <c r="CM689">
        <f t="shared" si="1331"/>
        <v>0</v>
      </c>
      <c r="CN689">
        <f t="shared" si="1332"/>
        <v>0</v>
      </c>
      <c r="CO689">
        <f t="shared" si="1333"/>
        <v>0</v>
      </c>
      <c r="CP689">
        <f t="shared" si="1334"/>
        <v>0</v>
      </c>
      <c r="CQ689">
        <f t="shared" si="1335"/>
        <v>0</v>
      </c>
      <c r="CR689">
        <f t="shared" si="1336"/>
        <v>0</v>
      </c>
      <c r="CS689">
        <f t="shared" si="1337"/>
        <v>0</v>
      </c>
      <c r="CT689">
        <f t="shared" si="1338"/>
        <v>0</v>
      </c>
      <c r="CU689">
        <f t="shared" si="1339"/>
        <v>0</v>
      </c>
      <c r="CV689">
        <f t="shared" si="1340"/>
        <v>0</v>
      </c>
      <c r="CW689">
        <f t="shared" si="1341"/>
        <v>0</v>
      </c>
      <c r="CX689">
        <f t="shared" si="1342"/>
        <v>0</v>
      </c>
      <c r="CY689">
        <f t="shared" si="1343"/>
        <v>0</v>
      </c>
      <c r="CZ689">
        <f t="shared" si="1344"/>
        <v>0</v>
      </c>
      <c r="DA689">
        <f t="shared" si="1345"/>
        <v>0</v>
      </c>
      <c r="DB689">
        <f t="shared" si="1346"/>
        <v>0</v>
      </c>
      <c r="DC689">
        <f t="shared" si="1347"/>
        <v>0</v>
      </c>
      <c r="DD689">
        <f t="shared" si="1348"/>
        <v>0</v>
      </c>
      <c r="DE689">
        <f t="shared" si="1349"/>
        <v>0</v>
      </c>
      <c r="DF689">
        <f t="shared" si="1350"/>
        <v>0</v>
      </c>
      <c r="DG689">
        <f t="shared" si="1351"/>
        <v>0</v>
      </c>
      <c r="DH689">
        <f t="shared" si="1352"/>
        <v>0</v>
      </c>
      <c r="DI689">
        <f t="shared" si="1353"/>
        <v>0</v>
      </c>
      <c r="DJ689">
        <f t="shared" si="1354"/>
        <v>0</v>
      </c>
      <c r="DK689">
        <f t="shared" si="1355"/>
        <v>0</v>
      </c>
      <c r="DL689">
        <f t="shared" si="1356"/>
        <v>0</v>
      </c>
      <c r="DM689">
        <f t="shared" si="1357"/>
        <v>0</v>
      </c>
      <c r="DN689">
        <f t="shared" si="1358"/>
        <v>0</v>
      </c>
      <c r="DO689">
        <f t="shared" si="1359"/>
        <v>0</v>
      </c>
      <c r="DP689">
        <f t="shared" si="1360"/>
        <v>0</v>
      </c>
      <c r="DQ689">
        <f t="shared" si="1361"/>
        <v>0</v>
      </c>
      <c r="DR689">
        <f t="shared" si="1362"/>
        <v>0</v>
      </c>
      <c r="DS689">
        <f t="shared" si="1363"/>
        <v>0</v>
      </c>
      <c r="DT689">
        <f t="shared" si="1364"/>
        <v>0</v>
      </c>
      <c r="DU689">
        <f t="shared" si="1365"/>
        <v>0</v>
      </c>
      <c r="DV689">
        <f t="shared" si="1366"/>
        <v>0</v>
      </c>
      <c r="DW689">
        <f t="shared" si="1367"/>
        <v>0</v>
      </c>
      <c r="DX689">
        <f t="shared" si="1368"/>
        <v>0</v>
      </c>
      <c r="DY689">
        <f t="shared" si="1369"/>
        <v>0</v>
      </c>
      <c r="DZ689">
        <f t="shared" si="1370"/>
        <v>0</v>
      </c>
      <c r="EA689">
        <f t="shared" si="1371"/>
        <v>0</v>
      </c>
      <c r="EB689">
        <f t="shared" si="1372"/>
        <v>0</v>
      </c>
      <c r="EC689">
        <f t="shared" si="1373"/>
        <v>0</v>
      </c>
      <c r="ED689">
        <f t="shared" si="1374"/>
        <v>0</v>
      </c>
      <c r="EE689">
        <f t="shared" si="1375"/>
        <v>0</v>
      </c>
      <c r="EF689">
        <f t="shared" si="1375"/>
        <v>0</v>
      </c>
    </row>
    <row r="690" spans="1:136" ht="15.5">
      <c r="A690" s="90"/>
      <c r="B690" s="53" t="s">
        <v>21</v>
      </c>
      <c r="C690" s="95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>
        <v>0</v>
      </c>
      <c r="AB690" s="34">
        <v>0</v>
      </c>
      <c r="AC690" s="34">
        <v>0</v>
      </c>
      <c r="AD690" s="34">
        <v>0</v>
      </c>
      <c r="AE690" s="34">
        <v>0</v>
      </c>
      <c r="AF690" s="34">
        <v>0</v>
      </c>
      <c r="AG690" s="34">
        <v>82</v>
      </c>
      <c r="AH690" s="34">
        <v>60</v>
      </c>
      <c r="AI690" s="34">
        <v>60</v>
      </c>
      <c r="AJ690" s="34">
        <v>60</v>
      </c>
      <c r="AK690" s="34">
        <v>60</v>
      </c>
      <c r="AL690" s="34">
        <v>60</v>
      </c>
      <c r="AM690" s="34">
        <v>60</v>
      </c>
      <c r="AN690" s="34">
        <v>60</v>
      </c>
      <c r="AO690" s="34">
        <v>60</v>
      </c>
      <c r="AP690" s="34">
        <v>60</v>
      </c>
      <c r="AQ690" s="34">
        <v>60</v>
      </c>
      <c r="AR690" s="34">
        <v>60</v>
      </c>
      <c r="AS690" s="34">
        <v>60</v>
      </c>
      <c r="AT690" s="18">
        <v>60</v>
      </c>
      <c r="AU690" s="34">
        <v>60</v>
      </c>
      <c r="AV690" s="149">
        <v>60</v>
      </c>
      <c r="AW690" s="34">
        <v>60</v>
      </c>
      <c r="AX690" s="34">
        <v>60</v>
      </c>
      <c r="AY690" s="34">
        <v>7</v>
      </c>
      <c r="AZ690" s="34">
        <v>0</v>
      </c>
      <c r="BA690" s="34">
        <v>0</v>
      </c>
      <c r="BB690" s="34">
        <v>0</v>
      </c>
      <c r="BC690" s="34">
        <v>0</v>
      </c>
      <c r="BD690" s="34">
        <v>0</v>
      </c>
      <c r="BE690" s="42">
        <v>0</v>
      </c>
      <c r="BF690" s="34">
        <v>0</v>
      </c>
      <c r="BG690" s="34">
        <v>0</v>
      </c>
      <c r="BH690" s="18">
        <v>10</v>
      </c>
      <c r="BI690" s="18">
        <v>10</v>
      </c>
      <c r="BJ690" s="113">
        <v>10</v>
      </c>
      <c r="BK690" s="113">
        <v>65.23</v>
      </c>
      <c r="BL690" s="113">
        <v>85</v>
      </c>
      <c r="BM690" s="113">
        <v>25</v>
      </c>
      <c r="BN690" s="113">
        <v>12</v>
      </c>
      <c r="BO690" s="113">
        <v>20</v>
      </c>
      <c r="BP690" s="113">
        <v>0</v>
      </c>
      <c r="BQ690" s="113">
        <v>0</v>
      </c>
      <c r="BR690" s="101"/>
      <c r="BS690">
        <f t="shared" si="1311"/>
        <v>0</v>
      </c>
      <c r="BT690">
        <f t="shared" si="1312"/>
        <v>0</v>
      </c>
      <c r="BU690">
        <f t="shared" si="1313"/>
        <v>0</v>
      </c>
      <c r="BV690">
        <f t="shared" si="1314"/>
        <v>0</v>
      </c>
      <c r="BW690">
        <f t="shared" si="1315"/>
        <v>0</v>
      </c>
      <c r="BX690">
        <f t="shared" si="1316"/>
        <v>0</v>
      </c>
      <c r="BY690">
        <f t="shared" si="1317"/>
        <v>0</v>
      </c>
      <c r="BZ690">
        <f t="shared" si="1318"/>
        <v>0</v>
      </c>
      <c r="CA690">
        <f t="shared" si="1319"/>
        <v>0</v>
      </c>
      <c r="CB690">
        <f t="shared" si="1320"/>
        <v>0</v>
      </c>
      <c r="CC690">
        <f t="shared" si="1321"/>
        <v>0</v>
      </c>
      <c r="CD690">
        <f t="shared" si="1322"/>
        <v>0</v>
      </c>
      <c r="CE690">
        <f t="shared" si="1323"/>
        <v>0</v>
      </c>
      <c r="CF690">
        <f t="shared" si="1324"/>
        <v>0</v>
      </c>
      <c r="CG690">
        <f t="shared" si="1325"/>
        <v>0</v>
      </c>
      <c r="CH690">
        <f t="shared" si="1326"/>
        <v>0</v>
      </c>
      <c r="CI690">
        <f t="shared" si="1327"/>
        <v>0</v>
      </c>
      <c r="CJ690">
        <f t="shared" si="1328"/>
        <v>0</v>
      </c>
      <c r="CK690">
        <f t="shared" si="1329"/>
        <v>0</v>
      </c>
      <c r="CL690">
        <f t="shared" si="1330"/>
        <v>0</v>
      </c>
      <c r="CM690">
        <f t="shared" si="1331"/>
        <v>0</v>
      </c>
      <c r="CN690">
        <f t="shared" si="1332"/>
        <v>0</v>
      </c>
      <c r="CO690">
        <f t="shared" si="1333"/>
        <v>0</v>
      </c>
      <c r="CP690">
        <f t="shared" si="1334"/>
        <v>0</v>
      </c>
      <c r="CQ690">
        <f t="shared" si="1335"/>
        <v>0</v>
      </c>
      <c r="CR690">
        <f t="shared" si="1336"/>
        <v>0</v>
      </c>
      <c r="CS690">
        <f t="shared" si="1337"/>
        <v>0</v>
      </c>
      <c r="CT690">
        <f t="shared" si="1338"/>
        <v>0</v>
      </c>
      <c r="CU690">
        <f t="shared" si="1339"/>
        <v>0</v>
      </c>
      <c r="CV690">
        <f t="shared" si="1340"/>
        <v>0</v>
      </c>
      <c r="CW690">
        <f t="shared" si="1341"/>
        <v>0</v>
      </c>
      <c r="CX690">
        <f t="shared" si="1342"/>
        <v>0</v>
      </c>
      <c r="CY690">
        <f t="shared" si="1343"/>
        <v>0</v>
      </c>
      <c r="CZ690">
        <f t="shared" si="1344"/>
        <v>0</v>
      </c>
      <c r="DA690">
        <f t="shared" si="1345"/>
        <v>0</v>
      </c>
      <c r="DB690">
        <f t="shared" si="1346"/>
        <v>0</v>
      </c>
      <c r="DC690">
        <f t="shared" si="1347"/>
        <v>0</v>
      </c>
      <c r="DD690">
        <f t="shared" si="1348"/>
        <v>0</v>
      </c>
      <c r="DE690">
        <f t="shared" si="1349"/>
        <v>0</v>
      </c>
      <c r="DF690">
        <f t="shared" si="1350"/>
        <v>0</v>
      </c>
      <c r="DG690">
        <f t="shared" si="1351"/>
        <v>0</v>
      </c>
      <c r="DH690">
        <f t="shared" si="1352"/>
        <v>0</v>
      </c>
      <c r="DI690">
        <f t="shared" si="1353"/>
        <v>0</v>
      </c>
      <c r="DJ690">
        <f t="shared" si="1354"/>
        <v>0</v>
      </c>
      <c r="DK690">
        <f t="shared" si="1355"/>
        <v>0</v>
      </c>
      <c r="DL690">
        <f t="shared" si="1356"/>
        <v>0</v>
      </c>
      <c r="DM690">
        <f t="shared" si="1357"/>
        <v>0</v>
      </c>
      <c r="DN690">
        <f t="shared" si="1358"/>
        <v>0</v>
      </c>
      <c r="DO690">
        <f t="shared" si="1359"/>
        <v>0</v>
      </c>
      <c r="DP690">
        <f t="shared" si="1360"/>
        <v>0</v>
      </c>
      <c r="DQ690">
        <f t="shared" si="1361"/>
        <v>0</v>
      </c>
      <c r="DR690">
        <f t="shared" si="1362"/>
        <v>0</v>
      </c>
      <c r="DS690">
        <f t="shared" si="1363"/>
        <v>0</v>
      </c>
      <c r="DT690">
        <f t="shared" si="1364"/>
        <v>0</v>
      </c>
      <c r="DU690">
        <f t="shared" si="1365"/>
        <v>0</v>
      </c>
      <c r="DV690">
        <f t="shared" si="1366"/>
        <v>0</v>
      </c>
      <c r="DW690">
        <f t="shared" si="1367"/>
        <v>0</v>
      </c>
      <c r="DX690">
        <f t="shared" si="1368"/>
        <v>0</v>
      </c>
      <c r="DY690">
        <f t="shared" si="1369"/>
        <v>0</v>
      </c>
      <c r="DZ690">
        <f t="shared" si="1370"/>
        <v>0</v>
      </c>
      <c r="EA690">
        <f t="shared" si="1371"/>
        <v>0</v>
      </c>
      <c r="EB690">
        <f t="shared" si="1372"/>
        <v>0</v>
      </c>
      <c r="EC690">
        <f t="shared" si="1373"/>
        <v>0</v>
      </c>
      <c r="ED690">
        <f t="shared" si="1374"/>
        <v>0</v>
      </c>
      <c r="EE690">
        <f t="shared" si="1375"/>
        <v>0</v>
      </c>
      <c r="EF690">
        <f t="shared" si="1375"/>
        <v>0</v>
      </c>
    </row>
    <row r="691" spans="1:136" ht="15.5">
      <c r="A691" s="90"/>
      <c r="B691" s="19" t="s">
        <v>212</v>
      </c>
      <c r="C691" s="95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>
        <v>0</v>
      </c>
      <c r="AB691" s="34">
        <v>2</v>
      </c>
      <c r="AC691" s="34">
        <v>3</v>
      </c>
      <c r="AD691" s="34">
        <v>5</v>
      </c>
      <c r="AE691" s="34">
        <v>7</v>
      </c>
      <c r="AF691" s="34">
        <v>9</v>
      </c>
      <c r="AG691" s="34">
        <v>11</v>
      </c>
      <c r="AH691" s="71">
        <v>18</v>
      </c>
      <c r="AI691" s="71">
        <v>25</v>
      </c>
      <c r="AJ691" s="71">
        <v>32</v>
      </c>
      <c r="AK691" s="71">
        <v>44</v>
      </c>
      <c r="AL691" s="71">
        <v>52</v>
      </c>
      <c r="AM691" s="71">
        <v>60</v>
      </c>
      <c r="AN691" s="34">
        <v>72</v>
      </c>
      <c r="AO691" s="34">
        <v>89</v>
      </c>
      <c r="AP691" s="34">
        <v>104</v>
      </c>
      <c r="AQ691" s="18">
        <v>122.5</v>
      </c>
      <c r="AR691" s="18">
        <v>295</v>
      </c>
      <c r="AS691" s="18">
        <v>468</v>
      </c>
      <c r="AT691" s="18">
        <v>520</v>
      </c>
      <c r="AU691" s="34">
        <v>710</v>
      </c>
      <c r="AV691" s="34">
        <v>708</v>
      </c>
      <c r="AW691" s="34">
        <v>700</v>
      </c>
      <c r="AX691" s="34">
        <v>754</v>
      </c>
      <c r="AY691" s="34">
        <v>44</v>
      </c>
      <c r="AZ691" s="34">
        <v>37</v>
      </c>
      <c r="BA691" s="34">
        <v>35</v>
      </c>
      <c r="BB691" s="34">
        <v>33</v>
      </c>
      <c r="BC691" s="34">
        <v>30</v>
      </c>
      <c r="BD691" s="34">
        <v>27</v>
      </c>
      <c r="BE691" s="42">
        <v>25</v>
      </c>
      <c r="BF691" s="34">
        <v>33</v>
      </c>
      <c r="BG691" s="34">
        <v>33</v>
      </c>
      <c r="BH691" s="18">
        <v>29</v>
      </c>
      <c r="BI691" s="18">
        <v>62</v>
      </c>
      <c r="BJ691" s="154">
        <v>54</v>
      </c>
      <c r="BK691" s="113">
        <v>102</v>
      </c>
      <c r="BL691" s="113">
        <v>64</v>
      </c>
      <c r="BM691" s="113">
        <v>35</v>
      </c>
      <c r="BN691" s="113">
        <v>23</v>
      </c>
      <c r="BO691" s="113">
        <v>23</v>
      </c>
      <c r="BP691" s="113">
        <v>10</v>
      </c>
      <c r="BQ691" s="113">
        <v>8</v>
      </c>
      <c r="BR691" s="101"/>
      <c r="BS691">
        <f t="shared" si="1311"/>
        <v>0</v>
      </c>
      <c r="BT691">
        <f t="shared" si="1312"/>
        <v>0</v>
      </c>
      <c r="BU691">
        <f t="shared" si="1313"/>
        <v>0</v>
      </c>
      <c r="BV691">
        <f t="shared" si="1314"/>
        <v>0</v>
      </c>
      <c r="BW691">
        <f t="shared" si="1315"/>
        <v>0</v>
      </c>
      <c r="BX691">
        <f t="shared" si="1316"/>
        <v>0</v>
      </c>
      <c r="BY691">
        <f t="shared" si="1317"/>
        <v>0</v>
      </c>
      <c r="BZ691">
        <f t="shared" si="1318"/>
        <v>0</v>
      </c>
      <c r="CA691">
        <f t="shared" si="1319"/>
        <v>0</v>
      </c>
      <c r="CB691">
        <f t="shared" si="1320"/>
        <v>0</v>
      </c>
      <c r="CC691">
        <f t="shared" si="1321"/>
        <v>0</v>
      </c>
      <c r="CD691">
        <f t="shared" si="1322"/>
        <v>0</v>
      </c>
      <c r="CE691">
        <f t="shared" si="1323"/>
        <v>0</v>
      </c>
      <c r="CF691">
        <f t="shared" si="1324"/>
        <v>0</v>
      </c>
      <c r="CG691">
        <f t="shared" si="1325"/>
        <v>0</v>
      </c>
      <c r="CH691">
        <f t="shared" si="1326"/>
        <v>0</v>
      </c>
      <c r="CI691">
        <f t="shared" si="1327"/>
        <v>0</v>
      </c>
      <c r="CJ691">
        <f t="shared" si="1328"/>
        <v>0</v>
      </c>
      <c r="CK691">
        <f t="shared" si="1329"/>
        <v>0</v>
      </c>
      <c r="CL691">
        <f t="shared" si="1330"/>
        <v>0</v>
      </c>
      <c r="CM691">
        <f t="shared" si="1331"/>
        <v>0</v>
      </c>
      <c r="CN691">
        <f t="shared" si="1332"/>
        <v>0</v>
      </c>
      <c r="CO691">
        <f t="shared" si="1333"/>
        <v>0</v>
      </c>
      <c r="CP691">
        <f t="shared" si="1334"/>
        <v>0</v>
      </c>
      <c r="CQ691">
        <f t="shared" si="1335"/>
        <v>0</v>
      </c>
      <c r="CR691">
        <f t="shared" si="1336"/>
        <v>0</v>
      </c>
      <c r="CS691">
        <f t="shared" si="1337"/>
        <v>0</v>
      </c>
      <c r="CT691">
        <f t="shared" si="1338"/>
        <v>0</v>
      </c>
      <c r="CU691">
        <f t="shared" si="1339"/>
        <v>0</v>
      </c>
      <c r="CV691">
        <f t="shared" si="1340"/>
        <v>0</v>
      </c>
      <c r="CW691">
        <f t="shared" si="1341"/>
        <v>0</v>
      </c>
      <c r="CX691">
        <f t="shared" si="1342"/>
        <v>0</v>
      </c>
      <c r="CY691">
        <f t="shared" si="1343"/>
        <v>0</v>
      </c>
      <c r="CZ691">
        <f t="shared" si="1344"/>
        <v>0</v>
      </c>
      <c r="DA691">
        <f t="shared" si="1345"/>
        <v>0</v>
      </c>
      <c r="DB691">
        <f t="shared" si="1346"/>
        <v>0</v>
      </c>
      <c r="DC691">
        <f t="shared" si="1347"/>
        <v>0</v>
      </c>
      <c r="DD691">
        <f t="shared" si="1348"/>
        <v>0</v>
      </c>
      <c r="DE691">
        <f t="shared" si="1349"/>
        <v>0</v>
      </c>
      <c r="DF691">
        <f t="shared" si="1350"/>
        <v>0</v>
      </c>
      <c r="DG691">
        <f t="shared" si="1351"/>
        <v>0</v>
      </c>
      <c r="DH691">
        <f t="shared" si="1352"/>
        <v>0</v>
      </c>
      <c r="DI691">
        <f t="shared" si="1353"/>
        <v>0</v>
      </c>
      <c r="DJ691">
        <f t="shared" si="1354"/>
        <v>0</v>
      </c>
      <c r="DK691">
        <f t="shared" si="1355"/>
        <v>0</v>
      </c>
      <c r="DL691">
        <f t="shared" si="1356"/>
        <v>0</v>
      </c>
      <c r="DM691">
        <f t="shared" si="1357"/>
        <v>0</v>
      </c>
      <c r="DN691">
        <f t="shared" si="1358"/>
        <v>0</v>
      </c>
      <c r="DO691">
        <f t="shared" si="1359"/>
        <v>0</v>
      </c>
      <c r="DP691">
        <f t="shared" si="1360"/>
        <v>0</v>
      </c>
      <c r="DQ691">
        <f t="shared" si="1361"/>
        <v>0</v>
      </c>
      <c r="DR691">
        <f t="shared" si="1362"/>
        <v>0</v>
      </c>
      <c r="DS691">
        <f t="shared" si="1363"/>
        <v>0</v>
      </c>
      <c r="DT691">
        <f t="shared" si="1364"/>
        <v>0</v>
      </c>
      <c r="DU691">
        <f t="shared" si="1365"/>
        <v>0</v>
      </c>
      <c r="DV691">
        <f t="shared" si="1366"/>
        <v>0</v>
      </c>
      <c r="DW691">
        <f t="shared" si="1367"/>
        <v>0</v>
      </c>
      <c r="DX691">
        <f t="shared" si="1368"/>
        <v>0</v>
      </c>
      <c r="DY691">
        <f t="shared" si="1369"/>
        <v>0</v>
      </c>
      <c r="DZ691">
        <f t="shared" si="1370"/>
        <v>0</v>
      </c>
      <c r="EA691">
        <f t="shared" si="1371"/>
        <v>0</v>
      </c>
      <c r="EB691">
        <f t="shared" si="1372"/>
        <v>0</v>
      </c>
      <c r="EC691">
        <f t="shared" si="1373"/>
        <v>0</v>
      </c>
      <c r="ED691">
        <f t="shared" si="1374"/>
        <v>0</v>
      </c>
      <c r="EE691">
        <f t="shared" si="1375"/>
        <v>0</v>
      </c>
      <c r="EF691">
        <f t="shared" si="1375"/>
        <v>0</v>
      </c>
    </row>
    <row r="692" spans="1:136" ht="15.5">
      <c r="A692" s="90"/>
      <c r="B692" s="19"/>
      <c r="C692" s="95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  <c r="AI692" s="34"/>
      <c r="AJ692" s="34"/>
      <c r="AK692" s="34"/>
      <c r="AL692" s="34"/>
      <c r="AM692" s="34"/>
      <c r="AN692" s="34"/>
      <c r="AO692" s="34"/>
      <c r="AP692" s="34"/>
      <c r="AQ692" s="18"/>
      <c r="AR692" s="18"/>
      <c r="AS692" s="18"/>
      <c r="AT692" s="18"/>
      <c r="AU692" s="34"/>
      <c r="AV692" s="34"/>
      <c r="AW692" s="34"/>
      <c r="AX692" s="34"/>
      <c r="AY692" s="34"/>
      <c r="AZ692" s="149"/>
      <c r="BA692" s="34"/>
      <c r="BB692" s="34"/>
      <c r="BC692" s="34"/>
      <c r="BD692" s="34"/>
      <c r="BE692" s="42"/>
      <c r="BF692" s="34"/>
      <c r="BG692" s="34"/>
      <c r="BH692" s="18"/>
      <c r="BI692" s="18"/>
      <c r="BJ692" s="113"/>
      <c r="BK692" s="113"/>
      <c r="BL692" s="34"/>
      <c r="BM692" s="113"/>
      <c r="BN692" s="2"/>
      <c r="BO692" s="2"/>
      <c r="BP692" s="2"/>
      <c r="BQ692" s="2"/>
      <c r="BR692" s="101"/>
    </row>
    <row r="693" spans="1:136" ht="15.5">
      <c r="A693" s="93">
        <v>84</v>
      </c>
      <c r="B693" s="32" t="s">
        <v>210</v>
      </c>
      <c r="C693" s="95">
        <v>4</v>
      </c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132">
        <f>SUM(U694:U695)</f>
        <v>0</v>
      </c>
      <c r="V693" s="132">
        <f t="shared" ref="V693:AT693" si="1376">SUM(V694:V695)</f>
        <v>0</v>
      </c>
      <c r="W693" s="132">
        <f t="shared" si="1376"/>
        <v>0</v>
      </c>
      <c r="X693" s="132">
        <f t="shared" si="1376"/>
        <v>0</v>
      </c>
      <c r="Y693" s="132">
        <f t="shared" si="1376"/>
        <v>0</v>
      </c>
      <c r="Z693" s="132">
        <f t="shared" si="1376"/>
        <v>0</v>
      </c>
      <c r="AA693" s="132">
        <f t="shared" si="1376"/>
        <v>0</v>
      </c>
      <c r="AB693" s="132">
        <f t="shared" si="1376"/>
        <v>0</v>
      </c>
      <c r="AC693" s="132">
        <f t="shared" si="1376"/>
        <v>0</v>
      </c>
      <c r="AD693" s="132">
        <f t="shared" si="1376"/>
        <v>0</v>
      </c>
      <c r="AE693" s="132">
        <f t="shared" si="1376"/>
        <v>0</v>
      </c>
      <c r="AF693" s="132">
        <f t="shared" si="1376"/>
        <v>0</v>
      </c>
      <c r="AG693" s="132">
        <f t="shared" si="1376"/>
        <v>0</v>
      </c>
      <c r="AH693" s="132">
        <f t="shared" si="1376"/>
        <v>0</v>
      </c>
      <c r="AI693" s="132">
        <f t="shared" si="1376"/>
        <v>0</v>
      </c>
      <c r="AJ693" s="132">
        <f t="shared" si="1376"/>
        <v>0</v>
      </c>
      <c r="AK693" s="132">
        <f t="shared" si="1376"/>
        <v>0</v>
      </c>
      <c r="AL693" s="132">
        <f t="shared" si="1376"/>
        <v>0</v>
      </c>
      <c r="AM693" s="132">
        <f t="shared" si="1376"/>
        <v>0</v>
      </c>
      <c r="AN693" s="132">
        <f t="shared" si="1376"/>
        <v>0</v>
      </c>
      <c r="AO693" s="132">
        <f t="shared" si="1376"/>
        <v>0</v>
      </c>
      <c r="AP693" s="132">
        <f t="shared" si="1376"/>
        <v>0</v>
      </c>
      <c r="AQ693" s="132">
        <f t="shared" si="1376"/>
        <v>0</v>
      </c>
      <c r="AR693" s="132">
        <f t="shared" si="1376"/>
        <v>0</v>
      </c>
      <c r="AS693" s="132">
        <f t="shared" si="1376"/>
        <v>0</v>
      </c>
      <c r="AT693" s="132">
        <f t="shared" si="1376"/>
        <v>0</v>
      </c>
      <c r="AU693" s="132">
        <f>SUM(AU694:AU695)</f>
        <v>0</v>
      </c>
      <c r="AV693" s="9">
        <f>AV694</f>
        <v>441</v>
      </c>
      <c r="AW693" s="132">
        <f>SUM(AW694:AW695)</f>
        <v>0</v>
      </c>
      <c r="AX693" s="132">
        <f>SUM(AX694:AX695)</f>
        <v>0</v>
      </c>
      <c r="AY693" s="34"/>
      <c r="AZ693" s="9">
        <f>AZ694</f>
        <v>4500</v>
      </c>
      <c r="BA693" s="34"/>
      <c r="BB693" s="132"/>
      <c r="BC693" s="9">
        <f>BC694</f>
        <v>3200</v>
      </c>
      <c r="BD693" s="9">
        <f>BD694</f>
        <v>3200</v>
      </c>
      <c r="BE693" s="9">
        <f>BE694+BE695</f>
        <v>3280</v>
      </c>
      <c r="BF693" s="9">
        <f>BF694+BF695</f>
        <v>3320</v>
      </c>
      <c r="BG693" s="9">
        <f>BG694+BG695</f>
        <v>3400</v>
      </c>
      <c r="BH693" s="9">
        <f>BH694+BH695</f>
        <v>3450</v>
      </c>
      <c r="BI693" s="9">
        <f>BI694+BI695</f>
        <v>3500</v>
      </c>
      <c r="BJ693" s="9">
        <f t="shared" ref="BJ693:BO693" si="1377">BJ694</f>
        <v>0</v>
      </c>
      <c r="BK693" s="9">
        <f t="shared" si="1377"/>
        <v>0</v>
      </c>
      <c r="BL693" s="9">
        <f t="shared" si="1377"/>
        <v>0</v>
      </c>
      <c r="BM693" s="9">
        <f t="shared" si="1377"/>
        <v>0</v>
      </c>
      <c r="BN693" s="9">
        <f t="shared" si="1377"/>
        <v>0</v>
      </c>
      <c r="BO693" s="9">
        <f t="shared" si="1377"/>
        <v>0</v>
      </c>
      <c r="BP693" s="9">
        <f>BP694</f>
        <v>0</v>
      </c>
      <c r="BQ693" s="9">
        <f>BQ694</f>
        <v>0</v>
      </c>
      <c r="BR693" s="101"/>
      <c r="BS693">
        <f t="shared" ref="BS693:CB696" si="1378">IF($C693&lt;&gt;"",IF(D693&gt;0,1,0),0)</f>
        <v>0</v>
      </c>
      <c r="BT693">
        <f t="shared" si="1378"/>
        <v>0</v>
      </c>
      <c r="BU693">
        <f t="shared" si="1378"/>
        <v>0</v>
      </c>
      <c r="BV693">
        <f t="shared" si="1378"/>
        <v>0</v>
      </c>
      <c r="BW693">
        <f t="shared" si="1378"/>
        <v>0</v>
      </c>
      <c r="BX693">
        <f t="shared" si="1378"/>
        <v>0</v>
      </c>
      <c r="BY693">
        <f t="shared" si="1378"/>
        <v>0</v>
      </c>
      <c r="BZ693">
        <f t="shared" si="1378"/>
        <v>0</v>
      </c>
      <c r="CA693">
        <f t="shared" si="1378"/>
        <v>0</v>
      </c>
      <c r="CB693">
        <f t="shared" si="1378"/>
        <v>0</v>
      </c>
      <c r="CC693">
        <f t="shared" ref="CC693:CL696" si="1379">IF($C693&lt;&gt;"",IF(N693&gt;0,1,0),0)</f>
        <v>0</v>
      </c>
      <c r="CD693">
        <f t="shared" si="1379"/>
        <v>0</v>
      </c>
      <c r="CE693">
        <f t="shared" si="1379"/>
        <v>0</v>
      </c>
      <c r="CF693">
        <f t="shared" si="1379"/>
        <v>0</v>
      </c>
      <c r="CG693">
        <f t="shared" si="1379"/>
        <v>0</v>
      </c>
      <c r="CH693">
        <f t="shared" si="1379"/>
        <v>0</v>
      </c>
      <c r="CI693">
        <f t="shared" si="1379"/>
        <v>0</v>
      </c>
      <c r="CJ693">
        <f t="shared" si="1379"/>
        <v>0</v>
      </c>
      <c r="CK693">
        <f t="shared" si="1379"/>
        <v>0</v>
      </c>
      <c r="CL693">
        <f t="shared" si="1379"/>
        <v>0</v>
      </c>
      <c r="CM693">
        <f t="shared" ref="CM693:CV696" si="1380">IF($C693&lt;&gt;"",IF(X693&gt;0,1,0),0)</f>
        <v>0</v>
      </c>
      <c r="CN693">
        <f t="shared" si="1380"/>
        <v>0</v>
      </c>
      <c r="CO693">
        <f t="shared" si="1380"/>
        <v>0</v>
      </c>
      <c r="CP693">
        <f t="shared" si="1380"/>
        <v>0</v>
      </c>
      <c r="CQ693">
        <f t="shared" si="1380"/>
        <v>0</v>
      </c>
      <c r="CR693">
        <f t="shared" si="1380"/>
        <v>0</v>
      </c>
      <c r="CS693">
        <f t="shared" si="1380"/>
        <v>0</v>
      </c>
      <c r="CT693">
        <f t="shared" si="1380"/>
        <v>0</v>
      </c>
      <c r="CU693">
        <f t="shared" si="1380"/>
        <v>0</v>
      </c>
      <c r="CV693">
        <f t="shared" si="1380"/>
        <v>0</v>
      </c>
      <c r="CW693">
        <f t="shared" ref="CW693:DF696" si="1381">IF($C693&lt;&gt;"",IF(AH693&gt;0,1,0),0)</f>
        <v>0</v>
      </c>
      <c r="CX693">
        <f t="shared" si="1381"/>
        <v>0</v>
      </c>
      <c r="CY693">
        <f t="shared" si="1381"/>
        <v>0</v>
      </c>
      <c r="CZ693">
        <f t="shared" si="1381"/>
        <v>0</v>
      </c>
      <c r="DA693">
        <f t="shared" si="1381"/>
        <v>0</v>
      </c>
      <c r="DB693">
        <f t="shared" si="1381"/>
        <v>0</v>
      </c>
      <c r="DC693">
        <f t="shared" si="1381"/>
        <v>0</v>
      </c>
      <c r="DD693">
        <f t="shared" si="1381"/>
        <v>0</v>
      </c>
      <c r="DE693">
        <f t="shared" si="1381"/>
        <v>0</v>
      </c>
      <c r="DF693">
        <f t="shared" si="1381"/>
        <v>0</v>
      </c>
      <c r="DG693">
        <f t="shared" ref="DG693:DP696" si="1382">IF($C693&lt;&gt;"",IF(AR693&gt;0,1,0),0)</f>
        <v>0</v>
      </c>
      <c r="DH693">
        <f t="shared" si="1382"/>
        <v>0</v>
      </c>
      <c r="DI693">
        <f t="shared" si="1382"/>
        <v>0</v>
      </c>
      <c r="DJ693">
        <f t="shared" si="1382"/>
        <v>0</v>
      </c>
      <c r="DK693">
        <f t="shared" si="1382"/>
        <v>1</v>
      </c>
      <c r="DL693">
        <f t="shared" si="1382"/>
        <v>0</v>
      </c>
      <c r="DM693">
        <f t="shared" si="1382"/>
        <v>0</v>
      </c>
      <c r="DN693">
        <f t="shared" si="1382"/>
        <v>0</v>
      </c>
      <c r="DO693">
        <f t="shared" si="1382"/>
        <v>1</v>
      </c>
      <c r="DP693">
        <f t="shared" si="1382"/>
        <v>0</v>
      </c>
      <c r="DQ693">
        <f t="shared" ref="DQ693:DZ696" si="1383">IF($C693&lt;&gt;"",IF(BB693&gt;0,1,0),0)</f>
        <v>0</v>
      </c>
      <c r="DR693">
        <f t="shared" si="1383"/>
        <v>1</v>
      </c>
      <c r="DS693">
        <f t="shared" si="1383"/>
        <v>1</v>
      </c>
      <c r="DT693">
        <f t="shared" si="1383"/>
        <v>1</v>
      </c>
      <c r="DU693">
        <f t="shared" si="1383"/>
        <v>1</v>
      </c>
      <c r="DV693">
        <f t="shared" si="1383"/>
        <v>1</v>
      </c>
      <c r="DW693">
        <f t="shared" si="1383"/>
        <v>1</v>
      </c>
      <c r="DX693">
        <f t="shared" si="1383"/>
        <v>1</v>
      </c>
      <c r="DY693">
        <f t="shared" si="1383"/>
        <v>0</v>
      </c>
      <c r="DZ693">
        <f t="shared" si="1383"/>
        <v>0</v>
      </c>
      <c r="EA693">
        <f t="shared" ref="EA693:EF696" si="1384">IF($C693&lt;&gt;"",IF(BL693&gt;0,1,0),0)</f>
        <v>0</v>
      </c>
      <c r="EB693">
        <f t="shared" si="1384"/>
        <v>0</v>
      </c>
      <c r="EC693">
        <f t="shared" si="1384"/>
        <v>0</v>
      </c>
      <c r="ED693">
        <f t="shared" si="1384"/>
        <v>0</v>
      </c>
      <c r="EE693">
        <f t="shared" si="1384"/>
        <v>0</v>
      </c>
      <c r="EF693">
        <f t="shared" si="1384"/>
        <v>0</v>
      </c>
    </row>
    <row r="694" spans="1:136" ht="15.5">
      <c r="A694" s="90"/>
      <c r="B694" s="57" t="s">
        <v>3</v>
      </c>
      <c r="C694" s="95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>
        <v>0</v>
      </c>
      <c r="V694" s="34">
        <v>0</v>
      </c>
      <c r="W694" s="34">
        <v>0</v>
      </c>
      <c r="X694" s="34">
        <v>0</v>
      </c>
      <c r="Y694" s="34">
        <v>0</v>
      </c>
      <c r="Z694" s="34">
        <v>0</v>
      </c>
      <c r="AA694" s="34">
        <v>0</v>
      </c>
      <c r="AB694" s="34">
        <v>0</v>
      </c>
      <c r="AC694" s="34">
        <v>0</v>
      </c>
      <c r="AD694" s="34">
        <v>0</v>
      </c>
      <c r="AE694" s="34">
        <v>0</v>
      </c>
      <c r="AF694" s="34">
        <v>0</v>
      </c>
      <c r="AG694" s="34">
        <v>0</v>
      </c>
      <c r="AH694" s="34">
        <v>0</v>
      </c>
      <c r="AI694" s="34">
        <v>0</v>
      </c>
      <c r="AJ694" s="34">
        <v>0</v>
      </c>
      <c r="AK694" s="34">
        <v>0</v>
      </c>
      <c r="AL694" s="34">
        <v>0</v>
      </c>
      <c r="AM694" s="34">
        <v>0</v>
      </c>
      <c r="AN694" s="34">
        <v>0</v>
      </c>
      <c r="AO694" s="34">
        <v>0</v>
      </c>
      <c r="AP694" s="34">
        <v>0</v>
      </c>
      <c r="AQ694" s="34">
        <v>0</v>
      </c>
      <c r="AR694" s="34">
        <v>0</v>
      </c>
      <c r="AS694" s="34">
        <v>0</v>
      </c>
      <c r="AT694" s="34">
        <v>0</v>
      </c>
      <c r="AU694" s="34">
        <v>0</v>
      </c>
      <c r="AV694" s="34">
        <v>441</v>
      </c>
      <c r="AW694" s="34">
        <v>0</v>
      </c>
      <c r="AX694" s="34">
        <v>0</v>
      </c>
      <c r="AY694" s="34"/>
      <c r="AZ694" s="34">
        <v>4500</v>
      </c>
      <c r="BA694" s="34"/>
      <c r="BB694" s="34"/>
      <c r="BC694" s="34">
        <v>3200</v>
      </c>
      <c r="BD694" s="34">
        <v>3200</v>
      </c>
      <c r="BE694" s="42">
        <v>3200</v>
      </c>
      <c r="BF694" s="34">
        <v>3200</v>
      </c>
      <c r="BG694" s="34">
        <v>3200</v>
      </c>
      <c r="BH694" s="34">
        <v>3200</v>
      </c>
      <c r="BI694" s="34">
        <v>3200</v>
      </c>
      <c r="BJ694" s="34">
        <v>0</v>
      </c>
      <c r="BK694" s="34">
        <v>0</v>
      </c>
      <c r="BL694" s="34">
        <v>0</v>
      </c>
      <c r="BM694" s="34">
        <v>0</v>
      </c>
      <c r="BN694" s="34">
        <v>0</v>
      </c>
      <c r="BO694" s="113">
        <v>0</v>
      </c>
      <c r="BP694" s="113">
        <v>0</v>
      </c>
      <c r="BQ694" s="113">
        <v>0</v>
      </c>
      <c r="BR694" s="101"/>
      <c r="BS694">
        <f t="shared" si="1378"/>
        <v>0</v>
      </c>
      <c r="BT694">
        <f t="shared" si="1378"/>
        <v>0</v>
      </c>
      <c r="BU694">
        <f t="shared" si="1378"/>
        <v>0</v>
      </c>
      <c r="BV694">
        <f t="shared" si="1378"/>
        <v>0</v>
      </c>
      <c r="BW694">
        <f t="shared" si="1378"/>
        <v>0</v>
      </c>
      <c r="BX694">
        <f t="shared" si="1378"/>
        <v>0</v>
      </c>
      <c r="BY694">
        <f t="shared" si="1378"/>
        <v>0</v>
      </c>
      <c r="BZ694">
        <f t="shared" si="1378"/>
        <v>0</v>
      </c>
      <c r="CA694">
        <f t="shared" si="1378"/>
        <v>0</v>
      </c>
      <c r="CB694">
        <f t="shared" si="1378"/>
        <v>0</v>
      </c>
      <c r="CC694">
        <f t="shared" si="1379"/>
        <v>0</v>
      </c>
      <c r="CD694">
        <f t="shared" si="1379"/>
        <v>0</v>
      </c>
      <c r="CE694">
        <f t="shared" si="1379"/>
        <v>0</v>
      </c>
      <c r="CF694">
        <f t="shared" si="1379"/>
        <v>0</v>
      </c>
      <c r="CG694">
        <f t="shared" si="1379"/>
        <v>0</v>
      </c>
      <c r="CH694">
        <f t="shared" si="1379"/>
        <v>0</v>
      </c>
      <c r="CI694">
        <f t="shared" si="1379"/>
        <v>0</v>
      </c>
      <c r="CJ694">
        <f t="shared" si="1379"/>
        <v>0</v>
      </c>
      <c r="CK694">
        <f t="shared" si="1379"/>
        <v>0</v>
      </c>
      <c r="CL694">
        <f t="shared" si="1379"/>
        <v>0</v>
      </c>
      <c r="CM694">
        <f t="shared" si="1380"/>
        <v>0</v>
      </c>
      <c r="CN694">
        <f t="shared" si="1380"/>
        <v>0</v>
      </c>
      <c r="CO694">
        <f t="shared" si="1380"/>
        <v>0</v>
      </c>
      <c r="CP694">
        <f t="shared" si="1380"/>
        <v>0</v>
      </c>
      <c r="CQ694">
        <f t="shared" si="1380"/>
        <v>0</v>
      </c>
      <c r="CR694">
        <f t="shared" si="1380"/>
        <v>0</v>
      </c>
      <c r="CS694">
        <f t="shared" si="1380"/>
        <v>0</v>
      </c>
      <c r="CT694">
        <f t="shared" si="1380"/>
        <v>0</v>
      </c>
      <c r="CU694">
        <f t="shared" si="1380"/>
        <v>0</v>
      </c>
      <c r="CV694">
        <f t="shared" si="1380"/>
        <v>0</v>
      </c>
      <c r="CW694">
        <f t="shared" si="1381"/>
        <v>0</v>
      </c>
      <c r="CX694">
        <f t="shared" si="1381"/>
        <v>0</v>
      </c>
      <c r="CY694">
        <f t="shared" si="1381"/>
        <v>0</v>
      </c>
      <c r="CZ694">
        <f t="shared" si="1381"/>
        <v>0</v>
      </c>
      <c r="DA694">
        <f t="shared" si="1381"/>
        <v>0</v>
      </c>
      <c r="DB694">
        <f t="shared" si="1381"/>
        <v>0</v>
      </c>
      <c r="DC694">
        <f t="shared" si="1381"/>
        <v>0</v>
      </c>
      <c r="DD694">
        <f t="shared" si="1381"/>
        <v>0</v>
      </c>
      <c r="DE694">
        <f t="shared" si="1381"/>
        <v>0</v>
      </c>
      <c r="DF694">
        <f t="shared" si="1381"/>
        <v>0</v>
      </c>
      <c r="DG694">
        <f t="shared" si="1382"/>
        <v>0</v>
      </c>
      <c r="DH694">
        <f t="shared" si="1382"/>
        <v>0</v>
      </c>
      <c r="DI694">
        <f t="shared" si="1382"/>
        <v>0</v>
      </c>
      <c r="DJ694">
        <f t="shared" si="1382"/>
        <v>0</v>
      </c>
      <c r="DK694">
        <f t="shared" si="1382"/>
        <v>0</v>
      </c>
      <c r="DL694">
        <f t="shared" si="1382"/>
        <v>0</v>
      </c>
      <c r="DM694">
        <f t="shared" si="1382"/>
        <v>0</v>
      </c>
      <c r="DN694">
        <f t="shared" si="1382"/>
        <v>0</v>
      </c>
      <c r="DO694">
        <f t="shared" si="1382"/>
        <v>0</v>
      </c>
      <c r="DP694">
        <f t="shared" si="1382"/>
        <v>0</v>
      </c>
      <c r="DQ694">
        <f t="shared" si="1383"/>
        <v>0</v>
      </c>
      <c r="DR694">
        <f t="shared" si="1383"/>
        <v>0</v>
      </c>
      <c r="DS694">
        <f t="shared" si="1383"/>
        <v>0</v>
      </c>
      <c r="DT694">
        <f t="shared" si="1383"/>
        <v>0</v>
      </c>
      <c r="DU694">
        <f t="shared" si="1383"/>
        <v>0</v>
      </c>
      <c r="DV694">
        <f t="shared" si="1383"/>
        <v>0</v>
      </c>
      <c r="DW694">
        <f t="shared" si="1383"/>
        <v>0</v>
      </c>
      <c r="DX694">
        <f t="shared" si="1383"/>
        <v>0</v>
      </c>
      <c r="DY694">
        <f t="shared" si="1383"/>
        <v>0</v>
      </c>
      <c r="DZ694">
        <f t="shared" si="1383"/>
        <v>0</v>
      </c>
      <c r="EA694">
        <f t="shared" si="1384"/>
        <v>0</v>
      </c>
      <c r="EB694">
        <f t="shared" si="1384"/>
        <v>0</v>
      </c>
      <c r="EC694">
        <f t="shared" si="1384"/>
        <v>0</v>
      </c>
      <c r="ED694">
        <f t="shared" si="1384"/>
        <v>0</v>
      </c>
      <c r="EE694">
        <f t="shared" si="1384"/>
        <v>0</v>
      </c>
      <c r="EF694">
        <f t="shared" si="1384"/>
        <v>0</v>
      </c>
    </row>
    <row r="695" spans="1:136" ht="15.5">
      <c r="A695" s="90"/>
      <c r="B695" s="19" t="s">
        <v>208</v>
      </c>
      <c r="C695" s="95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>
        <v>0</v>
      </c>
      <c r="V695" s="34">
        <v>0</v>
      </c>
      <c r="W695" s="34">
        <v>0</v>
      </c>
      <c r="X695" s="34">
        <v>0</v>
      </c>
      <c r="Y695" s="34">
        <v>0</v>
      </c>
      <c r="Z695" s="34">
        <v>0</v>
      </c>
      <c r="AA695" s="34">
        <v>0</v>
      </c>
      <c r="AB695" s="34">
        <v>0</v>
      </c>
      <c r="AC695" s="34">
        <v>0</v>
      </c>
      <c r="AD695" s="34">
        <v>0</v>
      </c>
      <c r="AE695" s="34">
        <v>0</v>
      </c>
      <c r="AF695" s="34">
        <v>0</v>
      </c>
      <c r="AG695" s="34">
        <v>0</v>
      </c>
      <c r="AH695" s="34">
        <v>0</v>
      </c>
      <c r="AI695" s="34">
        <v>0</v>
      </c>
      <c r="AJ695" s="34">
        <v>0</v>
      </c>
      <c r="AK695" s="34">
        <v>0</v>
      </c>
      <c r="AL695" s="34">
        <v>0</v>
      </c>
      <c r="AM695" s="34">
        <v>0</v>
      </c>
      <c r="AN695" s="34">
        <v>0</v>
      </c>
      <c r="AO695" s="34">
        <v>0</v>
      </c>
      <c r="AP695" s="34">
        <v>0</v>
      </c>
      <c r="AQ695" s="34">
        <v>0</v>
      </c>
      <c r="AR695" s="34">
        <v>0</v>
      </c>
      <c r="AS695" s="34">
        <v>0</v>
      </c>
      <c r="AT695" s="34">
        <v>0</v>
      </c>
      <c r="AU695" s="34">
        <v>0</v>
      </c>
      <c r="AV695" s="40" t="s">
        <v>16</v>
      </c>
      <c r="AW695" s="34">
        <v>0</v>
      </c>
      <c r="AX695" s="34">
        <v>0</v>
      </c>
      <c r="AY695" s="34"/>
      <c r="AZ695" s="34"/>
      <c r="BA695" s="34"/>
      <c r="BB695" s="34"/>
      <c r="BC695" s="34"/>
      <c r="BD695" s="40" t="s">
        <v>16</v>
      </c>
      <c r="BE695" s="42">
        <v>80</v>
      </c>
      <c r="BF695" s="34">
        <v>120</v>
      </c>
      <c r="BG695" s="34">
        <v>200</v>
      </c>
      <c r="BH695" s="34">
        <v>250</v>
      </c>
      <c r="BI695" s="34">
        <v>300</v>
      </c>
      <c r="BJ695" s="34">
        <v>0</v>
      </c>
      <c r="BK695" s="34">
        <v>0</v>
      </c>
      <c r="BL695" s="34">
        <v>0</v>
      </c>
      <c r="BM695" s="34">
        <v>0</v>
      </c>
      <c r="BN695" s="34">
        <v>0</v>
      </c>
      <c r="BO695" s="113">
        <v>0</v>
      </c>
      <c r="BP695" s="113">
        <v>0</v>
      </c>
      <c r="BQ695" s="113">
        <v>0</v>
      </c>
      <c r="BR695" s="101"/>
      <c r="BS695">
        <f t="shared" si="1378"/>
        <v>0</v>
      </c>
      <c r="BT695">
        <f t="shared" si="1378"/>
        <v>0</v>
      </c>
      <c r="BU695">
        <f t="shared" si="1378"/>
        <v>0</v>
      </c>
      <c r="BV695">
        <f t="shared" si="1378"/>
        <v>0</v>
      </c>
      <c r="BW695">
        <f t="shared" si="1378"/>
        <v>0</v>
      </c>
      <c r="BX695">
        <f t="shared" si="1378"/>
        <v>0</v>
      </c>
      <c r="BY695">
        <f t="shared" si="1378"/>
        <v>0</v>
      </c>
      <c r="BZ695">
        <f t="shared" si="1378"/>
        <v>0</v>
      </c>
      <c r="CA695">
        <f t="shared" si="1378"/>
        <v>0</v>
      </c>
      <c r="CB695">
        <f t="shared" si="1378"/>
        <v>0</v>
      </c>
      <c r="CC695">
        <f t="shared" si="1379"/>
        <v>0</v>
      </c>
      <c r="CD695">
        <f t="shared" si="1379"/>
        <v>0</v>
      </c>
      <c r="CE695">
        <f t="shared" si="1379"/>
        <v>0</v>
      </c>
      <c r="CF695">
        <f t="shared" si="1379"/>
        <v>0</v>
      </c>
      <c r="CG695">
        <f t="shared" si="1379"/>
        <v>0</v>
      </c>
      <c r="CH695">
        <f t="shared" si="1379"/>
        <v>0</v>
      </c>
      <c r="CI695">
        <f t="shared" si="1379"/>
        <v>0</v>
      </c>
      <c r="CJ695">
        <f t="shared" si="1379"/>
        <v>0</v>
      </c>
      <c r="CK695">
        <f t="shared" si="1379"/>
        <v>0</v>
      </c>
      <c r="CL695">
        <f t="shared" si="1379"/>
        <v>0</v>
      </c>
      <c r="CM695">
        <f t="shared" si="1380"/>
        <v>0</v>
      </c>
      <c r="CN695">
        <f t="shared" si="1380"/>
        <v>0</v>
      </c>
      <c r="CO695">
        <f t="shared" si="1380"/>
        <v>0</v>
      </c>
      <c r="CP695">
        <f t="shared" si="1380"/>
        <v>0</v>
      </c>
      <c r="CQ695">
        <f t="shared" si="1380"/>
        <v>0</v>
      </c>
      <c r="CR695">
        <f t="shared" si="1380"/>
        <v>0</v>
      </c>
      <c r="CS695">
        <f t="shared" si="1380"/>
        <v>0</v>
      </c>
      <c r="CT695">
        <f t="shared" si="1380"/>
        <v>0</v>
      </c>
      <c r="CU695">
        <f t="shared" si="1380"/>
        <v>0</v>
      </c>
      <c r="CV695">
        <f t="shared" si="1380"/>
        <v>0</v>
      </c>
      <c r="CW695">
        <f t="shared" si="1381"/>
        <v>0</v>
      </c>
      <c r="CX695">
        <f t="shared" si="1381"/>
        <v>0</v>
      </c>
      <c r="CY695">
        <f t="shared" si="1381"/>
        <v>0</v>
      </c>
      <c r="CZ695">
        <f t="shared" si="1381"/>
        <v>0</v>
      </c>
      <c r="DA695">
        <f t="shared" si="1381"/>
        <v>0</v>
      </c>
      <c r="DB695">
        <f t="shared" si="1381"/>
        <v>0</v>
      </c>
      <c r="DC695">
        <f t="shared" si="1381"/>
        <v>0</v>
      </c>
      <c r="DD695">
        <f t="shared" si="1381"/>
        <v>0</v>
      </c>
      <c r="DE695">
        <f t="shared" si="1381"/>
        <v>0</v>
      </c>
      <c r="DF695">
        <f t="shared" si="1381"/>
        <v>0</v>
      </c>
      <c r="DG695">
        <f t="shared" si="1382"/>
        <v>0</v>
      </c>
      <c r="DH695">
        <f t="shared" si="1382"/>
        <v>0</v>
      </c>
      <c r="DI695">
        <f t="shared" si="1382"/>
        <v>0</v>
      </c>
      <c r="DJ695">
        <f t="shared" si="1382"/>
        <v>0</v>
      </c>
      <c r="DK695">
        <f t="shared" si="1382"/>
        <v>0</v>
      </c>
      <c r="DL695">
        <f t="shared" si="1382"/>
        <v>0</v>
      </c>
      <c r="DM695">
        <f t="shared" si="1382"/>
        <v>0</v>
      </c>
      <c r="DN695">
        <f t="shared" si="1382"/>
        <v>0</v>
      </c>
      <c r="DO695">
        <f t="shared" si="1382"/>
        <v>0</v>
      </c>
      <c r="DP695">
        <f t="shared" si="1382"/>
        <v>0</v>
      </c>
      <c r="DQ695">
        <f t="shared" si="1383"/>
        <v>0</v>
      </c>
      <c r="DR695">
        <f t="shared" si="1383"/>
        <v>0</v>
      </c>
      <c r="DS695">
        <f t="shared" si="1383"/>
        <v>0</v>
      </c>
      <c r="DT695">
        <f t="shared" si="1383"/>
        <v>0</v>
      </c>
      <c r="DU695">
        <f t="shared" si="1383"/>
        <v>0</v>
      </c>
      <c r="DV695">
        <f t="shared" si="1383"/>
        <v>0</v>
      </c>
      <c r="DW695">
        <f t="shared" si="1383"/>
        <v>0</v>
      </c>
      <c r="DX695">
        <f t="shared" si="1383"/>
        <v>0</v>
      </c>
      <c r="DY695">
        <f t="shared" si="1383"/>
        <v>0</v>
      </c>
      <c r="DZ695">
        <f t="shared" si="1383"/>
        <v>0</v>
      </c>
      <c r="EA695">
        <f t="shared" si="1384"/>
        <v>0</v>
      </c>
      <c r="EB695">
        <f t="shared" si="1384"/>
        <v>0</v>
      </c>
      <c r="EC695">
        <f t="shared" si="1384"/>
        <v>0</v>
      </c>
      <c r="ED695">
        <f t="shared" si="1384"/>
        <v>0</v>
      </c>
      <c r="EE695">
        <f t="shared" si="1384"/>
        <v>0</v>
      </c>
      <c r="EF695">
        <f t="shared" si="1384"/>
        <v>0</v>
      </c>
    </row>
    <row r="696" spans="1:136" ht="15.5">
      <c r="A696" s="90"/>
      <c r="B696" s="19" t="s">
        <v>212</v>
      </c>
      <c r="C696" s="95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>
        <v>0</v>
      </c>
      <c r="V696" s="34">
        <v>0</v>
      </c>
      <c r="W696" s="34">
        <v>0</v>
      </c>
      <c r="X696" s="34">
        <v>0</v>
      </c>
      <c r="Y696" s="34">
        <v>0</v>
      </c>
      <c r="Z696" s="34">
        <v>0</v>
      </c>
      <c r="AA696" s="34">
        <v>0</v>
      </c>
      <c r="AB696" s="34">
        <v>0</v>
      </c>
      <c r="AC696" s="34">
        <v>0</v>
      </c>
      <c r="AD696" s="34">
        <v>0</v>
      </c>
      <c r="AE696" s="34">
        <v>0</v>
      </c>
      <c r="AF696" s="34">
        <v>0</v>
      </c>
      <c r="AG696" s="34">
        <v>0</v>
      </c>
      <c r="AH696" s="34">
        <v>0</v>
      </c>
      <c r="AI696" s="34">
        <v>0</v>
      </c>
      <c r="AJ696" s="34">
        <v>0</v>
      </c>
      <c r="AK696" s="34">
        <v>0</v>
      </c>
      <c r="AL696" s="34">
        <v>0</v>
      </c>
      <c r="AM696" s="34">
        <v>0</v>
      </c>
      <c r="AN696" s="34">
        <v>0</v>
      </c>
      <c r="AO696" s="34">
        <v>0</v>
      </c>
      <c r="AP696" s="34">
        <v>0</v>
      </c>
      <c r="AQ696" s="34">
        <v>0</v>
      </c>
      <c r="AR696" s="34">
        <v>0</v>
      </c>
      <c r="AS696" s="34">
        <v>0</v>
      </c>
      <c r="AT696" s="34">
        <v>0</v>
      </c>
      <c r="AU696" s="34">
        <v>0</v>
      </c>
      <c r="AV696" s="34">
        <v>0</v>
      </c>
      <c r="AW696" s="34">
        <v>806.45161290322585</v>
      </c>
      <c r="AX696" s="34">
        <f>1000/1.36</f>
        <v>735.29411764705878</v>
      </c>
      <c r="AY696" s="34"/>
      <c r="AZ696" s="34"/>
      <c r="BA696" s="34"/>
      <c r="BB696" s="34"/>
      <c r="BC696" s="34"/>
      <c r="BD696" s="34"/>
      <c r="BE696" s="42"/>
      <c r="BF696" s="34"/>
      <c r="BG696" s="34"/>
      <c r="BH696" s="34"/>
      <c r="BI696" s="34"/>
      <c r="BJ696" s="34">
        <v>0</v>
      </c>
      <c r="BK696" s="34">
        <v>0</v>
      </c>
      <c r="BL696" s="34">
        <v>0</v>
      </c>
      <c r="BM696" s="34">
        <v>0</v>
      </c>
      <c r="BN696" s="34">
        <v>0</v>
      </c>
      <c r="BO696" s="113">
        <v>0</v>
      </c>
      <c r="BP696" s="113">
        <v>0</v>
      </c>
      <c r="BQ696" s="113">
        <v>0</v>
      </c>
      <c r="BR696" s="101"/>
      <c r="BS696">
        <f t="shared" si="1378"/>
        <v>0</v>
      </c>
      <c r="BT696">
        <f t="shared" si="1378"/>
        <v>0</v>
      </c>
      <c r="BU696">
        <f t="shared" si="1378"/>
        <v>0</v>
      </c>
      <c r="BV696">
        <f t="shared" si="1378"/>
        <v>0</v>
      </c>
      <c r="BW696">
        <f t="shared" si="1378"/>
        <v>0</v>
      </c>
      <c r="BX696">
        <f t="shared" si="1378"/>
        <v>0</v>
      </c>
      <c r="BY696">
        <f t="shared" si="1378"/>
        <v>0</v>
      </c>
      <c r="BZ696">
        <f t="shared" si="1378"/>
        <v>0</v>
      </c>
      <c r="CA696">
        <f t="shared" si="1378"/>
        <v>0</v>
      </c>
      <c r="CB696">
        <f t="shared" si="1378"/>
        <v>0</v>
      </c>
      <c r="CC696">
        <f t="shared" si="1379"/>
        <v>0</v>
      </c>
      <c r="CD696">
        <f t="shared" si="1379"/>
        <v>0</v>
      </c>
      <c r="CE696">
        <f t="shared" si="1379"/>
        <v>0</v>
      </c>
      <c r="CF696">
        <f t="shared" si="1379"/>
        <v>0</v>
      </c>
      <c r="CG696">
        <f t="shared" si="1379"/>
        <v>0</v>
      </c>
      <c r="CH696">
        <f t="shared" si="1379"/>
        <v>0</v>
      </c>
      <c r="CI696">
        <f t="shared" si="1379"/>
        <v>0</v>
      </c>
      <c r="CJ696">
        <f t="shared" si="1379"/>
        <v>0</v>
      </c>
      <c r="CK696">
        <f t="shared" si="1379"/>
        <v>0</v>
      </c>
      <c r="CL696">
        <f t="shared" si="1379"/>
        <v>0</v>
      </c>
      <c r="CM696">
        <f t="shared" si="1380"/>
        <v>0</v>
      </c>
      <c r="CN696">
        <f t="shared" si="1380"/>
        <v>0</v>
      </c>
      <c r="CO696">
        <f t="shared" si="1380"/>
        <v>0</v>
      </c>
      <c r="CP696">
        <f t="shared" si="1380"/>
        <v>0</v>
      </c>
      <c r="CQ696">
        <f t="shared" si="1380"/>
        <v>0</v>
      </c>
      <c r="CR696">
        <f t="shared" si="1380"/>
        <v>0</v>
      </c>
      <c r="CS696">
        <f t="shared" si="1380"/>
        <v>0</v>
      </c>
      <c r="CT696">
        <f t="shared" si="1380"/>
        <v>0</v>
      </c>
      <c r="CU696">
        <f t="shared" si="1380"/>
        <v>0</v>
      </c>
      <c r="CV696">
        <f t="shared" si="1380"/>
        <v>0</v>
      </c>
      <c r="CW696">
        <f t="shared" si="1381"/>
        <v>0</v>
      </c>
      <c r="CX696">
        <f t="shared" si="1381"/>
        <v>0</v>
      </c>
      <c r="CY696">
        <f t="shared" si="1381"/>
        <v>0</v>
      </c>
      <c r="CZ696">
        <f t="shared" si="1381"/>
        <v>0</v>
      </c>
      <c r="DA696">
        <f t="shared" si="1381"/>
        <v>0</v>
      </c>
      <c r="DB696">
        <f t="shared" si="1381"/>
        <v>0</v>
      </c>
      <c r="DC696">
        <f t="shared" si="1381"/>
        <v>0</v>
      </c>
      <c r="DD696">
        <f t="shared" si="1381"/>
        <v>0</v>
      </c>
      <c r="DE696">
        <f t="shared" si="1381"/>
        <v>0</v>
      </c>
      <c r="DF696">
        <f t="shared" si="1381"/>
        <v>0</v>
      </c>
      <c r="DG696">
        <f t="shared" si="1382"/>
        <v>0</v>
      </c>
      <c r="DH696">
        <f t="shared" si="1382"/>
        <v>0</v>
      </c>
      <c r="DI696">
        <f t="shared" si="1382"/>
        <v>0</v>
      </c>
      <c r="DJ696">
        <f t="shared" si="1382"/>
        <v>0</v>
      </c>
      <c r="DK696">
        <f t="shared" si="1382"/>
        <v>0</v>
      </c>
      <c r="DL696">
        <f t="shared" si="1382"/>
        <v>0</v>
      </c>
      <c r="DM696">
        <f t="shared" si="1382"/>
        <v>0</v>
      </c>
      <c r="DN696">
        <f t="shared" si="1382"/>
        <v>0</v>
      </c>
      <c r="DO696">
        <f t="shared" si="1382"/>
        <v>0</v>
      </c>
      <c r="DP696">
        <f t="shared" si="1382"/>
        <v>0</v>
      </c>
      <c r="DQ696">
        <f t="shared" si="1383"/>
        <v>0</v>
      </c>
      <c r="DR696">
        <f t="shared" si="1383"/>
        <v>0</v>
      </c>
      <c r="DS696">
        <f t="shared" si="1383"/>
        <v>0</v>
      </c>
      <c r="DT696">
        <f t="shared" si="1383"/>
        <v>0</v>
      </c>
      <c r="DU696">
        <f t="shared" si="1383"/>
        <v>0</v>
      </c>
      <c r="DV696">
        <f t="shared" si="1383"/>
        <v>0</v>
      </c>
      <c r="DW696">
        <f t="shared" si="1383"/>
        <v>0</v>
      </c>
      <c r="DX696">
        <f t="shared" si="1383"/>
        <v>0</v>
      </c>
      <c r="DY696">
        <f t="shared" si="1383"/>
        <v>0</v>
      </c>
      <c r="DZ696">
        <f t="shared" si="1383"/>
        <v>0</v>
      </c>
      <c r="EA696">
        <f t="shared" si="1384"/>
        <v>0</v>
      </c>
      <c r="EB696">
        <f t="shared" si="1384"/>
        <v>0</v>
      </c>
      <c r="EC696">
        <f t="shared" si="1384"/>
        <v>0</v>
      </c>
      <c r="ED696">
        <f t="shared" si="1384"/>
        <v>0</v>
      </c>
      <c r="EE696">
        <f t="shared" si="1384"/>
        <v>0</v>
      </c>
      <c r="EF696">
        <f t="shared" si="1384"/>
        <v>0</v>
      </c>
    </row>
    <row r="697" spans="1:136" ht="15.5">
      <c r="A697" s="90"/>
      <c r="B697" s="19"/>
      <c r="C697" s="95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  <c r="AI697" s="34"/>
      <c r="AJ697" s="34"/>
      <c r="AK697" s="34"/>
      <c r="AL697" s="34"/>
      <c r="AM697" s="34"/>
      <c r="AN697" s="34"/>
      <c r="AO697" s="34"/>
      <c r="AP697" s="34"/>
      <c r="AQ697" s="34"/>
      <c r="AR697" s="34"/>
      <c r="AS697" s="34"/>
      <c r="AT697" s="34"/>
      <c r="AU697" s="34"/>
      <c r="AV697" s="34"/>
      <c r="AW697" s="34"/>
      <c r="AX697" s="34"/>
      <c r="AY697" s="34"/>
      <c r="AZ697" s="34"/>
      <c r="BA697" s="34"/>
      <c r="BB697" s="34"/>
      <c r="BC697" s="34"/>
      <c r="BD697" s="34"/>
      <c r="BE697" s="42"/>
      <c r="BF697" s="34"/>
      <c r="BG697" s="34"/>
      <c r="BH697" s="34"/>
      <c r="BI697" s="34"/>
      <c r="BJ697" s="34"/>
      <c r="BK697" s="34"/>
      <c r="BL697" s="34"/>
      <c r="BM697" s="34"/>
      <c r="BN697" s="34"/>
      <c r="BO697" s="2"/>
      <c r="BP697" s="2"/>
      <c r="BQ697" s="2"/>
      <c r="BR697" s="101"/>
    </row>
    <row r="698" spans="1:136" ht="15.5">
      <c r="A698" s="93">
        <v>85</v>
      </c>
      <c r="B698" s="32" t="s">
        <v>247</v>
      </c>
      <c r="C698" s="95">
        <v>3</v>
      </c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  <c r="AI698" s="34"/>
      <c r="AJ698" s="9">
        <f>AJ699</f>
        <v>0</v>
      </c>
      <c r="AK698" s="9">
        <f>AK699</f>
        <v>63.797468354430379</v>
      </c>
      <c r="AL698" s="9">
        <f t="shared" ref="AL698:BQ698" si="1385">AL699</f>
        <v>0</v>
      </c>
      <c r="AM698" s="9">
        <f t="shared" si="1385"/>
        <v>0</v>
      </c>
      <c r="AN698" s="9">
        <f t="shared" si="1385"/>
        <v>0</v>
      </c>
      <c r="AO698" s="9">
        <f t="shared" si="1385"/>
        <v>0</v>
      </c>
      <c r="AP698" s="9">
        <f t="shared" si="1385"/>
        <v>0</v>
      </c>
      <c r="AQ698" s="9">
        <f t="shared" si="1385"/>
        <v>0</v>
      </c>
      <c r="AR698" s="9">
        <f t="shared" si="1385"/>
        <v>0</v>
      </c>
      <c r="AS698" s="9">
        <f t="shared" si="1385"/>
        <v>0</v>
      </c>
      <c r="AT698" s="9">
        <f t="shared" si="1385"/>
        <v>0</v>
      </c>
      <c r="AU698" s="9">
        <f t="shared" si="1385"/>
        <v>0</v>
      </c>
      <c r="AV698" s="9">
        <f t="shared" si="1385"/>
        <v>0</v>
      </c>
      <c r="AW698" s="9">
        <f t="shared" si="1385"/>
        <v>0</v>
      </c>
      <c r="AX698" s="9">
        <f t="shared" si="1385"/>
        <v>0</v>
      </c>
      <c r="AY698" s="9">
        <f t="shared" si="1385"/>
        <v>0</v>
      </c>
      <c r="AZ698" s="9">
        <f t="shared" si="1385"/>
        <v>0</v>
      </c>
      <c r="BA698" s="9">
        <f t="shared" si="1385"/>
        <v>0</v>
      </c>
      <c r="BB698" s="9">
        <f t="shared" si="1385"/>
        <v>0</v>
      </c>
      <c r="BC698" s="9">
        <f t="shared" si="1385"/>
        <v>0</v>
      </c>
      <c r="BD698" s="9">
        <f t="shared" si="1385"/>
        <v>0</v>
      </c>
      <c r="BE698" s="9">
        <f t="shared" si="1385"/>
        <v>0</v>
      </c>
      <c r="BF698" s="9">
        <f t="shared" si="1385"/>
        <v>0</v>
      </c>
      <c r="BG698" s="9">
        <f t="shared" si="1385"/>
        <v>0</v>
      </c>
      <c r="BH698" s="9">
        <f t="shared" si="1385"/>
        <v>0</v>
      </c>
      <c r="BI698" s="9">
        <f t="shared" si="1385"/>
        <v>0</v>
      </c>
      <c r="BJ698" s="9">
        <f t="shared" si="1385"/>
        <v>0</v>
      </c>
      <c r="BK698" s="9">
        <f t="shared" si="1385"/>
        <v>0</v>
      </c>
      <c r="BL698" s="9">
        <f t="shared" si="1385"/>
        <v>0</v>
      </c>
      <c r="BM698" s="9">
        <f t="shared" si="1385"/>
        <v>0</v>
      </c>
      <c r="BN698" s="9">
        <f t="shared" si="1385"/>
        <v>0</v>
      </c>
      <c r="BO698" s="9">
        <f t="shared" si="1385"/>
        <v>0</v>
      </c>
      <c r="BP698" s="9">
        <f t="shared" si="1385"/>
        <v>0</v>
      </c>
      <c r="BQ698" s="9">
        <f t="shared" si="1385"/>
        <v>0</v>
      </c>
      <c r="BR698" s="101"/>
      <c r="BS698">
        <f t="shared" ref="BS698:CB699" si="1386">IF($C698&lt;&gt;"",IF(D698&gt;0,1,0),0)</f>
        <v>0</v>
      </c>
      <c r="BT698">
        <f t="shared" si="1386"/>
        <v>0</v>
      </c>
      <c r="BU698">
        <f t="shared" si="1386"/>
        <v>0</v>
      </c>
      <c r="BV698">
        <f t="shared" si="1386"/>
        <v>0</v>
      </c>
      <c r="BW698">
        <f t="shared" si="1386"/>
        <v>0</v>
      </c>
      <c r="BX698">
        <f t="shared" si="1386"/>
        <v>0</v>
      </c>
      <c r="BY698">
        <f t="shared" si="1386"/>
        <v>0</v>
      </c>
      <c r="BZ698">
        <f t="shared" si="1386"/>
        <v>0</v>
      </c>
      <c r="CA698">
        <f t="shared" si="1386"/>
        <v>0</v>
      </c>
      <c r="CB698">
        <f t="shared" si="1386"/>
        <v>0</v>
      </c>
      <c r="CC698">
        <f t="shared" ref="CC698:CL699" si="1387">IF($C698&lt;&gt;"",IF(N698&gt;0,1,0),0)</f>
        <v>0</v>
      </c>
      <c r="CD698">
        <f t="shared" si="1387"/>
        <v>0</v>
      </c>
      <c r="CE698">
        <f t="shared" si="1387"/>
        <v>0</v>
      </c>
      <c r="CF698">
        <f t="shared" si="1387"/>
        <v>0</v>
      </c>
      <c r="CG698">
        <f t="shared" si="1387"/>
        <v>0</v>
      </c>
      <c r="CH698">
        <f t="shared" si="1387"/>
        <v>0</v>
      </c>
      <c r="CI698">
        <f t="shared" si="1387"/>
        <v>0</v>
      </c>
      <c r="CJ698">
        <f t="shared" si="1387"/>
        <v>0</v>
      </c>
      <c r="CK698">
        <f t="shared" si="1387"/>
        <v>0</v>
      </c>
      <c r="CL698">
        <f t="shared" si="1387"/>
        <v>0</v>
      </c>
      <c r="CM698">
        <f t="shared" ref="CM698:CV699" si="1388">IF($C698&lt;&gt;"",IF(X698&gt;0,1,0),0)</f>
        <v>0</v>
      </c>
      <c r="CN698">
        <f t="shared" si="1388"/>
        <v>0</v>
      </c>
      <c r="CO698">
        <f t="shared" si="1388"/>
        <v>0</v>
      </c>
      <c r="CP698">
        <f t="shared" si="1388"/>
        <v>0</v>
      </c>
      <c r="CQ698">
        <f t="shared" si="1388"/>
        <v>0</v>
      </c>
      <c r="CR698">
        <f t="shared" si="1388"/>
        <v>0</v>
      </c>
      <c r="CS698">
        <f t="shared" si="1388"/>
        <v>0</v>
      </c>
      <c r="CT698">
        <f t="shared" si="1388"/>
        <v>0</v>
      </c>
      <c r="CU698">
        <f t="shared" si="1388"/>
        <v>0</v>
      </c>
      <c r="CV698">
        <f t="shared" si="1388"/>
        <v>0</v>
      </c>
      <c r="CW698">
        <f t="shared" ref="CW698:DF699" si="1389">IF($C698&lt;&gt;"",IF(AH698&gt;0,1,0),0)</f>
        <v>0</v>
      </c>
      <c r="CX698">
        <f t="shared" si="1389"/>
        <v>0</v>
      </c>
      <c r="CY698">
        <f t="shared" si="1389"/>
        <v>0</v>
      </c>
      <c r="CZ698">
        <f t="shared" si="1389"/>
        <v>1</v>
      </c>
      <c r="DA698">
        <f t="shared" si="1389"/>
        <v>0</v>
      </c>
      <c r="DB698">
        <f t="shared" si="1389"/>
        <v>0</v>
      </c>
      <c r="DC698">
        <f t="shared" si="1389"/>
        <v>0</v>
      </c>
      <c r="DD698">
        <f t="shared" si="1389"/>
        <v>0</v>
      </c>
      <c r="DE698">
        <f t="shared" si="1389"/>
        <v>0</v>
      </c>
      <c r="DF698">
        <f t="shared" si="1389"/>
        <v>0</v>
      </c>
      <c r="DG698">
        <f t="shared" ref="DG698:DP699" si="1390">IF($C698&lt;&gt;"",IF(AR698&gt;0,1,0),0)</f>
        <v>0</v>
      </c>
      <c r="DH698">
        <f t="shared" si="1390"/>
        <v>0</v>
      </c>
      <c r="DI698">
        <f t="shared" si="1390"/>
        <v>0</v>
      </c>
      <c r="DJ698">
        <f t="shared" si="1390"/>
        <v>0</v>
      </c>
      <c r="DK698">
        <f t="shared" si="1390"/>
        <v>0</v>
      </c>
      <c r="DL698">
        <f t="shared" si="1390"/>
        <v>0</v>
      </c>
      <c r="DM698">
        <f t="shared" si="1390"/>
        <v>0</v>
      </c>
      <c r="DN698">
        <f t="shared" si="1390"/>
        <v>0</v>
      </c>
      <c r="DO698">
        <f t="shared" si="1390"/>
        <v>0</v>
      </c>
      <c r="DP698">
        <f t="shared" si="1390"/>
        <v>0</v>
      </c>
      <c r="DQ698">
        <f t="shared" ref="DQ698:DZ699" si="1391">IF($C698&lt;&gt;"",IF(BB698&gt;0,1,0),0)</f>
        <v>0</v>
      </c>
      <c r="DR698">
        <f t="shared" si="1391"/>
        <v>0</v>
      </c>
      <c r="DS698">
        <f t="shared" si="1391"/>
        <v>0</v>
      </c>
      <c r="DT698">
        <f t="shared" si="1391"/>
        <v>0</v>
      </c>
      <c r="DU698">
        <f t="shared" si="1391"/>
        <v>0</v>
      </c>
      <c r="DV698">
        <f t="shared" si="1391"/>
        <v>0</v>
      </c>
      <c r="DW698">
        <f t="shared" si="1391"/>
        <v>0</v>
      </c>
      <c r="DX698">
        <f t="shared" si="1391"/>
        <v>0</v>
      </c>
      <c r="DY698">
        <f t="shared" si="1391"/>
        <v>0</v>
      </c>
      <c r="DZ698">
        <f t="shared" si="1391"/>
        <v>0</v>
      </c>
      <c r="EA698">
        <f t="shared" ref="EA698:EF699" si="1392">IF($C698&lt;&gt;"",IF(BL698&gt;0,1,0),0)</f>
        <v>0</v>
      </c>
      <c r="EB698">
        <f t="shared" si="1392"/>
        <v>0</v>
      </c>
      <c r="EC698">
        <f t="shared" si="1392"/>
        <v>0</v>
      </c>
      <c r="ED698">
        <f t="shared" si="1392"/>
        <v>0</v>
      </c>
      <c r="EE698">
        <f t="shared" si="1392"/>
        <v>0</v>
      </c>
      <c r="EF698">
        <f t="shared" si="1392"/>
        <v>0</v>
      </c>
    </row>
    <row r="699" spans="1:136" ht="15.5">
      <c r="A699" s="90"/>
      <c r="B699" s="57" t="s">
        <v>3</v>
      </c>
      <c r="C699" s="95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  <c r="AI699" s="34"/>
      <c r="AJ699" s="34">
        <v>0</v>
      </c>
      <c r="AK699" s="34">
        <f>252/3.95</f>
        <v>63.797468354430379</v>
      </c>
      <c r="AL699" s="34">
        <v>0</v>
      </c>
      <c r="AM699" s="34">
        <v>0</v>
      </c>
      <c r="AN699" s="34">
        <v>0</v>
      </c>
      <c r="AO699" s="34">
        <v>0</v>
      </c>
      <c r="AP699" s="34">
        <v>0</v>
      </c>
      <c r="AQ699" s="34">
        <v>0</v>
      </c>
      <c r="AR699" s="34">
        <v>0</v>
      </c>
      <c r="AS699" s="34">
        <v>0</v>
      </c>
      <c r="AT699" s="34">
        <v>0</v>
      </c>
      <c r="AU699" s="34">
        <v>0</v>
      </c>
      <c r="AV699" s="34">
        <v>0</v>
      </c>
      <c r="AW699" s="34">
        <v>0</v>
      </c>
      <c r="AX699" s="34">
        <v>0</v>
      </c>
      <c r="AY699" s="34">
        <v>0</v>
      </c>
      <c r="AZ699" s="34">
        <v>0</v>
      </c>
      <c r="BA699" s="34">
        <v>0</v>
      </c>
      <c r="BB699" s="34">
        <v>0</v>
      </c>
      <c r="BC699" s="34">
        <v>0</v>
      </c>
      <c r="BD699" s="34">
        <v>0</v>
      </c>
      <c r="BE699" s="42">
        <v>0</v>
      </c>
      <c r="BF699" s="34">
        <v>0</v>
      </c>
      <c r="BG699" s="34">
        <v>0</v>
      </c>
      <c r="BH699" s="34">
        <v>0</v>
      </c>
      <c r="BI699" s="34">
        <v>0</v>
      </c>
      <c r="BJ699" s="34">
        <v>0</v>
      </c>
      <c r="BK699" s="34">
        <v>0</v>
      </c>
      <c r="BL699" s="34">
        <v>0</v>
      </c>
      <c r="BM699" s="34">
        <v>0</v>
      </c>
      <c r="BN699" s="34">
        <v>0</v>
      </c>
      <c r="BO699" s="113">
        <v>0</v>
      </c>
      <c r="BP699" s="113">
        <v>0</v>
      </c>
      <c r="BQ699" s="113">
        <v>0</v>
      </c>
      <c r="BR699" s="101"/>
      <c r="BS699">
        <f t="shared" si="1386"/>
        <v>0</v>
      </c>
      <c r="BT699">
        <f t="shared" si="1386"/>
        <v>0</v>
      </c>
      <c r="BU699">
        <f t="shared" si="1386"/>
        <v>0</v>
      </c>
      <c r="BV699">
        <f t="shared" si="1386"/>
        <v>0</v>
      </c>
      <c r="BW699">
        <f t="shared" si="1386"/>
        <v>0</v>
      </c>
      <c r="BX699">
        <f t="shared" si="1386"/>
        <v>0</v>
      </c>
      <c r="BY699">
        <f t="shared" si="1386"/>
        <v>0</v>
      </c>
      <c r="BZ699">
        <f t="shared" si="1386"/>
        <v>0</v>
      </c>
      <c r="CA699">
        <f t="shared" si="1386"/>
        <v>0</v>
      </c>
      <c r="CB699">
        <f t="shared" si="1386"/>
        <v>0</v>
      </c>
      <c r="CC699">
        <f t="shared" si="1387"/>
        <v>0</v>
      </c>
      <c r="CD699">
        <f t="shared" si="1387"/>
        <v>0</v>
      </c>
      <c r="CE699">
        <f t="shared" si="1387"/>
        <v>0</v>
      </c>
      <c r="CF699">
        <f t="shared" si="1387"/>
        <v>0</v>
      </c>
      <c r="CG699">
        <f t="shared" si="1387"/>
        <v>0</v>
      </c>
      <c r="CH699">
        <f t="shared" si="1387"/>
        <v>0</v>
      </c>
      <c r="CI699">
        <f t="shared" si="1387"/>
        <v>0</v>
      </c>
      <c r="CJ699">
        <f t="shared" si="1387"/>
        <v>0</v>
      </c>
      <c r="CK699">
        <f t="shared" si="1387"/>
        <v>0</v>
      </c>
      <c r="CL699">
        <f t="shared" si="1387"/>
        <v>0</v>
      </c>
      <c r="CM699">
        <f t="shared" si="1388"/>
        <v>0</v>
      </c>
      <c r="CN699">
        <f t="shared" si="1388"/>
        <v>0</v>
      </c>
      <c r="CO699">
        <f t="shared" si="1388"/>
        <v>0</v>
      </c>
      <c r="CP699">
        <f t="shared" si="1388"/>
        <v>0</v>
      </c>
      <c r="CQ699">
        <f t="shared" si="1388"/>
        <v>0</v>
      </c>
      <c r="CR699">
        <f t="shared" si="1388"/>
        <v>0</v>
      </c>
      <c r="CS699">
        <f t="shared" si="1388"/>
        <v>0</v>
      </c>
      <c r="CT699">
        <f t="shared" si="1388"/>
        <v>0</v>
      </c>
      <c r="CU699">
        <f t="shared" si="1388"/>
        <v>0</v>
      </c>
      <c r="CV699">
        <f t="shared" si="1388"/>
        <v>0</v>
      </c>
      <c r="CW699">
        <f t="shared" si="1389"/>
        <v>0</v>
      </c>
      <c r="CX699">
        <f t="shared" si="1389"/>
        <v>0</v>
      </c>
      <c r="CY699">
        <f t="shared" si="1389"/>
        <v>0</v>
      </c>
      <c r="CZ699">
        <f t="shared" si="1389"/>
        <v>0</v>
      </c>
      <c r="DA699">
        <f t="shared" si="1389"/>
        <v>0</v>
      </c>
      <c r="DB699">
        <f t="shared" si="1389"/>
        <v>0</v>
      </c>
      <c r="DC699">
        <f t="shared" si="1389"/>
        <v>0</v>
      </c>
      <c r="DD699">
        <f t="shared" si="1389"/>
        <v>0</v>
      </c>
      <c r="DE699">
        <f t="shared" si="1389"/>
        <v>0</v>
      </c>
      <c r="DF699">
        <f t="shared" si="1389"/>
        <v>0</v>
      </c>
      <c r="DG699">
        <f t="shared" si="1390"/>
        <v>0</v>
      </c>
      <c r="DH699">
        <f t="shared" si="1390"/>
        <v>0</v>
      </c>
      <c r="DI699">
        <f t="shared" si="1390"/>
        <v>0</v>
      </c>
      <c r="DJ699">
        <f t="shared" si="1390"/>
        <v>0</v>
      </c>
      <c r="DK699">
        <f t="shared" si="1390"/>
        <v>0</v>
      </c>
      <c r="DL699">
        <f t="shared" si="1390"/>
        <v>0</v>
      </c>
      <c r="DM699">
        <f t="shared" si="1390"/>
        <v>0</v>
      </c>
      <c r="DN699">
        <f t="shared" si="1390"/>
        <v>0</v>
      </c>
      <c r="DO699">
        <f t="shared" si="1390"/>
        <v>0</v>
      </c>
      <c r="DP699">
        <f t="shared" si="1390"/>
        <v>0</v>
      </c>
      <c r="DQ699">
        <f t="shared" si="1391"/>
        <v>0</v>
      </c>
      <c r="DR699">
        <f t="shared" si="1391"/>
        <v>0</v>
      </c>
      <c r="DS699">
        <f t="shared" si="1391"/>
        <v>0</v>
      </c>
      <c r="DT699">
        <f t="shared" si="1391"/>
        <v>0</v>
      </c>
      <c r="DU699">
        <f t="shared" si="1391"/>
        <v>0</v>
      </c>
      <c r="DV699">
        <f t="shared" si="1391"/>
        <v>0</v>
      </c>
      <c r="DW699">
        <f t="shared" si="1391"/>
        <v>0</v>
      </c>
      <c r="DX699">
        <f t="shared" si="1391"/>
        <v>0</v>
      </c>
      <c r="DY699">
        <f t="shared" si="1391"/>
        <v>0</v>
      </c>
      <c r="DZ699">
        <f t="shared" si="1391"/>
        <v>0</v>
      </c>
      <c r="EA699">
        <f t="shared" si="1392"/>
        <v>0</v>
      </c>
      <c r="EB699">
        <f t="shared" si="1392"/>
        <v>0</v>
      </c>
      <c r="EC699">
        <f t="shared" si="1392"/>
        <v>0</v>
      </c>
      <c r="ED699">
        <f t="shared" si="1392"/>
        <v>0</v>
      </c>
      <c r="EE699">
        <f t="shared" si="1392"/>
        <v>0</v>
      </c>
      <c r="EF699">
        <f t="shared" si="1392"/>
        <v>0</v>
      </c>
    </row>
    <row r="700" spans="1:136" ht="15.5">
      <c r="A700" s="90"/>
      <c r="B700" s="19" t="s">
        <v>212</v>
      </c>
      <c r="C700" s="95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  <c r="AI700" s="34"/>
      <c r="AJ700" s="34">
        <v>0</v>
      </c>
      <c r="AK700" s="34">
        <v>0</v>
      </c>
      <c r="AL700" s="34">
        <f>300/1.158</f>
        <v>259.06735751295338</v>
      </c>
      <c r="AM700" s="34">
        <f>335/1.158</f>
        <v>289.29188255613127</v>
      </c>
      <c r="AN700" s="34">
        <f>70/1.158</f>
        <v>60.44905008635579</v>
      </c>
      <c r="AO700" s="34">
        <f>181/1.16</f>
        <v>156.0344827586207</v>
      </c>
      <c r="AP700" s="34">
        <f>106/1.158</f>
        <v>91.537132987910198</v>
      </c>
      <c r="AQ700" s="34">
        <v>206</v>
      </c>
      <c r="AR700" s="34">
        <v>321.41680395387152</v>
      </c>
      <c r="AS700" s="34">
        <v>318.47133757961785</v>
      </c>
      <c r="AT700" s="34">
        <v>161.81229773462783</v>
      </c>
      <c r="AU700" s="34">
        <v>140.10507880910683</v>
      </c>
      <c r="AV700" s="34">
        <v>0</v>
      </c>
      <c r="AW700" s="34">
        <v>0</v>
      </c>
      <c r="AX700" s="34">
        <v>0</v>
      </c>
      <c r="AY700" s="34">
        <v>0</v>
      </c>
      <c r="AZ700" s="34">
        <v>0</v>
      </c>
      <c r="BA700" s="34">
        <v>0</v>
      </c>
      <c r="BB700" s="34">
        <v>0</v>
      </c>
      <c r="BC700" s="34">
        <v>0</v>
      </c>
      <c r="BD700" s="34">
        <v>0</v>
      </c>
      <c r="BE700" s="42">
        <v>0</v>
      </c>
      <c r="BF700" s="34">
        <v>0</v>
      </c>
      <c r="BG700" s="34">
        <v>0</v>
      </c>
      <c r="BH700" s="34">
        <v>0</v>
      </c>
      <c r="BI700" s="34">
        <v>0</v>
      </c>
      <c r="BJ700" s="34">
        <v>0</v>
      </c>
      <c r="BK700" s="34">
        <v>0</v>
      </c>
      <c r="BL700" s="34">
        <v>0</v>
      </c>
      <c r="BM700" s="34">
        <v>0</v>
      </c>
      <c r="BN700" s="34">
        <v>0</v>
      </c>
      <c r="BO700" s="113">
        <v>0</v>
      </c>
      <c r="BP700" s="113">
        <v>0</v>
      </c>
      <c r="BQ700" s="113">
        <v>0</v>
      </c>
      <c r="BR700" s="101"/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</row>
    <row r="701" spans="1:136" ht="15.5">
      <c r="A701" s="90"/>
      <c r="B701" s="19"/>
      <c r="C701" s="95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  <c r="AS701" s="18"/>
      <c r="AT701" s="18"/>
      <c r="AU701" s="18"/>
      <c r="AV701" s="18"/>
      <c r="AW701" s="18"/>
      <c r="AX701" s="18"/>
      <c r="AY701" s="18"/>
      <c r="AZ701" s="18"/>
      <c r="BA701" s="18"/>
      <c r="BB701" s="18"/>
      <c r="BC701" s="18"/>
      <c r="BD701" s="18"/>
      <c r="BE701" s="25"/>
      <c r="BF701" s="18"/>
      <c r="BG701" s="18"/>
      <c r="BH701" s="34"/>
      <c r="BI701" s="2"/>
      <c r="BJ701" s="2"/>
      <c r="BK701" s="2"/>
      <c r="BL701" s="2"/>
      <c r="BM701" s="2"/>
      <c r="BN701" s="2"/>
      <c r="BO701" s="2"/>
      <c r="BP701" s="2"/>
      <c r="BQ701" s="2"/>
      <c r="BR701" s="101"/>
    </row>
    <row r="702" spans="1:136" ht="15.5">
      <c r="A702" s="93">
        <v>86</v>
      </c>
      <c r="B702" s="32" t="s">
        <v>203</v>
      </c>
      <c r="C702" s="95">
        <v>3</v>
      </c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>
        <f>SUM(AJ703:AJ708)</f>
        <v>1618.978512997825</v>
      </c>
      <c r="AK702" s="22">
        <f>SUM(AK703:AK708)</f>
        <v>692.51773874412572</v>
      </c>
      <c r="AL702" s="22">
        <f t="shared" ref="AL702:BO702" si="1393">SUM(AL703:AL708)</f>
        <v>515.60653110312501</v>
      </c>
      <c r="AM702" s="22">
        <f t="shared" si="1393"/>
        <v>614.21479849999992</v>
      </c>
      <c r="AN702" s="22">
        <f t="shared" si="1393"/>
        <v>387.14099999999996</v>
      </c>
      <c r="AO702" s="22">
        <f t="shared" si="1393"/>
        <v>665.99300000000005</v>
      </c>
      <c r="AP702" s="22">
        <f t="shared" si="1393"/>
        <v>5.1920000000000002</v>
      </c>
      <c r="AQ702" s="22">
        <f t="shared" si="1393"/>
        <v>4.8000000000000001E-2</v>
      </c>
      <c r="AR702" s="22">
        <f t="shared" si="1393"/>
        <v>71.626872700000007</v>
      </c>
      <c r="AS702" s="22">
        <f t="shared" si="1393"/>
        <v>38.714654299999999</v>
      </c>
      <c r="AT702" s="22">
        <f t="shared" si="1393"/>
        <v>41.551154799999992</v>
      </c>
      <c r="AU702" s="22">
        <f t="shared" si="1393"/>
        <v>43.565070500000004</v>
      </c>
      <c r="AV702" s="22">
        <f t="shared" si="1393"/>
        <v>56.903164399999994</v>
      </c>
      <c r="AW702" s="22">
        <f t="shared" si="1393"/>
        <v>1.1785249</v>
      </c>
      <c r="AX702" s="22">
        <f t="shared" si="1393"/>
        <v>0</v>
      </c>
      <c r="AY702" s="22">
        <f t="shared" si="1393"/>
        <v>0</v>
      </c>
      <c r="AZ702" s="22">
        <f t="shared" si="1393"/>
        <v>0.16796420000000001</v>
      </c>
      <c r="BA702" s="22">
        <f t="shared" si="1393"/>
        <v>0.54708230000000002</v>
      </c>
      <c r="BB702" s="22">
        <f t="shared" si="1393"/>
        <v>2.7647599</v>
      </c>
      <c r="BC702" s="22">
        <f t="shared" si="1393"/>
        <v>1.4526098000000001</v>
      </c>
      <c r="BD702" s="22">
        <f t="shared" si="1393"/>
        <v>6.1002899999999999E-2</v>
      </c>
      <c r="BE702" s="22">
        <f t="shared" si="1393"/>
        <v>0.42491509999999999</v>
      </c>
      <c r="BF702" s="22">
        <f t="shared" si="1393"/>
        <v>0.37394279999999996</v>
      </c>
      <c r="BG702" s="22">
        <f t="shared" si="1393"/>
        <v>0.33531960000000005</v>
      </c>
      <c r="BH702" s="22">
        <f t="shared" si="1393"/>
        <v>0.17603470000000002</v>
      </c>
      <c r="BI702" s="22">
        <f t="shared" si="1393"/>
        <v>0.53728640000000005</v>
      </c>
      <c r="BJ702" s="22">
        <f t="shared" si="1393"/>
        <v>0.59311000000000003</v>
      </c>
      <c r="BK702" s="22">
        <f t="shared" si="1393"/>
        <v>0.45160679999999997</v>
      </c>
      <c r="BL702" s="22">
        <f t="shared" si="1393"/>
        <v>0</v>
      </c>
      <c r="BM702" s="22">
        <f t="shared" si="1393"/>
        <v>0</v>
      </c>
      <c r="BN702" s="22">
        <f t="shared" si="1393"/>
        <v>1.0666E-3</v>
      </c>
      <c r="BO702" s="22">
        <f t="shared" si="1393"/>
        <v>1.0666E-3</v>
      </c>
      <c r="BP702" s="22">
        <f>SUM(BP703:BP708)</f>
        <v>1.0666E-3</v>
      </c>
      <c r="BQ702" s="22">
        <f>SUM(BQ703:BQ708)</f>
        <v>1.0666E-3</v>
      </c>
      <c r="BR702" s="101"/>
      <c r="BS702">
        <f t="shared" ref="BS702:CX702" si="1394">IF($C702&lt;&gt;"",IF(D702&gt;0,1,0),0)</f>
        <v>0</v>
      </c>
      <c r="BT702">
        <f t="shared" si="1394"/>
        <v>0</v>
      </c>
      <c r="BU702">
        <f t="shared" si="1394"/>
        <v>0</v>
      </c>
      <c r="BV702">
        <f t="shared" si="1394"/>
        <v>0</v>
      </c>
      <c r="BW702">
        <f t="shared" si="1394"/>
        <v>0</v>
      </c>
      <c r="BX702">
        <f t="shared" si="1394"/>
        <v>0</v>
      </c>
      <c r="BY702">
        <f t="shared" si="1394"/>
        <v>0</v>
      </c>
      <c r="BZ702">
        <f t="shared" si="1394"/>
        <v>0</v>
      </c>
      <c r="CA702">
        <f t="shared" si="1394"/>
        <v>0</v>
      </c>
      <c r="CB702">
        <f t="shared" si="1394"/>
        <v>0</v>
      </c>
      <c r="CC702">
        <f t="shared" si="1394"/>
        <v>0</v>
      </c>
      <c r="CD702">
        <f t="shared" si="1394"/>
        <v>0</v>
      </c>
      <c r="CE702">
        <f t="shared" si="1394"/>
        <v>0</v>
      </c>
      <c r="CF702">
        <f t="shared" si="1394"/>
        <v>0</v>
      </c>
      <c r="CG702">
        <f t="shared" si="1394"/>
        <v>0</v>
      </c>
      <c r="CH702">
        <f t="shared" si="1394"/>
        <v>0</v>
      </c>
      <c r="CI702">
        <f t="shared" si="1394"/>
        <v>0</v>
      </c>
      <c r="CJ702">
        <f t="shared" si="1394"/>
        <v>0</v>
      </c>
      <c r="CK702">
        <f t="shared" si="1394"/>
        <v>0</v>
      </c>
      <c r="CL702">
        <f t="shared" si="1394"/>
        <v>0</v>
      </c>
      <c r="CM702">
        <f t="shared" si="1394"/>
        <v>0</v>
      </c>
      <c r="CN702">
        <f t="shared" si="1394"/>
        <v>0</v>
      </c>
      <c r="CO702">
        <f t="shared" si="1394"/>
        <v>0</v>
      </c>
      <c r="CP702">
        <f t="shared" si="1394"/>
        <v>0</v>
      </c>
      <c r="CQ702">
        <f t="shared" si="1394"/>
        <v>0</v>
      </c>
      <c r="CR702">
        <f t="shared" si="1394"/>
        <v>0</v>
      </c>
      <c r="CS702">
        <f t="shared" si="1394"/>
        <v>0</v>
      </c>
      <c r="CT702">
        <f t="shared" si="1394"/>
        <v>0</v>
      </c>
      <c r="CU702">
        <f t="shared" si="1394"/>
        <v>0</v>
      </c>
      <c r="CV702">
        <f t="shared" si="1394"/>
        <v>0</v>
      </c>
      <c r="CW702">
        <f t="shared" si="1394"/>
        <v>0</v>
      </c>
      <c r="CX702">
        <f t="shared" si="1394"/>
        <v>0</v>
      </c>
      <c r="CY702">
        <f t="shared" ref="CY702:ED702" si="1395">IF($C702&lt;&gt;"",IF(AJ702&gt;0,1,0),0)</f>
        <v>1</v>
      </c>
      <c r="CZ702">
        <f t="shared" si="1395"/>
        <v>1</v>
      </c>
      <c r="DA702">
        <f t="shared" si="1395"/>
        <v>1</v>
      </c>
      <c r="DB702">
        <f t="shared" si="1395"/>
        <v>1</v>
      </c>
      <c r="DC702">
        <f t="shared" si="1395"/>
        <v>1</v>
      </c>
      <c r="DD702">
        <f t="shared" si="1395"/>
        <v>1</v>
      </c>
      <c r="DE702">
        <f t="shared" si="1395"/>
        <v>1</v>
      </c>
      <c r="DF702">
        <f t="shared" si="1395"/>
        <v>1</v>
      </c>
      <c r="DG702">
        <f t="shared" si="1395"/>
        <v>1</v>
      </c>
      <c r="DH702">
        <f t="shared" si="1395"/>
        <v>1</v>
      </c>
      <c r="DI702">
        <f t="shared" si="1395"/>
        <v>1</v>
      </c>
      <c r="DJ702">
        <f t="shared" si="1395"/>
        <v>1</v>
      </c>
      <c r="DK702">
        <f t="shared" si="1395"/>
        <v>1</v>
      </c>
      <c r="DL702">
        <f t="shared" si="1395"/>
        <v>1</v>
      </c>
      <c r="DM702">
        <f t="shared" si="1395"/>
        <v>0</v>
      </c>
      <c r="DN702">
        <f t="shared" si="1395"/>
        <v>0</v>
      </c>
      <c r="DO702">
        <f t="shared" si="1395"/>
        <v>1</v>
      </c>
      <c r="DP702">
        <f t="shared" si="1395"/>
        <v>1</v>
      </c>
      <c r="DQ702">
        <f t="shared" si="1395"/>
        <v>1</v>
      </c>
      <c r="DR702">
        <f t="shared" si="1395"/>
        <v>1</v>
      </c>
      <c r="DS702">
        <f t="shared" si="1395"/>
        <v>1</v>
      </c>
      <c r="DT702">
        <f t="shared" si="1395"/>
        <v>1</v>
      </c>
      <c r="DU702">
        <f t="shared" si="1395"/>
        <v>1</v>
      </c>
      <c r="DV702">
        <f t="shared" si="1395"/>
        <v>1</v>
      </c>
      <c r="DW702">
        <f t="shared" si="1395"/>
        <v>1</v>
      </c>
      <c r="DX702">
        <f t="shared" si="1395"/>
        <v>1</v>
      </c>
      <c r="DY702">
        <f t="shared" si="1395"/>
        <v>1</v>
      </c>
      <c r="DZ702">
        <f t="shared" si="1395"/>
        <v>1</v>
      </c>
      <c r="EA702">
        <f t="shared" si="1395"/>
        <v>0</v>
      </c>
      <c r="EB702">
        <f t="shared" si="1395"/>
        <v>0</v>
      </c>
      <c r="EC702">
        <f t="shared" si="1395"/>
        <v>1</v>
      </c>
      <c r="ED702">
        <f t="shared" si="1395"/>
        <v>1</v>
      </c>
      <c r="EE702">
        <f t="shared" ref="EE702:EF702" si="1396">IF($C702&lt;&gt;"",IF(BP702&gt;0,1,0),0)</f>
        <v>1</v>
      </c>
      <c r="EF702">
        <f t="shared" si="1396"/>
        <v>1</v>
      </c>
    </row>
    <row r="703" spans="1:136" ht="15.5">
      <c r="A703" s="90"/>
      <c r="B703" s="57" t="s">
        <v>184</v>
      </c>
      <c r="C703" s="95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18">
        <v>0</v>
      </c>
      <c r="AK703" s="18">
        <v>88</v>
      </c>
      <c r="AL703" s="18">
        <v>0</v>
      </c>
      <c r="AM703" s="18">
        <v>0</v>
      </c>
      <c r="AN703" s="18">
        <v>0</v>
      </c>
      <c r="AO703" s="18">
        <v>0</v>
      </c>
      <c r="AP703" s="18">
        <v>0</v>
      </c>
      <c r="AQ703" s="18">
        <v>0</v>
      </c>
      <c r="AR703" s="18">
        <v>0</v>
      </c>
      <c r="AS703" s="18">
        <v>0</v>
      </c>
      <c r="AT703" s="18">
        <v>0</v>
      </c>
      <c r="AU703" s="18">
        <v>0</v>
      </c>
      <c r="AV703" s="18">
        <v>0</v>
      </c>
      <c r="AW703" s="18">
        <v>0</v>
      </c>
      <c r="AX703" s="18">
        <v>0</v>
      </c>
      <c r="AY703" s="18">
        <v>0</v>
      </c>
      <c r="AZ703" s="18">
        <v>0</v>
      </c>
      <c r="BA703" s="18">
        <v>0</v>
      </c>
      <c r="BB703" s="18">
        <v>0</v>
      </c>
      <c r="BC703" s="18">
        <v>0</v>
      </c>
      <c r="BD703" s="18">
        <v>0</v>
      </c>
      <c r="BE703" s="18">
        <v>0</v>
      </c>
      <c r="BF703" s="18">
        <v>0</v>
      </c>
      <c r="BG703" s="18">
        <v>0</v>
      </c>
      <c r="BH703" s="18">
        <v>0</v>
      </c>
      <c r="BI703" s="18">
        <v>0</v>
      </c>
      <c r="BJ703" s="113">
        <v>0</v>
      </c>
      <c r="BK703" s="113">
        <v>0</v>
      </c>
      <c r="BL703" s="113">
        <v>0</v>
      </c>
      <c r="BM703" s="113">
        <v>0</v>
      </c>
      <c r="BN703" s="113">
        <v>0</v>
      </c>
      <c r="BO703" s="113">
        <v>0</v>
      </c>
      <c r="BP703" s="113">
        <v>0</v>
      </c>
      <c r="BQ703" s="113">
        <v>0</v>
      </c>
      <c r="BR703" s="101"/>
      <c r="BS703">
        <f t="shared" ref="BS703:CB704" si="1397">IF($C703&lt;&gt;"",IF(D703&gt;0,1,0),0)</f>
        <v>0</v>
      </c>
      <c r="BT703">
        <f t="shared" si="1397"/>
        <v>0</v>
      </c>
      <c r="BU703">
        <f t="shared" si="1397"/>
        <v>0</v>
      </c>
      <c r="BV703">
        <f t="shared" si="1397"/>
        <v>0</v>
      </c>
      <c r="BW703">
        <f t="shared" si="1397"/>
        <v>0</v>
      </c>
      <c r="BX703">
        <f t="shared" si="1397"/>
        <v>0</v>
      </c>
      <c r="BY703">
        <f t="shared" si="1397"/>
        <v>0</v>
      </c>
      <c r="BZ703">
        <f t="shared" si="1397"/>
        <v>0</v>
      </c>
      <c r="CA703">
        <f t="shared" si="1397"/>
        <v>0</v>
      </c>
      <c r="CB703">
        <f t="shared" si="1397"/>
        <v>0</v>
      </c>
      <c r="CC703">
        <f t="shared" ref="CC703:CL704" si="1398">IF($C703&lt;&gt;"",IF(N703&gt;0,1,0),0)</f>
        <v>0</v>
      </c>
      <c r="CD703">
        <f t="shared" si="1398"/>
        <v>0</v>
      </c>
      <c r="CE703">
        <f t="shared" si="1398"/>
        <v>0</v>
      </c>
      <c r="CF703">
        <f t="shared" si="1398"/>
        <v>0</v>
      </c>
      <c r="CG703">
        <f t="shared" si="1398"/>
        <v>0</v>
      </c>
      <c r="CH703">
        <f t="shared" si="1398"/>
        <v>0</v>
      </c>
      <c r="CI703">
        <f t="shared" si="1398"/>
        <v>0</v>
      </c>
      <c r="CJ703">
        <f t="shared" si="1398"/>
        <v>0</v>
      </c>
      <c r="CK703">
        <f t="shared" si="1398"/>
        <v>0</v>
      </c>
      <c r="CL703">
        <f t="shared" si="1398"/>
        <v>0</v>
      </c>
      <c r="CM703">
        <f t="shared" ref="CM703:CV704" si="1399">IF($C703&lt;&gt;"",IF(X703&gt;0,1,0),0)</f>
        <v>0</v>
      </c>
      <c r="CN703">
        <f t="shared" si="1399"/>
        <v>0</v>
      </c>
      <c r="CO703">
        <f t="shared" si="1399"/>
        <v>0</v>
      </c>
      <c r="CP703">
        <f t="shared" si="1399"/>
        <v>0</v>
      </c>
      <c r="CQ703">
        <f t="shared" si="1399"/>
        <v>0</v>
      </c>
      <c r="CR703">
        <f t="shared" si="1399"/>
        <v>0</v>
      </c>
      <c r="CS703">
        <f t="shared" si="1399"/>
        <v>0</v>
      </c>
      <c r="CT703">
        <f t="shared" si="1399"/>
        <v>0</v>
      </c>
      <c r="CU703">
        <f t="shared" si="1399"/>
        <v>0</v>
      </c>
      <c r="CV703">
        <f t="shared" si="1399"/>
        <v>0</v>
      </c>
      <c r="CW703">
        <f t="shared" ref="CW703:DF704" si="1400">IF($C703&lt;&gt;"",IF(AH703&gt;0,1,0),0)</f>
        <v>0</v>
      </c>
      <c r="CX703">
        <f t="shared" si="1400"/>
        <v>0</v>
      </c>
      <c r="CY703">
        <f t="shared" si="1400"/>
        <v>0</v>
      </c>
      <c r="CZ703">
        <f t="shared" si="1400"/>
        <v>0</v>
      </c>
      <c r="DA703">
        <f t="shared" si="1400"/>
        <v>0</v>
      </c>
      <c r="DB703">
        <f t="shared" si="1400"/>
        <v>0</v>
      </c>
      <c r="DC703">
        <f t="shared" si="1400"/>
        <v>0</v>
      </c>
      <c r="DD703">
        <f t="shared" si="1400"/>
        <v>0</v>
      </c>
      <c r="DE703">
        <f t="shared" si="1400"/>
        <v>0</v>
      </c>
      <c r="DF703">
        <f t="shared" si="1400"/>
        <v>0</v>
      </c>
      <c r="DG703">
        <f t="shared" ref="DG703:DP704" si="1401">IF($C703&lt;&gt;"",IF(AR703&gt;0,1,0),0)</f>
        <v>0</v>
      </c>
      <c r="DH703">
        <f t="shared" si="1401"/>
        <v>0</v>
      </c>
      <c r="DI703">
        <f t="shared" si="1401"/>
        <v>0</v>
      </c>
      <c r="DJ703">
        <f t="shared" si="1401"/>
        <v>0</v>
      </c>
      <c r="DK703">
        <f t="shared" si="1401"/>
        <v>0</v>
      </c>
      <c r="DL703">
        <f t="shared" si="1401"/>
        <v>0</v>
      </c>
      <c r="DM703">
        <f t="shared" si="1401"/>
        <v>0</v>
      </c>
      <c r="DN703">
        <f t="shared" si="1401"/>
        <v>0</v>
      </c>
      <c r="DO703">
        <f t="shared" si="1401"/>
        <v>0</v>
      </c>
      <c r="DP703">
        <f t="shared" si="1401"/>
        <v>0</v>
      </c>
      <c r="DQ703">
        <f t="shared" ref="DQ703:DZ704" si="1402">IF($C703&lt;&gt;"",IF(BB703&gt;0,1,0),0)</f>
        <v>0</v>
      </c>
      <c r="DR703">
        <f t="shared" si="1402"/>
        <v>0</v>
      </c>
      <c r="DS703">
        <f t="shared" si="1402"/>
        <v>0</v>
      </c>
      <c r="DT703">
        <f t="shared" si="1402"/>
        <v>0</v>
      </c>
      <c r="DU703">
        <f t="shared" si="1402"/>
        <v>0</v>
      </c>
      <c r="DV703">
        <f t="shared" si="1402"/>
        <v>0</v>
      </c>
      <c r="DW703">
        <f t="shared" si="1402"/>
        <v>0</v>
      </c>
      <c r="DX703">
        <f t="shared" si="1402"/>
        <v>0</v>
      </c>
      <c r="DY703">
        <f t="shared" si="1402"/>
        <v>0</v>
      </c>
      <c r="DZ703">
        <f t="shared" si="1402"/>
        <v>0</v>
      </c>
      <c r="EA703">
        <f t="shared" ref="EA703:EF704" si="1403">IF($C703&lt;&gt;"",IF(BL702&gt;0,1,0),0)</f>
        <v>0</v>
      </c>
      <c r="EB703">
        <f t="shared" si="1403"/>
        <v>0</v>
      </c>
      <c r="EC703">
        <f t="shared" si="1403"/>
        <v>0</v>
      </c>
      <c r="ED703">
        <f t="shared" si="1403"/>
        <v>0</v>
      </c>
      <c r="EE703">
        <f t="shared" si="1403"/>
        <v>0</v>
      </c>
      <c r="EF703">
        <f t="shared" si="1403"/>
        <v>0</v>
      </c>
    </row>
    <row r="704" spans="1:136" ht="15.5">
      <c r="A704" s="90"/>
      <c r="B704" s="19" t="s">
        <v>2</v>
      </c>
      <c r="C704" s="95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18">
        <v>0</v>
      </c>
      <c r="AK704" s="40" t="s">
        <v>16</v>
      </c>
      <c r="AL704" s="40" t="s">
        <v>16</v>
      </c>
      <c r="AM704" s="18">
        <v>290</v>
      </c>
      <c r="AN704" s="40" t="s">
        <v>16</v>
      </c>
      <c r="AO704" s="18">
        <v>0</v>
      </c>
      <c r="AP704" s="18">
        <v>0</v>
      </c>
      <c r="AQ704" s="40" t="s">
        <v>16</v>
      </c>
      <c r="AR704" s="18">
        <v>46</v>
      </c>
      <c r="AS704" s="18">
        <v>0</v>
      </c>
      <c r="AT704" s="18">
        <v>0</v>
      </c>
      <c r="AU704" s="18">
        <v>0</v>
      </c>
      <c r="AV704" s="18">
        <v>0</v>
      </c>
      <c r="AW704" s="18">
        <v>0</v>
      </c>
      <c r="AX704" s="18">
        <v>0</v>
      </c>
      <c r="AY704" s="18">
        <v>0</v>
      </c>
      <c r="AZ704" s="18">
        <v>0</v>
      </c>
      <c r="BA704" s="18">
        <v>0</v>
      </c>
      <c r="BB704" s="18">
        <v>0</v>
      </c>
      <c r="BC704" s="18">
        <v>0</v>
      </c>
      <c r="BD704" s="18">
        <v>0</v>
      </c>
      <c r="BE704" s="18">
        <v>0</v>
      </c>
      <c r="BF704" s="18">
        <v>0</v>
      </c>
      <c r="BG704" s="18">
        <v>0</v>
      </c>
      <c r="BH704" s="18">
        <v>0</v>
      </c>
      <c r="BI704" s="18">
        <v>0</v>
      </c>
      <c r="BJ704" s="113">
        <v>0</v>
      </c>
      <c r="BK704" s="113">
        <v>0</v>
      </c>
      <c r="BL704" s="113">
        <v>0</v>
      </c>
      <c r="BM704" s="113">
        <v>0</v>
      </c>
      <c r="BN704" s="113">
        <v>0</v>
      </c>
      <c r="BO704" s="113">
        <v>0</v>
      </c>
      <c r="BP704" s="113">
        <v>0</v>
      </c>
      <c r="BQ704" s="113">
        <v>0</v>
      </c>
      <c r="BR704" s="101"/>
      <c r="BS704">
        <f t="shared" si="1397"/>
        <v>0</v>
      </c>
      <c r="BT704">
        <f t="shared" si="1397"/>
        <v>0</v>
      </c>
      <c r="BU704">
        <f t="shared" si="1397"/>
        <v>0</v>
      </c>
      <c r="BV704">
        <f t="shared" si="1397"/>
        <v>0</v>
      </c>
      <c r="BW704">
        <f t="shared" si="1397"/>
        <v>0</v>
      </c>
      <c r="BX704">
        <f t="shared" si="1397"/>
        <v>0</v>
      </c>
      <c r="BY704">
        <f t="shared" si="1397"/>
        <v>0</v>
      </c>
      <c r="BZ704">
        <f t="shared" si="1397"/>
        <v>0</v>
      </c>
      <c r="CA704">
        <f t="shared" si="1397"/>
        <v>0</v>
      </c>
      <c r="CB704">
        <f t="shared" si="1397"/>
        <v>0</v>
      </c>
      <c r="CC704">
        <f t="shared" si="1398"/>
        <v>0</v>
      </c>
      <c r="CD704">
        <f t="shared" si="1398"/>
        <v>0</v>
      </c>
      <c r="CE704">
        <f t="shared" si="1398"/>
        <v>0</v>
      </c>
      <c r="CF704">
        <f t="shared" si="1398"/>
        <v>0</v>
      </c>
      <c r="CG704">
        <f t="shared" si="1398"/>
        <v>0</v>
      </c>
      <c r="CH704">
        <f t="shared" si="1398"/>
        <v>0</v>
      </c>
      <c r="CI704">
        <f t="shared" si="1398"/>
        <v>0</v>
      </c>
      <c r="CJ704">
        <f t="shared" si="1398"/>
        <v>0</v>
      </c>
      <c r="CK704">
        <f t="shared" si="1398"/>
        <v>0</v>
      </c>
      <c r="CL704">
        <f t="shared" si="1398"/>
        <v>0</v>
      </c>
      <c r="CM704">
        <f t="shared" si="1399"/>
        <v>0</v>
      </c>
      <c r="CN704">
        <f t="shared" si="1399"/>
        <v>0</v>
      </c>
      <c r="CO704">
        <f t="shared" si="1399"/>
        <v>0</v>
      </c>
      <c r="CP704">
        <f t="shared" si="1399"/>
        <v>0</v>
      </c>
      <c r="CQ704">
        <f t="shared" si="1399"/>
        <v>0</v>
      </c>
      <c r="CR704">
        <f t="shared" si="1399"/>
        <v>0</v>
      </c>
      <c r="CS704">
        <f t="shared" si="1399"/>
        <v>0</v>
      </c>
      <c r="CT704">
        <f t="shared" si="1399"/>
        <v>0</v>
      </c>
      <c r="CU704">
        <f t="shared" si="1399"/>
        <v>0</v>
      </c>
      <c r="CV704">
        <f t="shared" si="1399"/>
        <v>0</v>
      </c>
      <c r="CW704">
        <f t="shared" si="1400"/>
        <v>0</v>
      </c>
      <c r="CX704">
        <f t="shared" si="1400"/>
        <v>0</v>
      </c>
      <c r="CY704">
        <f t="shared" si="1400"/>
        <v>0</v>
      </c>
      <c r="CZ704">
        <f t="shared" si="1400"/>
        <v>0</v>
      </c>
      <c r="DA704">
        <f t="shared" si="1400"/>
        <v>0</v>
      </c>
      <c r="DB704">
        <f t="shared" si="1400"/>
        <v>0</v>
      </c>
      <c r="DC704">
        <f t="shared" si="1400"/>
        <v>0</v>
      </c>
      <c r="DD704">
        <f t="shared" si="1400"/>
        <v>0</v>
      </c>
      <c r="DE704">
        <f t="shared" si="1400"/>
        <v>0</v>
      </c>
      <c r="DF704">
        <f t="shared" si="1400"/>
        <v>0</v>
      </c>
      <c r="DG704">
        <f t="shared" si="1401"/>
        <v>0</v>
      </c>
      <c r="DH704">
        <f t="shared" si="1401"/>
        <v>0</v>
      </c>
      <c r="DI704">
        <f t="shared" si="1401"/>
        <v>0</v>
      </c>
      <c r="DJ704">
        <f t="shared" si="1401"/>
        <v>0</v>
      </c>
      <c r="DK704">
        <f t="shared" si="1401"/>
        <v>0</v>
      </c>
      <c r="DL704">
        <f t="shared" si="1401"/>
        <v>0</v>
      </c>
      <c r="DM704">
        <f t="shared" si="1401"/>
        <v>0</v>
      </c>
      <c r="DN704">
        <f t="shared" si="1401"/>
        <v>0</v>
      </c>
      <c r="DO704">
        <f t="shared" si="1401"/>
        <v>0</v>
      </c>
      <c r="DP704">
        <f t="shared" si="1401"/>
        <v>0</v>
      </c>
      <c r="DQ704">
        <f t="shared" si="1402"/>
        <v>0</v>
      </c>
      <c r="DR704">
        <f t="shared" si="1402"/>
        <v>0</v>
      </c>
      <c r="DS704">
        <f t="shared" si="1402"/>
        <v>0</v>
      </c>
      <c r="DT704">
        <f t="shared" si="1402"/>
        <v>0</v>
      </c>
      <c r="DU704">
        <f t="shared" si="1402"/>
        <v>0</v>
      </c>
      <c r="DV704">
        <f t="shared" si="1402"/>
        <v>0</v>
      </c>
      <c r="DW704">
        <f t="shared" si="1402"/>
        <v>0</v>
      </c>
      <c r="DX704">
        <f t="shared" si="1402"/>
        <v>0</v>
      </c>
      <c r="DY704">
        <f t="shared" si="1402"/>
        <v>0</v>
      </c>
      <c r="DZ704">
        <f t="shared" si="1402"/>
        <v>0</v>
      </c>
      <c r="EA704">
        <f t="shared" si="1403"/>
        <v>0</v>
      </c>
      <c r="EB704">
        <f t="shared" si="1403"/>
        <v>0</v>
      </c>
      <c r="EC704">
        <f t="shared" si="1403"/>
        <v>0</v>
      </c>
      <c r="ED704">
        <f t="shared" si="1403"/>
        <v>0</v>
      </c>
      <c r="EE704">
        <f t="shared" si="1403"/>
        <v>0</v>
      </c>
      <c r="EF704">
        <f t="shared" si="1403"/>
        <v>0</v>
      </c>
    </row>
    <row r="705" spans="1:136" ht="15.5">
      <c r="A705" s="90"/>
      <c r="B705" s="19" t="s">
        <v>205</v>
      </c>
      <c r="C705" s="95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18">
        <v>0</v>
      </c>
      <c r="AK705" s="71">
        <v>0</v>
      </c>
      <c r="AL705" s="71">
        <v>0</v>
      </c>
      <c r="AM705" s="18">
        <v>0</v>
      </c>
      <c r="AN705" s="71">
        <v>0</v>
      </c>
      <c r="AO705" s="18">
        <v>0</v>
      </c>
      <c r="AP705" s="18">
        <v>0</v>
      </c>
      <c r="AQ705" s="71">
        <v>0</v>
      </c>
      <c r="AR705" s="18">
        <v>1.5780000000000001</v>
      </c>
      <c r="AS705" s="18">
        <v>5.532</v>
      </c>
      <c r="AT705" s="18">
        <v>0</v>
      </c>
      <c r="AU705" s="18">
        <v>0</v>
      </c>
      <c r="AV705" s="18">
        <v>0</v>
      </c>
      <c r="AW705" s="18">
        <v>0</v>
      </c>
      <c r="AX705" s="18">
        <v>0</v>
      </c>
      <c r="AY705" s="18">
        <v>0</v>
      </c>
      <c r="AZ705" s="18">
        <v>0</v>
      </c>
      <c r="BA705" s="18">
        <v>0</v>
      </c>
      <c r="BB705" s="18">
        <v>0</v>
      </c>
      <c r="BC705" s="18">
        <v>0</v>
      </c>
      <c r="BD705" s="18">
        <v>0</v>
      </c>
      <c r="BE705" s="25">
        <v>0</v>
      </c>
      <c r="BF705" s="18">
        <v>0</v>
      </c>
      <c r="BG705" s="18">
        <v>0</v>
      </c>
      <c r="BH705" s="18">
        <v>0</v>
      </c>
      <c r="BI705" s="18">
        <v>0</v>
      </c>
      <c r="BJ705" s="113">
        <v>0</v>
      </c>
      <c r="BK705" s="113">
        <v>0</v>
      </c>
      <c r="BL705" s="113">
        <v>0</v>
      </c>
      <c r="BM705" s="113">
        <v>0</v>
      </c>
      <c r="BN705" s="113">
        <v>0</v>
      </c>
      <c r="BO705" s="113">
        <v>0</v>
      </c>
      <c r="BP705" s="113">
        <v>0</v>
      </c>
      <c r="BQ705" s="113">
        <v>0</v>
      </c>
      <c r="BR705" s="101"/>
    </row>
    <row r="706" spans="1:136" ht="15.5">
      <c r="A706" s="90"/>
      <c r="B706" s="57" t="s">
        <v>3</v>
      </c>
      <c r="C706" s="95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>
        <v>0</v>
      </c>
      <c r="AK706" s="18">
        <v>284.40899999999999</v>
      </c>
      <c r="AL706" s="18">
        <v>263.96899999999999</v>
      </c>
      <c r="AM706" s="18">
        <v>8</v>
      </c>
      <c r="AN706" s="18">
        <v>98.835000000000008</v>
      </c>
      <c r="AO706" s="18">
        <v>273.22800000000001</v>
      </c>
      <c r="AP706" s="18">
        <v>5.1920000000000002</v>
      </c>
      <c r="AQ706" s="18">
        <v>4.8000000000000001E-2</v>
      </c>
      <c r="AR706" s="40" t="s">
        <v>16</v>
      </c>
      <c r="AS706" s="18">
        <f>11.3926543-AS705</f>
        <v>5.8606543000000002</v>
      </c>
      <c r="AT706" s="18">
        <v>21.097570399999999</v>
      </c>
      <c r="AU706" s="18">
        <v>8.9113875</v>
      </c>
      <c r="AV706" s="18">
        <v>13.679164400000001</v>
      </c>
      <c r="AW706" s="18">
        <v>1.1785249</v>
      </c>
      <c r="AX706" s="18">
        <v>0</v>
      </c>
      <c r="AY706" s="18">
        <v>0</v>
      </c>
      <c r="AZ706" s="18">
        <v>0.16796420000000001</v>
      </c>
      <c r="BA706" s="18">
        <v>0.54708230000000002</v>
      </c>
      <c r="BB706" s="18">
        <v>2.7647599</v>
      </c>
      <c r="BC706" s="18">
        <v>1.4526098000000001</v>
      </c>
      <c r="BD706" s="18">
        <v>6.1002899999999999E-2</v>
      </c>
      <c r="BE706" s="25">
        <v>0.42491509999999999</v>
      </c>
      <c r="BF706" s="18">
        <v>0.37394279999999996</v>
      </c>
      <c r="BG706" s="18">
        <v>0.33531960000000005</v>
      </c>
      <c r="BH706" s="18">
        <v>0.17603470000000002</v>
      </c>
      <c r="BI706" s="18">
        <v>0.53728640000000005</v>
      </c>
      <c r="BJ706" s="113">
        <v>0.59311000000000003</v>
      </c>
      <c r="BK706" s="103">
        <v>0.45160679999999997</v>
      </c>
      <c r="BL706" s="113">
        <v>0</v>
      </c>
      <c r="BM706" s="113">
        <v>0</v>
      </c>
      <c r="BN706" s="103">
        <v>1.0666E-3</v>
      </c>
      <c r="BO706" s="103">
        <v>1.0666E-3</v>
      </c>
      <c r="BP706" s="103">
        <v>1.0666E-3</v>
      </c>
      <c r="BQ706" s="103">
        <v>1.0666E-3</v>
      </c>
      <c r="BR706" s="101"/>
      <c r="BS706">
        <f t="shared" ref="BS706:CB707" si="1404">IF($C706&lt;&gt;"",IF(D706&gt;0,1,0),0)</f>
        <v>0</v>
      </c>
      <c r="BT706">
        <f t="shared" si="1404"/>
        <v>0</v>
      </c>
      <c r="BU706">
        <f t="shared" si="1404"/>
        <v>0</v>
      </c>
      <c r="BV706">
        <f t="shared" si="1404"/>
        <v>0</v>
      </c>
      <c r="BW706">
        <f t="shared" si="1404"/>
        <v>0</v>
      </c>
      <c r="BX706">
        <f t="shared" si="1404"/>
        <v>0</v>
      </c>
      <c r="BY706">
        <f t="shared" si="1404"/>
        <v>0</v>
      </c>
      <c r="BZ706">
        <f t="shared" si="1404"/>
        <v>0</v>
      </c>
      <c r="CA706">
        <f t="shared" si="1404"/>
        <v>0</v>
      </c>
      <c r="CB706">
        <f t="shared" si="1404"/>
        <v>0</v>
      </c>
      <c r="CC706">
        <f t="shared" ref="CC706:CL707" si="1405">IF($C706&lt;&gt;"",IF(N706&gt;0,1,0),0)</f>
        <v>0</v>
      </c>
      <c r="CD706">
        <f t="shared" si="1405"/>
        <v>0</v>
      </c>
      <c r="CE706">
        <f t="shared" si="1405"/>
        <v>0</v>
      </c>
      <c r="CF706">
        <f t="shared" si="1405"/>
        <v>0</v>
      </c>
      <c r="CG706">
        <f t="shared" si="1405"/>
        <v>0</v>
      </c>
      <c r="CH706">
        <f t="shared" si="1405"/>
        <v>0</v>
      </c>
      <c r="CI706">
        <f t="shared" si="1405"/>
        <v>0</v>
      </c>
      <c r="CJ706">
        <f t="shared" si="1405"/>
        <v>0</v>
      </c>
      <c r="CK706">
        <f t="shared" si="1405"/>
        <v>0</v>
      </c>
      <c r="CL706">
        <f t="shared" si="1405"/>
        <v>0</v>
      </c>
      <c r="CM706">
        <f t="shared" ref="CM706:CV707" si="1406">IF($C706&lt;&gt;"",IF(X706&gt;0,1,0),0)</f>
        <v>0</v>
      </c>
      <c r="CN706">
        <f t="shared" si="1406"/>
        <v>0</v>
      </c>
      <c r="CO706">
        <f t="shared" si="1406"/>
        <v>0</v>
      </c>
      <c r="CP706">
        <f t="shared" si="1406"/>
        <v>0</v>
      </c>
      <c r="CQ706">
        <f t="shared" si="1406"/>
        <v>0</v>
      </c>
      <c r="CR706">
        <f t="shared" si="1406"/>
        <v>0</v>
      </c>
      <c r="CS706">
        <f t="shared" si="1406"/>
        <v>0</v>
      </c>
      <c r="CT706">
        <f t="shared" si="1406"/>
        <v>0</v>
      </c>
      <c r="CU706">
        <f t="shared" si="1406"/>
        <v>0</v>
      </c>
      <c r="CV706">
        <f t="shared" si="1406"/>
        <v>0</v>
      </c>
      <c r="CW706">
        <f t="shared" ref="CW706:DF707" si="1407">IF($C706&lt;&gt;"",IF(AH706&gt;0,1,0),0)</f>
        <v>0</v>
      </c>
      <c r="CX706">
        <f t="shared" si="1407"/>
        <v>0</v>
      </c>
      <c r="CY706">
        <f t="shared" si="1407"/>
        <v>0</v>
      </c>
      <c r="CZ706">
        <f t="shared" si="1407"/>
        <v>0</v>
      </c>
      <c r="DA706">
        <f t="shared" si="1407"/>
        <v>0</v>
      </c>
      <c r="DB706">
        <f t="shared" si="1407"/>
        <v>0</v>
      </c>
      <c r="DC706">
        <f t="shared" si="1407"/>
        <v>0</v>
      </c>
      <c r="DD706">
        <f t="shared" si="1407"/>
        <v>0</v>
      </c>
      <c r="DE706">
        <f t="shared" si="1407"/>
        <v>0</v>
      </c>
      <c r="DF706">
        <f t="shared" si="1407"/>
        <v>0</v>
      </c>
      <c r="DG706">
        <f t="shared" ref="DG706:DP707" si="1408">IF($C706&lt;&gt;"",IF(AR706&gt;0,1,0),0)</f>
        <v>0</v>
      </c>
      <c r="DH706">
        <f t="shared" si="1408"/>
        <v>0</v>
      </c>
      <c r="DI706">
        <f t="shared" si="1408"/>
        <v>0</v>
      </c>
      <c r="DJ706">
        <f t="shared" si="1408"/>
        <v>0</v>
      </c>
      <c r="DK706">
        <f t="shared" si="1408"/>
        <v>0</v>
      </c>
      <c r="DL706">
        <f t="shared" si="1408"/>
        <v>0</v>
      </c>
      <c r="DM706">
        <f t="shared" si="1408"/>
        <v>0</v>
      </c>
      <c r="DN706">
        <f t="shared" si="1408"/>
        <v>0</v>
      </c>
      <c r="DO706">
        <f t="shared" si="1408"/>
        <v>0</v>
      </c>
      <c r="DP706">
        <f t="shared" si="1408"/>
        <v>0</v>
      </c>
      <c r="DQ706">
        <f t="shared" ref="DQ706:DZ707" si="1409">IF($C706&lt;&gt;"",IF(BB706&gt;0,1,0),0)</f>
        <v>0</v>
      </c>
      <c r="DR706">
        <f t="shared" si="1409"/>
        <v>0</v>
      </c>
      <c r="DS706">
        <f t="shared" si="1409"/>
        <v>0</v>
      </c>
      <c r="DT706">
        <f t="shared" si="1409"/>
        <v>0</v>
      </c>
      <c r="DU706">
        <f t="shared" si="1409"/>
        <v>0</v>
      </c>
      <c r="DV706">
        <f t="shared" si="1409"/>
        <v>0</v>
      </c>
      <c r="DW706">
        <f t="shared" si="1409"/>
        <v>0</v>
      </c>
      <c r="DX706">
        <f t="shared" si="1409"/>
        <v>0</v>
      </c>
      <c r="DY706">
        <f t="shared" si="1409"/>
        <v>0</v>
      </c>
      <c r="DZ706">
        <f t="shared" si="1409"/>
        <v>0</v>
      </c>
      <c r="EA706">
        <f t="shared" ref="EA706:EF706" si="1410">IF($C706&lt;&gt;"",IF(BL704&gt;0,1,0),0)</f>
        <v>0</v>
      </c>
      <c r="EB706">
        <f t="shared" si="1410"/>
        <v>0</v>
      </c>
      <c r="EC706">
        <f t="shared" si="1410"/>
        <v>0</v>
      </c>
      <c r="ED706">
        <f t="shared" si="1410"/>
        <v>0</v>
      </c>
      <c r="EE706">
        <f t="shared" si="1410"/>
        <v>0</v>
      </c>
      <c r="EF706">
        <f t="shared" si="1410"/>
        <v>0</v>
      </c>
    </row>
    <row r="707" spans="1:136" ht="15.5">
      <c r="A707" s="90"/>
      <c r="B707" s="19" t="s">
        <v>18</v>
      </c>
      <c r="C707" s="95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>
        <f>1200+227.688573901558</f>
        <v>1427.6885739015579</v>
      </c>
      <c r="AK707" s="18">
        <v>237.60873874412573</v>
      </c>
      <c r="AL707" s="18">
        <v>251.63753110312496</v>
      </c>
      <c r="AM707" s="18">
        <v>270.21479849999997</v>
      </c>
      <c r="AN707" s="18">
        <v>288.30599999999998</v>
      </c>
      <c r="AO707" s="18">
        <v>268.47800000000001</v>
      </c>
      <c r="AP707" s="18">
        <v>0</v>
      </c>
      <c r="AQ707" s="18">
        <v>0</v>
      </c>
      <c r="AR707" s="18">
        <v>0</v>
      </c>
      <c r="AS707" s="18">
        <v>0</v>
      </c>
      <c r="AT707" s="18">
        <v>0</v>
      </c>
      <c r="AU707" s="18">
        <v>0</v>
      </c>
      <c r="AV707" s="18">
        <v>0</v>
      </c>
      <c r="AW707" s="18">
        <v>0</v>
      </c>
      <c r="AX707" s="18">
        <v>0</v>
      </c>
      <c r="AY707" s="18">
        <v>0</v>
      </c>
      <c r="AZ707" s="18">
        <v>0</v>
      </c>
      <c r="BA707" s="18">
        <v>0</v>
      </c>
      <c r="BB707" s="18">
        <v>0</v>
      </c>
      <c r="BC707" s="18">
        <v>0</v>
      </c>
      <c r="BD707" s="18">
        <v>0</v>
      </c>
      <c r="BE707" s="25">
        <v>0</v>
      </c>
      <c r="BF707" s="18">
        <v>0</v>
      </c>
      <c r="BG707" s="18">
        <v>0</v>
      </c>
      <c r="BH707" s="18">
        <v>0</v>
      </c>
      <c r="BI707" s="18">
        <v>0</v>
      </c>
      <c r="BJ707" s="113">
        <v>0</v>
      </c>
      <c r="BK707" s="113">
        <v>0</v>
      </c>
      <c r="BL707" s="113">
        <v>0</v>
      </c>
      <c r="BM707" s="113">
        <v>0</v>
      </c>
      <c r="BN707" s="113">
        <v>0</v>
      </c>
      <c r="BO707" s="113">
        <v>0</v>
      </c>
      <c r="BP707" s="113">
        <v>0</v>
      </c>
      <c r="BQ707" s="113">
        <v>0</v>
      </c>
      <c r="BR707" s="101"/>
      <c r="BS707">
        <f t="shared" si="1404"/>
        <v>0</v>
      </c>
      <c r="BT707">
        <f t="shared" si="1404"/>
        <v>0</v>
      </c>
      <c r="BU707">
        <f t="shared" si="1404"/>
        <v>0</v>
      </c>
      <c r="BV707">
        <f t="shared" si="1404"/>
        <v>0</v>
      </c>
      <c r="BW707">
        <f t="shared" si="1404"/>
        <v>0</v>
      </c>
      <c r="BX707">
        <f t="shared" si="1404"/>
        <v>0</v>
      </c>
      <c r="BY707">
        <f t="shared" si="1404"/>
        <v>0</v>
      </c>
      <c r="BZ707">
        <f t="shared" si="1404"/>
        <v>0</v>
      </c>
      <c r="CA707">
        <f t="shared" si="1404"/>
        <v>0</v>
      </c>
      <c r="CB707">
        <f t="shared" si="1404"/>
        <v>0</v>
      </c>
      <c r="CC707">
        <f t="shared" si="1405"/>
        <v>0</v>
      </c>
      <c r="CD707">
        <f t="shared" si="1405"/>
        <v>0</v>
      </c>
      <c r="CE707">
        <f t="shared" si="1405"/>
        <v>0</v>
      </c>
      <c r="CF707">
        <f t="shared" si="1405"/>
        <v>0</v>
      </c>
      <c r="CG707">
        <f t="shared" si="1405"/>
        <v>0</v>
      </c>
      <c r="CH707">
        <f t="shared" si="1405"/>
        <v>0</v>
      </c>
      <c r="CI707">
        <f t="shared" si="1405"/>
        <v>0</v>
      </c>
      <c r="CJ707">
        <f t="shared" si="1405"/>
        <v>0</v>
      </c>
      <c r="CK707">
        <f t="shared" si="1405"/>
        <v>0</v>
      </c>
      <c r="CL707">
        <f t="shared" si="1405"/>
        <v>0</v>
      </c>
      <c r="CM707">
        <f t="shared" si="1406"/>
        <v>0</v>
      </c>
      <c r="CN707">
        <f t="shared" si="1406"/>
        <v>0</v>
      </c>
      <c r="CO707">
        <f t="shared" si="1406"/>
        <v>0</v>
      </c>
      <c r="CP707">
        <f t="shared" si="1406"/>
        <v>0</v>
      </c>
      <c r="CQ707">
        <f t="shared" si="1406"/>
        <v>0</v>
      </c>
      <c r="CR707">
        <f t="shared" si="1406"/>
        <v>0</v>
      </c>
      <c r="CS707">
        <f t="shared" si="1406"/>
        <v>0</v>
      </c>
      <c r="CT707">
        <f t="shared" si="1406"/>
        <v>0</v>
      </c>
      <c r="CU707">
        <f t="shared" si="1406"/>
        <v>0</v>
      </c>
      <c r="CV707">
        <f t="shared" si="1406"/>
        <v>0</v>
      </c>
      <c r="CW707">
        <f t="shared" si="1407"/>
        <v>0</v>
      </c>
      <c r="CX707">
        <f t="shared" si="1407"/>
        <v>0</v>
      </c>
      <c r="CY707">
        <f t="shared" si="1407"/>
        <v>0</v>
      </c>
      <c r="CZ707">
        <f t="shared" si="1407"/>
        <v>0</v>
      </c>
      <c r="DA707">
        <f t="shared" si="1407"/>
        <v>0</v>
      </c>
      <c r="DB707">
        <f t="shared" si="1407"/>
        <v>0</v>
      </c>
      <c r="DC707">
        <f t="shared" si="1407"/>
        <v>0</v>
      </c>
      <c r="DD707">
        <f t="shared" si="1407"/>
        <v>0</v>
      </c>
      <c r="DE707">
        <f t="shared" si="1407"/>
        <v>0</v>
      </c>
      <c r="DF707">
        <f t="shared" si="1407"/>
        <v>0</v>
      </c>
      <c r="DG707">
        <f t="shared" si="1408"/>
        <v>0</v>
      </c>
      <c r="DH707">
        <f t="shared" si="1408"/>
        <v>0</v>
      </c>
      <c r="DI707">
        <f t="shared" si="1408"/>
        <v>0</v>
      </c>
      <c r="DJ707">
        <f t="shared" si="1408"/>
        <v>0</v>
      </c>
      <c r="DK707">
        <f t="shared" si="1408"/>
        <v>0</v>
      </c>
      <c r="DL707">
        <f t="shared" si="1408"/>
        <v>0</v>
      </c>
      <c r="DM707">
        <f t="shared" si="1408"/>
        <v>0</v>
      </c>
      <c r="DN707">
        <f t="shared" si="1408"/>
        <v>0</v>
      </c>
      <c r="DO707">
        <f t="shared" si="1408"/>
        <v>0</v>
      </c>
      <c r="DP707">
        <f t="shared" si="1408"/>
        <v>0</v>
      </c>
      <c r="DQ707">
        <f t="shared" si="1409"/>
        <v>0</v>
      </c>
      <c r="DR707">
        <f t="shared" si="1409"/>
        <v>0</v>
      </c>
      <c r="DS707">
        <f t="shared" si="1409"/>
        <v>0</v>
      </c>
      <c r="DT707">
        <f t="shared" si="1409"/>
        <v>0</v>
      </c>
      <c r="DU707">
        <f t="shared" si="1409"/>
        <v>0</v>
      </c>
      <c r="DV707">
        <f t="shared" si="1409"/>
        <v>0</v>
      </c>
      <c r="DW707">
        <f t="shared" si="1409"/>
        <v>0</v>
      </c>
      <c r="DX707">
        <f t="shared" si="1409"/>
        <v>0</v>
      </c>
      <c r="DY707">
        <f t="shared" si="1409"/>
        <v>0</v>
      </c>
      <c r="DZ707">
        <f t="shared" si="1409"/>
        <v>0</v>
      </c>
      <c r="EA707">
        <f t="shared" ref="EA707:EF708" si="1411">IF($C707&lt;&gt;"",IF(BL706&gt;0,1,0),0)</f>
        <v>0</v>
      </c>
      <c r="EB707">
        <f t="shared" si="1411"/>
        <v>0</v>
      </c>
      <c r="EC707">
        <f t="shared" si="1411"/>
        <v>0</v>
      </c>
      <c r="ED707">
        <f t="shared" si="1411"/>
        <v>0</v>
      </c>
      <c r="EE707">
        <f t="shared" si="1411"/>
        <v>0</v>
      </c>
      <c r="EF707">
        <f t="shared" si="1411"/>
        <v>0</v>
      </c>
    </row>
    <row r="708" spans="1:136" ht="15.5">
      <c r="A708" s="90"/>
      <c r="B708" s="19" t="s">
        <v>208</v>
      </c>
      <c r="C708" s="95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34">
        <f>(0.059*1650281)/509</f>
        <v>191.28993909626718</v>
      </c>
      <c r="AK708" s="18">
        <f>3300/40</f>
        <v>82.5</v>
      </c>
      <c r="AL708" s="18">
        <v>0</v>
      </c>
      <c r="AM708" s="18">
        <v>46</v>
      </c>
      <c r="AN708" s="40" t="s">
        <v>16</v>
      </c>
      <c r="AO708" s="18">
        <v>124.28700000000001</v>
      </c>
      <c r="AP708" s="18">
        <v>0</v>
      </c>
      <c r="AQ708" s="18">
        <v>0</v>
      </c>
      <c r="AR708" s="18">
        <v>24.0488727</v>
      </c>
      <c r="AS708" s="18">
        <v>27.321999999999999</v>
      </c>
      <c r="AT708" s="18">
        <v>20.453584399999997</v>
      </c>
      <c r="AU708" s="18">
        <v>34.653683000000001</v>
      </c>
      <c r="AV708" s="18">
        <v>43.223999999999997</v>
      </c>
      <c r="AW708" s="18">
        <v>0</v>
      </c>
      <c r="AX708" s="18">
        <v>0</v>
      </c>
      <c r="AY708" s="18">
        <v>0</v>
      </c>
      <c r="AZ708" s="18">
        <v>0</v>
      </c>
      <c r="BA708" s="18">
        <v>0</v>
      </c>
      <c r="BB708" s="18">
        <v>0</v>
      </c>
      <c r="BC708" s="18">
        <v>0</v>
      </c>
      <c r="BD708" s="18">
        <v>0</v>
      </c>
      <c r="BE708" s="25">
        <v>0</v>
      </c>
      <c r="BF708" s="18">
        <v>0</v>
      </c>
      <c r="BG708" s="18">
        <v>0</v>
      </c>
      <c r="BH708" s="18">
        <v>0</v>
      </c>
      <c r="BI708" s="18">
        <v>0</v>
      </c>
      <c r="BJ708" s="113">
        <v>0</v>
      </c>
      <c r="BK708" s="113">
        <v>0</v>
      </c>
      <c r="BL708" s="113">
        <v>0</v>
      </c>
      <c r="BM708" s="113">
        <v>0</v>
      </c>
      <c r="BN708" s="113">
        <v>0</v>
      </c>
      <c r="BO708" s="113">
        <v>0</v>
      </c>
      <c r="BP708" s="113">
        <v>0</v>
      </c>
      <c r="BQ708" s="113">
        <v>0</v>
      </c>
      <c r="BR708" s="101"/>
      <c r="BS708">
        <f t="shared" ref="BS708:CB709" si="1412">IF($C708&lt;&gt;"",IF(D708&gt;0,1,0),0)</f>
        <v>0</v>
      </c>
      <c r="BT708">
        <f t="shared" si="1412"/>
        <v>0</v>
      </c>
      <c r="BU708">
        <f t="shared" si="1412"/>
        <v>0</v>
      </c>
      <c r="BV708">
        <f t="shared" si="1412"/>
        <v>0</v>
      </c>
      <c r="BW708">
        <f t="shared" si="1412"/>
        <v>0</v>
      </c>
      <c r="BX708">
        <f t="shared" si="1412"/>
        <v>0</v>
      </c>
      <c r="BY708">
        <f t="shared" si="1412"/>
        <v>0</v>
      </c>
      <c r="BZ708">
        <f t="shared" si="1412"/>
        <v>0</v>
      </c>
      <c r="CA708">
        <f t="shared" si="1412"/>
        <v>0</v>
      </c>
      <c r="CB708">
        <f t="shared" si="1412"/>
        <v>0</v>
      </c>
      <c r="CC708">
        <f t="shared" ref="CC708:CL709" si="1413">IF($C708&lt;&gt;"",IF(N708&gt;0,1,0),0)</f>
        <v>0</v>
      </c>
      <c r="CD708">
        <f t="shared" si="1413"/>
        <v>0</v>
      </c>
      <c r="CE708">
        <f t="shared" si="1413"/>
        <v>0</v>
      </c>
      <c r="CF708">
        <f t="shared" si="1413"/>
        <v>0</v>
      </c>
      <c r="CG708">
        <f t="shared" si="1413"/>
        <v>0</v>
      </c>
      <c r="CH708">
        <f t="shared" si="1413"/>
        <v>0</v>
      </c>
      <c r="CI708">
        <f t="shared" si="1413"/>
        <v>0</v>
      </c>
      <c r="CJ708">
        <f t="shared" si="1413"/>
        <v>0</v>
      </c>
      <c r="CK708">
        <f t="shared" si="1413"/>
        <v>0</v>
      </c>
      <c r="CL708">
        <f t="shared" si="1413"/>
        <v>0</v>
      </c>
      <c r="CM708">
        <f t="shared" ref="CM708:CV709" si="1414">IF($C708&lt;&gt;"",IF(X708&gt;0,1,0),0)</f>
        <v>0</v>
      </c>
      <c r="CN708">
        <f t="shared" si="1414"/>
        <v>0</v>
      </c>
      <c r="CO708">
        <f t="shared" si="1414"/>
        <v>0</v>
      </c>
      <c r="CP708">
        <f t="shared" si="1414"/>
        <v>0</v>
      </c>
      <c r="CQ708">
        <f t="shared" si="1414"/>
        <v>0</v>
      </c>
      <c r="CR708">
        <f t="shared" si="1414"/>
        <v>0</v>
      </c>
      <c r="CS708">
        <f t="shared" si="1414"/>
        <v>0</v>
      </c>
      <c r="CT708">
        <f t="shared" si="1414"/>
        <v>0</v>
      </c>
      <c r="CU708">
        <f t="shared" si="1414"/>
        <v>0</v>
      </c>
      <c r="CV708">
        <f t="shared" si="1414"/>
        <v>0</v>
      </c>
      <c r="CW708">
        <f t="shared" ref="CW708:CX709" si="1415">IF($C708&lt;&gt;"",IF(AH708&gt;0,1,0),0)</f>
        <v>0</v>
      </c>
      <c r="CX708">
        <f t="shared" si="1415"/>
        <v>0</v>
      </c>
      <c r="CY708">
        <f>IF($C708&lt;&gt;"",IF(#REF!&gt;0,1,0),0)</f>
        <v>0</v>
      </c>
      <c r="CZ708">
        <f>IF($C708&lt;&gt;"",IF(#REF!&gt;0,1,0),0)</f>
        <v>0</v>
      </c>
      <c r="DA708">
        <f t="shared" ref="DA708:DJ709" si="1416">IF($C708&lt;&gt;"",IF(AL708&gt;0,1,0),0)</f>
        <v>0</v>
      </c>
      <c r="DB708">
        <f t="shared" si="1416"/>
        <v>0</v>
      </c>
      <c r="DC708">
        <f t="shared" si="1416"/>
        <v>0</v>
      </c>
      <c r="DD708">
        <f t="shared" si="1416"/>
        <v>0</v>
      </c>
      <c r="DE708">
        <f t="shared" si="1416"/>
        <v>0</v>
      </c>
      <c r="DF708">
        <f t="shared" si="1416"/>
        <v>0</v>
      </c>
      <c r="DG708">
        <f t="shared" si="1416"/>
        <v>0</v>
      </c>
      <c r="DH708">
        <f t="shared" si="1416"/>
        <v>0</v>
      </c>
      <c r="DI708">
        <f t="shared" si="1416"/>
        <v>0</v>
      </c>
      <c r="DJ708">
        <f t="shared" si="1416"/>
        <v>0</v>
      </c>
      <c r="DK708">
        <f t="shared" ref="DK708:DT709" si="1417">IF($C708&lt;&gt;"",IF(AV708&gt;0,1,0),0)</f>
        <v>0</v>
      </c>
      <c r="DL708">
        <f t="shared" si="1417"/>
        <v>0</v>
      </c>
      <c r="DM708">
        <f t="shared" si="1417"/>
        <v>0</v>
      </c>
      <c r="DN708">
        <f t="shared" si="1417"/>
        <v>0</v>
      </c>
      <c r="DO708">
        <f t="shared" si="1417"/>
        <v>0</v>
      </c>
      <c r="DP708">
        <f t="shared" si="1417"/>
        <v>0</v>
      </c>
      <c r="DQ708">
        <f t="shared" si="1417"/>
        <v>0</v>
      </c>
      <c r="DR708">
        <f t="shared" si="1417"/>
        <v>0</v>
      </c>
      <c r="DS708">
        <f t="shared" si="1417"/>
        <v>0</v>
      </c>
      <c r="DT708">
        <f t="shared" si="1417"/>
        <v>0</v>
      </c>
      <c r="DU708">
        <f t="shared" ref="DU708:DZ709" si="1418">IF($C708&lt;&gt;"",IF(BF708&gt;0,1,0),0)</f>
        <v>0</v>
      </c>
      <c r="DV708">
        <f t="shared" si="1418"/>
        <v>0</v>
      </c>
      <c r="DW708">
        <f t="shared" si="1418"/>
        <v>0</v>
      </c>
      <c r="DX708">
        <f t="shared" si="1418"/>
        <v>0</v>
      </c>
      <c r="DY708">
        <f t="shared" si="1418"/>
        <v>0</v>
      </c>
      <c r="DZ708">
        <f t="shared" si="1418"/>
        <v>0</v>
      </c>
      <c r="EA708">
        <f t="shared" si="1411"/>
        <v>0</v>
      </c>
      <c r="EB708">
        <f t="shared" si="1411"/>
        <v>0</v>
      </c>
      <c r="EC708">
        <f t="shared" si="1411"/>
        <v>0</v>
      </c>
      <c r="ED708">
        <f t="shared" si="1411"/>
        <v>0</v>
      </c>
      <c r="EE708">
        <f t="shared" si="1411"/>
        <v>0</v>
      </c>
      <c r="EF708">
        <f t="shared" si="1411"/>
        <v>0</v>
      </c>
    </row>
    <row r="709" spans="1:136" ht="15.5">
      <c r="A709" s="90"/>
      <c r="B709" s="19" t="s">
        <v>212</v>
      </c>
      <c r="C709" s="95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40"/>
      <c r="AK709" s="40"/>
      <c r="AL709" s="40"/>
      <c r="AM709" s="18"/>
      <c r="AN709" s="40"/>
      <c r="AO709" s="18">
        <v>15.7862903225806</v>
      </c>
      <c r="AP709" s="18">
        <v>9.0476190476190474</v>
      </c>
      <c r="AQ709" s="18">
        <v>0</v>
      </c>
      <c r="AR709" s="18">
        <v>0</v>
      </c>
      <c r="AS709" s="18">
        <v>0</v>
      </c>
      <c r="AT709" s="18">
        <v>0</v>
      </c>
      <c r="AU709" s="18">
        <v>0</v>
      </c>
      <c r="AV709" s="18">
        <v>0</v>
      </c>
      <c r="AW709" s="18">
        <v>0</v>
      </c>
      <c r="AX709" s="18">
        <v>0</v>
      </c>
      <c r="AY709" s="18">
        <v>0</v>
      </c>
      <c r="AZ709" s="18">
        <v>0</v>
      </c>
      <c r="BA709" s="18">
        <v>0</v>
      </c>
      <c r="BB709" s="18">
        <v>0</v>
      </c>
      <c r="BC709" s="18">
        <v>0.170794192997438</v>
      </c>
      <c r="BD709" s="18">
        <v>0</v>
      </c>
      <c r="BE709" s="25">
        <v>100.78387458006719</v>
      </c>
      <c r="BF709" s="18">
        <v>0</v>
      </c>
      <c r="BG709" s="18">
        <v>0</v>
      </c>
      <c r="BH709" s="18">
        <v>381.91196698762036</v>
      </c>
      <c r="BI709" s="113">
        <v>743.31136099263279</v>
      </c>
      <c r="BJ709" s="113">
        <v>713.70067014147435</v>
      </c>
      <c r="BK709" s="18">
        <v>372</v>
      </c>
      <c r="BL709" s="18">
        <v>294</v>
      </c>
      <c r="BM709" s="18">
        <v>264</v>
      </c>
      <c r="BN709" s="18">
        <v>238.3326086956522</v>
      </c>
      <c r="BO709" s="113">
        <v>203.3326086956522</v>
      </c>
      <c r="BP709" s="113">
        <v>194</v>
      </c>
      <c r="BQ709" s="113">
        <v>0</v>
      </c>
      <c r="BR709" s="101"/>
      <c r="BS709">
        <f t="shared" si="1412"/>
        <v>0</v>
      </c>
      <c r="BT709">
        <f t="shared" si="1412"/>
        <v>0</v>
      </c>
      <c r="BU709">
        <f t="shared" si="1412"/>
        <v>0</v>
      </c>
      <c r="BV709">
        <f t="shared" si="1412"/>
        <v>0</v>
      </c>
      <c r="BW709">
        <f t="shared" si="1412"/>
        <v>0</v>
      </c>
      <c r="BX709">
        <f t="shared" si="1412"/>
        <v>0</v>
      </c>
      <c r="BY709">
        <f t="shared" si="1412"/>
        <v>0</v>
      </c>
      <c r="BZ709">
        <f t="shared" si="1412"/>
        <v>0</v>
      </c>
      <c r="CA709">
        <f t="shared" si="1412"/>
        <v>0</v>
      </c>
      <c r="CB709">
        <f t="shared" si="1412"/>
        <v>0</v>
      </c>
      <c r="CC709">
        <f t="shared" si="1413"/>
        <v>0</v>
      </c>
      <c r="CD709">
        <f t="shared" si="1413"/>
        <v>0</v>
      </c>
      <c r="CE709">
        <f t="shared" si="1413"/>
        <v>0</v>
      </c>
      <c r="CF709">
        <f t="shared" si="1413"/>
        <v>0</v>
      </c>
      <c r="CG709">
        <f t="shared" si="1413"/>
        <v>0</v>
      </c>
      <c r="CH709">
        <f t="shared" si="1413"/>
        <v>0</v>
      </c>
      <c r="CI709">
        <f t="shared" si="1413"/>
        <v>0</v>
      </c>
      <c r="CJ709">
        <f t="shared" si="1413"/>
        <v>0</v>
      </c>
      <c r="CK709">
        <f t="shared" si="1413"/>
        <v>0</v>
      </c>
      <c r="CL709">
        <f t="shared" si="1413"/>
        <v>0</v>
      </c>
      <c r="CM709">
        <f t="shared" si="1414"/>
        <v>0</v>
      </c>
      <c r="CN709">
        <f t="shared" si="1414"/>
        <v>0</v>
      </c>
      <c r="CO709">
        <f t="shared" si="1414"/>
        <v>0</v>
      </c>
      <c r="CP709">
        <f t="shared" si="1414"/>
        <v>0</v>
      </c>
      <c r="CQ709">
        <f t="shared" si="1414"/>
        <v>0</v>
      </c>
      <c r="CR709">
        <f t="shared" si="1414"/>
        <v>0</v>
      </c>
      <c r="CS709">
        <f t="shared" si="1414"/>
        <v>0</v>
      </c>
      <c r="CT709">
        <f t="shared" si="1414"/>
        <v>0</v>
      </c>
      <c r="CU709">
        <f t="shared" si="1414"/>
        <v>0</v>
      </c>
      <c r="CV709">
        <f t="shared" si="1414"/>
        <v>0</v>
      </c>
      <c r="CW709">
        <f t="shared" si="1415"/>
        <v>0</v>
      </c>
      <c r="CX709">
        <f t="shared" si="1415"/>
        <v>0</v>
      </c>
      <c r="CY709">
        <f>IF($C709&lt;&gt;"",IF(AJ709&gt;0,1,0),0)</f>
        <v>0</v>
      </c>
      <c r="CZ709">
        <f>IF($C709&lt;&gt;"",IF(AK709&gt;0,1,0),0)</f>
        <v>0</v>
      </c>
      <c r="DA709">
        <f t="shared" si="1416"/>
        <v>0</v>
      </c>
      <c r="DB709">
        <f t="shared" si="1416"/>
        <v>0</v>
      </c>
      <c r="DC709">
        <f t="shared" si="1416"/>
        <v>0</v>
      </c>
      <c r="DD709">
        <f t="shared" si="1416"/>
        <v>0</v>
      </c>
      <c r="DE709">
        <f t="shared" si="1416"/>
        <v>0</v>
      </c>
      <c r="DF709">
        <f t="shared" si="1416"/>
        <v>0</v>
      </c>
      <c r="DG709">
        <f t="shared" si="1416"/>
        <v>0</v>
      </c>
      <c r="DH709">
        <f t="shared" si="1416"/>
        <v>0</v>
      </c>
      <c r="DI709">
        <f t="shared" si="1416"/>
        <v>0</v>
      </c>
      <c r="DJ709">
        <f t="shared" si="1416"/>
        <v>0</v>
      </c>
      <c r="DK709">
        <f t="shared" si="1417"/>
        <v>0</v>
      </c>
      <c r="DL709">
        <f t="shared" si="1417"/>
        <v>0</v>
      </c>
      <c r="DM709">
        <f t="shared" si="1417"/>
        <v>0</v>
      </c>
      <c r="DN709">
        <f t="shared" si="1417"/>
        <v>0</v>
      </c>
      <c r="DO709">
        <f t="shared" si="1417"/>
        <v>0</v>
      </c>
      <c r="DP709">
        <f t="shared" si="1417"/>
        <v>0</v>
      </c>
      <c r="DQ709">
        <f t="shared" si="1417"/>
        <v>0</v>
      </c>
      <c r="DR709">
        <f t="shared" si="1417"/>
        <v>0</v>
      </c>
      <c r="DS709">
        <f t="shared" si="1417"/>
        <v>0</v>
      </c>
      <c r="DT709">
        <f t="shared" si="1417"/>
        <v>0</v>
      </c>
      <c r="DU709">
        <f t="shared" si="1418"/>
        <v>0</v>
      </c>
      <c r="DV709">
        <f t="shared" si="1418"/>
        <v>0</v>
      </c>
      <c r="DW709">
        <f t="shared" si="1418"/>
        <v>0</v>
      </c>
      <c r="DX709">
        <f t="shared" si="1418"/>
        <v>0</v>
      </c>
      <c r="DY709">
        <f t="shared" si="1418"/>
        <v>0</v>
      </c>
      <c r="DZ709">
        <f t="shared" si="1418"/>
        <v>0</v>
      </c>
      <c r="EA709">
        <f t="shared" ref="EA709:EF709" si="1419">IF($C709&lt;&gt;"",IF(BL709&gt;0,1,0),0)</f>
        <v>0</v>
      </c>
      <c r="EB709">
        <f t="shared" si="1419"/>
        <v>0</v>
      </c>
      <c r="EC709">
        <f t="shared" si="1419"/>
        <v>0</v>
      </c>
      <c r="ED709">
        <f t="shared" si="1419"/>
        <v>0</v>
      </c>
      <c r="EE709">
        <f t="shared" si="1419"/>
        <v>0</v>
      </c>
      <c r="EF709">
        <f t="shared" si="1419"/>
        <v>0</v>
      </c>
    </row>
    <row r="710" spans="1:136" ht="15.5">
      <c r="A710" s="90"/>
      <c r="B710" s="19"/>
      <c r="C710" s="95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40"/>
      <c r="AK710" s="40"/>
      <c r="AL710" s="40"/>
      <c r="AM710" s="18"/>
      <c r="AN710" s="40"/>
      <c r="AO710" s="18"/>
      <c r="AP710" s="18"/>
      <c r="AQ710" s="18"/>
      <c r="AR710" s="18"/>
      <c r="AS710" s="18"/>
      <c r="AT710" s="18"/>
      <c r="AU710" s="18"/>
      <c r="AV710" s="18"/>
      <c r="AW710" s="18"/>
      <c r="AX710" s="18"/>
      <c r="AY710" s="18"/>
      <c r="AZ710" s="18"/>
      <c r="BA710" s="18"/>
      <c r="BB710" s="18"/>
      <c r="BC710" s="18"/>
      <c r="BD710" s="18"/>
      <c r="BE710" s="25"/>
      <c r="BF710" s="18"/>
      <c r="BG710" s="18"/>
      <c r="BH710" s="18"/>
      <c r="BI710" s="18"/>
      <c r="BJ710" s="113"/>
      <c r="BK710" s="2"/>
      <c r="BL710" s="22"/>
      <c r="BM710" s="2"/>
      <c r="BN710" s="2"/>
      <c r="BO710" s="2"/>
      <c r="BP710" s="2"/>
      <c r="BQ710" s="2"/>
      <c r="BR710" s="101"/>
    </row>
    <row r="711" spans="1:136" ht="15.5">
      <c r="A711" s="93">
        <v>87</v>
      </c>
      <c r="B711" s="32" t="s">
        <v>96</v>
      </c>
      <c r="C711" s="95">
        <v>3</v>
      </c>
      <c r="D711" s="22">
        <f t="shared" ref="D711:AI711" si="1420">SUM(D712:D717)</f>
        <v>0</v>
      </c>
      <c r="E711" s="22">
        <f t="shared" si="1420"/>
        <v>0</v>
      </c>
      <c r="F711" s="22">
        <f t="shared" si="1420"/>
        <v>0</v>
      </c>
      <c r="G711" s="22">
        <f t="shared" si="1420"/>
        <v>0</v>
      </c>
      <c r="H711" s="22">
        <f t="shared" si="1420"/>
        <v>0</v>
      </c>
      <c r="I711" s="22">
        <f t="shared" si="1420"/>
        <v>0</v>
      </c>
      <c r="J711" s="22">
        <f t="shared" si="1420"/>
        <v>0</v>
      </c>
      <c r="K711" s="22">
        <f t="shared" si="1420"/>
        <v>0</v>
      </c>
      <c r="L711" s="22">
        <f t="shared" si="1420"/>
        <v>0</v>
      </c>
      <c r="M711" s="22">
        <f t="shared" si="1420"/>
        <v>0</v>
      </c>
      <c r="N711" s="22">
        <f t="shared" si="1420"/>
        <v>0</v>
      </c>
      <c r="O711" s="22">
        <f t="shared" si="1420"/>
        <v>0</v>
      </c>
      <c r="P711" s="22">
        <f t="shared" si="1420"/>
        <v>6.8000000000000005E-2</v>
      </c>
      <c r="Q711" s="22">
        <f t="shared" si="1420"/>
        <v>6.8000000000000005E-2</v>
      </c>
      <c r="R711" s="22">
        <f t="shared" si="1420"/>
        <v>0.51100000000000001</v>
      </c>
      <c r="S711" s="22">
        <f t="shared" si="1420"/>
        <v>0.57587579999999994</v>
      </c>
      <c r="T711" s="22">
        <f t="shared" si="1420"/>
        <v>0.51100000000000001</v>
      </c>
      <c r="U711" s="22">
        <f t="shared" si="1420"/>
        <v>0.68575180000000002</v>
      </c>
      <c r="V711" s="22">
        <f t="shared" si="1420"/>
        <v>0.91100000000000003</v>
      </c>
      <c r="W711" s="22">
        <f t="shared" si="1420"/>
        <v>2.0757677999999999</v>
      </c>
      <c r="X711" s="22">
        <f t="shared" si="1420"/>
        <v>48.571865700000004</v>
      </c>
      <c r="Y711" s="22">
        <f t="shared" si="1420"/>
        <v>279.04009689999998</v>
      </c>
      <c r="Z711" s="22">
        <f t="shared" si="1420"/>
        <v>247.95048285000001</v>
      </c>
      <c r="AA711" s="22">
        <f t="shared" si="1420"/>
        <v>242.46789089999999</v>
      </c>
      <c r="AB711" s="22">
        <f t="shared" si="1420"/>
        <v>377.18379870000001</v>
      </c>
      <c r="AC711" s="22">
        <f t="shared" si="1420"/>
        <v>326.33652269999999</v>
      </c>
      <c r="AD711" s="22">
        <f t="shared" si="1420"/>
        <v>398.34816549999999</v>
      </c>
      <c r="AE711" s="22">
        <f t="shared" si="1420"/>
        <v>359.79126819999999</v>
      </c>
      <c r="AF711" s="22">
        <f t="shared" si="1420"/>
        <v>349.72464720000005</v>
      </c>
      <c r="AG711" s="22">
        <f t="shared" si="1420"/>
        <v>792.52193040000009</v>
      </c>
      <c r="AH711" s="22">
        <f t="shared" si="1420"/>
        <v>660.30133360000002</v>
      </c>
      <c r="AI711" s="22">
        <f t="shared" si="1420"/>
        <v>641.14429139999993</v>
      </c>
      <c r="AJ711" s="22">
        <f t="shared" ref="AJ711:BQ711" si="1421">SUM(AJ712:AJ717)</f>
        <v>867.11226979999992</v>
      </c>
      <c r="AK711" s="22">
        <f t="shared" si="1421"/>
        <v>1309.2928460000001</v>
      </c>
      <c r="AL711" s="22">
        <f t="shared" si="1421"/>
        <v>1410.2870163</v>
      </c>
      <c r="AM711" s="22">
        <f t="shared" si="1421"/>
        <v>1697.0271397999998</v>
      </c>
      <c r="AN711" s="22">
        <f t="shared" si="1421"/>
        <v>1779.3922995999997</v>
      </c>
      <c r="AO711" s="22">
        <f t="shared" si="1421"/>
        <v>1658.5221954000001</v>
      </c>
      <c r="AP711" s="22">
        <f t="shared" si="1421"/>
        <v>816.02716809999993</v>
      </c>
      <c r="AQ711" s="22">
        <f t="shared" si="1421"/>
        <v>818.54993930000001</v>
      </c>
      <c r="AR711" s="22">
        <f t="shared" si="1421"/>
        <v>883.57295220000003</v>
      </c>
      <c r="AS711" s="22">
        <f t="shared" si="1421"/>
        <v>912.10611719999997</v>
      </c>
      <c r="AT711" s="22">
        <f t="shared" si="1421"/>
        <v>1225.3026721000001</v>
      </c>
      <c r="AU711" s="22">
        <f t="shared" si="1421"/>
        <v>835.74059509999995</v>
      </c>
      <c r="AV711" s="22">
        <f t="shared" si="1421"/>
        <v>1694.0324074</v>
      </c>
      <c r="AW711" s="22">
        <f t="shared" si="1421"/>
        <v>444.22804230000003</v>
      </c>
      <c r="AX711" s="22">
        <f t="shared" si="1421"/>
        <v>2932.8543017000006</v>
      </c>
      <c r="AY711" s="22">
        <f t="shared" si="1421"/>
        <v>533.94968840000001</v>
      </c>
      <c r="AZ711" s="22">
        <f t="shared" si="1421"/>
        <v>409.5701967</v>
      </c>
      <c r="BA711" s="22">
        <f t="shared" si="1421"/>
        <v>394.67577719999997</v>
      </c>
      <c r="BB711" s="22">
        <f t="shared" si="1421"/>
        <v>393.06660179999994</v>
      </c>
      <c r="BC711" s="22">
        <f t="shared" si="1421"/>
        <v>393.12763460000002</v>
      </c>
      <c r="BD711" s="22">
        <f t="shared" si="1421"/>
        <v>471.53688</v>
      </c>
      <c r="BE711" s="22">
        <f t="shared" si="1421"/>
        <v>341.72164269999996</v>
      </c>
      <c r="BF711" s="22">
        <f t="shared" si="1421"/>
        <v>227.22385869999999</v>
      </c>
      <c r="BG711" s="22">
        <f t="shared" si="1421"/>
        <v>190.52890009999999</v>
      </c>
      <c r="BH711" s="22">
        <f t="shared" si="1421"/>
        <v>18.84</v>
      </c>
      <c r="BI711" s="22">
        <f t="shared" si="1421"/>
        <v>107.2200162</v>
      </c>
      <c r="BJ711" s="22">
        <f t="shared" si="1421"/>
        <v>103.89021600000001</v>
      </c>
      <c r="BK711" s="22">
        <f t="shared" si="1421"/>
        <v>103.8826004</v>
      </c>
      <c r="BL711" s="22">
        <f t="shared" si="1421"/>
        <v>105.1060052</v>
      </c>
      <c r="BM711" s="22">
        <f t="shared" si="1421"/>
        <v>106.31466899999999</v>
      </c>
      <c r="BN711" s="22">
        <f t="shared" si="1421"/>
        <v>103.2095743</v>
      </c>
      <c r="BO711" s="22">
        <f t="shared" si="1421"/>
        <v>291</v>
      </c>
      <c r="BP711" s="22">
        <f t="shared" si="1421"/>
        <v>103</v>
      </c>
      <c r="BQ711" s="22">
        <f t="shared" si="1421"/>
        <v>206</v>
      </c>
      <c r="BR711" s="101"/>
      <c r="BS711">
        <f t="shared" ref="BS711:CX711" si="1422">IF($C711&lt;&gt;"",IF(D711&gt;0,1,0),0)</f>
        <v>0</v>
      </c>
      <c r="BT711">
        <f t="shared" si="1422"/>
        <v>0</v>
      </c>
      <c r="BU711">
        <f t="shared" si="1422"/>
        <v>0</v>
      </c>
      <c r="BV711">
        <f t="shared" si="1422"/>
        <v>0</v>
      </c>
      <c r="BW711">
        <f t="shared" si="1422"/>
        <v>0</v>
      </c>
      <c r="BX711">
        <f t="shared" si="1422"/>
        <v>0</v>
      </c>
      <c r="BY711">
        <f t="shared" si="1422"/>
        <v>0</v>
      </c>
      <c r="BZ711">
        <f t="shared" si="1422"/>
        <v>0</v>
      </c>
      <c r="CA711">
        <f t="shared" si="1422"/>
        <v>0</v>
      </c>
      <c r="CB711">
        <f t="shared" si="1422"/>
        <v>0</v>
      </c>
      <c r="CC711">
        <f t="shared" si="1422"/>
        <v>0</v>
      </c>
      <c r="CD711">
        <f t="shared" si="1422"/>
        <v>0</v>
      </c>
      <c r="CE711">
        <f t="shared" si="1422"/>
        <v>1</v>
      </c>
      <c r="CF711">
        <f t="shared" si="1422"/>
        <v>1</v>
      </c>
      <c r="CG711">
        <f t="shared" si="1422"/>
        <v>1</v>
      </c>
      <c r="CH711">
        <f t="shared" si="1422"/>
        <v>1</v>
      </c>
      <c r="CI711">
        <f t="shared" si="1422"/>
        <v>1</v>
      </c>
      <c r="CJ711">
        <f t="shared" si="1422"/>
        <v>1</v>
      </c>
      <c r="CK711">
        <f t="shared" si="1422"/>
        <v>1</v>
      </c>
      <c r="CL711">
        <f t="shared" si="1422"/>
        <v>1</v>
      </c>
      <c r="CM711">
        <f t="shared" si="1422"/>
        <v>1</v>
      </c>
      <c r="CN711">
        <f t="shared" si="1422"/>
        <v>1</v>
      </c>
      <c r="CO711">
        <f t="shared" si="1422"/>
        <v>1</v>
      </c>
      <c r="CP711">
        <f t="shared" si="1422"/>
        <v>1</v>
      </c>
      <c r="CQ711">
        <f t="shared" si="1422"/>
        <v>1</v>
      </c>
      <c r="CR711">
        <f t="shared" si="1422"/>
        <v>1</v>
      </c>
      <c r="CS711">
        <f t="shared" si="1422"/>
        <v>1</v>
      </c>
      <c r="CT711">
        <f t="shared" si="1422"/>
        <v>1</v>
      </c>
      <c r="CU711">
        <f t="shared" si="1422"/>
        <v>1</v>
      </c>
      <c r="CV711">
        <f t="shared" si="1422"/>
        <v>1</v>
      </c>
      <c r="CW711">
        <f t="shared" si="1422"/>
        <v>1</v>
      </c>
      <c r="CX711">
        <f t="shared" si="1422"/>
        <v>1</v>
      </c>
      <c r="CY711">
        <f t="shared" ref="CY711:ED711" si="1423">IF($C711&lt;&gt;"",IF(AJ711&gt;0,1,0),0)</f>
        <v>1</v>
      </c>
      <c r="CZ711">
        <f t="shared" si="1423"/>
        <v>1</v>
      </c>
      <c r="DA711">
        <f t="shared" si="1423"/>
        <v>1</v>
      </c>
      <c r="DB711">
        <f t="shared" si="1423"/>
        <v>1</v>
      </c>
      <c r="DC711">
        <f t="shared" si="1423"/>
        <v>1</v>
      </c>
      <c r="DD711">
        <f t="shared" si="1423"/>
        <v>1</v>
      </c>
      <c r="DE711">
        <f t="shared" si="1423"/>
        <v>1</v>
      </c>
      <c r="DF711">
        <f t="shared" si="1423"/>
        <v>1</v>
      </c>
      <c r="DG711">
        <f t="shared" si="1423"/>
        <v>1</v>
      </c>
      <c r="DH711">
        <f t="shared" si="1423"/>
        <v>1</v>
      </c>
      <c r="DI711">
        <f t="shared" si="1423"/>
        <v>1</v>
      </c>
      <c r="DJ711">
        <f t="shared" si="1423"/>
        <v>1</v>
      </c>
      <c r="DK711">
        <f t="shared" si="1423"/>
        <v>1</v>
      </c>
      <c r="DL711">
        <f t="shared" si="1423"/>
        <v>1</v>
      </c>
      <c r="DM711">
        <f t="shared" si="1423"/>
        <v>1</v>
      </c>
      <c r="DN711">
        <f t="shared" si="1423"/>
        <v>1</v>
      </c>
      <c r="DO711">
        <f t="shared" si="1423"/>
        <v>1</v>
      </c>
      <c r="DP711">
        <f t="shared" si="1423"/>
        <v>1</v>
      </c>
      <c r="DQ711">
        <f t="shared" si="1423"/>
        <v>1</v>
      </c>
      <c r="DR711">
        <f t="shared" si="1423"/>
        <v>1</v>
      </c>
      <c r="DS711">
        <f t="shared" si="1423"/>
        <v>1</v>
      </c>
      <c r="DT711">
        <f t="shared" si="1423"/>
        <v>1</v>
      </c>
      <c r="DU711">
        <f t="shared" si="1423"/>
        <v>1</v>
      </c>
      <c r="DV711">
        <f t="shared" si="1423"/>
        <v>1</v>
      </c>
      <c r="DW711">
        <f t="shared" si="1423"/>
        <v>1</v>
      </c>
      <c r="DX711">
        <f t="shared" si="1423"/>
        <v>1</v>
      </c>
      <c r="DY711">
        <f t="shared" si="1423"/>
        <v>1</v>
      </c>
      <c r="DZ711">
        <f t="shared" si="1423"/>
        <v>1</v>
      </c>
      <c r="EA711">
        <f t="shared" si="1423"/>
        <v>1</v>
      </c>
      <c r="EB711">
        <f t="shared" si="1423"/>
        <v>1</v>
      </c>
      <c r="EC711">
        <f t="shared" si="1423"/>
        <v>1</v>
      </c>
      <c r="ED711">
        <f t="shared" si="1423"/>
        <v>1</v>
      </c>
      <c r="EE711">
        <f t="shared" ref="EE711:EF711" si="1424">IF($C711&lt;&gt;"",IF(BP711&gt;0,1,0),0)</f>
        <v>1</v>
      </c>
      <c r="EF711">
        <f t="shared" si="1424"/>
        <v>1</v>
      </c>
    </row>
    <row r="712" spans="1:136" ht="15.5">
      <c r="A712" s="90"/>
      <c r="B712" s="19" t="s">
        <v>2</v>
      </c>
      <c r="C712" s="95"/>
      <c r="D712" s="18">
        <v>0</v>
      </c>
      <c r="E712" s="18">
        <v>0</v>
      </c>
      <c r="F712" s="18">
        <v>0</v>
      </c>
      <c r="G712" s="18">
        <v>0</v>
      </c>
      <c r="H712" s="18">
        <v>0</v>
      </c>
      <c r="I712" s="18">
        <v>0</v>
      </c>
      <c r="J712" s="18">
        <v>0</v>
      </c>
      <c r="K712" s="18">
        <v>0</v>
      </c>
      <c r="L712" s="18">
        <v>0</v>
      </c>
      <c r="M712" s="18">
        <v>0</v>
      </c>
      <c r="N712" s="18">
        <v>0</v>
      </c>
      <c r="O712" s="18">
        <v>0</v>
      </c>
      <c r="P712" s="18">
        <v>0</v>
      </c>
      <c r="Q712" s="18">
        <v>0</v>
      </c>
      <c r="R712" s="18">
        <v>0</v>
      </c>
      <c r="S712" s="18">
        <v>0</v>
      </c>
      <c r="T712" s="18">
        <v>0</v>
      </c>
      <c r="U712" s="18">
        <v>0</v>
      </c>
      <c r="V712" s="18">
        <v>0</v>
      </c>
      <c r="W712" s="18">
        <v>0</v>
      </c>
      <c r="X712" s="18">
        <v>29</v>
      </c>
      <c r="Y712" s="18">
        <v>130</v>
      </c>
      <c r="Z712" s="18">
        <v>94</v>
      </c>
      <c r="AA712" s="40" t="s">
        <v>16</v>
      </c>
      <c r="AB712" s="18">
        <v>179</v>
      </c>
      <c r="AC712" s="18">
        <v>165</v>
      </c>
      <c r="AD712" s="18">
        <v>200</v>
      </c>
      <c r="AE712" s="40" t="s">
        <v>16</v>
      </c>
      <c r="AF712" s="18">
        <v>265</v>
      </c>
      <c r="AG712" s="40" t="s">
        <v>16</v>
      </c>
      <c r="AH712" s="18">
        <v>99</v>
      </c>
      <c r="AI712" s="40" t="s">
        <v>16</v>
      </c>
      <c r="AJ712" s="40" t="s">
        <v>16</v>
      </c>
      <c r="AK712" s="40" t="s">
        <v>16</v>
      </c>
      <c r="AL712" s="40" t="s">
        <v>16</v>
      </c>
      <c r="AM712" s="40" t="s">
        <v>16</v>
      </c>
      <c r="AN712" s="40" t="s">
        <v>16</v>
      </c>
      <c r="AO712" s="18">
        <v>1247</v>
      </c>
      <c r="AP712" s="22"/>
      <c r="AQ712" s="22"/>
      <c r="AR712" s="18">
        <v>57</v>
      </c>
      <c r="AS712" s="18">
        <v>254</v>
      </c>
      <c r="AT712" s="40" t="s">
        <v>16</v>
      </c>
      <c r="AU712" s="40" t="s">
        <v>16</v>
      </c>
      <c r="AV712" s="18">
        <v>1057</v>
      </c>
      <c r="AW712" s="40" t="s">
        <v>16</v>
      </c>
      <c r="AX712" s="40" t="s">
        <v>16</v>
      </c>
      <c r="AY712" s="58">
        <v>0</v>
      </c>
      <c r="AZ712" s="58">
        <v>0</v>
      </c>
      <c r="BA712" s="58">
        <v>0</v>
      </c>
      <c r="BB712" s="58">
        <v>0</v>
      </c>
      <c r="BC712" s="58">
        <v>0</v>
      </c>
      <c r="BD712" s="58">
        <v>0</v>
      </c>
      <c r="BE712" s="58">
        <v>0</v>
      </c>
      <c r="BF712" s="58">
        <v>0</v>
      </c>
      <c r="BG712" s="58">
        <v>0</v>
      </c>
      <c r="BH712" s="58">
        <v>0</v>
      </c>
      <c r="BI712" s="58">
        <v>0</v>
      </c>
      <c r="BJ712" s="58">
        <v>0</v>
      </c>
      <c r="BK712" s="58">
        <v>0</v>
      </c>
      <c r="BL712" s="58">
        <v>0</v>
      </c>
      <c r="BM712" s="58">
        <v>0</v>
      </c>
      <c r="BN712" s="58">
        <v>0</v>
      </c>
      <c r="BO712" s="58">
        <v>0</v>
      </c>
      <c r="BP712" s="113">
        <v>0</v>
      </c>
      <c r="BQ712" s="113">
        <v>0</v>
      </c>
      <c r="BR712" s="101"/>
      <c r="BS712">
        <f t="shared" ref="BS712:CB718" si="1425">IF($C712&lt;&gt;"",IF(D712&gt;0,1,0),0)</f>
        <v>0</v>
      </c>
      <c r="BT712">
        <f t="shared" si="1425"/>
        <v>0</v>
      </c>
      <c r="BU712">
        <f t="shared" si="1425"/>
        <v>0</v>
      </c>
      <c r="BV712">
        <f t="shared" si="1425"/>
        <v>0</v>
      </c>
      <c r="BW712">
        <f t="shared" si="1425"/>
        <v>0</v>
      </c>
      <c r="BX712">
        <f t="shared" si="1425"/>
        <v>0</v>
      </c>
      <c r="BY712">
        <f t="shared" si="1425"/>
        <v>0</v>
      </c>
      <c r="BZ712">
        <f t="shared" si="1425"/>
        <v>0</v>
      </c>
      <c r="CA712">
        <f t="shared" si="1425"/>
        <v>0</v>
      </c>
      <c r="CB712">
        <f t="shared" si="1425"/>
        <v>0</v>
      </c>
      <c r="CC712">
        <f t="shared" ref="CC712:CL718" si="1426">IF($C712&lt;&gt;"",IF(N712&gt;0,1,0),0)</f>
        <v>0</v>
      </c>
      <c r="CD712">
        <f t="shared" si="1426"/>
        <v>0</v>
      </c>
      <c r="CE712">
        <f t="shared" si="1426"/>
        <v>0</v>
      </c>
      <c r="CF712">
        <f t="shared" si="1426"/>
        <v>0</v>
      </c>
      <c r="CG712">
        <f t="shared" si="1426"/>
        <v>0</v>
      </c>
      <c r="CH712">
        <f t="shared" si="1426"/>
        <v>0</v>
      </c>
      <c r="CI712">
        <f t="shared" si="1426"/>
        <v>0</v>
      </c>
      <c r="CJ712">
        <f t="shared" si="1426"/>
        <v>0</v>
      </c>
      <c r="CK712">
        <f t="shared" si="1426"/>
        <v>0</v>
      </c>
      <c r="CL712">
        <f t="shared" si="1426"/>
        <v>0</v>
      </c>
      <c r="CM712">
        <f t="shared" ref="CM712:CV718" si="1427">IF($C712&lt;&gt;"",IF(X712&gt;0,1,0),0)</f>
        <v>0</v>
      </c>
      <c r="CN712">
        <f t="shared" si="1427"/>
        <v>0</v>
      </c>
      <c r="CO712">
        <f t="shared" si="1427"/>
        <v>0</v>
      </c>
      <c r="CP712">
        <f t="shared" si="1427"/>
        <v>0</v>
      </c>
      <c r="CQ712">
        <f t="shared" si="1427"/>
        <v>0</v>
      </c>
      <c r="CR712">
        <f t="shared" si="1427"/>
        <v>0</v>
      </c>
      <c r="CS712">
        <f t="shared" si="1427"/>
        <v>0</v>
      </c>
      <c r="CT712">
        <f t="shared" si="1427"/>
        <v>0</v>
      </c>
      <c r="CU712">
        <f t="shared" si="1427"/>
        <v>0</v>
      </c>
      <c r="CV712">
        <f t="shared" si="1427"/>
        <v>0</v>
      </c>
      <c r="CW712">
        <f t="shared" ref="CW712:DF718" si="1428">IF($C712&lt;&gt;"",IF(AH712&gt;0,1,0),0)</f>
        <v>0</v>
      </c>
      <c r="CX712">
        <f t="shared" si="1428"/>
        <v>0</v>
      </c>
      <c r="CY712">
        <f t="shared" si="1428"/>
        <v>0</v>
      </c>
      <c r="CZ712">
        <f t="shared" si="1428"/>
        <v>0</v>
      </c>
      <c r="DA712">
        <f t="shared" si="1428"/>
        <v>0</v>
      </c>
      <c r="DB712">
        <f t="shared" si="1428"/>
        <v>0</v>
      </c>
      <c r="DC712">
        <f t="shared" si="1428"/>
        <v>0</v>
      </c>
      <c r="DD712">
        <f t="shared" si="1428"/>
        <v>0</v>
      </c>
      <c r="DE712">
        <f t="shared" si="1428"/>
        <v>0</v>
      </c>
      <c r="DF712">
        <f t="shared" si="1428"/>
        <v>0</v>
      </c>
      <c r="DG712">
        <f t="shared" ref="DG712:DP718" si="1429">IF($C712&lt;&gt;"",IF(AR712&gt;0,1,0),0)</f>
        <v>0</v>
      </c>
      <c r="DH712">
        <f t="shared" si="1429"/>
        <v>0</v>
      </c>
      <c r="DI712">
        <f t="shared" si="1429"/>
        <v>0</v>
      </c>
      <c r="DJ712">
        <f t="shared" si="1429"/>
        <v>0</v>
      </c>
      <c r="DK712">
        <f t="shared" si="1429"/>
        <v>0</v>
      </c>
      <c r="DL712">
        <f t="shared" si="1429"/>
        <v>0</v>
      </c>
      <c r="DM712">
        <f t="shared" si="1429"/>
        <v>0</v>
      </c>
      <c r="DN712">
        <f t="shared" si="1429"/>
        <v>0</v>
      </c>
      <c r="DO712">
        <f t="shared" si="1429"/>
        <v>0</v>
      </c>
      <c r="DP712">
        <f t="shared" si="1429"/>
        <v>0</v>
      </c>
      <c r="DQ712">
        <f t="shared" ref="DQ712:DZ718" si="1430">IF($C712&lt;&gt;"",IF(BB712&gt;0,1,0),0)</f>
        <v>0</v>
      </c>
      <c r="DR712">
        <f t="shared" si="1430"/>
        <v>0</v>
      </c>
      <c r="DS712">
        <f t="shared" si="1430"/>
        <v>0</v>
      </c>
      <c r="DT712">
        <f t="shared" si="1430"/>
        <v>0</v>
      </c>
      <c r="DU712">
        <f t="shared" si="1430"/>
        <v>0</v>
      </c>
      <c r="DV712">
        <f t="shared" si="1430"/>
        <v>0</v>
      </c>
      <c r="DW712">
        <f t="shared" si="1430"/>
        <v>0</v>
      </c>
      <c r="DX712">
        <f t="shared" si="1430"/>
        <v>0</v>
      </c>
      <c r="DY712">
        <f t="shared" si="1430"/>
        <v>0</v>
      </c>
      <c r="DZ712">
        <f t="shared" si="1430"/>
        <v>0</v>
      </c>
      <c r="EA712">
        <f t="shared" ref="EA712:EF716" si="1431">IF($C712&lt;&gt;"",IF(BL711&gt;0,1,0),0)</f>
        <v>0</v>
      </c>
      <c r="EB712">
        <f t="shared" si="1431"/>
        <v>0</v>
      </c>
      <c r="EC712">
        <f t="shared" si="1431"/>
        <v>0</v>
      </c>
      <c r="ED712">
        <f t="shared" si="1431"/>
        <v>0</v>
      </c>
      <c r="EE712">
        <f t="shared" si="1431"/>
        <v>0</v>
      </c>
      <c r="EF712">
        <f t="shared" si="1431"/>
        <v>0</v>
      </c>
    </row>
    <row r="713" spans="1:136" ht="15.5">
      <c r="A713" s="90"/>
      <c r="B713" s="19" t="s">
        <v>205</v>
      </c>
      <c r="C713" s="95"/>
      <c r="D713" s="18">
        <v>0</v>
      </c>
      <c r="E713" s="18">
        <v>0</v>
      </c>
      <c r="F713" s="18">
        <v>0</v>
      </c>
      <c r="G713" s="18">
        <v>0</v>
      </c>
      <c r="H713" s="18">
        <v>0</v>
      </c>
      <c r="I713" s="18">
        <v>0</v>
      </c>
      <c r="J713" s="18">
        <v>0</v>
      </c>
      <c r="K713" s="18">
        <v>0</v>
      </c>
      <c r="L713" s="18">
        <v>0</v>
      </c>
      <c r="M713" s="18">
        <v>0</v>
      </c>
      <c r="N713" s="18">
        <v>0</v>
      </c>
      <c r="O713" s="18">
        <v>0</v>
      </c>
      <c r="P713" s="18">
        <v>0</v>
      </c>
      <c r="Q713" s="18">
        <v>0</v>
      </c>
      <c r="R713" s="18">
        <v>0</v>
      </c>
      <c r="S713" s="18">
        <v>0</v>
      </c>
      <c r="T713" s="18">
        <v>0</v>
      </c>
      <c r="U713" s="18">
        <v>0</v>
      </c>
      <c r="V713" s="18">
        <v>0</v>
      </c>
      <c r="W713" s="18">
        <v>0</v>
      </c>
      <c r="X713" s="18">
        <v>1.1631766000000001</v>
      </c>
      <c r="Y713" s="18">
        <v>2.0400969</v>
      </c>
      <c r="Z713" s="18">
        <v>2.7778540999999999</v>
      </c>
      <c r="AA713" s="18">
        <v>3.5948232</v>
      </c>
      <c r="AB713" s="18">
        <v>3.1837987000000001</v>
      </c>
      <c r="AC713" s="18">
        <v>3.3365227000000002</v>
      </c>
      <c r="AD713" s="18">
        <v>3.3481654999999999</v>
      </c>
      <c r="AE713" s="18">
        <v>3.3481032000000002</v>
      </c>
      <c r="AF713" s="18">
        <v>3.3481032000000002</v>
      </c>
      <c r="AG713" s="18">
        <v>2.6390777000000001</v>
      </c>
      <c r="AH713" s="18">
        <v>4.3013335999999995</v>
      </c>
      <c r="AI713" s="18">
        <v>6.1199431999999998</v>
      </c>
      <c r="AJ713" s="18">
        <v>7.7970364999999999</v>
      </c>
      <c r="AK713" s="18">
        <v>9.7305173000000007</v>
      </c>
      <c r="AL713" s="18">
        <v>8.0730955000000009</v>
      </c>
      <c r="AM713" s="18">
        <v>11.3760329</v>
      </c>
      <c r="AN713" s="18">
        <v>14.4150581</v>
      </c>
      <c r="AO713" s="18">
        <v>12.0315745</v>
      </c>
      <c r="AP713" s="18">
        <v>13.241086900000001</v>
      </c>
      <c r="AQ713" s="18">
        <v>13.441145300000001</v>
      </c>
      <c r="AR713" s="18">
        <v>13.645953499999999</v>
      </c>
      <c r="AS713" s="18">
        <v>30</v>
      </c>
      <c r="AT713" s="71">
        <v>14.774784</v>
      </c>
      <c r="AU713" s="71">
        <v>15.341090400000001</v>
      </c>
      <c r="AV713" s="71">
        <v>24.893683899999999</v>
      </c>
      <c r="AW713" s="71">
        <v>26.735096600000002</v>
      </c>
      <c r="AX713" s="71">
        <v>28.866392100000002</v>
      </c>
      <c r="AY713" s="71">
        <v>42.112056100000004</v>
      </c>
      <c r="AZ713" s="18">
        <v>0</v>
      </c>
      <c r="BA713" s="18">
        <v>0</v>
      </c>
      <c r="BB713" s="18">
        <v>0</v>
      </c>
      <c r="BC713" s="18">
        <v>0</v>
      </c>
      <c r="BD713" s="18">
        <v>0</v>
      </c>
      <c r="BE713" s="25">
        <v>0</v>
      </c>
      <c r="BF713" s="18">
        <v>0</v>
      </c>
      <c r="BG713" s="18">
        <v>0</v>
      </c>
      <c r="BH713" s="187">
        <v>0.44</v>
      </c>
      <c r="BI713" s="103">
        <v>0.44400809999999996</v>
      </c>
      <c r="BJ713" s="103">
        <v>0.45410800000000001</v>
      </c>
      <c r="BK713" s="103">
        <v>0.4343977</v>
      </c>
      <c r="BL713" s="113">
        <v>0</v>
      </c>
      <c r="BM713" s="113">
        <v>0</v>
      </c>
      <c r="BN713" s="113">
        <v>2</v>
      </c>
      <c r="BO713" s="113">
        <v>0</v>
      </c>
      <c r="BP713" s="113">
        <v>0</v>
      </c>
      <c r="BQ713" s="113">
        <v>0</v>
      </c>
      <c r="BR713" s="101"/>
      <c r="BS713">
        <f t="shared" si="1425"/>
        <v>0</v>
      </c>
      <c r="BT713">
        <f t="shared" si="1425"/>
        <v>0</v>
      </c>
      <c r="BU713">
        <f t="shared" si="1425"/>
        <v>0</v>
      </c>
      <c r="BV713">
        <f t="shared" si="1425"/>
        <v>0</v>
      </c>
      <c r="BW713">
        <f t="shared" si="1425"/>
        <v>0</v>
      </c>
      <c r="BX713">
        <f t="shared" si="1425"/>
        <v>0</v>
      </c>
      <c r="BY713">
        <f t="shared" si="1425"/>
        <v>0</v>
      </c>
      <c r="BZ713">
        <f t="shared" si="1425"/>
        <v>0</v>
      </c>
      <c r="CA713">
        <f t="shared" si="1425"/>
        <v>0</v>
      </c>
      <c r="CB713">
        <f t="shared" si="1425"/>
        <v>0</v>
      </c>
      <c r="CC713">
        <f t="shared" si="1426"/>
        <v>0</v>
      </c>
      <c r="CD713">
        <f t="shared" si="1426"/>
        <v>0</v>
      </c>
      <c r="CE713">
        <f t="shared" si="1426"/>
        <v>0</v>
      </c>
      <c r="CF713">
        <f t="shared" si="1426"/>
        <v>0</v>
      </c>
      <c r="CG713">
        <f t="shared" si="1426"/>
        <v>0</v>
      </c>
      <c r="CH713">
        <f t="shared" si="1426"/>
        <v>0</v>
      </c>
      <c r="CI713">
        <f t="shared" si="1426"/>
        <v>0</v>
      </c>
      <c r="CJ713">
        <f t="shared" si="1426"/>
        <v>0</v>
      </c>
      <c r="CK713">
        <f t="shared" si="1426"/>
        <v>0</v>
      </c>
      <c r="CL713">
        <f t="shared" si="1426"/>
        <v>0</v>
      </c>
      <c r="CM713">
        <f t="shared" si="1427"/>
        <v>0</v>
      </c>
      <c r="CN713">
        <f t="shared" si="1427"/>
        <v>0</v>
      </c>
      <c r="CO713">
        <f t="shared" si="1427"/>
        <v>0</v>
      </c>
      <c r="CP713">
        <f t="shared" si="1427"/>
        <v>0</v>
      </c>
      <c r="CQ713">
        <f t="shared" si="1427"/>
        <v>0</v>
      </c>
      <c r="CR713">
        <f t="shared" si="1427"/>
        <v>0</v>
      </c>
      <c r="CS713">
        <f t="shared" si="1427"/>
        <v>0</v>
      </c>
      <c r="CT713">
        <f t="shared" si="1427"/>
        <v>0</v>
      </c>
      <c r="CU713">
        <f t="shared" si="1427"/>
        <v>0</v>
      </c>
      <c r="CV713">
        <f t="shared" si="1427"/>
        <v>0</v>
      </c>
      <c r="CW713">
        <f t="shared" si="1428"/>
        <v>0</v>
      </c>
      <c r="CX713">
        <f t="shared" si="1428"/>
        <v>0</v>
      </c>
      <c r="CY713">
        <f t="shared" si="1428"/>
        <v>0</v>
      </c>
      <c r="CZ713">
        <f t="shared" si="1428"/>
        <v>0</v>
      </c>
      <c r="DA713">
        <f t="shared" si="1428"/>
        <v>0</v>
      </c>
      <c r="DB713">
        <f t="shared" si="1428"/>
        <v>0</v>
      </c>
      <c r="DC713">
        <f t="shared" si="1428"/>
        <v>0</v>
      </c>
      <c r="DD713">
        <f t="shared" si="1428"/>
        <v>0</v>
      </c>
      <c r="DE713">
        <f t="shared" si="1428"/>
        <v>0</v>
      </c>
      <c r="DF713">
        <f t="shared" si="1428"/>
        <v>0</v>
      </c>
      <c r="DG713">
        <f t="shared" si="1429"/>
        <v>0</v>
      </c>
      <c r="DH713">
        <f t="shared" si="1429"/>
        <v>0</v>
      </c>
      <c r="DI713">
        <f t="shared" si="1429"/>
        <v>0</v>
      </c>
      <c r="DJ713">
        <f t="shared" si="1429"/>
        <v>0</v>
      </c>
      <c r="DK713">
        <f t="shared" si="1429"/>
        <v>0</v>
      </c>
      <c r="DL713">
        <f t="shared" si="1429"/>
        <v>0</v>
      </c>
      <c r="DM713">
        <f t="shared" si="1429"/>
        <v>0</v>
      </c>
      <c r="DN713">
        <f t="shared" si="1429"/>
        <v>0</v>
      </c>
      <c r="DO713">
        <f t="shared" si="1429"/>
        <v>0</v>
      </c>
      <c r="DP713">
        <f t="shared" si="1429"/>
        <v>0</v>
      </c>
      <c r="DQ713">
        <f t="shared" si="1430"/>
        <v>0</v>
      </c>
      <c r="DR713">
        <f t="shared" si="1430"/>
        <v>0</v>
      </c>
      <c r="DS713">
        <f t="shared" si="1430"/>
        <v>0</v>
      </c>
      <c r="DT713">
        <f t="shared" si="1430"/>
        <v>0</v>
      </c>
      <c r="DU713">
        <f t="shared" si="1430"/>
        <v>0</v>
      </c>
      <c r="DV713">
        <f t="shared" si="1430"/>
        <v>0</v>
      </c>
      <c r="DW713">
        <f t="shared" si="1430"/>
        <v>0</v>
      </c>
      <c r="DX713">
        <f t="shared" si="1430"/>
        <v>0</v>
      </c>
      <c r="DY713">
        <f t="shared" si="1430"/>
        <v>0</v>
      </c>
      <c r="DZ713">
        <f t="shared" si="1430"/>
        <v>0</v>
      </c>
      <c r="EA713">
        <f t="shared" si="1431"/>
        <v>0</v>
      </c>
      <c r="EB713">
        <f t="shared" si="1431"/>
        <v>0</v>
      </c>
      <c r="EC713">
        <f t="shared" si="1431"/>
        <v>0</v>
      </c>
      <c r="ED713">
        <f t="shared" si="1431"/>
        <v>0</v>
      </c>
      <c r="EE713">
        <f t="shared" si="1431"/>
        <v>0</v>
      </c>
      <c r="EF713">
        <f t="shared" si="1431"/>
        <v>0</v>
      </c>
    </row>
    <row r="714" spans="1:136" ht="15.5">
      <c r="A714" s="90"/>
      <c r="B714" s="57" t="s">
        <v>3</v>
      </c>
      <c r="C714" s="95"/>
      <c r="D714" s="18">
        <v>0</v>
      </c>
      <c r="E714" s="18">
        <v>0</v>
      </c>
      <c r="F714" s="18">
        <v>0</v>
      </c>
      <c r="G714" s="18">
        <v>0</v>
      </c>
      <c r="H714" s="18">
        <v>0</v>
      </c>
      <c r="I714" s="18">
        <v>0</v>
      </c>
      <c r="J714" s="18">
        <v>0</v>
      </c>
      <c r="K714" s="18">
        <v>0</v>
      </c>
      <c r="L714" s="18">
        <v>0</v>
      </c>
      <c r="M714" s="18">
        <v>0</v>
      </c>
      <c r="N714" s="18">
        <v>0</v>
      </c>
      <c r="O714" s="18">
        <v>0</v>
      </c>
      <c r="P714" s="18">
        <v>6.8000000000000005E-2</v>
      </c>
      <c r="Q714" s="18">
        <v>6.8000000000000005E-2</v>
      </c>
      <c r="R714" s="18">
        <v>0.51100000000000001</v>
      </c>
      <c r="S714" s="18">
        <v>0.57587579999999994</v>
      </c>
      <c r="T714" s="18">
        <v>0.51100000000000001</v>
      </c>
      <c r="U714" s="18">
        <v>0.55775180000000002</v>
      </c>
      <c r="V714" s="18">
        <v>0.77300000000000002</v>
      </c>
      <c r="W714" s="18">
        <v>1.8857678</v>
      </c>
      <c r="X714" s="18">
        <v>7.4086891000000001</v>
      </c>
      <c r="Y714" s="40" t="s">
        <v>16</v>
      </c>
      <c r="Z714" s="40" t="s">
        <v>16</v>
      </c>
      <c r="AA714" s="18">
        <v>68.345567700000004</v>
      </c>
      <c r="AB714" s="40" t="s">
        <v>16</v>
      </c>
      <c r="AC714" s="40" t="s">
        <v>16</v>
      </c>
      <c r="AD714" s="40" t="s">
        <v>16</v>
      </c>
      <c r="AE714" s="18">
        <v>158.185665</v>
      </c>
      <c r="AF714" s="18">
        <v>29</v>
      </c>
      <c r="AG714" s="18">
        <v>724.42964260000008</v>
      </c>
      <c r="AH714" s="18">
        <v>508</v>
      </c>
      <c r="AI714" s="18">
        <v>591.0136354</v>
      </c>
      <c r="AJ714" s="18">
        <v>811.79445699999997</v>
      </c>
      <c r="AK714" s="18">
        <v>1247.3993625000001</v>
      </c>
      <c r="AL714" s="18">
        <v>1340.3015233000001</v>
      </c>
      <c r="AM714" s="18">
        <v>1614.5701242999999</v>
      </c>
      <c r="AN714" s="18">
        <v>1692.4051233999999</v>
      </c>
      <c r="AO714" s="18">
        <v>324</v>
      </c>
      <c r="AP714" s="18">
        <v>769.29702279999992</v>
      </c>
      <c r="AQ714" s="18">
        <v>766.32663519999994</v>
      </c>
      <c r="AR714" s="18">
        <f>826.1915314-AR712</f>
        <v>769.19153140000003</v>
      </c>
      <c r="AS714" s="18">
        <f>835.7878442-AS712</f>
        <v>581.78784419999999</v>
      </c>
      <c r="AT714" s="18">
        <v>791.52788810000004</v>
      </c>
      <c r="AU714" s="18">
        <v>770.86828939999998</v>
      </c>
      <c r="AV714" s="18">
        <f>1651.1387235-AV712</f>
        <v>594.13872349999997</v>
      </c>
      <c r="AW714" s="18">
        <v>399.49294570000001</v>
      </c>
      <c r="AX714" s="18">
        <v>2885.9879096000004</v>
      </c>
      <c r="AY714" s="18">
        <v>473.83763230000005</v>
      </c>
      <c r="AZ714" s="18">
        <v>391.5701967</v>
      </c>
      <c r="BA714" s="18">
        <v>376.67577719999997</v>
      </c>
      <c r="BB714" s="18">
        <v>375.06660179999994</v>
      </c>
      <c r="BC714" s="18">
        <v>375.12763460000002</v>
      </c>
      <c r="BD714" s="18">
        <v>453.53688</v>
      </c>
      <c r="BE714" s="25">
        <v>323.72164269999996</v>
      </c>
      <c r="BF714" s="18">
        <v>209.22385869999999</v>
      </c>
      <c r="BG714" s="18">
        <v>172.52890009999999</v>
      </c>
      <c r="BH714" s="18">
        <v>0.4</v>
      </c>
      <c r="BI714" s="18">
        <v>88.776008099999999</v>
      </c>
      <c r="BJ714" s="18">
        <v>85.436108000000004</v>
      </c>
      <c r="BK714" s="18">
        <v>85.448202699999996</v>
      </c>
      <c r="BL714" s="18">
        <v>87.106005199999998</v>
      </c>
      <c r="BM714" s="18">
        <v>88.314668999999995</v>
      </c>
      <c r="BN714" s="18">
        <v>83.2095743</v>
      </c>
      <c r="BO714" s="113">
        <f>85+188</f>
        <v>273</v>
      </c>
      <c r="BP714" s="113">
        <v>85</v>
      </c>
      <c r="BQ714" s="113">
        <v>188</v>
      </c>
      <c r="BR714" s="101"/>
      <c r="BS714">
        <f t="shared" si="1425"/>
        <v>0</v>
      </c>
      <c r="BT714">
        <f t="shared" si="1425"/>
        <v>0</v>
      </c>
      <c r="BU714">
        <f t="shared" si="1425"/>
        <v>0</v>
      </c>
      <c r="BV714">
        <f t="shared" si="1425"/>
        <v>0</v>
      </c>
      <c r="BW714">
        <f t="shared" si="1425"/>
        <v>0</v>
      </c>
      <c r="BX714">
        <f t="shared" si="1425"/>
        <v>0</v>
      </c>
      <c r="BY714">
        <f t="shared" si="1425"/>
        <v>0</v>
      </c>
      <c r="BZ714">
        <f t="shared" si="1425"/>
        <v>0</v>
      </c>
      <c r="CA714">
        <f t="shared" si="1425"/>
        <v>0</v>
      </c>
      <c r="CB714">
        <f t="shared" si="1425"/>
        <v>0</v>
      </c>
      <c r="CC714">
        <f t="shared" si="1426"/>
        <v>0</v>
      </c>
      <c r="CD714">
        <f t="shared" si="1426"/>
        <v>0</v>
      </c>
      <c r="CE714">
        <f t="shared" si="1426"/>
        <v>0</v>
      </c>
      <c r="CF714">
        <f t="shared" si="1426"/>
        <v>0</v>
      </c>
      <c r="CG714">
        <f t="shared" si="1426"/>
        <v>0</v>
      </c>
      <c r="CH714">
        <f t="shared" si="1426"/>
        <v>0</v>
      </c>
      <c r="CI714">
        <f t="shared" si="1426"/>
        <v>0</v>
      </c>
      <c r="CJ714">
        <f t="shared" si="1426"/>
        <v>0</v>
      </c>
      <c r="CK714">
        <f t="shared" si="1426"/>
        <v>0</v>
      </c>
      <c r="CL714">
        <f t="shared" si="1426"/>
        <v>0</v>
      </c>
      <c r="CM714">
        <f t="shared" si="1427"/>
        <v>0</v>
      </c>
      <c r="CN714">
        <f t="shared" si="1427"/>
        <v>0</v>
      </c>
      <c r="CO714">
        <f t="shared" si="1427"/>
        <v>0</v>
      </c>
      <c r="CP714">
        <f t="shared" si="1427"/>
        <v>0</v>
      </c>
      <c r="CQ714">
        <f t="shared" si="1427"/>
        <v>0</v>
      </c>
      <c r="CR714">
        <f t="shared" si="1427"/>
        <v>0</v>
      </c>
      <c r="CS714">
        <f t="shared" si="1427"/>
        <v>0</v>
      </c>
      <c r="CT714">
        <f t="shared" si="1427"/>
        <v>0</v>
      </c>
      <c r="CU714">
        <f t="shared" si="1427"/>
        <v>0</v>
      </c>
      <c r="CV714">
        <f t="shared" si="1427"/>
        <v>0</v>
      </c>
      <c r="CW714">
        <f t="shared" si="1428"/>
        <v>0</v>
      </c>
      <c r="CX714">
        <f t="shared" si="1428"/>
        <v>0</v>
      </c>
      <c r="CY714">
        <f t="shared" si="1428"/>
        <v>0</v>
      </c>
      <c r="CZ714">
        <f t="shared" si="1428"/>
        <v>0</v>
      </c>
      <c r="DA714">
        <f t="shared" si="1428"/>
        <v>0</v>
      </c>
      <c r="DB714">
        <f t="shared" si="1428"/>
        <v>0</v>
      </c>
      <c r="DC714">
        <f t="shared" si="1428"/>
        <v>0</v>
      </c>
      <c r="DD714">
        <f t="shared" si="1428"/>
        <v>0</v>
      </c>
      <c r="DE714">
        <f t="shared" si="1428"/>
        <v>0</v>
      </c>
      <c r="DF714">
        <f t="shared" si="1428"/>
        <v>0</v>
      </c>
      <c r="DG714">
        <f t="shared" si="1429"/>
        <v>0</v>
      </c>
      <c r="DH714">
        <f t="shared" si="1429"/>
        <v>0</v>
      </c>
      <c r="DI714">
        <f t="shared" si="1429"/>
        <v>0</v>
      </c>
      <c r="DJ714">
        <f t="shared" si="1429"/>
        <v>0</v>
      </c>
      <c r="DK714">
        <f t="shared" si="1429"/>
        <v>0</v>
      </c>
      <c r="DL714">
        <f t="shared" si="1429"/>
        <v>0</v>
      </c>
      <c r="DM714">
        <f t="shared" si="1429"/>
        <v>0</v>
      </c>
      <c r="DN714">
        <f t="shared" si="1429"/>
        <v>0</v>
      </c>
      <c r="DO714">
        <f t="shared" si="1429"/>
        <v>0</v>
      </c>
      <c r="DP714">
        <f t="shared" si="1429"/>
        <v>0</v>
      </c>
      <c r="DQ714">
        <f t="shared" si="1430"/>
        <v>0</v>
      </c>
      <c r="DR714">
        <f t="shared" si="1430"/>
        <v>0</v>
      </c>
      <c r="DS714">
        <f t="shared" si="1430"/>
        <v>0</v>
      </c>
      <c r="DT714">
        <f t="shared" si="1430"/>
        <v>0</v>
      </c>
      <c r="DU714">
        <f t="shared" si="1430"/>
        <v>0</v>
      </c>
      <c r="DV714">
        <f t="shared" si="1430"/>
        <v>0</v>
      </c>
      <c r="DW714">
        <f t="shared" si="1430"/>
        <v>0</v>
      </c>
      <c r="DX714">
        <f t="shared" si="1430"/>
        <v>0</v>
      </c>
      <c r="DY714">
        <f t="shared" si="1430"/>
        <v>0</v>
      </c>
      <c r="DZ714">
        <f t="shared" si="1430"/>
        <v>0</v>
      </c>
      <c r="EA714">
        <f t="shared" si="1431"/>
        <v>0</v>
      </c>
      <c r="EB714">
        <f t="shared" si="1431"/>
        <v>0</v>
      </c>
      <c r="EC714">
        <f t="shared" si="1431"/>
        <v>0</v>
      </c>
      <c r="ED714">
        <f t="shared" si="1431"/>
        <v>0</v>
      </c>
      <c r="EE714">
        <f t="shared" si="1431"/>
        <v>0</v>
      </c>
      <c r="EF714">
        <f t="shared" si="1431"/>
        <v>0</v>
      </c>
    </row>
    <row r="715" spans="1:136" ht="15.5">
      <c r="A715" s="90"/>
      <c r="B715" s="19" t="s">
        <v>18</v>
      </c>
      <c r="C715" s="94"/>
      <c r="D715" s="58">
        <v>0</v>
      </c>
      <c r="E715" s="58">
        <v>0</v>
      </c>
      <c r="F715" s="58">
        <v>0</v>
      </c>
      <c r="G715" s="58">
        <v>0</v>
      </c>
      <c r="H715" s="58">
        <v>0</v>
      </c>
      <c r="I715" s="58">
        <v>0</v>
      </c>
      <c r="J715" s="58">
        <v>0</v>
      </c>
      <c r="K715" s="58">
        <v>0</v>
      </c>
      <c r="L715" s="58">
        <v>0</v>
      </c>
      <c r="M715" s="58">
        <v>0</v>
      </c>
      <c r="N715" s="58">
        <v>0</v>
      </c>
      <c r="O715" s="58">
        <v>0</v>
      </c>
      <c r="P715" s="58">
        <v>0</v>
      </c>
      <c r="Q715" s="58">
        <v>0</v>
      </c>
      <c r="R715" s="58">
        <v>0</v>
      </c>
      <c r="S715" s="58">
        <v>0</v>
      </c>
      <c r="T715" s="58">
        <v>0</v>
      </c>
      <c r="U715" s="58">
        <v>0</v>
      </c>
      <c r="V715" s="58">
        <v>0</v>
      </c>
      <c r="W715" s="58">
        <v>0</v>
      </c>
      <c r="X715" s="58">
        <v>11</v>
      </c>
      <c r="Y715" s="58">
        <v>147</v>
      </c>
      <c r="Z715" s="58">
        <v>151.17262875</v>
      </c>
      <c r="AA715" s="58">
        <v>170.5275</v>
      </c>
      <c r="AB715" s="58">
        <v>195</v>
      </c>
      <c r="AC715" s="58">
        <v>158</v>
      </c>
      <c r="AD715" s="58">
        <v>195</v>
      </c>
      <c r="AE715" s="58">
        <v>198.25749999999999</v>
      </c>
      <c r="AF715" s="40" t="s">
        <v>16</v>
      </c>
      <c r="AG715" s="40" t="s">
        <v>16</v>
      </c>
      <c r="AH715" s="58">
        <v>49</v>
      </c>
      <c r="AI715" s="40" t="s">
        <v>16</v>
      </c>
      <c r="AJ715" s="40" t="s">
        <v>16</v>
      </c>
      <c r="AK715" s="40" t="s">
        <v>16</v>
      </c>
      <c r="AL715" s="40" t="s">
        <v>16</v>
      </c>
      <c r="AM715" s="40" t="s">
        <v>16</v>
      </c>
      <c r="AN715" s="40" t="s">
        <v>16</v>
      </c>
      <c r="AO715" s="40" t="s">
        <v>16</v>
      </c>
      <c r="AP715" s="40" t="s">
        <v>16</v>
      </c>
      <c r="AQ715" s="40" t="s">
        <v>16</v>
      </c>
      <c r="AR715" s="40" t="s">
        <v>16</v>
      </c>
      <c r="AS715" s="40" t="s">
        <v>16</v>
      </c>
      <c r="AT715" s="58">
        <v>160</v>
      </c>
      <c r="AU715" s="58">
        <v>0</v>
      </c>
      <c r="AV715" s="58">
        <v>0</v>
      </c>
      <c r="AW715" s="58">
        <v>0</v>
      </c>
      <c r="AX715" s="58">
        <v>0</v>
      </c>
      <c r="AY715" s="58">
        <v>0</v>
      </c>
      <c r="AZ715" s="58">
        <v>0</v>
      </c>
      <c r="BA715" s="58">
        <v>0</v>
      </c>
      <c r="BB715" s="58">
        <v>0</v>
      </c>
      <c r="BC715" s="58">
        <v>0</v>
      </c>
      <c r="BD715" s="18">
        <v>0</v>
      </c>
      <c r="BE715" s="25">
        <v>0</v>
      </c>
      <c r="BF715" s="18">
        <v>0</v>
      </c>
      <c r="BG715" s="18">
        <v>0</v>
      </c>
      <c r="BH715" s="18">
        <v>0</v>
      </c>
      <c r="BI715" s="18">
        <v>0</v>
      </c>
      <c r="BJ715" s="113">
        <v>0</v>
      </c>
      <c r="BK715" s="113">
        <v>0</v>
      </c>
      <c r="BL715" s="113">
        <v>0</v>
      </c>
      <c r="BM715" s="113">
        <v>0</v>
      </c>
      <c r="BN715" s="113">
        <v>0</v>
      </c>
      <c r="BO715" s="113">
        <v>0</v>
      </c>
      <c r="BP715" s="113">
        <v>0</v>
      </c>
      <c r="BQ715" s="113">
        <v>0</v>
      </c>
      <c r="BR715" s="101"/>
      <c r="BS715">
        <f t="shared" si="1425"/>
        <v>0</v>
      </c>
      <c r="BT715">
        <f t="shared" si="1425"/>
        <v>0</v>
      </c>
      <c r="BU715">
        <f t="shared" si="1425"/>
        <v>0</v>
      </c>
      <c r="BV715">
        <f t="shared" si="1425"/>
        <v>0</v>
      </c>
      <c r="BW715">
        <f t="shared" si="1425"/>
        <v>0</v>
      </c>
      <c r="BX715">
        <f t="shared" si="1425"/>
        <v>0</v>
      </c>
      <c r="BY715">
        <f t="shared" si="1425"/>
        <v>0</v>
      </c>
      <c r="BZ715">
        <f t="shared" si="1425"/>
        <v>0</v>
      </c>
      <c r="CA715">
        <f t="shared" si="1425"/>
        <v>0</v>
      </c>
      <c r="CB715">
        <f t="shared" si="1425"/>
        <v>0</v>
      </c>
      <c r="CC715">
        <f t="shared" si="1426"/>
        <v>0</v>
      </c>
      <c r="CD715">
        <f t="shared" si="1426"/>
        <v>0</v>
      </c>
      <c r="CE715">
        <f t="shared" si="1426"/>
        <v>0</v>
      </c>
      <c r="CF715">
        <f t="shared" si="1426"/>
        <v>0</v>
      </c>
      <c r="CG715">
        <f t="shared" si="1426"/>
        <v>0</v>
      </c>
      <c r="CH715">
        <f t="shared" si="1426"/>
        <v>0</v>
      </c>
      <c r="CI715">
        <f t="shared" si="1426"/>
        <v>0</v>
      </c>
      <c r="CJ715">
        <f t="shared" si="1426"/>
        <v>0</v>
      </c>
      <c r="CK715">
        <f t="shared" si="1426"/>
        <v>0</v>
      </c>
      <c r="CL715">
        <f t="shared" si="1426"/>
        <v>0</v>
      </c>
      <c r="CM715">
        <f t="shared" si="1427"/>
        <v>0</v>
      </c>
      <c r="CN715">
        <f t="shared" si="1427"/>
        <v>0</v>
      </c>
      <c r="CO715">
        <f t="shared" si="1427"/>
        <v>0</v>
      </c>
      <c r="CP715">
        <f t="shared" si="1427"/>
        <v>0</v>
      </c>
      <c r="CQ715">
        <f t="shared" si="1427"/>
        <v>0</v>
      </c>
      <c r="CR715">
        <f t="shared" si="1427"/>
        <v>0</v>
      </c>
      <c r="CS715">
        <f t="shared" si="1427"/>
        <v>0</v>
      </c>
      <c r="CT715">
        <f t="shared" si="1427"/>
        <v>0</v>
      </c>
      <c r="CU715">
        <f t="shared" si="1427"/>
        <v>0</v>
      </c>
      <c r="CV715">
        <f t="shared" si="1427"/>
        <v>0</v>
      </c>
      <c r="CW715">
        <f t="shared" si="1428"/>
        <v>0</v>
      </c>
      <c r="CX715">
        <f t="shared" si="1428"/>
        <v>0</v>
      </c>
      <c r="CY715">
        <f t="shared" si="1428"/>
        <v>0</v>
      </c>
      <c r="CZ715">
        <f t="shared" si="1428"/>
        <v>0</v>
      </c>
      <c r="DA715">
        <f t="shared" si="1428"/>
        <v>0</v>
      </c>
      <c r="DB715">
        <f t="shared" si="1428"/>
        <v>0</v>
      </c>
      <c r="DC715">
        <f t="shared" si="1428"/>
        <v>0</v>
      </c>
      <c r="DD715">
        <f t="shared" si="1428"/>
        <v>0</v>
      </c>
      <c r="DE715">
        <f t="shared" si="1428"/>
        <v>0</v>
      </c>
      <c r="DF715">
        <f t="shared" si="1428"/>
        <v>0</v>
      </c>
      <c r="DG715">
        <f t="shared" si="1429"/>
        <v>0</v>
      </c>
      <c r="DH715">
        <f t="shared" si="1429"/>
        <v>0</v>
      </c>
      <c r="DI715">
        <f t="shared" si="1429"/>
        <v>0</v>
      </c>
      <c r="DJ715">
        <f t="shared" si="1429"/>
        <v>0</v>
      </c>
      <c r="DK715">
        <f t="shared" si="1429"/>
        <v>0</v>
      </c>
      <c r="DL715">
        <f t="shared" si="1429"/>
        <v>0</v>
      </c>
      <c r="DM715">
        <f t="shared" si="1429"/>
        <v>0</v>
      </c>
      <c r="DN715">
        <f t="shared" si="1429"/>
        <v>0</v>
      </c>
      <c r="DO715">
        <f t="shared" si="1429"/>
        <v>0</v>
      </c>
      <c r="DP715">
        <f t="shared" si="1429"/>
        <v>0</v>
      </c>
      <c r="DQ715">
        <f t="shared" si="1430"/>
        <v>0</v>
      </c>
      <c r="DR715">
        <f t="shared" si="1430"/>
        <v>0</v>
      </c>
      <c r="DS715">
        <f t="shared" si="1430"/>
        <v>0</v>
      </c>
      <c r="DT715">
        <f t="shared" si="1430"/>
        <v>0</v>
      </c>
      <c r="DU715">
        <f t="shared" si="1430"/>
        <v>0</v>
      </c>
      <c r="DV715">
        <f t="shared" si="1430"/>
        <v>0</v>
      </c>
      <c r="DW715">
        <f t="shared" si="1430"/>
        <v>0</v>
      </c>
      <c r="DX715">
        <f t="shared" si="1430"/>
        <v>0</v>
      </c>
      <c r="DY715">
        <f t="shared" si="1430"/>
        <v>0</v>
      </c>
      <c r="DZ715">
        <f t="shared" si="1430"/>
        <v>0</v>
      </c>
      <c r="EA715">
        <f t="shared" si="1431"/>
        <v>0</v>
      </c>
      <c r="EB715">
        <f t="shared" si="1431"/>
        <v>0</v>
      </c>
      <c r="EC715">
        <f t="shared" si="1431"/>
        <v>0</v>
      </c>
      <c r="ED715">
        <f t="shared" si="1431"/>
        <v>0</v>
      </c>
      <c r="EE715">
        <f t="shared" si="1431"/>
        <v>0</v>
      </c>
      <c r="EF715">
        <f t="shared" si="1431"/>
        <v>0</v>
      </c>
    </row>
    <row r="716" spans="1:136" ht="15.5">
      <c r="A716" s="90"/>
      <c r="B716" s="19" t="s">
        <v>208</v>
      </c>
      <c r="C716" s="95"/>
      <c r="D716" s="18">
        <v>0</v>
      </c>
      <c r="E716" s="18">
        <v>0</v>
      </c>
      <c r="F716" s="18">
        <v>0</v>
      </c>
      <c r="G716" s="18">
        <v>0</v>
      </c>
      <c r="H716" s="18">
        <v>0</v>
      </c>
      <c r="I716" s="18">
        <v>0</v>
      </c>
      <c r="J716" s="18">
        <v>0</v>
      </c>
      <c r="K716" s="18">
        <v>0</v>
      </c>
      <c r="L716" s="18">
        <v>0</v>
      </c>
      <c r="M716" s="18">
        <v>0</v>
      </c>
      <c r="N716" s="18">
        <v>0</v>
      </c>
      <c r="O716" s="18">
        <v>0</v>
      </c>
      <c r="P716" s="18">
        <v>0</v>
      </c>
      <c r="Q716" s="18">
        <v>0</v>
      </c>
      <c r="R716" s="18">
        <v>0</v>
      </c>
      <c r="S716" s="18">
        <v>0</v>
      </c>
      <c r="T716" s="18">
        <v>0</v>
      </c>
      <c r="U716" s="18">
        <v>0.128</v>
      </c>
      <c r="V716" s="18">
        <v>0.13800000000000001</v>
      </c>
      <c r="W716" s="18">
        <v>0.19</v>
      </c>
      <c r="X716" s="40" t="s">
        <v>16</v>
      </c>
      <c r="Y716" s="40" t="s">
        <v>16</v>
      </c>
      <c r="Z716" s="40" t="s">
        <v>16</v>
      </c>
      <c r="AA716" s="40" t="s">
        <v>16</v>
      </c>
      <c r="AB716" s="40" t="s">
        <v>16</v>
      </c>
      <c r="AC716" s="40" t="s">
        <v>16</v>
      </c>
      <c r="AD716" s="40" t="s">
        <v>16</v>
      </c>
      <c r="AE716" s="40" t="s">
        <v>16</v>
      </c>
      <c r="AF716" s="18">
        <v>52.376544000000003</v>
      </c>
      <c r="AG716" s="18">
        <v>65.453210100000007</v>
      </c>
      <c r="AH716" s="40" t="s">
        <v>16</v>
      </c>
      <c r="AI716" s="18">
        <v>44.0107128</v>
      </c>
      <c r="AJ716" s="18">
        <v>47.520776299999994</v>
      </c>
      <c r="AK716" s="18">
        <v>52.1629662</v>
      </c>
      <c r="AL716" s="18">
        <v>61.912397499999997</v>
      </c>
      <c r="AM716" s="18">
        <v>71.080982599999999</v>
      </c>
      <c r="AN716" s="18">
        <v>72.572118099999997</v>
      </c>
      <c r="AO716" s="18">
        <v>75.49062090000001</v>
      </c>
      <c r="AP716" s="18">
        <v>33.489058399999998</v>
      </c>
      <c r="AQ716" s="18">
        <v>38.782158799999998</v>
      </c>
      <c r="AR716" s="18">
        <v>43.735467299999996</v>
      </c>
      <c r="AS716" s="18">
        <v>46.318272999999998</v>
      </c>
      <c r="AT716" s="40" t="s">
        <v>16</v>
      </c>
      <c r="AU716" s="18">
        <v>49.5312153</v>
      </c>
      <c r="AV716" s="18">
        <v>18</v>
      </c>
      <c r="AW716" s="18">
        <v>18</v>
      </c>
      <c r="AX716" s="18">
        <v>18</v>
      </c>
      <c r="AY716" s="18">
        <v>18</v>
      </c>
      <c r="AZ716" s="18">
        <v>18</v>
      </c>
      <c r="BA716" s="18">
        <v>18</v>
      </c>
      <c r="BB716" s="18">
        <v>18</v>
      </c>
      <c r="BC716" s="18">
        <v>18</v>
      </c>
      <c r="BD716" s="18">
        <v>18</v>
      </c>
      <c r="BE716" s="25">
        <v>18</v>
      </c>
      <c r="BF716" s="18">
        <v>18</v>
      </c>
      <c r="BG716" s="18">
        <v>18</v>
      </c>
      <c r="BH716" s="18">
        <v>18</v>
      </c>
      <c r="BI716" s="18">
        <v>18</v>
      </c>
      <c r="BJ716" s="18">
        <v>18</v>
      </c>
      <c r="BK716" s="34">
        <v>18</v>
      </c>
      <c r="BL716" s="34">
        <v>18</v>
      </c>
      <c r="BM716" s="113">
        <v>18</v>
      </c>
      <c r="BN716" s="34">
        <v>18</v>
      </c>
      <c r="BO716" s="113">
        <v>18</v>
      </c>
      <c r="BP716" s="113">
        <v>18</v>
      </c>
      <c r="BQ716" s="113">
        <v>18</v>
      </c>
      <c r="BR716" s="101"/>
      <c r="BS716">
        <f t="shared" si="1425"/>
        <v>0</v>
      </c>
      <c r="BT716">
        <f t="shared" si="1425"/>
        <v>0</v>
      </c>
      <c r="BU716">
        <f t="shared" si="1425"/>
        <v>0</v>
      </c>
      <c r="BV716">
        <f t="shared" si="1425"/>
        <v>0</v>
      </c>
      <c r="BW716">
        <f t="shared" si="1425"/>
        <v>0</v>
      </c>
      <c r="BX716">
        <f t="shared" si="1425"/>
        <v>0</v>
      </c>
      <c r="BY716">
        <f t="shared" si="1425"/>
        <v>0</v>
      </c>
      <c r="BZ716">
        <f t="shared" si="1425"/>
        <v>0</v>
      </c>
      <c r="CA716">
        <f t="shared" si="1425"/>
        <v>0</v>
      </c>
      <c r="CB716">
        <f t="shared" si="1425"/>
        <v>0</v>
      </c>
      <c r="CC716">
        <f t="shared" si="1426"/>
        <v>0</v>
      </c>
      <c r="CD716">
        <f t="shared" si="1426"/>
        <v>0</v>
      </c>
      <c r="CE716">
        <f t="shared" si="1426"/>
        <v>0</v>
      </c>
      <c r="CF716">
        <f t="shared" si="1426"/>
        <v>0</v>
      </c>
      <c r="CG716">
        <f t="shared" si="1426"/>
        <v>0</v>
      </c>
      <c r="CH716">
        <f t="shared" si="1426"/>
        <v>0</v>
      </c>
      <c r="CI716">
        <f t="shared" si="1426"/>
        <v>0</v>
      </c>
      <c r="CJ716">
        <f t="shared" si="1426"/>
        <v>0</v>
      </c>
      <c r="CK716">
        <f t="shared" si="1426"/>
        <v>0</v>
      </c>
      <c r="CL716">
        <f t="shared" si="1426"/>
        <v>0</v>
      </c>
      <c r="CM716">
        <f t="shared" si="1427"/>
        <v>0</v>
      </c>
      <c r="CN716">
        <f t="shared" si="1427"/>
        <v>0</v>
      </c>
      <c r="CO716">
        <f t="shared" si="1427"/>
        <v>0</v>
      </c>
      <c r="CP716">
        <f t="shared" si="1427"/>
        <v>0</v>
      </c>
      <c r="CQ716">
        <f t="shared" si="1427"/>
        <v>0</v>
      </c>
      <c r="CR716">
        <f t="shared" si="1427"/>
        <v>0</v>
      </c>
      <c r="CS716">
        <f t="shared" si="1427"/>
        <v>0</v>
      </c>
      <c r="CT716">
        <f t="shared" si="1427"/>
        <v>0</v>
      </c>
      <c r="CU716">
        <f t="shared" si="1427"/>
        <v>0</v>
      </c>
      <c r="CV716">
        <f t="shared" si="1427"/>
        <v>0</v>
      </c>
      <c r="CW716">
        <f t="shared" si="1428"/>
        <v>0</v>
      </c>
      <c r="CX716">
        <f t="shared" si="1428"/>
        <v>0</v>
      </c>
      <c r="CY716">
        <f t="shared" si="1428"/>
        <v>0</v>
      </c>
      <c r="CZ716">
        <f t="shared" si="1428"/>
        <v>0</v>
      </c>
      <c r="DA716">
        <f t="shared" si="1428"/>
        <v>0</v>
      </c>
      <c r="DB716">
        <f t="shared" si="1428"/>
        <v>0</v>
      </c>
      <c r="DC716">
        <f t="shared" si="1428"/>
        <v>0</v>
      </c>
      <c r="DD716">
        <f t="shared" si="1428"/>
        <v>0</v>
      </c>
      <c r="DE716">
        <f t="shared" si="1428"/>
        <v>0</v>
      </c>
      <c r="DF716">
        <f t="shared" si="1428"/>
        <v>0</v>
      </c>
      <c r="DG716">
        <f t="shared" si="1429"/>
        <v>0</v>
      </c>
      <c r="DH716">
        <f t="shared" si="1429"/>
        <v>0</v>
      </c>
      <c r="DI716">
        <f t="shared" si="1429"/>
        <v>0</v>
      </c>
      <c r="DJ716">
        <f t="shared" si="1429"/>
        <v>0</v>
      </c>
      <c r="DK716">
        <f t="shared" si="1429"/>
        <v>0</v>
      </c>
      <c r="DL716">
        <f t="shared" si="1429"/>
        <v>0</v>
      </c>
      <c r="DM716">
        <f t="shared" si="1429"/>
        <v>0</v>
      </c>
      <c r="DN716">
        <f t="shared" si="1429"/>
        <v>0</v>
      </c>
      <c r="DO716">
        <f t="shared" si="1429"/>
        <v>0</v>
      </c>
      <c r="DP716">
        <f t="shared" si="1429"/>
        <v>0</v>
      </c>
      <c r="DQ716">
        <f t="shared" si="1430"/>
        <v>0</v>
      </c>
      <c r="DR716">
        <f t="shared" si="1430"/>
        <v>0</v>
      </c>
      <c r="DS716">
        <f t="shared" si="1430"/>
        <v>0</v>
      </c>
      <c r="DT716">
        <f t="shared" si="1430"/>
        <v>0</v>
      </c>
      <c r="DU716">
        <f t="shared" si="1430"/>
        <v>0</v>
      </c>
      <c r="DV716">
        <f t="shared" si="1430"/>
        <v>0</v>
      </c>
      <c r="DW716">
        <f t="shared" si="1430"/>
        <v>0</v>
      </c>
      <c r="DX716">
        <f t="shared" si="1430"/>
        <v>0</v>
      </c>
      <c r="DY716">
        <f t="shared" si="1430"/>
        <v>0</v>
      </c>
      <c r="DZ716">
        <f t="shared" si="1430"/>
        <v>0</v>
      </c>
      <c r="EA716">
        <f t="shared" si="1431"/>
        <v>0</v>
      </c>
      <c r="EB716">
        <f t="shared" si="1431"/>
        <v>0</v>
      </c>
      <c r="EC716">
        <f t="shared" si="1431"/>
        <v>0</v>
      </c>
      <c r="ED716">
        <f t="shared" si="1431"/>
        <v>0</v>
      </c>
      <c r="EE716">
        <f t="shared" si="1431"/>
        <v>0</v>
      </c>
      <c r="EF716">
        <f t="shared" si="1431"/>
        <v>0</v>
      </c>
    </row>
    <row r="717" spans="1:136" ht="15.5">
      <c r="A717" s="90"/>
      <c r="B717" s="53" t="s">
        <v>21</v>
      </c>
      <c r="C717" s="94"/>
      <c r="D717" s="58">
        <v>0</v>
      </c>
      <c r="E717" s="58">
        <v>0</v>
      </c>
      <c r="F717" s="58">
        <v>0</v>
      </c>
      <c r="G717" s="58">
        <v>0</v>
      </c>
      <c r="H717" s="58">
        <v>0</v>
      </c>
      <c r="I717" s="58">
        <v>0</v>
      </c>
      <c r="J717" s="58">
        <v>0</v>
      </c>
      <c r="K717" s="58">
        <v>0</v>
      </c>
      <c r="L717" s="58">
        <v>0</v>
      </c>
      <c r="M717" s="58">
        <v>0</v>
      </c>
      <c r="N717" s="58">
        <v>0</v>
      </c>
      <c r="O717" s="58">
        <v>0</v>
      </c>
      <c r="P717" s="58">
        <v>0</v>
      </c>
      <c r="Q717" s="58">
        <v>0</v>
      </c>
      <c r="R717" s="58">
        <v>0</v>
      </c>
      <c r="S717" s="58">
        <v>0</v>
      </c>
      <c r="T717" s="58">
        <v>0</v>
      </c>
      <c r="U717" s="58">
        <v>0</v>
      </c>
      <c r="V717" s="58">
        <v>0</v>
      </c>
      <c r="W717" s="58">
        <v>0</v>
      </c>
      <c r="X717" s="58">
        <v>0</v>
      </c>
      <c r="Y717" s="58">
        <v>0</v>
      </c>
      <c r="Z717" s="58">
        <v>0</v>
      </c>
      <c r="AA717" s="58">
        <v>0</v>
      </c>
      <c r="AB717" s="58">
        <v>0</v>
      </c>
      <c r="AC717" s="58">
        <v>0</v>
      </c>
      <c r="AD717" s="58">
        <v>0</v>
      </c>
      <c r="AE717" s="58">
        <v>0</v>
      </c>
      <c r="AF717" s="18">
        <v>0</v>
      </c>
      <c r="AG717" s="18">
        <v>0</v>
      </c>
      <c r="AH717" s="58">
        <v>0</v>
      </c>
      <c r="AI717" s="18">
        <v>0</v>
      </c>
      <c r="AJ717" s="18">
        <v>0</v>
      </c>
      <c r="AK717" s="18">
        <v>0</v>
      </c>
      <c r="AL717" s="18">
        <v>0</v>
      </c>
      <c r="AM717" s="18">
        <v>0</v>
      </c>
      <c r="AN717" s="18">
        <v>0</v>
      </c>
      <c r="AO717" s="18">
        <v>0</v>
      </c>
      <c r="AP717" s="18">
        <v>0</v>
      </c>
      <c r="AQ717" s="18">
        <v>0</v>
      </c>
      <c r="AR717" s="18">
        <v>0</v>
      </c>
      <c r="AS717" s="18">
        <v>0</v>
      </c>
      <c r="AT717" s="58">
        <v>259</v>
      </c>
      <c r="AU717" s="58">
        <v>0</v>
      </c>
      <c r="AV717" s="58">
        <v>0</v>
      </c>
      <c r="AW717" s="58">
        <v>0</v>
      </c>
      <c r="AX717" s="58">
        <v>0</v>
      </c>
      <c r="AY717" s="58">
        <v>0</v>
      </c>
      <c r="AZ717" s="58">
        <v>0</v>
      </c>
      <c r="BA717" s="58">
        <v>0</v>
      </c>
      <c r="BB717" s="58">
        <v>0</v>
      </c>
      <c r="BC717" s="58">
        <v>0</v>
      </c>
      <c r="BD717" s="18">
        <v>0</v>
      </c>
      <c r="BE717" s="25">
        <v>0</v>
      </c>
      <c r="BF717" s="18">
        <v>0</v>
      </c>
      <c r="BG717" s="18">
        <v>0</v>
      </c>
      <c r="BH717" s="18">
        <v>0</v>
      </c>
      <c r="BI717" s="18">
        <v>0</v>
      </c>
      <c r="BJ717" s="113">
        <v>0</v>
      </c>
      <c r="BK717" s="113">
        <v>0</v>
      </c>
      <c r="BL717" s="113">
        <v>0</v>
      </c>
      <c r="BM717" s="113">
        <v>0</v>
      </c>
      <c r="BN717" s="113">
        <v>0</v>
      </c>
      <c r="BO717" s="113">
        <v>0</v>
      </c>
      <c r="BP717" s="113">
        <v>0</v>
      </c>
      <c r="BQ717" s="113">
        <v>0</v>
      </c>
      <c r="BR717" s="101"/>
      <c r="BS717">
        <f t="shared" si="1425"/>
        <v>0</v>
      </c>
      <c r="BT717">
        <f t="shared" si="1425"/>
        <v>0</v>
      </c>
      <c r="BU717">
        <f t="shared" si="1425"/>
        <v>0</v>
      </c>
      <c r="BV717">
        <f t="shared" si="1425"/>
        <v>0</v>
      </c>
      <c r="BW717">
        <f t="shared" si="1425"/>
        <v>0</v>
      </c>
      <c r="BX717">
        <f t="shared" si="1425"/>
        <v>0</v>
      </c>
      <c r="BY717">
        <f t="shared" si="1425"/>
        <v>0</v>
      </c>
      <c r="BZ717">
        <f t="shared" si="1425"/>
        <v>0</v>
      </c>
      <c r="CA717">
        <f t="shared" si="1425"/>
        <v>0</v>
      </c>
      <c r="CB717">
        <f t="shared" si="1425"/>
        <v>0</v>
      </c>
      <c r="CC717">
        <f t="shared" si="1426"/>
        <v>0</v>
      </c>
      <c r="CD717">
        <f t="shared" si="1426"/>
        <v>0</v>
      </c>
      <c r="CE717">
        <f t="shared" si="1426"/>
        <v>0</v>
      </c>
      <c r="CF717">
        <f t="shared" si="1426"/>
        <v>0</v>
      </c>
      <c r="CG717">
        <f t="shared" si="1426"/>
        <v>0</v>
      </c>
      <c r="CH717">
        <f t="shared" si="1426"/>
        <v>0</v>
      </c>
      <c r="CI717">
        <f t="shared" si="1426"/>
        <v>0</v>
      </c>
      <c r="CJ717">
        <f t="shared" si="1426"/>
        <v>0</v>
      </c>
      <c r="CK717">
        <f t="shared" si="1426"/>
        <v>0</v>
      </c>
      <c r="CL717">
        <f t="shared" si="1426"/>
        <v>0</v>
      </c>
      <c r="CM717">
        <f t="shared" si="1427"/>
        <v>0</v>
      </c>
      <c r="CN717">
        <f t="shared" si="1427"/>
        <v>0</v>
      </c>
      <c r="CO717">
        <f t="shared" si="1427"/>
        <v>0</v>
      </c>
      <c r="CP717">
        <f t="shared" si="1427"/>
        <v>0</v>
      </c>
      <c r="CQ717">
        <f t="shared" si="1427"/>
        <v>0</v>
      </c>
      <c r="CR717">
        <f t="shared" si="1427"/>
        <v>0</v>
      </c>
      <c r="CS717">
        <f t="shared" si="1427"/>
        <v>0</v>
      </c>
      <c r="CT717">
        <f t="shared" si="1427"/>
        <v>0</v>
      </c>
      <c r="CU717">
        <f t="shared" si="1427"/>
        <v>0</v>
      </c>
      <c r="CV717">
        <f t="shared" si="1427"/>
        <v>0</v>
      </c>
      <c r="CW717">
        <f t="shared" si="1428"/>
        <v>0</v>
      </c>
      <c r="CX717">
        <f t="shared" si="1428"/>
        <v>0</v>
      </c>
      <c r="CY717">
        <f t="shared" si="1428"/>
        <v>0</v>
      </c>
      <c r="CZ717">
        <f t="shared" si="1428"/>
        <v>0</v>
      </c>
      <c r="DA717">
        <f t="shared" si="1428"/>
        <v>0</v>
      </c>
      <c r="DB717">
        <f t="shared" si="1428"/>
        <v>0</v>
      </c>
      <c r="DC717">
        <f t="shared" si="1428"/>
        <v>0</v>
      </c>
      <c r="DD717">
        <f t="shared" si="1428"/>
        <v>0</v>
      </c>
      <c r="DE717">
        <f t="shared" si="1428"/>
        <v>0</v>
      </c>
      <c r="DF717">
        <f t="shared" si="1428"/>
        <v>0</v>
      </c>
      <c r="DG717">
        <f t="shared" si="1429"/>
        <v>0</v>
      </c>
      <c r="DH717">
        <f t="shared" si="1429"/>
        <v>0</v>
      </c>
      <c r="DI717">
        <f t="shared" si="1429"/>
        <v>0</v>
      </c>
      <c r="DJ717">
        <f t="shared" si="1429"/>
        <v>0</v>
      </c>
      <c r="DK717">
        <f t="shared" si="1429"/>
        <v>0</v>
      </c>
      <c r="DL717">
        <f t="shared" si="1429"/>
        <v>0</v>
      </c>
      <c r="DM717">
        <f t="shared" si="1429"/>
        <v>0</v>
      </c>
      <c r="DN717">
        <f t="shared" si="1429"/>
        <v>0</v>
      </c>
      <c r="DO717">
        <f t="shared" si="1429"/>
        <v>0</v>
      </c>
      <c r="DP717">
        <f t="shared" si="1429"/>
        <v>0</v>
      </c>
      <c r="DQ717">
        <f t="shared" si="1430"/>
        <v>0</v>
      </c>
      <c r="DR717">
        <f t="shared" si="1430"/>
        <v>0</v>
      </c>
      <c r="DS717">
        <f t="shared" si="1430"/>
        <v>0</v>
      </c>
      <c r="DT717">
        <f t="shared" si="1430"/>
        <v>0</v>
      </c>
      <c r="DU717">
        <f t="shared" si="1430"/>
        <v>0</v>
      </c>
      <c r="DV717">
        <f t="shared" si="1430"/>
        <v>0</v>
      </c>
      <c r="DW717">
        <f t="shared" si="1430"/>
        <v>0</v>
      </c>
      <c r="DX717">
        <f t="shared" si="1430"/>
        <v>0</v>
      </c>
      <c r="DY717">
        <f t="shared" si="1430"/>
        <v>0</v>
      </c>
      <c r="DZ717">
        <f t="shared" si="1430"/>
        <v>0</v>
      </c>
      <c r="EA717">
        <f t="shared" ref="EA717:EF718" si="1432">IF($C717&lt;&gt;"",IF(BL717&gt;0,1,0),0)</f>
        <v>0</v>
      </c>
      <c r="EB717">
        <f t="shared" si="1432"/>
        <v>0</v>
      </c>
      <c r="EC717">
        <f t="shared" si="1432"/>
        <v>0</v>
      </c>
      <c r="ED717">
        <f t="shared" si="1432"/>
        <v>0</v>
      </c>
      <c r="EE717">
        <f t="shared" si="1432"/>
        <v>0</v>
      </c>
      <c r="EF717">
        <f t="shared" si="1432"/>
        <v>0</v>
      </c>
    </row>
    <row r="718" spans="1:136" ht="15.5">
      <c r="A718" s="90"/>
      <c r="B718" s="53" t="s">
        <v>212</v>
      </c>
      <c r="C718" s="94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  <c r="AA718" s="58"/>
      <c r="AB718" s="58"/>
      <c r="AC718" s="58"/>
      <c r="AD718" s="58"/>
      <c r="AE718" s="58"/>
      <c r="AF718" s="18"/>
      <c r="AG718" s="18"/>
      <c r="AH718" s="58">
        <v>373</v>
      </c>
      <c r="AI718" s="18">
        <v>375</v>
      </c>
      <c r="AJ718" s="18">
        <v>375</v>
      </c>
      <c r="AK718" s="18">
        <v>374</v>
      </c>
      <c r="AL718" s="18">
        <v>370</v>
      </c>
      <c r="AM718" s="18">
        <v>376.42203985932002</v>
      </c>
      <c r="AN718" s="18">
        <v>399.48291782086795</v>
      </c>
      <c r="AO718" s="18">
        <v>692.2745460141582</v>
      </c>
      <c r="AP718" s="18">
        <v>423.25367647058823</v>
      </c>
      <c r="AQ718" s="18">
        <v>420.12728719172634</v>
      </c>
      <c r="AR718" s="18">
        <v>289.6602658788774</v>
      </c>
      <c r="AS718" s="18">
        <v>269.71935007385525</v>
      </c>
      <c r="AT718" s="58">
        <v>123.3528550512445</v>
      </c>
      <c r="AU718" s="58">
        <v>102.98869143780291</v>
      </c>
      <c r="AV718" s="153">
        <v>34.403424291064738</v>
      </c>
      <c r="AW718" s="153">
        <v>30.79584775086505</v>
      </c>
      <c r="AX718" s="153">
        <v>935.1582440020419</v>
      </c>
      <c r="AY718" s="153">
        <v>1031.2678062678062</v>
      </c>
      <c r="AZ718" s="153">
        <v>1007.1487151448879</v>
      </c>
      <c r="BA718" s="153">
        <v>961.89916405433644</v>
      </c>
      <c r="BB718" s="58">
        <v>894.82019528459159</v>
      </c>
      <c r="BC718" s="58">
        <v>881.36814744801518</v>
      </c>
      <c r="BD718" s="147">
        <v>706.05617977528095</v>
      </c>
      <c r="BE718" s="152">
        <v>474.57676722197209</v>
      </c>
      <c r="BF718" s="147">
        <v>562.74354327140918</v>
      </c>
      <c r="BG718" s="147">
        <v>343.81094683862852</v>
      </c>
      <c r="BH718" s="147">
        <v>212.76483050847457</v>
      </c>
      <c r="BI718" s="18">
        <v>147.4461105904405</v>
      </c>
      <c r="BJ718" s="113">
        <v>71.174351585014406</v>
      </c>
      <c r="BK718" s="113">
        <v>36.687675070028014</v>
      </c>
      <c r="BL718" s="113">
        <v>28.173474663908998</v>
      </c>
      <c r="BM718" s="154">
        <f>108975/3965</f>
        <v>27.484237074401008</v>
      </c>
      <c r="BN718" s="154">
        <v>399.01917075345517</v>
      </c>
      <c r="BO718" s="168">
        <v>167</v>
      </c>
      <c r="BP718" s="113">
        <v>160</v>
      </c>
      <c r="BQ718" s="113">
        <v>71</v>
      </c>
      <c r="BR718" s="101"/>
      <c r="BS718">
        <f t="shared" si="1425"/>
        <v>0</v>
      </c>
      <c r="BT718">
        <f t="shared" si="1425"/>
        <v>0</v>
      </c>
      <c r="BU718">
        <f t="shared" si="1425"/>
        <v>0</v>
      </c>
      <c r="BV718">
        <f t="shared" si="1425"/>
        <v>0</v>
      </c>
      <c r="BW718">
        <f t="shared" si="1425"/>
        <v>0</v>
      </c>
      <c r="BX718">
        <f t="shared" si="1425"/>
        <v>0</v>
      </c>
      <c r="BY718">
        <f t="shared" si="1425"/>
        <v>0</v>
      </c>
      <c r="BZ718">
        <f t="shared" si="1425"/>
        <v>0</v>
      </c>
      <c r="CA718">
        <f t="shared" si="1425"/>
        <v>0</v>
      </c>
      <c r="CB718">
        <f t="shared" si="1425"/>
        <v>0</v>
      </c>
      <c r="CC718">
        <f t="shared" si="1426"/>
        <v>0</v>
      </c>
      <c r="CD718">
        <f t="shared" si="1426"/>
        <v>0</v>
      </c>
      <c r="CE718">
        <f t="shared" si="1426"/>
        <v>0</v>
      </c>
      <c r="CF718">
        <f t="shared" si="1426"/>
        <v>0</v>
      </c>
      <c r="CG718">
        <f t="shared" si="1426"/>
        <v>0</v>
      </c>
      <c r="CH718">
        <f t="shared" si="1426"/>
        <v>0</v>
      </c>
      <c r="CI718">
        <f t="shared" si="1426"/>
        <v>0</v>
      </c>
      <c r="CJ718">
        <f t="shared" si="1426"/>
        <v>0</v>
      </c>
      <c r="CK718">
        <f t="shared" si="1426"/>
        <v>0</v>
      </c>
      <c r="CL718">
        <f t="shared" si="1426"/>
        <v>0</v>
      </c>
      <c r="CM718">
        <f t="shared" si="1427"/>
        <v>0</v>
      </c>
      <c r="CN718">
        <f t="shared" si="1427"/>
        <v>0</v>
      </c>
      <c r="CO718">
        <f t="shared" si="1427"/>
        <v>0</v>
      </c>
      <c r="CP718">
        <f t="shared" si="1427"/>
        <v>0</v>
      </c>
      <c r="CQ718">
        <f t="shared" si="1427"/>
        <v>0</v>
      </c>
      <c r="CR718">
        <f t="shared" si="1427"/>
        <v>0</v>
      </c>
      <c r="CS718">
        <f t="shared" si="1427"/>
        <v>0</v>
      </c>
      <c r="CT718">
        <f t="shared" si="1427"/>
        <v>0</v>
      </c>
      <c r="CU718">
        <f t="shared" si="1427"/>
        <v>0</v>
      </c>
      <c r="CV718">
        <f t="shared" si="1427"/>
        <v>0</v>
      </c>
      <c r="CW718">
        <f t="shared" si="1428"/>
        <v>0</v>
      </c>
      <c r="CX718">
        <f t="shared" si="1428"/>
        <v>0</v>
      </c>
      <c r="CY718">
        <f t="shared" si="1428"/>
        <v>0</v>
      </c>
      <c r="CZ718">
        <f t="shared" si="1428"/>
        <v>0</v>
      </c>
      <c r="DA718">
        <f t="shared" si="1428"/>
        <v>0</v>
      </c>
      <c r="DB718">
        <f t="shared" si="1428"/>
        <v>0</v>
      </c>
      <c r="DC718">
        <f t="shared" si="1428"/>
        <v>0</v>
      </c>
      <c r="DD718">
        <f t="shared" si="1428"/>
        <v>0</v>
      </c>
      <c r="DE718">
        <f t="shared" si="1428"/>
        <v>0</v>
      </c>
      <c r="DF718">
        <f t="shared" si="1428"/>
        <v>0</v>
      </c>
      <c r="DG718">
        <f t="shared" si="1429"/>
        <v>0</v>
      </c>
      <c r="DH718">
        <f t="shared" si="1429"/>
        <v>0</v>
      </c>
      <c r="DI718">
        <f t="shared" si="1429"/>
        <v>0</v>
      </c>
      <c r="DJ718">
        <f t="shared" si="1429"/>
        <v>0</v>
      </c>
      <c r="DK718">
        <f t="shared" si="1429"/>
        <v>0</v>
      </c>
      <c r="DL718">
        <f t="shared" si="1429"/>
        <v>0</v>
      </c>
      <c r="DM718">
        <f t="shared" si="1429"/>
        <v>0</v>
      </c>
      <c r="DN718">
        <f t="shared" si="1429"/>
        <v>0</v>
      </c>
      <c r="DO718">
        <f t="shared" si="1429"/>
        <v>0</v>
      </c>
      <c r="DP718">
        <f t="shared" si="1429"/>
        <v>0</v>
      </c>
      <c r="DQ718">
        <f t="shared" si="1430"/>
        <v>0</v>
      </c>
      <c r="DR718">
        <f t="shared" si="1430"/>
        <v>0</v>
      </c>
      <c r="DS718">
        <f t="shared" si="1430"/>
        <v>0</v>
      </c>
      <c r="DT718">
        <f t="shared" si="1430"/>
        <v>0</v>
      </c>
      <c r="DU718">
        <f t="shared" si="1430"/>
        <v>0</v>
      </c>
      <c r="DV718">
        <f t="shared" si="1430"/>
        <v>0</v>
      </c>
      <c r="DW718">
        <f t="shared" si="1430"/>
        <v>0</v>
      </c>
      <c r="DX718">
        <f t="shared" si="1430"/>
        <v>0</v>
      </c>
      <c r="DY718">
        <f t="shared" si="1430"/>
        <v>0</v>
      </c>
      <c r="DZ718">
        <f t="shared" si="1430"/>
        <v>0</v>
      </c>
      <c r="EA718">
        <f t="shared" si="1432"/>
        <v>0</v>
      </c>
      <c r="EB718">
        <f t="shared" si="1432"/>
        <v>0</v>
      </c>
      <c r="EC718">
        <f t="shared" si="1432"/>
        <v>0</v>
      </c>
      <c r="ED718">
        <f t="shared" si="1432"/>
        <v>0</v>
      </c>
      <c r="EE718">
        <f t="shared" si="1432"/>
        <v>0</v>
      </c>
      <c r="EF718">
        <f t="shared" si="1432"/>
        <v>0</v>
      </c>
    </row>
    <row r="719" spans="1:136" ht="15.5">
      <c r="A719" s="90"/>
      <c r="B719" s="19"/>
      <c r="C719" s="94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J719" s="31"/>
      <c r="AK719" s="31"/>
      <c r="AL719" s="31"/>
      <c r="AM719" s="31"/>
      <c r="AN719" s="31"/>
      <c r="AO719" s="31"/>
      <c r="AP719" s="31"/>
      <c r="AQ719" s="31"/>
      <c r="AR719" s="31"/>
      <c r="AS719" s="31"/>
      <c r="AT719" s="31"/>
      <c r="AU719" s="31"/>
      <c r="AV719" s="31"/>
      <c r="AW719" s="31"/>
      <c r="AX719" s="31"/>
      <c r="AY719" s="31"/>
      <c r="AZ719" s="31"/>
      <c r="BA719" s="31"/>
      <c r="BB719" s="31"/>
      <c r="BC719" s="31"/>
      <c r="BD719" s="31"/>
      <c r="BE719" s="55"/>
      <c r="BF719" s="31"/>
      <c r="BG719" s="31"/>
      <c r="BH719" s="2"/>
      <c r="BI719" s="4"/>
      <c r="BJ719" s="4"/>
      <c r="BK719" s="4"/>
      <c r="BL719" s="4"/>
      <c r="BM719" s="4"/>
      <c r="BN719" s="2"/>
      <c r="BO719" s="2"/>
      <c r="BP719" s="2"/>
      <c r="BQ719" s="2"/>
      <c r="BR719" s="101"/>
    </row>
    <row r="720" spans="1:136" ht="15.5">
      <c r="A720" s="93">
        <v>88</v>
      </c>
      <c r="B720" s="52" t="s">
        <v>97</v>
      </c>
      <c r="C720" s="95">
        <v>3</v>
      </c>
      <c r="D720" s="18"/>
      <c r="E720" s="9"/>
      <c r="F720" s="9"/>
      <c r="G720" s="9"/>
      <c r="H720" s="9">
        <f t="shared" ref="H720:AM720" si="1433">SUM(H721:H725)</f>
        <v>0</v>
      </c>
      <c r="I720" s="9">
        <f t="shared" si="1433"/>
        <v>0</v>
      </c>
      <c r="J720" s="9">
        <f t="shared" si="1433"/>
        <v>0</v>
      </c>
      <c r="K720" s="9">
        <f t="shared" si="1433"/>
        <v>0</v>
      </c>
      <c r="L720" s="9">
        <f t="shared" si="1433"/>
        <v>0</v>
      </c>
      <c r="M720" s="9">
        <f t="shared" si="1433"/>
        <v>0</v>
      </c>
      <c r="N720" s="9">
        <f t="shared" si="1433"/>
        <v>0</v>
      </c>
      <c r="O720" s="9">
        <f t="shared" si="1433"/>
        <v>0</v>
      </c>
      <c r="P720" s="9">
        <f t="shared" si="1433"/>
        <v>0</v>
      </c>
      <c r="Q720" s="9">
        <f t="shared" si="1433"/>
        <v>0</v>
      </c>
      <c r="R720" s="9">
        <f t="shared" si="1433"/>
        <v>0</v>
      </c>
      <c r="S720" s="9">
        <f t="shared" si="1433"/>
        <v>0</v>
      </c>
      <c r="T720" s="9">
        <f t="shared" si="1433"/>
        <v>0</v>
      </c>
      <c r="U720" s="9">
        <f t="shared" si="1433"/>
        <v>0</v>
      </c>
      <c r="V720" s="9">
        <f t="shared" si="1433"/>
        <v>0</v>
      </c>
      <c r="W720" s="9">
        <f t="shared" si="1433"/>
        <v>0</v>
      </c>
      <c r="X720" s="9">
        <f t="shared" si="1433"/>
        <v>3.9559896000000001</v>
      </c>
      <c r="Y720" s="9">
        <f t="shared" si="1433"/>
        <v>0.37778400000000001</v>
      </c>
      <c r="Z720" s="9">
        <f t="shared" si="1433"/>
        <v>71.048370800000001</v>
      </c>
      <c r="AA720" s="9">
        <f t="shared" si="1433"/>
        <v>87</v>
      </c>
      <c r="AB720" s="9">
        <f t="shared" si="1433"/>
        <v>0</v>
      </c>
      <c r="AC720" s="9">
        <f t="shared" si="1433"/>
        <v>1.6966638999999999</v>
      </c>
      <c r="AD720" s="9">
        <f t="shared" si="1433"/>
        <v>1.1002297000000001</v>
      </c>
      <c r="AE720" s="9">
        <f t="shared" si="1433"/>
        <v>28.076340799999997</v>
      </c>
      <c r="AF720" s="9">
        <f t="shared" si="1433"/>
        <v>55</v>
      </c>
      <c r="AG720" s="9">
        <f t="shared" si="1433"/>
        <v>47.005601400000003</v>
      </c>
      <c r="AH720" s="9">
        <f t="shared" si="1433"/>
        <v>76.351828499999996</v>
      </c>
      <c r="AI720" s="9">
        <f t="shared" si="1433"/>
        <v>7.6271455999999986</v>
      </c>
      <c r="AJ720" s="9">
        <f t="shared" si="1433"/>
        <v>5.2177308</v>
      </c>
      <c r="AK720" s="9">
        <f t="shared" si="1433"/>
        <v>8.2821797000000004</v>
      </c>
      <c r="AL720" s="9">
        <f t="shared" si="1433"/>
        <v>15.910469500000001</v>
      </c>
      <c r="AM720" s="9">
        <f t="shared" si="1433"/>
        <v>8.6490815000000012</v>
      </c>
      <c r="AN720" s="9">
        <f t="shared" ref="AN720:BQ720" si="1434">SUM(AN721:AN725)</f>
        <v>20.195573199999998</v>
      </c>
      <c r="AO720" s="9">
        <f t="shared" si="1434"/>
        <v>20.0991511</v>
      </c>
      <c r="AP720" s="9">
        <f t="shared" si="1434"/>
        <v>51.214371400000005</v>
      </c>
      <c r="AQ720" s="9">
        <f t="shared" si="1434"/>
        <v>71.545064699999998</v>
      </c>
      <c r="AR720" s="9">
        <f t="shared" si="1434"/>
        <v>109.1909258</v>
      </c>
      <c r="AS720" s="9">
        <f t="shared" si="1434"/>
        <v>202.14404189999999</v>
      </c>
      <c r="AT720" s="9">
        <f t="shared" si="1434"/>
        <v>108.68694939999999</v>
      </c>
      <c r="AU720" s="9">
        <f t="shared" si="1434"/>
        <v>123.91217810000001</v>
      </c>
      <c r="AV720" s="9">
        <f t="shared" si="1434"/>
        <v>85.096236200000007</v>
      </c>
      <c r="AW720" s="9">
        <f t="shared" si="1434"/>
        <v>95.671980000000005</v>
      </c>
      <c r="AX720" s="9">
        <f t="shared" si="1434"/>
        <v>2680.8582839999999</v>
      </c>
      <c r="AY720" s="9">
        <f t="shared" si="1434"/>
        <v>79.087705499999998</v>
      </c>
      <c r="AZ720" s="9">
        <f t="shared" si="1434"/>
        <v>15.675989599999999</v>
      </c>
      <c r="BA720" s="9">
        <f t="shared" si="1434"/>
        <v>11.045999999999999</v>
      </c>
      <c r="BB720" s="9">
        <f t="shared" si="1434"/>
        <v>0.82299999999999995</v>
      </c>
      <c r="BC720" s="9">
        <f t="shared" si="1434"/>
        <v>0.97399999999999998</v>
      </c>
      <c r="BD720" s="9">
        <f t="shared" si="1434"/>
        <v>1.4930000000000001</v>
      </c>
      <c r="BE720" s="9">
        <f t="shared" si="1434"/>
        <v>6.3563817</v>
      </c>
      <c r="BF720" s="9">
        <f t="shared" si="1434"/>
        <v>11.556244099999999</v>
      </c>
      <c r="BG720" s="9">
        <f t="shared" si="1434"/>
        <v>2.6327148</v>
      </c>
      <c r="BH720" s="9">
        <f t="shared" si="1434"/>
        <v>3.3307892999999997</v>
      </c>
      <c r="BI720" s="9">
        <f t="shared" si="1434"/>
        <v>11.985234100000001</v>
      </c>
      <c r="BJ720" s="9">
        <f t="shared" si="1434"/>
        <v>4.9965232000000004</v>
      </c>
      <c r="BK720" s="9">
        <f t="shared" si="1434"/>
        <v>5.3478019000000003</v>
      </c>
      <c r="BL720" s="145">
        <f t="shared" si="1434"/>
        <v>5.7337880999999999</v>
      </c>
      <c r="BM720" s="145">
        <f t="shared" si="1434"/>
        <v>5.6584385000000008</v>
      </c>
      <c r="BN720" s="145">
        <f t="shared" si="1434"/>
        <v>2.1124552999999997</v>
      </c>
      <c r="BO720" s="145">
        <f t="shared" si="1434"/>
        <v>1055</v>
      </c>
      <c r="BP720" s="145">
        <f t="shared" si="1434"/>
        <v>1067</v>
      </c>
      <c r="BQ720" s="145">
        <f t="shared" si="1434"/>
        <v>1140</v>
      </c>
      <c r="BR720" s="101"/>
      <c r="BS720">
        <f t="shared" ref="BS720:CB721" si="1435">IF($C720&lt;&gt;"",IF(D720&gt;0,1,0),0)</f>
        <v>0</v>
      </c>
      <c r="BT720">
        <f t="shared" si="1435"/>
        <v>0</v>
      </c>
      <c r="BU720">
        <f t="shared" si="1435"/>
        <v>0</v>
      </c>
      <c r="BV720">
        <f t="shared" si="1435"/>
        <v>0</v>
      </c>
      <c r="BW720">
        <f t="shared" si="1435"/>
        <v>0</v>
      </c>
      <c r="BX720">
        <f t="shared" si="1435"/>
        <v>0</v>
      </c>
      <c r="BY720">
        <f t="shared" si="1435"/>
        <v>0</v>
      </c>
      <c r="BZ720">
        <f t="shared" si="1435"/>
        <v>0</v>
      </c>
      <c r="CA720">
        <f t="shared" si="1435"/>
        <v>0</v>
      </c>
      <c r="CB720">
        <f t="shared" si="1435"/>
        <v>0</v>
      </c>
      <c r="CC720">
        <f t="shared" ref="CC720:CL721" si="1436">IF($C720&lt;&gt;"",IF(N720&gt;0,1,0),0)</f>
        <v>0</v>
      </c>
      <c r="CD720">
        <f t="shared" si="1436"/>
        <v>0</v>
      </c>
      <c r="CE720">
        <f t="shared" si="1436"/>
        <v>0</v>
      </c>
      <c r="CF720">
        <f t="shared" si="1436"/>
        <v>0</v>
      </c>
      <c r="CG720">
        <f t="shared" si="1436"/>
        <v>0</v>
      </c>
      <c r="CH720">
        <f t="shared" si="1436"/>
        <v>0</v>
      </c>
      <c r="CI720">
        <f t="shared" si="1436"/>
        <v>0</v>
      </c>
      <c r="CJ720">
        <f t="shared" si="1436"/>
        <v>0</v>
      </c>
      <c r="CK720">
        <f t="shared" si="1436"/>
        <v>0</v>
      </c>
      <c r="CL720">
        <f t="shared" si="1436"/>
        <v>0</v>
      </c>
      <c r="CM720">
        <f t="shared" ref="CM720:CV721" si="1437">IF($C720&lt;&gt;"",IF(X720&gt;0,1,0),0)</f>
        <v>1</v>
      </c>
      <c r="CN720">
        <f t="shared" si="1437"/>
        <v>1</v>
      </c>
      <c r="CO720">
        <f t="shared" si="1437"/>
        <v>1</v>
      </c>
      <c r="CP720">
        <f t="shared" si="1437"/>
        <v>1</v>
      </c>
      <c r="CQ720">
        <f t="shared" si="1437"/>
        <v>0</v>
      </c>
      <c r="CR720">
        <f t="shared" si="1437"/>
        <v>1</v>
      </c>
      <c r="CS720">
        <f t="shared" si="1437"/>
        <v>1</v>
      </c>
      <c r="CT720">
        <f t="shared" si="1437"/>
        <v>1</v>
      </c>
      <c r="CU720">
        <f t="shared" si="1437"/>
        <v>1</v>
      </c>
      <c r="CV720">
        <f t="shared" si="1437"/>
        <v>1</v>
      </c>
      <c r="CW720">
        <f t="shared" ref="CW720:DF721" si="1438">IF($C720&lt;&gt;"",IF(AH720&gt;0,1,0),0)</f>
        <v>1</v>
      </c>
      <c r="CX720">
        <f t="shared" si="1438"/>
        <v>1</v>
      </c>
      <c r="CY720">
        <f t="shared" si="1438"/>
        <v>1</v>
      </c>
      <c r="CZ720">
        <f t="shared" si="1438"/>
        <v>1</v>
      </c>
      <c r="DA720">
        <f t="shared" si="1438"/>
        <v>1</v>
      </c>
      <c r="DB720">
        <f t="shared" si="1438"/>
        <v>1</v>
      </c>
      <c r="DC720">
        <f t="shared" si="1438"/>
        <v>1</v>
      </c>
      <c r="DD720">
        <f t="shared" si="1438"/>
        <v>1</v>
      </c>
      <c r="DE720">
        <f t="shared" si="1438"/>
        <v>1</v>
      </c>
      <c r="DF720">
        <f t="shared" si="1438"/>
        <v>1</v>
      </c>
      <c r="DG720">
        <f t="shared" ref="DG720:DP721" si="1439">IF($C720&lt;&gt;"",IF(AR720&gt;0,1,0),0)</f>
        <v>1</v>
      </c>
      <c r="DH720">
        <f t="shared" si="1439"/>
        <v>1</v>
      </c>
      <c r="DI720">
        <f t="shared" si="1439"/>
        <v>1</v>
      </c>
      <c r="DJ720">
        <f t="shared" si="1439"/>
        <v>1</v>
      </c>
      <c r="DK720">
        <f t="shared" si="1439"/>
        <v>1</v>
      </c>
      <c r="DL720">
        <f t="shared" si="1439"/>
        <v>1</v>
      </c>
      <c r="DM720">
        <f t="shared" si="1439"/>
        <v>1</v>
      </c>
      <c r="DN720">
        <f t="shared" si="1439"/>
        <v>1</v>
      </c>
      <c r="DO720">
        <f t="shared" si="1439"/>
        <v>1</v>
      </c>
      <c r="DP720">
        <f t="shared" si="1439"/>
        <v>1</v>
      </c>
      <c r="DQ720">
        <f t="shared" ref="DQ720:DZ721" si="1440">IF($C720&lt;&gt;"",IF(BB720&gt;0,1,0),0)</f>
        <v>1</v>
      </c>
      <c r="DR720">
        <f t="shared" si="1440"/>
        <v>1</v>
      </c>
      <c r="DS720">
        <f t="shared" si="1440"/>
        <v>1</v>
      </c>
      <c r="DT720">
        <f t="shared" si="1440"/>
        <v>1</v>
      </c>
      <c r="DU720">
        <f t="shared" si="1440"/>
        <v>1</v>
      </c>
      <c r="DV720">
        <f t="shared" si="1440"/>
        <v>1</v>
      </c>
      <c r="DW720">
        <f t="shared" si="1440"/>
        <v>1</v>
      </c>
      <c r="DX720">
        <f t="shared" si="1440"/>
        <v>1</v>
      </c>
      <c r="DY720">
        <f t="shared" si="1440"/>
        <v>1</v>
      </c>
      <c r="DZ720">
        <f t="shared" si="1440"/>
        <v>1</v>
      </c>
      <c r="EA720">
        <f t="shared" ref="EA720:EF721" si="1441">IF($C720&lt;&gt;"",IF(BL720&gt;0,1,0),0)</f>
        <v>1</v>
      </c>
      <c r="EB720">
        <f t="shared" si="1441"/>
        <v>1</v>
      </c>
      <c r="EC720">
        <f t="shared" si="1441"/>
        <v>1</v>
      </c>
      <c r="ED720">
        <f t="shared" si="1441"/>
        <v>1</v>
      </c>
      <c r="EE720">
        <f t="shared" si="1441"/>
        <v>1</v>
      </c>
      <c r="EF720">
        <f t="shared" si="1441"/>
        <v>1</v>
      </c>
    </row>
    <row r="721" spans="1:136" ht="15.5">
      <c r="A721" s="90"/>
      <c r="B721" s="19" t="s">
        <v>2</v>
      </c>
      <c r="C721" s="94"/>
      <c r="D721" s="34"/>
      <c r="E721" s="34"/>
      <c r="F721" s="34"/>
      <c r="G721" s="34"/>
      <c r="H721" s="34">
        <v>0</v>
      </c>
      <c r="I721" s="34">
        <v>0</v>
      </c>
      <c r="J721" s="34">
        <v>0</v>
      </c>
      <c r="K721" s="34">
        <v>0</v>
      </c>
      <c r="L721" s="34">
        <v>0</v>
      </c>
      <c r="M721" s="34">
        <v>0</v>
      </c>
      <c r="N721" s="34">
        <v>0</v>
      </c>
      <c r="O721" s="34">
        <v>0</v>
      </c>
      <c r="P721" s="34">
        <v>0</v>
      </c>
      <c r="Q721" s="34">
        <v>0</v>
      </c>
      <c r="R721" s="34">
        <v>0</v>
      </c>
      <c r="S721" s="34">
        <v>0</v>
      </c>
      <c r="T721" s="34">
        <v>0</v>
      </c>
      <c r="U721" s="34">
        <v>0</v>
      </c>
      <c r="V721" s="34">
        <v>0</v>
      </c>
      <c r="W721" s="34">
        <v>0</v>
      </c>
      <c r="X721" s="34">
        <v>0</v>
      </c>
      <c r="Y721" s="34">
        <v>0</v>
      </c>
      <c r="Z721" s="34">
        <v>29</v>
      </c>
      <c r="AA721" s="34">
        <v>30</v>
      </c>
      <c r="AB721" s="34">
        <v>0</v>
      </c>
      <c r="AC721" s="34">
        <v>0</v>
      </c>
      <c r="AD721" s="34">
        <v>0</v>
      </c>
      <c r="AE721" s="40" t="s">
        <v>16</v>
      </c>
      <c r="AF721" s="34">
        <v>20</v>
      </c>
      <c r="AG721" s="40" t="s">
        <v>16</v>
      </c>
      <c r="AH721" s="40" t="s">
        <v>16</v>
      </c>
      <c r="AI721" s="18">
        <v>0</v>
      </c>
      <c r="AJ721" s="18">
        <v>0</v>
      </c>
      <c r="AK721" s="18">
        <v>0</v>
      </c>
      <c r="AL721" s="18">
        <v>0</v>
      </c>
      <c r="AM721" s="18">
        <v>0</v>
      </c>
      <c r="AN721" s="18">
        <v>0</v>
      </c>
      <c r="AO721" s="18">
        <v>0</v>
      </c>
      <c r="AP721" s="18">
        <v>0</v>
      </c>
      <c r="AQ721" s="40" t="s">
        <v>16</v>
      </c>
      <c r="AR721" s="40" t="s">
        <v>16</v>
      </c>
      <c r="AS721" s="34">
        <v>66</v>
      </c>
      <c r="AT721" s="40" t="s">
        <v>16</v>
      </c>
      <c r="AU721" s="18">
        <v>0</v>
      </c>
      <c r="AV721" s="18">
        <v>0</v>
      </c>
      <c r="AW721" s="40" t="s">
        <v>16</v>
      </c>
      <c r="AX721" s="34">
        <v>355</v>
      </c>
      <c r="AY721" s="18">
        <v>0</v>
      </c>
      <c r="AZ721" s="18">
        <v>0</v>
      </c>
      <c r="BA721" s="18">
        <v>0</v>
      </c>
      <c r="BB721" s="18">
        <v>0</v>
      </c>
      <c r="BC721" s="18">
        <v>0</v>
      </c>
      <c r="BD721" s="18">
        <v>0</v>
      </c>
      <c r="BE721" s="18">
        <v>0</v>
      </c>
      <c r="BF721" s="34">
        <v>0</v>
      </c>
      <c r="BG721" s="34">
        <v>0</v>
      </c>
      <c r="BH721" s="34">
        <v>0</v>
      </c>
      <c r="BI721" s="34">
        <v>0</v>
      </c>
      <c r="BJ721" s="113">
        <v>0</v>
      </c>
      <c r="BK721" s="113">
        <v>0</v>
      </c>
      <c r="BL721" s="103">
        <v>0.129</v>
      </c>
      <c r="BM721" s="103">
        <v>0.129</v>
      </c>
      <c r="BN721" s="113">
        <v>0</v>
      </c>
      <c r="BO721" s="113">
        <v>1</v>
      </c>
      <c r="BP721" s="113">
        <v>1</v>
      </c>
      <c r="BQ721" s="113">
        <v>1</v>
      </c>
      <c r="BR721" s="101"/>
      <c r="BS721">
        <f t="shared" si="1435"/>
        <v>0</v>
      </c>
      <c r="BT721">
        <f t="shared" si="1435"/>
        <v>0</v>
      </c>
      <c r="BU721">
        <f t="shared" si="1435"/>
        <v>0</v>
      </c>
      <c r="BV721">
        <f t="shared" si="1435"/>
        <v>0</v>
      </c>
      <c r="BW721">
        <f t="shared" si="1435"/>
        <v>0</v>
      </c>
      <c r="BX721">
        <f t="shared" si="1435"/>
        <v>0</v>
      </c>
      <c r="BY721">
        <f t="shared" si="1435"/>
        <v>0</v>
      </c>
      <c r="BZ721">
        <f t="shared" si="1435"/>
        <v>0</v>
      </c>
      <c r="CA721">
        <f t="shared" si="1435"/>
        <v>0</v>
      </c>
      <c r="CB721">
        <f t="shared" si="1435"/>
        <v>0</v>
      </c>
      <c r="CC721">
        <f t="shared" si="1436"/>
        <v>0</v>
      </c>
      <c r="CD721">
        <f t="shared" si="1436"/>
        <v>0</v>
      </c>
      <c r="CE721">
        <f t="shared" si="1436"/>
        <v>0</v>
      </c>
      <c r="CF721">
        <f t="shared" si="1436"/>
        <v>0</v>
      </c>
      <c r="CG721">
        <f t="shared" si="1436"/>
        <v>0</v>
      </c>
      <c r="CH721">
        <f t="shared" si="1436"/>
        <v>0</v>
      </c>
      <c r="CI721">
        <f t="shared" si="1436"/>
        <v>0</v>
      </c>
      <c r="CJ721">
        <f t="shared" si="1436"/>
        <v>0</v>
      </c>
      <c r="CK721">
        <f t="shared" si="1436"/>
        <v>0</v>
      </c>
      <c r="CL721">
        <f t="shared" si="1436"/>
        <v>0</v>
      </c>
      <c r="CM721">
        <f t="shared" si="1437"/>
        <v>0</v>
      </c>
      <c r="CN721">
        <f t="shared" si="1437"/>
        <v>0</v>
      </c>
      <c r="CO721">
        <f t="shared" si="1437"/>
        <v>0</v>
      </c>
      <c r="CP721">
        <f t="shared" si="1437"/>
        <v>0</v>
      </c>
      <c r="CQ721">
        <f t="shared" si="1437"/>
        <v>0</v>
      </c>
      <c r="CR721">
        <f t="shared" si="1437"/>
        <v>0</v>
      </c>
      <c r="CS721">
        <f t="shared" si="1437"/>
        <v>0</v>
      </c>
      <c r="CT721">
        <f t="shared" si="1437"/>
        <v>0</v>
      </c>
      <c r="CU721">
        <f t="shared" si="1437"/>
        <v>0</v>
      </c>
      <c r="CV721">
        <f t="shared" si="1437"/>
        <v>0</v>
      </c>
      <c r="CW721">
        <f t="shared" si="1438"/>
        <v>0</v>
      </c>
      <c r="CX721">
        <f t="shared" si="1438"/>
        <v>0</v>
      </c>
      <c r="CY721">
        <f t="shared" si="1438"/>
        <v>0</v>
      </c>
      <c r="CZ721">
        <f t="shared" si="1438"/>
        <v>0</v>
      </c>
      <c r="DA721">
        <f t="shared" si="1438"/>
        <v>0</v>
      </c>
      <c r="DB721">
        <f t="shared" si="1438"/>
        <v>0</v>
      </c>
      <c r="DC721">
        <f t="shared" si="1438"/>
        <v>0</v>
      </c>
      <c r="DD721">
        <f t="shared" si="1438"/>
        <v>0</v>
      </c>
      <c r="DE721">
        <f t="shared" si="1438"/>
        <v>0</v>
      </c>
      <c r="DF721">
        <f t="shared" si="1438"/>
        <v>0</v>
      </c>
      <c r="DG721">
        <f t="shared" si="1439"/>
        <v>0</v>
      </c>
      <c r="DH721">
        <f t="shared" si="1439"/>
        <v>0</v>
      </c>
      <c r="DI721">
        <f t="shared" si="1439"/>
        <v>0</v>
      </c>
      <c r="DJ721">
        <f t="shared" si="1439"/>
        <v>0</v>
      </c>
      <c r="DK721">
        <f t="shared" si="1439"/>
        <v>0</v>
      </c>
      <c r="DL721">
        <f t="shared" si="1439"/>
        <v>0</v>
      </c>
      <c r="DM721">
        <f t="shared" si="1439"/>
        <v>0</v>
      </c>
      <c r="DN721">
        <f t="shared" si="1439"/>
        <v>0</v>
      </c>
      <c r="DO721">
        <f t="shared" si="1439"/>
        <v>0</v>
      </c>
      <c r="DP721">
        <f t="shared" si="1439"/>
        <v>0</v>
      </c>
      <c r="DQ721">
        <f t="shared" si="1440"/>
        <v>0</v>
      </c>
      <c r="DR721">
        <f t="shared" si="1440"/>
        <v>0</v>
      </c>
      <c r="DS721">
        <f t="shared" si="1440"/>
        <v>0</v>
      </c>
      <c r="DT721">
        <f t="shared" si="1440"/>
        <v>0</v>
      </c>
      <c r="DU721">
        <f t="shared" si="1440"/>
        <v>0</v>
      </c>
      <c r="DV721">
        <f t="shared" si="1440"/>
        <v>0</v>
      </c>
      <c r="DW721">
        <f t="shared" si="1440"/>
        <v>0</v>
      </c>
      <c r="DX721">
        <f t="shared" si="1440"/>
        <v>0</v>
      </c>
      <c r="DY721">
        <f t="shared" si="1440"/>
        <v>0</v>
      </c>
      <c r="DZ721">
        <f t="shared" si="1440"/>
        <v>0</v>
      </c>
      <c r="EA721">
        <f t="shared" si="1441"/>
        <v>0</v>
      </c>
      <c r="EB721">
        <f t="shared" si="1441"/>
        <v>0</v>
      </c>
      <c r="EC721">
        <f t="shared" si="1441"/>
        <v>0</v>
      </c>
      <c r="ED721">
        <f t="shared" si="1441"/>
        <v>0</v>
      </c>
      <c r="EE721">
        <f t="shared" si="1441"/>
        <v>0</v>
      </c>
      <c r="EF721">
        <f t="shared" si="1441"/>
        <v>0</v>
      </c>
    </row>
    <row r="722" spans="1:136" ht="15.5">
      <c r="A722" s="90"/>
      <c r="B722" s="19" t="s">
        <v>205</v>
      </c>
      <c r="C722" s="94"/>
      <c r="D722" s="34"/>
      <c r="E722" s="34"/>
      <c r="F722" s="34"/>
      <c r="G722" s="34"/>
      <c r="H722" s="113">
        <v>0</v>
      </c>
      <c r="I722" s="113">
        <v>0</v>
      </c>
      <c r="J722" s="113">
        <v>0</v>
      </c>
      <c r="K722" s="113">
        <v>0</v>
      </c>
      <c r="L722" s="113">
        <v>0</v>
      </c>
      <c r="M722" s="113">
        <v>0</v>
      </c>
      <c r="N722" s="113">
        <v>0</v>
      </c>
      <c r="O722" s="113">
        <v>0</v>
      </c>
      <c r="P722" s="113">
        <v>0</v>
      </c>
      <c r="Q722" s="113">
        <v>0</v>
      </c>
      <c r="R722" s="113">
        <v>0</v>
      </c>
      <c r="S722" s="113">
        <v>0</v>
      </c>
      <c r="T722" s="113">
        <v>0</v>
      </c>
      <c r="U722" s="113">
        <v>0</v>
      </c>
      <c r="V722" s="113">
        <v>0</v>
      </c>
      <c r="W722" s="113">
        <v>0</v>
      </c>
      <c r="X722" s="113">
        <v>0</v>
      </c>
      <c r="Y722" s="113">
        <v>0</v>
      </c>
      <c r="Z722" s="113">
        <v>0</v>
      </c>
      <c r="AA722" s="113">
        <v>0</v>
      </c>
      <c r="AB722" s="113">
        <v>0</v>
      </c>
      <c r="AC722" s="113">
        <v>0</v>
      </c>
      <c r="AD722" s="113">
        <v>0</v>
      </c>
      <c r="AE722" s="113">
        <v>0</v>
      </c>
      <c r="AF722" s="113">
        <v>0</v>
      </c>
      <c r="AG722" s="113">
        <v>0</v>
      </c>
      <c r="AH722" s="113">
        <v>0</v>
      </c>
      <c r="AI722" s="113">
        <v>0</v>
      </c>
      <c r="AJ722" s="113">
        <v>0</v>
      </c>
      <c r="AK722" s="113">
        <v>0</v>
      </c>
      <c r="AL722" s="113">
        <v>0</v>
      </c>
      <c r="AM722" s="113">
        <v>0</v>
      </c>
      <c r="AN722" s="113">
        <v>0</v>
      </c>
      <c r="AO722" s="113">
        <v>0</v>
      </c>
      <c r="AP722" s="113">
        <v>0</v>
      </c>
      <c r="AQ722" s="113">
        <v>0</v>
      </c>
      <c r="AR722" s="113">
        <v>0</v>
      </c>
      <c r="AS722" s="113">
        <v>0</v>
      </c>
      <c r="AT722" s="113">
        <v>0</v>
      </c>
      <c r="AU722" s="113">
        <v>0</v>
      </c>
      <c r="AV722" s="113">
        <v>0</v>
      </c>
      <c r="AW722" s="113">
        <v>0</v>
      </c>
      <c r="AX722" s="113">
        <v>0</v>
      </c>
      <c r="AY722" s="113">
        <v>0</v>
      </c>
      <c r="AZ722" s="113">
        <v>0</v>
      </c>
      <c r="BA722" s="113">
        <v>0</v>
      </c>
      <c r="BB722" s="113">
        <v>0</v>
      </c>
      <c r="BC722" s="113">
        <v>0</v>
      </c>
      <c r="BD722" s="113">
        <v>0</v>
      </c>
      <c r="BE722" s="113">
        <v>0</v>
      </c>
      <c r="BF722" s="113">
        <v>0</v>
      </c>
      <c r="BG722" s="113">
        <v>0</v>
      </c>
      <c r="BH722" s="113">
        <v>0</v>
      </c>
      <c r="BI722" s="113">
        <v>0</v>
      </c>
      <c r="BJ722" s="113">
        <v>0</v>
      </c>
      <c r="BK722" s="113">
        <v>0</v>
      </c>
      <c r="BL722" s="113">
        <v>0</v>
      </c>
      <c r="BM722" s="113">
        <v>0</v>
      </c>
      <c r="BN722" s="113">
        <v>0</v>
      </c>
      <c r="BO722" s="113">
        <v>0</v>
      </c>
      <c r="BP722" s="113">
        <v>208</v>
      </c>
      <c r="BQ722" s="113">
        <v>0</v>
      </c>
      <c r="BR722" s="101"/>
    </row>
    <row r="723" spans="1:136" ht="15.5">
      <c r="A723" s="90"/>
      <c r="B723" s="57" t="s">
        <v>3</v>
      </c>
      <c r="C723" s="94"/>
      <c r="D723" s="18"/>
      <c r="E723" s="18"/>
      <c r="F723" s="18"/>
      <c r="G723" s="18"/>
      <c r="H723" s="18">
        <v>0</v>
      </c>
      <c r="I723" s="18">
        <v>0</v>
      </c>
      <c r="J723" s="18">
        <v>0</v>
      </c>
      <c r="K723" s="18">
        <v>0</v>
      </c>
      <c r="L723" s="18">
        <v>0</v>
      </c>
      <c r="M723" s="18">
        <v>0</v>
      </c>
      <c r="N723" s="18">
        <v>0</v>
      </c>
      <c r="O723" s="18">
        <v>0</v>
      </c>
      <c r="P723" s="18">
        <v>0</v>
      </c>
      <c r="Q723" s="18">
        <v>0</v>
      </c>
      <c r="R723" s="18">
        <v>0</v>
      </c>
      <c r="S723" s="18">
        <v>0</v>
      </c>
      <c r="T723" s="18">
        <v>0</v>
      </c>
      <c r="U723" s="18">
        <v>0</v>
      </c>
      <c r="V723" s="18">
        <v>0</v>
      </c>
      <c r="W723" s="18">
        <v>0</v>
      </c>
      <c r="X723" s="18">
        <v>2.8624176000000001</v>
      </c>
      <c r="Y723" s="18">
        <v>0.37778400000000001</v>
      </c>
      <c r="Z723" s="18">
        <v>4.8370800000000005E-2</v>
      </c>
      <c r="AA723" s="18">
        <v>0</v>
      </c>
      <c r="AB723" s="18">
        <v>0</v>
      </c>
      <c r="AC723" s="18">
        <v>1.5927091</v>
      </c>
      <c r="AD723" s="18">
        <v>0.24181800000000001</v>
      </c>
      <c r="AE723" s="18">
        <v>15.497155599999999</v>
      </c>
      <c r="AF723" s="40" t="s">
        <v>16</v>
      </c>
      <c r="AG723" s="18">
        <v>40.862344100000001</v>
      </c>
      <c r="AH723" s="18">
        <v>67.071114600000001</v>
      </c>
      <c r="AI723" s="18">
        <v>6.5242780999999992</v>
      </c>
      <c r="AJ723" s="18">
        <v>4.5041612999999998</v>
      </c>
      <c r="AK723" s="18">
        <v>6.553731</v>
      </c>
      <c r="AL723" s="18">
        <v>11.0793093</v>
      </c>
      <c r="AM723" s="18">
        <v>3.7164879000000002</v>
      </c>
      <c r="AN723" s="18">
        <v>11.564359199999998</v>
      </c>
      <c r="AO723" s="18">
        <v>10.658204</v>
      </c>
      <c r="AP723" s="18">
        <v>38.422568400000003</v>
      </c>
      <c r="AQ723" s="18">
        <v>57.858528499999998</v>
      </c>
      <c r="AR723" s="18">
        <v>94.766203000000004</v>
      </c>
      <c r="AS723" s="18">
        <v>129.5704618</v>
      </c>
      <c r="AT723" s="18">
        <v>102.98637559999999</v>
      </c>
      <c r="AU723" s="18">
        <v>118.1748013</v>
      </c>
      <c r="AV723" s="18">
        <v>85.096236200000007</v>
      </c>
      <c r="AW723" s="18">
        <v>95.671980000000005</v>
      </c>
      <c r="AX723" s="18">
        <f>2680.858284-AX721</f>
        <v>2325.8582839999999</v>
      </c>
      <c r="AY723" s="18">
        <v>79.087705499999998</v>
      </c>
      <c r="AZ723" s="18">
        <v>15.675989599999999</v>
      </c>
      <c r="BA723" s="18">
        <v>11.045999999999999</v>
      </c>
      <c r="BB723" s="18">
        <v>0.82299999999999995</v>
      </c>
      <c r="BC723" s="18">
        <v>0.97399999999999998</v>
      </c>
      <c r="BD723" s="18">
        <v>1.4930000000000001</v>
      </c>
      <c r="BE723" s="25">
        <v>6.3563817</v>
      </c>
      <c r="BF723" s="18">
        <v>10.853280199999999</v>
      </c>
      <c r="BG723" s="18">
        <v>2.6327148</v>
      </c>
      <c r="BH723" s="18">
        <v>3.3307892999999997</v>
      </c>
      <c r="BI723" s="18">
        <v>11.985234100000001</v>
      </c>
      <c r="BJ723" s="18">
        <v>4.9965232000000004</v>
      </c>
      <c r="BK723" s="18">
        <v>5.3478019000000003</v>
      </c>
      <c r="BL723" s="113">
        <v>5.6047880999999995</v>
      </c>
      <c r="BM723" s="113">
        <v>5.5294385000000004</v>
      </c>
      <c r="BN723" s="113">
        <v>2.1124552999999997</v>
      </c>
      <c r="BO723" s="113">
        <v>378</v>
      </c>
      <c r="BP723" s="113">
        <f>397-BP722</f>
        <v>189</v>
      </c>
      <c r="BQ723" s="113">
        <v>416</v>
      </c>
      <c r="BR723" s="101"/>
      <c r="BS723">
        <f t="shared" ref="BS723:CB726" si="1442">IF($C723&lt;&gt;"",IF(D723&gt;0,1,0),0)</f>
        <v>0</v>
      </c>
      <c r="BT723">
        <f t="shared" si="1442"/>
        <v>0</v>
      </c>
      <c r="BU723">
        <f t="shared" si="1442"/>
        <v>0</v>
      </c>
      <c r="BV723">
        <f t="shared" si="1442"/>
        <v>0</v>
      </c>
      <c r="BW723">
        <f t="shared" si="1442"/>
        <v>0</v>
      </c>
      <c r="BX723">
        <f t="shared" si="1442"/>
        <v>0</v>
      </c>
      <c r="BY723">
        <f t="shared" si="1442"/>
        <v>0</v>
      </c>
      <c r="BZ723">
        <f t="shared" si="1442"/>
        <v>0</v>
      </c>
      <c r="CA723">
        <f t="shared" si="1442"/>
        <v>0</v>
      </c>
      <c r="CB723">
        <f t="shared" si="1442"/>
        <v>0</v>
      </c>
      <c r="CC723">
        <f t="shared" ref="CC723:CL726" si="1443">IF($C723&lt;&gt;"",IF(N723&gt;0,1,0),0)</f>
        <v>0</v>
      </c>
      <c r="CD723">
        <f t="shared" si="1443"/>
        <v>0</v>
      </c>
      <c r="CE723">
        <f t="shared" si="1443"/>
        <v>0</v>
      </c>
      <c r="CF723">
        <f t="shared" si="1443"/>
        <v>0</v>
      </c>
      <c r="CG723">
        <f t="shared" si="1443"/>
        <v>0</v>
      </c>
      <c r="CH723">
        <f t="shared" si="1443"/>
        <v>0</v>
      </c>
      <c r="CI723">
        <f t="shared" si="1443"/>
        <v>0</v>
      </c>
      <c r="CJ723">
        <f t="shared" si="1443"/>
        <v>0</v>
      </c>
      <c r="CK723">
        <f t="shared" si="1443"/>
        <v>0</v>
      </c>
      <c r="CL723">
        <f t="shared" si="1443"/>
        <v>0</v>
      </c>
      <c r="CM723">
        <f t="shared" ref="CM723:CV726" si="1444">IF($C723&lt;&gt;"",IF(X723&gt;0,1,0),0)</f>
        <v>0</v>
      </c>
      <c r="CN723">
        <f t="shared" si="1444"/>
        <v>0</v>
      </c>
      <c r="CO723">
        <f t="shared" si="1444"/>
        <v>0</v>
      </c>
      <c r="CP723">
        <f t="shared" si="1444"/>
        <v>0</v>
      </c>
      <c r="CQ723">
        <f t="shared" si="1444"/>
        <v>0</v>
      </c>
      <c r="CR723">
        <f t="shared" si="1444"/>
        <v>0</v>
      </c>
      <c r="CS723">
        <f t="shared" si="1444"/>
        <v>0</v>
      </c>
      <c r="CT723">
        <f t="shared" si="1444"/>
        <v>0</v>
      </c>
      <c r="CU723">
        <f t="shared" si="1444"/>
        <v>0</v>
      </c>
      <c r="CV723">
        <f t="shared" si="1444"/>
        <v>0</v>
      </c>
      <c r="CW723">
        <f t="shared" ref="CW723:DF726" si="1445">IF($C723&lt;&gt;"",IF(AH723&gt;0,1,0),0)</f>
        <v>0</v>
      </c>
      <c r="CX723">
        <f t="shared" si="1445"/>
        <v>0</v>
      </c>
      <c r="CY723">
        <f t="shared" si="1445"/>
        <v>0</v>
      </c>
      <c r="CZ723">
        <f t="shared" si="1445"/>
        <v>0</v>
      </c>
      <c r="DA723">
        <f t="shared" si="1445"/>
        <v>0</v>
      </c>
      <c r="DB723">
        <f t="shared" si="1445"/>
        <v>0</v>
      </c>
      <c r="DC723">
        <f t="shared" si="1445"/>
        <v>0</v>
      </c>
      <c r="DD723">
        <f t="shared" si="1445"/>
        <v>0</v>
      </c>
      <c r="DE723">
        <f t="shared" si="1445"/>
        <v>0</v>
      </c>
      <c r="DF723">
        <f t="shared" si="1445"/>
        <v>0</v>
      </c>
      <c r="DG723">
        <f t="shared" ref="DG723:DP726" si="1446">IF($C723&lt;&gt;"",IF(AR723&gt;0,1,0),0)</f>
        <v>0</v>
      </c>
      <c r="DH723">
        <f t="shared" si="1446"/>
        <v>0</v>
      </c>
      <c r="DI723">
        <f t="shared" si="1446"/>
        <v>0</v>
      </c>
      <c r="DJ723">
        <f t="shared" si="1446"/>
        <v>0</v>
      </c>
      <c r="DK723">
        <f t="shared" si="1446"/>
        <v>0</v>
      </c>
      <c r="DL723">
        <f t="shared" si="1446"/>
        <v>0</v>
      </c>
      <c r="DM723">
        <f t="shared" si="1446"/>
        <v>0</v>
      </c>
      <c r="DN723">
        <f t="shared" si="1446"/>
        <v>0</v>
      </c>
      <c r="DO723">
        <f t="shared" si="1446"/>
        <v>0</v>
      </c>
      <c r="DP723">
        <f t="shared" si="1446"/>
        <v>0</v>
      </c>
      <c r="DQ723">
        <f t="shared" ref="DQ723:DZ726" si="1447">IF($C723&lt;&gt;"",IF(BB723&gt;0,1,0),0)</f>
        <v>0</v>
      </c>
      <c r="DR723">
        <f t="shared" si="1447"/>
        <v>0</v>
      </c>
      <c r="DS723">
        <f t="shared" si="1447"/>
        <v>0</v>
      </c>
      <c r="DT723">
        <f t="shared" si="1447"/>
        <v>0</v>
      </c>
      <c r="DU723">
        <f t="shared" si="1447"/>
        <v>0</v>
      </c>
      <c r="DV723">
        <f t="shared" si="1447"/>
        <v>0</v>
      </c>
      <c r="DW723">
        <f t="shared" si="1447"/>
        <v>0</v>
      </c>
      <c r="DX723">
        <f t="shared" si="1447"/>
        <v>0</v>
      </c>
      <c r="DY723">
        <f t="shared" si="1447"/>
        <v>0</v>
      </c>
      <c r="DZ723">
        <f t="shared" si="1447"/>
        <v>0</v>
      </c>
      <c r="EA723">
        <f t="shared" ref="EA723:EF726" si="1448">IF($C723&lt;&gt;"",IF(BL723&gt;0,1,0),0)</f>
        <v>0</v>
      </c>
      <c r="EB723">
        <f t="shared" si="1448"/>
        <v>0</v>
      </c>
      <c r="EC723">
        <f t="shared" si="1448"/>
        <v>0</v>
      </c>
      <c r="ED723">
        <f t="shared" si="1448"/>
        <v>0</v>
      </c>
      <c r="EE723">
        <f t="shared" si="1448"/>
        <v>0</v>
      </c>
      <c r="EF723">
        <f t="shared" si="1448"/>
        <v>0</v>
      </c>
    </row>
    <row r="724" spans="1:136" ht="15.5">
      <c r="A724" s="90"/>
      <c r="B724" s="19" t="s">
        <v>18</v>
      </c>
      <c r="C724" s="94"/>
      <c r="D724" s="18"/>
      <c r="E724" s="18"/>
      <c r="F724" s="18"/>
      <c r="G724" s="18"/>
      <c r="H724" s="18">
        <v>0</v>
      </c>
      <c r="I724" s="18">
        <v>0</v>
      </c>
      <c r="J724" s="18">
        <v>0</v>
      </c>
      <c r="K724" s="18">
        <v>0</v>
      </c>
      <c r="L724" s="18">
        <v>0</v>
      </c>
      <c r="M724" s="18">
        <v>0</v>
      </c>
      <c r="N724" s="18">
        <v>0</v>
      </c>
      <c r="O724" s="18">
        <v>0</v>
      </c>
      <c r="P724" s="18">
        <v>0</v>
      </c>
      <c r="Q724" s="18">
        <v>0</v>
      </c>
      <c r="R724" s="18">
        <v>0</v>
      </c>
      <c r="S724" s="18">
        <v>0</v>
      </c>
      <c r="T724" s="18">
        <v>0</v>
      </c>
      <c r="U724" s="18">
        <v>0</v>
      </c>
      <c r="V724" s="18">
        <v>0</v>
      </c>
      <c r="W724" s="18">
        <v>0</v>
      </c>
      <c r="X724" s="18">
        <v>0</v>
      </c>
      <c r="Y724" s="18">
        <v>0</v>
      </c>
      <c r="Z724" s="18">
        <v>42</v>
      </c>
      <c r="AA724" s="18">
        <v>57</v>
      </c>
      <c r="AB724" s="18">
        <v>0</v>
      </c>
      <c r="AC724" s="18">
        <v>0</v>
      </c>
      <c r="AD724" s="18">
        <v>0</v>
      </c>
      <c r="AE724" s="40" t="s">
        <v>16</v>
      </c>
      <c r="AF724" s="18">
        <v>35</v>
      </c>
      <c r="AG724" s="18">
        <v>0</v>
      </c>
      <c r="AH724" s="18">
        <v>0</v>
      </c>
      <c r="AI724" s="18">
        <v>0</v>
      </c>
      <c r="AJ724" s="18">
        <v>0</v>
      </c>
      <c r="AK724" s="18">
        <v>0</v>
      </c>
      <c r="AL724" s="18">
        <v>0</v>
      </c>
      <c r="AM724" s="18">
        <v>0</v>
      </c>
      <c r="AN724" s="18">
        <v>0</v>
      </c>
      <c r="AO724" s="18">
        <v>0</v>
      </c>
      <c r="AP724" s="18">
        <v>0</v>
      </c>
      <c r="AQ724" s="18">
        <v>0</v>
      </c>
      <c r="AR724" s="18">
        <v>0</v>
      </c>
      <c r="AS724" s="18">
        <v>0</v>
      </c>
      <c r="AT724" s="18">
        <v>0</v>
      </c>
      <c r="AU724" s="18">
        <v>0</v>
      </c>
      <c r="AV724" s="18">
        <v>0</v>
      </c>
      <c r="AW724" s="18">
        <v>0</v>
      </c>
      <c r="AX724" s="18">
        <v>0</v>
      </c>
      <c r="AY724" s="18">
        <v>0</v>
      </c>
      <c r="AZ724" s="18">
        <v>0</v>
      </c>
      <c r="BA724" s="18">
        <v>0</v>
      </c>
      <c r="BB724" s="18">
        <v>0</v>
      </c>
      <c r="BC724" s="18">
        <v>0</v>
      </c>
      <c r="BD724" s="18">
        <v>0</v>
      </c>
      <c r="BE724" s="25">
        <v>0</v>
      </c>
      <c r="BF724" s="25">
        <v>0</v>
      </c>
      <c r="BG724" s="18">
        <v>0</v>
      </c>
      <c r="BH724" s="34">
        <v>0</v>
      </c>
      <c r="BI724" s="34">
        <v>0</v>
      </c>
      <c r="BJ724" s="113">
        <v>0</v>
      </c>
      <c r="BK724" s="113">
        <v>0</v>
      </c>
      <c r="BL724" s="113">
        <v>0</v>
      </c>
      <c r="BM724" s="113">
        <v>0</v>
      </c>
      <c r="BN724" s="113">
        <v>0</v>
      </c>
      <c r="BO724" s="113">
        <v>0</v>
      </c>
      <c r="BP724" s="113">
        <v>0</v>
      </c>
      <c r="BQ724" s="113">
        <v>0</v>
      </c>
      <c r="BR724" s="101"/>
      <c r="BS724">
        <f t="shared" si="1442"/>
        <v>0</v>
      </c>
      <c r="BT724">
        <f t="shared" si="1442"/>
        <v>0</v>
      </c>
      <c r="BU724">
        <f t="shared" si="1442"/>
        <v>0</v>
      </c>
      <c r="BV724">
        <f t="shared" si="1442"/>
        <v>0</v>
      </c>
      <c r="BW724">
        <f t="shared" si="1442"/>
        <v>0</v>
      </c>
      <c r="BX724">
        <f t="shared" si="1442"/>
        <v>0</v>
      </c>
      <c r="BY724">
        <f t="shared" si="1442"/>
        <v>0</v>
      </c>
      <c r="BZ724">
        <f t="shared" si="1442"/>
        <v>0</v>
      </c>
      <c r="CA724">
        <f t="shared" si="1442"/>
        <v>0</v>
      </c>
      <c r="CB724">
        <f t="shared" si="1442"/>
        <v>0</v>
      </c>
      <c r="CC724">
        <f t="shared" si="1443"/>
        <v>0</v>
      </c>
      <c r="CD724">
        <f t="shared" si="1443"/>
        <v>0</v>
      </c>
      <c r="CE724">
        <f t="shared" si="1443"/>
        <v>0</v>
      </c>
      <c r="CF724">
        <f t="shared" si="1443"/>
        <v>0</v>
      </c>
      <c r="CG724">
        <f t="shared" si="1443"/>
        <v>0</v>
      </c>
      <c r="CH724">
        <f t="shared" si="1443"/>
        <v>0</v>
      </c>
      <c r="CI724">
        <f t="shared" si="1443"/>
        <v>0</v>
      </c>
      <c r="CJ724">
        <f t="shared" si="1443"/>
        <v>0</v>
      </c>
      <c r="CK724">
        <f t="shared" si="1443"/>
        <v>0</v>
      </c>
      <c r="CL724">
        <f t="shared" si="1443"/>
        <v>0</v>
      </c>
      <c r="CM724">
        <f t="shared" si="1444"/>
        <v>0</v>
      </c>
      <c r="CN724">
        <f t="shared" si="1444"/>
        <v>0</v>
      </c>
      <c r="CO724">
        <f t="shared" si="1444"/>
        <v>0</v>
      </c>
      <c r="CP724">
        <f t="shared" si="1444"/>
        <v>0</v>
      </c>
      <c r="CQ724">
        <f t="shared" si="1444"/>
        <v>0</v>
      </c>
      <c r="CR724">
        <f t="shared" si="1444"/>
        <v>0</v>
      </c>
      <c r="CS724">
        <f t="shared" si="1444"/>
        <v>0</v>
      </c>
      <c r="CT724">
        <f t="shared" si="1444"/>
        <v>0</v>
      </c>
      <c r="CU724">
        <f t="shared" si="1444"/>
        <v>0</v>
      </c>
      <c r="CV724">
        <f t="shared" si="1444"/>
        <v>0</v>
      </c>
      <c r="CW724">
        <f t="shared" si="1445"/>
        <v>0</v>
      </c>
      <c r="CX724">
        <f t="shared" si="1445"/>
        <v>0</v>
      </c>
      <c r="CY724">
        <f t="shared" si="1445"/>
        <v>0</v>
      </c>
      <c r="CZ724">
        <f t="shared" si="1445"/>
        <v>0</v>
      </c>
      <c r="DA724">
        <f t="shared" si="1445"/>
        <v>0</v>
      </c>
      <c r="DB724">
        <f t="shared" si="1445"/>
        <v>0</v>
      </c>
      <c r="DC724">
        <f t="shared" si="1445"/>
        <v>0</v>
      </c>
      <c r="DD724">
        <f t="shared" si="1445"/>
        <v>0</v>
      </c>
      <c r="DE724">
        <f t="shared" si="1445"/>
        <v>0</v>
      </c>
      <c r="DF724">
        <f t="shared" si="1445"/>
        <v>0</v>
      </c>
      <c r="DG724">
        <f t="shared" si="1446"/>
        <v>0</v>
      </c>
      <c r="DH724">
        <f t="shared" si="1446"/>
        <v>0</v>
      </c>
      <c r="DI724">
        <f t="shared" si="1446"/>
        <v>0</v>
      </c>
      <c r="DJ724">
        <f t="shared" si="1446"/>
        <v>0</v>
      </c>
      <c r="DK724">
        <f t="shared" si="1446"/>
        <v>0</v>
      </c>
      <c r="DL724">
        <f t="shared" si="1446"/>
        <v>0</v>
      </c>
      <c r="DM724">
        <f t="shared" si="1446"/>
        <v>0</v>
      </c>
      <c r="DN724">
        <f t="shared" si="1446"/>
        <v>0</v>
      </c>
      <c r="DO724">
        <f t="shared" si="1446"/>
        <v>0</v>
      </c>
      <c r="DP724">
        <f t="shared" si="1446"/>
        <v>0</v>
      </c>
      <c r="DQ724">
        <f t="shared" si="1447"/>
        <v>0</v>
      </c>
      <c r="DR724">
        <f t="shared" si="1447"/>
        <v>0</v>
      </c>
      <c r="DS724">
        <f t="shared" si="1447"/>
        <v>0</v>
      </c>
      <c r="DT724">
        <f t="shared" si="1447"/>
        <v>0</v>
      </c>
      <c r="DU724">
        <f t="shared" si="1447"/>
        <v>0</v>
      </c>
      <c r="DV724">
        <f t="shared" si="1447"/>
        <v>0</v>
      </c>
      <c r="DW724">
        <f t="shared" si="1447"/>
        <v>0</v>
      </c>
      <c r="DX724">
        <f t="shared" si="1447"/>
        <v>0</v>
      </c>
      <c r="DY724">
        <f t="shared" si="1447"/>
        <v>0</v>
      </c>
      <c r="DZ724">
        <f t="shared" si="1447"/>
        <v>0</v>
      </c>
      <c r="EA724">
        <f t="shared" si="1448"/>
        <v>0</v>
      </c>
      <c r="EB724">
        <f t="shared" si="1448"/>
        <v>0</v>
      </c>
      <c r="EC724">
        <f t="shared" si="1448"/>
        <v>0</v>
      </c>
      <c r="ED724">
        <f t="shared" si="1448"/>
        <v>0</v>
      </c>
      <c r="EE724">
        <f t="shared" si="1448"/>
        <v>0</v>
      </c>
      <c r="EF724">
        <f t="shared" si="1448"/>
        <v>0</v>
      </c>
    </row>
    <row r="725" spans="1:136" ht="15.5">
      <c r="A725" s="90"/>
      <c r="B725" s="19" t="s">
        <v>208</v>
      </c>
      <c r="C725" s="94"/>
      <c r="D725" s="18"/>
      <c r="E725" s="18"/>
      <c r="F725" s="18"/>
      <c r="G725" s="18"/>
      <c r="H725" s="18">
        <v>0</v>
      </c>
      <c r="I725" s="18">
        <v>0</v>
      </c>
      <c r="J725" s="18">
        <v>0</v>
      </c>
      <c r="K725" s="18">
        <v>0</v>
      </c>
      <c r="L725" s="18">
        <v>0</v>
      </c>
      <c r="M725" s="18">
        <v>0</v>
      </c>
      <c r="N725" s="18">
        <v>0</v>
      </c>
      <c r="O725" s="18">
        <v>0</v>
      </c>
      <c r="P725" s="18">
        <v>0</v>
      </c>
      <c r="Q725" s="18">
        <v>0</v>
      </c>
      <c r="R725" s="18">
        <v>0</v>
      </c>
      <c r="S725" s="18">
        <v>0</v>
      </c>
      <c r="T725" s="18">
        <v>0</v>
      </c>
      <c r="U725" s="18">
        <v>0</v>
      </c>
      <c r="V725" s="18">
        <v>0</v>
      </c>
      <c r="W725" s="18">
        <v>0</v>
      </c>
      <c r="X725" s="18">
        <v>1.093572</v>
      </c>
      <c r="Y725" s="18">
        <v>0</v>
      </c>
      <c r="Z725" s="40" t="s">
        <v>16</v>
      </c>
      <c r="AA725" s="18">
        <v>0</v>
      </c>
      <c r="AB725" s="18">
        <v>0</v>
      </c>
      <c r="AC725" s="18">
        <v>0.1039548</v>
      </c>
      <c r="AD725" s="18">
        <v>0.85841170000000011</v>
      </c>
      <c r="AE725" s="18">
        <v>12.5791852</v>
      </c>
      <c r="AF725" s="40" t="s">
        <v>16</v>
      </c>
      <c r="AG725" s="18">
        <v>6.1432573000000001</v>
      </c>
      <c r="AH725" s="18">
        <v>9.2807139000000003</v>
      </c>
      <c r="AI725" s="18">
        <v>1.1028674999999999</v>
      </c>
      <c r="AJ725" s="18">
        <v>0.71356949999999997</v>
      </c>
      <c r="AK725" s="18">
        <v>1.7284487000000002</v>
      </c>
      <c r="AL725" s="18">
        <v>4.8311602000000002</v>
      </c>
      <c r="AM725" s="18">
        <v>4.9325936000000006</v>
      </c>
      <c r="AN725" s="18">
        <v>8.6312139999999999</v>
      </c>
      <c r="AO725" s="18">
        <v>9.4409470999999989</v>
      </c>
      <c r="AP725" s="18">
        <v>12.791803</v>
      </c>
      <c r="AQ725" s="18">
        <v>13.686536199999999</v>
      </c>
      <c r="AR725" s="18">
        <v>14.4247228</v>
      </c>
      <c r="AS725" s="18">
        <v>6.5735801000000009</v>
      </c>
      <c r="AT725" s="18">
        <v>5.7005737999999999</v>
      </c>
      <c r="AU725" s="18">
        <v>5.7373768000000007</v>
      </c>
      <c r="AV725" s="18">
        <v>0</v>
      </c>
      <c r="AW725" s="18">
        <v>0</v>
      </c>
      <c r="AX725" s="18">
        <v>0</v>
      </c>
      <c r="AY725" s="18">
        <v>0</v>
      </c>
      <c r="AZ725" s="18">
        <v>0</v>
      </c>
      <c r="BA725" s="18">
        <v>0</v>
      </c>
      <c r="BB725" s="18">
        <v>0</v>
      </c>
      <c r="BC725" s="18">
        <v>0</v>
      </c>
      <c r="BD725" s="18">
        <v>0</v>
      </c>
      <c r="BE725" s="25">
        <v>0</v>
      </c>
      <c r="BF725" s="18">
        <v>0.70296389999999997</v>
      </c>
      <c r="BG725" s="18">
        <v>0</v>
      </c>
      <c r="BH725" s="34">
        <v>0</v>
      </c>
      <c r="BI725" s="34">
        <v>0</v>
      </c>
      <c r="BJ725" s="113">
        <v>0</v>
      </c>
      <c r="BK725" s="113">
        <v>0</v>
      </c>
      <c r="BL725" s="113">
        <v>0</v>
      </c>
      <c r="BM725" s="113">
        <v>0</v>
      </c>
      <c r="BN725" s="113">
        <v>0</v>
      </c>
      <c r="BO725" s="113">
        <v>676</v>
      </c>
      <c r="BP725" s="113">
        <v>669</v>
      </c>
      <c r="BQ725" s="113">
        <v>723</v>
      </c>
      <c r="BR725" s="101"/>
      <c r="BS725">
        <f t="shared" si="1442"/>
        <v>0</v>
      </c>
      <c r="BT725">
        <f t="shared" si="1442"/>
        <v>0</v>
      </c>
      <c r="BU725">
        <f t="shared" si="1442"/>
        <v>0</v>
      </c>
      <c r="BV725">
        <f t="shared" si="1442"/>
        <v>0</v>
      </c>
      <c r="BW725">
        <f t="shared" si="1442"/>
        <v>0</v>
      </c>
      <c r="BX725">
        <f t="shared" si="1442"/>
        <v>0</v>
      </c>
      <c r="BY725">
        <f t="shared" si="1442"/>
        <v>0</v>
      </c>
      <c r="BZ725">
        <f t="shared" si="1442"/>
        <v>0</v>
      </c>
      <c r="CA725">
        <f t="shared" si="1442"/>
        <v>0</v>
      </c>
      <c r="CB725">
        <f t="shared" si="1442"/>
        <v>0</v>
      </c>
      <c r="CC725">
        <f t="shared" si="1443"/>
        <v>0</v>
      </c>
      <c r="CD725">
        <f t="shared" si="1443"/>
        <v>0</v>
      </c>
      <c r="CE725">
        <f t="shared" si="1443"/>
        <v>0</v>
      </c>
      <c r="CF725">
        <f t="shared" si="1443"/>
        <v>0</v>
      </c>
      <c r="CG725">
        <f t="shared" si="1443"/>
        <v>0</v>
      </c>
      <c r="CH725">
        <f t="shared" si="1443"/>
        <v>0</v>
      </c>
      <c r="CI725">
        <f t="shared" si="1443"/>
        <v>0</v>
      </c>
      <c r="CJ725">
        <f t="shared" si="1443"/>
        <v>0</v>
      </c>
      <c r="CK725">
        <f t="shared" si="1443"/>
        <v>0</v>
      </c>
      <c r="CL725">
        <f t="shared" si="1443"/>
        <v>0</v>
      </c>
      <c r="CM725">
        <f t="shared" si="1444"/>
        <v>0</v>
      </c>
      <c r="CN725">
        <f t="shared" si="1444"/>
        <v>0</v>
      </c>
      <c r="CO725">
        <f t="shared" si="1444"/>
        <v>0</v>
      </c>
      <c r="CP725">
        <f t="shared" si="1444"/>
        <v>0</v>
      </c>
      <c r="CQ725">
        <f t="shared" si="1444"/>
        <v>0</v>
      </c>
      <c r="CR725">
        <f t="shared" si="1444"/>
        <v>0</v>
      </c>
      <c r="CS725">
        <f t="shared" si="1444"/>
        <v>0</v>
      </c>
      <c r="CT725">
        <f t="shared" si="1444"/>
        <v>0</v>
      </c>
      <c r="CU725">
        <f t="shared" si="1444"/>
        <v>0</v>
      </c>
      <c r="CV725">
        <f t="shared" si="1444"/>
        <v>0</v>
      </c>
      <c r="CW725">
        <f t="shared" si="1445"/>
        <v>0</v>
      </c>
      <c r="CX725">
        <f t="shared" si="1445"/>
        <v>0</v>
      </c>
      <c r="CY725">
        <f t="shared" si="1445"/>
        <v>0</v>
      </c>
      <c r="CZ725">
        <f t="shared" si="1445"/>
        <v>0</v>
      </c>
      <c r="DA725">
        <f t="shared" si="1445"/>
        <v>0</v>
      </c>
      <c r="DB725">
        <f t="shared" si="1445"/>
        <v>0</v>
      </c>
      <c r="DC725">
        <f t="shared" si="1445"/>
        <v>0</v>
      </c>
      <c r="DD725">
        <f t="shared" si="1445"/>
        <v>0</v>
      </c>
      <c r="DE725">
        <f t="shared" si="1445"/>
        <v>0</v>
      </c>
      <c r="DF725">
        <f t="shared" si="1445"/>
        <v>0</v>
      </c>
      <c r="DG725">
        <f t="shared" si="1446"/>
        <v>0</v>
      </c>
      <c r="DH725">
        <f t="shared" si="1446"/>
        <v>0</v>
      </c>
      <c r="DI725">
        <f t="shared" si="1446"/>
        <v>0</v>
      </c>
      <c r="DJ725">
        <f t="shared" si="1446"/>
        <v>0</v>
      </c>
      <c r="DK725">
        <f t="shared" si="1446"/>
        <v>0</v>
      </c>
      <c r="DL725">
        <f t="shared" si="1446"/>
        <v>0</v>
      </c>
      <c r="DM725">
        <f t="shared" si="1446"/>
        <v>0</v>
      </c>
      <c r="DN725">
        <f t="shared" si="1446"/>
        <v>0</v>
      </c>
      <c r="DO725">
        <f t="shared" si="1446"/>
        <v>0</v>
      </c>
      <c r="DP725">
        <f t="shared" si="1446"/>
        <v>0</v>
      </c>
      <c r="DQ725">
        <f t="shared" si="1447"/>
        <v>0</v>
      </c>
      <c r="DR725">
        <f t="shared" si="1447"/>
        <v>0</v>
      </c>
      <c r="DS725">
        <f t="shared" si="1447"/>
        <v>0</v>
      </c>
      <c r="DT725">
        <f t="shared" si="1447"/>
        <v>0</v>
      </c>
      <c r="DU725">
        <f t="shared" si="1447"/>
        <v>0</v>
      </c>
      <c r="DV725">
        <f t="shared" si="1447"/>
        <v>0</v>
      </c>
      <c r="DW725">
        <f t="shared" si="1447"/>
        <v>0</v>
      </c>
      <c r="DX725">
        <f t="shared" si="1447"/>
        <v>0</v>
      </c>
      <c r="DY725">
        <f t="shared" si="1447"/>
        <v>0</v>
      </c>
      <c r="DZ725">
        <f t="shared" si="1447"/>
        <v>0</v>
      </c>
      <c r="EA725">
        <f t="shared" si="1448"/>
        <v>0</v>
      </c>
      <c r="EB725">
        <f t="shared" si="1448"/>
        <v>0</v>
      </c>
      <c r="EC725">
        <f t="shared" si="1448"/>
        <v>0</v>
      </c>
      <c r="ED725">
        <f t="shared" si="1448"/>
        <v>0</v>
      </c>
      <c r="EE725">
        <f t="shared" si="1448"/>
        <v>0</v>
      </c>
      <c r="EF725">
        <f t="shared" si="1448"/>
        <v>0</v>
      </c>
    </row>
    <row r="726" spans="1:136" ht="15.5">
      <c r="A726" s="90"/>
      <c r="B726" s="19" t="s">
        <v>212</v>
      </c>
      <c r="C726" s="94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40"/>
      <c r="AA726" s="18"/>
      <c r="AB726" s="18"/>
      <c r="AC726" s="18"/>
      <c r="AD726" s="18"/>
      <c r="AE726" s="18"/>
      <c r="AF726" s="40"/>
      <c r="AG726" s="18"/>
      <c r="AH726" s="18">
        <v>0</v>
      </c>
      <c r="AI726" s="18">
        <v>0</v>
      </c>
      <c r="AJ726" s="18">
        <v>0</v>
      </c>
      <c r="AK726" s="18">
        <v>0</v>
      </c>
      <c r="AL726" s="18">
        <v>33.752860411899313</v>
      </c>
      <c r="AM726" s="18">
        <v>22.316753926701573</v>
      </c>
      <c r="AN726" s="18">
        <v>3.7883736120182885</v>
      </c>
      <c r="AO726" s="18">
        <v>43.248175182481745</v>
      </c>
      <c r="AP726" s="18">
        <v>23.624074670099773</v>
      </c>
      <c r="AQ726" s="18">
        <v>18.981818181818181</v>
      </c>
      <c r="AR726" s="147">
        <v>22.741014444071212</v>
      </c>
      <c r="AS726" s="18">
        <v>20.387811634349031</v>
      </c>
      <c r="AT726" s="18">
        <v>115.77780675446604</v>
      </c>
      <c r="AU726" s="147">
        <v>77.306784358000613</v>
      </c>
      <c r="AV726" s="18">
        <v>92.167125803489441</v>
      </c>
      <c r="AW726" s="18">
        <v>662.52322242864375</v>
      </c>
      <c r="AX726" s="18">
        <v>535.24740827880305</v>
      </c>
      <c r="AY726" s="147">
        <v>512.38210917404967</v>
      </c>
      <c r="AZ726" s="18">
        <v>512.38257899231428</v>
      </c>
      <c r="BA726" s="18">
        <v>510.02337607140333</v>
      </c>
      <c r="BB726" s="18">
        <v>479.84005331556142</v>
      </c>
      <c r="BC726" s="18">
        <v>553.0385877206686</v>
      </c>
      <c r="BD726" s="25">
        <v>392.46467817896388</v>
      </c>
      <c r="BE726" s="147">
        <v>348.11529933481154</v>
      </c>
      <c r="BF726" s="18">
        <v>654.52304970141233</v>
      </c>
      <c r="BG726" s="34">
        <v>503.21229050279328</v>
      </c>
      <c r="BH726" s="34">
        <v>426.14285714285717</v>
      </c>
      <c r="BI726" s="113">
        <v>295.4921753992416</v>
      </c>
      <c r="BJ726" s="113">
        <v>298.06896551724139</v>
      </c>
      <c r="BK726" s="113">
        <v>209.75394747076669</v>
      </c>
      <c r="BL726" s="113">
        <v>195.93094944512947</v>
      </c>
      <c r="BM726" s="113">
        <v>189.06633906633905</v>
      </c>
      <c r="BN726" s="113">
        <v>295.90243902439022</v>
      </c>
      <c r="BO726" s="113">
        <v>281.11627906976742</v>
      </c>
      <c r="BP726" s="113">
        <v>309</v>
      </c>
      <c r="BQ726" s="113">
        <v>350</v>
      </c>
      <c r="BR726" s="101"/>
      <c r="BS726">
        <f t="shared" si="1442"/>
        <v>0</v>
      </c>
      <c r="BT726">
        <f t="shared" si="1442"/>
        <v>0</v>
      </c>
      <c r="BU726">
        <f t="shared" si="1442"/>
        <v>0</v>
      </c>
      <c r="BV726">
        <f t="shared" si="1442"/>
        <v>0</v>
      </c>
      <c r="BW726">
        <f t="shared" si="1442"/>
        <v>0</v>
      </c>
      <c r="BX726">
        <f t="shared" si="1442"/>
        <v>0</v>
      </c>
      <c r="BY726">
        <f t="shared" si="1442"/>
        <v>0</v>
      </c>
      <c r="BZ726">
        <f t="shared" si="1442"/>
        <v>0</v>
      </c>
      <c r="CA726">
        <f t="shared" si="1442"/>
        <v>0</v>
      </c>
      <c r="CB726">
        <f t="shared" si="1442"/>
        <v>0</v>
      </c>
      <c r="CC726">
        <f t="shared" si="1443"/>
        <v>0</v>
      </c>
      <c r="CD726">
        <f t="shared" si="1443"/>
        <v>0</v>
      </c>
      <c r="CE726">
        <f t="shared" si="1443"/>
        <v>0</v>
      </c>
      <c r="CF726">
        <f t="shared" si="1443"/>
        <v>0</v>
      </c>
      <c r="CG726">
        <f t="shared" si="1443"/>
        <v>0</v>
      </c>
      <c r="CH726">
        <f t="shared" si="1443"/>
        <v>0</v>
      </c>
      <c r="CI726">
        <f t="shared" si="1443"/>
        <v>0</v>
      </c>
      <c r="CJ726">
        <f t="shared" si="1443"/>
        <v>0</v>
      </c>
      <c r="CK726">
        <f t="shared" si="1443"/>
        <v>0</v>
      </c>
      <c r="CL726">
        <f t="shared" si="1443"/>
        <v>0</v>
      </c>
      <c r="CM726">
        <f t="shared" si="1444"/>
        <v>0</v>
      </c>
      <c r="CN726">
        <f t="shared" si="1444"/>
        <v>0</v>
      </c>
      <c r="CO726">
        <f t="shared" si="1444"/>
        <v>0</v>
      </c>
      <c r="CP726">
        <f t="shared" si="1444"/>
        <v>0</v>
      </c>
      <c r="CQ726">
        <f t="shared" si="1444"/>
        <v>0</v>
      </c>
      <c r="CR726">
        <f t="shared" si="1444"/>
        <v>0</v>
      </c>
      <c r="CS726">
        <f t="shared" si="1444"/>
        <v>0</v>
      </c>
      <c r="CT726">
        <f t="shared" si="1444"/>
        <v>0</v>
      </c>
      <c r="CU726">
        <f t="shared" si="1444"/>
        <v>0</v>
      </c>
      <c r="CV726">
        <f t="shared" si="1444"/>
        <v>0</v>
      </c>
      <c r="CW726">
        <f t="shared" si="1445"/>
        <v>0</v>
      </c>
      <c r="CX726">
        <f t="shared" si="1445"/>
        <v>0</v>
      </c>
      <c r="CY726">
        <f t="shared" si="1445"/>
        <v>0</v>
      </c>
      <c r="CZ726">
        <f t="shared" si="1445"/>
        <v>0</v>
      </c>
      <c r="DA726">
        <f t="shared" si="1445"/>
        <v>0</v>
      </c>
      <c r="DB726">
        <f t="shared" si="1445"/>
        <v>0</v>
      </c>
      <c r="DC726">
        <f t="shared" si="1445"/>
        <v>0</v>
      </c>
      <c r="DD726">
        <f t="shared" si="1445"/>
        <v>0</v>
      </c>
      <c r="DE726">
        <f t="shared" si="1445"/>
        <v>0</v>
      </c>
      <c r="DF726">
        <f t="shared" si="1445"/>
        <v>0</v>
      </c>
      <c r="DG726">
        <f t="shared" si="1446"/>
        <v>0</v>
      </c>
      <c r="DH726">
        <f t="shared" si="1446"/>
        <v>0</v>
      </c>
      <c r="DI726">
        <f t="shared" si="1446"/>
        <v>0</v>
      </c>
      <c r="DJ726">
        <f t="shared" si="1446"/>
        <v>0</v>
      </c>
      <c r="DK726">
        <f t="shared" si="1446"/>
        <v>0</v>
      </c>
      <c r="DL726">
        <f t="shared" si="1446"/>
        <v>0</v>
      </c>
      <c r="DM726">
        <f t="shared" si="1446"/>
        <v>0</v>
      </c>
      <c r="DN726">
        <f t="shared" si="1446"/>
        <v>0</v>
      </c>
      <c r="DO726">
        <f t="shared" si="1446"/>
        <v>0</v>
      </c>
      <c r="DP726">
        <f t="shared" si="1446"/>
        <v>0</v>
      </c>
      <c r="DQ726">
        <f t="shared" si="1447"/>
        <v>0</v>
      </c>
      <c r="DR726">
        <f t="shared" si="1447"/>
        <v>0</v>
      </c>
      <c r="DS726">
        <f t="shared" si="1447"/>
        <v>0</v>
      </c>
      <c r="DT726">
        <f t="shared" si="1447"/>
        <v>0</v>
      </c>
      <c r="DU726">
        <f t="shared" si="1447"/>
        <v>0</v>
      </c>
      <c r="DV726">
        <f t="shared" si="1447"/>
        <v>0</v>
      </c>
      <c r="DW726">
        <f t="shared" si="1447"/>
        <v>0</v>
      </c>
      <c r="DX726">
        <f t="shared" si="1447"/>
        <v>0</v>
      </c>
      <c r="DY726">
        <f t="shared" si="1447"/>
        <v>0</v>
      </c>
      <c r="DZ726">
        <f t="shared" si="1447"/>
        <v>0</v>
      </c>
      <c r="EA726">
        <f t="shared" si="1448"/>
        <v>0</v>
      </c>
      <c r="EB726">
        <f t="shared" si="1448"/>
        <v>0</v>
      </c>
      <c r="EC726">
        <f t="shared" si="1448"/>
        <v>0</v>
      </c>
      <c r="ED726">
        <f t="shared" si="1448"/>
        <v>0</v>
      </c>
      <c r="EE726">
        <f t="shared" si="1448"/>
        <v>0</v>
      </c>
      <c r="EF726">
        <f t="shared" si="1448"/>
        <v>0</v>
      </c>
    </row>
    <row r="727" spans="1:136" ht="15.5">
      <c r="A727" s="90"/>
      <c r="B727" s="19"/>
      <c r="C727" s="94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40"/>
      <c r="AA727" s="18"/>
      <c r="AB727" s="18"/>
      <c r="AC727" s="18"/>
      <c r="AD727" s="18"/>
      <c r="AE727" s="18"/>
      <c r="AF727" s="40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  <c r="AQ727" s="18"/>
      <c r="AR727" s="147"/>
      <c r="AS727" s="18"/>
      <c r="AT727" s="18"/>
      <c r="AU727" s="147"/>
      <c r="AV727" s="18"/>
      <c r="AW727" s="18"/>
      <c r="AX727" s="18"/>
      <c r="AY727" s="147"/>
      <c r="AZ727" s="18"/>
      <c r="BA727" s="18"/>
      <c r="BB727" s="18"/>
      <c r="BC727" s="18"/>
      <c r="BD727" s="25"/>
      <c r="BE727" s="152"/>
      <c r="BF727" s="18"/>
      <c r="BG727" s="34"/>
      <c r="BH727" s="34"/>
      <c r="BI727" s="113"/>
      <c r="BJ727" s="113"/>
      <c r="BK727" s="113"/>
      <c r="BL727" s="113"/>
      <c r="BM727" s="113"/>
      <c r="BN727" s="2"/>
      <c r="BO727" s="2"/>
      <c r="BP727" s="2"/>
      <c r="BQ727" s="2"/>
      <c r="BR727" s="101"/>
    </row>
    <row r="728" spans="1:136" ht="15.5">
      <c r="A728" s="93">
        <v>89</v>
      </c>
      <c r="B728" s="32" t="s">
        <v>233</v>
      </c>
      <c r="C728" s="94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40"/>
      <c r="AA728" s="18"/>
      <c r="AB728" s="18"/>
      <c r="AC728" s="18"/>
      <c r="AD728" s="18"/>
      <c r="AE728" s="18"/>
      <c r="AF728" s="40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  <c r="AQ728" s="18"/>
      <c r="AR728" s="147"/>
      <c r="AS728" s="18"/>
      <c r="AT728" s="18"/>
      <c r="AU728" s="147"/>
      <c r="AV728" s="18"/>
      <c r="AW728" s="18"/>
      <c r="AX728" s="18"/>
      <c r="AY728" s="147"/>
      <c r="AZ728" s="18"/>
      <c r="BA728" s="18"/>
      <c r="BB728" s="18"/>
      <c r="BC728" s="18"/>
      <c r="BD728" s="25"/>
      <c r="BE728" s="152"/>
      <c r="BF728" s="18"/>
      <c r="BG728" s="34"/>
      <c r="BH728" s="34"/>
      <c r="BI728" s="113"/>
      <c r="BJ728" s="113"/>
      <c r="BK728" s="113"/>
      <c r="BL728" s="113"/>
      <c r="BM728" s="113"/>
      <c r="BN728" s="2"/>
      <c r="BO728" s="2"/>
      <c r="BP728" s="2"/>
      <c r="BQ728" s="2"/>
      <c r="BR728" s="101"/>
    </row>
    <row r="729" spans="1:136" ht="15.5">
      <c r="A729" s="90"/>
      <c r="B729" s="19" t="s">
        <v>212</v>
      </c>
      <c r="C729" s="94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40"/>
      <c r="AA729" s="18"/>
      <c r="AB729" s="18"/>
      <c r="AC729" s="18"/>
      <c r="AD729" s="18"/>
      <c r="AE729" s="18">
        <v>0</v>
      </c>
      <c r="AF729" s="18">
        <v>0</v>
      </c>
      <c r="AG729" s="18">
        <v>0</v>
      </c>
      <c r="AH729" s="18">
        <v>0</v>
      </c>
      <c r="AI729" s="18">
        <f>1879/2.75</f>
        <v>683.27272727272725</v>
      </c>
      <c r="AJ729" s="18">
        <f>1616/2.51</f>
        <v>643.82470119521918</v>
      </c>
      <c r="AK729" s="18">
        <f>1559/2.56</f>
        <v>608.984375</v>
      </c>
      <c r="AL729" s="18">
        <f>904/2.55</f>
        <v>354.50980392156868</v>
      </c>
      <c r="AM729" s="18">
        <f>255/2.54</f>
        <v>100.39370078740157</v>
      </c>
      <c r="AN729" s="18">
        <v>0</v>
      </c>
      <c r="AO729" s="18">
        <v>0</v>
      </c>
      <c r="AP729" s="18">
        <v>0</v>
      </c>
      <c r="AQ729" s="18">
        <v>0</v>
      </c>
      <c r="AR729" s="147">
        <v>0</v>
      </c>
      <c r="AS729" s="18">
        <v>0</v>
      </c>
      <c r="AT729" s="18">
        <v>0</v>
      </c>
      <c r="AU729" s="147">
        <v>0</v>
      </c>
      <c r="AV729" s="18">
        <v>0</v>
      </c>
      <c r="AW729" s="18">
        <v>0</v>
      </c>
      <c r="AX729" s="18">
        <v>0</v>
      </c>
      <c r="AY729" s="147">
        <v>0</v>
      </c>
      <c r="AZ729" s="18">
        <v>0</v>
      </c>
      <c r="BA729" s="18">
        <v>0</v>
      </c>
      <c r="BB729" s="18">
        <v>0</v>
      </c>
      <c r="BC729" s="18">
        <v>0</v>
      </c>
      <c r="BD729" s="25">
        <v>0</v>
      </c>
      <c r="BE729" s="152">
        <v>0</v>
      </c>
      <c r="BF729" s="18">
        <v>0</v>
      </c>
      <c r="BG729" s="34">
        <v>0</v>
      </c>
      <c r="BH729" s="34">
        <v>0</v>
      </c>
      <c r="BI729" s="113">
        <v>0</v>
      </c>
      <c r="BJ729" s="113">
        <v>0</v>
      </c>
      <c r="BK729" s="113">
        <f>37000/4.12</f>
        <v>8980.5825242718438</v>
      </c>
      <c r="BL729" s="113">
        <v>0</v>
      </c>
      <c r="BM729" s="113">
        <v>0</v>
      </c>
      <c r="BN729" s="113">
        <v>0</v>
      </c>
      <c r="BO729" s="113">
        <v>0</v>
      </c>
      <c r="BP729" s="113">
        <v>0</v>
      </c>
      <c r="BQ729" s="113">
        <v>0</v>
      </c>
      <c r="BR729" s="101"/>
      <c r="BS729">
        <f t="shared" ref="BS729:CX729" si="1449">IF($C729&lt;&gt;"",IF(D729&gt;0,1,0),0)</f>
        <v>0</v>
      </c>
      <c r="BT729">
        <f t="shared" si="1449"/>
        <v>0</v>
      </c>
      <c r="BU729">
        <f t="shared" si="1449"/>
        <v>0</v>
      </c>
      <c r="BV729">
        <f t="shared" si="1449"/>
        <v>0</v>
      </c>
      <c r="BW729">
        <f t="shared" si="1449"/>
        <v>0</v>
      </c>
      <c r="BX729">
        <f t="shared" si="1449"/>
        <v>0</v>
      </c>
      <c r="BY729">
        <f t="shared" si="1449"/>
        <v>0</v>
      </c>
      <c r="BZ729">
        <f t="shared" si="1449"/>
        <v>0</v>
      </c>
      <c r="CA729">
        <f t="shared" si="1449"/>
        <v>0</v>
      </c>
      <c r="CB729">
        <f t="shared" si="1449"/>
        <v>0</v>
      </c>
      <c r="CC729">
        <f t="shared" si="1449"/>
        <v>0</v>
      </c>
      <c r="CD729">
        <f t="shared" si="1449"/>
        <v>0</v>
      </c>
      <c r="CE729">
        <f t="shared" si="1449"/>
        <v>0</v>
      </c>
      <c r="CF729">
        <f t="shared" si="1449"/>
        <v>0</v>
      </c>
      <c r="CG729">
        <f t="shared" si="1449"/>
        <v>0</v>
      </c>
      <c r="CH729">
        <f t="shared" si="1449"/>
        <v>0</v>
      </c>
      <c r="CI729">
        <f t="shared" si="1449"/>
        <v>0</v>
      </c>
      <c r="CJ729">
        <f t="shared" si="1449"/>
        <v>0</v>
      </c>
      <c r="CK729">
        <f t="shared" si="1449"/>
        <v>0</v>
      </c>
      <c r="CL729">
        <f t="shared" si="1449"/>
        <v>0</v>
      </c>
      <c r="CM729">
        <f t="shared" si="1449"/>
        <v>0</v>
      </c>
      <c r="CN729">
        <f t="shared" si="1449"/>
        <v>0</v>
      </c>
      <c r="CO729">
        <f t="shared" si="1449"/>
        <v>0</v>
      </c>
      <c r="CP729">
        <f t="shared" si="1449"/>
        <v>0</v>
      </c>
      <c r="CQ729">
        <f t="shared" si="1449"/>
        <v>0</v>
      </c>
      <c r="CR729">
        <f t="shared" si="1449"/>
        <v>0</v>
      </c>
      <c r="CS729">
        <f t="shared" si="1449"/>
        <v>0</v>
      </c>
      <c r="CT729">
        <f t="shared" si="1449"/>
        <v>0</v>
      </c>
      <c r="CU729">
        <f t="shared" si="1449"/>
        <v>0</v>
      </c>
      <c r="CV729">
        <f t="shared" si="1449"/>
        <v>0</v>
      </c>
      <c r="CW729">
        <f t="shared" si="1449"/>
        <v>0</v>
      </c>
      <c r="CX729">
        <f t="shared" si="1449"/>
        <v>0</v>
      </c>
      <c r="CY729">
        <f t="shared" ref="CY729:ED729" si="1450">IF($C729&lt;&gt;"",IF(AJ729&gt;0,1,0),0)</f>
        <v>0</v>
      </c>
      <c r="CZ729">
        <f t="shared" si="1450"/>
        <v>0</v>
      </c>
      <c r="DA729">
        <f t="shared" si="1450"/>
        <v>0</v>
      </c>
      <c r="DB729">
        <f t="shared" si="1450"/>
        <v>0</v>
      </c>
      <c r="DC729">
        <f t="shared" si="1450"/>
        <v>0</v>
      </c>
      <c r="DD729">
        <f t="shared" si="1450"/>
        <v>0</v>
      </c>
      <c r="DE729">
        <f t="shared" si="1450"/>
        <v>0</v>
      </c>
      <c r="DF729">
        <f t="shared" si="1450"/>
        <v>0</v>
      </c>
      <c r="DG729">
        <f t="shared" si="1450"/>
        <v>0</v>
      </c>
      <c r="DH729">
        <f t="shared" si="1450"/>
        <v>0</v>
      </c>
      <c r="DI729">
        <f t="shared" si="1450"/>
        <v>0</v>
      </c>
      <c r="DJ729">
        <f t="shared" si="1450"/>
        <v>0</v>
      </c>
      <c r="DK729">
        <f t="shared" si="1450"/>
        <v>0</v>
      </c>
      <c r="DL729">
        <f t="shared" si="1450"/>
        <v>0</v>
      </c>
      <c r="DM729">
        <f t="shared" si="1450"/>
        <v>0</v>
      </c>
      <c r="DN729">
        <f t="shared" si="1450"/>
        <v>0</v>
      </c>
      <c r="DO729">
        <f t="shared" si="1450"/>
        <v>0</v>
      </c>
      <c r="DP729">
        <f t="shared" si="1450"/>
        <v>0</v>
      </c>
      <c r="DQ729">
        <f t="shared" si="1450"/>
        <v>0</v>
      </c>
      <c r="DR729">
        <f t="shared" si="1450"/>
        <v>0</v>
      </c>
      <c r="DS729">
        <f t="shared" si="1450"/>
        <v>0</v>
      </c>
      <c r="DT729">
        <f t="shared" si="1450"/>
        <v>0</v>
      </c>
      <c r="DU729">
        <f t="shared" si="1450"/>
        <v>0</v>
      </c>
      <c r="DV729">
        <f t="shared" si="1450"/>
        <v>0</v>
      </c>
      <c r="DW729">
        <f t="shared" si="1450"/>
        <v>0</v>
      </c>
      <c r="DX729">
        <f t="shared" si="1450"/>
        <v>0</v>
      </c>
      <c r="DY729">
        <f t="shared" si="1450"/>
        <v>0</v>
      </c>
      <c r="DZ729">
        <f t="shared" si="1450"/>
        <v>0</v>
      </c>
      <c r="EA729">
        <f t="shared" si="1450"/>
        <v>0</v>
      </c>
      <c r="EB729">
        <f t="shared" si="1450"/>
        <v>0</v>
      </c>
      <c r="EC729">
        <f t="shared" si="1450"/>
        <v>0</v>
      </c>
      <c r="ED729">
        <f t="shared" si="1450"/>
        <v>0</v>
      </c>
      <c r="EE729">
        <f t="shared" ref="EE729:EF729" si="1451">IF($C729&lt;&gt;"",IF(BP729&gt;0,1,0),0)</f>
        <v>0</v>
      </c>
      <c r="EF729">
        <f t="shared" si="1451"/>
        <v>0</v>
      </c>
    </row>
    <row r="730" spans="1:136" ht="15.5">
      <c r="A730" s="90"/>
      <c r="B730" s="19"/>
      <c r="C730" s="94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40"/>
      <c r="AA730" s="18"/>
      <c r="AB730" s="18"/>
      <c r="AC730" s="18"/>
      <c r="AD730" s="18"/>
      <c r="AE730" s="18"/>
      <c r="AF730" s="40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/>
      <c r="AV730" s="18"/>
      <c r="AW730" s="18"/>
      <c r="AX730" s="18"/>
      <c r="AY730" s="18"/>
      <c r="AZ730" s="18"/>
      <c r="BA730" s="18"/>
      <c r="BB730" s="18"/>
      <c r="BC730" s="18"/>
      <c r="BD730" s="18"/>
      <c r="BE730" s="25"/>
      <c r="BF730" s="18"/>
      <c r="BG730" s="18"/>
      <c r="BH730" s="34"/>
      <c r="BI730" s="34"/>
      <c r="BJ730" s="113"/>
      <c r="BK730" s="113"/>
      <c r="BL730" s="113"/>
      <c r="BM730" s="113"/>
      <c r="BN730" s="2"/>
      <c r="BO730" s="2"/>
      <c r="BP730" s="2"/>
      <c r="BQ730" s="2"/>
      <c r="BR730" s="101"/>
      <c r="DR730">
        <f t="shared" ref="DR730:DR736" si="1452">IF($C730&lt;&gt;"",IF(BC730&gt;0,1,0),0)</f>
        <v>0</v>
      </c>
    </row>
    <row r="731" spans="1:136" ht="15.5">
      <c r="A731" s="93">
        <v>90</v>
      </c>
      <c r="B731" s="32" t="s">
        <v>98</v>
      </c>
      <c r="C731" s="95">
        <v>3</v>
      </c>
      <c r="D731" s="22"/>
      <c r="E731" s="22"/>
      <c r="F731" s="22"/>
      <c r="G731" s="22"/>
      <c r="H731" s="22"/>
      <c r="I731" s="22">
        <f>I734-I733-I732+I735</f>
        <v>0</v>
      </c>
      <c r="J731" s="22">
        <f t="shared" ref="J731:BJ731" si="1453">J734-J733-J732+J735</f>
        <v>0</v>
      </c>
      <c r="K731" s="22">
        <f t="shared" si="1453"/>
        <v>0</v>
      </c>
      <c r="L731" s="22">
        <f t="shared" si="1453"/>
        <v>0</v>
      </c>
      <c r="M731" s="22">
        <f t="shared" si="1453"/>
        <v>0</v>
      </c>
      <c r="N731" s="22">
        <f t="shared" si="1453"/>
        <v>0</v>
      </c>
      <c r="O731" s="22">
        <f t="shared" si="1453"/>
        <v>0</v>
      </c>
      <c r="P731" s="22">
        <f t="shared" si="1453"/>
        <v>0</v>
      </c>
      <c r="Q731" s="22">
        <f t="shared" si="1453"/>
        <v>0</v>
      </c>
      <c r="R731" s="22">
        <f t="shared" si="1453"/>
        <v>0</v>
      </c>
      <c r="S731" s="22">
        <f t="shared" si="1453"/>
        <v>0</v>
      </c>
      <c r="T731" s="22">
        <f t="shared" si="1453"/>
        <v>0</v>
      </c>
      <c r="U731" s="22">
        <f t="shared" si="1453"/>
        <v>0</v>
      </c>
      <c r="V731" s="22">
        <f t="shared" si="1453"/>
        <v>1.10376E-2</v>
      </c>
      <c r="W731" s="22">
        <f t="shared" si="1453"/>
        <v>1.5554399999999999E-2</v>
      </c>
      <c r="X731" s="22">
        <f t="shared" si="1453"/>
        <v>0</v>
      </c>
      <c r="Y731" s="22">
        <f t="shared" si="1453"/>
        <v>0</v>
      </c>
      <c r="Z731" s="22">
        <f t="shared" si="1453"/>
        <v>0</v>
      </c>
      <c r="AA731" s="22">
        <f t="shared" si="1453"/>
        <v>0</v>
      </c>
      <c r="AB731" s="22">
        <f t="shared" si="1453"/>
        <v>0</v>
      </c>
      <c r="AC731" s="22">
        <f t="shared" si="1453"/>
        <v>0</v>
      </c>
      <c r="AD731" s="22">
        <f t="shared" si="1453"/>
        <v>0</v>
      </c>
      <c r="AE731" s="22">
        <f t="shared" si="1453"/>
        <v>0</v>
      </c>
      <c r="AF731" s="22">
        <f t="shared" si="1453"/>
        <v>0</v>
      </c>
      <c r="AG731" s="22">
        <f t="shared" si="1453"/>
        <v>0</v>
      </c>
      <c r="AH731" s="22">
        <f t="shared" si="1453"/>
        <v>0</v>
      </c>
      <c r="AI731" s="22">
        <f t="shared" si="1453"/>
        <v>0</v>
      </c>
      <c r="AJ731" s="22">
        <f t="shared" si="1453"/>
        <v>0</v>
      </c>
      <c r="AK731" s="22">
        <f t="shared" si="1453"/>
        <v>0</v>
      </c>
      <c r="AL731" s="22">
        <f t="shared" si="1453"/>
        <v>0</v>
      </c>
      <c r="AM731" s="22">
        <f t="shared" si="1453"/>
        <v>0</v>
      </c>
      <c r="AN731" s="22">
        <f t="shared" si="1453"/>
        <v>0</v>
      </c>
      <c r="AO731" s="22">
        <f t="shared" si="1453"/>
        <v>0</v>
      </c>
      <c r="AP731" s="22">
        <f t="shared" si="1453"/>
        <v>0</v>
      </c>
      <c r="AQ731" s="22">
        <f t="shared" si="1453"/>
        <v>0</v>
      </c>
      <c r="AR731" s="22">
        <f t="shared" si="1453"/>
        <v>0</v>
      </c>
      <c r="AS731" s="22">
        <f t="shared" si="1453"/>
        <v>0</v>
      </c>
      <c r="AT731" s="22">
        <f t="shared" si="1453"/>
        <v>0</v>
      </c>
      <c r="AU731" s="22">
        <f t="shared" si="1453"/>
        <v>-0.42285830000000002</v>
      </c>
      <c r="AV731" s="22">
        <f t="shared" si="1453"/>
        <v>0.54629749999999999</v>
      </c>
      <c r="AW731" s="22">
        <f t="shared" si="1453"/>
        <v>0.30777949999999998</v>
      </c>
      <c r="AX731" s="22">
        <f t="shared" si="1453"/>
        <v>0.20197129999999999</v>
      </c>
      <c r="AY731" s="22">
        <f t="shared" si="1453"/>
        <v>2.3801E-3</v>
      </c>
      <c r="AZ731" s="22">
        <f t="shared" si="1453"/>
        <v>10.2069212</v>
      </c>
      <c r="BA731" s="22">
        <f t="shared" si="1453"/>
        <v>9.7726959000000004</v>
      </c>
      <c r="BB731" s="22">
        <f t="shared" si="1453"/>
        <v>5.1200051000000002</v>
      </c>
      <c r="BC731" s="22">
        <f t="shared" si="1453"/>
        <v>6.4518175000000006</v>
      </c>
      <c r="BD731" s="22">
        <f t="shared" si="1453"/>
        <v>6.6203911000000009</v>
      </c>
      <c r="BE731" s="22">
        <f t="shared" si="1453"/>
        <v>15.721814200000001</v>
      </c>
      <c r="BF731" s="22">
        <f t="shared" si="1453"/>
        <v>9.5627939000000008</v>
      </c>
      <c r="BG731" s="22">
        <f t="shared" si="1453"/>
        <v>3.2929708</v>
      </c>
      <c r="BH731" s="22">
        <f t="shared" si="1453"/>
        <v>1.7622674</v>
      </c>
      <c r="BI731" s="22">
        <f t="shared" si="1453"/>
        <v>0.51283849999999997</v>
      </c>
      <c r="BJ731" s="22">
        <f t="shared" si="1453"/>
        <v>1.6220146</v>
      </c>
      <c r="BK731" s="22">
        <f t="shared" ref="BK731:BP731" si="1454">SUM(BK732:BK735)</f>
        <v>14.069883600000001</v>
      </c>
      <c r="BL731" s="22">
        <f t="shared" si="1454"/>
        <v>97.429832099999999</v>
      </c>
      <c r="BM731" s="22">
        <f t="shared" si="1454"/>
        <v>157.31507240000002</v>
      </c>
      <c r="BN731" s="22">
        <f t="shared" si="1454"/>
        <v>0</v>
      </c>
      <c r="BO731" s="22">
        <f t="shared" si="1454"/>
        <v>0</v>
      </c>
      <c r="BP731" s="22">
        <f t="shared" si="1454"/>
        <v>0</v>
      </c>
      <c r="BQ731" s="22">
        <f t="shared" ref="BQ731" si="1455">SUM(BQ732:BQ735)</f>
        <v>0</v>
      </c>
      <c r="BR731" s="101"/>
      <c r="BS731">
        <f t="shared" ref="BS731:CB736" si="1456">IF($C731&lt;&gt;"",IF(D731&gt;0,1,0),0)</f>
        <v>0</v>
      </c>
      <c r="BT731">
        <f t="shared" si="1456"/>
        <v>0</v>
      </c>
      <c r="BU731">
        <f t="shared" si="1456"/>
        <v>0</v>
      </c>
      <c r="BV731">
        <f t="shared" si="1456"/>
        <v>0</v>
      </c>
      <c r="BW731">
        <f t="shared" si="1456"/>
        <v>0</v>
      </c>
      <c r="BX731">
        <f t="shared" si="1456"/>
        <v>0</v>
      </c>
      <c r="BY731">
        <f t="shared" si="1456"/>
        <v>0</v>
      </c>
      <c r="BZ731">
        <f t="shared" si="1456"/>
        <v>0</v>
      </c>
      <c r="CA731">
        <f t="shared" si="1456"/>
        <v>0</v>
      </c>
      <c r="CB731">
        <f t="shared" si="1456"/>
        <v>0</v>
      </c>
      <c r="CC731">
        <f t="shared" ref="CC731:CL736" si="1457">IF($C731&lt;&gt;"",IF(N731&gt;0,1,0),0)</f>
        <v>0</v>
      </c>
      <c r="CD731">
        <f t="shared" si="1457"/>
        <v>0</v>
      </c>
      <c r="CE731">
        <f t="shared" si="1457"/>
        <v>0</v>
      </c>
      <c r="CF731">
        <f t="shared" si="1457"/>
        <v>0</v>
      </c>
      <c r="CG731">
        <f t="shared" si="1457"/>
        <v>0</v>
      </c>
      <c r="CH731">
        <f t="shared" si="1457"/>
        <v>0</v>
      </c>
      <c r="CI731">
        <f t="shared" si="1457"/>
        <v>0</v>
      </c>
      <c r="CJ731">
        <f t="shared" si="1457"/>
        <v>0</v>
      </c>
      <c r="CK731">
        <f t="shared" si="1457"/>
        <v>1</v>
      </c>
      <c r="CL731">
        <f t="shared" si="1457"/>
        <v>1</v>
      </c>
      <c r="CM731">
        <f t="shared" ref="CM731:CV736" si="1458">IF($C731&lt;&gt;"",IF(X731&gt;0,1,0),0)</f>
        <v>0</v>
      </c>
      <c r="CN731">
        <f t="shared" si="1458"/>
        <v>0</v>
      </c>
      <c r="CO731">
        <f t="shared" si="1458"/>
        <v>0</v>
      </c>
      <c r="CP731">
        <f t="shared" si="1458"/>
        <v>0</v>
      </c>
      <c r="CQ731">
        <f t="shared" si="1458"/>
        <v>0</v>
      </c>
      <c r="CR731">
        <f t="shared" si="1458"/>
        <v>0</v>
      </c>
      <c r="CS731">
        <f t="shared" si="1458"/>
        <v>0</v>
      </c>
      <c r="CT731">
        <f t="shared" si="1458"/>
        <v>0</v>
      </c>
      <c r="CU731">
        <f t="shared" si="1458"/>
        <v>0</v>
      </c>
      <c r="CV731">
        <f t="shared" si="1458"/>
        <v>0</v>
      </c>
      <c r="CW731">
        <f t="shared" ref="CW731:DF736" si="1459">IF($C731&lt;&gt;"",IF(AH731&gt;0,1,0),0)</f>
        <v>0</v>
      </c>
      <c r="CX731">
        <f t="shared" si="1459"/>
        <v>0</v>
      </c>
      <c r="CY731">
        <f t="shared" si="1459"/>
        <v>0</v>
      </c>
      <c r="CZ731">
        <f t="shared" si="1459"/>
        <v>0</v>
      </c>
      <c r="DA731">
        <f t="shared" si="1459"/>
        <v>0</v>
      </c>
      <c r="DB731">
        <f t="shared" si="1459"/>
        <v>0</v>
      </c>
      <c r="DC731">
        <f t="shared" si="1459"/>
        <v>0</v>
      </c>
      <c r="DD731">
        <f t="shared" si="1459"/>
        <v>0</v>
      </c>
      <c r="DE731">
        <f t="shared" si="1459"/>
        <v>0</v>
      </c>
      <c r="DF731">
        <f t="shared" si="1459"/>
        <v>0</v>
      </c>
      <c r="DG731">
        <f t="shared" ref="DG731:DP736" si="1460">IF($C731&lt;&gt;"",IF(AR731&gt;0,1,0),0)</f>
        <v>0</v>
      </c>
      <c r="DH731">
        <f t="shared" si="1460"/>
        <v>0</v>
      </c>
      <c r="DI731">
        <f t="shared" si="1460"/>
        <v>0</v>
      </c>
      <c r="DJ731">
        <f t="shared" si="1460"/>
        <v>0</v>
      </c>
      <c r="DK731">
        <f t="shared" si="1460"/>
        <v>1</v>
      </c>
      <c r="DL731">
        <f t="shared" si="1460"/>
        <v>1</v>
      </c>
      <c r="DM731">
        <f t="shared" si="1460"/>
        <v>1</v>
      </c>
      <c r="DN731">
        <f t="shared" si="1460"/>
        <v>1</v>
      </c>
      <c r="DO731">
        <f t="shared" si="1460"/>
        <v>1</v>
      </c>
      <c r="DP731">
        <f t="shared" si="1460"/>
        <v>1</v>
      </c>
      <c r="DQ731">
        <f t="shared" ref="DQ731:DQ736" si="1461">IF($C731&lt;&gt;"",IF(BB731&gt;0,1,0),0)</f>
        <v>1</v>
      </c>
      <c r="DR731">
        <f t="shared" si="1452"/>
        <v>1</v>
      </c>
      <c r="DS731">
        <f t="shared" ref="DS731:EF736" si="1462">IF($C731&lt;&gt;"",IF(BD731&gt;0,1,0),0)</f>
        <v>1</v>
      </c>
      <c r="DT731">
        <f t="shared" si="1462"/>
        <v>1</v>
      </c>
      <c r="DU731">
        <f t="shared" si="1462"/>
        <v>1</v>
      </c>
      <c r="DV731">
        <f t="shared" si="1462"/>
        <v>1</v>
      </c>
      <c r="DW731">
        <f t="shared" si="1462"/>
        <v>1</v>
      </c>
      <c r="DX731">
        <f t="shared" si="1462"/>
        <v>1</v>
      </c>
      <c r="DY731">
        <f t="shared" si="1462"/>
        <v>1</v>
      </c>
      <c r="DZ731">
        <f t="shared" si="1462"/>
        <v>1</v>
      </c>
      <c r="EA731">
        <f t="shared" si="1462"/>
        <v>1</v>
      </c>
      <c r="EB731">
        <f t="shared" si="1462"/>
        <v>1</v>
      </c>
      <c r="EC731">
        <f t="shared" si="1462"/>
        <v>0</v>
      </c>
      <c r="ED731">
        <f t="shared" si="1462"/>
        <v>0</v>
      </c>
      <c r="EE731">
        <f t="shared" si="1462"/>
        <v>0</v>
      </c>
      <c r="EF731">
        <f t="shared" si="1462"/>
        <v>0</v>
      </c>
    </row>
    <row r="732" spans="1:136" ht="15.5">
      <c r="A732" s="90"/>
      <c r="B732" s="19" t="s">
        <v>2</v>
      </c>
      <c r="C732" s="95"/>
      <c r="D732" s="22"/>
      <c r="E732" s="22"/>
      <c r="F732" s="22"/>
      <c r="G732" s="22"/>
      <c r="H732" s="22"/>
      <c r="I732" s="18">
        <v>0</v>
      </c>
      <c r="J732" s="18">
        <v>0</v>
      </c>
      <c r="K732" s="18">
        <v>0</v>
      </c>
      <c r="L732" s="18">
        <v>0</v>
      </c>
      <c r="M732" s="18">
        <v>0</v>
      </c>
      <c r="N732" s="18">
        <v>0</v>
      </c>
      <c r="O732" s="18">
        <v>0</v>
      </c>
      <c r="P732" s="18">
        <v>0</v>
      </c>
      <c r="Q732" s="18">
        <v>0</v>
      </c>
      <c r="R732" s="18">
        <v>0</v>
      </c>
      <c r="S732" s="18">
        <v>0</v>
      </c>
      <c r="T732" s="18">
        <v>0</v>
      </c>
      <c r="U732" s="18">
        <v>0</v>
      </c>
      <c r="V732" s="18">
        <v>0</v>
      </c>
      <c r="W732" s="18">
        <v>0</v>
      </c>
      <c r="X732" s="18">
        <v>0</v>
      </c>
      <c r="Y732" s="18">
        <v>0</v>
      </c>
      <c r="Z732" s="18">
        <v>0</v>
      </c>
      <c r="AA732" s="18">
        <v>0</v>
      </c>
      <c r="AB732" s="18">
        <v>0</v>
      </c>
      <c r="AC732" s="18">
        <v>0</v>
      </c>
      <c r="AD732" s="18">
        <v>0</v>
      </c>
      <c r="AE732" s="18">
        <v>0</v>
      </c>
      <c r="AF732" s="18">
        <v>0</v>
      </c>
      <c r="AG732" s="18">
        <v>0</v>
      </c>
      <c r="AH732" s="18">
        <v>0</v>
      </c>
      <c r="AI732" s="18">
        <v>0</v>
      </c>
      <c r="AJ732" s="18">
        <v>0</v>
      </c>
      <c r="AK732" s="18">
        <v>0</v>
      </c>
      <c r="AL732" s="18">
        <v>0</v>
      </c>
      <c r="AM732" s="18">
        <v>0</v>
      </c>
      <c r="AN732" s="18">
        <v>0</v>
      </c>
      <c r="AO732" s="18">
        <v>0</v>
      </c>
      <c r="AP732" s="18">
        <v>0</v>
      </c>
      <c r="AQ732" s="18">
        <v>0</v>
      </c>
      <c r="AR732" s="18">
        <v>0</v>
      </c>
      <c r="AS732" s="18">
        <v>0</v>
      </c>
      <c r="AT732" s="18">
        <v>0</v>
      </c>
      <c r="AU732" s="18">
        <v>0</v>
      </c>
      <c r="AV732" s="18">
        <v>0</v>
      </c>
      <c r="AW732" s="18">
        <v>0</v>
      </c>
      <c r="AX732" s="18">
        <v>0</v>
      </c>
      <c r="AY732" s="18">
        <v>0</v>
      </c>
      <c r="AZ732" s="18">
        <v>0</v>
      </c>
      <c r="BA732" s="18">
        <v>0</v>
      </c>
      <c r="BB732" s="18">
        <v>0</v>
      </c>
      <c r="BC732" s="18">
        <v>0</v>
      </c>
      <c r="BD732" s="18">
        <v>0</v>
      </c>
      <c r="BE732" s="18">
        <v>0</v>
      </c>
      <c r="BF732" s="18">
        <v>0</v>
      </c>
      <c r="BG732" s="18">
        <v>0</v>
      </c>
      <c r="BH732" s="18">
        <v>0</v>
      </c>
      <c r="BI732" s="18">
        <v>0</v>
      </c>
      <c r="BJ732" s="18">
        <v>0</v>
      </c>
      <c r="BK732" s="18">
        <v>0</v>
      </c>
      <c r="BL732" s="113">
        <v>2</v>
      </c>
      <c r="BM732" s="113">
        <v>3.5</v>
      </c>
      <c r="BN732" s="18">
        <v>0</v>
      </c>
      <c r="BO732" s="18">
        <v>0</v>
      </c>
      <c r="BP732" s="18">
        <v>0</v>
      </c>
      <c r="BQ732" s="18">
        <v>0</v>
      </c>
      <c r="BR732" s="101"/>
      <c r="BS732">
        <f t="shared" si="1456"/>
        <v>0</v>
      </c>
      <c r="BT732">
        <f t="shared" si="1456"/>
        <v>0</v>
      </c>
      <c r="BU732">
        <f t="shared" si="1456"/>
        <v>0</v>
      </c>
      <c r="BV732">
        <f t="shared" si="1456"/>
        <v>0</v>
      </c>
      <c r="BW732">
        <f t="shared" si="1456"/>
        <v>0</v>
      </c>
      <c r="BX732">
        <f t="shared" si="1456"/>
        <v>0</v>
      </c>
      <c r="BY732">
        <f t="shared" si="1456"/>
        <v>0</v>
      </c>
      <c r="BZ732">
        <f t="shared" si="1456"/>
        <v>0</v>
      </c>
      <c r="CA732">
        <f t="shared" si="1456"/>
        <v>0</v>
      </c>
      <c r="CB732">
        <f t="shared" si="1456"/>
        <v>0</v>
      </c>
      <c r="CC732">
        <f t="shared" si="1457"/>
        <v>0</v>
      </c>
      <c r="CD732">
        <f t="shared" si="1457"/>
        <v>0</v>
      </c>
      <c r="CE732">
        <f t="shared" si="1457"/>
        <v>0</v>
      </c>
      <c r="CF732">
        <f t="shared" si="1457"/>
        <v>0</v>
      </c>
      <c r="CG732">
        <f t="shared" si="1457"/>
        <v>0</v>
      </c>
      <c r="CH732">
        <f t="shared" si="1457"/>
        <v>0</v>
      </c>
      <c r="CI732">
        <f t="shared" si="1457"/>
        <v>0</v>
      </c>
      <c r="CJ732">
        <f t="shared" si="1457"/>
        <v>0</v>
      </c>
      <c r="CK732">
        <f t="shared" si="1457"/>
        <v>0</v>
      </c>
      <c r="CL732">
        <f t="shared" si="1457"/>
        <v>0</v>
      </c>
      <c r="CM732">
        <f t="shared" si="1458"/>
        <v>0</v>
      </c>
      <c r="CN732">
        <f t="shared" si="1458"/>
        <v>0</v>
      </c>
      <c r="CO732">
        <f t="shared" si="1458"/>
        <v>0</v>
      </c>
      <c r="CP732">
        <f t="shared" si="1458"/>
        <v>0</v>
      </c>
      <c r="CQ732">
        <f t="shared" si="1458"/>
        <v>0</v>
      </c>
      <c r="CR732">
        <f t="shared" si="1458"/>
        <v>0</v>
      </c>
      <c r="CS732">
        <f t="shared" si="1458"/>
        <v>0</v>
      </c>
      <c r="CT732">
        <f t="shared" si="1458"/>
        <v>0</v>
      </c>
      <c r="CU732">
        <f t="shared" si="1458"/>
        <v>0</v>
      </c>
      <c r="CV732">
        <f t="shared" si="1458"/>
        <v>0</v>
      </c>
      <c r="CW732">
        <f t="shared" si="1459"/>
        <v>0</v>
      </c>
      <c r="CX732">
        <f t="shared" si="1459"/>
        <v>0</v>
      </c>
      <c r="CY732">
        <f t="shared" si="1459"/>
        <v>0</v>
      </c>
      <c r="CZ732">
        <f t="shared" si="1459"/>
        <v>0</v>
      </c>
      <c r="DA732">
        <f t="shared" si="1459"/>
        <v>0</v>
      </c>
      <c r="DB732">
        <f t="shared" si="1459"/>
        <v>0</v>
      </c>
      <c r="DC732">
        <f t="shared" si="1459"/>
        <v>0</v>
      </c>
      <c r="DD732">
        <f t="shared" si="1459"/>
        <v>0</v>
      </c>
      <c r="DE732">
        <f t="shared" si="1459"/>
        <v>0</v>
      </c>
      <c r="DF732">
        <f t="shared" si="1459"/>
        <v>0</v>
      </c>
      <c r="DG732">
        <f t="shared" si="1460"/>
        <v>0</v>
      </c>
      <c r="DH732">
        <f t="shared" si="1460"/>
        <v>0</v>
      </c>
      <c r="DI732">
        <f t="shared" si="1460"/>
        <v>0</v>
      </c>
      <c r="DJ732">
        <f t="shared" si="1460"/>
        <v>0</v>
      </c>
      <c r="DK732">
        <f t="shared" si="1460"/>
        <v>0</v>
      </c>
      <c r="DL732">
        <f t="shared" si="1460"/>
        <v>0</v>
      </c>
      <c r="DM732">
        <f t="shared" si="1460"/>
        <v>0</v>
      </c>
      <c r="DN732">
        <f t="shared" si="1460"/>
        <v>0</v>
      </c>
      <c r="DO732">
        <f t="shared" si="1460"/>
        <v>0</v>
      </c>
      <c r="DP732">
        <f t="shared" si="1460"/>
        <v>0</v>
      </c>
      <c r="DQ732">
        <f t="shared" si="1461"/>
        <v>0</v>
      </c>
      <c r="DR732">
        <f t="shared" si="1452"/>
        <v>0</v>
      </c>
      <c r="DS732">
        <f t="shared" si="1462"/>
        <v>0</v>
      </c>
      <c r="DT732">
        <f t="shared" si="1462"/>
        <v>0</v>
      </c>
      <c r="DU732">
        <f t="shared" si="1462"/>
        <v>0</v>
      </c>
      <c r="DV732">
        <f t="shared" si="1462"/>
        <v>0</v>
      </c>
      <c r="DW732">
        <f t="shared" si="1462"/>
        <v>0</v>
      </c>
      <c r="DX732">
        <f t="shared" si="1462"/>
        <v>0</v>
      </c>
      <c r="DY732">
        <f t="shared" si="1462"/>
        <v>0</v>
      </c>
      <c r="DZ732">
        <f t="shared" si="1462"/>
        <v>0</v>
      </c>
      <c r="EA732">
        <f t="shared" si="1462"/>
        <v>0</v>
      </c>
      <c r="EB732">
        <f t="shared" si="1462"/>
        <v>0</v>
      </c>
      <c r="EC732">
        <f t="shared" si="1462"/>
        <v>0</v>
      </c>
      <c r="ED732">
        <f t="shared" si="1462"/>
        <v>0</v>
      </c>
      <c r="EE732">
        <f t="shared" si="1462"/>
        <v>0</v>
      </c>
      <c r="EF732">
        <f t="shared" si="1462"/>
        <v>0</v>
      </c>
    </row>
    <row r="733" spans="1:136" ht="15.5">
      <c r="A733" s="90"/>
      <c r="B733" s="19" t="s">
        <v>205</v>
      </c>
      <c r="C733" s="95"/>
      <c r="D733" s="22"/>
      <c r="E733" s="22"/>
      <c r="F733" s="22"/>
      <c r="G733" s="22"/>
      <c r="H733" s="22"/>
      <c r="I733" s="18">
        <v>0</v>
      </c>
      <c r="J733" s="18">
        <v>0</v>
      </c>
      <c r="K733" s="18">
        <v>0</v>
      </c>
      <c r="L733" s="18">
        <v>0</v>
      </c>
      <c r="M733" s="18">
        <v>0</v>
      </c>
      <c r="N733" s="18">
        <v>0</v>
      </c>
      <c r="O733" s="18">
        <v>0</v>
      </c>
      <c r="P733" s="18">
        <v>0</v>
      </c>
      <c r="Q733" s="18">
        <v>0</v>
      </c>
      <c r="R733" s="18">
        <v>0</v>
      </c>
      <c r="S733" s="18">
        <v>0</v>
      </c>
      <c r="T733" s="18">
        <v>0</v>
      </c>
      <c r="U733" s="18">
        <v>0</v>
      </c>
      <c r="V733" s="18">
        <v>0</v>
      </c>
      <c r="W733" s="18">
        <v>0</v>
      </c>
      <c r="X733" s="18">
        <v>0</v>
      </c>
      <c r="Y733" s="18">
        <v>0</v>
      </c>
      <c r="Z733" s="18">
        <v>0</v>
      </c>
      <c r="AA733" s="18">
        <v>0</v>
      </c>
      <c r="AB733" s="18">
        <v>0</v>
      </c>
      <c r="AC733" s="18">
        <v>0</v>
      </c>
      <c r="AD733" s="18">
        <v>0</v>
      </c>
      <c r="AE733" s="18">
        <v>0</v>
      </c>
      <c r="AF733" s="18">
        <v>0</v>
      </c>
      <c r="AG733" s="18">
        <v>0</v>
      </c>
      <c r="AH733" s="18">
        <v>0</v>
      </c>
      <c r="AI733" s="18">
        <v>0</v>
      </c>
      <c r="AJ733" s="18">
        <v>0</v>
      </c>
      <c r="AK733" s="18">
        <v>0</v>
      </c>
      <c r="AL733" s="18">
        <v>0</v>
      </c>
      <c r="AM733" s="18">
        <v>0</v>
      </c>
      <c r="AN733" s="18">
        <v>0</v>
      </c>
      <c r="AO733" s="18">
        <v>0</v>
      </c>
      <c r="AP733" s="18">
        <v>0</v>
      </c>
      <c r="AQ733" s="18">
        <v>0</v>
      </c>
      <c r="AR733" s="18">
        <v>0</v>
      </c>
      <c r="AS733" s="18">
        <v>0</v>
      </c>
      <c r="AT733" s="18">
        <v>0</v>
      </c>
      <c r="AU733" s="18">
        <v>0.5134708</v>
      </c>
      <c r="AV733" s="18">
        <v>0</v>
      </c>
      <c r="AW733" s="18">
        <v>0</v>
      </c>
      <c r="AX733" s="18">
        <v>0</v>
      </c>
      <c r="AY733" s="18">
        <v>0</v>
      </c>
      <c r="AZ733" s="18">
        <v>0</v>
      </c>
      <c r="BA733" s="18">
        <v>0</v>
      </c>
      <c r="BB733" s="18">
        <v>0</v>
      </c>
      <c r="BC733" s="18">
        <v>0</v>
      </c>
      <c r="BD733" s="18">
        <v>0</v>
      </c>
      <c r="BE733" s="18">
        <v>0</v>
      </c>
      <c r="BF733" s="18">
        <v>0</v>
      </c>
      <c r="BG733" s="18">
        <v>0</v>
      </c>
      <c r="BH733" s="18">
        <v>0</v>
      </c>
      <c r="BI733" s="18">
        <v>0</v>
      </c>
      <c r="BJ733" s="18">
        <v>0</v>
      </c>
      <c r="BK733" s="18">
        <v>0</v>
      </c>
      <c r="BL733" s="113">
        <v>13</v>
      </c>
      <c r="BM733" s="113">
        <v>33</v>
      </c>
      <c r="BN733" s="18">
        <v>0</v>
      </c>
      <c r="BO733" s="18">
        <v>0</v>
      </c>
      <c r="BP733" s="18">
        <v>0</v>
      </c>
      <c r="BQ733" s="18">
        <v>0</v>
      </c>
      <c r="BR733" s="101"/>
      <c r="BS733">
        <f t="shared" si="1456"/>
        <v>0</v>
      </c>
      <c r="BT733">
        <f t="shared" si="1456"/>
        <v>0</v>
      </c>
      <c r="BU733">
        <f t="shared" si="1456"/>
        <v>0</v>
      </c>
      <c r="BV733">
        <f t="shared" si="1456"/>
        <v>0</v>
      </c>
      <c r="BW733">
        <f t="shared" si="1456"/>
        <v>0</v>
      </c>
      <c r="BX733">
        <f t="shared" si="1456"/>
        <v>0</v>
      </c>
      <c r="BY733">
        <f t="shared" si="1456"/>
        <v>0</v>
      </c>
      <c r="BZ733">
        <f t="shared" si="1456"/>
        <v>0</v>
      </c>
      <c r="CA733">
        <f t="shared" si="1456"/>
        <v>0</v>
      </c>
      <c r="CB733">
        <f t="shared" si="1456"/>
        <v>0</v>
      </c>
      <c r="CC733">
        <f t="shared" si="1457"/>
        <v>0</v>
      </c>
      <c r="CD733">
        <f t="shared" si="1457"/>
        <v>0</v>
      </c>
      <c r="CE733">
        <f t="shared" si="1457"/>
        <v>0</v>
      </c>
      <c r="CF733">
        <f t="shared" si="1457"/>
        <v>0</v>
      </c>
      <c r="CG733">
        <f t="shared" si="1457"/>
        <v>0</v>
      </c>
      <c r="CH733">
        <f t="shared" si="1457"/>
        <v>0</v>
      </c>
      <c r="CI733">
        <f t="shared" si="1457"/>
        <v>0</v>
      </c>
      <c r="CJ733">
        <f t="shared" si="1457"/>
        <v>0</v>
      </c>
      <c r="CK733">
        <f t="shared" si="1457"/>
        <v>0</v>
      </c>
      <c r="CL733">
        <f t="shared" si="1457"/>
        <v>0</v>
      </c>
      <c r="CM733">
        <f t="shared" si="1458"/>
        <v>0</v>
      </c>
      <c r="CN733">
        <f t="shared" si="1458"/>
        <v>0</v>
      </c>
      <c r="CO733">
        <f t="shared" si="1458"/>
        <v>0</v>
      </c>
      <c r="CP733">
        <f t="shared" si="1458"/>
        <v>0</v>
      </c>
      <c r="CQ733">
        <f t="shared" si="1458"/>
        <v>0</v>
      </c>
      <c r="CR733">
        <f t="shared" si="1458"/>
        <v>0</v>
      </c>
      <c r="CS733">
        <f t="shared" si="1458"/>
        <v>0</v>
      </c>
      <c r="CT733">
        <f t="shared" si="1458"/>
        <v>0</v>
      </c>
      <c r="CU733">
        <f t="shared" si="1458"/>
        <v>0</v>
      </c>
      <c r="CV733">
        <f t="shared" si="1458"/>
        <v>0</v>
      </c>
      <c r="CW733">
        <f t="shared" si="1459"/>
        <v>0</v>
      </c>
      <c r="CX733">
        <f t="shared" si="1459"/>
        <v>0</v>
      </c>
      <c r="CY733">
        <f t="shared" si="1459"/>
        <v>0</v>
      </c>
      <c r="CZ733">
        <f t="shared" si="1459"/>
        <v>0</v>
      </c>
      <c r="DA733">
        <f t="shared" si="1459"/>
        <v>0</v>
      </c>
      <c r="DB733">
        <f t="shared" si="1459"/>
        <v>0</v>
      </c>
      <c r="DC733">
        <f t="shared" si="1459"/>
        <v>0</v>
      </c>
      <c r="DD733">
        <f t="shared" si="1459"/>
        <v>0</v>
      </c>
      <c r="DE733">
        <f t="shared" si="1459"/>
        <v>0</v>
      </c>
      <c r="DF733">
        <f t="shared" si="1459"/>
        <v>0</v>
      </c>
      <c r="DG733">
        <f t="shared" si="1460"/>
        <v>0</v>
      </c>
      <c r="DH733">
        <f t="shared" si="1460"/>
        <v>0</v>
      </c>
      <c r="DI733">
        <f t="shared" si="1460"/>
        <v>0</v>
      </c>
      <c r="DJ733">
        <f t="shared" si="1460"/>
        <v>0</v>
      </c>
      <c r="DK733">
        <f t="shared" si="1460"/>
        <v>0</v>
      </c>
      <c r="DL733">
        <f t="shared" si="1460"/>
        <v>0</v>
      </c>
      <c r="DM733">
        <f t="shared" si="1460"/>
        <v>0</v>
      </c>
      <c r="DN733">
        <f t="shared" si="1460"/>
        <v>0</v>
      </c>
      <c r="DO733">
        <f t="shared" si="1460"/>
        <v>0</v>
      </c>
      <c r="DP733">
        <f t="shared" si="1460"/>
        <v>0</v>
      </c>
      <c r="DQ733">
        <f t="shared" si="1461"/>
        <v>0</v>
      </c>
      <c r="DR733">
        <f t="shared" si="1452"/>
        <v>0</v>
      </c>
      <c r="DS733">
        <f t="shared" si="1462"/>
        <v>0</v>
      </c>
      <c r="DT733">
        <f t="shared" si="1462"/>
        <v>0</v>
      </c>
      <c r="DU733">
        <f t="shared" si="1462"/>
        <v>0</v>
      </c>
      <c r="DV733">
        <f t="shared" si="1462"/>
        <v>0</v>
      </c>
      <c r="DW733">
        <f t="shared" si="1462"/>
        <v>0</v>
      </c>
      <c r="DX733">
        <f t="shared" si="1462"/>
        <v>0</v>
      </c>
      <c r="DY733">
        <f t="shared" si="1462"/>
        <v>0</v>
      </c>
      <c r="DZ733">
        <f t="shared" si="1462"/>
        <v>0</v>
      </c>
      <c r="EA733">
        <f t="shared" si="1462"/>
        <v>0</v>
      </c>
      <c r="EB733">
        <f t="shared" si="1462"/>
        <v>0</v>
      </c>
      <c r="EC733">
        <f t="shared" si="1462"/>
        <v>0</v>
      </c>
      <c r="ED733">
        <f t="shared" si="1462"/>
        <v>0</v>
      </c>
      <c r="EE733">
        <f t="shared" si="1462"/>
        <v>0</v>
      </c>
      <c r="EF733">
        <f t="shared" si="1462"/>
        <v>0</v>
      </c>
    </row>
    <row r="734" spans="1:136" ht="15.5">
      <c r="A734" s="90"/>
      <c r="B734" s="57" t="s">
        <v>3</v>
      </c>
      <c r="C734" s="94"/>
      <c r="D734" s="18"/>
      <c r="E734" s="18"/>
      <c r="F734" s="18"/>
      <c r="G734" s="18"/>
      <c r="H734" s="18"/>
      <c r="I734" s="18">
        <v>0</v>
      </c>
      <c r="J734" s="18">
        <v>0</v>
      </c>
      <c r="K734" s="18">
        <v>0</v>
      </c>
      <c r="L734" s="18">
        <v>0</v>
      </c>
      <c r="M734" s="18">
        <v>0</v>
      </c>
      <c r="N734" s="18">
        <v>0</v>
      </c>
      <c r="O734" s="18">
        <v>0</v>
      </c>
      <c r="P734" s="18">
        <v>0</v>
      </c>
      <c r="Q734" s="18">
        <v>0</v>
      </c>
      <c r="R734" s="18">
        <v>0</v>
      </c>
      <c r="S734" s="18">
        <v>0</v>
      </c>
      <c r="T734" s="18">
        <v>0</v>
      </c>
      <c r="U734" s="18">
        <v>0</v>
      </c>
      <c r="V734" s="18">
        <v>1.10376E-2</v>
      </c>
      <c r="W734" s="18">
        <v>1.5554399999999999E-2</v>
      </c>
      <c r="X734" s="18">
        <v>0</v>
      </c>
      <c r="Y734" s="18">
        <v>0</v>
      </c>
      <c r="Z734" s="18">
        <v>0</v>
      </c>
      <c r="AA734" s="18">
        <v>0</v>
      </c>
      <c r="AB734" s="18">
        <v>0</v>
      </c>
      <c r="AC734" s="18">
        <v>0</v>
      </c>
      <c r="AD734" s="18">
        <v>0</v>
      </c>
      <c r="AE734" s="18">
        <v>0</v>
      </c>
      <c r="AF734" s="18">
        <v>0</v>
      </c>
      <c r="AG734" s="18">
        <v>0</v>
      </c>
      <c r="AH734" s="18">
        <v>0</v>
      </c>
      <c r="AI734" s="18">
        <v>0</v>
      </c>
      <c r="AJ734" s="18">
        <v>0</v>
      </c>
      <c r="AK734" s="18">
        <v>0</v>
      </c>
      <c r="AL734" s="18">
        <v>0</v>
      </c>
      <c r="AM734" s="18">
        <v>0</v>
      </c>
      <c r="AN734" s="18">
        <v>0</v>
      </c>
      <c r="AO734" s="18">
        <v>0</v>
      </c>
      <c r="AP734" s="18">
        <v>0</v>
      </c>
      <c r="AQ734" s="18">
        <v>0</v>
      </c>
      <c r="AR734" s="18">
        <v>0</v>
      </c>
      <c r="AS734" s="18">
        <v>0</v>
      </c>
      <c r="AT734" s="18">
        <v>0</v>
      </c>
      <c r="AU734" s="18">
        <v>9.0612499999999999E-2</v>
      </c>
      <c r="AV734" s="18">
        <v>0.54629749999999999</v>
      </c>
      <c r="AW734" s="18">
        <v>0.1620248</v>
      </c>
      <c r="AX734" s="18">
        <v>0.1759713</v>
      </c>
      <c r="AY734" s="18">
        <v>2.3793E-3</v>
      </c>
      <c r="AZ734" s="18">
        <v>7.7689180000000002</v>
      </c>
      <c r="BA734" s="18">
        <v>9.4858339000000012</v>
      </c>
      <c r="BB734" s="18">
        <v>3.9672702000000002</v>
      </c>
      <c r="BC734" s="18">
        <v>6.3636428000000009</v>
      </c>
      <c r="BD734" s="18">
        <v>5.2047712000000006</v>
      </c>
      <c r="BE734" s="25">
        <v>12.260463300000001</v>
      </c>
      <c r="BF734" s="18">
        <v>7.7707823000000005</v>
      </c>
      <c r="BG734" s="18">
        <v>2.1629002000000002</v>
      </c>
      <c r="BH734" s="18">
        <v>1.283706</v>
      </c>
      <c r="BI734" s="18">
        <v>0.46606579999999997</v>
      </c>
      <c r="BJ734" s="18">
        <v>0.9831046</v>
      </c>
      <c r="BK734" s="34">
        <v>6.9261846000000009</v>
      </c>
      <c r="BL734" s="113">
        <v>68.846598700000001</v>
      </c>
      <c r="BM734" s="113">
        <f>123.2280724-BM733-BM732</f>
        <v>86.728072400000002</v>
      </c>
      <c r="BN734" s="18">
        <v>0</v>
      </c>
      <c r="BO734" s="113">
        <v>0</v>
      </c>
      <c r="BP734" s="113">
        <v>0</v>
      </c>
      <c r="BQ734" s="113">
        <v>0</v>
      </c>
      <c r="BR734" s="101"/>
      <c r="BS734">
        <f t="shared" si="1456"/>
        <v>0</v>
      </c>
      <c r="BT734">
        <f t="shared" si="1456"/>
        <v>0</v>
      </c>
      <c r="BU734">
        <f t="shared" si="1456"/>
        <v>0</v>
      </c>
      <c r="BV734">
        <f t="shared" si="1456"/>
        <v>0</v>
      </c>
      <c r="BW734">
        <f t="shared" si="1456"/>
        <v>0</v>
      </c>
      <c r="BX734">
        <f t="shared" si="1456"/>
        <v>0</v>
      </c>
      <c r="BY734">
        <f t="shared" si="1456"/>
        <v>0</v>
      </c>
      <c r="BZ734">
        <f t="shared" si="1456"/>
        <v>0</v>
      </c>
      <c r="CA734">
        <f t="shared" si="1456"/>
        <v>0</v>
      </c>
      <c r="CB734">
        <f t="shared" si="1456"/>
        <v>0</v>
      </c>
      <c r="CC734">
        <f t="shared" si="1457"/>
        <v>0</v>
      </c>
      <c r="CD734">
        <f t="shared" si="1457"/>
        <v>0</v>
      </c>
      <c r="CE734">
        <f t="shared" si="1457"/>
        <v>0</v>
      </c>
      <c r="CF734">
        <f t="shared" si="1457"/>
        <v>0</v>
      </c>
      <c r="CG734">
        <f t="shared" si="1457"/>
        <v>0</v>
      </c>
      <c r="CH734">
        <f t="shared" si="1457"/>
        <v>0</v>
      </c>
      <c r="CI734">
        <f t="shared" si="1457"/>
        <v>0</v>
      </c>
      <c r="CJ734">
        <f t="shared" si="1457"/>
        <v>0</v>
      </c>
      <c r="CK734">
        <f t="shared" si="1457"/>
        <v>0</v>
      </c>
      <c r="CL734">
        <f t="shared" si="1457"/>
        <v>0</v>
      </c>
      <c r="CM734">
        <f t="shared" si="1458"/>
        <v>0</v>
      </c>
      <c r="CN734">
        <f t="shared" si="1458"/>
        <v>0</v>
      </c>
      <c r="CO734">
        <f t="shared" si="1458"/>
        <v>0</v>
      </c>
      <c r="CP734">
        <f t="shared" si="1458"/>
        <v>0</v>
      </c>
      <c r="CQ734">
        <f t="shared" si="1458"/>
        <v>0</v>
      </c>
      <c r="CR734">
        <f t="shared" si="1458"/>
        <v>0</v>
      </c>
      <c r="CS734">
        <f t="shared" si="1458"/>
        <v>0</v>
      </c>
      <c r="CT734">
        <f t="shared" si="1458"/>
        <v>0</v>
      </c>
      <c r="CU734">
        <f t="shared" si="1458"/>
        <v>0</v>
      </c>
      <c r="CV734">
        <f t="shared" si="1458"/>
        <v>0</v>
      </c>
      <c r="CW734">
        <f t="shared" si="1459"/>
        <v>0</v>
      </c>
      <c r="CX734">
        <f t="shared" si="1459"/>
        <v>0</v>
      </c>
      <c r="CY734">
        <f t="shared" si="1459"/>
        <v>0</v>
      </c>
      <c r="CZ734">
        <f t="shared" si="1459"/>
        <v>0</v>
      </c>
      <c r="DA734">
        <f t="shared" si="1459"/>
        <v>0</v>
      </c>
      <c r="DB734">
        <f t="shared" si="1459"/>
        <v>0</v>
      </c>
      <c r="DC734">
        <f t="shared" si="1459"/>
        <v>0</v>
      </c>
      <c r="DD734">
        <f t="shared" si="1459"/>
        <v>0</v>
      </c>
      <c r="DE734">
        <f t="shared" si="1459"/>
        <v>0</v>
      </c>
      <c r="DF734">
        <f t="shared" si="1459"/>
        <v>0</v>
      </c>
      <c r="DG734">
        <f t="shared" si="1460"/>
        <v>0</v>
      </c>
      <c r="DH734">
        <f t="shared" si="1460"/>
        <v>0</v>
      </c>
      <c r="DI734">
        <f t="shared" si="1460"/>
        <v>0</v>
      </c>
      <c r="DJ734">
        <f t="shared" si="1460"/>
        <v>0</v>
      </c>
      <c r="DK734">
        <f t="shared" si="1460"/>
        <v>0</v>
      </c>
      <c r="DL734">
        <f t="shared" si="1460"/>
        <v>0</v>
      </c>
      <c r="DM734">
        <f t="shared" si="1460"/>
        <v>0</v>
      </c>
      <c r="DN734">
        <f t="shared" si="1460"/>
        <v>0</v>
      </c>
      <c r="DO734">
        <f t="shared" si="1460"/>
        <v>0</v>
      </c>
      <c r="DP734">
        <f t="shared" si="1460"/>
        <v>0</v>
      </c>
      <c r="DQ734">
        <f t="shared" si="1461"/>
        <v>0</v>
      </c>
      <c r="DR734">
        <f t="shared" si="1452"/>
        <v>0</v>
      </c>
      <c r="DS734">
        <f t="shared" si="1462"/>
        <v>0</v>
      </c>
      <c r="DT734">
        <f t="shared" si="1462"/>
        <v>0</v>
      </c>
      <c r="DU734">
        <f t="shared" si="1462"/>
        <v>0</v>
      </c>
      <c r="DV734">
        <f t="shared" si="1462"/>
        <v>0</v>
      </c>
      <c r="DW734">
        <f t="shared" si="1462"/>
        <v>0</v>
      </c>
      <c r="DX734">
        <f t="shared" si="1462"/>
        <v>0</v>
      </c>
      <c r="DY734">
        <f t="shared" si="1462"/>
        <v>0</v>
      </c>
      <c r="DZ734">
        <f t="shared" si="1462"/>
        <v>0</v>
      </c>
      <c r="EA734">
        <f t="shared" si="1462"/>
        <v>0</v>
      </c>
      <c r="EB734">
        <f t="shared" si="1462"/>
        <v>0</v>
      </c>
      <c r="EC734">
        <f t="shared" si="1462"/>
        <v>0</v>
      </c>
      <c r="ED734">
        <f t="shared" si="1462"/>
        <v>0</v>
      </c>
      <c r="EE734">
        <f t="shared" si="1462"/>
        <v>0</v>
      </c>
      <c r="EF734">
        <f t="shared" si="1462"/>
        <v>0</v>
      </c>
    </row>
    <row r="735" spans="1:136" ht="15.5">
      <c r="A735" s="90"/>
      <c r="B735" s="19" t="s">
        <v>208</v>
      </c>
      <c r="C735" s="94"/>
      <c r="D735" s="18"/>
      <c r="E735" s="18"/>
      <c r="F735" s="18"/>
      <c r="G735" s="18"/>
      <c r="H735" s="18"/>
      <c r="I735" s="18">
        <v>0</v>
      </c>
      <c r="J735" s="18">
        <v>0</v>
      </c>
      <c r="K735" s="18">
        <v>0</v>
      </c>
      <c r="L735" s="18">
        <v>0</v>
      </c>
      <c r="M735" s="18">
        <v>0</v>
      </c>
      <c r="N735" s="18">
        <v>0</v>
      </c>
      <c r="O735" s="18">
        <v>0</v>
      </c>
      <c r="P735" s="18">
        <v>0</v>
      </c>
      <c r="Q735" s="18">
        <v>0</v>
      </c>
      <c r="R735" s="18">
        <v>0</v>
      </c>
      <c r="S735" s="18">
        <v>0</v>
      </c>
      <c r="T735" s="18">
        <v>0</v>
      </c>
      <c r="U735" s="18">
        <v>0</v>
      </c>
      <c r="V735" s="18">
        <v>0</v>
      </c>
      <c r="W735" s="18">
        <v>0</v>
      </c>
      <c r="X735" s="18">
        <v>0</v>
      </c>
      <c r="Y735" s="18">
        <v>0</v>
      </c>
      <c r="Z735" s="18">
        <v>0</v>
      </c>
      <c r="AA735" s="18">
        <v>0</v>
      </c>
      <c r="AB735" s="18">
        <v>0</v>
      </c>
      <c r="AC735" s="18">
        <v>0</v>
      </c>
      <c r="AD735" s="18">
        <v>0</v>
      </c>
      <c r="AE735" s="18">
        <v>0</v>
      </c>
      <c r="AF735" s="18">
        <v>0</v>
      </c>
      <c r="AG735" s="18">
        <v>0</v>
      </c>
      <c r="AH735" s="18">
        <v>0</v>
      </c>
      <c r="AI735" s="18">
        <v>0</v>
      </c>
      <c r="AJ735" s="18">
        <v>0</v>
      </c>
      <c r="AK735" s="18">
        <v>0</v>
      </c>
      <c r="AL735" s="18">
        <v>0</v>
      </c>
      <c r="AM735" s="18">
        <v>0</v>
      </c>
      <c r="AN735" s="18">
        <v>0</v>
      </c>
      <c r="AO735" s="18">
        <v>0</v>
      </c>
      <c r="AP735" s="18">
        <v>0</v>
      </c>
      <c r="AQ735" s="18">
        <v>0</v>
      </c>
      <c r="AR735" s="18">
        <v>0</v>
      </c>
      <c r="AS735" s="18">
        <v>0</v>
      </c>
      <c r="AT735" s="18">
        <v>0</v>
      </c>
      <c r="AU735" s="18">
        <v>0</v>
      </c>
      <c r="AV735" s="18">
        <v>0</v>
      </c>
      <c r="AW735" s="18">
        <v>0.14575470000000001</v>
      </c>
      <c r="AX735" s="18">
        <v>2.5999999999999999E-2</v>
      </c>
      <c r="AY735" s="18">
        <v>8.0000000000000007E-7</v>
      </c>
      <c r="AZ735" s="18">
        <v>2.4380032000000003</v>
      </c>
      <c r="BA735" s="18">
        <v>0.28686200000000001</v>
      </c>
      <c r="BB735" s="18">
        <v>1.1527349</v>
      </c>
      <c r="BC735" s="18">
        <v>8.8174699999999995E-2</v>
      </c>
      <c r="BD735" s="31">
        <v>1.4156198999999998</v>
      </c>
      <c r="BE735" s="55">
        <v>3.4613508999999998</v>
      </c>
      <c r="BF735" s="18">
        <v>1.7920116000000001</v>
      </c>
      <c r="BG735" s="18">
        <v>1.1300706</v>
      </c>
      <c r="BH735" s="18">
        <v>0.47856140000000003</v>
      </c>
      <c r="BI735" s="103">
        <v>4.67727E-2</v>
      </c>
      <c r="BJ735" s="113">
        <v>0.63890999999999998</v>
      </c>
      <c r="BK735" s="34">
        <v>7.1436989999999998</v>
      </c>
      <c r="BL735" s="113">
        <v>13.583233400000001</v>
      </c>
      <c r="BM735" s="113">
        <v>34.087000000000003</v>
      </c>
      <c r="BN735" s="18">
        <v>0</v>
      </c>
      <c r="BO735" s="18">
        <v>0</v>
      </c>
      <c r="BP735" s="18">
        <v>0</v>
      </c>
      <c r="BQ735" s="18">
        <v>0</v>
      </c>
      <c r="BR735" s="101"/>
      <c r="BS735">
        <f t="shared" si="1456"/>
        <v>0</v>
      </c>
      <c r="BT735">
        <f t="shared" si="1456"/>
        <v>0</v>
      </c>
      <c r="BU735">
        <f t="shared" si="1456"/>
        <v>0</v>
      </c>
      <c r="BV735">
        <f t="shared" si="1456"/>
        <v>0</v>
      </c>
      <c r="BW735">
        <f t="shared" si="1456"/>
        <v>0</v>
      </c>
      <c r="BX735">
        <f t="shared" si="1456"/>
        <v>0</v>
      </c>
      <c r="BY735">
        <f t="shared" si="1456"/>
        <v>0</v>
      </c>
      <c r="BZ735">
        <f t="shared" si="1456"/>
        <v>0</v>
      </c>
      <c r="CA735">
        <f t="shared" si="1456"/>
        <v>0</v>
      </c>
      <c r="CB735">
        <f t="shared" si="1456"/>
        <v>0</v>
      </c>
      <c r="CC735">
        <f t="shared" si="1457"/>
        <v>0</v>
      </c>
      <c r="CD735">
        <f t="shared" si="1457"/>
        <v>0</v>
      </c>
      <c r="CE735">
        <f t="shared" si="1457"/>
        <v>0</v>
      </c>
      <c r="CF735">
        <f t="shared" si="1457"/>
        <v>0</v>
      </c>
      <c r="CG735">
        <f t="shared" si="1457"/>
        <v>0</v>
      </c>
      <c r="CH735">
        <f t="shared" si="1457"/>
        <v>0</v>
      </c>
      <c r="CI735">
        <f t="shared" si="1457"/>
        <v>0</v>
      </c>
      <c r="CJ735">
        <f t="shared" si="1457"/>
        <v>0</v>
      </c>
      <c r="CK735">
        <f t="shared" si="1457"/>
        <v>0</v>
      </c>
      <c r="CL735">
        <f t="shared" si="1457"/>
        <v>0</v>
      </c>
      <c r="CM735">
        <f t="shared" si="1458"/>
        <v>0</v>
      </c>
      <c r="CN735">
        <f t="shared" si="1458"/>
        <v>0</v>
      </c>
      <c r="CO735">
        <f t="shared" si="1458"/>
        <v>0</v>
      </c>
      <c r="CP735">
        <f t="shared" si="1458"/>
        <v>0</v>
      </c>
      <c r="CQ735">
        <f t="shared" si="1458"/>
        <v>0</v>
      </c>
      <c r="CR735">
        <f t="shared" si="1458"/>
        <v>0</v>
      </c>
      <c r="CS735">
        <f t="shared" si="1458"/>
        <v>0</v>
      </c>
      <c r="CT735">
        <f t="shared" si="1458"/>
        <v>0</v>
      </c>
      <c r="CU735">
        <f t="shared" si="1458"/>
        <v>0</v>
      </c>
      <c r="CV735">
        <f t="shared" si="1458"/>
        <v>0</v>
      </c>
      <c r="CW735">
        <f t="shared" si="1459"/>
        <v>0</v>
      </c>
      <c r="CX735">
        <f t="shared" si="1459"/>
        <v>0</v>
      </c>
      <c r="CY735">
        <f t="shared" si="1459"/>
        <v>0</v>
      </c>
      <c r="CZ735">
        <f t="shared" si="1459"/>
        <v>0</v>
      </c>
      <c r="DA735">
        <f t="shared" si="1459"/>
        <v>0</v>
      </c>
      <c r="DB735">
        <f t="shared" si="1459"/>
        <v>0</v>
      </c>
      <c r="DC735">
        <f t="shared" si="1459"/>
        <v>0</v>
      </c>
      <c r="DD735">
        <f t="shared" si="1459"/>
        <v>0</v>
      </c>
      <c r="DE735">
        <f t="shared" si="1459"/>
        <v>0</v>
      </c>
      <c r="DF735">
        <f t="shared" si="1459"/>
        <v>0</v>
      </c>
      <c r="DG735">
        <f t="shared" si="1460"/>
        <v>0</v>
      </c>
      <c r="DH735">
        <f t="shared" si="1460"/>
        <v>0</v>
      </c>
      <c r="DI735">
        <f t="shared" si="1460"/>
        <v>0</v>
      </c>
      <c r="DJ735">
        <f t="shared" si="1460"/>
        <v>0</v>
      </c>
      <c r="DK735">
        <f t="shared" si="1460"/>
        <v>0</v>
      </c>
      <c r="DL735">
        <f t="shared" si="1460"/>
        <v>0</v>
      </c>
      <c r="DM735">
        <f t="shared" si="1460"/>
        <v>0</v>
      </c>
      <c r="DN735">
        <f t="shared" si="1460"/>
        <v>0</v>
      </c>
      <c r="DO735">
        <f t="shared" si="1460"/>
        <v>0</v>
      </c>
      <c r="DP735">
        <f t="shared" si="1460"/>
        <v>0</v>
      </c>
      <c r="DQ735">
        <f t="shared" si="1461"/>
        <v>0</v>
      </c>
      <c r="DR735">
        <f t="shared" si="1452"/>
        <v>0</v>
      </c>
      <c r="DS735">
        <f t="shared" si="1462"/>
        <v>0</v>
      </c>
      <c r="DT735">
        <f t="shared" si="1462"/>
        <v>0</v>
      </c>
      <c r="DU735">
        <f t="shared" si="1462"/>
        <v>0</v>
      </c>
      <c r="DV735">
        <f t="shared" si="1462"/>
        <v>0</v>
      </c>
      <c r="DW735">
        <f t="shared" si="1462"/>
        <v>0</v>
      </c>
      <c r="DX735">
        <f t="shared" si="1462"/>
        <v>0</v>
      </c>
      <c r="DY735">
        <f t="shared" si="1462"/>
        <v>0</v>
      </c>
      <c r="DZ735">
        <f t="shared" si="1462"/>
        <v>0</v>
      </c>
      <c r="EA735">
        <f t="shared" si="1462"/>
        <v>0</v>
      </c>
      <c r="EB735">
        <f t="shared" si="1462"/>
        <v>0</v>
      </c>
      <c r="EC735">
        <f t="shared" si="1462"/>
        <v>0</v>
      </c>
      <c r="ED735">
        <f t="shared" si="1462"/>
        <v>0</v>
      </c>
      <c r="EE735">
        <f t="shared" si="1462"/>
        <v>0</v>
      </c>
      <c r="EF735">
        <f t="shared" si="1462"/>
        <v>0</v>
      </c>
    </row>
    <row r="736" spans="1:136" ht="15.5">
      <c r="A736" s="90"/>
      <c r="B736" s="53" t="s">
        <v>212</v>
      </c>
      <c r="C736" s="94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>
        <v>0</v>
      </c>
      <c r="AI736" s="18">
        <v>0</v>
      </c>
      <c r="AJ736" s="18">
        <v>0</v>
      </c>
      <c r="AK736" s="18">
        <v>0</v>
      </c>
      <c r="AL736" s="18">
        <v>0</v>
      </c>
      <c r="AM736" s="18">
        <v>0</v>
      </c>
      <c r="AN736" s="18">
        <v>0</v>
      </c>
      <c r="AO736" s="18">
        <v>0</v>
      </c>
      <c r="AP736" s="18">
        <v>0</v>
      </c>
      <c r="AQ736" s="18">
        <v>0</v>
      </c>
      <c r="AR736" s="18">
        <v>0</v>
      </c>
      <c r="AS736" s="18">
        <v>0</v>
      </c>
      <c r="AT736" s="18">
        <v>0</v>
      </c>
      <c r="AU736" s="18">
        <v>0</v>
      </c>
      <c r="AV736" s="18">
        <v>0</v>
      </c>
      <c r="AW736" s="18">
        <v>0</v>
      </c>
      <c r="AX736" s="18">
        <v>0</v>
      </c>
      <c r="AY736" s="18">
        <v>0</v>
      </c>
      <c r="AZ736" s="18">
        <v>0</v>
      </c>
      <c r="BA736" s="18">
        <v>0</v>
      </c>
      <c r="BB736" s="18">
        <v>0</v>
      </c>
      <c r="BC736" s="18">
        <v>0</v>
      </c>
      <c r="BD736" s="18">
        <v>75</v>
      </c>
      <c r="BE736" s="158">
        <f>(0.052*41569)/15.26</f>
        <v>141.65058977719528</v>
      </c>
      <c r="BF736" s="147">
        <f>(0.06*43971)/15.01</f>
        <v>175.76682211858758</v>
      </c>
      <c r="BG736" s="147">
        <f>2100/14.95</f>
        <v>140.46822742474916</v>
      </c>
      <c r="BH736" s="147">
        <f>(0.025*65310)/15.08</f>
        <v>108.27254641909815</v>
      </c>
      <c r="BI736" s="34">
        <f>1100/15.2</f>
        <v>72.368421052631589</v>
      </c>
      <c r="BJ736" s="34">
        <f>633/15.15</f>
        <v>41.78217821782178</v>
      </c>
      <c r="BK736" s="113">
        <f>(0.07* 27342)/15.2</f>
        <v>125.91710526315792</v>
      </c>
      <c r="BL736" s="18">
        <v>51.973684210526315</v>
      </c>
      <c r="BM736" s="18">
        <v>51.298701298701296</v>
      </c>
      <c r="BN736" s="113">
        <v>50.967741935483872</v>
      </c>
      <c r="BO736" s="113">
        <v>51.298701298701296</v>
      </c>
      <c r="BP736" s="113">
        <v>51</v>
      </c>
      <c r="BQ736" s="113">
        <v>51</v>
      </c>
      <c r="BR736" s="101"/>
      <c r="BS736">
        <f t="shared" si="1456"/>
        <v>0</v>
      </c>
      <c r="BT736">
        <f t="shared" si="1456"/>
        <v>0</v>
      </c>
      <c r="BU736">
        <f t="shared" si="1456"/>
        <v>0</v>
      </c>
      <c r="BV736">
        <f t="shared" si="1456"/>
        <v>0</v>
      </c>
      <c r="BW736">
        <f t="shared" si="1456"/>
        <v>0</v>
      </c>
      <c r="BX736">
        <f t="shared" si="1456"/>
        <v>0</v>
      </c>
      <c r="BY736">
        <f t="shared" si="1456"/>
        <v>0</v>
      </c>
      <c r="BZ736">
        <f t="shared" si="1456"/>
        <v>0</v>
      </c>
      <c r="CA736">
        <f t="shared" si="1456"/>
        <v>0</v>
      </c>
      <c r="CB736">
        <f t="shared" si="1456"/>
        <v>0</v>
      </c>
      <c r="CC736">
        <f t="shared" si="1457"/>
        <v>0</v>
      </c>
      <c r="CD736">
        <f t="shared" si="1457"/>
        <v>0</v>
      </c>
      <c r="CE736">
        <f t="shared" si="1457"/>
        <v>0</v>
      </c>
      <c r="CF736">
        <f t="shared" si="1457"/>
        <v>0</v>
      </c>
      <c r="CG736">
        <f t="shared" si="1457"/>
        <v>0</v>
      </c>
      <c r="CH736">
        <f t="shared" si="1457"/>
        <v>0</v>
      </c>
      <c r="CI736">
        <f t="shared" si="1457"/>
        <v>0</v>
      </c>
      <c r="CJ736">
        <f t="shared" si="1457"/>
        <v>0</v>
      </c>
      <c r="CK736">
        <f t="shared" si="1457"/>
        <v>0</v>
      </c>
      <c r="CL736">
        <f t="shared" si="1457"/>
        <v>0</v>
      </c>
      <c r="CM736">
        <f t="shared" si="1458"/>
        <v>0</v>
      </c>
      <c r="CN736">
        <f t="shared" si="1458"/>
        <v>0</v>
      </c>
      <c r="CO736">
        <f t="shared" si="1458"/>
        <v>0</v>
      </c>
      <c r="CP736">
        <f t="shared" si="1458"/>
        <v>0</v>
      </c>
      <c r="CQ736">
        <f t="shared" si="1458"/>
        <v>0</v>
      </c>
      <c r="CR736">
        <f t="shared" si="1458"/>
        <v>0</v>
      </c>
      <c r="CS736">
        <f t="shared" si="1458"/>
        <v>0</v>
      </c>
      <c r="CT736">
        <f t="shared" si="1458"/>
        <v>0</v>
      </c>
      <c r="CU736">
        <f t="shared" si="1458"/>
        <v>0</v>
      </c>
      <c r="CV736">
        <f t="shared" si="1458"/>
        <v>0</v>
      </c>
      <c r="CW736">
        <f t="shared" si="1459"/>
        <v>0</v>
      </c>
      <c r="CX736">
        <f t="shared" si="1459"/>
        <v>0</v>
      </c>
      <c r="CY736">
        <f t="shared" si="1459"/>
        <v>0</v>
      </c>
      <c r="CZ736">
        <f t="shared" si="1459"/>
        <v>0</v>
      </c>
      <c r="DA736">
        <f t="shared" si="1459"/>
        <v>0</v>
      </c>
      <c r="DB736">
        <f t="shared" si="1459"/>
        <v>0</v>
      </c>
      <c r="DC736">
        <f t="shared" si="1459"/>
        <v>0</v>
      </c>
      <c r="DD736">
        <f t="shared" si="1459"/>
        <v>0</v>
      </c>
      <c r="DE736">
        <f t="shared" si="1459"/>
        <v>0</v>
      </c>
      <c r="DF736">
        <f t="shared" si="1459"/>
        <v>0</v>
      </c>
      <c r="DG736">
        <f t="shared" si="1460"/>
        <v>0</v>
      </c>
      <c r="DH736">
        <f t="shared" si="1460"/>
        <v>0</v>
      </c>
      <c r="DI736">
        <f t="shared" si="1460"/>
        <v>0</v>
      </c>
      <c r="DJ736">
        <f t="shared" si="1460"/>
        <v>0</v>
      </c>
      <c r="DK736">
        <f t="shared" si="1460"/>
        <v>0</v>
      </c>
      <c r="DL736">
        <f t="shared" si="1460"/>
        <v>0</v>
      </c>
      <c r="DM736">
        <f t="shared" si="1460"/>
        <v>0</v>
      </c>
      <c r="DN736">
        <f t="shared" si="1460"/>
        <v>0</v>
      </c>
      <c r="DO736">
        <f t="shared" si="1460"/>
        <v>0</v>
      </c>
      <c r="DP736">
        <f t="shared" si="1460"/>
        <v>0</v>
      </c>
      <c r="DQ736">
        <f t="shared" si="1461"/>
        <v>0</v>
      </c>
      <c r="DR736">
        <f t="shared" si="1452"/>
        <v>0</v>
      </c>
      <c r="DS736">
        <f t="shared" si="1462"/>
        <v>0</v>
      </c>
      <c r="DT736">
        <f t="shared" si="1462"/>
        <v>0</v>
      </c>
      <c r="DU736">
        <f t="shared" si="1462"/>
        <v>0</v>
      </c>
      <c r="DV736">
        <f t="shared" si="1462"/>
        <v>0</v>
      </c>
      <c r="DW736">
        <f t="shared" si="1462"/>
        <v>0</v>
      </c>
      <c r="DX736">
        <f t="shared" si="1462"/>
        <v>0</v>
      </c>
      <c r="DY736">
        <f t="shared" si="1462"/>
        <v>0</v>
      </c>
      <c r="DZ736">
        <f t="shared" si="1462"/>
        <v>0</v>
      </c>
      <c r="EA736">
        <f t="shared" si="1462"/>
        <v>0</v>
      </c>
      <c r="EB736">
        <f t="shared" si="1462"/>
        <v>0</v>
      </c>
      <c r="EC736">
        <f t="shared" si="1462"/>
        <v>0</v>
      </c>
      <c r="ED736">
        <f t="shared" si="1462"/>
        <v>0</v>
      </c>
      <c r="EE736">
        <f t="shared" si="1462"/>
        <v>0</v>
      </c>
      <c r="EF736">
        <f t="shared" si="1462"/>
        <v>0</v>
      </c>
    </row>
    <row r="737" spans="1:136" ht="15.5">
      <c r="A737" s="90"/>
      <c r="B737" s="53"/>
      <c r="C737" s="95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J737" s="31"/>
      <c r="AK737" s="31"/>
      <c r="AL737" s="31"/>
      <c r="AM737" s="31"/>
      <c r="AN737" s="31"/>
      <c r="AO737" s="31"/>
      <c r="AP737" s="31"/>
      <c r="AQ737" s="31"/>
      <c r="AR737" s="31"/>
      <c r="AS737" s="31"/>
      <c r="AT737" s="31"/>
      <c r="AU737" s="31"/>
      <c r="AV737" s="31"/>
      <c r="AW737" s="31"/>
      <c r="AX737" s="31"/>
      <c r="AY737" s="31"/>
      <c r="AZ737" s="31"/>
      <c r="BA737" s="31"/>
      <c r="BB737" s="31"/>
      <c r="BC737" s="31"/>
      <c r="BD737" s="31"/>
      <c r="BE737" s="55"/>
      <c r="BF737" s="18"/>
      <c r="BG737" s="31"/>
      <c r="BH737" s="2"/>
      <c r="BI737" s="2"/>
      <c r="BJ737" s="2"/>
      <c r="BK737" s="2"/>
      <c r="BL737" s="2"/>
      <c r="BM737" s="2"/>
      <c r="BN737" s="2"/>
      <c r="BO737" s="2"/>
      <c r="BP737" s="113"/>
      <c r="BQ737" s="2"/>
      <c r="BR737" s="101"/>
    </row>
    <row r="738" spans="1:136" ht="15.5">
      <c r="A738" s="93">
        <v>91</v>
      </c>
      <c r="B738" s="32" t="s">
        <v>99</v>
      </c>
      <c r="C738" s="95">
        <v>3</v>
      </c>
      <c r="D738" s="9">
        <f t="shared" ref="D738:AI738" si="1463">SUM(D739:D744)</f>
        <v>0</v>
      </c>
      <c r="E738" s="9">
        <f t="shared" si="1463"/>
        <v>0</v>
      </c>
      <c r="F738" s="9">
        <f t="shared" si="1463"/>
        <v>0</v>
      </c>
      <c r="G738" s="9">
        <f t="shared" si="1463"/>
        <v>0</v>
      </c>
      <c r="H738" s="9">
        <f t="shared" si="1463"/>
        <v>26</v>
      </c>
      <c r="I738" s="9">
        <f t="shared" si="1463"/>
        <v>0</v>
      </c>
      <c r="J738" s="9">
        <f t="shared" si="1463"/>
        <v>0</v>
      </c>
      <c r="K738" s="9">
        <f t="shared" si="1463"/>
        <v>0</v>
      </c>
      <c r="L738" s="9">
        <f t="shared" si="1463"/>
        <v>0</v>
      </c>
      <c r="M738" s="9">
        <f t="shared" si="1463"/>
        <v>0</v>
      </c>
      <c r="N738" s="9">
        <f t="shared" si="1463"/>
        <v>10.941684599999999</v>
      </c>
      <c r="O738" s="9">
        <f t="shared" si="1463"/>
        <v>16.108863999999997</v>
      </c>
      <c r="P738" s="9">
        <f t="shared" si="1463"/>
        <v>21.451767</v>
      </c>
      <c r="Q738" s="9">
        <f t="shared" si="1463"/>
        <v>28.143134800000002</v>
      </c>
      <c r="R738" s="9">
        <f t="shared" si="1463"/>
        <v>34.273019599999998</v>
      </c>
      <c r="S738" s="9">
        <f t="shared" si="1463"/>
        <v>38.996912600000002</v>
      </c>
      <c r="T738" s="9">
        <f t="shared" si="1463"/>
        <v>60.122501199999995</v>
      </c>
      <c r="U738" s="9">
        <f t="shared" si="1463"/>
        <v>85.924019199999989</v>
      </c>
      <c r="V738" s="9">
        <f t="shared" si="1463"/>
        <v>116.98352620000001</v>
      </c>
      <c r="W738" s="9">
        <f t="shared" si="1463"/>
        <v>141.36630219999998</v>
      </c>
      <c r="X738" s="9">
        <f t="shared" si="1463"/>
        <v>76.151789900000011</v>
      </c>
      <c r="Y738" s="9">
        <f t="shared" si="1463"/>
        <v>7.3098460999999997</v>
      </c>
      <c r="Z738" s="9">
        <f t="shared" si="1463"/>
        <v>10.7099286</v>
      </c>
      <c r="AA738" s="9">
        <f t="shared" si="1463"/>
        <v>16.531582100000001</v>
      </c>
      <c r="AB738" s="9">
        <f t="shared" si="1463"/>
        <v>90.902378400000003</v>
      </c>
      <c r="AC738" s="9">
        <f t="shared" si="1463"/>
        <v>98.724591900000007</v>
      </c>
      <c r="AD738" s="9">
        <f t="shared" si="1463"/>
        <v>58.095459099999999</v>
      </c>
      <c r="AE738" s="9">
        <f t="shared" si="1463"/>
        <v>81.524855699999989</v>
      </c>
      <c r="AF738" s="9">
        <f t="shared" si="1463"/>
        <v>57.825879100000002</v>
      </c>
      <c r="AG738" s="9">
        <f t="shared" si="1463"/>
        <v>36.072955499999999</v>
      </c>
      <c r="AH738" s="9">
        <f t="shared" si="1463"/>
        <v>85.032015099999995</v>
      </c>
      <c r="AI738" s="9">
        <f t="shared" si="1463"/>
        <v>204.11029719999999</v>
      </c>
      <c r="AJ738" s="9">
        <f t="shared" ref="AJ738:BQ738" si="1464">SUM(AJ739:AJ744)</f>
        <v>335.23017620000002</v>
      </c>
      <c r="AK738" s="9">
        <f t="shared" si="1464"/>
        <v>259.18446060000002</v>
      </c>
      <c r="AL738" s="9">
        <f t="shared" si="1464"/>
        <v>707.50952249999989</v>
      </c>
      <c r="AM738" s="9">
        <f t="shared" si="1464"/>
        <v>369.96670930000005</v>
      </c>
      <c r="AN738" s="9">
        <f t="shared" si="1464"/>
        <v>477.210058</v>
      </c>
      <c r="AO738" s="9">
        <f t="shared" si="1464"/>
        <v>674.83323770000004</v>
      </c>
      <c r="AP738" s="9">
        <f t="shared" si="1464"/>
        <v>598.81970899999999</v>
      </c>
      <c r="AQ738" s="9">
        <f t="shared" si="1464"/>
        <v>589.64533589999996</v>
      </c>
      <c r="AR738" s="9">
        <f t="shared" si="1464"/>
        <v>586.024587</v>
      </c>
      <c r="AS738" s="9">
        <f t="shared" si="1464"/>
        <v>587.19611339999994</v>
      </c>
      <c r="AT738" s="9">
        <f t="shared" si="1464"/>
        <v>663.22414649999996</v>
      </c>
      <c r="AU738" s="9">
        <f t="shared" si="1464"/>
        <v>211.47642250000001</v>
      </c>
      <c r="AV738" s="9">
        <f t="shared" si="1464"/>
        <v>130.1212213</v>
      </c>
      <c r="AW738" s="9">
        <f t="shared" si="1464"/>
        <v>117.49112909999999</v>
      </c>
      <c r="AX738" s="9">
        <f t="shared" si="1464"/>
        <v>1994.5223237</v>
      </c>
      <c r="AY738" s="9">
        <f t="shared" si="1464"/>
        <v>138.07741390000001</v>
      </c>
      <c r="AZ738" s="9">
        <f t="shared" si="1464"/>
        <v>50.341340299999999</v>
      </c>
      <c r="BA738" s="9">
        <f t="shared" si="1464"/>
        <v>501.00743299999999</v>
      </c>
      <c r="BB738" s="9">
        <f t="shared" si="1464"/>
        <v>0.80800000000000005</v>
      </c>
      <c r="BC738" s="9">
        <f t="shared" si="1464"/>
        <v>142.14825300000001</v>
      </c>
      <c r="BD738" s="9">
        <f t="shared" si="1464"/>
        <v>160.81641470000002</v>
      </c>
      <c r="BE738" s="9">
        <f t="shared" si="1464"/>
        <v>164.74346259999999</v>
      </c>
      <c r="BF738" s="9">
        <f t="shared" si="1464"/>
        <v>100.23635539999999</v>
      </c>
      <c r="BG738" s="9">
        <f t="shared" si="1464"/>
        <v>112.1372788</v>
      </c>
      <c r="BH738" s="9">
        <f t="shared" si="1464"/>
        <v>105.5328032</v>
      </c>
      <c r="BI738" s="22">
        <f t="shared" si="1464"/>
        <v>99.489301099999992</v>
      </c>
      <c r="BJ738" s="22">
        <f t="shared" si="1464"/>
        <v>87.138190000000023</v>
      </c>
      <c r="BK738" s="22">
        <f t="shared" si="1464"/>
        <v>31.062691000000001</v>
      </c>
      <c r="BL738" s="22">
        <f t="shared" si="1464"/>
        <v>36.797068899999999</v>
      </c>
      <c r="BM738" s="22">
        <f t="shared" si="1464"/>
        <v>65.598402699999994</v>
      </c>
      <c r="BN738" s="22">
        <f t="shared" si="1464"/>
        <v>311.26614289999998</v>
      </c>
      <c r="BO738" s="22">
        <f t="shared" si="1464"/>
        <v>8.4697911000000001</v>
      </c>
      <c r="BP738" s="22">
        <f t="shared" si="1464"/>
        <v>15.459776400000001</v>
      </c>
      <c r="BQ738" s="22">
        <f t="shared" si="1464"/>
        <v>177.45977640000001</v>
      </c>
      <c r="BR738" s="101"/>
      <c r="BS738">
        <f t="shared" ref="BS738:CB743" si="1465">IF($C738&lt;&gt;"",IF(D738&gt;0,1,0),0)</f>
        <v>0</v>
      </c>
      <c r="BT738">
        <f t="shared" si="1465"/>
        <v>0</v>
      </c>
      <c r="BU738">
        <f t="shared" si="1465"/>
        <v>0</v>
      </c>
      <c r="BV738">
        <f t="shared" si="1465"/>
        <v>0</v>
      </c>
      <c r="BW738">
        <f t="shared" si="1465"/>
        <v>1</v>
      </c>
      <c r="BX738">
        <f t="shared" si="1465"/>
        <v>0</v>
      </c>
      <c r="BY738">
        <f t="shared" si="1465"/>
        <v>0</v>
      </c>
      <c r="BZ738">
        <f t="shared" si="1465"/>
        <v>0</v>
      </c>
      <c r="CA738">
        <f t="shared" si="1465"/>
        <v>0</v>
      </c>
      <c r="CB738">
        <f t="shared" si="1465"/>
        <v>0</v>
      </c>
      <c r="CC738">
        <f t="shared" ref="CC738:CL743" si="1466">IF($C738&lt;&gt;"",IF(N738&gt;0,1,0),0)</f>
        <v>1</v>
      </c>
      <c r="CD738">
        <f t="shared" si="1466"/>
        <v>1</v>
      </c>
      <c r="CE738">
        <f t="shared" si="1466"/>
        <v>1</v>
      </c>
      <c r="CF738">
        <f t="shared" si="1466"/>
        <v>1</v>
      </c>
      <c r="CG738">
        <f t="shared" si="1466"/>
        <v>1</v>
      </c>
      <c r="CH738">
        <f t="shared" si="1466"/>
        <v>1</v>
      </c>
      <c r="CI738">
        <f t="shared" si="1466"/>
        <v>1</v>
      </c>
      <c r="CJ738">
        <f t="shared" si="1466"/>
        <v>1</v>
      </c>
      <c r="CK738">
        <f t="shared" si="1466"/>
        <v>1</v>
      </c>
      <c r="CL738">
        <f t="shared" si="1466"/>
        <v>1</v>
      </c>
      <c r="CM738">
        <f t="shared" ref="CM738:CV743" si="1467">IF($C738&lt;&gt;"",IF(X738&gt;0,1,0),0)</f>
        <v>1</v>
      </c>
      <c r="CN738">
        <f t="shared" si="1467"/>
        <v>1</v>
      </c>
      <c r="CO738">
        <f t="shared" si="1467"/>
        <v>1</v>
      </c>
      <c r="CP738">
        <f t="shared" si="1467"/>
        <v>1</v>
      </c>
      <c r="CQ738">
        <f t="shared" si="1467"/>
        <v>1</v>
      </c>
      <c r="CR738">
        <f t="shared" si="1467"/>
        <v>1</v>
      </c>
      <c r="CS738">
        <f t="shared" si="1467"/>
        <v>1</v>
      </c>
      <c r="CT738">
        <f t="shared" si="1467"/>
        <v>1</v>
      </c>
      <c r="CU738">
        <f t="shared" si="1467"/>
        <v>1</v>
      </c>
      <c r="CV738">
        <f t="shared" si="1467"/>
        <v>1</v>
      </c>
      <c r="CW738">
        <f t="shared" ref="CW738:DF743" si="1468">IF($C738&lt;&gt;"",IF(AH738&gt;0,1,0),0)</f>
        <v>1</v>
      </c>
      <c r="CX738">
        <f t="shared" si="1468"/>
        <v>1</v>
      </c>
      <c r="CY738">
        <f t="shared" si="1468"/>
        <v>1</v>
      </c>
      <c r="CZ738">
        <f t="shared" si="1468"/>
        <v>1</v>
      </c>
      <c r="DA738">
        <f t="shared" si="1468"/>
        <v>1</v>
      </c>
      <c r="DB738">
        <f t="shared" si="1468"/>
        <v>1</v>
      </c>
      <c r="DC738">
        <f t="shared" si="1468"/>
        <v>1</v>
      </c>
      <c r="DD738">
        <f t="shared" si="1468"/>
        <v>1</v>
      </c>
      <c r="DE738">
        <f t="shared" si="1468"/>
        <v>1</v>
      </c>
      <c r="DF738">
        <f t="shared" si="1468"/>
        <v>1</v>
      </c>
      <c r="DG738">
        <f t="shared" ref="DG738:DP743" si="1469">IF($C738&lt;&gt;"",IF(AR738&gt;0,1,0),0)</f>
        <v>1</v>
      </c>
      <c r="DH738">
        <f t="shared" si="1469"/>
        <v>1</v>
      </c>
      <c r="DI738">
        <f t="shared" si="1469"/>
        <v>1</v>
      </c>
      <c r="DJ738">
        <f t="shared" si="1469"/>
        <v>1</v>
      </c>
      <c r="DK738">
        <f t="shared" si="1469"/>
        <v>1</v>
      </c>
      <c r="DL738">
        <f t="shared" si="1469"/>
        <v>1</v>
      </c>
      <c r="DM738">
        <f t="shared" si="1469"/>
        <v>1</v>
      </c>
      <c r="DN738">
        <f t="shared" si="1469"/>
        <v>1</v>
      </c>
      <c r="DO738">
        <f t="shared" si="1469"/>
        <v>1</v>
      </c>
      <c r="DP738">
        <f t="shared" si="1469"/>
        <v>1</v>
      </c>
      <c r="DQ738">
        <f t="shared" ref="DQ738:DZ743" si="1470">IF($C738&lt;&gt;"",IF(BB738&gt;0,1,0),0)</f>
        <v>1</v>
      </c>
      <c r="DR738">
        <f t="shared" si="1470"/>
        <v>1</v>
      </c>
      <c r="DS738">
        <f t="shared" si="1470"/>
        <v>1</v>
      </c>
      <c r="DT738">
        <f t="shared" si="1470"/>
        <v>1</v>
      </c>
      <c r="DU738">
        <f t="shared" si="1470"/>
        <v>1</v>
      </c>
      <c r="DV738">
        <f t="shared" si="1470"/>
        <v>1</v>
      </c>
      <c r="DW738">
        <f t="shared" si="1470"/>
        <v>1</v>
      </c>
      <c r="DX738">
        <f t="shared" si="1470"/>
        <v>1</v>
      </c>
      <c r="DY738">
        <f t="shared" si="1470"/>
        <v>1</v>
      </c>
      <c r="DZ738">
        <f t="shared" si="1470"/>
        <v>1</v>
      </c>
      <c r="EA738">
        <f t="shared" ref="EA738:EF743" si="1471">IF($C738&lt;&gt;"",IF(BL738&gt;0,1,0),0)</f>
        <v>1</v>
      </c>
      <c r="EB738">
        <f t="shared" si="1471"/>
        <v>1</v>
      </c>
      <c r="EC738">
        <f t="shared" si="1471"/>
        <v>1</v>
      </c>
      <c r="ED738">
        <f t="shared" si="1471"/>
        <v>1</v>
      </c>
      <c r="EE738">
        <f t="shared" si="1471"/>
        <v>1</v>
      </c>
      <c r="EF738">
        <f t="shared" si="1471"/>
        <v>1</v>
      </c>
    </row>
    <row r="739" spans="1:136" ht="15.5">
      <c r="A739" s="90"/>
      <c r="B739" s="19" t="s">
        <v>2</v>
      </c>
      <c r="C739" s="95"/>
      <c r="D739" s="18">
        <v>0</v>
      </c>
      <c r="E739" s="18">
        <v>0</v>
      </c>
      <c r="F739" s="18">
        <v>0</v>
      </c>
      <c r="G739" s="18">
        <v>0</v>
      </c>
      <c r="H739" s="18">
        <v>0</v>
      </c>
      <c r="I739" s="18">
        <v>0</v>
      </c>
      <c r="J739" s="18">
        <v>0</v>
      </c>
      <c r="K739" s="18">
        <v>0</v>
      </c>
      <c r="L739" s="18">
        <v>0</v>
      </c>
      <c r="M739" s="18">
        <v>0</v>
      </c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40" t="s">
        <v>16</v>
      </c>
      <c r="AF739" s="34">
        <v>56</v>
      </c>
      <c r="AG739" s="34">
        <v>29</v>
      </c>
      <c r="AH739" s="40" t="s">
        <v>16</v>
      </c>
      <c r="AI739" s="40" t="s">
        <v>16</v>
      </c>
      <c r="AJ739" s="34">
        <v>19</v>
      </c>
      <c r="AK739" s="40" t="s">
        <v>16</v>
      </c>
      <c r="AL739" s="34">
        <v>0</v>
      </c>
      <c r="AM739" s="34">
        <v>0</v>
      </c>
      <c r="AN739" s="34">
        <v>32</v>
      </c>
      <c r="AO739" s="18">
        <v>0</v>
      </c>
      <c r="AP739" s="18">
        <v>0</v>
      </c>
      <c r="AQ739" s="40" t="s">
        <v>16</v>
      </c>
      <c r="AR739" s="34">
        <v>3</v>
      </c>
      <c r="AS739" s="34">
        <v>1</v>
      </c>
      <c r="AT739" s="34">
        <v>1</v>
      </c>
      <c r="AU739" s="34">
        <v>155</v>
      </c>
      <c r="AV739" s="40" t="s">
        <v>16</v>
      </c>
      <c r="AW739" s="18">
        <v>0</v>
      </c>
      <c r="AX739" s="18">
        <v>0</v>
      </c>
      <c r="AY739" s="18">
        <v>0</v>
      </c>
      <c r="AZ739" s="18">
        <v>0</v>
      </c>
      <c r="BA739" s="18">
        <v>0</v>
      </c>
      <c r="BB739" s="18">
        <v>0</v>
      </c>
      <c r="BC739" s="18">
        <v>0</v>
      </c>
      <c r="BD739" s="40" t="s">
        <v>16</v>
      </c>
      <c r="BE739" s="113">
        <v>0</v>
      </c>
      <c r="BF739" s="113">
        <v>0</v>
      </c>
      <c r="BG739" s="113">
        <v>0</v>
      </c>
      <c r="BH739" s="113">
        <v>0</v>
      </c>
      <c r="BI739" s="113">
        <v>0</v>
      </c>
      <c r="BJ739" s="113">
        <v>0</v>
      </c>
      <c r="BK739" s="113">
        <v>0</v>
      </c>
      <c r="BL739" s="113">
        <v>0</v>
      </c>
      <c r="BM739" s="113">
        <v>0</v>
      </c>
      <c r="BN739" s="113">
        <v>0</v>
      </c>
      <c r="BO739" s="34">
        <v>0</v>
      </c>
      <c r="BP739" s="34">
        <v>0</v>
      </c>
      <c r="BQ739" s="34">
        <v>0</v>
      </c>
      <c r="BR739" s="101"/>
      <c r="BS739">
        <f t="shared" si="1465"/>
        <v>0</v>
      </c>
      <c r="BT739">
        <f t="shared" si="1465"/>
        <v>0</v>
      </c>
      <c r="BU739">
        <f t="shared" si="1465"/>
        <v>0</v>
      </c>
      <c r="BV739">
        <f t="shared" si="1465"/>
        <v>0</v>
      </c>
      <c r="BW739">
        <f t="shared" si="1465"/>
        <v>0</v>
      </c>
      <c r="BX739">
        <f t="shared" si="1465"/>
        <v>0</v>
      </c>
      <c r="BY739">
        <f t="shared" si="1465"/>
        <v>0</v>
      </c>
      <c r="BZ739">
        <f t="shared" si="1465"/>
        <v>0</v>
      </c>
      <c r="CA739">
        <f t="shared" si="1465"/>
        <v>0</v>
      </c>
      <c r="CB739">
        <f t="shared" si="1465"/>
        <v>0</v>
      </c>
      <c r="CC739">
        <f t="shared" si="1466"/>
        <v>0</v>
      </c>
      <c r="CD739">
        <f t="shared" si="1466"/>
        <v>0</v>
      </c>
      <c r="CE739">
        <f t="shared" si="1466"/>
        <v>0</v>
      </c>
      <c r="CF739">
        <f t="shared" si="1466"/>
        <v>0</v>
      </c>
      <c r="CG739">
        <f t="shared" si="1466"/>
        <v>0</v>
      </c>
      <c r="CH739">
        <f t="shared" si="1466"/>
        <v>0</v>
      </c>
      <c r="CI739">
        <f t="shared" si="1466"/>
        <v>0</v>
      </c>
      <c r="CJ739">
        <f t="shared" si="1466"/>
        <v>0</v>
      </c>
      <c r="CK739">
        <f t="shared" si="1466"/>
        <v>0</v>
      </c>
      <c r="CL739">
        <f t="shared" si="1466"/>
        <v>0</v>
      </c>
      <c r="CM739">
        <f t="shared" si="1467"/>
        <v>0</v>
      </c>
      <c r="CN739">
        <f t="shared" si="1467"/>
        <v>0</v>
      </c>
      <c r="CO739">
        <f t="shared" si="1467"/>
        <v>0</v>
      </c>
      <c r="CP739">
        <f t="shared" si="1467"/>
        <v>0</v>
      </c>
      <c r="CQ739">
        <f t="shared" si="1467"/>
        <v>0</v>
      </c>
      <c r="CR739">
        <f t="shared" si="1467"/>
        <v>0</v>
      </c>
      <c r="CS739">
        <f t="shared" si="1467"/>
        <v>0</v>
      </c>
      <c r="CT739">
        <f t="shared" si="1467"/>
        <v>0</v>
      </c>
      <c r="CU739">
        <f t="shared" si="1467"/>
        <v>0</v>
      </c>
      <c r="CV739">
        <f t="shared" si="1467"/>
        <v>0</v>
      </c>
      <c r="CW739">
        <f t="shared" si="1468"/>
        <v>0</v>
      </c>
      <c r="CX739">
        <f t="shared" si="1468"/>
        <v>0</v>
      </c>
      <c r="CY739">
        <f t="shared" si="1468"/>
        <v>0</v>
      </c>
      <c r="CZ739">
        <f t="shared" si="1468"/>
        <v>0</v>
      </c>
      <c r="DA739">
        <f t="shared" si="1468"/>
        <v>0</v>
      </c>
      <c r="DB739">
        <f t="shared" si="1468"/>
        <v>0</v>
      </c>
      <c r="DC739">
        <f t="shared" si="1468"/>
        <v>0</v>
      </c>
      <c r="DD739">
        <f t="shared" si="1468"/>
        <v>0</v>
      </c>
      <c r="DE739">
        <f t="shared" si="1468"/>
        <v>0</v>
      </c>
      <c r="DF739">
        <f t="shared" si="1468"/>
        <v>0</v>
      </c>
      <c r="DG739">
        <f t="shared" si="1469"/>
        <v>0</v>
      </c>
      <c r="DH739">
        <f t="shared" si="1469"/>
        <v>0</v>
      </c>
      <c r="DI739">
        <f t="shared" si="1469"/>
        <v>0</v>
      </c>
      <c r="DJ739">
        <f t="shared" si="1469"/>
        <v>0</v>
      </c>
      <c r="DK739">
        <f t="shared" si="1469"/>
        <v>0</v>
      </c>
      <c r="DL739">
        <f t="shared" si="1469"/>
        <v>0</v>
      </c>
      <c r="DM739">
        <f t="shared" si="1469"/>
        <v>0</v>
      </c>
      <c r="DN739">
        <f t="shared" si="1469"/>
        <v>0</v>
      </c>
      <c r="DO739">
        <f t="shared" si="1469"/>
        <v>0</v>
      </c>
      <c r="DP739">
        <f t="shared" si="1469"/>
        <v>0</v>
      </c>
      <c r="DQ739">
        <f t="shared" si="1470"/>
        <v>0</v>
      </c>
      <c r="DR739">
        <f t="shared" si="1470"/>
        <v>0</v>
      </c>
      <c r="DS739">
        <f t="shared" si="1470"/>
        <v>0</v>
      </c>
      <c r="DT739">
        <f t="shared" si="1470"/>
        <v>0</v>
      </c>
      <c r="DU739">
        <f t="shared" si="1470"/>
        <v>0</v>
      </c>
      <c r="DV739">
        <f t="shared" si="1470"/>
        <v>0</v>
      </c>
      <c r="DW739">
        <f t="shared" si="1470"/>
        <v>0</v>
      </c>
      <c r="DX739">
        <f t="shared" si="1470"/>
        <v>0</v>
      </c>
      <c r="DY739">
        <f t="shared" si="1470"/>
        <v>0</v>
      </c>
      <c r="DZ739">
        <f t="shared" si="1470"/>
        <v>0</v>
      </c>
      <c r="EA739">
        <f t="shared" si="1471"/>
        <v>0</v>
      </c>
      <c r="EB739">
        <f t="shared" si="1471"/>
        <v>0</v>
      </c>
      <c r="EC739">
        <f t="shared" si="1471"/>
        <v>0</v>
      </c>
      <c r="ED739">
        <f t="shared" si="1471"/>
        <v>0</v>
      </c>
      <c r="EE739">
        <f t="shared" si="1471"/>
        <v>0</v>
      </c>
      <c r="EF739">
        <f t="shared" si="1471"/>
        <v>0</v>
      </c>
    </row>
    <row r="740" spans="1:136" ht="15.5">
      <c r="A740" s="90"/>
      <c r="B740" s="19" t="s">
        <v>205</v>
      </c>
      <c r="C740" s="95"/>
      <c r="D740" s="18">
        <v>0</v>
      </c>
      <c r="E740" s="18">
        <v>0</v>
      </c>
      <c r="F740" s="18">
        <v>0</v>
      </c>
      <c r="G740" s="18">
        <v>0</v>
      </c>
      <c r="H740" s="18">
        <v>0</v>
      </c>
      <c r="I740" s="18">
        <v>0</v>
      </c>
      <c r="J740" s="18">
        <v>0</v>
      </c>
      <c r="K740" s="18">
        <v>0</v>
      </c>
      <c r="L740" s="18">
        <v>0</v>
      </c>
      <c r="M740" s="18">
        <v>0</v>
      </c>
      <c r="N740" s="34">
        <v>0</v>
      </c>
      <c r="O740" s="34">
        <v>0</v>
      </c>
      <c r="P740" s="34">
        <v>0</v>
      </c>
      <c r="Q740" s="34">
        <v>0</v>
      </c>
      <c r="R740" s="34">
        <v>0</v>
      </c>
      <c r="S740" s="34">
        <v>0</v>
      </c>
      <c r="T740" s="34">
        <v>0</v>
      </c>
      <c r="U740" s="34">
        <v>0</v>
      </c>
      <c r="V740" s="34">
        <v>0</v>
      </c>
      <c r="W740" s="34">
        <v>0</v>
      </c>
      <c r="X740" s="34">
        <v>0</v>
      </c>
      <c r="Y740" s="34">
        <v>0</v>
      </c>
      <c r="Z740" s="34">
        <v>0</v>
      </c>
      <c r="AA740" s="34">
        <v>0</v>
      </c>
      <c r="AB740" s="34">
        <v>36.161114099999999</v>
      </c>
      <c r="AC740" s="34">
        <v>58.690023600000004</v>
      </c>
      <c r="AD740" s="34">
        <v>0</v>
      </c>
      <c r="AE740" s="40">
        <v>0</v>
      </c>
      <c r="AF740" s="34">
        <v>0</v>
      </c>
      <c r="AG740" s="34">
        <v>0.64219999999999999</v>
      </c>
      <c r="AH740" s="34">
        <v>0.94444740000000005</v>
      </c>
      <c r="AI740" s="71">
        <v>27.777927200000001</v>
      </c>
      <c r="AJ740" s="34">
        <v>41.497705000000003</v>
      </c>
      <c r="AK740" s="34">
        <v>0</v>
      </c>
      <c r="AL740" s="34">
        <v>0.39473359999999996</v>
      </c>
      <c r="AM740" s="34">
        <v>0.80169299999999999</v>
      </c>
      <c r="AN740" s="34">
        <v>5.4585624000000008</v>
      </c>
      <c r="AO740" s="34">
        <v>67.485902699999997</v>
      </c>
      <c r="AP740" s="34">
        <v>84.925999400000009</v>
      </c>
      <c r="AQ740" s="71">
        <v>80.536768399999985</v>
      </c>
      <c r="AR740" s="34">
        <v>76.2112841</v>
      </c>
      <c r="AS740" s="34">
        <v>93.949343599999992</v>
      </c>
      <c r="AT740" s="34">
        <v>50.762714299999999</v>
      </c>
      <c r="AU740" s="34">
        <v>56.476422499999998</v>
      </c>
      <c r="AV740" s="71">
        <v>69.981273900000005</v>
      </c>
      <c r="AW740" s="34">
        <v>60.1913372</v>
      </c>
      <c r="AX740" s="34">
        <v>70.7606483</v>
      </c>
      <c r="AY740" s="34">
        <v>104.60582789999999</v>
      </c>
      <c r="AZ740" s="34">
        <v>7.3157170999999996</v>
      </c>
      <c r="BA740" s="34">
        <v>7.3225740000000004</v>
      </c>
      <c r="BB740" s="34">
        <v>0</v>
      </c>
      <c r="BC740" s="34">
        <v>0.76238293000000001</v>
      </c>
      <c r="BD740" s="232">
        <v>9.5694951999999986</v>
      </c>
      <c r="BE740" s="42">
        <v>11.1278466</v>
      </c>
      <c r="BF740" s="34">
        <v>37.9558751</v>
      </c>
      <c r="BG740" s="34">
        <v>38.991604400000007</v>
      </c>
      <c r="BH740" s="113">
        <v>23.291029899999998</v>
      </c>
      <c r="BI740" s="113">
        <v>20.375637300000001</v>
      </c>
      <c r="BJ740" s="113">
        <v>18.927185000000001</v>
      </c>
      <c r="BK740" s="113">
        <v>2.0435094</v>
      </c>
      <c r="BL740" s="113">
        <v>2.0829698999999997</v>
      </c>
      <c r="BM740" s="113">
        <v>4.3874863</v>
      </c>
      <c r="BN740" s="103">
        <v>0.48038940000000002</v>
      </c>
      <c r="BO740" s="103">
        <v>0.46979109999999996</v>
      </c>
      <c r="BP740" s="103">
        <v>0.45977640000000003</v>
      </c>
      <c r="BQ740" s="103">
        <v>0.45977640000000003</v>
      </c>
      <c r="BR740" s="101"/>
      <c r="BS740">
        <f t="shared" si="1465"/>
        <v>0</v>
      </c>
      <c r="BT740">
        <f t="shared" si="1465"/>
        <v>0</v>
      </c>
      <c r="BU740">
        <f t="shared" si="1465"/>
        <v>0</v>
      </c>
      <c r="BV740">
        <f t="shared" si="1465"/>
        <v>0</v>
      </c>
      <c r="BW740">
        <f t="shared" si="1465"/>
        <v>0</v>
      </c>
      <c r="BX740">
        <f t="shared" si="1465"/>
        <v>0</v>
      </c>
      <c r="BY740">
        <f t="shared" si="1465"/>
        <v>0</v>
      </c>
      <c r="BZ740">
        <f t="shared" si="1465"/>
        <v>0</v>
      </c>
      <c r="CA740">
        <f t="shared" si="1465"/>
        <v>0</v>
      </c>
      <c r="CB740">
        <f t="shared" si="1465"/>
        <v>0</v>
      </c>
      <c r="CC740">
        <f t="shared" si="1466"/>
        <v>0</v>
      </c>
      <c r="CD740">
        <f t="shared" si="1466"/>
        <v>0</v>
      </c>
      <c r="CE740">
        <f t="shared" si="1466"/>
        <v>0</v>
      </c>
      <c r="CF740">
        <f t="shared" si="1466"/>
        <v>0</v>
      </c>
      <c r="CG740">
        <f t="shared" si="1466"/>
        <v>0</v>
      </c>
      <c r="CH740">
        <f t="shared" si="1466"/>
        <v>0</v>
      </c>
      <c r="CI740">
        <f t="shared" si="1466"/>
        <v>0</v>
      </c>
      <c r="CJ740">
        <f t="shared" si="1466"/>
        <v>0</v>
      </c>
      <c r="CK740">
        <f t="shared" si="1466"/>
        <v>0</v>
      </c>
      <c r="CL740">
        <f t="shared" si="1466"/>
        <v>0</v>
      </c>
      <c r="CM740">
        <f t="shared" si="1467"/>
        <v>0</v>
      </c>
      <c r="CN740">
        <f t="shared" si="1467"/>
        <v>0</v>
      </c>
      <c r="CO740">
        <f t="shared" si="1467"/>
        <v>0</v>
      </c>
      <c r="CP740">
        <f t="shared" si="1467"/>
        <v>0</v>
      </c>
      <c r="CQ740">
        <f t="shared" si="1467"/>
        <v>0</v>
      </c>
      <c r="CR740">
        <f t="shared" si="1467"/>
        <v>0</v>
      </c>
      <c r="CS740">
        <f t="shared" si="1467"/>
        <v>0</v>
      </c>
      <c r="CT740">
        <f t="shared" si="1467"/>
        <v>0</v>
      </c>
      <c r="CU740">
        <f t="shared" si="1467"/>
        <v>0</v>
      </c>
      <c r="CV740">
        <f t="shared" si="1467"/>
        <v>0</v>
      </c>
      <c r="CW740">
        <f t="shared" si="1468"/>
        <v>0</v>
      </c>
      <c r="CX740">
        <f t="shared" si="1468"/>
        <v>0</v>
      </c>
      <c r="CY740">
        <f t="shared" si="1468"/>
        <v>0</v>
      </c>
      <c r="CZ740">
        <f t="shared" si="1468"/>
        <v>0</v>
      </c>
      <c r="DA740">
        <f t="shared" si="1468"/>
        <v>0</v>
      </c>
      <c r="DB740">
        <f t="shared" si="1468"/>
        <v>0</v>
      </c>
      <c r="DC740">
        <f t="shared" si="1468"/>
        <v>0</v>
      </c>
      <c r="DD740">
        <f t="shared" si="1468"/>
        <v>0</v>
      </c>
      <c r="DE740">
        <f t="shared" si="1468"/>
        <v>0</v>
      </c>
      <c r="DF740">
        <f t="shared" si="1468"/>
        <v>0</v>
      </c>
      <c r="DG740">
        <f t="shared" si="1469"/>
        <v>0</v>
      </c>
      <c r="DH740">
        <f t="shared" si="1469"/>
        <v>0</v>
      </c>
      <c r="DI740">
        <f t="shared" si="1469"/>
        <v>0</v>
      </c>
      <c r="DJ740">
        <f t="shared" si="1469"/>
        <v>0</v>
      </c>
      <c r="DK740">
        <f t="shared" si="1469"/>
        <v>0</v>
      </c>
      <c r="DL740">
        <f t="shared" si="1469"/>
        <v>0</v>
      </c>
      <c r="DM740">
        <f t="shared" si="1469"/>
        <v>0</v>
      </c>
      <c r="DN740">
        <f t="shared" si="1469"/>
        <v>0</v>
      </c>
      <c r="DO740">
        <f t="shared" si="1469"/>
        <v>0</v>
      </c>
      <c r="DP740">
        <f t="shared" si="1469"/>
        <v>0</v>
      </c>
      <c r="DQ740">
        <f t="shared" si="1470"/>
        <v>0</v>
      </c>
      <c r="DR740">
        <f t="shared" si="1470"/>
        <v>0</v>
      </c>
      <c r="DS740">
        <f t="shared" si="1470"/>
        <v>0</v>
      </c>
      <c r="DT740">
        <f t="shared" si="1470"/>
        <v>0</v>
      </c>
      <c r="DU740">
        <f t="shared" si="1470"/>
        <v>0</v>
      </c>
      <c r="DV740">
        <f t="shared" si="1470"/>
        <v>0</v>
      </c>
      <c r="DW740">
        <f t="shared" si="1470"/>
        <v>0</v>
      </c>
      <c r="DX740">
        <f t="shared" si="1470"/>
        <v>0</v>
      </c>
      <c r="DY740">
        <f t="shared" si="1470"/>
        <v>0</v>
      </c>
      <c r="DZ740">
        <f t="shared" si="1470"/>
        <v>0</v>
      </c>
      <c r="EA740">
        <f t="shared" si="1471"/>
        <v>0</v>
      </c>
      <c r="EB740">
        <f t="shared" si="1471"/>
        <v>0</v>
      </c>
      <c r="EC740">
        <f t="shared" si="1471"/>
        <v>0</v>
      </c>
      <c r="ED740">
        <f t="shared" si="1471"/>
        <v>0</v>
      </c>
      <c r="EE740">
        <f t="shared" si="1471"/>
        <v>0</v>
      </c>
      <c r="EF740">
        <f t="shared" si="1471"/>
        <v>0</v>
      </c>
    </row>
    <row r="741" spans="1:136" ht="15.5">
      <c r="A741" s="90"/>
      <c r="B741" s="57" t="s">
        <v>3</v>
      </c>
      <c r="C741" s="95"/>
      <c r="D741" s="18">
        <v>0</v>
      </c>
      <c r="E741" s="18">
        <v>0</v>
      </c>
      <c r="F741" s="18">
        <v>0</v>
      </c>
      <c r="G741" s="18">
        <v>0</v>
      </c>
      <c r="H741" s="18">
        <v>26</v>
      </c>
      <c r="I741" s="40" t="s">
        <v>16</v>
      </c>
      <c r="J741" s="18">
        <v>0</v>
      </c>
      <c r="K741" s="18">
        <v>0</v>
      </c>
      <c r="L741" s="40" t="s">
        <v>16</v>
      </c>
      <c r="M741" s="40" t="s">
        <v>16</v>
      </c>
      <c r="N741" s="18">
        <v>5.1807570999999992</v>
      </c>
      <c r="O741" s="18">
        <v>9.4185185999999987</v>
      </c>
      <c r="P741" s="18">
        <v>15.436471600000001</v>
      </c>
      <c r="Q741" s="18">
        <v>21.293608800000001</v>
      </c>
      <c r="R741" s="18">
        <v>26.740466699999999</v>
      </c>
      <c r="S741" s="18">
        <v>37.272890600000004</v>
      </c>
      <c r="T741" s="18">
        <v>58.665246799999998</v>
      </c>
      <c r="U741" s="18">
        <v>84.292483199999992</v>
      </c>
      <c r="V741" s="18">
        <v>115.24199420000001</v>
      </c>
      <c r="W741" s="18">
        <v>139.46255819999999</v>
      </c>
      <c r="X741" s="18">
        <v>74.110229900000007</v>
      </c>
      <c r="Y741" s="18">
        <v>5.6765980999999996</v>
      </c>
      <c r="Z741" s="18">
        <v>9.1555745000000002</v>
      </c>
      <c r="AA741" s="18">
        <v>14.424410400000001</v>
      </c>
      <c r="AB741" s="18">
        <f>86.1962379-AB740</f>
        <v>50.035123800000001</v>
      </c>
      <c r="AC741" s="18">
        <f>80.1569126-AC740</f>
        <v>21.466888999999995</v>
      </c>
      <c r="AD741" s="18">
        <v>31.8013227</v>
      </c>
      <c r="AE741" s="18">
        <v>51.588449099999991</v>
      </c>
      <c r="AF741" s="40" t="s">
        <v>16</v>
      </c>
      <c r="AG741" s="18">
        <v>1</v>
      </c>
      <c r="AH741" s="18">
        <f>80.7049579-AH740</f>
        <v>79.760510499999995</v>
      </c>
      <c r="AI741" s="18">
        <f>197.7047397-AI740</f>
        <v>169.92681250000001</v>
      </c>
      <c r="AJ741" s="18">
        <f>328.3472092-AJ739-AJ740</f>
        <v>267.84950420000001</v>
      </c>
      <c r="AK741" s="18">
        <v>233.6516809</v>
      </c>
      <c r="AL741" s="18">
        <v>704.87629989999994</v>
      </c>
      <c r="AM741" s="18">
        <f>367.5458664-AM740</f>
        <v>366.74417340000002</v>
      </c>
      <c r="AN741" s="18">
        <f>476.4422456-AN739-AN740</f>
        <v>438.98368319999997</v>
      </c>
      <c r="AO741" s="18">
        <f>674.8332377-AO740</f>
        <v>607.34733500000004</v>
      </c>
      <c r="AP741" s="18">
        <f>598.819709-AP740</f>
        <v>513.89370959999997</v>
      </c>
      <c r="AQ741" s="18">
        <f>589.6453359-AQ740</f>
        <v>509.10856749999999</v>
      </c>
      <c r="AR741" s="18">
        <f>586.024587-AR739-AR740</f>
        <v>506.8133029</v>
      </c>
      <c r="AS741" s="18">
        <f>587.1961134-AS739-AS740</f>
        <v>492.24676979999992</v>
      </c>
      <c r="AT741" s="18">
        <f>663.2241465-AT739-AT740</f>
        <v>611.46143219999999</v>
      </c>
      <c r="AU741" s="40" t="s">
        <v>16</v>
      </c>
      <c r="AV741" s="18">
        <f>130.1212213-AV740</f>
        <v>60.139947399999997</v>
      </c>
      <c r="AW741" s="18">
        <f>117.4911291-AW740</f>
        <v>57.299791899999995</v>
      </c>
      <c r="AX741" s="18">
        <f>1994.5223237-AX740</f>
        <v>1923.7616754000001</v>
      </c>
      <c r="AY741" s="18">
        <f>138.0774139-AY740</f>
        <v>33.471586000000016</v>
      </c>
      <c r="AZ741" s="18">
        <f>50.3413403-AZ740</f>
        <v>43.025623199999998</v>
      </c>
      <c r="BA741" s="18">
        <f>501.007433-BA740</f>
        <v>493.68485900000002</v>
      </c>
      <c r="BB741" s="18">
        <v>0.80800000000000005</v>
      </c>
      <c r="BC741" s="18">
        <f>73.1355909-BC740</f>
        <v>72.373207969999996</v>
      </c>
      <c r="BD741" s="18">
        <f>91.2583758-BD740</f>
        <v>81.688880600000005</v>
      </c>
      <c r="BE741" s="25">
        <f>95.6841613-BE740</f>
        <v>84.556314700000001</v>
      </c>
      <c r="BF741" s="18">
        <f>100.0457417-BF740</f>
        <v>62.089866599999993</v>
      </c>
      <c r="BG741" s="18">
        <f>111.8487733-BG740</f>
        <v>72.857168900000005</v>
      </c>
      <c r="BH741" s="18">
        <f>105.2597913-BH740</f>
        <v>81.968761400000005</v>
      </c>
      <c r="BI741" s="18">
        <f>99.360976-BI740</f>
        <v>78.9853387</v>
      </c>
      <c r="BJ741" s="18">
        <f>87.015675-BJ740</f>
        <v>68.088490000000007</v>
      </c>
      <c r="BK741" s="34">
        <f>31.062691-BK740</f>
        <v>29.0191816</v>
      </c>
      <c r="BL741" s="113">
        <f>36.7970689-BL740</f>
        <v>34.714098999999997</v>
      </c>
      <c r="BM741" s="113">
        <f>65.5984027-BM740</f>
        <v>61.210916399999995</v>
      </c>
      <c r="BN741" s="113">
        <v>5.7857535000000002</v>
      </c>
      <c r="BO741" s="113">
        <v>8</v>
      </c>
      <c r="BP741" s="113">
        <v>15</v>
      </c>
      <c r="BQ741" s="113">
        <v>177</v>
      </c>
      <c r="BR741" s="101"/>
      <c r="BS741">
        <f t="shared" si="1465"/>
        <v>0</v>
      </c>
      <c r="BT741">
        <f t="shared" si="1465"/>
        <v>0</v>
      </c>
      <c r="BU741">
        <f t="shared" si="1465"/>
        <v>0</v>
      </c>
      <c r="BV741">
        <f t="shared" si="1465"/>
        <v>0</v>
      </c>
      <c r="BW741">
        <f t="shared" si="1465"/>
        <v>0</v>
      </c>
      <c r="BX741">
        <f t="shared" si="1465"/>
        <v>0</v>
      </c>
      <c r="BY741">
        <f t="shared" si="1465"/>
        <v>0</v>
      </c>
      <c r="BZ741">
        <f t="shared" si="1465"/>
        <v>0</v>
      </c>
      <c r="CA741">
        <f t="shared" si="1465"/>
        <v>0</v>
      </c>
      <c r="CB741">
        <f t="shared" si="1465"/>
        <v>0</v>
      </c>
      <c r="CC741">
        <f t="shared" si="1466"/>
        <v>0</v>
      </c>
      <c r="CD741">
        <f t="shared" si="1466"/>
        <v>0</v>
      </c>
      <c r="CE741">
        <f t="shared" si="1466"/>
        <v>0</v>
      </c>
      <c r="CF741">
        <f t="shared" si="1466"/>
        <v>0</v>
      </c>
      <c r="CG741">
        <f t="shared" si="1466"/>
        <v>0</v>
      </c>
      <c r="CH741">
        <f t="shared" si="1466"/>
        <v>0</v>
      </c>
      <c r="CI741">
        <f t="shared" si="1466"/>
        <v>0</v>
      </c>
      <c r="CJ741">
        <f t="shared" si="1466"/>
        <v>0</v>
      </c>
      <c r="CK741">
        <f t="shared" si="1466"/>
        <v>0</v>
      </c>
      <c r="CL741">
        <f t="shared" si="1466"/>
        <v>0</v>
      </c>
      <c r="CM741">
        <f t="shared" si="1467"/>
        <v>0</v>
      </c>
      <c r="CN741">
        <f t="shared" si="1467"/>
        <v>0</v>
      </c>
      <c r="CO741">
        <f t="shared" si="1467"/>
        <v>0</v>
      </c>
      <c r="CP741">
        <f t="shared" si="1467"/>
        <v>0</v>
      </c>
      <c r="CQ741">
        <f t="shared" si="1467"/>
        <v>0</v>
      </c>
      <c r="CR741">
        <f t="shared" si="1467"/>
        <v>0</v>
      </c>
      <c r="CS741">
        <f t="shared" si="1467"/>
        <v>0</v>
      </c>
      <c r="CT741">
        <f t="shared" si="1467"/>
        <v>0</v>
      </c>
      <c r="CU741">
        <f t="shared" si="1467"/>
        <v>0</v>
      </c>
      <c r="CV741">
        <f t="shared" si="1467"/>
        <v>0</v>
      </c>
      <c r="CW741">
        <f t="shared" si="1468"/>
        <v>0</v>
      </c>
      <c r="CX741">
        <f t="shared" si="1468"/>
        <v>0</v>
      </c>
      <c r="CY741">
        <f t="shared" si="1468"/>
        <v>0</v>
      </c>
      <c r="CZ741">
        <f t="shared" si="1468"/>
        <v>0</v>
      </c>
      <c r="DA741">
        <f t="shared" si="1468"/>
        <v>0</v>
      </c>
      <c r="DB741">
        <f t="shared" si="1468"/>
        <v>0</v>
      </c>
      <c r="DC741">
        <f t="shared" si="1468"/>
        <v>0</v>
      </c>
      <c r="DD741">
        <f t="shared" si="1468"/>
        <v>0</v>
      </c>
      <c r="DE741">
        <f t="shared" si="1468"/>
        <v>0</v>
      </c>
      <c r="DF741">
        <f t="shared" si="1468"/>
        <v>0</v>
      </c>
      <c r="DG741">
        <f t="shared" si="1469"/>
        <v>0</v>
      </c>
      <c r="DH741">
        <f t="shared" si="1469"/>
        <v>0</v>
      </c>
      <c r="DI741">
        <f t="shared" si="1469"/>
        <v>0</v>
      </c>
      <c r="DJ741">
        <f t="shared" si="1469"/>
        <v>0</v>
      </c>
      <c r="DK741">
        <f t="shared" si="1469"/>
        <v>0</v>
      </c>
      <c r="DL741">
        <f t="shared" si="1469"/>
        <v>0</v>
      </c>
      <c r="DM741">
        <f t="shared" si="1469"/>
        <v>0</v>
      </c>
      <c r="DN741">
        <f t="shared" si="1469"/>
        <v>0</v>
      </c>
      <c r="DO741">
        <f t="shared" si="1469"/>
        <v>0</v>
      </c>
      <c r="DP741">
        <f t="shared" si="1469"/>
        <v>0</v>
      </c>
      <c r="DQ741">
        <f t="shared" si="1470"/>
        <v>0</v>
      </c>
      <c r="DR741">
        <f t="shared" si="1470"/>
        <v>0</v>
      </c>
      <c r="DS741">
        <f t="shared" si="1470"/>
        <v>0</v>
      </c>
      <c r="DT741">
        <f t="shared" si="1470"/>
        <v>0</v>
      </c>
      <c r="DU741">
        <f t="shared" si="1470"/>
        <v>0</v>
      </c>
      <c r="DV741">
        <f t="shared" si="1470"/>
        <v>0</v>
      </c>
      <c r="DW741">
        <f t="shared" si="1470"/>
        <v>0</v>
      </c>
      <c r="DX741">
        <f t="shared" si="1470"/>
        <v>0</v>
      </c>
      <c r="DY741">
        <f t="shared" si="1470"/>
        <v>0</v>
      </c>
      <c r="DZ741">
        <f t="shared" si="1470"/>
        <v>0</v>
      </c>
      <c r="EA741">
        <f t="shared" si="1471"/>
        <v>0</v>
      </c>
      <c r="EB741">
        <f t="shared" si="1471"/>
        <v>0</v>
      </c>
      <c r="EC741">
        <f t="shared" si="1471"/>
        <v>0</v>
      </c>
      <c r="ED741">
        <f t="shared" si="1471"/>
        <v>0</v>
      </c>
      <c r="EE741">
        <f t="shared" si="1471"/>
        <v>0</v>
      </c>
      <c r="EF741">
        <f t="shared" si="1471"/>
        <v>0</v>
      </c>
    </row>
    <row r="742" spans="1:136" ht="15.5">
      <c r="A742" s="90"/>
      <c r="B742" s="57" t="s">
        <v>18</v>
      </c>
      <c r="C742" s="95"/>
      <c r="D742" s="18">
        <v>0</v>
      </c>
      <c r="E742" s="18">
        <v>0</v>
      </c>
      <c r="F742" s="18">
        <v>0</v>
      </c>
      <c r="G742" s="18">
        <v>0</v>
      </c>
      <c r="H742" s="18">
        <v>0</v>
      </c>
      <c r="I742" s="18">
        <v>0</v>
      </c>
      <c r="J742" s="18">
        <v>0</v>
      </c>
      <c r="K742" s="18">
        <v>0</v>
      </c>
      <c r="L742" s="18">
        <v>0</v>
      </c>
      <c r="M742" s="18">
        <v>0</v>
      </c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40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>
        <v>0</v>
      </c>
      <c r="AS742" s="18">
        <v>0</v>
      </c>
      <c r="AT742" s="18">
        <v>0</v>
      </c>
      <c r="AU742" s="18">
        <v>0</v>
      </c>
      <c r="AV742" s="18">
        <v>0</v>
      </c>
      <c r="AW742" s="18">
        <v>0</v>
      </c>
      <c r="AX742" s="18">
        <v>0</v>
      </c>
      <c r="AY742" s="18">
        <v>0</v>
      </c>
      <c r="AZ742" s="18">
        <v>0</v>
      </c>
      <c r="BA742" s="18">
        <v>0</v>
      </c>
      <c r="BB742" s="18">
        <v>0</v>
      </c>
      <c r="BC742" s="18">
        <v>69</v>
      </c>
      <c r="BD742" s="18">
        <v>69</v>
      </c>
      <c r="BE742" s="25">
        <v>69</v>
      </c>
      <c r="BF742" s="18">
        <v>0</v>
      </c>
      <c r="BG742" s="18">
        <v>0</v>
      </c>
      <c r="BH742" s="25">
        <v>0</v>
      </c>
      <c r="BI742" s="18">
        <v>0</v>
      </c>
      <c r="BJ742" s="18">
        <v>0</v>
      </c>
      <c r="BK742" s="34">
        <v>0</v>
      </c>
      <c r="BL742" s="113">
        <v>0</v>
      </c>
      <c r="BM742" s="113">
        <v>0</v>
      </c>
      <c r="BN742" s="113">
        <v>0</v>
      </c>
      <c r="BO742" s="113">
        <v>0</v>
      </c>
      <c r="BP742" s="34">
        <v>0</v>
      </c>
      <c r="BQ742" s="34">
        <v>0</v>
      </c>
      <c r="BR742" s="101"/>
      <c r="BS742">
        <f t="shared" si="1465"/>
        <v>0</v>
      </c>
      <c r="BT742">
        <f t="shared" si="1465"/>
        <v>0</v>
      </c>
      <c r="BU742">
        <f t="shared" si="1465"/>
        <v>0</v>
      </c>
      <c r="BV742">
        <f t="shared" si="1465"/>
        <v>0</v>
      </c>
      <c r="BW742">
        <f t="shared" si="1465"/>
        <v>0</v>
      </c>
      <c r="BX742">
        <f t="shared" si="1465"/>
        <v>0</v>
      </c>
      <c r="BY742">
        <f t="shared" si="1465"/>
        <v>0</v>
      </c>
      <c r="BZ742">
        <f t="shared" si="1465"/>
        <v>0</v>
      </c>
      <c r="CA742">
        <f t="shared" si="1465"/>
        <v>0</v>
      </c>
      <c r="CB742">
        <f t="shared" si="1465"/>
        <v>0</v>
      </c>
      <c r="CC742">
        <f t="shared" si="1466"/>
        <v>0</v>
      </c>
      <c r="CD742">
        <f t="shared" si="1466"/>
        <v>0</v>
      </c>
      <c r="CE742">
        <f t="shared" si="1466"/>
        <v>0</v>
      </c>
      <c r="CF742">
        <f t="shared" si="1466"/>
        <v>0</v>
      </c>
      <c r="CG742">
        <f t="shared" si="1466"/>
        <v>0</v>
      </c>
      <c r="CH742">
        <f t="shared" si="1466"/>
        <v>0</v>
      </c>
      <c r="CI742">
        <f t="shared" si="1466"/>
        <v>0</v>
      </c>
      <c r="CJ742">
        <f t="shared" si="1466"/>
        <v>0</v>
      </c>
      <c r="CK742">
        <f t="shared" si="1466"/>
        <v>0</v>
      </c>
      <c r="CL742">
        <f t="shared" si="1466"/>
        <v>0</v>
      </c>
      <c r="CM742">
        <f t="shared" si="1467"/>
        <v>0</v>
      </c>
      <c r="CN742">
        <f t="shared" si="1467"/>
        <v>0</v>
      </c>
      <c r="CO742">
        <f t="shared" si="1467"/>
        <v>0</v>
      </c>
      <c r="CP742">
        <f t="shared" si="1467"/>
        <v>0</v>
      </c>
      <c r="CQ742">
        <f t="shared" si="1467"/>
        <v>0</v>
      </c>
      <c r="CR742">
        <f t="shared" si="1467"/>
        <v>0</v>
      </c>
      <c r="CS742">
        <f t="shared" si="1467"/>
        <v>0</v>
      </c>
      <c r="CT742">
        <f t="shared" si="1467"/>
        <v>0</v>
      </c>
      <c r="CU742">
        <f t="shared" si="1467"/>
        <v>0</v>
      </c>
      <c r="CV742">
        <f t="shared" si="1467"/>
        <v>0</v>
      </c>
      <c r="CW742">
        <f t="shared" si="1468"/>
        <v>0</v>
      </c>
      <c r="CX742">
        <f t="shared" si="1468"/>
        <v>0</v>
      </c>
      <c r="CY742">
        <f t="shared" si="1468"/>
        <v>0</v>
      </c>
      <c r="CZ742">
        <f t="shared" si="1468"/>
        <v>0</v>
      </c>
      <c r="DA742">
        <f t="shared" si="1468"/>
        <v>0</v>
      </c>
      <c r="DB742">
        <f t="shared" si="1468"/>
        <v>0</v>
      </c>
      <c r="DC742">
        <f t="shared" si="1468"/>
        <v>0</v>
      </c>
      <c r="DD742">
        <f t="shared" si="1468"/>
        <v>0</v>
      </c>
      <c r="DE742">
        <f t="shared" si="1468"/>
        <v>0</v>
      </c>
      <c r="DF742">
        <f t="shared" si="1468"/>
        <v>0</v>
      </c>
      <c r="DG742">
        <f t="shared" si="1469"/>
        <v>0</v>
      </c>
      <c r="DH742">
        <f t="shared" si="1469"/>
        <v>0</v>
      </c>
      <c r="DI742">
        <f t="shared" si="1469"/>
        <v>0</v>
      </c>
      <c r="DJ742">
        <f t="shared" si="1469"/>
        <v>0</v>
      </c>
      <c r="DK742">
        <f t="shared" si="1469"/>
        <v>0</v>
      </c>
      <c r="DL742">
        <f t="shared" si="1469"/>
        <v>0</v>
      </c>
      <c r="DM742">
        <f t="shared" si="1469"/>
        <v>0</v>
      </c>
      <c r="DN742">
        <f t="shared" si="1469"/>
        <v>0</v>
      </c>
      <c r="DO742">
        <f t="shared" si="1469"/>
        <v>0</v>
      </c>
      <c r="DP742">
        <f t="shared" si="1469"/>
        <v>0</v>
      </c>
      <c r="DQ742">
        <f t="shared" si="1470"/>
        <v>0</v>
      </c>
      <c r="DR742">
        <f t="shared" si="1470"/>
        <v>0</v>
      </c>
      <c r="DS742">
        <f t="shared" si="1470"/>
        <v>0</v>
      </c>
      <c r="DT742">
        <f t="shared" si="1470"/>
        <v>0</v>
      </c>
      <c r="DU742">
        <f t="shared" si="1470"/>
        <v>0</v>
      </c>
      <c r="DV742">
        <f t="shared" si="1470"/>
        <v>0</v>
      </c>
      <c r="DW742">
        <f t="shared" si="1470"/>
        <v>0</v>
      </c>
      <c r="DX742">
        <f t="shared" si="1470"/>
        <v>0</v>
      </c>
      <c r="DY742">
        <f t="shared" si="1470"/>
        <v>0</v>
      </c>
      <c r="DZ742">
        <f t="shared" si="1470"/>
        <v>0</v>
      </c>
      <c r="EA742">
        <f t="shared" si="1471"/>
        <v>0</v>
      </c>
      <c r="EB742">
        <f t="shared" si="1471"/>
        <v>0</v>
      </c>
      <c r="EC742">
        <f t="shared" si="1471"/>
        <v>0</v>
      </c>
      <c r="ED742">
        <f t="shared" si="1471"/>
        <v>0</v>
      </c>
      <c r="EE742">
        <f t="shared" si="1471"/>
        <v>0</v>
      </c>
      <c r="EF742">
        <f t="shared" si="1471"/>
        <v>0</v>
      </c>
    </row>
    <row r="743" spans="1:136" ht="15.5">
      <c r="A743" s="90"/>
      <c r="B743" s="53" t="s">
        <v>25</v>
      </c>
      <c r="C743" s="95"/>
      <c r="D743" s="18">
        <v>0</v>
      </c>
      <c r="E743" s="18">
        <v>0</v>
      </c>
      <c r="F743" s="18">
        <v>0</v>
      </c>
      <c r="G743" s="18">
        <v>0</v>
      </c>
      <c r="H743" s="18">
        <v>0</v>
      </c>
      <c r="I743" s="18">
        <v>0</v>
      </c>
      <c r="J743" s="18">
        <v>0</v>
      </c>
      <c r="K743" s="18">
        <v>0</v>
      </c>
      <c r="L743" s="18">
        <v>0</v>
      </c>
      <c r="M743" s="18">
        <v>0</v>
      </c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40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>
        <v>0</v>
      </c>
      <c r="AS743" s="18">
        <v>0</v>
      </c>
      <c r="AT743" s="18">
        <v>0</v>
      </c>
      <c r="AU743" s="18">
        <v>0</v>
      </c>
      <c r="AV743" s="18">
        <v>0</v>
      </c>
      <c r="AW743" s="18">
        <v>0</v>
      </c>
      <c r="AX743" s="18">
        <v>0</v>
      </c>
      <c r="AY743" s="18">
        <v>0</v>
      </c>
      <c r="AZ743" s="18">
        <v>0</v>
      </c>
      <c r="BA743" s="18">
        <v>0</v>
      </c>
      <c r="BB743" s="18">
        <v>0</v>
      </c>
      <c r="BC743" s="18">
        <v>0</v>
      </c>
      <c r="BD743" s="18">
        <v>0</v>
      </c>
      <c r="BE743" s="25">
        <v>0</v>
      </c>
      <c r="BF743" s="18">
        <v>0</v>
      </c>
      <c r="BG743" s="18">
        <v>0</v>
      </c>
      <c r="BH743" s="25">
        <v>0</v>
      </c>
      <c r="BI743" s="18">
        <v>0</v>
      </c>
      <c r="BJ743" s="18">
        <v>0</v>
      </c>
      <c r="BK743" s="34">
        <v>0</v>
      </c>
      <c r="BL743" s="113">
        <v>0</v>
      </c>
      <c r="BM743" s="113">
        <v>0</v>
      </c>
      <c r="BN743" s="113">
        <v>305</v>
      </c>
      <c r="BO743" s="34">
        <v>0</v>
      </c>
      <c r="BP743" s="34">
        <v>0</v>
      </c>
      <c r="BQ743" s="34">
        <v>0</v>
      </c>
      <c r="BR743" s="101"/>
      <c r="BS743">
        <f t="shared" si="1465"/>
        <v>0</v>
      </c>
      <c r="BT743">
        <f t="shared" si="1465"/>
        <v>0</v>
      </c>
      <c r="BU743">
        <f t="shared" si="1465"/>
        <v>0</v>
      </c>
      <c r="BV743">
        <f t="shared" si="1465"/>
        <v>0</v>
      </c>
      <c r="BW743">
        <f t="shared" si="1465"/>
        <v>0</v>
      </c>
      <c r="BX743">
        <f t="shared" si="1465"/>
        <v>0</v>
      </c>
      <c r="BY743">
        <f t="shared" si="1465"/>
        <v>0</v>
      </c>
      <c r="BZ743">
        <f t="shared" si="1465"/>
        <v>0</v>
      </c>
      <c r="CA743">
        <f t="shared" si="1465"/>
        <v>0</v>
      </c>
      <c r="CB743">
        <f t="shared" si="1465"/>
        <v>0</v>
      </c>
      <c r="CC743">
        <f t="shared" si="1466"/>
        <v>0</v>
      </c>
      <c r="CD743">
        <f t="shared" si="1466"/>
        <v>0</v>
      </c>
      <c r="CE743">
        <f t="shared" si="1466"/>
        <v>0</v>
      </c>
      <c r="CF743">
        <f t="shared" si="1466"/>
        <v>0</v>
      </c>
      <c r="CG743">
        <f t="shared" si="1466"/>
        <v>0</v>
      </c>
      <c r="CH743">
        <f t="shared" si="1466"/>
        <v>0</v>
      </c>
      <c r="CI743">
        <f t="shared" si="1466"/>
        <v>0</v>
      </c>
      <c r="CJ743">
        <f t="shared" si="1466"/>
        <v>0</v>
      </c>
      <c r="CK743">
        <f t="shared" si="1466"/>
        <v>0</v>
      </c>
      <c r="CL743">
        <f t="shared" si="1466"/>
        <v>0</v>
      </c>
      <c r="CM743">
        <f t="shared" si="1467"/>
        <v>0</v>
      </c>
      <c r="CN743">
        <f t="shared" si="1467"/>
        <v>0</v>
      </c>
      <c r="CO743">
        <f t="shared" si="1467"/>
        <v>0</v>
      </c>
      <c r="CP743">
        <f t="shared" si="1467"/>
        <v>0</v>
      </c>
      <c r="CQ743">
        <f t="shared" si="1467"/>
        <v>0</v>
      </c>
      <c r="CR743">
        <f t="shared" si="1467"/>
        <v>0</v>
      </c>
      <c r="CS743">
        <f t="shared" si="1467"/>
        <v>0</v>
      </c>
      <c r="CT743">
        <f t="shared" si="1467"/>
        <v>0</v>
      </c>
      <c r="CU743">
        <f t="shared" si="1467"/>
        <v>0</v>
      </c>
      <c r="CV743">
        <f t="shared" si="1467"/>
        <v>0</v>
      </c>
      <c r="CW743">
        <f t="shared" si="1468"/>
        <v>0</v>
      </c>
      <c r="CX743">
        <f t="shared" si="1468"/>
        <v>0</v>
      </c>
      <c r="CY743">
        <f t="shared" si="1468"/>
        <v>0</v>
      </c>
      <c r="CZ743">
        <f t="shared" si="1468"/>
        <v>0</v>
      </c>
      <c r="DA743">
        <f t="shared" si="1468"/>
        <v>0</v>
      </c>
      <c r="DB743">
        <f t="shared" si="1468"/>
        <v>0</v>
      </c>
      <c r="DC743">
        <f t="shared" si="1468"/>
        <v>0</v>
      </c>
      <c r="DD743">
        <f t="shared" si="1468"/>
        <v>0</v>
      </c>
      <c r="DE743">
        <f t="shared" si="1468"/>
        <v>0</v>
      </c>
      <c r="DF743">
        <f t="shared" si="1468"/>
        <v>0</v>
      </c>
      <c r="DG743">
        <f t="shared" si="1469"/>
        <v>0</v>
      </c>
      <c r="DH743">
        <f t="shared" si="1469"/>
        <v>0</v>
      </c>
      <c r="DI743">
        <f t="shared" si="1469"/>
        <v>0</v>
      </c>
      <c r="DJ743">
        <f t="shared" si="1469"/>
        <v>0</v>
      </c>
      <c r="DK743">
        <f t="shared" si="1469"/>
        <v>0</v>
      </c>
      <c r="DL743">
        <f t="shared" si="1469"/>
        <v>0</v>
      </c>
      <c r="DM743">
        <f t="shared" si="1469"/>
        <v>0</v>
      </c>
      <c r="DN743">
        <f t="shared" si="1469"/>
        <v>0</v>
      </c>
      <c r="DO743">
        <f t="shared" si="1469"/>
        <v>0</v>
      </c>
      <c r="DP743">
        <f t="shared" si="1469"/>
        <v>0</v>
      </c>
      <c r="DQ743">
        <f t="shared" si="1470"/>
        <v>0</v>
      </c>
      <c r="DR743">
        <f t="shared" si="1470"/>
        <v>0</v>
      </c>
      <c r="DS743">
        <f t="shared" si="1470"/>
        <v>0</v>
      </c>
      <c r="DT743">
        <f t="shared" si="1470"/>
        <v>0</v>
      </c>
      <c r="DU743">
        <f t="shared" si="1470"/>
        <v>0</v>
      </c>
      <c r="DV743">
        <f t="shared" si="1470"/>
        <v>0</v>
      </c>
      <c r="DW743">
        <f t="shared" si="1470"/>
        <v>0</v>
      </c>
      <c r="DX743">
        <f t="shared" si="1470"/>
        <v>0</v>
      </c>
      <c r="DY743">
        <f t="shared" si="1470"/>
        <v>0</v>
      </c>
      <c r="DZ743">
        <f t="shared" si="1470"/>
        <v>0</v>
      </c>
      <c r="EA743">
        <f t="shared" si="1471"/>
        <v>0</v>
      </c>
      <c r="EB743">
        <f t="shared" si="1471"/>
        <v>0</v>
      </c>
      <c r="EC743">
        <f t="shared" si="1471"/>
        <v>0</v>
      </c>
      <c r="ED743">
        <f t="shared" si="1471"/>
        <v>0</v>
      </c>
      <c r="EE743">
        <f t="shared" si="1471"/>
        <v>0</v>
      </c>
      <c r="EF743">
        <f t="shared" si="1471"/>
        <v>0</v>
      </c>
    </row>
    <row r="744" spans="1:136" ht="15.5">
      <c r="A744" s="90"/>
      <c r="B744" s="19" t="s">
        <v>208</v>
      </c>
      <c r="C744" s="95"/>
      <c r="D744" s="18">
        <v>0</v>
      </c>
      <c r="E744" s="18">
        <v>0</v>
      </c>
      <c r="F744" s="18">
        <v>0</v>
      </c>
      <c r="G744" s="18">
        <v>0</v>
      </c>
      <c r="H744" s="18">
        <v>0</v>
      </c>
      <c r="I744" s="18">
        <v>0</v>
      </c>
      <c r="J744" s="18">
        <v>0</v>
      </c>
      <c r="K744" s="18">
        <v>0</v>
      </c>
      <c r="L744" s="18">
        <v>0</v>
      </c>
      <c r="M744" s="18">
        <v>0</v>
      </c>
      <c r="N744" s="18">
        <v>5.7609275000000002</v>
      </c>
      <c r="O744" s="18">
        <v>6.6903454</v>
      </c>
      <c r="P744" s="18">
        <v>6.0152953999999994</v>
      </c>
      <c r="Q744" s="18">
        <v>6.849526</v>
      </c>
      <c r="R744" s="18">
        <v>7.5325528999999998</v>
      </c>
      <c r="S744" s="18">
        <v>1.7240219999999999</v>
      </c>
      <c r="T744" s="18">
        <v>1.4572543999999998</v>
      </c>
      <c r="U744" s="18">
        <v>1.6315360000000001</v>
      </c>
      <c r="V744" s="18">
        <v>1.7415320000000001</v>
      </c>
      <c r="W744" s="18">
        <v>1.9037440000000001</v>
      </c>
      <c r="X744" s="18">
        <v>2.04156</v>
      </c>
      <c r="Y744" s="18">
        <v>1.633248</v>
      </c>
      <c r="Z744" s="18">
        <v>1.5543541000000001</v>
      </c>
      <c r="AA744" s="18">
        <v>2.1071717000000003</v>
      </c>
      <c r="AB744" s="18">
        <v>4.7061405000000001</v>
      </c>
      <c r="AC744" s="18">
        <v>18.567679300000002</v>
      </c>
      <c r="AD744" s="18">
        <v>26.294136399999999</v>
      </c>
      <c r="AE744" s="18">
        <v>29.936406600000002</v>
      </c>
      <c r="AF744" s="18">
        <v>1.8258791000000001</v>
      </c>
      <c r="AG744" s="18">
        <v>5.4307555000000001</v>
      </c>
      <c r="AH744" s="18">
        <v>4.3270572000000005</v>
      </c>
      <c r="AI744" s="18">
        <v>6.4055574999999996</v>
      </c>
      <c r="AJ744" s="18">
        <v>6.8829669999999998</v>
      </c>
      <c r="AK744" s="18">
        <v>25.532779699999999</v>
      </c>
      <c r="AL744" s="18">
        <v>2.238489</v>
      </c>
      <c r="AM744" s="18">
        <v>2.4208428999999998</v>
      </c>
      <c r="AN744" s="18">
        <v>0.76781240000000006</v>
      </c>
      <c r="AO744" s="18">
        <v>0</v>
      </c>
      <c r="AP744" s="18">
        <v>0</v>
      </c>
      <c r="AQ744" s="18">
        <v>0</v>
      </c>
      <c r="AR744" s="18">
        <v>0</v>
      </c>
      <c r="AS744" s="18">
        <v>0</v>
      </c>
      <c r="AT744" s="18">
        <v>0</v>
      </c>
      <c r="AU744" s="18">
        <v>0</v>
      </c>
      <c r="AV744" s="18">
        <v>0</v>
      </c>
      <c r="AW744" s="18">
        <v>0</v>
      </c>
      <c r="AX744" s="18">
        <v>0</v>
      </c>
      <c r="AY744" s="18">
        <v>0</v>
      </c>
      <c r="AZ744" s="18">
        <v>0</v>
      </c>
      <c r="BA744" s="18">
        <v>0</v>
      </c>
      <c r="BB744" s="18">
        <v>0</v>
      </c>
      <c r="BC744" s="18">
        <v>1.2662100000000001E-2</v>
      </c>
      <c r="BD744" s="18">
        <v>0.5580389</v>
      </c>
      <c r="BE744" s="25">
        <v>5.9301300000000001E-2</v>
      </c>
      <c r="BF744" s="18">
        <v>0.19061370000000002</v>
      </c>
      <c r="BG744" s="18">
        <v>0.28850550000000003</v>
      </c>
      <c r="BH744" s="25">
        <v>0.27301189999999997</v>
      </c>
      <c r="BI744" s="103">
        <v>0.1283251</v>
      </c>
      <c r="BJ744" s="40">
        <v>0.122515</v>
      </c>
      <c r="BK744" s="34">
        <v>0</v>
      </c>
      <c r="BL744" s="34">
        <v>0</v>
      </c>
      <c r="BM744" s="34">
        <v>0</v>
      </c>
      <c r="BN744" s="34">
        <v>0</v>
      </c>
      <c r="BO744" s="149">
        <v>0</v>
      </c>
      <c r="BP744" s="34">
        <v>0</v>
      </c>
      <c r="BQ744" s="34">
        <v>0</v>
      </c>
      <c r="BR744" s="101"/>
      <c r="BS744">
        <f t="shared" ref="BS744:CB745" si="1472">IF($C744&lt;&gt;"",IF(D744&gt;0,1,0),0)</f>
        <v>0</v>
      </c>
      <c r="BT744">
        <f t="shared" si="1472"/>
        <v>0</v>
      </c>
      <c r="BU744">
        <f t="shared" si="1472"/>
        <v>0</v>
      </c>
      <c r="BV744">
        <f t="shared" si="1472"/>
        <v>0</v>
      </c>
      <c r="BW744">
        <f t="shared" si="1472"/>
        <v>0</v>
      </c>
      <c r="BX744">
        <f t="shared" si="1472"/>
        <v>0</v>
      </c>
      <c r="BY744">
        <f t="shared" si="1472"/>
        <v>0</v>
      </c>
      <c r="BZ744">
        <f t="shared" si="1472"/>
        <v>0</v>
      </c>
      <c r="CA744">
        <f t="shared" si="1472"/>
        <v>0</v>
      </c>
      <c r="CB744">
        <f t="shared" si="1472"/>
        <v>0</v>
      </c>
      <c r="CC744">
        <f t="shared" ref="CC744:CL745" si="1473">IF($C744&lt;&gt;"",IF(N744&gt;0,1,0),0)</f>
        <v>0</v>
      </c>
      <c r="CD744">
        <f t="shared" si="1473"/>
        <v>0</v>
      </c>
      <c r="CE744">
        <f t="shared" si="1473"/>
        <v>0</v>
      </c>
      <c r="CF744">
        <f t="shared" si="1473"/>
        <v>0</v>
      </c>
      <c r="CG744">
        <f t="shared" si="1473"/>
        <v>0</v>
      </c>
      <c r="CH744">
        <f t="shared" si="1473"/>
        <v>0</v>
      </c>
      <c r="CI744">
        <f t="shared" si="1473"/>
        <v>0</v>
      </c>
      <c r="CJ744">
        <f t="shared" si="1473"/>
        <v>0</v>
      </c>
      <c r="CK744">
        <f t="shared" si="1473"/>
        <v>0</v>
      </c>
      <c r="CL744">
        <f t="shared" si="1473"/>
        <v>0</v>
      </c>
      <c r="CM744">
        <f t="shared" ref="CM744:CV745" si="1474">IF($C744&lt;&gt;"",IF(X744&gt;0,1,0),0)</f>
        <v>0</v>
      </c>
      <c r="CN744">
        <f t="shared" si="1474"/>
        <v>0</v>
      </c>
      <c r="CO744">
        <f t="shared" si="1474"/>
        <v>0</v>
      </c>
      <c r="CP744">
        <f t="shared" si="1474"/>
        <v>0</v>
      </c>
      <c r="CQ744">
        <f t="shared" si="1474"/>
        <v>0</v>
      </c>
      <c r="CR744">
        <f t="shared" si="1474"/>
        <v>0</v>
      </c>
      <c r="CS744">
        <f t="shared" si="1474"/>
        <v>0</v>
      </c>
      <c r="CT744">
        <f t="shared" si="1474"/>
        <v>0</v>
      </c>
      <c r="CU744">
        <f t="shared" si="1474"/>
        <v>0</v>
      </c>
      <c r="CV744">
        <f t="shared" si="1474"/>
        <v>0</v>
      </c>
      <c r="CW744">
        <f t="shared" ref="CW744:DF745" si="1475">IF($C744&lt;&gt;"",IF(AH744&gt;0,1,0),0)</f>
        <v>0</v>
      </c>
      <c r="CX744">
        <f t="shared" si="1475"/>
        <v>0</v>
      </c>
      <c r="CY744">
        <f t="shared" si="1475"/>
        <v>0</v>
      </c>
      <c r="CZ744">
        <f t="shared" si="1475"/>
        <v>0</v>
      </c>
      <c r="DA744">
        <f t="shared" si="1475"/>
        <v>0</v>
      </c>
      <c r="DB744">
        <f t="shared" si="1475"/>
        <v>0</v>
      </c>
      <c r="DC744">
        <f t="shared" si="1475"/>
        <v>0</v>
      </c>
      <c r="DD744">
        <f t="shared" si="1475"/>
        <v>0</v>
      </c>
      <c r="DE744">
        <f t="shared" si="1475"/>
        <v>0</v>
      </c>
      <c r="DF744">
        <f t="shared" si="1475"/>
        <v>0</v>
      </c>
      <c r="DG744">
        <f t="shared" ref="DG744:DP745" si="1476">IF($C744&lt;&gt;"",IF(AR744&gt;0,1,0),0)</f>
        <v>0</v>
      </c>
      <c r="DH744">
        <f t="shared" si="1476"/>
        <v>0</v>
      </c>
      <c r="DI744">
        <f t="shared" si="1476"/>
        <v>0</v>
      </c>
      <c r="DJ744">
        <f t="shared" si="1476"/>
        <v>0</v>
      </c>
      <c r="DK744">
        <f t="shared" si="1476"/>
        <v>0</v>
      </c>
      <c r="DL744">
        <f t="shared" si="1476"/>
        <v>0</v>
      </c>
      <c r="DM744">
        <f t="shared" si="1476"/>
        <v>0</v>
      </c>
      <c r="DN744">
        <f t="shared" si="1476"/>
        <v>0</v>
      </c>
      <c r="DO744">
        <f t="shared" si="1476"/>
        <v>0</v>
      </c>
      <c r="DP744">
        <f t="shared" si="1476"/>
        <v>0</v>
      </c>
      <c r="DQ744">
        <f t="shared" ref="DQ744:DR745" si="1477">IF($C744&lt;&gt;"",IF(BB744&gt;0,1,0),0)</f>
        <v>0</v>
      </c>
      <c r="DR744">
        <f t="shared" si="1477"/>
        <v>0</v>
      </c>
      <c r="DS744">
        <f>IF($C744&lt;&gt;"",IF(BF724&gt;0,1,0),0)</f>
        <v>0</v>
      </c>
      <c r="DT744">
        <f t="shared" ref="DT744:EF745" si="1478">IF($C744&lt;&gt;"",IF(BE744&gt;0,1,0),0)</f>
        <v>0</v>
      </c>
      <c r="DU744">
        <f t="shared" si="1478"/>
        <v>0</v>
      </c>
      <c r="DV744">
        <f t="shared" si="1478"/>
        <v>0</v>
      </c>
      <c r="DW744">
        <f t="shared" si="1478"/>
        <v>0</v>
      </c>
      <c r="DX744">
        <f t="shared" si="1478"/>
        <v>0</v>
      </c>
      <c r="DY744">
        <f t="shared" si="1478"/>
        <v>0</v>
      </c>
      <c r="DZ744">
        <f t="shared" si="1478"/>
        <v>0</v>
      </c>
      <c r="EA744">
        <f t="shared" si="1478"/>
        <v>0</v>
      </c>
      <c r="EB744">
        <f t="shared" si="1478"/>
        <v>0</v>
      </c>
      <c r="EC744">
        <f t="shared" si="1478"/>
        <v>0</v>
      </c>
      <c r="ED744">
        <f t="shared" si="1478"/>
        <v>0</v>
      </c>
      <c r="EE744">
        <f t="shared" si="1478"/>
        <v>0</v>
      </c>
      <c r="EF744">
        <f t="shared" si="1478"/>
        <v>0</v>
      </c>
    </row>
    <row r="745" spans="1:136" ht="15.5">
      <c r="A745" s="90"/>
      <c r="B745" s="188" t="s">
        <v>212</v>
      </c>
      <c r="C745" s="95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>
        <v>208.23798627002287</v>
      </c>
      <c r="AB745" s="18">
        <v>187.70833333333334</v>
      </c>
      <c r="AC745" s="18">
        <v>237.83068783068782</v>
      </c>
      <c r="AD745" s="18">
        <v>275.23219814241486</v>
      </c>
      <c r="AE745" s="18">
        <v>340.44943820224717</v>
      </c>
      <c r="AF745" s="18">
        <v>269.63696369636966</v>
      </c>
      <c r="AG745" s="18">
        <v>228.403593642018</v>
      </c>
      <c r="AH745" s="18">
        <v>243.2748538011696</v>
      </c>
      <c r="AI745" s="18">
        <v>219.8581560283688</v>
      </c>
      <c r="AJ745" s="18">
        <v>229.0566037735849</v>
      </c>
      <c r="AK745" s="18">
        <v>227.08009605876535</v>
      </c>
      <c r="AL745" s="18">
        <v>97.926267281105993</v>
      </c>
      <c r="AM745" s="18">
        <v>88.750876490033065</v>
      </c>
      <c r="AN745" s="18">
        <v>51.412374156973904</v>
      </c>
      <c r="AO745" s="18">
        <v>32.231128924515701</v>
      </c>
      <c r="AP745" s="18">
        <v>16.542155816435432</v>
      </c>
      <c r="AQ745" s="18">
        <v>0</v>
      </c>
      <c r="AR745" s="18">
        <v>0</v>
      </c>
      <c r="AS745" s="18">
        <v>0</v>
      </c>
      <c r="AT745" s="18">
        <v>0</v>
      </c>
      <c r="AU745" s="18">
        <v>0</v>
      </c>
      <c r="AV745" s="18">
        <v>0</v>
      </c>
      <c r="AW745" s="18">
        <v>0</v>
      </c>
      <c r="AX745" s="18">
        <v>0</v>
      </c>
      <c r="AY745" s="18">
        <v>0</v>
      </c>
      <c r="AZ745" s="18">
        <v>0</v>
      </c>
      <c r="BA745" s="18">
        <v>370.48192771084337</v>
      </c>
      <c r="BB745" s="18">
        <v>330.14861995753716</v>
      </c>
      <c r="BC745" s="18">
        <v>298.78296146044624</v>
      </c>
      <c r="BD745" s="18">
        <v>333.70858797040847</v>
      </c>
      <c r="BE745" s="25">
        <v>253.48807977542214</v>
      </c>
      <c r="BF745" s="18">
        <v>131.30242332942771</v>
      </c>
      <c r="BG745" s="18">
        <v>55.39339259652381</v>
      </c>
      <c r="BH745" s="25">
        <v>40.429969517086477</v>
      </c>
      <c r="BI745" s="34">
        <v>36.168327395699585</v>
      </c>
      <c r="BJ745" s="18">
        <v>17.331022530329289</v>
      </c>
      <c r="BK745" s="113">
        <v>0</v>
      </c>
      <c r="BL745" s="113">
        <v>217.39130434782609</v>
      </c>
      <c r="BM745" s="113">
        <v>321.85886402753874</v>
      </c>
      <c r="BN745" s="113">
        <v>298.50746268656718</v>
      </c>
      <c r="BO745" s="113">
        <v>46.280991735537192</v>
      </c>
      <c r="BP745" s="113">
        <v>649</v>
      </c>
      <c r="BQ745" s="113">
        <v>725</v>
      </c>
      <c r="BR745" s="101"/>
      <c r="BS745">
        <f t="shared" si="1472"/>
        <v>0</v>
      </c>
      <c r="BT745">
        <f t="shared" si="1472"/>
        <v>0</v>
      </c>
      <c r="BU745">
        <f t="shared" si="1472"/>
        <v>0</v>
      </c>
      <c r="BV745">
        <f t="shared" si="1472"/>
        <v>0</v>
      </c>
      <c r="BW745">
        <f t="shared" si="1472"/>
        <v>0</v>
      </c>
      <c r="BX745">
        <f t="shared" si="1472"/>
        <v>0</v>
      </c>
      <c r="BY745">
        <f t="shared" si="1472"/>
        <v>0</v>
      </c>
      <c r="BZ745">
        <f t="shared" si="1472"/>
        <v>0</v>
      </c>
      <c r="CA745">
        <f t="shared" si="1472"/>
        <v>0</v>
      </c>
      <c r="CB745">
        <f t="shared" si="1472"/>
        <v>0</v>
      </c>
      <c r="CC745">
        <f t="shared" si="1473"/>
        <v>0</v>
      </c>
      <c r="CD745">
        <f t="shared" si="1473"/>
        <v>0</v>
      </c>
      <c r="CE745">
        <f t="shared" si="1473"/>
        <v>0</v>
      </c>
      <c r="CF745">
        <f t="shared" si="1473"/>
        <v>0</v>
      </c>
      <c r="CG745">
        <f t="shared" si="1473"/>
        <v>0</v>
      </c>
      <c r="CH745">
        <f t="shared" si="1473"/>
        <v>0</v>
      </c>
      <c r="CI745">
        <f t="shared" si="1473"/>
        <v>0</v>
      </c>
      <c r="CJ745">
        <f t="shared" si="1473"/>
        <v>0</v>
      </c>
      <c r="CK745">
        <f t="shared" si="1473"/>
        <v>0</v>
      </c>
      <c r="CL745">
        <f t="shared" si="1473"/>
        <v>0</v>
      </c>
      <c r="CM745">
        <f t="shared" si="1474"/>
        <v>0</v>
      </c>
      <c r="CN745">
        <f t="shared" si="1474"/>
        <v>0</v>
      </c>
      <c r="CO745">
        <f t="shared" si="1474"/>
        <v>0</v>
      </c>
      <c r="CP745">
        <f t="shared" si="1474"/>
        <v>0</v>
      </c>
      <c r="CQ745">
        <f t="shared" si="1474"/>
        <v>0</v>
      </c>
      <c r="CR745">
        <f t="shared" si="1474"/>
        <v>0</v>
      </c>
      <c r="CS745">
        <f t="shared" si="1474"/>
        <v>0</v>
      </c>
      <c r="CT745">
        <f t="shared" si="1474"/>
        <v>0</v>
      </c>
      <c r="CU745">
        <f t="shared" si="1474"/>
        <v>0</v>
      </c>
      <c r="CV745">
        <f t="shared" si="1474"/>
        <v>0</v>
      </c>
      <c r="CW745">
        <f t="shared" si="1475"/>
        <v>0</v>
      </c>
      <c r="CX745">
        <f t="shared" si="1475"/>
        <v>0</v>
      </c>
      <c r="CY745">
        <f t="shared" si="1475"/>
        <v>0</v>
      </c>
      <c r="CZ745">
        <f t="shared" si="1475"/>
        <v>0</v>
      </c>
      <c r="DA745">
        <f t="shared" si="1475"/>
        <v>0</v>
      </c>
      <c r="DB745">
        <f t="shared" si="1475"/>
        <v>0</v>
      </c>
      <c r="DC745">
        <f t="shared" si="1475"/>
        <v>0</v>
      </c>
      <c r="DD745">
        <f t="shared" si="1475"/>
        <v>0</v>
      </c>
      <c r="DE745">
        <f t="shared" si="1475"/>
        <v>0</v>
      </c>
      <c r="DF745">
        <f t="shared" si="1475"/>
        <v>0</v>
      </c>
      <c r="DG745">
        <f t="shared" si="1476"/>
        <v>0</v>
      </c>
      <c r="DH745">
        <f t="shared" si="1476"/>
        <v>0</v>
      </c>
      <c r="DI745">
        <f t="shared" si="1476"/>
        <v>0</v>
      </c>
      <c r="DJ745">
        <f t="shared" si="1476"/>
        <v>0</v>
      </c>
      <c r="DK745">
        <f t="shared" si="1476"/>
        <v>0</v>
      </c>
      <c r="DL745">
        <f t="shared" si="1476"/>
        <v>0</v>
      </c>
      <c r="DM745">
        <f t="shared" si="1476"/>
        <v>0</v>
      </c>
      <c r="DN745">
        <f t="shared" si="1476"/>
        <v>0</v>
      </c>
      <c r="DO745">
        <f t="shared" si="1476"/>
        <v>0</v>
      </c>
      <c r="DP745">
        <f t="shared" si="1476"/>
        <v>0</v>
      </c>
      <c r="DQ745">
        <f t="shared" si="1477"/>
        <v>0</v>
      </c>
      <c r="DR745">
        <f t="shared" si="1477"/>
        <v>0</v>
      </c>
      <c r="DS745">
        <f>IF($C745&lt;&gt;"",IF(BD745&gt;0,1,0),0)</f>
        <v>0</v>
      </c>
      <c r="DT745">
        <f t="shared" si="1478"/>
        <v>0</v>
      </c>
      <c r="DU745">
        <f t="shared" si="1478"/>
        <v>0</v>
      </c>
      <c r="DV745">
        <f t="shared" si="1478"/>
        <v>0</v>
      </c>
      <c r="DW745">
        <f t="shared" si="1478"/>
        <v>0</v>
      </c>
      <c r="DX745">
        <f t="shared" si="1478"/>
        <v>0</v>
      </c>
      <c r="DY745">
        <f t="shared" si="1478"/>
        <v>0</v>
      </c>
      <c r="DZ745">
        <f t="shared" si="1478"/>
        <v>0</v>
      </c>
      <c r="EA745">
        <f t="shared" si="1478"/>
        <v>0</v>
      </c>
      <c r="EB745">
        <f t="shared" si="1478"/>
        <v>0</v>
      </c>
      <c r="EC745">
        <f t="shared" si="1478"/>
        <v>0</v>
      </c>
      <c r="ED745">
        <f t="shared" si="1478"/>
        <v>0</v>
      </c>
      <c r="EE745">
        <f t="shared" si="1478"/>
        <v>0</v>
      </c>
      <c r="EF745">
        <f t="shared" si="1478"/>
        <v>0</v>
      </c>
    </row>
    <row r="746" spans="1:136" ht="15.5">
      <c r="A746" s="90"/>
      <c r="B746" s="188"/>
      <c r="C746" s="95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  <c r="AS746" s="18"/>
      <c r="AT746" s="18"/>
      <c r="AU746" s="18"/>
      <c r="AV746" s="18"/>
      <c r="AW746" s="18"/>
      <c r="AX746" s="18"/>
      <c r="AY746" s="18"/>
      <c r="AZ746" s="18"/>
      <c r="BA746" s="18"/>
      <c r="BB746" s="18"/>
      <c r="BC746" s="18"/>
      <c r="BD746" s="18"/>
      <c r="BE746" s="25"/>
      <c r="BF746" s="18"/>
      <c r="BG746" s="18"/>
      <c r="BH746" s="25"/>
      <c r="BI746" s="34"/>
      <c r="BJ746" s="18"/>
      <c r="BK746" s="113"/>
      <c r="BL746" s="113"/>
      <c r="BM746" s="113"/>
      <c r="BN746" s="113"/>
      <c r="BO746" s="113"/>
      <c r="BP746" s="2"/>
      <c r="BQ746" s="2"/>
      <c r="BR746" s="101"/>
    </row>
    <row r="747" spans="1:136" ht="15.5">
      <c r="A747" s="93">
        <v>92</v>
      </c>
      <c r="B747" s="218" t="s">
        <v>246</v>
      </c>
      <c r="C747" s="95">
        <v>3</v>
      </c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  <c r="AS747" s="18"/>
      <c r="AT747" s="18"/>
      <c r="AU747" s="18"/>
      <c r="AV747" s="18"/>
      <c r="AW747" s="18"/>
      <c r="AX747" s="18"/>
      <c r="AY747" s="18"/>
      <c r="AZ747" s="18"/>
      <c r="BA747" s="18"/>
      <c r="BB747" s="18"/>
      <c r="BC747" s="18"/>
      <c r="BD747" s="18"/>
      <c r="BE747" s="25"/>
      <c r="BF747" s="18"/>
      <c r="BG747" s="18"/>
      <c r="BH747" s="25"/>
      <c r="BI747" s="34"/>
      <c r="BJ747" s="18"/>
      <c r="BK747" s="113"/>
      <c r="BL747" s="113"/>
      <c r="BM747" s="113"/>
      <c r="BN747" s="113"/>
      <c r="BO747" s="113"/>
      <c r="BP747" s="2"/>
      <c r="BQ747" s="2"/>
      <c r="BR747" s="101"/>
    </row>
    <row r="748" spans="1:136" ht="15.5">
      <c r="A748" s="90"/>
      <c r="B748" s="188" t="s">
        <v>212</v>
      </c>
      <c r="C748" s="95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>
        <v>7</v>
      </c>
      <c r="AD748" s="18">
        <v>3</v>
      </c>
      <c r="AE748" s="18">
        <v>2</v>
      </c>
      <c r="AF748" s="18">
        <v>3</v>
      </c>
      <c r="AG748" s="18">
        <v>4</v>
      </c>
      <c r="AH748" s="18">
        <v>3.4</v>
      </c>
      <c r="AI748" s="18">
        <v>0</v>
      </c>
      <c r="AJ748" s="18">
        <v>0</v>
      </c>
      <c r="AK748" s="18">
        <v>0</v>
      </c>
      <c r="AL748" s="18">
        <v>0</v>
      </c>
      <c r="AM748" s="18">
        <v>0</v>
      </c>
      <c r="AN748" s="18">
        <v>1.4</v>
      </c>
      <c r="AO748" s="18">
        <v>0.9</v>
      </c>
      <c r="AP748" s="18">
        <v>1.3</v>
      </c>
      <c r="AQ748" s="18">
        <v>1</v>
      </c>
      <c r="AR748" s="18">
        <v>1.7</v>
      </c>
      <c r="AS748" s="18">
        <v>0</v>
      </c>
      <c r="AT748" s="18">
        <v>0</v>
      </c>
      <c r="AU748" s="18">
        <v>0</v>
      </c>
      <c r="AV748" s="18">
        <v>0</v>
      </c>
      <c r="AW748" s="18">
        <v>0</v>
      </c>
      <c r="AX748" s="18">
        <v>0</v>
      </c>
      <c r="AY748" s="18">
        <v>0</v>
      </c>
      <c r="AZ748" s="18">
        <v>0</v>
      </c>
      <c r="BA748" s="18">
        <v>0</v>
      </c>
      <c r="BB748" s="18">
        <v>9</v>
      </c>
      <c r="BC748" s="18">
        <v>0</v>
      </c>
      <c r="BD748" s="18">
        <v>0</v>
      </c>
      <c r="BE748" s="25">
        <v>0</v>
      </c>
      <c r="BF748" s="18">
        <v>0</v>
      </c>
      <c r="BG748" s="18">
        <v>0</v>
      </c>
      <c r="BH748" s="25">
        <v>0</v>
      </c>
      <c r="BI748" s="34">
        <v>0</v>
      </c>
      <c r="BJ748" s="18">
        <v>0</v>
      </c>
      <c r="BK748" s="113">
        <v>0</v>
      </c>
      <c r="BL748" s="113">
        <v>0</v>
      </c>
      <c r="BM748" s="113">
        <v>0</v>
      </c>
      <c r="BN748" s="113">
        <v>0</v>
      </c>
      <c r="BO748" s="113">
        <v>0</v>
      </c>
      <c r="BP748" s="113">
        <v>0</v>
      </c>
      <c r="BQ748" s="113">
        <v>0</v>
      </c>
      <c r="BR748" s="101"/>
      <c r="BS748">
        <f t="shared" ref="BS748:CX748" si="1479">IF($C748&lt;&gt;"",IF(D748&gt;0,1,0),0)</f>
        <v>0</v>
      </c>
      <c r="BT748">
        <f t="shared" si="1479"/>
        <v>0</v>
      </c>
      <c r="BU748">
        <f t="shared" si="1479"/>
        <v>0</v>
      </c>
      <c r="BV748">
        <f t="shared" si="1479"/>
        <v>0</v>
      </c>
      <c r="BW748">
        <f t="shared" si="1479"/>
        <v>0</v>
      </c>
      <c r="BX748">
        <f t="shared" si="1479"/>
        <v>0</v>
      </c>
      <c r="BY748">
        <f t="shared" si="1479"/>
        <v>0</v>
      </c>
      <c r="BZ748">
        <f t="shared" si="1479"/>
        <v>0</v>
      </c>
      <c r="CA748">
        <f t="shared" si="1479"/>
        <v>0</v>
      </c>
      <c r="CB748">
        <f t="shared" si="1479"/>
        <v>0</v>
      </c>
      <c r="CC748">
        <f t="shared" si="1479"/>
        <v>0</v>
      </c>
      <c r="CD748">
        <f t="shared" si="1479"/>
        <v>0</v>
      </c>
      <c r="CE748">
        <f t="shared" si="1479"/>
        <v>0</v>
      </c>
      <c r="CF748">
        <f t="shared" si="1479"/>
        <v>0</v>
      </c>
      <c r="CG748">
        <f t="shared" si="1479"/>
        <v>0</v>
      </c>
      <c r="CH748">
        <f t="shared" si="1479"/>
        <v>0</v>
      </c>
      <c r="CI748">
        <f t="shared" si="1479"/>
        <v>0</v>
      </c>
      <c r="CJ748">
        <f t="shared" si="1479"/>
        <v>0</v>
      </c>
      <c r="CK748">
        <f t="shared" si="1479"/>
        <v>0</v>
      </c>
      <c r="CL748">
        <f t="shared" si="1479"/>
        <v>0</v>
      </c>
      <c r="CM748">
        <f t="shared" si="1479"/>
        <v>0</v>
      </c>
      <c r="CN748">
        <f t="shared" si="1479"/>
        <v>0</v>
      </c>
      <c r="CO748">
        <f t="shared" si="1479"/>
        <v>0</v>
      </c>
      <c r="CP748">
        <f t="shared" si="1479"/>
        <v>0</v>
      </c>
      <c r="CQ748">
        <f t="shared" si="1479"/>
        <v>0</v>
      </c>
      <c r="CR748">
        <f t="shared" si="1479"/>
        <v>0</v>
      </c>
      <c r="CS748">
        <f t="shared" si="1479"/>
        <v>0</v>
      </c>
      <c r="CT748">
        <f t="shared" si="1479"/>
        <v>0</v>
      </c>
      <c r="CU748">
        <f t="shared" si="1479"/>
        <v>0</v>
      </c>
      <c r="CV748">
        <f t="shared" si="1479"/>
        <v>0</v>
      </c>
      <c r="CW748">
        <f t="shared" si="1479"/>
        <v>0</v>
      </c>
      <c r="CX748">
        <f t="shared" si="1479"/>
        <v>0</v>
      </c>
      <c r="CY748">
        <f t="shared" ref="CY748:ED748" si="1480">IF($C748&lt;&gt;"",IF(AJ748&gt;0,1,0),0)</f>
        <v>0</v>
      </c>
      <c r="CZ748">
        <f t="shared" si="1480"/>
        <v>0</v>
      </c>
      <c r="DA748">
        <f t="shared" si="1480"/>
        <v>0</v>
      </c>
      <c r="DB748">
        <f t="shared" si="1480"/>
        <v>0</v>
      </c>
      <c r="DC748">
        <f t="shared" si="1480"/>
        <v>0</v>
      </c>
      <c r="DD748">
        <f t="shared" si="1480"/>
        <v>0</v>
      </c>
      <c r="DE748">
        <f t="shared" si="1480"/>
        <v>0</v>
      </c>
      <c r="DF748">
        <f t="shared" si="1480"/>
        <v>0</v>
      </c>
      <c r="DG748">
        <f t="shared" si="1480"/>
        <v>0</v>
      </c>
      <c r="DH748">
        <f t="shared" si="1480"/>
        <v>0</v>
      </c>
      <c r="DI748">
        <f t="shared" si="1480"/>
        <v>0</v>
      </c>
      <c r="DJ748">
        <f t="shared" si="1480"/>
        <v>0</v>
      </c>
      <c r="DK748">
        <f t="shared" si="1480"/>
        <v>0</v>
      </c>
      <c r="DL748">
        <f t="shared" si="1480"/>
        <v>0</v>
      </c>
      <c r="DM748">
        <f t="shared" si="1480"/>
        <v>0</v>
      </c>
      <c r="DN748">
        <f t="shared" si="1480"/>
        <v>0</v>
      </c>
      <c r="DO748">
        <f t="shared" si="1480"/>
        <v>0</v>
      </c>
      <c r="DP748">
        <f t="shared" si="1480"/>
        <v>0</v>
      </c>
      <c r="DQ748">
        <f t="shared" si="1480"/>
        <v>0</v>
      </c>
      <c r="DR748">
        <f t="shared" si="1480"/>
        <v>0</v>
      </c>
      <c r="DS748">
        <f t="shared" si="1480"/>
        <v>0</v>
      </c>
      <c r="DT748">
        <f t="shared" si="1480"/>
        <v>0</v>
      </c>
      <c r="DU748">
        <f t="shared" si="1480"/>
        <v>0</v>
      </c>
      <c r="DV748">
        <f t="shared" si="1480"/>
        <v>0</v>
      </c>
      <c r="DW748">
        <f t="shared" si="1480"/>
        <v>0</v>
      </c>
      <c r="DX748">
        <f t="shared" si="1480"/>
        <v>0</v>
      </c>
      <c r="DY748">
        <f t="shared" si="1480"/>
        <v>0</v>
      </c>
      <c r="DZ748">
        <f t="shared" si="1480"/>
        <v>0</v>
      </c>
      <c r="EA748">
        <f t="shared" si="1480"/>
        <v>0</v>
      </c>
      <c r="EB748">
        <f t="shared" si="1480"/>
        <v>0</v>
      </c>
      <c r="EC748">
        <f t="shared" si="1480"/>
        <v>0</v>
      </c>
      <c r="ED748">
        <f t="shared" si="1480"/>
        <v>0</v>
      </c>
      <c r="EE748">
        <f t="shared" ref="EE748:EF748" si="1481">IF($C748&lt;&gt;"",IF(BP748&gt;0,1,0),0)</f>
        <v>0</v>
      </c>
      <c r="EF748">
        <f t="shared" si="1481"/>
        <v>0</v>
      </c>
    </row>
    <row r="749" spans="1:136" ht="15.5">
      <c r="A749" s="90"/>
      <c r="B749" s="19"/>
      <c r="C749" s="95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1"/>
      <c r="AK749" s="31"/>
      <c r="AL749" s="31"/>
      <c r="AM749" s="31"/>
      <c r="AN749" s="31"/>
      <c r="AO749" s="31"/>
      <c r="AP749" s="31"/>
      <c r="AQ749" s="31"/>
      <c r="AR749" s="31"/>
      <c r="AS749" s="31"/>
      <c r="AT749" s="31"/>
      <c r="AU749" s="31"/>
      <c r="AV749" s="31"/>
      <c r="AW749" s="31"/>
      <c r="AX749" s="31"/>
      <c r="AY749" s="31"/>
      <c r="AZ749" s="31"/>
      <c r="BA749" s="31"/>
      <c r="BB749" s="31"/>
      <c r="BC749" s="31"/>
      <c r="BD749" s="31"/>
      <c r="BE749" s="55"/>
      <c r="BF749" s="18"/>
      <c r="BG749" s="31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101"/>
    </row>
    <row r="750" spans="1:136" ht="15.5">
      <c r="A750" s="93">
        <v>93</v>
      </c>
      <c r="B750" s="271" t="s">
        <v>100</v>
      </c>
      <c r="C750" s="95">
        <v>3</v>
      </c>
      <c r="D750" s="22">
        <f t="shared" ref="D750:AI750" si="1482">SUM(D751:D755)</f>
        <v>0</v>
      </c>
      <c r="E750" s="22">
        <f t="shared" si="1482"/>
        <v>0</v>
      </c>
      <c r="F750" s="22">
        <f t="shared" si="1482"/>
        <v>0</v>
      </c>
      <c r="G750" s="22">
        <f t="shared" si="1482"/>
        <v>0</v>
      </c>
      <c r="H750" s="22">
        <f t="shared" si="1482"/>
        <v>0</v>
      </c>
      <c r="I750" s="22">
        <f t="shared" si="1482"/>
        <v>0</v>
      </c>
      <c r="J750" s="22">
        <f t="shared" si="1482"/>
        <v>0</v>
      </c>
      <c r="K750" s="22">
        <f t="shared" si="1482"/>
        <v>0</v>
      </c>
      <c r="L750" s="22">
        <f t="shared" si="1482"/>
        <v>0</v>
      </c>
      <c r="M750" s="22">
        <f t="shared" si="1482"/>
        <v>1</v>
      </c>
      <c r="N750" s="22">
        <f t="shared" si="1482"/>
        <v>0</v>
      </c>
      <c r="O750" s="22">
        <f t="shared" si="1482"/>
        <v>1.2633999999999999E-2</v>
      </c>
      <c r="P750" s="22">
        <f t="shared" si="1482"/>
        <v>0.29347499999999999</v>
      </c>
      <c r="Q750" s="22">
        <f t="shared" si="1482"/>
        <v>0.68714660000000005</v>
      </c>
      <c r="R750" s="22">
        <f t="shared" si="1482"/>
        <v>0.24142189999999999</v>
      </c>
      <c r="S750" s="22">
        <f t="shared" si="1482"/>
        <v>0.73528339999999992</v>
      </c>
      <c r="T750" s="22">
        <f t="shared" si="1482"/>
        <v>0.53725420000000002</v>
      </c>
      <c r="U750" s="22">
        <f t="shared" si="1482"/>
        <v>3.8631720999999999</v>
      </c>
      <c r="V750" s="22">
        <f t="shared" si="1482"/>
        <v>32.380299200000003</v>
      </c>
      <c r="W750" s="22">
        <f t="shared" si="1482"/>
        <v>23.577135800000001</v>
      </c>
      <c r="X750" s="22">
        <f t="shared" si="1482"/>
        <v>54.268806299999994</v>
      </c>
      <c r="Y750" s="22">
        <f t="shared" si="1482"/>
        <v>36.072911999999995</v>
      </c>
      <c r="Z750" s="22">
        <f t="shared" si="1482"/>
        <v>46.3319446</v>
      </c>
      <c r="AA750" s="22">
        <f t="shared" si="1482"/>
        <v>68.490118600000002</v>
      </c>
      <c r="AB750" s="22">
        <f t="shared" si="1482"/>
        <v>112.43809849999998</v>
      </c>
      <c r="AC750" s="22">
        <f t="shared" si="1482"/>
        <v>87.500069499999995</v>
      </c>
      <c r="AD750" s="22">
        <f t="shared" si="1482"/>
        <v>97.920024100000006</v>
      </c>
      <c r="AE750" s="22">
        <f t="shared" si="1482"/>
        <v>112.6470188</v>
      </c>
      <c r="AF750" s="22">
        <f t="shared" si="1482"/>
        <v>147.2283683</v>
      </c>
      <c r="AG750" s="22">
        <f t="shared" si="1482"/>
        <v>294.00550779999998</v>
      </c>
      <c r="AH750" s="22">
        <f t="shared" si="1482"/>
        <v>277.04820670000004</v>
      </c>
      <c r="AI750" s="22">
        <f t="shared" si="1482"/>
        <v>309.55180469999999</v>
      </c>
      <c r="AJ750" s="22">
        <f t="shared" ref="AJ750:BO750" si="1483">SUM(AJ751:AJ755)</f>
        <v>404.11510050000004</v>
      </c>
      <c r="AK750" s="22">
        <f t="shared" si="1483"/>
        <v>696.29186859999993</v>
      </c>
      <c r="AL750" s="22">
        <f t="shared" si="1483"/>
        <v>328.63291680000003</v>
      </c>
      <c r="AM750" s="22">
        <f t="shared" si="1483"/>
        <v>312.26204749999999</v>
      </c>
      <c r="AN750" s="22">
        <f t="shared" si="1483"/>
        <v>382.9488015</v>
      </c>
      <c r="AO750" s="22">
        <f t="shared" si="1483"/>
        <v>291.40385629999997</v>
      </c>
      <c r="AP750" s="22">
        <f t="shared" si="1483"/>
        <v>402.23620720000002</v>
      </c>
      <c r="AQ750" s="22">
        <f t="shared" si="1483"/>
        <v>489.10454540000001</v>
      </c>
      <c r="AR750" s="22">
        <f t="shared" si="1483"/>
        <v>543.61294279999993</v>
      </c>
      <c r="AS750" s="22">
        <f t="shared" si="1483"/>
        <v>361.20376379999999</v>
      </c>
      <c r="AT750" s="22">
        <f t="shared" si="1483"/>
        <v>404.50197150000002</v>
      </c>
      <c r="AU750" s="22">
        <f t="shared" si="1483"/>
        <v>399.1256176</v>
      </c>
      <c r="AV750" s="22">
        <f t="shared" si="1483"/>
        <v>291.60621450000002</v>
      </c>
      <c r="AW750" s="22">
        <f t="shared" si="1483"/>
        <v>301.52719560000003</v>
      </c>
      <c r="AX750" s="22">
        <f t="shared" si="1483"/>
        <v>1197.5447340000001</v>
      </c>
      <c r="AY750" s="22">
        <f t="shared" si="1483"/>
        <v>1253.638766</v>
      </c>
      <c r="AZ750" s="22">
        <f t="shared" si="1483"/>
        <v>1267.6852162</v>
      </c>
      <c r="BA750" s="22">
        <f t="shared" si="1483"/>
        <v>1191.8946343000002</v>
      </c>
      <c r="BB750" s="22">
        <f t="shared" si="1483"/>
        <v>1169.9936459999999</v>
      </c>
      <c r="BC750" s="22">
        <f t="shared" si="1483"/>
        <v>1057.2871903999999</v>
      </c>
      <c r="BD750" s="22">
        <f t="shared" si="1483"/>
        <v>1054.8201358000001</v>
      </c>
      <c r="BE750" s="22">
        <f t="shared" si="1483"/>
        <v>1055.3791146999999</v>
      </c>
      <c r="BF750" s="22">
        <f t="shared" si="1483"/>
        <v>1048.40093</v>
      </c>
      <c r="BG750" s="22">
        <f t="shared" si="1483"/>
        <v>1045.0176899999999</v>
      </c>
      <c r="BH750" s="22">
        <f t="shared" si="1483"/>
        <v>1044.2160727999999</v>
      </c>
      <c r="BI750" s="22">
        <f t="shared" si="1483"/>
        <v>1045.5081779</v>
      </c>
      <c r="BJ750" s="22">
        <f t="shared" si="1483"/>
        <v>1045.0022403</v>
      </c>
      <c r="BK750" s="22">
        <f t="shared" si="1483"/>
        <v>1045.1549729999999</v>
      </c>
      <c r="BL750" s="22">
        <f t="shared" si="1483"/>
        <v>1166.0634172</v>
      </c>
      <c r="BM750" s="22">
        <f t="shared" si="1483"/>
        <v>278.60808939999998</v>
      </c>
      <c r="BN750" s="22">
        <f t="shared" si="1483"/>
        <v>348.32</v>
      </c>
      <c r="BO750" s="22">
        <f t="shared" si="1483"/>
        <v>48</v>
      </c>
      <c r="BP750" s="22">
        <f>SUM(BP751:BP755)</f>
        <v>48</v>
      </c>
      <c r="BQ750" s="22">
        <f>SUM(BQ751:BQ755)</f>
        <v>48</v>
      </c>
      <c r="BR750" s="101"/>
      <c r="BS750">
        <f t="shared" ref="BS750:CB756" si="1484">IF($C750&lt;&gt;"",IF(D750&gt;0,1,0),0)</f>
        <v>0</v>
      </c>
      <c r="BT750">
        <f t="shared" si="1484"/>
        <v>0</v>
      </c>
      <c r="BU750">
        <f t="shared" si="1484"/>
        <v>0</v>
      </c>
      <c r="BV750">
        <f t="shared" si="1484"/>
        <v>0</v>
      </c>
      <c r="BW750">
        <f t="shared" si="1484"/>
        <v>0</v>
      </c>
      <c r="BX750">
        <f t="shared" si="1484"/>
        <v>0</v>
      </c>
      <c r="BY750">
        <f t="shared" si="1484"/>
        <v>0</v>
      </c>
      <c r="BZ750">
        <f t="shared" si="1484"/>
        <v>0</v>
      </c>
      <c r="CA750">
        <f t="shared" si="1484"/>
        <v>0</v>
      </c>
      <c r="CB750">
        <f t="shared" si="1484"/>
        <v>1</v>
      </c>
      <c r="CC750">
        <f t="shared" ref="CC750:CL756" si="1485">IF($C750&lt;&gt;"",IF(N750&gt;0,1,0),0)</f>
        <v>0</v>
      </c>
      <c r="CD750">
        <f t="shared" si="1485"/>
        <v>1</v>
      </c>
      <c r="CE750">
        <f t="shared" si="1485"/>
        <v>1</v>
      </c>
      <c r="CF750">
        <f t="shared" si="1485"/>
        <v>1</v>
      </c>
      <c r="CG750">
        <f t="shared" si="1485"/>
        <v>1</v>
      </c>
      <c r="CH750">
        <f t="shared" si="1485"/>
        <v>1</v>
      </c>
      <c r="CI750">
        <f t="shared" si="1485"/>
        <v>1</v>
      </c>
      <c r="CJ750">
        <f t="shared" si="1485"/>
        <v>1</v>
      </c>
      <c r="CK750">
        <f t="shared" si="1485"/>
        <v>1</v>
      </c>
      <c r="CL750">
        <f t="shared" si="1485"/>
        <v>1</v>
      </c>
      <c r="CM750">
        <f t="shared" ref="CM750:CV756" si="1486">IF($C750&lt;&gt;"",IF(X750&gt;0,1,0),0)</f>
        <v>1</v>
      </c>
      <c r="CN750">
        <f t="shared" si="1486"/>
        <v>1</v>
      </c>
      <c r="CO750">
        <f t="shared" si="1486"/>
        <v>1</v>
      </c>
      <c r="CP750">
        <f t="shared" si="1486"/>
        <v>1</v>
      </c>
      <c r="CQ750">
        <f t="shared" si="1486"/>
        <v>1</v>
      </c>
      <c r="CR750">
        <f t="shared" si="1486"/>
        <v>1</v>
      </c>
      <c r="CS750">
        <f t="shared" si="1486"/>
        <v>1</v>
      </c>
      <c r="CT750">
        <f t="shared" si="1486"/>
        <v>1</v>
      </c>
      <c r="CU750">
        <f t="shared" si="1486"/>
        <v>1</v>
      </c>
      <c r="CV750">
        <f t="shared" si="1486"/>
        <v>1</v>
      </c>
      <c r="CW750">
        <f t="shared" ref="CW750:DF756" si="1487">IF($C750&lt;&gt;"",IF(AH750&gt;0,1,0),0)</f>
        <v>1</v>
      </c>
      <c r="CX750">
        <f t="shared" si="1487"/>
        <v>1</v>
      </c>
      <c r="CY750">
        <f t="shared" si="1487"/>
        <v>1</v>
      </c>
      <c r="CZ750">
        <f t="shared" si="1487"/>
        <v>1</v>
      </c>
      <c r="DA750">
        <f t="shared" si="1487"/>
        <v>1</v>
      </c>
      <c r="DB750">
        <f t="shared" si="1487"/>
        <v>1</v>
      </c>
      <c r="DC750">
        <f t="shared" si="1487"/>
        <v>1</v>
      </c>
      <c r="DD750">
        <f t="shared" si="1487"/>
        <v>1</v>
      </c>
      <c r="DE750">
        <f t="shared" si="1487"/>
        <v>1</v>
      </c>
      <c r="DF750">
        <f t="shared" si="1487"/>
        <v>1</v>
      </c>
      <c r="DG750">
        <f t="shared" ref="DG750:DP756" si="1488">IF($C750&lt;&gt;"",IF(AR750&gt;0,1,0),0)</f>
        <v>1</v>
      </c>
      <c r="DH750">
        <f t="shared" si="1488"/>
        <v>1</v>
      </c>
      <c r="DI750">
        <f t="shared" si="1488"/>
        <v>1</v>
      </c>
      <c r="DJ750">
        <f t="shared" si="1488"/>
        <v>1</v>
      </c>
      <c r="DK750">
        <f t="shared" si="1488"/>
        <v>1</v>
      </c>
      <c r="DL750">
        <f t="shared" si="1488"/>
        <v>1</v>
      </c>
      <c r="DM750">
        <f t="shared" si="1488"/>
        <v>1</v>
      </c>
      <c r="DN750">
        <f t="shared" si="1488"/>
        <v>1</v>
      </c>
      <c r="DO750">
        <f t="shared" si="1488"/>
        <v>1</v>
      </c>
      <c r="DP750">
        <f t="shared" si="1488"/>
        <v>1</v>
      </c>
      <c r="DQ750">
        <f t="shared" ref="DQ750:DZ756" si="1489">IF($C750&lt;&gt;"",IF(BB750&gt;0,1,0),0)</f>
        <v>1</v>
      </c>
      <c r="DR750">
        <f t="shared" si="1489"/>
        <v>1</v>
      </c>
      <c r="DS750">
        <f t="shared" si="1489"/>
        <v>1</v>
      </c>
      <c r="DT750">
        <f t="shared" si="1489"/>
        <v>1</v>
      </c>
      <c r="DU750">
        <f t="shared" si="1489"/>
        <v>1</v>
      </c>
      <c r="DV750">
        <f t="shared" si="1489"/>
        <v>1</v>
      </c>
      <c r="DW750">
        <f t="shared" si="1489"/>
        <v>1</v>
      </c>
      <c r="DX750">
        <f t="shared" si="1489"/>
        <v>1</v>
      </c>
      <c r="DY750">
        <f t="shared" si="1489"/>
        <v>1</v>
      </c>
      <c r="DZ750">
        <f t="shared" si="1489"/>
        <v>1</v>
      </c>
      <c r="EA750">
        <f t="shared" ref="EA750:EF756" si="1490">IF($C750&lt;&gt;"",IF(BL750&gt;0,1,0),0)</f>
        <v>1</v>
      </c>
      <c r="EB750">
        <f t="shared" si="1490"/>
        <v>1</v>
      </c>
      <c r="EC750">
        <f t="shared" si="1490"/>
        <v>1</v>
      </c>
      <c r="ED750">
        <f t="shared" si="1490"/>
        <v>1</v>
      </c>
      <c r="EE750">
        <f t="shared" si="1490"/>
        <v>1</v>
      </c>
      <c r="EF750">
        <f t="shared" si="1490"/>
        <v>1</v>
      </c>
    </row>
    <row r="751" spans="1:136" ht="15.5">
      <c r="A751" s="90"/>
      <c r="B751" s="19" t="s">
        <v>2</v>
      </c>
      <c r="C751" s="95"/>
      <c r="D751" s="18">
        <v>0</v>
      </c>
      <c r="E751" s="18">
        <v>0</v>
      </c>
      <c r="F751" s="18">
        <v>0</v>
      </c>
      <c r="G751" s="18">
        <v>0</v>
      </c>
      <c r="H751" s="18">
        <v>0</v>
      </c>
      <c r="I751" s="18">
        <v>0</v>
      </c>
      <c r="J751" s="18">
        <v>0</v>
      </c>
      <c r="K751" s="18">
        <v>0</v>
      </c>
      <c r="L751" s="18">
        <v>0</v>
      </c>
      <c r="M751" s="18">
        <v>0</v>
      </c>
      <c r="N751" s="18">
        <v>0</v>
      </c>
      <c r="O751" s="18">
        <v>0</v>
      </c>
      <c r="P751" s="18">
        <v>0</v>
      </c>
      <c r="Q751" s="18">
        <v>0</v>
      </c>
      <c r="R751" s="18">
        <v>0</v>
      </c>
      <c r="S751" s="18">
        <v>0</v>
      </c>
      <c r="T751" s="18">
        <v>0</v>
      </c>
      <c r="U751" s="18">
        <v>0</v>
      </c>
      <c r="V751" s="18">
        <v>0</v>
      </c>
      <c r="W751" s="18">
        <v>0</v>
      </c>
      <c r="X751" s="18">
        <v>0</v>
      </c>
      <c r="Y751" s="18">
        <v>0</v>
      </c>
      <c r="Z751" s="18">
        <v>0</v>
      </c>
      <c r="AA751" s="18">
        <v>0</v>
      </c>
      <c r="AB751" s="18">
        <v>0</v>
      </c>
      <c r="AC751" s="18">
        <v>80</v>
      </c>
      <c r="AD751" s="18">
        <v>50</v>
      </c>
      <c r="AE751" s="18">
        <v>55</v>
      </c>
      <c r="AF751" s="18">
        <v>0</v>
      </c>
      <c r="AG751" s="18">
        <v>51</v>
      </c>
      <c r="AH751" s="18">
        <v>0</v>
      </c>
      <c r="AI751" s="18">
        <v>0</v>
      </c>
      <c r="AJ751" s="18">
        <v>0</v>
      </c>
      <c r="AK751" s="18">
        <v>217</v>
      </c>
      <c r="AL751" s="40" t="s">
        <v>16</v>
      </c>
      <c r="AM751" s="18">
        <v>65</v>
      </c>
      <c r="AN751" s="40" t="s">
        <v>16</v>
      </c>
      <c r="AO751" s="18">
        <v>0</v>
      </c>
      <c r="AP751" s="18">
        <v>0</v>
      </c>
      <c r="AQ751" s="18">
        <v>0</v>
      </c>
      <c r="AR751" s="18">
        <v>99</v>
      </c>
      <c r="AS751" s="18">
        <v>0</v>
      </c>
      <c r="AT751" s="18">
        <v>384</v>
      </c>
      <c r="AU751" s="113">
        <v>0</v>
      </c>
      <c r="AV751" s="113">
        <v>0</v>
      </c>
      <c r="AW751" s="113">
        <v>0</v>
      </c>
      <c r="AX751" s="113">
        <v>0</v>
      </c>
      <c r="AY751" s="113">
        <v>0</v>
      </c>
      <c r="AZ751" s="113">
        <v>0</v>
      </c>
      <c r="BA751" s="113">
        <v>0</v>
      </c>
      <c r="BB751" s="113">
        <v>0</v>
      </c>
      <c r="BC751" s="113">
        <v>0</v>
      </c>
      <c r="BD751" s="113">
        <v>0</v>
      </c>
      <c r="BE751" s="113">
        <v>0</v>
      </c>
      <c r="BF751" s="113">
        <v>0</v>
      </c>
      <c r="BG751" s="113">
        <v>0</v>
      </c>
      <c r="BH751" s="113">
        <v>0</v>
      </c>
      <c r="BI751" s="113">
        <v>0</v>
      </c>
      <c r="BJ751" s="113">
        <v>0</v>
      </c>
      <c r="BK751" s="113">
        <v>0</v>
      </c>
      <c r="BL751" s="113">
        <v>13</v>
      </c>
      <c r="BM751" s="113">
        <v>12</v>
      </c>
      <c r="BN751" s="113">
        <v>0</v>
      </c>
      <c r="BO751" s="113">
        <v>0</v>
      </c>
      <c r="BP751" s="113">
        <v>0</v>
      </c>
      <c r="BQ751" s="113">
        <v>0</v>
      </c>
      <c r="BR751" s="101"/>
      <c r="BS751">
        <f t="shared" si="1484"/>
        <v>0</v>
      </c>
      <c r="BT751">
        <f t="shared" si="1484"/>
        <v>0</v>
      </c>
      <c r="BU751">
        <f t="shared" si="1484"/>
        <v>0</v>
      </c>
      <c r="BV751">
        <f t="shared" si="1484"/>
        <v>0</v>
      </c>
      <c r="BW751">
        <f t="shared" si="1484"/>
        <v>0</v>
      </c>
      <c r="BX751">
        <f t="shared" si="1484"/>
        <v>0</v>
      </c>
      <c r="BY751">
        <f t="shared" si="1484"/>
        <v>0</v>
      </c>
      <c r="BZ751">
        <f t="shared" si="1484"/>
        <v>0</v>
      </c>
      <c r="CA751">
        <f t="shared" si="1484"/>
        <v>0</v>
      </c>
      <c r="CB751">
        <f t="shared" si="1484"/>
        <v>0</v>
      </c>
      <c r="CC751">
        <f t="shared" si="1485"/>
        <v>0</v>
      </c>
      <c r="CD751">
        <f t="shared" si="1485"/>
        <v>0</v>
      </c>
      <c r="CE751">
        <f t="shared" si="1485"/>
        <v>0</v>
      </c>
      <c r="CF751">
        <f t="shared" si="1485"/>
        <v>0</v>
      </c>
      <c r="CG751">
        <f t="shared" si="1485"/>
        <v>0</v>
      </c>
      <c r="CH751">
        <f t="shared" si="1485"/>
        <v>0</v>
      </c>
      <c r="CI751">
        <f t="shared" si="1485"/>
        <v>0</v>
      </c>
      <c r="CJ751">
        <f t="shared" si="1485"/>
        <v>0</v>
      </c>
      <c r="CK751">
        <f t="shared" si="1485"/>
        <v>0</v>
      </c>
      <c r="CL751">
        <f t="shared" si="1485"/>
        <v>0</v>
      </c>
      <c r="CM751">
        <f t="shared" si="1486"/>
        <v>0</v>
      </c>
      <c r="CN751">
        <f t="shared" si="1486"/>
        <v>0</v>
      </c>
      <c r="CO751">
        <f t="shared" si="1486"/>
        <v>0</v>
      </c>
      <c r="CP751">
        <f t="shared" si="1486"/>
        <v>0</v>
      </c>
      <c r="CQ751">
        <f t="shared" si="1486"/>
        <v>0</v>
      </c>
      <c r="CR751">
        <f t="shared" si="1486"/>
        <v>0</v>
      </c>
      <c r="CS751">
        <f t="shared" si="1486"/>
        <v>0</v>
      </c>
      <c r="CT751">
        <f t="shared" si="1486"/>
        <v>0</v>
      </c>
      <c r="CU751">
        <f t="shared" si="1486"/>
        <v>0</v>
      </c>
      <c r="CV751">
        <f t="shared" si="1486"/>
        <v>0</v>
      </c>
      <c r="CW751">
        <f t="shared" si="1487"/>
        <v>0</v>
      </c>
      <c r="CX751">
        <f t="shared" si="1487"/>
        <v>0</v>
      </c>
      <c r="CY751">
        <f t="shared" si="1487"/>
        <v>0</v>
      </c>
      <c r="CZ751">
        <f t="shared" si="1487"/>
        <v>0</v>
      </c>
      <c r="DA751">
        <f t="shared" si="1487"/>
        <v>0</v>
      </c>
      <c r="DB751">
        <f t="shared" si="1487"/>
        <v>0</v>
      </c>
      <c r="DC751">
        <f t="shared" si="1487"/>
        <v>0</v>
      </c>
      <c r="DD751">
        <f t="shared" si="1487"/>
        <v>0</v>
      </c>
      <c r="DE751">
        <f t="shared" si="1487"/>
        <v>0</v>
      </c>
      <c r="DF751">
        <f t="shared" si="1487"/>
        <v>0</v>
      </c>
      <c r="DG751">
        <f t="shared" si="1488"/>
        <v>0</v>
      </c>
      <c r="DH751">
        <f t="shared" si="1488"/>
        <v>0</v>
      </c>
      <c r="DI751">
        <f t="shared" si="1488"/>
        <v>0</v>
      </c>
      <c r="DJ751">
        <f t="shared" si="1488"/>
        <v>0</v>
      </c>
      <c r="DK751">
        <f t="shared" si="1488"/>
        <v>0</v>
      </c>
      <c r="DL751">
        <f t="shared" si="1488"/>
        <v>0</v>
      </c>
      <c r="DM751">
        <f t="shared" si="1488"/>
        <v>0</v>
      </c>
      <c r="DN751">
        <f t="shared" si="1488"/>
        <v>0</v>
      </c>
      <c r="DO751">
        <f t="shared" si="1488"/>
        <v>0</v>
      </c>
      <c r="DP751">
        <f t="shared" si="1488"/>
        <v>0</v>
      </c>
      <c r="DQ751">
        <f t="shared" si="1489"/>
        <v>0</v>
      </c>
      <c r="DR751">
        <f t="shared" si="1489"/>
        <v>0</v>
      </c>
      <c r="DS751">
        <f t="shared" si="1489"/>
        <v>0</v>
      </c>
      <c r="DT751">
        <f t="shared" si="1489"/>
        <v>0</v>
      </c>
      <c r="DU751">
        <f t="shared" si="1489"/>
        <v>0</v>
      </c>
      <c r="DV751">
        <f t="shared" si="1489"/>
        <v>0</v>
      </c>
      <c r="DW751">
        <f t="shared" si="1489"/>
        <v>0</v>
      </c>
      <c r="DX751">
        <f t="shared" si="1489"/>
        <v>0</v>
      </c>
      <c r="DY751">
        <f t="shared" si="1489"/>
        <v>0</v>
      </c>
      <c r="DZ751">
        <f t="shared" si="1489"/>
        <v>0</v>
      </c>
      <c r="EA751">
        <f t="shared" si="1490"/>
        <v>0</v>
      </c>
      <c r="EB751">
        <f t="shared" si="1490"/>
        <v>0</v>
      </c>
      <c r="EC751">
        <f t="shared" si="1490"/>
        <v>0</v>
      </c>
      <c r="ED751">
        <f t="shared" si="1490"/>
        <v>0</v>
      </c>
      <c r="EE751">
        <f t="shared" si="1490"/>
        <v>0</v>
      </c>
      <c r="EF751">
        <f t="shared" si="1490"/>
        <v>0</v>
      </c>
    </row>
    <row r="752" spans="1:136" ht="15.5">
      <c r="A752" s="90"/>
      <c r="B752" s="19" t="s">
        <v>205</v>
      </c>
      <c r="C752" s="95"/>
      <c r="D752" s="18">
        <v>0</v>
      </c>
      <c r="E752" s="18">
        <v>0</v>
      </c>
      <c r="F752" s="18">
        <v>0</v>
      </c>
      <c r="G752" s="18">
        <v>0</v>
      </c>
      <c r="H752" s="18">
        <v>0</v>
      </c>
      <c r="I752" s="18">
        <v>0</v>
      </c>
      <c r="J752" s="18">
        <v>0</v>
      </c>
      <c r="K752" s="18">
        <v>0</v>
      </c>
      <c r="L752" s="18">
        <v>0</v>
      </c>
      <c r="M752" s="18">
        <v>0</v>
      </c>
      <c r="N752" s="18">
        <v>0</v>
      </c>
      <c r="O752" s="18">
        <v>0</v>
      </c>
      <c r="P752" s="18">
        <v>0</v>
      </c>
      <c r="Q752" s="18">
        <v>0</v>
      </c>
      <c r="R752" s="18">
        <v>0</v>
      </c>
      <c r="S752" s="18">
        <v>0</v>
      </c>
      <c r="T752" s="18">
        <v>0</v>
      </c>
      <c r="U752" s="18">
        <v>0</v>
      </c>
      <c r="V752" s="18">
        <v>0</v>
      </c>
      <c r="W752" s="18">
        <v>0</v>
      </c>
      <c r="X752" s="18">
        <v>0</v>
      </c>
      <c r="Y752" s="18">
        <v>3.9369687999999998</v>
      </c>
      <c r="Z752" s="18">
        <v>6.6614407999999994</v>
      </c>
      <c r="AA752" s="18">
        <v>9.4623460999999995</v>
      </c>
      <c r="AB752" s="18">
        <v>8.4858376</v>
      </c>
      <c r="AC752" s="18">
        <v>1.0226339</v>
      </c>
      <c r="AD752" s="18">
        <v>1.6445926000000002</v>
      </c>
      <c r="AE752" s="18">
        <v>2.3352622000000003</v>
      </c>
      <c r="AF752" s="18">
        <v>2.8279326</v>
      </c>
      <c r="AG752" s="18">
        <v>3.0293151000000003</v>
      </c>
      <c r="AH752" s="18">
        <v>3.5772437999999998</v>
      </c>
      <c r="AI752" s="18">
        <v>2.3166000000000002</v>
      </c>
      <c r="AJ752" s="18">
        <v>2.3742907</v>
      </c>
      <c r="AK752" s="18">
        <v>0</v>
      </c>
      <c r="AL752" s="18">
        <v>0</v>
      </c>
      <c r="AM752" s="18">
        <v>0</v>
      </c>
      <c r="AN752" s="18">
        <v>0</v>
      </c>
      <c r="AO752" s="18">
        <v>0</v>
      </c>
      <c r="AP752" s="18">
        <v>0.3</v>
      </c>
      <c r="AQ752" s="18">
        <v>0.6</v>
      </c>
      <c r="AR752" s="18">
        <v>1.4708315000000001</v>
      </c>
      <c r="AS752" s="18">
        <v>0</v>
      </c>
      <c r="AT752" s="18">
        <v>10.207434800000001</v>
      </c>
      <c r="AU752" s="18">
        <v>15.542305499999999</v>
      </c>
      <c r="AV752" s="18">
        <v>20.0820395</v>
      </c>
      <c r="AW752" s="18">
        <v>23.6208521</v>
      </c>
      <c r="AX752" s="18">
        <v>28.8977678</v>
      </c>
      <c r="AY752" s="18">
        <v>62.658362700000005</v>
      </c>
      <c r="AZ752" s="18">
        <v>0</v>
      </c>
      <c r="BA752" s="18">
        <v>0</v>
      </c>
      <c r="BB752" s="18">
        <v>0</v>
      </c>
      <c r="BC752" s="18">
        <v>0</v>
      </c>
      <c r="BD752" s="18">
        <v>0</v>
      </c>
      <c r="BE752" s="25">
        <v>0</v>
      </c>
      <c r="BF752" s="18">
        <v>0</v>
      </c>
      <c r="BG752" s="18">
        <v>0</v>
      </c>
      <c r="BH752" s="113">
        <v>0</v>
      </c>
      <c r="BI752" s="113">
        <v>0</v>
      </c>
      <c r="BJ752" s="113">
        <v>0</v>
      </c>
      <c r="BK752" s="113">
        <v>0</v>
      </c>
      <c r="BL752" s="113">
        <v>15</v>
      </c>
      <c r="BM752" s="113">
        <v>35</v>
      </c>
      <c r="BN752" s="113">
        <v>0</v>
      </c>
      <c r="BO752" s="113">
        <v>0</v>
      </c>
      <c r="BP752" s="113">
        <v>0</v>
      </c>
      <c r="BQ752" s="113">
        <v>0</v>
      </c>
      <c r="BR752" s="101"/>
      <c r="BS752">
        <f t="shared" si="1484"/>
        <v>0</v>
      </c>
      <c r="BT752">
        <f t="shared" si="1484"/>
        <v>0</v>
      </c>
      <c r="BU752">
        <f t="shared" si="1484"/>
        <v>0</v>
      </c>
      <c r="BV752">
        <f t="shared" si="1484"/>
        <v>0</v>
      </c>
      <c r="BW752">
        <f t="shared" si="1484"/>
        <v>0</v>
      </c>
      <c r="BX752">
        <f t="shared" si="1484"/>
        <v>0</v>
      </c>
      <c r="BY752">
        <f t="shared" si="1484"/>
        <v>0</v>
      </c>
      <c r="BZ752">
        <f t="shared" si="1484"/>
        <v>0</v>
      </c>
      <c r="CA752">
        <f t="shared" si="1484"/>
        <v>0</v>
      </c>
      <c r="CB752">
        <f t="shared" si="1484"/>
        <v>0</v>
      </c>
      <c r="CC752">
        <f t="shared" si="1485"/>
        <v>0</v>
      </c>
      <c r="CD752">
        <f t="shared" si="1485"/>
        <v>0</v>
      </c>
      <c r="CE752">
        <f t="shared" si="1485"/>
        <v>0</v>
      </c>
      <c r="CF752">
        <f t="shared" si="1485"/>
        <v>0</v>
      </c>
      <c r="CG752">
        <f t="shared" si="1485"/>
        <v>0</v>
      </c>
      <c r="CH752">
        <f t="shared" si="1485"/>
        <v>0</v>
      </c>
      <c r="CI752">
        <f t="shared" si="1485"/>
        <v>0</v>
      </c>
      <c r="CJ752">
        <f t="shared" si="1485"/>
        <v>0</v>
      </c>
      <c r="CK752">
        <f t="shared" si="1485"/>
        <v>0</v>
      </c>
      <c r="CL752">
        <f t="shared" si="1485"/>
        <v>0</v>
      </c>
      <c r="CM752">
        <f t="shared" si="1486"/>
        <v>0</v>
      </c>
      <c r="CN752">
        <f t="shared" si="1486"/>
        <v>0</v>
      </c>
      <c r="CO752">
        <f t="shared" si="1486"/>
        <v>0</v>
      </c>
      <c r="CP752">
        <f t="shared" si="1486"/>
        <v>0</v>
      </c>
      <c r="CQ752">
        <f t="shared" si="1486"/>
        <v>0</v>
      </c>
      <c r="CR752">
        <f t="shared" si="1486"/>
        <v>0</v>
      </c>
      <c r="CS752">
        <f t="shared" si="1486"/>
        <v>0</v>
      </c>
      <c r="CT752">
        <f t="shared" si="1486"/>
        <v>0</v>
      </c>
      <c r="CU752">
        <f t="shared" si="1486"/>
        <v>0</v>
      </c>
      <c r="CV752">
        <f t="shared" si="1486"/>
        <v>0</v>
      </c>
      <c r="CW752">
        <f t="shared" si="1487"/>
        <v>0</v>
      </c>
      <c r="CX752">
        <f t="shared" si="1487"/>
        <v>0</v>
      </c>
      <c r="CY752">
        <f t="shared" si="1487"/>
        <v>0</v>
      </c>
      <c r="CZ752">
        <f t="shared" si="1487"/>
        <v>0</v>
      </c>
      <c r="DA752">
        <f t="shared" si="1487"/>
        <v>0</v>
      </c>
      <c r="DB752">
        <f t="shared" si="1487"/>
        <v>0</v>
      </c>
      <c r="DC752">
        <f t="shared" si="1487"/>
        <v>0</v>
      </c>
      <c r="DD752">
        <f t="shared" si="1487"/>
        <v>0</v>
      </c>
      <c r="DE752">
        <f t="shared" si="1487"/>
        <v>0</v>
      </c>
      <c r="DF752">
        <f t="shared" si="1487"/>
        <v>0</v>
      </c>
      <c r="DG752">
        <f t="shared" si="1488"/>
        <v>0</v>
      </c>
      <c r="DH752">
        <f t="shared" si="1488"/>
        <v>0</v>
      </c>
      <c r="DI752">
        <f t="shared" si="1488"/>
        <v>0</v>
      </c>
      <c r="DJ752">
        <f t="shared" si="1488"/>
        <v>0</v>
      </c>
      <c r="DK752">
        <f t="shared" si="1488"/>
        <v>0</v>
      </c>
      <c r="DL752">
        <f t="shared" si="1488"/>
        <v>0</v>
      </c>
      <c r="DM752">
        <f t="shared" si="1488"/>
        <v>0</v>
      </c>
      <c r="DN752">
        <f t="shared" si="1488"/>
        <v>0</v>
      </c>
      <c r="DO752">
        <f t="shared" si="1488"/>
        <v>0</v>
      </c>
      <c r="DP752">
        <f t="shared" si="1488"/>
        <v>0</v>
      </c>
      <c r="DQ752">
        <f t="shared" si="1489"/>
        <v>0</v>
      </c>
      <c r="DR752">
        <f t="shared" si="1489"/>
        <v>0</v>
      </c>
      <c r="DS752">
        <f t="shared" si="1489"/>
        <v>0</v>
      </c>
      <c r="DT752">
        <f t="shared" si="1489"/>
        <v>0</v>
      </c>
      <c r="DU752">
        <f t="shared" si="1489"/>
        <v>0</v>
      </c>
      <c r="DV752">
        <f t="shared" si="1489"/>
        <v>0</v>
      </c>
      <c r="DW752">
        <f t="shared" si="1489"/>
        <v>0</v>
      </c>
      <c r="DX752">
        <f t="shared" si="1489"/>
        <v>0</v>
      </c>
      <c r="DY752">
        <f t="shared" si="1489"/>
        <v>0</v>
      </c>
      <c r="DZ752">
        <f t="shared" si="1489"/>
        <v>0</v>
      </c>
      <c r="EA752">
        <f t="shared" si="1490"/>
        <v>0</v>
      </c>
      <c r="EB752">
        <f t="shared" si="1490"/>
        <v>0</v>
      </c>
      <c r="EC752">
        <f t="shared" si="1490"/>
        <v>0</v>
      </c>
      <c r="ED752">
        <f t="shared" si="1490"/>
        <v>0</v>
      </c>
      <c r="EE752">
        <f t="shared" si="1490"/>
        <v>0</v>
      </c>
      <c r="EF752">
        <f t="shared" si="1490"/>
        <v>0</v>
      </c>
    </row>
    <row r="753" spans="1:136" ht="15.5">
      <c r="A753" s="90"/>
      <c r="B753" s="57" t="s">
        <v>3</v>
      </c>
      <c r="C753" s="95"/>
      <c r="D753" s="18">
        <v>0</v>
      </c>
      <c r="E753" s="18">
        <v>0</v>
      </c>
      <c r="F753" s="18">
        <v>0</v>
      </c>
      <c r="G753" s="18">
        <v>0</v>
      </c>
      <c r="H753" s="18">
        <v>0</v>
      </c>
      <c r="I753" s="18">
        <v>0</v>
      </c>
      <c r="J753" s="18">
        <v>0</v>
      </c>
      <c r="K753" s="18">
        <v>0</v>
      </c>
      <c r="L753" s="18">
        <v>0</v>
      </c>
      <c r="M753" s="18">
        <v>0</v>
      </c>
      <c r="N753" s="18">
        <v>0</v>
      </c>
      <c r="O753" s="40">
        <v>1.2633999999999999E-2</v>
      </c>
      <c r="P753" s="40">
        <v>0.29347499999999999</v>
      </c>
      <c r="Q753" s="18">
        <v>0.65528600000000004</v>
      </c>
      <c r="R753" s="40">
        <v>0.24142189999999999</v>
      </c>
      <c r="S753" s="18">
        <v>0.72328339999999991</v>
      </c>
      <c r="T753" s="40">
        <v>0.45695000000000002</v>
      </c>
      <c r="U753" s="18">
        <v>2.0808021000000001</v>
      </c>
      <c r="V753" s="18">
        <v>10.713613499999999</v>
      </c>
      <c r="W753" s="18">
        <v>21.0323618</v>
      </c>
      <c r="X753" s="18">
        <v>32.5162342</v>
      </c>
      <c r="Y753" s="18">
        <v>25.318117799999996</v>
      </c>
      <c r="Z753" s="18">
        <v>32.545261199999999</v>
      </c>
      <c r="AA753" s="18">
        <v>52.732288500000003</v>
      </c>
      <c r="AB753" s="18">
        <v>90.563205199999985</v>
      </c>
      <c r="AC753" s="40" t="s">
        <v>16</v>
      </c>
      <c r="AD753" s="18">
        <v>42</v>
      </c>
      <c r="AE753" s="18">
        <v>42</v>
      </c>
      <c r="AF753" s="18">
        <v>122.70334190000001</v>
      </c>
      <c r="AG753" s="18">
        <v>199</v>
      </c>
      <c r="AH753" s="18">
        <v>242.14111460000004</v>
      </c>
      <c r="AI753" s="18">
        <v>259.07557600000001</v>
      </c>
      <c r="AJ753" s="18">
        <v>336.16454470000002</v>
      </c>
      <c r="AK753" s="18">
        <v>404.72944989999996</v>
      </c>
      <c r="AL753" s="18">
        <v>312.68493240000004</v>
      </c>
      <c r="AM753" s="18">
        <f>303.6460475-AM751</f>
        <v>238.64604750000001</v>
      </c>
      <c r="AN753" s="18">
        <v>294.9488015</v>
      </c>
      <c r="AO753" s="18">
        <v>291.40385629999997</v>
      </c>
      <c r="AP753" s="18">
        <v>401.93620720000001</v>
      </c>
      <c r="AQ753" s="18">
        <f>489.0345454-AQ752</f>
        <v>488.43454539999999</v>
      </c>
      <c r="AR753" s="18">
        <f>542.1301113-AR751</f>
        <v>443.13011129999995</v>
      </c>
      <c r="AS753" s="18">
        <f>361.2037638-AS752</f>
        <v>361.20376379999999</v>
      </c>
      <c r="AT753" s="18">
        <f>404.3593483-AT751-AT752</f>
        <v>10.15191350000002</v>
      </c>
      <c r="AU753" s="18">
        <f>399.1256176-AU752</f>
        <v>383.5833121</v>
      </c>
      <c r="AV753" s="18">
        <f>291.6062145-AV752</f>
        <v>271.52417500000001</v>
      </c>
      <c r="AW753" s="18">
        <f>301.5271956-AW752</f>
        <v>277.90634350000005</v>
      </c>
      <c r="AX753" s="18">
        <f>1196.529734-AX752</f>
        <v>1167.6319661999999</v>
      </c>
      <c r="AY753" s="18">
        <f>1253.638766-AY752</f>
        <v>1190.9804033</v>
      </c>
      <c r="AZ753" s="18">
        <v>1257.6852162</v>
      </c>
      <c r="BA753" s="18">
        <v>1191.8946343000002</v>
      </c>
      <c r="BB753" s="18">
        <v>1169.9936459999999</v>
      </c>
      <c r="BC753" s="18">
        <v>1057.2871903999999</v>
      </c>
      <c r="BD753" s="18">
        <v>1054.8201358000001</v>
      </c>
      <c r="BE753" s="25">
        <v>1055.3791146999999</v>
      </c>
      <c r="BF753" s="18">
        <v>1048.40093</v>
      </c>
      <c r="BG753" s="18">
        <v>1045.0176899999999</v>
      </c>
      <c r="BH753" s="18">
        <v>1044.2160727999999</v>
      </c>
      <c r="BI753" s="18">
        <v>1045.5081779</v>
      </c>
      <c r="BJ753" s="18">
        <v>1045.0022403</v>
      </c>
      <c r="BK753" s="18">
        <v>1045.1549729999999</v>
      </c>
      <c r="BL753" s="113">
        <f>1166.0634172-BL751-BL752</f>
        <v>1138.0634172</v>
      </c>
      <c r="BM753" s="113">
        <f>278.6080894-BM751-BM752</f>
        <v>231.60808939999998</v>
      </c>
      <c r="BN753" s="113">
        <f>348.32-BN752</f>
        <v>348.32</v>
      </c>
      <c r="BO753" s="113">
        <v>48</v>
      </c>
      <c r="BP753" s="113">
        <v>48</v>
      </c>
      <c r="BQ753" s="113">
        <v>48</v>
      </c>
      <c r="BR753" s="101"/>
      <c r="BS753">
        <f t="shared" si="1484"/>
        <v>0</v>
      </c>
      <c r="BT753">
        <f t="shared" si="1484"/>
        <v>0</v>
      </c>
      <c r="BU753">
        <f t="shared" si="1484"/>
        <v>0</v>
      </c>
      <c r="BV753">
        <f t="shared" si="1484"/>
        <v>0</v>
      </c>
      <c r="BW753">
        <f t="shared" si="1484"/>
        <v>0</v>
      </c>
      <c r="BX753">
        <f t="shared" si="1484"/>
        <v>0</v>
      </c>
      <c r="BY753">
        <f t="shared" si="1484"/>
        <v>0</v>
      </c>
      <c r="BZ753">
        <f t="shared" si="1484"/>
        <v>0</v>
      </c>
      <c r="CA753">
        <f t="shared" si="1484"/>
        <v>0</v>
      </c>
      <c r="CB753">
        <f t="shared" si="1484"/>
        <v>0</v>
      </c>
      <c r="CC753">
        <f t="shared" si="1485"/>
        <v>0</v>
      </c>
      <c r="CD753">
        <f t="shared" si="1485"/>
        <v>0</v>
      </c>
      <c r="CE753">
        <f t="shared" si="1485"/>
        <v>0</v>
      </c>
      <c r="CF753">
        <f t="shared" si="1485"/>
        <v>0</v>
      </c>
      <c r="CG753">
        <f t="shared" si="1485"/>
        <v>0</v>
      </c>
      <c r="CH753">
        <f t="shared" si="1485"/>
        <v>0</v>
      </c>
      <c r="CI753">
        <f t="shared" si="1485"/>
        <v>0</v>
      </c>
      <c r="CJ753">
        <f t="shared" si="1485"/>
        <v>0</v>
      </c>
      <c r="CK753">
        <f t="shared" si="1485"/>
        <v>0</v>
      </c>
      <c r="CL753">
        <f t="shared" si="1485"/>
        <v>0</v>
      </c>
      <c r="CM753">
        <f t="shared" si="1486"/>
        <v>0</v>
      </c>
      <c r="CN753">
        <f t="shared" si="1486"/>
        <v>0</v>
      </c>
      <c r="CO753">
        <f t="shared" si="1486"/>
        <v>0</v>
      </c>
      <c r="CP753">
        <f t="shared" si="1486"/>
        <v>0</v>
      </c>
      <c r="CQ753">
        <f t="shared" si="1486"/>
        <v>0</v>
      </c>
      <c r="CR753">
        <f t="shared" si="1486"/>
        <v>0</v>
      </c>
      <c r="CS753">
        <f t="shared" si="1486"/>
        <v>0</v>
      </c>
      <c r="CT753">
        <f t="shared" si="1486"/>
        <v>0</v>
      </c>
      <c r="CU753">
        <f t="shared" si="1486"/>
        <v>0</v>
      </c>
      <c r="CV753">
        <f t="shared" si="1486"/>
        <v>0</v>
      </c>
      <c r="CW753">
        <f t="shared" si="1487"/>
        <v>0</v>
      </c>
      <c r="CX753">
        <f t="shared" si="1487"/>
        <v>0</v>
      </c>
      <c r="CY753">
        <f t="shared" si="1487"/>
        <v>0</v>
      </c>
      <c r="CZ753">
        <f t="shared" si="1487"/>
        <v>0</v>
      </c>
      <c r="DA753">
        <f t="shared" si="1487"/>
        <v>0</v>
      </c>
      <c r="DB753">
        <f t="shared" si="1487"/>
        <v>0</v>
      </c>
      <c r="DC753">
        <f t="shared" si="1487"/>
        <v>0</v>
      </c>
      <c r="DD753">
        <f t="shared" si="1487"/>
        <v>0</v>
      </c>
      <c r="DE753">
        <f t="shared" si="1487"/>
        <v>0</v>
      </c>
      <c r="DF753">
        <f t="shared" si="1487"/>
        <v>0</v>
      </c>
      <c r="DG753">
        <f t="shared" si="1488"/>
        <v>0</v>
      </c>
      <c r="DH753">
        <f t="shared" si="1488"/>
        <v>0</v>
      </c>
      <c r="DI753">
        <f t="shared" si="1488"/>
        <v>0</v>
      </c>
      <c r="DJ753">
        <f t="shared" si="1488"/>
        <v>0</v>
      </c>
      <c r="DK753">
        <f t="shared" si="1488"/>
        <v>0</v>
      </c>
      <c r="DL753">
        <f t="shared" si="1488"/>
        <v>0</v>
      </c>
      <c r="DM753">
        <f t="shared" si="1488"/>
        <v>0</v>
      </c>
      <c r="DN753">
        <f t="shared" si="1488"/>
        <v>0</v>
      </c>
      <c r="DO753">
        <f t="shared" si="1488"/>
        <v>0</v>
      </c>
      <c r="DP753">
        <f t="shared" si="1488"/>
        <v>0</v>
      </c>
      <c r="DQ753">
        <f t="shared" si="1489"/>
        <v>0</v>
      </c>
      <c r="DR753">
        <f t="shared" si="1489"/>
        <v>0</v>
      </c>
      <c r="DS753">
        <f t="shared" si="1489"/>
        <v>0</v>
      </c>
      <c r="DT753">
        <f t="shared" si="1489"/>
        <v>0</v>
      </c>
      <c r="DU753">
        <f t="shared" si="1489"/>
        <v>0</v>
      </c>
      <c r="DV753">
        <f t="shared" si="1489"/>
        <v>0</v>
      </c>
      <c r="DW753">
        <f t="shared" si="1489"/>
        <v>0</v>
      </c>
      <c r="DX753">
        <f t="shared" si="1489"/>
        <v>0</v>
      </c>
      <c r="DY753">
        <f t="shared" si="1489"/>
        <v>0</v>
      </c>
      <c r="DZ753">
        <f t="shared" si="1489"/>
        <v>0</v>
      </c>
      <c r="EA753">
        <f t="shared" si="1490"/>
        <v>0</v>
      </c>
      <c r="EB753">
        <f t="shared" si="1490"/>
        <v>0</v>
      </c>
      <c r="EC753">
        <f t="shared" si="1490"/>
        <v>0</v>
      </c>
      <c r="ED753">
        <f t="shared" si="1490"/>
        <v>0</v>
      </c>
      <c r="EE753">
        <f t="shared" si="1490"/>
        <v>0</v>
      </c>
      <c r="EF753">
        <f t="shared" si="1490"/>
        <v>0</v>
      </c>
    </row>
    <row r="754" spans="1:136" ht="15.5">
      <c r="A754" s="90"/>
      <c r="B754" s="19" t="s">
        <v>18</v>
      </c>
      <c r="C754" s="95"/>
      <c r="D754" s="18">
        <v>0</v>
      </c>
      <c r="E754" s="18">
        <v>0</v>
      </c>
      <c r="F754" s="18">
        <v>0</v>
      </c>
      <c r="G754" s="18">
        <v>0</v>
      </c>
      <c r="H754" s="18">
        <v>0</v>
      </c>
      <c r="I754" s="18">
        <v>0</v>
      </c>
      <c r="J754" s="18">
        <v>0</v>
      </c>
      <c r="K754" s="18">
        <v>0</v>
      </c>
      <c r="L754" s="18">
        <v>0</v>
      </c>
      <c r="M754" s="18">
        <v>0</v>
      </c>
      <c r="N754" s="18">
        <v>0</v>
      </c>
      <c r="O754" s="18">
        <v>0</v>
      </c>
      <c r="P754" s="18">
        <v>0</v>
      </c>
      <c r="Q754" s="18">
        <v>0</v>
      </c>
      <c r="R754" s="18">
        <v>0</v>
      </c>
      <c r="S754" s="18">
        <v>0</v>
      </c>
      <c r="T754" s="18">
        <v>0</v>
      </c>
      <c r="U754" s="18">
        <v>0</v>
      </c>
      <c r="V754" s="18">
        <v>0</v>
      </c>
      <c r="W754" s="18">
        <v>0</v>
      </c>
      <c r="X754" s="18">
        <v>0</v>
      </c>
      <c r="Y754" s="18">
        <v>0</v>
      </c>
      <c r="Z754" s="18">
        <v>0</v>
      </c>
      <c r="AA754" s="18">
        <v>0</v>
      </c>
      <c r="AB754" s="18">
        <v>0</v>
      </c>
      <c r="AC754" s="18">
        <v>0</v>
      </c>
      <c r="AD754" s="18">
        <v>0</v>
      </c>
      <c r="AE754" s="18">
        <v>0</v>
      </c>
      <c r="AF754" s="18">
        <v>0</v>
      </c>
      <c r="AG754" s="18">
        <v>0</v>
      </c>
      <c r="AH754" s="18">
        <v>0</v>
      </c>
      <c r="AI754" s="18">
        <v>0</v>
      </c>
      <c r="AJ754" s="40" t="s">
        <v>16</v>
      </c>
      <c r="AK754" s="40" t="s">
        <v>16</v>
      </c>
      <c r="AL754" s="40" t="s">
        <v>16</v>
      </c>
      <c r="AM754" s="40" t="s">
        <v>16</v>
      </c>
      <c r="AN754" s="18">
        <v>88</v>
      </c>
      <c r="AO754" s="18">
        <v>0</v>
      </c>
      <c r="AP754" s="18">
        <v>0</v>
      </c>
      <c r="AQ754" s="18">
        <v>0</v>
      </c>
      <c r="AR754" s="18">
        <v>0</v>
      </c>
      <c r="AS754" s="18">
        <v>0</v>
      </c>
      <c r="AT754" s="18">
        <v>0</v>
      </c>
      <c r="AU754" s="18">
        <v>0</v>
      </c>
      <c r="AV754" s="18">
        <v>0</v>
      </c>
      <c r="AW754" s="18">
        <v>0</v>
      </c>
      <c r="AX754" s="18">
        <v>0</v>
      </c>
      <c r="AY754" s="18">
        <v>0</v>
      </c>
      <c r="AZ754" s="18">
        <v>0</v>
      </c>
      <c r="BA754" s="18">
        <v>0</v>
      </c>
      <c r="BB754" s="18">
        <v>0</v>
      </c>
      <c r="BC754" s="18">
        <v>0</v>
      </c>
      <c r="BD754" s="18">
        <v>0</v>
      </c>
      <c r="BE754" s="18">
        <v>0</v>
      </c>
      <c r="BF754" s="18">
        <v>0</v>
      </c>
      <c r="BG754" s="18">
        <v>0</v>
      </c>
      <c r="BH754" s="18">
        <v>0</v>
      </c>
      <c r="BI754" s="18">
        <v>0</v>
      </c>
      <c r="BJ754" s="113">
        <v>0</v>
      </c>
      <c r="BK754" s="113">
        <v>0</v>
      </c>
      <c r="BL754" s="113">
        <v>0</v>
      </c>
      <c r="BM754" s="113">
        <v>0</v>
      </c>
      <c r="BN754" s="113">
        <v>0</v>
      </c>
      <c r="BO754" s="113">
        <v>0</v>
      </c>
      <c r="BP754" s="113">
        <v>0</v>
      </c>
      <c r="BQ754" s="113">
        <v>0</v>
      </c>
      <c r="BR754" s="101"/>
      <c r="BS754">
        <f t="shared" si="1484"/>
        <v>0</v>
      </c>
      <c r="BT754">
        <f t="shared" si="1484"/>
        <v>0</v>
      </c>
      <c r="BU754">
        <f t="shared" si="1484"/>
        <v>0</v>
      </c>
      <c r="BV754">
        <f t="shared" si="1484"/>
        <v>0</v>
      </c>
      <c r="BW754">
        <f t="shared" si="1484"/>
        <v>0</v>
      </c>
      <c r="BX754">
        <f t="shared" si="1484"/>
        <v>0</v>
      </c>
      <c r="BY754">
        <f t="shared" si="1484"/>
        <v>0</v>
      </c>
      <c r="BZ754">
        <f t="shared" si="1484"/>
        <v>0</v>
      </c>
      <c r="CA754">
        <f t="shared" si="1484"/>
        <v>0</v>
      </c>
      <c r="CB754">
        <f t="shared" si="1484"/>
        <v>0</v>
      </c>
      <c r="CC754">
        <f t="shared" si="1485"/>
        <v>0</v>
      </c>
      <c r="CD754">
        <f t="shared" si="1485"/>
        <v>0</v>
      </c>
      <c r="CE754">
        <f t="shared" si="1485"/>
        <v>0</v>
      </c>
      <c r="CF754">
        <f t="shared" si="1485"/>
        <v>0</v>
      </c>
      <c r="CG754">
        <f t="shared" si="1485"/>
        <v>0</v>
      </c>
      <c r="CH754">
        <f t="shared" si="1485"/>
        <v>0</v>
      </c>
      <c r="CI754">
        <f t="shared" si="1485"/>
        <v>0</v>
      </c>
      <c r="CJ754">
        <f t="shared" si="1485"/>
        <v>0</v>
      </c>
      <c r="CK754">
        <f t="shared" si="1485"/>
        <v>0</v>
      </c>
      <c r="CL754">
        <f t="shared" si="1485"/>
        <v>0</v>
      </c>
      <c r="CM754">
        <f t="shared" si="1486"/>
        <v>0</v>
      </c>
      <c r="CN754">
        <f t="shared" si="1486"/>
        <v>0</v>
      </c>
      <c r="CO754">
        <f t="shared" si="1486"/>
        <v>0</v>
      </c>
      <c r="CP754">
        <f t="shared" si="1486"/>
        <v>0</v>
      </c>
      <c r="CQ754">
        <f t="shared" si="1486"/>
        <v>0</v>
      </c>
      <c r="CR754">
        <f t="shared" si="1486"/>
        <v>0</v>
      </c>
      <c r="CS754">
        <f t="shared" si="1486"/>
        <v>0</v>
      </c>
      <c r="CT754">
        <f t="shared" si="1486"/>
        <v>0</v>
      </c>
      <c r="CU754">
        <f t="shared" si="1486"/>
        <v>0</v>
      </c>
      <c r="CV754">
        <f t="shared" si="1486"/>
        <v>0</v>
      </c>
      <c r="CW754">
        <f t="shared" si="1487"/>
        <v>0</v>
      </c>
      <c r="CX754">
        <f t="shared" si="1487"/>
        <v>0</v>
      </c>
      <c r="CY754">
        <f t="shared" si="1487"/>
        <v>0</v>
      </c>
      <c r="CZ754">
        <f t="shared" si="1487"/>
        <v>0</v>
      </c>
      <c r="DA754">
        <f t="shared" si="1487"/>
        <v>0</v>
      </c>
      <c r="DB754">
        <f t="shared" si="1487"/>
        <v>0</v>
      </c>
      <c r="DC754">
        <f t="shared" si="1487"/>
        <v>0</v>
      </c>
      <c r="DD754">
        <f t="shared" si="1487"/>
        <v>0</v>
      </c>
      <c r="DE754">
        <f t="shared" si="1487"/>
        <v>0</v>
      </c>
      <c r="DF754">
        <f t="shared" si="1487"/>
        <v>0</v>
      </c>
      <c r="DG754">
        <f t="shared" si="1488"/>
        <v>0</v>
      </c>
      <c r="DH754">
        <f t="shared" si="1488"/>
        <v>0</v>
      </c>
      <c r="DI754">
        <f t="shared" si="1488"/>
        <v>0</v>
      </c>
      <c r="DJ754">
        <f t="shared" si="1488"/>
        <v>0</v>
      </c>
      <c r="DK754">
        <f t="shared" si="1488"/>
        <v>0</v>
      </c>
      <c r="DL754">
        <f t="shared" si="1488"/>
        <v>0</v>
      </c>
      <c r="DM754">
        <f t="shared" si="1488"/>
        <v>0</v>
      </c>
      <c r="DN754">
        <f t="shared" si="1488"/>
        <v>0</v>
      </c>
      <c r="DO754">
        <f t="shared" si="1488"/>
        <v>0</v>
      </c>
      <c r="DP754">
        <f t="shared" si="1488"/>
        <v>0</v>
      </c>
      <c r="DQ754">
        <f t="shared" si="1489"/>
        <v>0</v>
      </c>
      <c r="DR754">
        <f t="shared" si="1489"/>
        <v>0</v>
      </c>
      <c r="DS754">
        <f t="shared" si="1489"/>
        <v>0</v>
      </c>
      <c r="DT754">
        <f t="shared" si="1489"/>
        <v>0</v>
      </c>
      <c r="DU754">
        <f t="shared" si="1489"/>
        <v>0</v>
      </c>
      <c r="DV754">
        <f t="shared" si="1489"/>
        <v>0</v>
      </c>
      <c r="DW754">
        <f t="shared" si="1489"/>
        <v>0</v>
      </c>
      <c r="DX754">
        <f t="shared" si="1489"/>
        <v>0</v>
      </c>
      <c r="DY754">
        <f t="shared" si="1489"/>
        <v>0</v>
      </c>
      <c r="DZ754">
        <f t="shared" si="1489"/>
        <v>0</v>
      </c>
      <c r="EA754">
        <f t="shared" si="1490"/>
        <v>0</v>
      </c>
      <c r="EB754">
        <f t="shared" si="1490"/>
        <v>0</v>
      </c>
      <c r="EC754">
        <f t="shared" si="1490"/>
        <v>0</v>
      </c>
      <c r="ED754">
        <f t="shared" si="1490"/>
        <v>0</v>
      </c>
      <c r="EE754">
        <f t="shared" si="1490"/>
        <v>0</v>
      </c>
      <c r="EF754">
        <f t="shared" si="1490"/>
        <v>0</v>
      </c>
    </row>
    <row r="755" spans="1:136" ht="15.5">
      <c r="A755" s="90"/>
      <c r="B755" s="19" t="s">
        <v>208</v>
      </c>
      <c r="C755" s="95"/>
      <c r="D755" s="18">
        <v>0</v>
      </c>
      <c r="E755" s="18">
        <v>0</v>
      </c>
      <c r="F755" s="18">
        <v>0</v>
      </c>
      <c r="G755" s="18">
        <v>0</v>
      </c>
      <c r="H755" s="18">
        <v>0</v>
      </c>
      <c r="I755" s="18">
        <v>0</v>
      </c>
      <c r="J755" s="18">
        <v>0</v>
      </c>
      <c r="K755" s="18">
        <v>0</v>
      </c>
      <c r="L755" s="18">
        <v>0</v>
      </c>
      <c r="M755" s="18">
        <v>1</v>
      </c>
      <c r="N755" s="18">
        <v>0</v>
      </c>
      <c r="O755" s="18">
        <v>0</v>
      </c>
      <c r="P755" s="18">
        <v>0</v>
      </c>
      <c r="Q755" s="18">
        <v>3.1860599999999996E-2</v>
      </c>
      <c r="R755" s="18">
        <v>0</v>
      </c>
      <c r="S755" s="18">
        <v>1.2E-2</v>
      </c>
      <c r="T755" s="18">
        <v>8.0304199999999992E-2</v>
      </c>
      <c r="U755" s="18">
        <v>1.78237</v>
      </c>
      <c r="V755" s="18">
        <v>21.666685700000002</v>
      </c>
      <c r="W755" s="18">
        <v>2.5447739999999999</v>
      </c>
      <c r="X755" s="18">
        <v>21.752572099999998</v>
      </c>
      <c r="Y755" s="18">
        <v>6.8178254000000003</v>
      </c>
      <c r="Z755" s="18">
        <v>7.1252426</v>
      </c>
      <c r="AA755" s="18">
        <v>6.2954840000000001</v>
      </c>
      <c r="AB755" s="18">
        <v>13.3890557</v>
      </c>
      <c r="AC755" s="18">
        <v>6.4774355999999997</v>
      </c>
      <c r="AD755" s="18">
        <v>4.2754314999999998</v>
      </c>
      <c r="AE755" s="18">
        <v>13.311756600000001</v>
      </c>
      <c r="AF755" s="18">
        <v>21.697093800000001</v>
      </c>
      <c r="AG755" s="18">
        <v>40.976192700000006</v>
      </c>
      <c r="AH755" s="18">
        <v>31.329848299999998</v>
      </c>
      <c r="AI755" s="18">
        <v>48.159628700000006</v>
      </c>
      <c r="AJ755" s="18">
        <v>65.576265100000001</v>
      </c>
      <c r="AK755" s="18">
        <v>74.562418700000009</v>
      </c>
      <c r="AL755" s="18">
        <v>15.947984400000001</v>
      </c>
      <c r="AM755" s="18">
        <v>8.6159999999999997</v>
      </c>
      <c r="AN755" s="18">
        <v>0</v>
      </c>
      <c r="AO755" s="18">
        <v>0</v>
      </c>
      <c r="AP755" s="18">
        <v>0</v>
      </c>
      <c r="AQ755" s="18">
        <v>7.0000000000000007E-2</v>
      </c>
      <c r="AR755" s="18">
        <v>1.2E-2</v>
      </c>
      <c r="AS755" s="18">
        <v>0</v>
      </c>
      <c r="AT755" s="18">
        <v>0.14262320000000001</v>
      </c>
      <c r="AU755" s="18">
        <v>0</v>
      </c>
      <c r="AV755" s="18">
        <v>0</v>
      </c>
      <c r="AW755" s="18">
        <v>0</v>
      </c>
      <c r="AX755" s="18">
        <v>1.0149999999999999</v>
      </c>
      <c r="AY755" s="18">
        <v>0</v>
      </c>
      <c r="AZ755" s="18">
        <v>10</v>
      </c>
      <c r="BA755" s="18">
        <v>0</v>
      </c>
      <c r="BB755" s="18">
        <v>0</v>
      </c>
      <c r="BC755" s="18">
        <v>0</v>
      </c>
      <c r="BD755" s="18">
        <v>0</v>
      </c>
      <c r="BE755" s="25">
        <v>0</v>
      </c>
      <c r="BF755" s="18">
        <v>0</v>
      </c>
      <c r="BG755" s="18">
        <v>0</v>
      </c>
      <c r="BH755" s="18">
        <v>0</v>
      </c>
      <c r="BI755" s="18">
        <v>0</v>
      </c>
      <c r="BJ755" s="113">
        <v>0</v>
      </c>
      <c r="BK755" s="113">
        <v>0</v>
      </c>
      <c r="BL755" s="113">
        <v>0</v>
      </c>
      <c r="BM755" s="113">
        <v>0</v>
      </c>
      <c r="BN755" s="113">
        <v>0</v>
      </c>
      <c r="BO755" s="113">
        <v>0</v>
      </c>
      <c r="BP755" s="113">
        <v>0</v>
      </c>
      <c r="BQ755" s="113">
        <v>0</v>
      </c>
      <c r="BR755" s="101"/>
      <c r="BS755">
        <f t="shared" si="1484"/>
        <v>0</v>
      </c>
      <c r="BT755">
        <f t="shared" si="1484"/>
        <v>0</v>
      </c>
      <c r="BU755">
        <f t="shared" si="1484"/>
        <v>0</v>
      </c>
      <c r="BV755">
        <f t="shared" si="1484"/>
        <v>0</v>
      </c>
      <c r="BW755">
        <f t="shared" si="1484"/>
        <v>0</v>
      </c>
      <c r="BX755">
        <f t="shared" si="1484"/>
        <v>0</v>
      </c>
      <c r="BY755">
        <f t="shared" si="1484"/>
        <v>0</v>
      </c>
      <c r="BZ755">
        <f t="shared" si="1484"/>
        <v>0</v>
      </c>
      <c r="CA755">
        <f t="shared" si="1484"/>
        <v>0</v>
      </c>
      <c r="CB755">
        <f t="shared" si="1484"/>
        <v>0</v>
      </c>
      <c r="CC755">
        <f t="shared" si="1485"/>
        <v>0</v>
      </c>
      <c r="CD755">
        <f t="shared" si="1485"/>
        <v>0</v>
      </c>
      <c r="CE755">
        <f t="shared" si="1485"/>
        <v>0</v>
      </c>
      <c r="CF755">
        <f t="shared" si="1485"/>
        <v>0</v>
      </c>
      <c r="CG755">
        <f t="shared" si="1485"/>
        <v>0</v>
      </c>
      <c r="CH755">
        <f t="shared" si="1485"/>
        <v>0</v>
      </c>
      <c r="CI755">
        <f t="shared" si="1485"/>
        <v>0</v>
      </c>
      <c r="CJ755">
        <f t="shared" si="1485"/>
        <v>0</v>
      </c>
      <c r="CK755">
        <f t="shared" si="1485"/>
        <v>0</v>
      </c>
      <c r="CL755">
        <f t="shared" si="1485"/>
        <v>0</v>
      </c>
      <c r="CM755">
        <f t="shared" si="1486"/>
        <v>0</v>
      </c>
      <c r="CN755">
        <f t="shared" si="1486"/>
        <v>0</v>
      </c>
      <c r="CO755">
        <f t="shared" si="1486"/>
        <v>0</v>
      </c>
      <c r="CP755">
        <f t="shared" si="1486"/>
        <v>0</v>
      </c>
      <c r="CQ755">
        <f t="shared" si="1486"/>
        <v>0</v>
      </c>
      <c r="CR755">
        <f t="shared" si="1486"/>
        <v>0</v>
      </c>
      <c r="CS755">
        <f t="shared" si="1486"/>
        <v>0</v>
      </c>
      <c r="CT755">
        <f t="shared" si="1486"/>
        <v>0</v>
      </c>
      <c r="CU755">
        <f t="shared" si="1486"/>
        <v>0</v>
      </c>
      <c r="CV755">
        <f t="shared" si="1486"/>
        <v>0</v>
      </c>
      <c r="CW755">
        <f t="shared" si="1487"/>
        <v>0</v>
      </c>
      <c r="CX755">
        <f t="shared" si="1487"/>
        <v>0</v>
      </c>
      <c r="CY755">
        <f t="shared" si="1487"/>
        <v>0</v>
      </c>
      <c r="CZ755">
        <f t="shared" si="1487"/>
        <v>0</v>
      </c>
      <c r="DA755">
        <f t="shared" si="1487"/>
        <v>0</v>
      </c>
      <c r="DB755">
        <f t="shared" si="1487"/>
        <v>0</v>
      </c>
      <c r="DC755">
        <f t="shared" si="1487"/>
        <v>0</v>
      </c>
      <c r="DD755">
        <f t="shared" si="1487"/>
        <v>0</v>
      </c>
      <c r="DE755">
        <f t="shared" si="1487"/>
        <v>0</v>
      </c>
      <c r="DF755">
        <f t="shared" si="1487"/>
        <v>0</v>
      </c>
      <c r="DG755">
        <f t="shared" si="1488"/>
        <v>0</v>
      </c>
      <c r="DH755">
        <f t="shared" si="1488"/>
        <v>0</v>
      </c>
      <c r="DI755">
        <f t="shared" si="1488"/>
        <v>0</v>
      </c>
      <c r="DJ755">
        <f t="shared" si="1488"/>
        <v>0</v>
      </c>
      <c r="DK755">
        <f t="shared" si="1488"/>
        <v>0</v>
      </c>
      <c r="DL755">
        <f t="shared" si="1488"/>
        <v>0</v>
      </c>
      <c r="DM755">
        <f t="shared" si="1488"/>
        <v>0</v>
      </c>
      <c r="DN755">
        <f t="shared" si="1488"/>
        <v>0</v>
      </c>
      <c r="DO755">
        <f t="shared" si="1488"/>
        <v>0</v>
      </c>
      <c r="DP755">
        <f t="shared" si="1488"/>
        <v>0</v>
      </c>
      <c r="DQ755">
        <f t="shared" si="1489"/>
        <v>0</v>
      </c>
      <c r="DR755">
        <f t="shared" si="1489"/>
        <v>0</v>
      </c>
      <c r="DS755">
        <f t="shared" si="1489"/>
        <v>0</v>
      </c>
      <c r="DT755">
        <f t="shared" si="1489"/>
        <v>0</v>
      </c>
      <c r="DU755">
        <f t="shared" si="1489"/>
        <v>0</v>
      </c>
      <c r="DV755">
        <f t="shared" si="1489"/>
        <v>0</v>
      </c>
      <c r="DW755">
        <f t="shared" si="1489"/>
        <v>0</v>
      </c>
      <c r="DX755">
        <f t="shared" si="1489"/>
        <v>0</v>
      </c>
      <c r="DY755">
        <f t="shared" si="1489"/>
        <v>0</v>
      </c>
      <c r="DZ755">
        <f t="shared" si="1489"/>
        <v>0</v>
      </c>
      <c r="EA755">
        <f t="shared" si="1490"/>
        <v>0</v>
      </c>
      <c r="EB755">
        <f t="shared" si="1490"/>
        <v>0</v>
      </c>
      <c r="EC755">
        <f t="shared" si="1490"/>
        <v>0</v>
      </c>
      <c r="ED755">
        <f t="shared" si="1490"/>
        <v>0</v>
      </c>
      <c r="EE755">
        <f t="shared" si="1490"/>
        <v>0</v>
      </c>
      <c r="EF755">
        <f t="shared" si="1490"/>
        <v>0</v>
      </c>
    </row>
    <row r="756" spans="1:136" ht="15.5">
      <c r="A756" s="90"/>
      <c r="B756" s="19" t="s">
        <v>212</v>
      </c>
      <c r="C756" s="95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>
        <v>1024.3436293436293</v>
      </c>
      <c r="AA756" s="18">
        <v>971.47810218978111</v>
      </c>
      <c r="AB756" s="18">
        <v>836.55172413793105</v>
      </c>
      <c r="AC756" s="18">
        <v>683.16472114137491</v>
      </c>
      <c r="AD756" s="18">
        <v>610.41237113402065</v>
      </c>
      <c r="AE756" s="18">
        <v>534.80283114256827</v>
      </c>
      <c r="AF756" s="18">
        <v>530.11869436201778</v>
      </c>
      <c r="AG756" s="18">
        <v>507.01408450704224</v>
      </c>
      <c r="AH756" s="18">
        <v>493.78427787934186</v>
      </c>
      <c r="AI756" s="18">
        <v>548.14246575342474</v>
      </c>
      <c r="AJ756" s="18">
        <v>487.84679452054803</v>
      </c>
      <c r="AK756" s="18">
        <v>447.86786309854676</v>
      </c>
      <c r="AL756" s="18">
        <v>455.94179466451089</v>
      </c>
      <c r="AM756" s="18">
        <v>429.34362934362935</v>
      </c>
      <c r="AN756" s="18">
        <v>394.00584795321635</v>
      </c>
      <c r="AO756" s="18">
        <v>349.83498349834986</v>
      </c>
      <c r="AP756" s="18">
        <v>272.14854111405833</v>
      </c>
      <c r="AQ756" s="18">
        <v>239.14081145584726</v>
      </c>
      <c r="AR756" s="18">
        <v>194.6421096693177</v>
      </c>
      <c r="AS756" s="18">
        <v>197.18309859154931</v>
      </c>
      <c r="AT756" s="18">
        <v>167.10085597320432</v>
      </c>
      <c r="AU756" s="18">
        <v>185.61746987951807</v>
      </c>
      <c r="AV756" s="18">
        <v>186.57298985167839</v>
      </c>
      <c r="AW756" s="18">
        <v>120.62546537602381</v>
      </c>
      <c r="AX756" s="18">
        <v>54.355919583023081</v>
      </c>
      <c r="AY756" s="18">
        <v>79.928952042628779</v>
      </c>
      <c r="AZ756" s="18">
        <v>90</v>
      </c>
      <c r="BA756" s="18">
        <v>80.152671755725194</v>
      </c>
      <c r="BB756" s="18">
        <v>103.67647058823529</v>
      </c>
      <c r="BC756" s="18">
        <v>119.08396946564885</v>
      </c>
      <c r="BD756" s="18">
        <v>86</v>
      </c>
      <c r="BE756" s="25">
        <v>68.534773801485485</v>
      </c>
      <c r="BF756" s="18">
        <v>38.117335101093801</v>
      </c>
      <c r="BG756" s="18">
        <v>31.49120098795925</v>
      </c>
      <c r="BH756" s="18">
        <v>28.969042885543878</v>
      </c>
      <c r="BI756" s="18">
        <v>34.383954154727796</v>
      </c>
      <c r="BJ756" s="113">
        <v>33.333333333333336</v>
      </c>
      <c r="BK756" s="113">
        <v>36.021505376344088</v>
      </c>
      <c r="BL756" s="113">
        <v>32.602739726027394</v>
      </c>
      <c r="BM756" s="113">
        <v>36.81318681318681</v>
      </c>
      <c r="BN756" s="113">
        <v>40</v>
      </c>
      <c r="BO756" s="113">
        <v>34.044715447154466</v>
      </c>
      <c r="BP756" s="113">
        <v>45</v>
      </c>
      <c r="BQ756" s="113">
        <v>45</v>
      </c>
      <c r="BR756" s="101"/>
      <c r="BS756">
        <f t="shared" si="1484"/>
        <v>0</v>
      </c>
      <c r="BT756">
        <f t="shared" si="1484"/>
        <v>0</v>
      </c>
      <c r="BU756">
        <f t="shared" si="1484"/>
        <v>0</v>
      </c>
      <c r="BV756">
        <f t="shared" si="1484"/>
        <v>0</v>
      </c>
      <c r="BW756">
        <f t="shared" si="1484"/>
        <v>0</v>
      </c>
      <c r="BX756">
        <f t="shared" si="1484"/>
        <v>0</v>
      </c>
      <c r="BY756">
        <f t="shared" si="1484"/>
        <v>0</v>
      </c>
      <c r="BZ756">
        <f t="shared" si="1484"/>
        <v>0</v>
      </c>
      <c r="CA756">
        <f t="shared" si="1484"/>
        <v>0</v>
      </c>
      <c r="CB756">
        <f t="shared" si="1484"/>
        <v>0</v>
      </c>
      <c r="CC756">
        <f t="shared" si="1485"/>
        <v>0</v>
      </c>
      <c r="CD756">
        <f t="shared" si="1485"/>
        <v>0</v>
      </c>
      <c r="CE756">
        <f t="shared" si="1485"/>
        <v>0</v>
      </c>
      <c r="CF756">
        <f t="shared" si="1485"/>
        <v>0</v>
      </c>
      <c r="CG756">
        <f t="shared" si="1485"/>
        <v>0</v>
      </c>
      <c r="CH756">
        <f t="shared" si="1485"/>
        <v>0</v>
      </c>
      <c r="CI756">
        <f t="shared" si="1485"/>
        <v>0</v>
      </c>
      <c r="CJ756">
        <f t="shared" si="1485"/>
        <v>0</v>
      </c>
      <c r="CK756">
        <f t="shared" si="1485"/>
        <v>0</v>
      </c>
      <c r="CL756">
        <f t="shared" si="1485"/>
        <v>0</v>
      </c>
      <c r="CM756">
        <f t="shared" si="1486"/>
        <v>0</v>
      </c>
      <c r="CN756">
        <f t="shared" si="1486"/>
        <v>0</v>
      </c>
      <c r="CO756">
        <f t="shared" si="1486"/>
        <v>0</v>
      </c>
      <c r="CP756">
        <f t="shared" si="1486"/>
        <v>0</v>
      </c>
      <c r="CQ756">
        <f t="shared" si="1486"/>
        <v>0</v>
      </c>
      <c r="CR756">
        <f t="shared" si="1486"/>
        <v>0</v>
      </c>
      <c r="CS756">
        <f t="shared" si="1486"/>
        <v>0</v>
      </c>
      <c r="CT756">
        <f t="shared" si="1486"/>
        <v>0</v>
      </c>
      <c r="CU756">
        <f t="shared" si="1486"/>
        <v>0</v>
      </c>
      <c r="CV756">
        <f t="shared" si="1486"/>
        <v>0</v>
      </c>
      <c r="CW756">
        <f t="shared" si="1487"/>
        <v>0</v>
      </c>
      <c r="CX756">
        <f t="shared" si="1487"/>
        <v>0</v>
      </c>
      <c r="CY756">
        <f t="shared" si="1487"/>
        <v>0</v>
      </c>
      <c r="CZ756">
        <f t="shared" si="1487"/>
        <v>0</v>
      </c>
      <c r="DA756">
        <f t="shared" si="1487"/>
        <v>0</v>
      </c>
      <c r="DB756">
        <f t="shared" si="1487"/>
        <v>0</v>
      </c>
      <c r="DC756">
        <f t="shared" si="1487"/>
        <v>0</v>
      </c>
      <c r="DD756">
        <f t="shared" si="1487"/>
        <v>0</v>
      </c>
      <c r="DE756">
        <f t="shared" si="1487"/>
        <v>0</v>
      </c>
      <c r="DF756">
        <f t="shared" si="1487"/>
        <v>0</v>
      </c>
      <c r="DG756">
        <f t="shared" si="1488"/>
        <v>0</v>
      </c>
      <c r="DH756">
        <f t="shared" si="1488"/>
        <v>0</v>
      </c>
      <c r="DI756">
        <f t="shared" si="1488"/>
        <v>0</v>
      </c>
      <c r="DJ756">
        <f t="shared" si="1488"/>
        <v>0</v>
      </c>
      <c r="DK756">
        <f t="shared" si="1488"/>
        <v>0</v>
      </c>
      <c r="DL756">
        <f t="shared" si="1488"/>
        <v>0</v>
      </c>
      <c r="DM756">
        <f t="shared" si="1488"/>
        <v>0</v>
      </c>
      <c r="DN756">
        <f t="shared" si="1488"/>
        <v>0</v>
      </c>
      <c r="DO756">
        <f t="shared" si="1488"/>
        <v>0</v>
      </c>
      <c r="DP756">
        <f t="shared" si="1488"/>
        <v>0</v>
      </c>
      <c r="DQ756">
        <f t="shared" si="1489"/>
        <v>0</v>
      </c>
      <c r="DR756">
        <f t="shared" si="1489"/>
        <v>0</v>
      </c>
      <c r="DS756">
        <f t="shared" si="1489"/>
        <v>0</v>
      </c>
      <c r="DT756">
        <f t="shared" si="1489"/>
        <v>0</v>
      </c>
      <c r="DU756">
        <f t="shared" si="1489"/>
        <v>0</v>
      </c>
      <c r="DV756">
        <f t="shared" si="1489"/>
        <v>0</v>
      </c>
      <c r="DW756">
        <f t="shared" si="1489"/>
        <v>0</v>
      </c>
      <c r="DX756">
        <f t="shared" si="1489"/>
        <v>0</v>
      </c>
      <c r="DY756">
        <f t="shared" si="1489"/>
        <v>0</v>
      </c>
      <c r="DZ756">
        <f t="shared" si="1489"/>
        <v>0</v>
      </c>
      <c r="EA756">
        <f t="shared" si="1490"/>
        <v>0</v>
      </c>
      <c r="EB756">
        <f t="shared" si="1490"/>
        <v>0</v>
      </c>
      <c r="EC756">
        <f t="shared" si="1490"/>
        <v>0</v>
      </c>
      <c r="ED756">
        <f t="shared" si="1490"/>
        <v>0</v>
      </c>
      <c r="EE756">
        <f t="shared" si="1490"/>
        <v>0</v>
      </c>
      <c r="EF756">
        <f t="shared" si="1490"/>
        <v>0</v>
      </c>
    </row>
    <row r="757" spans="1:136" ht="15.5">
      <c r="A757" s="90"/>
      <c r="B757" s="19"/>
      <c r="C757" s="95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/>
      <c r="AV757" s="18"/>
      <c r="AW757" s="18"/>
      <c r="AX757" s="18"/>
      <c r="AY757" s="18"/>
      <c r="AZ757" s="18"/>
      <c r="BA757" s="18"/>
      <c r="BB757" s="18"/>
      <c r="BC757" s="18"/>
      <c r="BD757" s="18"/>
      <c r="BE757" s="25"/>
      <c r="BF757" s="18"/>
      <c r="BG757" s="18"/>
      <c r="BH757" s="18"/>
      <c r="BI757" s="18"/>
      <c r="BJ757" s="113"/>
      <c r="BK757" s="113"/>
      <c r="BL757" s="113"/>
      <c r="BM757" s="113"/>
      <c r="BN757" s="2"/>
      <c r="BO757" s="2"/>
      <c r="BP757" s="2"/>
      <c r="BQ757" s="2"/>
      <c r="BR757" s="101"/>
    </row>
    <row r="758" spans="1:136" ht="15.5">
      <c r="A758" s="93">
        <v>94</v>
      </c>
      <c r="B758" s="54" t="s">
        <v>101</v>
      </c>
      <c r="C758" s="95">
        <v>3</v>
      </c>
      <c r="D758" s="22"/>
      <c r="E758" s="22"/>
      <c r="F758" s="22"/>
      <c r="G758" s="22"/>
      <c r="H758" s="22"/>
      <c r="I758" s="22"/>
      <c r="J758" s="22"/>
      <c r="K758" s="22"/>
      <c r="L758" s="22">
        <f t="shared" ref="L758:BG758" si="1491">L759+L760+L761</f>
        <v>0</v>
      </c>
      <c r="M758" s="22">
        <f t="shared" si="1491"/>
        <v>0</v>
      </c>
      <c r="N758" s="22">
        <f t="shared" si="1491"/>
        <v>0</v>
      </c>
      <c r="O758" s="22">
        <f t="shared" si="1491"/>
        <v>3.0627599999999998E-2</v>
      </c>
      <c r="P758" s="22">
        <f t="shared" si="1491"/>
        <v>7.2791100000000011E-2</v>
      </c>
      <c r="Q758" s="22">
        <f t="shared" si="1491"/>
        <v>0</v>
      </c>
      <c r="R758" s="22">
        <f t="shared" si="1491"/>
        <v>0</v>
      </c>
      <c r="S758" s="22">
        <f t="shared" si="1491"/>
        <v>0</v>
      </c>
      <c r="T758" s="22">
        <f t="shared" si="1491"/>
        <v>0</v>
      </c>
      <c r="U758" s="22">
        <f t="shared" si="1491"/>
        <v>0.39313890000000001</v>
      </c>
      <c r="V758" s="22">
        <f t="shared" si="1491"/>
        <v>0.31331300000000001</v>
      </c>
      <c r="W758" s="22">
        <f t="shared" si="1491"/>
        <v>0.67436469999999993</v>
      </c>
      <c r="X758" s="22">
        <f t="shared" si="1491"/>
        <v>2.2969115000000002</v>
      </c>
      <c r="Y758" s="22">
        <f t="shared" si="1491"/>
        <v>3.0371964</v>
      </c>
      <c r="Z758" s="22">
        <f t="shared" si="1491"/>
        <v>0</v>
      </c>
      <c r="AA758" s="22">
        <f t="shared" si="1491"/>
        <v>0</v>
      </c>
      <c r="AB758" s="22">
        <f t="shared" si="1491"/>
        <v>0.1561275</v>
      </c>
      <c r="AC758" s="22">
        <f t="shared" si="1491"/>
        <v>0</v>
      </c>
      <c r="AD758" s="22">
        <f t="shared" si="1491"/>
        <v>0</v>
      </c>
      <c r="AE758" s="22">
        <f t="shared" si="1491"/>
        <v>0</v>
      </c>
      <c r="AF758" s="22">
        <f t="shared" si="1491"/>
        <v>0.1109353</v>
      </c>
      <c r="AG758" s="22">
        <f t="shared" si="1491"/>
        <v>3.0392575000000002</v>
      </c>
      <c r="AH758" s="22">
        <f t="shared" si="1491"/>
        <v>7.5959824999999999</v>
      </c>
      <c r="AI758" s="22">
        <f t="shared" si="1491"/>
        <v>11.0684395</v>
      </c>
      <c r="AJ758" s="22">
        <f t="shared" si="1491"/>
        <v>10.273851200000001</v>
      </c>
      <c r="AK758" s="22">
        <f t="shared" si="1491"/>
        <v>12.7492737</v>
      </c>
      <c r="AL758" s="22">
        <f t="shared" si="1491"/>
        <v>2.7614447000000002</v>
      </c>
      <c r="AM758" s="22">
        <f t="shared" si="1491"/>
        <v>0.84797230000000001</v>
      </c>
      <c r="AN758" s="22">
        <f t="shared" si="1491"/>
        <v>5.7946800000000007E-2</v>
      </c>
      <c r="AO758" s="22">
        <f t="shared" si="1491"/>
        <v>0.63051259999999998</v>
      </c>
      <c r="AP758" s="22">
        <f t="shared" si="1491"/>
        <v>0</v>
      </c>
      <c r="AQ758" s="22">
        <f t="shared" si="1491"/>
        <v>0</v>
      </c>
      <c r="AR758" s="22">
        <f t="shared" si="1491"/>
        <v>0</v>
      </c>
      <c r="AS758" s="22">
        <f t="shared" si="1491"/>
        <v>0</v>
      </c>
      <c r="AT758" s="22">
        <f t="shared" si="1491"/>
        <v>0</v>
      </c>
      <c r="AU758" s="22">
        <f t="shared" si="1491"/>
        <v>0</v>
      </c>
      <c r="AV758" s="22">
        <f t="shared" si="1491"/>
        <v>0</v>
      </c>
      <c r="AW758" s="22">
        <f t="shared" si="1491"/>
        <v>0</v>
      </c>
      <c r="AX758" s="22">
        <f t="shared" si="1491"/>
        <v>0</v>
      </c>
      <c r="AY758" s="22">
        <f t="shared" si="1491"/>
        <v>0</v>
      </c>
      <c r="AZ758" s="22">
        <f t="shared" si="1491"/>
        <v>0</v>
      </c>
      <c r="BA758" s="22">
        <f t="shared" si="1491"/>
        <v>0</v>
      </c>
      <c r="BB758" s="22">
        <f t="shared" si="1491"/>
        <v>0</v>
      </c>
      <c r="BC758" s="22">
        <f t="shared" si="1491"/>
        <v>1.55882E-2</v>
      </c>
      <c r="BD758" s="22">
        <f t="shared" si="1491"/>
        <v>3.6999385000000005</v>
      </c>
      <c r="BE758" s="22">
        <f t="shared" si="1491"/>
        <v>4.2598449</v>
      </c>
      <c r="BF758" s="22">
        <f t="shared" si="1491"/>
        <v>6.740381600000001</v>
      </c>
      <c r="BG758" s="22">
        <f t="shared" si="1491"/>
        <v>7.5742308999999999</v>
      </c>
      <c r="BH758" s="22">
        <f>BH759+BH760+BH761</f>
        <v>6.4386258999999999</v>
      </c>
      <c r="BI758" s="22">
        <f t="shared" ref="BI758:BQ758" si="1492">BI759+BI760+BI761</f>
        <v>8.3805268999999996</v>
      </c>
      <c r="BJ758" s="22">
        <f t="shared" si="1492"/>
        <v>0.10305</v>
      </c>
      <c r="BK758" s="22">
        <f t="shared" si="1492"/>
        <v>11.721961200000001</v>
      </c>
      <c r="BL758" s="22">
        <f t="shared" si="1492"/>
        <v>5.8007521999999998</v>
      </c>
      <c r="BM758" s="22">
        <f t="shared" si="1492"/>
        <v>6.2099341999999993</v>
      </c>
      <c r="BN758" s="22">
        <f t="shared" si="1492"/>
        <v>7.3610480000000011</v>
      </c>
      <c r="BO758" s="22">
        <f t="shared" si="1492"/>
        <v>14.272459599999999</v>
      </c>
      <c r="BP758" s="22">
        <f t="shared" si="1492"/>
        <v>8.2724595999999995</v>
      </c>
      <c r="BQ758" s="22">
        <f t="shared" si="1492"/>
        <v>0</v>
      </c>
      <c r="BR758" s="101"/>
      <c r="BS758">
        <f t="shared" ref="BS758:CX758" si="1493">IF($C758&lt;&gt;"",IF(D758&gt;0,1,0),0)</f>
        <v>0</v>
      </c>
      <c r="BT758">
        <f t="shared" si="1493"/>
        <v>0</v>
      </c>
      <c r="BU758">
        <f t="shared" si="1493"/>
        <v>0</v>
      </c>
      <c r="BV758">
        <f t="shared" si="1493"/>
        <v>0</v>
      </c>
      <c r="BW758">
        <f t="shared" si="1493"/>
        <v>0</v>
      </c>
      <c r="BX758">
        <f t="shared" si="1493"/>
        <v>0</v>
      </c>
      <c r="BY758">
        <f t="shared" si="1493"/>
        <v>0</v>
      </c>
      <c r="BZ758">
        <f t="shared" si="1493"/>
        <v>0</v>
      </c>
      <c r="CA758">
        <f t="shared" si="1493"/>
        <v>0</v>
      </c>
      <c r="CB758">
        <f t="shared" si="1493"/>
        <v>0</v>
      </c>
      <c r="CC758">
        <f t="shared" si="1493"/>
        <v>0</v>
      </c>
      <c r="CD758">
        <f t="shared" si="1493"/>
        <v>1</v>
      </c>
      <c r="CE758">
        <f t="shared" si="1493"/>
        <v>1</v>
      </c>
      <c r="CF758">
        <f t="shared" si="1493"/>
        <v>0</v>
      </c>
      <c r="CG758">
        <f t="shared" si="1493"/>
        <v>0</v>
      </c>
      <c r="CH758">
        <f t="shared" si="1493"/>
        <v>0</v>
      </c>
      <c r="CI758">
        <f t="shared" si="1493"/>
        <v>0</v>
      </c>
      <c r="CJ758">
        <f t="shared" si="1493"/>
        <v>1</v>
      </c>
      <c r="CK758">
        <f t="shared" si="1493"/>
        <v>1</v>
      </c>
      <c r="CL758">
        <f t="shared" si="1493"/>
        <v>1</v>
      </c>
      <c r="CM758">
        <f t="shared" si="1493"/>
        <v>1</v>
      </c>
      <c r="CN758">
        <f t="shared" si="1493"/>
        <v>1</v>
      </c>
      <c r="CO758">
        <f t="shared" si="1493"/>
        <v>0</v>
      </c>
      <c r="CP758">
        <f t="shared" si="1493"/>
        <v>0</v>
      </c>
      <c r="CQ758">
        <f t="shared" si="1493"/>
        <v>1</v>
      </c>
      <c r="CR758">
        <f t="shared" si="1493"/>
        <v>0</v>
      </c>
      <c r="CS758">
        <f t="shared" si="1493"/>
        <v>0</v>
      </c>
      <c r="CT758">
        <f t="shared" si="1493"/>
        <v>0</v>
      </c>
      <c r="CU758">
        <f t="shared" si="1493"/>
        <v>1</v>
      </c>
      <c r="CV758">
        <f t="shared" si="1493"/>
        <v>1</v>
      </c>
      <c r="CW758">
        <f t="shared" si="1493"/>
        <v>1</v>
      </c>
      <c r="CX758">
        <f t="shared" si="1493"/>
        <v>1</v>
      </c>
      <c r="CY758">
        <f t="shared" ref="CY758:ED758" si="1494">IF($C758&lt;&gt;"",IF(AJ758&gt;0,1,0),0)</f>
        <v>1</v>
      </c>
      <c r="CZ758">
        <f t="shared" si="1494"/>
        <v>1</v>
      </c>
      <c r="DA758">
        <f t="shared" si="1494"/>
        <v>1</v>
      </c>
      <c r="DB758">
        <f t="shared" si="1494"/>
        <v>1</v>
      </c>
      <c r="DC758">
        <f t="shared" si="1494"/>
        <v>1</v>
      </c>
      <c r="DD758">
        <f t="shared" si="1494"/>
        <v>1</v>
      </c>
      <c r="DE758">
        <f t="shared" si="1494"/>
        <v>0</v>
      </c>
      <c r="DF758">
        <f t="shared" si="1494"/>
        <v>0</v>
      </c>
      <c r="DG758">
        <f t="shared" si="1494"/>
        <v>0</v>
      </c>
      <c r="DH758">
        <f t="shared" si="1494"/>
        <v>0</v>
      </c>
      <c r="DI758">
        <f t="shared" si="1494"/>
        <v>0</v>
      </c>
      <c r="DJ758">
        <f t="shared" si="1494"/>
        <v>0</v>
      </c>
      <c r="DK758">
        <f t="shared" si="1494"/>
        <v>0</v>
      </c>
      <c r="DL758">
        <f t="shared" si="1494"/>
        <v>0</v>
      </c>
      <c r="DM758">
        <f t="shared" si="1494"/>
        <v>0</v>
      </c>
      <c r="DN758">
        <f t="shared" si="1494"/>
        <v>0</v>
      </c>
      <c r="DO758">
        <f t="shared" si="1494"/>
        <v>0</v>
      </c>
      <c r="DP758">
        <f t="shared" si="1494"/>
        <v>0</v>
      </c>
      <c r="DQ758">
        <f t="shared" si="1494"/>
        <v>0</v>
      </c>
      <c r="DR758">
        <f t="shared" si="1494"/>
        <v>1</v>
      </c>
      <c r="DS758">
        <f t="shared" si="1494"/>
        <v>1</v>
      </c>
      <c r="DT758">
        <f t="shared" si="1494"/>
        <v>1</v>
      </c>
      <c r="DU758">
        <f t="shared" si="1494"/>
        <v>1</v>
      </c>
      <c r="DV758">
        <f t="shared" si="1494"/>
        <v>1</v>
      </c>
      <c r="DW758">
        <f t="shared" si="1494"/>
        <v>1</v>
      </c>
      <c r="DX758">
        <f t="shared" si="1494"/>
        <v>1</v>
      </c>
      <c r="DY758">
        <f t="shared" si="1494"/>
        <v>1</v>
      </c>
      <c r="DZ758">
        <f t="shared" si="1494"/>
        <v>1</v>
      </c>
      <c r="EA758">
        <f t="shared" si="1494"/>
        <v>1</v>
      </c>
      <c r="EB758">
        <f t="shared" si="1494"/>
        <v>1</v>
      </c>
      <c r="EC758">
        <f t="shared" si="1494"/>
        <v>1</v>
      </c>
      <c r="ED758">
        <f t="shared" si="1494"/>
        <v>1</v>
      </c>
      <c r="EE758">
        <f t="shared" ref="EE758:EF758" si="1495">IF($C758&lt;&gt;"",IF(BP758&gt;0,1,0),0)</f>
        <v>1</v>
      </c>
      <c r="EF758">
        <f t="shared" si="1495"/>
        <v>0</v>
      </c>
    </row>
    <row r="759" spans="1:136" ht="15.5">
      <c r="A759" s="90"/>
      <c r="B759" s="19" t="s">
        <v>205</v>
      </c>
      <c r="C759" s="95"/>
      <c r="D759" s="22"/>
      <c r="E759" s="22"/>
      <c r="F759" s="22"/>
      <c r="G759" s="22"/>
      <c r="H759" s="22"/>
      <c r="I759" s="22"/>
      <c r="J759" s="22"/>
      <c r="K759" s="22"/>
      <c r="L759" s="18">
        <v>0</v>
      </c>
      <c r="M759" s="18">
        <v>0</v>
      </c>
      <c r="N759" s="18">
        <v>0</v>
      </c>
      <c r="O759" s="18">
        <v>0</v>
      </c>
      <c r="P759" s="18">
        <v>0</v>
      </c>
      <c r="Q759" s="18">
        <v>0</v>
      </c>
      <c r="R759" s="18">
        <v>0</v>
      </c>
      <c r="S759" s="18">
        <v>0</v>
      </c>
      <c r="T759" s="18">
        <v>0</v>
      </c>
      <c r="U759" s="18">
        <v>0</v>
      </c>
      <c r="V759" s="18">
        <v>0</v>
      </c>
      <c r="W759" s="18">
        <v>0</v>
      </c>
      <c r="X759" s="18">
        <v>0</v>
      </c>
      <c r="Y759" s="18">
        <v>0</v>
      </c>
      <c r="Z759" s="18">
        <v>0</v>
      </c>
      <c r="AA759" s="18">
        <v>0</v>
      </c>
      <c r="AB759" s="18">
        <v>0</v>
      </c>
      <c r="AC759" s="18">
        <v>0</v>
      </c>
      <c r="AD759" s="18">
        <v>0</v>
      </c>
      <c r="AE759" s="18">
        <v>0</v>
      </c>
      <c r="AF759" s="18">
        <v>0</v>
      </c>
      <c r="AG759" s="18">
        <v>0</v>
      </c>
      <c r="AH759" s="18">
        <v>3.2641040000000001</v>
      </c>
      <c r="AI759" s="18">
        <v>6.3341902000000001</v>
      </c>
      <c r="AJ759" s="18">
        <v>7.6794478000000002</v>
      </c>
      <c r="AK759" s="18">
        <v>9.8840474999999994</v>
      </c>
      <c r="AL759" s="18">
        <v>0</v>
      </c>
      <c r="AM759" s="18">
        <v>0</v>
      </c>
      <c r="AN759" s="18">
        <v>0</v>
      </c>
      <c r="AO759" s="18">
        <v>0</v>
      </c>
      <c r="AP759" s="18">
        <v>0</v>
      </c>
      <c r="AQ759" s="18">
        <v>0</v>
      </c>
      <c r="AR759" s="18">
        <v>0</v>
      </c>
      <c r="AS759" s="18">
        <v>0</v>
      </c>
      <c r="AT759" s="18">
        <v>0</v>
      </c>
      <c r="AU759" s="18">
        <v>0</v>
      </c>
      <c r="AV759" s="18">
        <v>0</v>
      </c>
      <c r="AW759" s="18">
        <v>0</v>
      </c>
      <c r="AX759" s="18">
        <v>0</v>
      </c>
      <c r="AY759" s="18">
        <v>0</v>
      </c>
      <c r="AZ759" s="18">
        <v>0</v>
      </c>
      <c r="BA759" s="18">
        <v>0</v>
      </c>
      <c r="BB759" s="18">
        <v>0</v>
      </c>
      <c r="BC759" s="18">
        <v>0</v>
      </c>
      <c r="BD759" s="18">
        <v>0</v>
      </c>
      <c r="BE759" s="25">
        <v>0</v>
      </c>
      <c r="BF759" s="18">
        <v>0</v>
      </c>
      <c r="BG759" s="31">
        <v>1.9531696000000001</v>
      </c>
      <c r="BH759" s="18">
        <v>0</v>
      </c>
      <c r="BI759" s="18">
        <v>1.1000368999999999</v>
      </c>
      <c r="BJ759" s="18">
        <v>0</v>
      </c>
      <c r="BK759" s="18">
        <v>11</v>
      </c>
      <c r="BL759" s="18">
        <v>0</v>
      </c>
      <c r="BM759" s="18">
        <v>4.9621767000000006</v>
      </c>
      <c r="BN759" s="18">
        <v>0</v>
      </c>
      <c r="BO759" s="18">
        <v>0</v>
      </c>
      <c r="BP759" s="18">
        <v>0</v>
      </c>
      <c r="BQ759" s="18">
        <v>0</v>
      </c>
      <c r="BR759" s="101"/>
    </row>
    <row r="760" spans="1:136" ht="15.5">
      <c r="A760" s="90"/>
      <c r="B760" s="105" t="s">
        <v>3</v>
      </c>
      <c r="C760" s="95"/>
      <c r="D760" s="34"/>
      <c r="E760" s="34"/>
      <c r="F760" s="34"/>
      <c r="G760" s="34"/>
      <c r="H760" s="34"/>
      <c r="I760" s="34"/>
      <c r="J760" s="34"/>
      <c r="K760" s="34"/>
      <c r="L760" s="34">
        <v>0</v>
      </c>
      <c r="M760" s="34">
        <v>0</v>
      </c>
      <c r="N760" s="34">
        <v>0</v>
      </c>
      <c r="O760" s="103">
        <v>3.0627599999999998E-2</v>
      </c>
      <c r="P760" s="34">
        <v>7.2791100000000011E-2</v>
      </c>
      <c r="Q760" s="34">
        <v>0</v>
      </c>
      <c r="R760" s="34">
        <v>0</v>
      </c>
      <c r="S760" s="34">
        <v>0</v>
      </c>
      <c r="T760" s="34">
        <v>0</v>
      </c>
      <c r="U760" s="34">
        <v>0.39313890000000001</v>
      </c>
      <c r="V760" s="34">
        <v>0.31331300000000001</v>
      </c>
      <c r="W760" s="34">
        <v>0.67436469999999993</v>
      </c>
      <c r="X760" s="34">
        <v>2.2969115000000002</v>
      </c>
      <c r="Y760" s="34">
        <v>3.0371964</v>
      </c>
      <c r="Z760" s="34">
        <v>0</v>
      </c>
      <c r="AA760" s="34">
        <v>0</v>
      </c>
      <c r="AB760" s="34">
        <v>0.1561275</v>
      </c>
      <c r="AC760" s="34">
        <v>0</v>
      </c>
      <c r="AD760" s="34">
        <v>0</v>
      </c>
      <c r="AE760" s="34">
        <v>0</v>
      </c>
      <c r="AF760" s="34">
        <v>0.1109353</v>
      </c>
      <c r="AG760" s="34">
        <v>3.0392575000000002</v>
      </c>
      <c r="AH760" s="34">
        <f>5.2829457-AH759</f>
        <v>2.0188416999999999</v>
      </c>
      <c r="AI760" s="34">
        <f>8.9190052-AI759</f>
        <v>2.5848150000000008</v>
      </c>
      <c r="AJ760" s="34">
        <f>10.1688536-AJ759</f>
        <v>2.4894058000000001</v>
      </c>
      <c r="AK760" s="34">
        <f>12.6412737-AK759</f>
        <v>2.7572261999999998</v>
      </c>
      <c r="AL760" s="34">
        <v>1.8168259</v>
      </c>
      <c r="AM760" s="34">
        <v>0.74115600000000004</v>
      </c>
      <c r="AN760" s="34">
        <v>5.6946800000000006E-2</v>
      </c>
      <c r="AO760" s="34">
        <v>0.63051259999999998</v>
      </c>
      <c r="AP760" s="34">
        <v>0</v>
      </c>
      <c r="AQ760" s="34">
        <v>0</v>
      </c>
      <c r="AR760" s="34">
        <v>0</v>
      </c>
      <c r="AS760" s="34">
        <v>0</v>
      </c>
      <c r="AT760" s="34">
        <v>0</v>
      </c>
      <c r="AU760" s="34">
        <v>0</v>
      </c>
      <c r="AV760" s="34">
        <v>0</v>
      </c>
      <c r="AW760" s="34">
        <v>0</v>
      </c>
      <c r="AX760" s="34">
        <v>0</v>
      </c>
      <c r="AY760" s="34">
        <v>0</v>
      </c>
      <c r="AZ760" s="34">
        <v>0</v>
      </c>
      <c r="BA760" s="34">
        <v>0</v>
      </c>
      <c r="BB760" s="34">
        <v>0</v>
      </c>
      <c r="BC760" s="34">
        <v>1.55882E-2</v>
      </c>
      <c r="BD760" s="34">
        <v>3.5485447000000003</v>
      </c>
      <c r="BE760" s="42">
        <v>3.0876098999999999</v>
      </c>
      <c r="BF760" s="18">
        <v>2.1243734000000001</v>
      </c>
      <c r="BG760" s="18">
        <f>3.2695111-BG759</f>
        <v>1.3163414999999998</v>
      </c>
      <c r="BH760" s="18">
        <v>2.2369833000000003</v>
      </c>
      <c r="BI760" s="18">
        <f>3.7884072-BI759</f>
        <v>2.6883702999999999</v>
      </c>
      <c r="BJ760" s="18">
        <v>0</v>
      </c>
      <c r="BK760" s="113">
        <f>11.7219612-BK759</f>
        <v>0.72196120000000086</v>
      </c>
      <c r="BL760" s="103">
        <v>0.49477179999999998</v>
      </c>
      <c r="BM760" s="34">
        <f>6.0139944-BM759</f>
        <v>1.0518176999999991</v>
      </c>
      <c r="BN760" s="113">
        <v>1.2724596000000001</v>
      </c>
      <c r="BO760" s="113">
        <v>1.2724596000000001</v>
      </c>
      <c r="BP760" s="113">
        <v>1.2724596000000001</v>
      </c>
      <c r="BQ760" s="18">
        <v>0</v>
      </c>
      <c r="BR760" s="101"/>
      <c r="BS760">
        <f t="shared" ref="BS760:CB761" si="1496">IF($C760&lt;&gt;"",IF(D760&gt;0,1,0),0)</f>
        <v>0</v>
      </c>
      <c r="BT760">
        <f t="shared" si="1496"/>
        <v>0</v>
      </c>
      <c r="BU760">
        <f t="shared" si="1496"/>
        <v>0</v>
      </c>
      <c r="BV760">
        <f t="shared" si="1496"/>
        <v>0</v>
      </c>
      <c r="BW760">
        <f t="shared" si="1496"/>
        <v>0</v>
      </c>
      <c r="BX760">
        <f t="shared" si="1496"/>
        <v>0</v>
      </c>
      <c r="BY760">
        <f t="shared" si="1496"/>
        <v>0</v>
      </c>
      <c r="BZ760">
        <f t="shared" si="1496"/>
        <v>0</v>
      </c>
      <c r="CA760">
        <f t="shared" si="1496"/>
        <v>0</v>
      </c>
      <c r="CB760">
        <f t="shared" si="1496"/>
        <v>0</v>
      </c>
      <c r="CC760">
        <f t="shared" ref="CC760:CL761" si="1497">IF($C760&lt;&gt;"",IF(N760&gt;0,1,0),0)</f>
        <v>0</v>
      </c>
      <c r="CD760">
        <f t="shared" si="1497"/>
        <v>0</v>
      </c>
      <c r="CE760">
        <f t="shared" si="1497"/>
        <v>0</v>
      </c>
      <c r="CF760">
        <f t="shared" si="1497"/>
        <v>0</v>
      </c>
      <c r="CG760">
        <f t="shared" si="1497"/>
        <v>0</v>
      </c>
      <c r="CH760">
        <f t="shared" si="1497"/>
        <v>0</v>
      </c>
      <c r="CI760">
        <f t="shared" si="1497"/>
        <v>0</v>
      </c>
      <c r="CJ760">
        <f t="shared" si="1497"/>
        <v>0</v>
      </c>
      <c r="CK760">
        <f t="shared" si="1497"/>
        <v>0</v>
      </c>
      <c r="CL760">
        <f t="shared" si="1497"/>
        <v>0</v>
      </c>
      <c r="CM760">
        <f t="shared" ref="CM760:CV761" si="1498">IF($C760&lt;&gt;"",IF(X760&gt;0,1,0),0)</f>
        <v>0</v>
      </c>
      <c r="CN760">
        <f t="shared" si="1498"/>
        <v>0</v>
      </c>
      <c r="CO760">
        <f t="shared" si="1498"/>
        <v>0</v>
      </c>
      <c r="CP760">
        <f t="shared" si="1498"/>
        <v>0</v>
      </c>
      <c r="CQ760">
        <f t="shared" si="1498"/>
        <v>0</v>
      </c>
      <c r="CR760">
        <f t="shared" si="1498"/>
        <v>0</v>
      </c>
      <c r="CS760">
        <f t="shared" si="1498"/>
        <v>0</v>
      </c>
      <c r="CT760">
        <f t="shared" si="1498"/>
        <v>0</v>
      </c>
      <c r="CU760">
        <f t="shared" si="1498"/>
        <v>0</v>
      </c>
      <c r="CV760">
        <f t="shared" si="1498"/>
        <v>0</v>
      </c>
      <c r="CW760">
        <f t="shared" ref="CW760:DF761" si="1499">IF($C760&lt;&gt;"",IF(AH760&gt;0,1,0),0)</f>
        <v>0</v>
      </c>
      <c r="CX760">
        <f t="shared" si="1499"/>
        <v>0</v>
      </c>
      <c r="CY760">
        <f t="shared" si="1499"/>
        <v>0</v>
      </c>
      <c r="CZ760">
        <f t="shared" si="1499"/>
        <v>0</v>
      </c>
      <c r="DA760">
        <f t="shared" si="1499"/>
        <v>0</v>
      </c>
      <c r="DB760">
        <f t="shared" si="1499"/>
        <v>0</v>
      </c>
      <c r="DC760">
        <f t="shared" si="1499"/>
        <v>0</v>
      </c>
      <c r="DD760">
        <f t="shared" si="1499"/>
        <v>0</v>
      </c>
      <c r="DE760">
        <f t="shared" si="1499"/>
        <v>0</v>
      </c>
      <c r="DF760">
        <f t="shared" si="1499"/>
        <v>0</v>
      </c>
      <c r="DG760">
        <f t="shared" ref="DG760:DP761" si="1500">IF($C760&lt;&gt;"",IF(AR760&gt;0,1,0),0)</f>
        <v>0</v>
      </c>
      <c r="DH760">
        <f t="shared" si="1500"/>
        <v>0</v>
      </c>
      <c r="DI760">
        <f t="shared" si="1500"/>
        <v>0</v>
      </c>
      <c r="DJ760">
        <f t="shared" si="1500"/>
        <v>0</v>
      </c>
      <c r="DK760">
        <f t="shared" si="1500"/>
        <v>0</v>
      </c>
      <c r="DL760">
        <f t="shared" si="1500"/>
        <v>0</v>
      </c>
      <c r="DM760">
        <f t="shared" si="1500"/>
        <v>0</v>
      </c>
      <c r="DN760">
        <f t="shared" si="1500"/>
        <v>0</v>
      </c>
      <c r="DO760">
        <f t="shared" si="1500"/>
        <v>0</v>
      </c>
      <c r="DP760">
        <f t="shared" si="1500"/>
        <v>0</v>
      </c>
      <c r="DQ760">
        <f t="shared" ref="DQ760:DZ761" si="1501">IF($C760&lt;&gt;"",IF(BB760&gt;0,1,0),0)</f>
        <v>0</v>
      </c>
      <c r="DR760">
        <f t="shared" si="1501"/>
        <v>0</v>
      </c>
      <c r="DS760">
        <f t="shared" si="1501"/>
        <v>0</v>
      </c>
      <c r="DT760">
        <f t="shared" si="1501"/>
        <v>0</v>
      </c>
      <c r="DU760">
        <f t="shared" si="1501"/>
        <v>0</v>
      </c>
      <c r="DV760">
        <f t="shared" si="1501"/>
        <v>0</v>
      </c>
      <c r="DW760">
        <f t="shared" si="1501"/>
        <v>0</v>
      </c>
      <c r="DX760">
        <f t="shared" si="1501"/>
        <v>0</v>
      </c>
      <c r="DY760">
        <f t="shared" si="1501"/>
        <v>0</v>
      </c>
      <c r="DZ760">
        <f t="shared" si="1501"/>
        <v>0</v>
      </c>
      <c r="EA760">
        <f t="shared" ref="EA760:EF761" si="1502">IF($C760&lt;&gt;"",IF(BL760&gt;0,1,0),0)</f>
        <v>0</v>
      </c>
      <c r="EB760">
        <f t="shared" si="1502"/>
        <v>0</v>
      </c>
      <c r="EC760">
        <f t="shared" si="1502"/>
        <v>0</v>
      </c>
      <c r="ED760">
        <f t="shared" si="1502"/>
        <v>0</v>
      </c>
      <c r="EE760">
        <f t="shared" si="1502"/>
        <v>0</v>
      </c>
      <c r="EF760">
        <f t="shared" si="1502"/>
        <v>0</v>
      </c>
    </row>
    <row r="761" spans="1:136" ht="15.5">
      <c r="A761" s="90"/>
      <c r="B761" s="19" t="s">
        <v>208</v>
      </c>
      <c r="C761" s="95"/>
      <c r="D761" s="34"/>
      <c r="E761" s="34"/>
      <c r="F761" s="34"/>
      <c r="G761" s="34"/>
      <c r="H761" s="34"/>
      <c r="I761" s="34"/>
      <c r="J761" s="34"/>
      <c r="K761" s="34"/>
      <c r="L761" s="34">
        <v>0</v>
      </c>
      <c r="M761" s="34">
        <v>0</v>
      </c>
      <c r="N761" s="34">
        <v>0</v>
      </c>
      <c r="O761" s="103">
        <v>0</v>
      </c>
      <c r="P761" s="34">
        <v>0</v>
      </c>
      <c r="Q761" s="34">
        <v>0</v>
      </c>
      <c r="R761" s="34">
        <v>0</v>
      </c>
      <c r="S761" s="34">
        <v>0</v>
      </c>
      <c r="T761" s="34">
        <v>0</v>
      </c>
      <c r="U761" s="34">
        <v>0</v>
      </c>
      <c r="V761" s="34">
        <v>0</v>
      </c>
      <c r="W761" s="34">
        <v>0</v>
      </c>
      <c r="X761" s="34">
        <v>0</v>
      </c>
      <c r="Y761" s="34">
        <v>0</v>
      </c>
      <c r="Z761" s="34">
        <v>0</v>
      </c>
      <c r="AA761" s="34">
        <v>0</v>
      </c>
      <c r="AB761" s="34">
        <v>0</v>
      </c>
      <c r="AC761" s="34">
        <v>0</v>
      </c>
      <c r="AD761" s="34">
        <v>0</v>
      </c>
      <c r="AE761" s="34">
        <v>0</v>
      </c>
      <c r="AF761" s="34">
        <v>0</v>
      </c>
      <c r="AG761" s="34">
        <v>0</v>
      </c>
      <c r="AH761" s="34">
        <v>2.3130367999999999</v>
      </c>
      <c r="AI761" s="34">
        <v>2.1494342999999998</v>
      </c>
      <c r="AJ761" s="34">
        <v>0.10499760000000001</v>
      </c>
      <c r="AK761" s="34">
        <v>0.108</v>
      </c>
      <c r="AL761" s="34">
        <v>0.94461880000000009</v>
      </c>
      <c r="AM761" s="34">
        <v>0.1068163</v>
      </c>
      <c r="AN761" s="34">
        <v>1E-3</v>
      </c>
      <c r="AO761" s="34">
        <v>0</v>
      </c>
      <c r="AP761" s="34">
        <v>0</v>
      </c>
      <c r="AQ761" s="34">
        <v>0</v>
      </c>
      <c r="AR761" s="34">
        <v>0</v>
      </c>
      <c r="AS761" s="34">
        <v>0</v>
      </c>
      <c r="AT761" s="34">
        <v>0</v>
      </c>
      <c r="AU761" s="34">
        <v>0</v>
      </c>
      <c r="AV761" s="34">
        <v>0</v>
      </c>
      <c r="AW761" s="34">
        <v>0</v>
      </c>
      <c r="AX761" s="34">
        <v>0</v>
      </c>
      <c r="AY761" s="34">
        <v>0</v>
      </c>
      <c r="AZ761" s="34">
        <v>0</v>
      </c>
      <c r="BA761" s="34">
        <v>0</v>
      </c>
      <c r="BB761" s="34">
        <v>0</v>
      </c>
      <c r="BC761" s="34">
        <v>0</v>
      </c>
      <c r="BD761" s="34">
        <v>0.1513938</v>
      </c>
      <c r="BE761" s="42">
        <v>1.1722349999999999</v>
      </c>
      <c r="BF761" s="18">
        <v>4.6160082000000004</v>
      </c>
      <c r="BG761" s="18">
        <v>4.3047198</v>
      </c>
      <c r="BH761" s="18">
        <v>4.2016425999999996</v>
      </c>
      <c r="BI761" s="18">
        <v>4.5921197000000005</v>
      </c>
      <c r="BJ761" s="40">
        <v>0.10305</v>
      </c>
      <c r="BK761" s="113">
        <v>0</v>
      </c>
      <c r="BL761" s="113">
        <v>5.3059804000000002</v>
      </c>
      <c r="BM761" s="113">
        <v>0.1959398</v>
      </c>
      <c r="BN761" s="113">
        <v>6.0885884000000008</v>
      </c>
      <c r="BO761" s="113">
        <v>13</v>
      </c>
      <c r="BP761" s="113">
        <v>7</v>
      </c>
      <c r="BQ761" s="18">
        <v>0</v>
      </c>
      <c r="BR761" s="101"/>
      <c r="BS761">
        <f t="shared" si="1496"/>
        <v>0</v>
      </c>
      <c r="BT761">
        <f t="shared" si="1496"/>
        <v>0</v>
      </c>
      <c r="BU761">
        <f t="shared" si="1496"/>
        <v>0</v>
      </c>
      <c r="BV761">
        <f t="shared" si="1496"/>
        <v>0</v>
      </c>
      <c r="BW761">
        <f t="shared" si="1496"/>
        <v>0</v>
      </c>
      <c r="BX761">
        <f t="shared" si="1496"/>
        <v>0</v>
      </c>
      <c r="BY761">
        <f t="shared" si="1496"/>
        <v>0</v>
      </c>
      <c r="BZ761">
        <f t="shared" si="1496"/>
        <v>0</v>
      </c>
      <c r="CA761">
        <f t="shared" si="1496"/>
        <v>0</v>
      </c>
      <c r="CB761">
        <f t="shared" si="1496"/>
        <v>0</v>
      </c>
      <c r="CC761">
        <f t="shared" si="1497"/>
        <v>0</v>
      </c>
      <c r="CD761">
        <f t="shared" si="1497"/>
        <v>0</v>
      </c>
      <c r="CE761">
        <f t="shared" si="1497"/>
        <v>0</v>
      </c>
      <c r="CF761">
        <f t="shared" si="1497"/>
        <v>0</v>
      </c>
      <c r="CG761">
        <f t="shared" si="1497"/>
        <v>0</v>
      </c>
      <c r="CH761">
        <f t="shared" si="1497"/>
        <v>0</v>
      </c>
      <c r="CI761">
        <f t="shared" si="1497"/>
        <v>0</v>
      </c>
      <c r="CJ761">
        <f t="shared" si="1497"/>
        <v>0</v>
      </c>
      <c r="CK761">
        <f t="shared" si="1497"/>
        <v>0</v>
      </c>
      <c r="CL761">
        <f t="shared" si="1497"/>
        <v>0</v>
      </c>
      <c r="CM761">
        <f t="shared" si="1498"/>
        <v>0</v>
      </c>
      <c r="CN761">
        <f t="shared" si="1498"/>
        <v>0</v>
      </c>
      <c r="CO761">
        <f t="shared" si="1498"/>
        <v>0</v>
      </c>
      <c r="CP761">
        <f t="shared" si="1498"/>
        <v>0</v>
      </c>
      <c r="CQ761">
        <f t="shared" si="1498"/>
        <v>0</v>
      </c>
      <c r="CR761">
        <f t="shared" si="1498"/>
        <v>0</v>
      </c>
      <c r="CS761">
        <f t="shared" si="1498"/>
        <v>0</v>
      </c>
      <c r="CT761">
        <f t="shared" si="1498"/>
        <v>0</v>
      </c>
      <c r="CU761">
        <f t="shared" si="1498"/>
        <v>0</v>
      </c>
      <c r="CV761">
        <f t="shared" si="1498"/>
        <v>0</v>
      </c>
      <c r="CW761">
        <f t="shared" si="1499"/>
        <v>0</v>
      </c>
      <c r="CX761">
        <f t="shared" si="1499"/>
        <v>0</v>
      </c>
      <c r="CY761">
        <f t="shared" si="1499"/>
        <v>0</v>
      </c>
      <c r="CZ761">
        <f t="shared" si="1499"/>
        <v>0</v>
      </c>
      <c r="DA761">
        <f t="shared" si="1499"/>
        <v>0</v>
      </c>
      <c r="DB761">
        <f t="shared" si="1499"/>
        <v>0</v>
      </c>
      <c r="DC761">
        <f t="shared" si="1499"/>
        <v>0</v>
      </c>
      <c r="DD761">
        <f t="shared" si="1499"/>
        <v>0</v>
      </c>
      <c r="DE761">
        <f t="shared" si="1499"/>
        <v>0</v>
      </c>
      <c r="DF761">
        <f t="shared" si="1499"/>
        <v>0</v>
      </c>
      <c r="DG761">
        <f t="shared" si="1500"/>
        <v>0</v>
      </c>
      <c r="DH761">
        <f t="shared" si="1500"/>
        <v>0</v>
      </c>
      <c r="DI761">
        <f t="shared" si="1500"/>
        <v>0</v>
      </c>
      <c r="DJ761">
        <f t="shared" si="1500"/>
        <v>0</v>
      </c>
      <c r="DK761">
        <f t="shared" si="1500"/>
        <v>0</v>
      </c>
      <c r="DL761">
        <f t="shared" si="1500"/>
        <v>0</v>
      </c>
      <c r="DM761">
        <f t="shared" si="1500"/>
        <v>0</v>
      </c>
      <c r="DN761">
        <f t="shared" si="1500"/>
        <v>0</v>
      </c>
      <c r="DO761">
        <f t="shared" si="1500"/>
        <v>0</v>
      </c>
      <c r="DP761">
        <f t="shared" si="1500"/>
        <v>0</v>
      </c>
      <c r="DQ761">
        <f t="shared" si="1501"/>
        <v>0</v>
      </c>
      <c r="DR761">
        <f t="shared" si="1501"/>
        <v>0</v>
      </c>
      <c r="DS761">
        <f t="shared" si="1501"/>
        <v>0</v>
      </c>
      <c r="DT761">
        <f t="shared" si="1501"/>
        <v>0</v>
      </c>
      <c r="DU761">
        <f t="shared" si="1501"/>
        <v>0</v>
      </c>
      <c r="DV761">
        <f t="shared" si="1501"/>
        <v>0</v>
      </c>
      <c r="DW761">
        <f t="shared" si="1501"/>
        <v>0</v>
      </c>
      <c r="DX761">
        <f t="shared" si="1501"/>
        <v>0</v>
      </c>
      <c r="DY761">
        <f t="shared" si="1501"/>
        <v>0</v>
      </c>
      <c r="DZ761">
        <f t="shared" si="1501"/>
        <v>0</v>
      </c>
      <c r="EA761">
        <f t="shared" si="1502"/>
        <v>0</v>
      </c>
      <c r="EB761">
        <f t="shared" si="1502"/>
        <v>0</v>
      </c>
      <c r="EC761">
        <f t="shared" si="1502"/>
        <v>0</v>
      </c>
      <c r="ED761">
        <f t="shared" si="1502"/>
        <v>0</v>
      </c>
      <c r="EE761">
        <f t="shared" si="1502"/>
        <v>0</v>
      </c>
      <c r="EF761">
        <f t="shared" si="1502"/>
        <v>0</v>
      </c>
    </row>
    <row r="762" spans="1:136" ht="15.5">
      <c r="A762" s="90"/>
      <c r="B762" s="19"/>
      <c r="C762" s="95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34"/>
      <c r="AP762" s="34"/>
      <c r="AQ762" s="34"/>
      <c r="AR762" s="34"/>
      <c r="AS762" s="18"/>
      <c r="AT762" s="18"/>
      <c r="AU762" s="18"/>
      <c r="AV762" s="18"/>
      <c r="AW762" s="18"/>
      <c r="AX762" s="18"/>
      <c r="AY762" s="18"/>
      <c r="AZ762" s="18"/>
      <c r="BA762" s="18"/>
      <c r="BB762" s="18"/>
      <c r="BC762" s="18"/>
      <c r="BD762" s="18"/>
      <c r="BE762" s="18"/>
      <c r="BF762" s="18"/>
      <c r="BG762" s="18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101"/>
    </row>
    <row r="763" spans="1:136" ht="15.5">
      <c r="A763" s="93">
        <v>95</v>
      </c>
      <c r="B763" s="52" t="s">
        <v>102</v>
      </c>
      <c r="C763" s="95">
        <v>3</v>
      </c>
      <c r="D763" s="22">
        <f t="shared" ref="D763:AI763" si="1503">SUM(D764:D768)</f>
        <v>0</v>
      </c>
      <c r="E763" s="22">
        <f t="shared" si="1503"/>
        <v>0</v>
      </c>
      <c r="F763" s="22">
        <f t="shared" si="1503"/>
        <v>0</v>
      </c>
      <c r="G763" s="22">
        <f t="shared" si="1503"/>
        <v>0</v>
      </c>
      <c r="H763" s="22">
        <f t="shared" si="1503"/>
        <v>0</v>
      </c>
      <c r="I763" s="22">
        <f t="shared" si="1503"/>
        <v>0</v>
      </c>
      <c r="J763" s="22">
        <f t="shared" si="1503"/>
        <v>0</v>
      </c>
      <c r="K763" s="22">
        <f t="shared" si="1503"/>
        <v>0</v>
      </c>
      <c r="L763" s="22">
        <f t="shared" si="1503"/>
        <v>0</v>
      </c>
      <c r="M763" s="22">
        <f t="shared" si="1503"/>
        <v>0</v>
      </c>
      <c r="N763" s="22">
        <f t="shared" si="1503"/>
        <v>0</v>
      </c>
      <c r="O763" s="22">
        <f t="shared" si="1503"/>
        <v>0</v>
      </c>
      <c r="P763" s="22">
        <f t="shared" si="1503"/>
        <v>0</v>
      </c>
      <c r="Q763" s="22">
        <f t="shared" si="1503"/>
        <v>0</v>
      </c>
      <c r="R763" s="22">
        <f t="shared" si="1503"/>
        <v>0</v>
      </c>
      <c r="S763" s="22">
        <f t="shared" si="1503"/>
        <v>0</v>
      </c>
      <c r="T763" s="22">
        <f t="shared" si="1503"/>
        <v>0</v>
      </c>
      <c r="U763" s="22">
        <f t="shared" si="1503"/>
        <v>0</v>
      </c>
      <c r="V763" s="22">
        <f t="shared" si="1503"/>
        <v>0.6</v>
      </c>
      <c r="W763" s="22">
        <f t="shared" si="1503"/>
        <v>1.9000000000000001</v>
      </c>
      <c r="X763" s="22">
        <f t="shared" si="1503"/>
        <v>0</v>
      </c>
      <c r="Y763" s="22">
        <f t="shared" si="1503"/>
        <v>11.3</v>
      </c>
      <c r="Z763" s="22">
        <f t="shared" si="1503"/>
        <v>19357.7</v>
      </c>
      <c r="AA763" s="22">
        <f t="shared" si="1503"/>
        <v>24667.8</v>
      </c>
      <c r="AB763" s="22">
        <f t="shared" si="1503"/>
        <v>19223.900000000001</v>
      </c>
      <c r="AC763" s="22">
        <f t="shared" si="1503"/>
        <v>28600</v>
      </c>
      <c r="AD763" s="22">
        <f t="shared" si="1503"/>
        <v>45500</v>
      </c>
      <c r="AE763" s="22">
        <f t="shared" si="1503"/>
        <v>52300</v>
      </c>
      <c r="AF763" s="22">
        <f t="shared" si="1503"/>
        <v>51902.9</v>
      </c>
      <c r="AG763" s="22">
        <f t="shared" si="1503"/>
        <v>50635.5</v>
      </c>
      <c r="AH763" s="22">
        <f t="shared" si="1503"/>
        <v>54300</v>
      </c>
      <c r="AI763" s="22">
        <f t="shared" si="1503"/>
        <v>0</v>
      </c>
      <c r="AJ763" s="22">
        <f t="shared" ref="AJ763:BO763" si="1504">SUM(AJ764:AJ768)</f>
        <v>0</v>
      </c>
      <c r="AK763" s="22">
        <f t="shared" si="1504"/>
        <v>0</v>
      </c>
      <c r="AL763" s="22">
        <f t="shared" si="1504"/>
        <v>0</v>
      </c>
      <c r="AM763" s="22">
        <f t="shared" si="1504"/>
        <v>0</v>
      </c>
      <c r="AN763" s="22">
        <f t="shared" si="1504"/>
        <v>0</v>
      </c>
      <c r="AO763" s="22">
        <f t="shared" si="1504"/>
        <v>0</v>
      </c>
      <c r="AP763" s="22">
        <f t="shared" si="1504"/>
        <v>0</v>
      </c>
      <c r="AQ763" s="22">
        <f t="shared" si="1504"/>
        <v>0</v>
      </c>
      <c r="AR763" s="22">
        <f t="shared" si="1504"/>
        <v>0</v>
      </c>
      <c r="AS763" s="22">
        <f t="shared" si="1504"/>
        <v>0</v>
      </c>
      <c r="AT763" s="22">
        <f t="shared" si="1504"/>
        <v>3.0000000000000001E-3</v>
      </c>
      <c r="AU763" s="22">
        <f t="shared" si="1504"/>
        <v>0</v>
      </c>
      <c r="AV763" s="22">
        <f t="shared" si="1504"/>
        <v>0</v>
      </c>
      <c r="AW763" s="22">
        <f t="shared" si="1504"/>
        <v>0</v>
      </c>
      <c r="AX763" s="22">
        <f t="shared" si="1504"/>
        <v>0</v>
      </c>
      <c r="AY763" s="22">
        <f t="shared" si="1504"/>
        <v>0</v>
      </c>
      <c r="AZ763" s="22">
        <f t="shared" si="1504"/>
        <v>0</v>
      </c>
      <c r="BA763" s="22">
        <f t="shared" si="1504"/>
        <v>0</v>
      </c>
      <c r="BB763" s="22">
        <f t="shared" si="1504"/>
        <v>0</v>
      </c>
      <c r="BC763" s="22">
        <f t="shared" si="1504"/>
        <v>0</v>
      </c>
      <c r="BD763" s="22">
        <f t="shared" si="1504"/>
        <v>0</v>
      </c>
      <c r="BE763" s="22">
        <f t="shared" si="1504"/>
        <v>32</v>
      </c>
      <c r="BF763" s="22">
        <f t="shared" si="1504"/>
        <v>91</v>
      </c>
      <c r="BG763" s="22">
        <f t="shared" si="1504"/>
        <v>0</v>
      </c>
      <c r="BH763" s="22">
        <f t="shared" si="1504"/>
        <v>123</v>
      </c>
      <c r="BI763" s="22">
        <f t="shared" si="1504"/>
        <v>106.4111312</v>
      </c>
      <c r="BJ763" s="4">
        <f t="shared" si="1504"/>
        <v>15</v>
      </c>
      <c r="BK763" s="4">
        <f t="shared" si="1504"/>
        <v>6</v>
      </c>
      <c r="BL763" s="4">
        <f t="shared" si="1504"/>
        <v>8</v>
      </c>
      <c r="BM763" s="22">
        <f t="shared" si="1504"/>
        <v>3</v>
      </c>
      <c r="BN763" s="22">
        <f t="shared" si="1504"/>
        <v>22</v>
      </c>
      <c r="BO763" s="22">
        <f t="shared" si="1504"/>
        <v>14</v>
      </c>
      <c r="BP763" s="22">
        <f>SUM(BP764:BP768)</f>
        <v>4603</v>
      </c>
      <c r="BQ763" s="22">
        <f>SUM(BQ764:BQ768)</f>
        <v>0</v>
      </c>
      <c r="BR763" s="101"/>
      <c r="BS763">
        <f t="shared" ref="BS763:CB769" si="1505">IF($C763&lt;&gt;"",IF(D763&gt;0,1,0),0)</f>
        <v>0</v>
      </c>
      <c r="BT763">
        <f t="shared" si="1505"/>
        <v>0</v>
      </c>
      <c r="BU763">
        <f t="shared" si="1505"/>
        <v>0</v>
      </c>
      <c r="BV763">
        <f t="shared" si="1505"/>
        <v>0</v>
      </c>
      <c r="BW763">
        <f t="shared" si="1505"/>
        <v>0</v>
      </c>
      <c r="BX763">
        <f t="shared" si="1505"/>
        <v>0</v>
      </c>
      <c r="BY763">
        <f t="shared" si="1505"/>
        <v>0</v>
      </c>
      <c r="BZ763">
        <f t="shared" si="1505"/>
        <v>0</v>
      </c>
      <c r="CA763">
        <f t="shared" si="1505"/>
        <v>0</v>
      </c>
      <c r="CB763">
        <f t="shared" si="1505"/>
        <v>0</v>
      </c>
      <c r="CC763">
        <f t="shared" ref="CC763:CL769" si="1506">IF($C763&lt;&gt;"",IF(N763&gt;0,1,0),0)</f>
        <v>0</v>
      </c>
      <c r="CD763">
        <f t="shared" si="1506"/>
        <v>0</v>
      </c>
      <c r="CE763">
        <f t="shared" si="1506"/>
        <v>0</v>
      </c>
      <c r="CF763">
        <f t="shared" si="1506"/>
        <v>0</v>
      </c>
      <c r="CG763">
        <f t="shared" si="1506"/>
        <v>0</v>
      </c>
      <c r="CH763">
        <f t="shared" si="1506"/>
        <v>0</v>
      </c>
      <c r="CI763">
        <f t="shared" si="1506"/>
        <v>0</v>
      </c>
      <c r="CJ763">
        <f t="shared" si="1506"/>
        <v>0</v>
      </c>
      <c r="CK763">
        <f t="shared" si="1506"/>
        <v>1</v>
      </c>
      <c r="CL763">
        <f t="shared" si="1506"/>
        <v>1</v>
      </c>
      <c r="CM763">
        <f t="shared" ref="CM763:CV769" si="1507">IF($C763&lt;&gt;"",IF(X763&gt;0,1,0),0)</f>
        <v>0</v>
      </c>
      <c r="CN763">
        <f t="shared" si="1507"/>
        <v>1</v>
      </c>
      <c r="CO763">
        <f t="shared" si="1507"/>
        <v>1</v>
      </c>
      <c r="CP763">
        <f t="shared" si="1507"/>
        <v>1</v>
      </c>
      <c r="CQ763">
        <f t="shared" si="1507"/>
        <v>1</v>
      </c>
      <c r="CR763">
        <f t="shared" si="1507"/>
        <v>1</v>
      </c>
      <c r="CS763">
        <f t="shared" si="1507"/>
        <v>1</v>
      </c>
      <c r="CT763">
        <f t="shared" si="1507"/>
        <v>1</v>
      </c>
      <c r="CU763">
        <f t="shared" si="1507"/>
        <v>1</v>
      </c>
      <c r="CV763">
        <f t="shared" si="1507"/>
        <v>1</v>
      </c>
      <c r="CW763">
        <f t="shared" ref="CW763:DF769" si="1508">IF($C763&lt;&gt;"",IF(AH763&gt;0,1,0),0)</f>
        <v>1</v>
      </c>
      <c r="CX763">
        <f t="shared" si="1508"/>
        <v>0</v>
      </c>
      <c r="CY763">
        <f t="shared" si="1508"/>
        <v>0</v>
      </c>
      <c r="CZ763">
        <f t="shared" si="1508"/>
        <v>0</v>
      </c>
      <c r="DA763">
        <f t="shared" si="1508"/>
        <v>0</v>
      </c>
      <c r="DB763">
        <f t="shared" si="1508"/>
        <v>0</v>
      </c>
      <c r="DC763">
        <f t="shared" si="1508"/>
        <v>0</v>
      </c>
      <c r="DD763">
        <f t="shared" si="1508"/>
        <v>0</v>
      </c>
      <c r="DE763">
        <f t="shared" si="1508"/>
        <v>0</v>
      </c>
      <c r="DF763">
        <f t="shared" si="1508"/>
        <v>0</v>
      </c>
      <c r="DG763">
        <f t="shared" ref="DG763:DP769" si="1509">IF($C763&lt;&gt;"",IF(AR763&gt;0,1,0),0)</f>
        <v>0</v>
      </c>
      <c r="DH763">
        <f t="shared" si="1509"/>
        <v>0</v>
      </c>
      <c r="DI763">
        <f t="shared" si="1509"/>
        <v>1</v>
      </c>
      <c r="DJ763">
        <f t="shared" si="1509"/>
        <v>0</v>
      </c>
      <c r="DK763">
        <f t="shared" si="1509"/>
        <v>0</v>
      </c>
      <c r="DL763">
        <f t="shared" si="1509"/>
        <v>0</v>
      </c>
      <c r="DM763">
        <f t="shared" si="1509"/>
        <v>0</v>
      </c>
      <c r="DN763">
        <f t="shared" si="1509"/>
        <v>0</v>
      </c>
      <c r="DO763">
        <f t="shared" si="1509"/>
        <v>0</v>
      </c>
      <c r="DP763">
        <f t="shared" si="1509"/>
        <v>0</v>
      </c>
      <c r="DQ763">
        <f t="shared" ref="DQ763:DZ769" si="1510">IF($C763&lt;&gt;"",IF(BB763&gt;0,1,0),0)</f>
        <v>0</v>
      </c>
      <c r="DR763">
        <f t="shared" si="1510"/>
        <v>0</v>
      </c>
      <c r="DS763">
        <f t="shared" si="1510"/>
        <v>0</v>
      </c>
      <c r="DT763">
        <f t="shared" si="1510"/>
        <v>1</v>
      </c>
      <c r="DU763">
        <f t="shared" si="1510"/>
        <v>1</v>
      </c>
      <c r="DV763">
        <f t="shared" si="1510"/>
        <v>0</v>
      </c>
      <c r="DW763">
        <f t="shared" si="1510"/>
        <v>1</v>
      </c>
      <c r="DX763">
        <f t="shared" si="1510"/>
        <v>1</v>
      </c>
      <c r="DY763">
        <f t="shared" si="1510"/>
        <v>1</v>
      </c>
      <c r="DZ763">
        <f t="shared" si="1510"/>
        <v>1</v>
      </c>
      <c r="EA763">
        <f t="shared" ref="EA763:EF769" si="1511">IF($C763&lt;&gt;"",IF(BL763&gt;0,1,0),0)</f>
        <v>1</v>
      </c>
      <c r="EB763">
        <f t="shared" si="1511"/>
        <v>1</v>
      </c>
      <c r="EC763">
        <f t="shared" si="1511"/>
        <v>1</v>
      </c>
      <c r="ED763">
        <f t="shared" si="1511"/>
        <v>1</v>
      </c>
      <c r="EE763">
        <f t="shared" si="1511"/>
        <v>1</v>
      </c>
      <c r="EF763">
        <f t="shared" si="1511"/>
        <v>0</v>
      </c>
    </row>
    <row r="764" spans="1:136" ht="15.5">
      <c r="A764" s="90"/>
      <c r="B764" s="19" t="s">
        <v>2</v>
      </c>
      <c r="C764" s="95"/>
      <c r="D764" s="18">
        <v>0</v>
      </c>
      <c r="E764" s="18">
        <v>0</v>
      </c>
      <c r="F764" s="18">
        <v>0</v>
      </c>
      <c r="G764" s="18">
        <v>0</v>
      </c>
      <c r="H764" s="18">
        <v>0</v>
      </c>
      <c r="I764" s="18">
        <v>0</v>
      </c>
      <c r="J764" s="18">
        <v>0</v>
      </c>
      <c r="K764" s="18">
        <v>0</v>
      </c>
      <c r="L764" s="18">
        <v>0</v>
      </c>
      <c r="M764" s="18">
        <v>0</v>
      </c>
      <c r="N764" s="18">
        <v>0</v>
      </c>
      <c r="O764" s="18">
        <v>0</v>
      </c>
      <c r="P764" s="18">
        <v>0</v>
      </c>
      <c r="Q764" s="18">
        <v>0</v>
      </c>
      <c r="R764" s="18">
        <v>0</v>
      </c>
      <c r="S764" s="18">
        <v>0</v>
      </c>
      <c r="T764" s="60">
        <v>0</v>
      </c>
      <c r="U764" s="60">
        <v>0</v>
      </c>
      <c r="V764" s="60">
        <v>0</v>
      </c>
      <c r="W764" s="60">
        <v>0</v>
      </c>
      <c r="X764" s="60">
        <v>0</v>
      </c>
      <c r="Y764" s="60">
        <v>0</v>
      </c>
      <c r="Z764" s="40" t="s">
        <v>16</v>
      </c>
      <c r="AA764" s="18">
        <v>1300</v>
      </c>
      <c r="AB764" s="60">
        <v>0</v>
      </c>
      <c r="AC764" s="60">
        <v>0</v>
      </c>
      <c r="AD764" s="18">
        <v>1800</v>
      </c>
      <c r="AE764" s="60">
        <v>0</v>
      </c>
      <c r="AF764" s="60">
        <v>0</v>
      </c>
      <c r="AG764" s="18">
        <v>2400</v>
      </c>
      <c r="AH764" s="60">
        <v>0</v>
      </c>
      <c r="AI764" s="60">
        <v>0</v>
      </c>
      <c r="AJ764" s="60">
        <v>0</v>
      </c>
      <c r="AK764" s="60">
        <v>0</v>
      </c>
      <c r="AL764" s="60">
        <v>0</v>
      </c>
      <c r="AM764" s="60">
        <v>0</v>
      </c>
      <c r="AN764" s="60">
        <v>0</v>
      </c>
      <c r="AO764" s="60">
        <v>0</v>
      </c>
      <c r="AP764" s="60">
        <v>0</v>
      </c>
      <c r="AQ764" s="60">
        <v>0</v>
      </c>
      <c r="AR764" s="60">
        <v>0</v>
      </c>
      <c r="AS764" s="60">
        <v>0</v>
      </c>
      <c r="AT764" s="60">
        <v>0</v>
      </c>
      <c r="AU764" s="60">
        <v>0</v>
      </c>
      <c r="AV764" s="60">
        <v>0</v>
      </c>
      <c r="AW764" s="60">
        <v>0</v>
      </c>
      <c r="AX764" s="60">
        <v>0</v>
      </c>
      <c r="AY764" s="60">
        <v>0</v>
      </c>
      <c r="AZ764" s="60">
        <v>0</v>
      </c>
      <c r="BA764" s="60">
        <v>0</v>
      </c>
      <c r="BB764" s="60">
        <v>0</v>
      </c>
      <c r="BC764" s="60">
        <v>0</v>
      </c>
      <c r="BD764" s="60">
        <v>0</v>
      </c>
      <c r="BE764" s="60">
        <v>0</v>
      </c>
      <c r="BF764" s="60">
        <v>0</v>
      </c>
      <c r="BG764" s="60">
        <v>0</v>
      </c>
      <c r="BH764" s="60">
        <v>0</v>
      </c>
      <c r="BI764" s="60">
        <v>0</v>
      </c>
      <c r="BJ764" s="113">
        <v>0</v>
      </c>
      <c r="BK764" s="113">
        <v>0</v>
      </c>
      <c r="BL764" s="113">
        <v>0</v>
      </c>
      <c r="BM764" s="60">
        <v>0</v>
      </c>
      <c r="BN764" s="60">
        <v>0</v>
      </c>
      <c r="BO764" s="60">
        <v>0</v>
      </c>
      <c r="BP764" s="60">
        <v>0</v>
      </c>
      <c r="BQ764" s="60">
        <v>0</v>
      </c>
      <c r="BR764" s="101"/>
      <c r="BS764">
        <f t="shared" si="1505"/>
        <v>0</v>
      </c>
      <c r="BT764">
        <f t="shared" si="1505"/>
        <v>0</v>
      </c>
      <c r="BU764">
        <f t="shared" si="1505"/>
        <v>0</v>
      </c>
      <c r="BV764">
        <f t="shared" si="1505"/>
        <v>0</v>
      </c>
      <c r="BW764">
        <f t="shared" si="1505"/>
        <v>0</v>
      </c>
      <c r="BX764">
        <f t="shared" si="1505"/>
        <v>0</v>
      </c>
      <c r="BY764">
        <f t="shared" si="1505"/>
        <v>0</v>
      </c>
      <c r="BZ764">
        <f t="shared" si="1505"/>
        <v>0</v>
      </c>
      <c r="CA764">
        <f t="shared" si="1505"/>
        <v>0</v>
      </c>
      <c r="CB764">
        <f t="shared" si="1505"/>
        <v>0</v>
      </c>
      <c r="CC764">
        <f t="shared" si="1506"/>
        <v>0</v>
      </c>
      <c r="CD764">
        <f t="shared" si="1506"/>
        <v>0</v>
      </c>
      <c r="CE764">
        <f t="shared" si="1506"/>
        <v>0</v>
      </c>
      <c r="CF764">
        <f t="shared" si="1506"/>
        <v>0</v>
      </c>
      <c r="CG764">
        <f t="shared" si="1506"/>
        <v>0</v>
      </c>
      <c r="CH764">
        <f t="shared" si="1506"/>
        <v>0</v>
      </c>
      <c r="CI764">
        <f t="shared" si="1506"/>
        <v>0</v>
      </c>
      <c r="CJ764">
        <f t="shared" si="1506"/>
        <v>0</v>
      </c>
      <c r="CK764">
        <f t="shared" si="1506"/>
        <v>0</v>
      </c>
      <c r="CL764">
        <f t="shared" si="1506"/>
        <v>0</v>
      </c>
      <c r="CM764">
        <f t="shared" si="1507"/>
        <v>0</v>
      </c>
      <c r="CN764">
        <f t="shared" si="1507"/>
        <v>0</v>
      </c>
      <c r="CO764">
        <f t="shared" si="1507"/>
        <v>0</v>
      </c>
      <c r="CP764">
        <f t="shared" si="1507"/>
        <v>0</v>
      </c>
      <c r="CQ764">
        <f t="shared" si="1507"/>
        <v>0</v>
      </c>
      <c r="CR764">
        <f t="shared" si="1507"/>
        <v>0</v>
      </c>
      <c r="CS764">
        <f t="shared" si="1507"/>
        <v>0</v>
      </c>
      <c r="CT764">
        <f t="shared" si="1507"/>
        <v>0</v>
      </c>
      <c r="CU764">
        <f t="shared" si="1507"/>
        <v>0</v>
      </c>
      <c r="CV764">
        <f t="shared" si="1507"/>
        <v>0</v>
      </c>
      <c r="CW764">
        <f t="shared" si="1508"/>
        <v>0</v>
      </c>
      <c r="CX764">
        <f t="shared" si="1508"/>
        <v>0</v>
      </c>
      <c r="CY764">
        <f t="shared" si="1508"/>
        <v>0</v>
      </c>
      <c r="CZ764">
        <f t="shared" si="1508"/>
        <v>0</v>
      </c>
      <c r="DA764">
        <f t="shared" si="1508"/>
        <v>0</v>
      </c>
      <c r="DB764">
        <f t="shared" si="1508"/>
        <v>0</v>
      </c>
      <c r="DC764">
        <f t="shared" si="1508"/>
        <v>0</v>
      </c>
      <c r="DD764">
        <f t="shared" si="1508"/>
        <v>0</v>
      </c>
      <c r="DE764">
        <f t="shared" si="1508"/>
        <v>0</v>
      </c>
      <c r="DF764">
        <f t="shared" si="1508"/>
        <v>0</v>
      </c>
      <c r="DG764">
        <f t="shared" si="1509"/>
        <v>0</v>
      </c>
      <c r="DH764">
        <f t="shared" si="1509"/>
        <v>0</v>
      </c>
      <c r="DI764">
        <f t="shared" si="1509"/>
        <v>0</v>
      </c>
      <c r="DJ764">
        <f t="shared" si="1509"/>
        <v>0</v>
      </c>
      <c r="DK764">
        <f t="shared" si="1509"/>
        <v>0</v>
      </c>
      <c r="DL764">
        <f t="shared" si="1509"/>
        <v>0</v>
      </c>
      <c r="DM764">
        <f t="shared" si="1509"/>
        <v>0</v>
      </c>
      <c r="DN764">
        <f t="shared" si="1509"/>
        <v>0</v>
      </c>
      <c r="DO764">
        <f t="shared" si="1509"/>
        <v>0</v>
      </c>
      <c r="DP764">
        <f t="shared" si="1509"/>
        <v>0</v>
      </c>
      <c r="DQ764">
        <f t="shared" si="1510"/>
        <v>0</v>
      </c>
      <c r="DR764">
        <f t="shared" si="1510"/>
        <v>0</v>
      </c>
      <c r="DS764">
        <f t="shared" si="1510"/>
        <v>0</v>
      </c>
      <c r="DT764">
        <f t="shared" si="1510"/>
        <v>0</v>
      </c>
      <c r="DU764">
        <f t="shared" si="1510"/>
        <v>0</v>
      </c>
      <c r="DV764">
        <f t="shared" si="1510"/>
        <v>0</v>
      </c>
      <c r="DW764">
        <f t="shared" si="1510"/>
        <v>0</v>
      </c>
      <c r="DX764">
        <f t="shared" si="1510"/>
        <v>0</v>
      </c>
      <c r="DY764">
        <f t="shared" si="1510"/>
        <v>0</v>
      </c>
      <c r="DZ764">
        <f t="shared" si="1510"/>
        <v>0</v>
      </c>
      <c r="EA764">
        <f t="shared" si="1511"/>
        <v>0</v>
      </c>
      <c r="EB764">
        <f t="shared" si="1511"/>
        <v>0</v>
      </c>
      <c r="EC764">
        <f t="shared" si="1511"/>
        <v>0</v>
      </c>
      <c r="ED764">
        <f t="shared" si="1511"/>
        <v>0</v>
      </c>
      <c r="EE764">
        <f t="shared" si="1511"/>
        <v>0</v>
      </c>
      <c r="EF764">
        <f t="shared" si="1511"/>
        <v>0</v>
      </c>
    </row>
    <row r="765" spans="1:136" ht="15.5">
      <c r="A765" s="90"/>
      <c r="B765" s="19" t="s">
        <v>205</v>
      </c>
      <c r="C765" s="95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60"/>
      <c r="U765" s="60"/>
      <c r="V765" s="60"/>
      <c r="W765" s="60"/>
      <c r="X765" s="60"/>
      <c r="Y765" s="60"/>
      <c r="Z765" s="40"/>
      <c r="AA765" s="18"/>
      <c r="AB765" s="60"/>
      <c r="AC765" s="60"/>
      <c r="AD765" s="18"/>
      <c r="AE765" s="60"/>
      <c r="AF765" s="60"/>
      <c r="AG765" s="18"/>
      <c r="AH765" s="60"/>
      <c r="AI765" s="60"/>
      <c r="AJ765" s="60"/>
      <c r="AK765" s="60"/>
      <c r="AL765" s="60"/>
      <c r="AM765" s="60"/>
      <c r="AN765" s="60"/>
      <c r="AO765" s="60"/>
      <c r="AP765" s="60"/>
      <c r="AQ765" s="60"/>
      <c r="AR765" s="60"/>
      <c r="AS765" s="60"/>
      <c r="AT765" s="60"/>
      <c r="AU765" s="60"/>
      <c r="AV765" s="60"/>
      <c r="AW765" s="60"/>
      <c r="AX765" s="60"/>
      <c r="AY765" s="60"/>
      <c r="AZ765" s="60"/>
      <c r="BA765" s="60"/>
      <c r="BB765" s="60"/>
      <c r="BC765" s="60"/>
      <c r="BD765" s="60"/>
      <c r="BE765" s="61"/>
      <c r="BF765" s="60"/>
      <c r="BG765" s="60"/>
      <c r="BH765" s="60"/>
      <c r="BI765" s="60">
        <v>106.4111312</v>
      </c>
      <c r="BJ765" s="113">
        <v>0</v>
      </c>
      <c r="BK765" s="113">
        <v>0</v>
      </c>
      <c r="BL765" s="113">
        <v>0</v>
      </c>
      <c r="BM765" s="60">
        <v>0</v>
      </c>
      <c r="BN765" s="60">
        <v>0</v>
      </c>
      <c r="BO765" s="60">
        <v>0</v>
      </c>
      <c r="BP765" s="60">
        <v>0</v>
      </c>
      <c r="BQ765" s="60">
        <v>0</v>
      </c>
      <c r="BR765" s="101"/>
    </row>
    <row r="766" spans="1:136" ht="15.5">
      <c r="A766" s="90"/>
      <c r="B766" s="57" t="s">
        <v>3</v>
      </c>
      <c r="C766" s="94"/>
      <c r="D766" s="18">
        <v>0</v>
      </c>
      <c r="E766" s="18">
        <v>0</v>
      </c>
      <c r="F766" s="18">
        <v>0</v>
      </c>
      <c r="G766" s="18">
        <v>0</v>
      </c>
      <c r="H766" s="18">
        <v>0</v>
      </c>
      <c r="I766" s="18">
        <v>0</v>
      </c>
      <c r="J766" s="18">
        <v>0</v>
      </c>
      <c r="K766" s="18">
        <v>0</v>
      </c>
      <c r="L766" s="18">
        <v>0</v>
      </c>
      <c r="M766" s="18">
        <v>0</v>
      </c>
      <c r="N766" s="18">
        <v>0</v>
      </c>
      <c r="O766" s="18">
        <v>0</v>
      </c>
      <c r="P766" s="18">
        <v>0</v>
      </c>
      <c r="Q766" s="18">
        <v>0</v>
      </c>
      <c r="R766" s="18">
        <v>0</v>
      </c>
      <c r="S766" s="18">
        <v>0</v>
      </c>
      <c r="T766" s="18">
        <v>0</v>
      </c>
      <c r="U766" s="18">
        <v>0</v>
      </c>
      <c r="V766" s="18">
        <v>0.6</v>
      </c>
      <c r="W766" s="18">
        <v>0</v>
      </c>
      <c r="X766" s="18">
        <v>0</v>
      </c>
      <c r="Y766" s="18">
        <v>4.7</v>
      </c>
      <c r="Z766" s="18">
        <v>2.8000000000000003</v>
      </c>
      <c r="AA766" s="18">
        <v>0</v>
      </c>
      <c r="AB766" s="18">
        <v>0</v>
      </c>
      <c r="AC766" s="18">
        <v>0</v>
      </c>
      <c r="AD766" s="18">
        <v>0</v>
      </c>
      <c r="AE766" s="18">
        <v>0</v>
      </c>
      <c r="AF766" s="18">
        <v>0.9</v>
      </c>
      <c r="AG766" s="18">
        <v>1.2</v>
      </c>
      <c r="AH766" s="18">
        <v>0</v>
      </c>
      <c r="AI766" s="18">
        <v>0</v>
      </c>
      <c r="AJ766" s="18">
        <v>0</v>
      </c>
      <c r="AK766" s="18">
        <v>0</v>
      </c>
      <c r="AL766" s="18">
        <v>0</v>
      </c>
      <c r="AM766" s="18">
        <v>0</v>
      </c>
      <c r="AN766" s="18">
        <v>0</v>
      </c>
      <c r="AO766" s="18">
        <v>0</v>
      </c>
      <c r="AP766" s="18">
        <v>0</v>
      </c>
      <c r="AQ766" s="18">
        <v>0</v>
      </c>
      <c r="AR766" s="18">
        <v>0</v>
      </c>
      <c r="AS766" s="18">
        <v>0</v>
      </c>
      <c r="AT766" s="18">
        <v>0</v>
      </c>
      <c r="AU766" s="18">
        <v>0</v>
      </c>
      <c r="AV766" s="18">
        <v>0</v>
      </c>
      <c r="AW766" s="18">
        <v>0</v>
      </c>
      <c r="AX766" s="18">
        <v>0</v>
      </c>
      <c r="AY766" s="18">
        <v>0</v>
      </c>
      <c r="AZ766" s="18">
        <v>0</v>
      </c>
      <c r="BA766" s="18">
        <v>0</v>
      </c>
      <c r="BB766" s="18">
        <v>0</v>
      </c>
      <c r="BC766" s="18">
        <v>0</v>
      </c>
      <c r="BD766" s="18">
        <v>0</v>
      </c>
      <c r="BE766" s="25">
        <v>0</v>
      </c>
      <c r="BF766" s="18">
        <v>0</v>
      </c>
      <c r="BG766" s="18">
        <v>0</v>
      </c>
      <c r="BH766" s="18">
        <v>0</v>
      </c>
      <c r="BI766" s="18">
        <v>0</v>
      </c>
      <c r="BJ766" s="113">
        <v>0</v>
      </c>
      <c r="BK766" s="113">
        <v>0</v>
      </c>
      <c r="BL766" s="113">
        <v>0</v>
      </c>
      <c r="BM766" s="18">
        <v>0</v>
      </c>
      <c r="BN766" s="18">
        <v>0</v>
      </c>
      <c r="BO766" s="18">
        <v>0</v>
      </c>
      <c r="BP766" s="18">
        <v>4598</v>
      </c>
      <c r="BQ766" s="60">
        <v>0</v>
      </c>
      <c r="BR766" s="101"/>
      <c r="BS766">
        <f t="shared" si="1505"/>
        <v>0</v>
      </c>
      <c r="BT766">
        <f t="shared" si="1505"/>
        <v>0</v>
      </c>
      <c r="BU766">
        <f t="shared" si="1505"/>
        <v>0</v>
      </c>
      <c r="BV766">
        <f t="shared" si="1505"/>
        <v>0</v>
      </c>
      <c r="BW766">
        <f t="shared" si="1505"/>
        <v>0</v>
      </c>
      <c r="BX766">
        <f t="shared" si="1505"/>
        <v>0</v>
      </c>
      <c r="BY766">
        <f t="shared" si="1505"/>
        <v>0</v>
      </c>
      <c r="BZ766">
        <f t="shared" si="1505"/>
        <v>0</v>
      </c>
      <c r="CA766">
        <f t="shared" si="1505"/>
        <v>0</v>
      </c>
      <c r="CB766">
        <f t="shared" si="1505"/>
        <v>0</v>
      </c>
      <c r="CC766">
        <f t="shared" si="1506"/>
        <v>0</v>
      </c>
      <c r="CD766">
        <f t="shared" si="1506"/>
        <v>0</v>
      </c>
      <c r="CE766">
        <f t="shared" si="1506"/>
        <v>0</v>
      </c>
      <c r="CF766">
        <f t="shared" si="1506"/>
        <v>0</v>
      </c>
      <c r="CG766">
        <f t="shared" si="1506"/>
        <v>0</v>
      </c>
      <c r="CH766">
        <f t="shared" si="1506"/>
        <v>0</v>
      </c>
      <c r="CI766">
        <f t="shared" si="1506"/>
        <v>0</v>
      </c>
      <c r="CJ766">
        <f t="shared" si="1506"/>
        <v>0</v>
      </c>
      <c r="CK766">
        <f t="shared" si="1506"/>
        <v>0</v>
      </c>
      <c r="CL766">
        <f t="shared" si="1506"/>
        <v>0</v>
      </c>
      <c r="CM766">
        <f t="shared" si="1507"/>
        <v>0</v>
      </c>
      <c r="CN766">
        <f t="shared" si="1507"/>
        <v>0</v>
      </c>
      <c r="CO766">
        <f t="shared" si="1507"/>
        <v>0</v>
      </c>
      <c r="CP766">
        <f t="shared" si="1507"/>
        <v>0</v>
      </c>
      <c r="CQ766">
        <f t="shared" si="1507"/>
        <v>0</v>
      </c>
      <c r="CR766">
        <f t="shared" si="1507"/>
        <v>0</v>
      </c>
      <c r="CS766">
        <f t="shared" si="1507"/>
        <v>0</v>
      </c>
      <c r="CT766">
        <f t="shared" si="1507"/>
        <v>0</v>
      </c>
      <c r="CU766">
        <f t="shared" si="1507"/>
        <v>0</v>
      </c>
      <c r="CV766">
        <f t="shared" si="1507"/>
        <v>0</v>
      </c>
      <c r="CW766">
        <f t="shared" si="1508"/>
        <v>0</v>
      </c>
      <c r="CX766">
        <f t="shared" si="1508"/>
        <v>0</v>
      </c>
      <c r="CY766">
        <f t="shared" si="1508"/>
        <v>0</v>
      </c>
      <c r="CZ766">
        <f t="shared" si="1508"/>
        <v>0</v>
      </c>
      <c r="DA766">
        <f t="shared" si="1508"/>
        <v>0</v>
      </c>
      <c r="DB766">
        <f t="shared" si="1508"/>
        <v>0</v>
      </c>
      <c r="DC766">
        <f t="shared" si="1508"/>
        <v>0</v>
      </c>
      <c r="DD766">
        <f t="shared" si="1508"/>
        <v>0</v>
      </c>
      <c r="DE766">
        <f t="shared" si="1508"/>
        <v>0</v>
      </c>
      <c r="DF766">
        <f t="shared" si="1508"/>
        <v>0</v>
      </c>
      <c r="DG766">
        <f t="shared" si="1509"/>
        <v>0</v>
      </c>
      <c r="DH766">
        <f t="shared" si="1509"/>
        <v>0</v>
      </c>
      <c r="DI766">
        <f t="shared" si="1509"/>
        <v>0</v>
      </c>
      <c r="DJ766">
        <f t="shared" si="1509"/>
        <v>0</v>
      </c>
      <c r="DK766">
        <f t="shared" si="1509"/>
        <v>0</v>
      </c>
      <c r="DL766">
        <f t="shared" si="1509"/>
        <v>0</v>
      </c>
      <c r="DM766">
        <f t="shared" si="1509"/>
        <v>0</v>
      </c>
      <c r="DN766">
        <f t="shared" si="1509"/>
        <v>0</v>
      </c>
      <c r="DO766">
        <f t="shared" si="1509"/>
        <v>0</v>
      </c>
      <c r="DP766">
        <f t="shared" si="1509"/>
        <v>0</v>
      </c>
      <c r="DQ766">
        <f t="shared" si="1510"/>
        <v>0</v>
      </c>
      <c r="DR766">
        <f t="shared" si="1510"/>
        <v>0</v>
      </c>
      <c r="DS766">
        <f t="shared" si="1510"/>
        <v>0</v>
      </c>
      <c r="DT766">
        <f t="shared" si="1510"/>
        <v>0</v>
      </c>
      <c r="DU766">
        <f t="shared" si="1510"/>
        <v>0</v>
      </c>
      <c r="DV766">
        <f t="shared" si="1510"/>
        <v>0</v>
      </c>
      <c r="DW766">
        <f t="shared" si="1510"/>
        <v>0</v>
      </c>
      <c r="DX766">
        <f t="shared" si="1510"/>
        <v>0</v>
      </c>
      <c r="DY766">
        <f t="shared" si="1510"/>
        <v>0</v>
      </c>
      <c r="DZ766">
        <f t="shared" si="1510"/>
        <v>0</v>
      </c>
      <c r="EA766">
        <f t="shared" si="1511"/>
        <v>0</v>
      </c>
      <c r="EB766">
        <f t="shared" si="1511"/>
        <v>0</v>
      </c>
      <c r="EC766">
        <f t="shared" si="1511"/>
        <v>0</v>
      </c>
      <c r="ED766">
        <f t="shared" si="1511"/>
        <v>0</v>
      </c>
      <c r="EE766">
        <f t="shared" si="1511"/>
        <v>0</v>
      </c>
      <c r="EF766">
        <f t="shared" si="1511"/>
        <v>0</v>
      </c>
    </row>
    <row r="767" spans="1:136" ht="15.5">
      <c r="A767" s="90"/>
      <c r="B767" s="19" t="s">
        <v>18</v>
      </c>
      <c r="C767" s="94"/>
      <c r="D767" s="34">
        <v>0</v>
      </c>
      <c r="E767" s="34">
        <v>0</v>
      </c>
      <c r="F767" s="34">
        <v>0</v>
      </c>
      <c r="G767" s="34">
        <v>0</v>
      </c>
      <c r="H767" s="34">
        <v>0</v>
      </c>
      <c r="I767" s="34">
        <v>0</v>
      </c>
      <c r="J767" s="34">
        <v>0</v>
      </c>
      <c r="K767" s="34">
        <v>0</v>
      </c>
      <c r="L767" s="34">
        <v>0</v>
      </c>
      <c r="M767" s="34">
        <v>0</v>
      </c>
      <c r="N767" s="34">
        <v>0</v>
      </c>
      <c r="O767" s="34">
        <v>0</v>
      </c>
      <c r="P767" s="34">
        <v>0</v>
      </c>
      <c r="Q767" s="34">
        <v>0</v>
      </c>
      <c r="R767" s="34">
        <v>0</v>
      </c>
      <c r="S767" s="34">
        <v>0</v>
      </c>
      <c r="T767" s="34">
        <v>0</v>
      </c>
      <c r="U767" s="34">
        <v>0</v>
      </c>
      <c r="V767" s="34">
        <v>0</v>
      </c>
      <c r="W767" s="34">
        <v>0</v>
      </c>
      <c r="X767" s="34">
        <v>0</v>
      </c>
      <c r="Y767" s="34">
        <v>0</v>
      </c>
      <c r="Z767" s="34">
        <v>18800</v>
      </c>
      <c r="AA767" s="34">
        <v>23280</v>
      </c>
      <c r="AB767" s="34">
        <v>19213</v>
      </c>
      <c r="AC767" s="34">
        <v>28600</v>
      </c>
      <c r="AD767" s="34">
        <v>43700</v>
      </c>
      <c r="AE767" s="34">
        <v>52300</v>
      </c>
      <c r="AF767" s="34">
        <v>51902</v>
      </c>
      <c r="AG767" s="34">
        <v>48231</v>
      </c>
      <c r="AH767" s="34">
        <v>54300</v>
      </c>
      <c r="AI767" s="34">
        <v>0</v>
      </c>
      <c r="AJ767" s="34">
        <v>0</v>
      </c>
      <c r="AK767" s="34">
        <v>0</v>
      </c>
      <c r="AL767" s="34">
        <v>0</v>
      </c>
      <c r="AM767" s="34">
        <v>0</v>
      </c>
      <c r="AN767" s="34">
        <v>0</v>
      </c>
      <c r="AO767" s="34">
        <v>0</v>
      </c>
      <c r="AP767" s="34">
        <v>0</v>
      </c>
      <c r="AQ767" s="34">
        <v>0</v>
      </c>
      <c r="AR767" s="34">
        <v>0</v>
      </c>
      <c r="AS767" s="34">
        <v>0</v>
      </c>
      <c r="AT767" s="34">
        <v>0</v>
      </c>
      <c r="AU767" s="34">
        <v>0</v>
      </c>
      <c r="AV767" s="34">
        <v>0</v>
      </c>
      <c r="AW767" s="34">
        <v>0</v>
      </c>
      <c r="AX767" s="34">
        <v>0</v>
      </c>
      <c r="AY767" s="34">
        <v>0</v>
      </c>
      <c r="AZ767" s="34">
        <v>0</v>
      </c>
      <c r="BA767" s="34">
        <v>0</v>
      </c>
      <c r="BB767" s="34">
        <v>0</v>
      </c>
      <c r="BC767" s="34">
        <v>0</v>
      </c>
      <c r="BD767" s="34">
        <v>0</v>
      </c>
      <c r="BE767" s="42">
        <v>0</v>
      </c>
      <c r="BF767" s="34">
        <v>0</v>
      </c>
      <c r="BG767" s="34">
        <v>0</v>
      </c>
      <c r="BH767" s="34">
        <v>0</v>
      </c>
      <c r="BI767" s="34">
        <v>0</v>
      </c>
      <c r="BJ767" s="113">
        <v>0</v>
      </c>
      <c r="BK767" s="113">
        <v>0</v>
      </c>
      <c r="BL767" s="113">
        <v>0</v>
      </c>
      <c r="BM767" s="34">
        <v>0</v>
      </c>
      <c r="BN767" s="34">
        <v>0</v>
      </c>
      <c r="BO767" s="34">
        <v>0</v>
      </c>
      <c r="BP767" s="34">
        <v>0</v>
      </c>
      <c r="BQ767" s="60">
        <v>0</v>
      </c>
      <c r="BR767" s="101"/>
      <c r="BS767">
        <f t="shared" si="1505"/>
        <v>0</v>
      </c>
      <c r="BT767">
        <f t="shared" si="1505"/>
        <v>0</v>
      </c>
      <c r="BU767">
        <f t="shared" si="1505"/>
        <v>0</v>
      </c>
      <c r="BV767">
        <f t="shared" si="1505"/>
        <v>0</v>
      </c>
      <c r="BW767">
        <f t="shared" si="1505"/>
        <v>0</v>
      </c>
      <c r="BX767">
        <f t="shared" si="1505"/>
        <v>0</v>
      </c>
      <c r="BY767">
        <f t="shared" si="1505"/>
        <v>0</v>
      </c>
      <c r="BZ767">
        <f t="shared" si="1505"/>
        <v>0</v>
      </c>
      <c r="CA767">
        <f t="shared" si="1505"/>
        <v>0</v>
      </c>
      <c r="CB767">
        <f t="shared" si="1505"/>
        <v>0</v>
      </c>
      <c r="CC767">
        <f t="shared" si="1506"/>
        <v>0</v>
      </c>
      <c r="CD767">
        <f t="shared" si="1506"/>
        <v>0</v>
      </c>
      <c r="CE767">
        <f t="shared" si="1506"/>
        <v>0</v>
      </c>
      <c r="CF767">
        <f t="shared" si="1506"/>
        <v>0</v>
      </c>
      <c r="CG767">
        <f t="shared" si="1506"/>
        <v>0</v>
      </c>
      <c r="CH767">
        <f t="shared" si="1506"/>
        <v>0</v>
      </c>
      <c r="CI767">
        <f t="shared" si="1506"/>
        <v>0</v>
      </c>
      <c r="CJ767">
        <f t="shared" si="1506"/>
        <v>0</v>
      </c>
      <c r="CK767">
        <f t="shared" si="1506"/>
        <v>0</v>
      </c>
      <c r="CL767">
        <f t="shared" si="1506"/>
        <v>0</v>
      </c>
      <c r="CM767">
        <f t="shared" si="1507"/>
        <v>0</v>
      </c>
      <c r="CN767">
        <f t="shared" si="1507"/>
        <v>0</v>
      </c>
      <c r="CO767">
        <f t="shared" si="1507"/>
        <v>0</v>
      </c>
      <c r="CP767">
        <f t="shared" si="1507"/>
        <v>0</v>
      </c>
      <c r="CQ767">
        <f t="shared" si="1507"/>
        <v>0</v>
      </c>
      <c r="CR767">
        <f t="shared" si="1507"/>
        <v>0</v>
      </c>
      <c r="CS767">
        <f t="shared" si="1507"/>
        <v>0</v>
      </c>
      <c r="CT767">
        <f t="shared" si="1507"/>
        <v>0</v>
      </c>
      <c r="CU767">
        <f t="shared" si="1507"/>
        <v>0</v>
      </c>
      <c r="CV767">
        <f t="shared" si="1507"/>
        <v>0</v>
      </c>
      <c r="CW767">
        <f t="shared" si="1508"/>
        <v>0</v>
      </c>
      <c r="CX767">
        <f t="shared" si="1508"/>
        <v>0</v>
      </c>
      <c r="CY767">
        <f t="shared" si="1508"/>
        <v>0</v>
      </c>
      <c r="CZ767">
        <f t="shared" si="1508"/>
        <v>0</v>
      </c>
      <c r="DA767">
        <f t="shared" si="1508"/>
        <v>0</v>
      </c>
      <c r="DB767">
        <f t="shared" si="1508"/>
        <v>0</v>
      </c>
      <c r="DC767">
        <f t="shared" si="1508"/>
        <v>0</v>
      </c>
      <c r="DD767">
        <f t="shared" si="1508"/>
        <v>0</v>
      </c>
      <c r="DE767">
        <f t="shared" si="1508"/>
        <v>0</v>
      </c>
      <c r="DF767">
        <f t="shared" si="1508"/>
        <v>0</v>
      </c>
      <c r="DG767">
        <f t="shared" si="1509"/>
        <v>0</v>
      </c>
      <c r="DH767">
        <f t="shared" si="1509"/>
        <v>0</v>
      </c>
      <c r="DI767">
        <f t="shared" si="1509"/>
        <v>0</v>
      </c>
      <c r="DJ767">
        <f t="shared" si="1509"/>
        <v>0</v>
      </c>
      <c r="DK767">
        <f t="shared" si="1509"/>
        <v>0</v>
      </c>
      <c r="DL767">
        <f t="shared" si="1509"/>
        <v>0</v>
      </c>
      <c r="DM767">
        <f t="shared" si="1509"/>
        <v>0</v>
      </c>
      <c r="DN767">
        <f t="shared" si="1509"/>
        <v>0</v>
      </c>
      <c r="DO767">
        <f t="shared" si="1509"/>
        <v>0</v>
      </c>
      <c r="DP767">
        <f t="shared" si="1509"/>
        <v>0</v>
      </c>
      <c r="DQ767">
        <f t="shared" si="1510"/>
        <v>0</v>
      </c>
      <c r="DR767">
        <f t="shared" si="1510"/>
        <v>0</v>
      </c>
      <c r="DS767">
        <f t="shared" si="1510"/>
        <v>0</v>
      </c>
      <c r="DT767">
        <f t="shared" si="1510"/>
        <v>0</v>
      </c>
      <c r="DU767">
        <f t="shared" si="1510"/>
        <v>0</v>
      </c>
      <c r="DV767">
        <f t="shared" si="1510"/>
        <v>0</v>
      </c>
      <c r="DW767">
        <f t="shared" si="1510"/>
        <v>0</v>
      </c>
      <c r="DX767">
        <f t="shared" si="1510"/>
        <v>0</v>
      </c>
      <c r="DY767">
        <f t="shared" si="1510"/>
        <v>0</v>
      </c>
      <c r="DZ767">
        <f t="shared" si="1510"/>
        <v>0</v>
      </c>
      <c r="EA767">
        <f t="shared" si="1511"/>
        <v>0</v>
      </c>
      <c r="EB767">
        <f t="shared" si="1511"/>
        <v>0</v>
      </c>
      <c r="EC767">
        <f t="shared" si="1511"/>
        <v>0</v>
      </c>
      <c r="ED767">
        <f t="shared" si="1511"/>
        <v>0</v>
      </c>
      <c r="EE767">
        <f t="shared" si="1511"/>
        <v>0</v>
      </c>
      <c r="EF767">
        <f t="shared" si="1511"/>
        <v>0</v>
      </c>
    </row>
    <row r="768" spans="1:136" ht="15.5">
      <c r="A768" s="90"/>
      <c r="B768" s="19" t="s">
        <v>208</v>
      </c>
      <c r="C768" s="94"/>
      <c r="D768" s="18">
        <v>0</v>
      </c>
      <c r="E768" s="18">
        <v>0</v>
      </c>
      <c r="F768" s="18">
        <v>0</v>
      </c>
      <c r="G768" s="18">
        <v>0</v>
      </c>
      <c r="H768" s="18">
        <v>0</v>
      </c>
      <c r="I768" s="18">
        <v>0</v>
      </c>
      <c r="J768" s="18">
        <v>0</v>
      </c>
      <c r="K768" s="18">
        <v>0</v>
      </c>
      <c r="L768" s="18">
        <v>0</v>
      </c>
      <c r="M768" s="18">
        <v>0</v>
      </c>
      <c r="N768" s="18">
        <v>0</v>
      </c>
      <c r="O768" s="18">
        <v>0</v>
      </c>
      <c r="P768" s="18">
        <v>0</v>
      </c>
      <c r="Q768" s="18">
        <v>0</v>
      </c>
      <c r="R768" s="18">
        <v>0</v>
      </c>
      <c r="S768" s="18">
        <v>0</v>
      </c>
      <c r="T768" s="18">
        <v>0</v>
      </c>
      <c r="U768" s="18">
        <v>0</v>
      </c>
      <c r="V768" s="18">
        <v>0</v>
      </c>
      <c r="W768" s="18">
        <v>1.9000000000000001</v>
      </c>
      <c r="X768" s="18">
        <v>0</v>
      </c>
      <c r="Y768" s="18">
        <v>6.6</v>
      </c>
      <c r="Z768" s="18">
        <v>554.9</v>
      </c>
      <c r="AA768" s="18">
        <v>87.800000000000011</v>
      </c>
      <c r="AB768" s="18">
        <v>10.9</v>
      </c>
      <c r="AC768" s="18">
        <v>0</v>
      </c>
      <c r="AD768" s="18">
        <v>0</v>
      </c>
      <c r="AE768" s="18">
        <v>0</v>
      </c>
      <c r="AF768" s="18">
        <v>0</v>
      </c>
      <c r="AG768" s="18">
        <v>3.3</v>
      </c>
      <c r="AH768" s="18">
        <v>0</v>
      </c>
      <c r="AI768" s="18">
        <v>0</v>
      </c>
      <c r="AJ768" s="18">
        <v>0</v>
      </c>
      <c r="AK768" s="18">
        <v>0</v>
      </c>
      <c r="AL768" s="18">
        <v>0</v>
      </c>
      <c r="AM768" s="18">
        <v>0</v>
      </c>
      <c r="AN768" s="18">
        <v>0</v>
      </c>
      <c r="AO768" s="18">
        <v>0</v>
      </c>
      <c r="AP768" s="18">
        <v>0</v>
      </c>
      <c r="AQ768" s="18">
        <v>0</v>
      </c>
      <c r="AR768" s="18">
        <v>0</v>
      </c>
      <c r="AS768" s="18">
        <v>0</v>
      </c>
      <c r="AT768" s="18">
        <v>3.0000000000000001E-3</v>
      </c>
      <c r="AU768" s="18">
        <v>0</v>
      </c>
      <c r="AV768" s="18">
        <v>0</v>
      </c>
      <c r="AW768" s="18">
        <v>0</v>
      </c>
      <c r="AX768" s="18">
        <v>0</v>
      </c>
      <c r="AY768" s="18">
        <v>0</v>
      </c>
      <c r="AZ768" s="18">
        <v>0</v>
      </c>
      <c r="BA768" s="18">
        <v>0</v>
      </c>
      <c r="BB768" s="18">
        <v>0</v>
      </c>
      <c r="BC768" s="18">
        <v>0</v>
      </c>
      <c r="BD768" s="18">
        <v>0</v>
      </c>
      <c r="BE768" s="25">
        <v>32</v>
      </c>
      <c r="BF768" s="18">
        <v>91</v>
      </c>
      <c r="BG768" s="18">
        <v>0</v>
      </c>
      <c r="BH768" s="18">
        <v>123</v>
      </c>
      <c r="BI768" s="18">
        <v>0</v>
      </c>
      <c r="BJ768" s="113">
        <v>15</v>
      </c>
      <c r="BK768" s="113">
        <v>6</v>
      </c>
      <c r="BL768" s="113">
        <v>8</v>
      </c>
      <c r="BM768" s="18">
        <v>3</v>
      </c>
      <c r="BN768" s="18">
        <v>22</v>
      </c>
      <c r="BO768" s="18">
        <v>14</v>
      </c>
      <c r="BP768" s="254">
        <v>5</v>
      </c>
      <c r="BQ768" s="60">
        <v>0</v>
      </c>
      <c r="BR768" s="101"/>
      <c r="BS768">
        <f t="shared" si="1505"/>
        <v>0</v>
      </c>
      <c r="BT768">
        <f t="shared" si="1505"/>
        <v>0</v>
      </c>
      <c r="BU768">
        <f t="shared" si="1505"/>
        <v>0</v>
      </c>
      <c r="BV768">
        <f t="shared" si="1505"/>
        <v>0</v>
      </c>
      <c r="BW768">
        <f t="shared" si="1505"/>
        <v>0</v>
      </c>
      <c r="BX768">
        <f t="shared" si="1505"/>
        <v>0</v>
      </c>
      <c r="BY768">
        <f t="shared" si="1505"/>
        <v>0</v>
      </c>
      <c r="BZ768">
        <f t="shared" si="1505"/>
        <v>0</v>
      </c>
      <c r="CA768">
        <f t="shared" si="1505"/>
        <v>0</v>
      </c>
      <c r="CB768">
        <f t="shared" si="1505"/>
        <v>0</v>
      </c>
      <c r="CC768">
        <f t="shared" si="1506"/>
        <v>0</v>
      </c>
      <c r="CD768">
        <f t="shared" si="1506"/>
        <v>0</v>
      </c>
      <c r="CE768">
        <f t="shared" si="1506"/>
        <v>0</v>
      </c>
      <c r="CF768">
        <f t="shared" si="1506"/>
        <v>0</v>
      </c>
      <c r="CG768">
        <f t="shared" si="1506"/>
        <v>0</v>
      </c>
      <c r="CH768">
        <f t="shared" si="1506"/>
        <v>0</v>
      </c>
      <c r="CI768">
        <f t="shared" si="1506"/>
        <v>0</v>
      </c>
      <c r="CJ768">
        <f t="shared" si="1506"/>
        <v>0</v>
      </c>
      <c r="CK768">
        <f t="shared" si="1506"/>
        <v>0</v>
      </c>
      <c r="CL768">
        <f t="shared" si="1506"/>
        <v>0</v>
      </c>
      <c r="CM768">
        <f t="shared" si="1507"/>
        <v>0</v>
      </c>
      <c r="CN768">
        <f t="shared" si="1507"/>
        <v>0</v>
      </c>
      <c r="CO768">
        <f t="shared" si="1507"/>
        <v>0</v>
      </c>
      <c r="CP768">
        <f t="shared" si="1507"/>
        <v>0</v>
      </c>
      <c r="CQ768">
        <f t="shared" si="1507"/>
        <v>0</v>
      </c>
      <c r="CR768">
        <f t="shared" si="1507"/>
        <v>0</v>
      </c>
      <c r="CS768">
        <f t="shared" si="1507"/>
        <v>0</v>
      </c>
      <c r="CT768">
        <f t="shared" si="1507"/>
        <v>0</v>
      </c>
      <c r="CU768">
        <f t="shared" si="1507"/>
        <v>0</v>
      </c>
      <c r="CV768">
        <f t="shared" si="1507"/>
        <v>0</v>
      </c>
      <c r="CW768">
        <f t="shared" si="1508"/>
        <v>0</v>
      </c>
      <c r="CX768">
        <f t="shared" si="1508"/>
        <v>0</v>
      </c>
      <c r="CY768">
        <f t="shared" si="1508"/>
        <v>0</v>
      </c>
      <c r="CZ768">
        <f t="shared" si="1508"/>
        <v>0</v>
      </c>
      <c r="DA768">
        <f t="shared" si="1508"/>
        <v>0</v>
      </c>
      <c r="DB768">
        <f t="shared" si="1508"/>
        <v>0</v>
      </c>
      <c r="DC768">
        <f t="shared" si="1508"/>
        <v>0</v>
      </c>
      <c r="DD768">
        <f t="shared" si="1508"/>
        <v>0</v>
      </c>
      <c r="DE768">
        <f t="shared" si="1508"/>
        <v>0</v>
      </c>
      <c r="DF768">
        <f t="shared" si="1508"/>
        <v>0</v>
      </c>
      <c r="DG768">
        <f t="shared" si="1509"/>
        <v>0</v>
      </c>
      <c r="DH768">
        <f t="shared" si="1509"/>
        <v>0</v>
      </c>
      <c r="DI768">
        <f t="shared" si="1509"/>
        <v>0</v>
      </c>
      <c r="DJ768">
        <f t="shared" si="1509"/>
        <v>0</v>
      </c>
      <c r="DK768">
        <f t="shared" si="1509"/>
        <v>0</v>
      </c>
      <c r="DL768">
        <f t="shared" si="1509"/>
        <v>0</v>
      </c>
      <c r="DM768">
        <f t="shared" si="1509"/>
        <v>0</v>
      </c>
      <c r="DN768">
        <f t="shared" si="1509"/>
        <v>0</v>
      </c>
      <c r="DO768">
        <f t="shared" si="1509"/>
        <v>0</v>
      </c>
      <c r="DP768">
        <f t="shared" si="1509"/>
        <v>0</v>
      </c>
      <c r="DQ768">
        <f t="shared" si="1510"/>
        <v>0</v>
      </c>
      <c r="DR768">
        <f t="shared" si="1510"/>
        <v>0</v>
      </c>
      <c r="DS768">
        <f t="shared" si="1510"/>
        <v>0</v>
      </c>
      <c r="DT768">
        <f t="shared" si="1510"/>
        <v>0</v>
      </c>
      <c r="DU768">
        <f t="shared" si="1510"/>
        <v>0</v>
      </c>
      <c r="DV768">
        <f t="shared" si="1510"/>
        <v>0</v>
      </c>
      <c r="DW768">
        <f t="shared" si="1510"/>
        <v>0</v>
      </c>
      <c r="DX768">
        <f t="shared" si="1510"/>
        <v>0</v>
      </c>
      <c r="DY768">
        <f t="shared" si="1510"/>
        <v>0</v>
      </c>
      <c r="DZ768">
        <f t="shared" si="1510"/>
        <v>0</v>
      </c>
      <c r="EA768">
        <f t="shared" si="1511"/>
        <v>0</v>
      </c>
      <c r="EB768">
        <f t="shared" si="1511"/>
        <v>0</v>
      </c>
      <c r="EC768">
        <f t="shared" si="1511"/>
        <v>0</v>
      </c>
      <c r="ED768">
        <f t="shared" si="1511"/>
        <v>0</v>
      </c>
      <c r="EE768">
        <f t="shared" si="1511"/>
        <v>0</v>
      </c>
      <c r="EF768">
        <f t="shared" si="1511"/>
        <v>0</v>
      </c>
    </row>
    <row r="769" spans="1:136" ht="15.5">
      <c r="A769" s="90"/>
      <c r="B769" s="19" t="s">
        <v>212</v>
      </c>
      <c r="C769" s="94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/>
      <c r="AV769" s="18"/>
      <c r="AW769" s="18"/>
      <c r="AX769" s="18"/>
      <c r="AY769" s="18"/>
      <c r="AZ769" s="18"/>
      <c r="BA769" s="18"/>
      <c r="BB769" s="18"/>
      <c r="BC769" s="18"/>
      <c r="BD769" s="18"/>
      <c r="BE769" s="25"/>
      <c r="BF769" s="18"/>
      <c r="BG769" s="18"/>
      <c r="BH769" s="18">
        <f>(0.005*20118000)/18.7</f>
        <v>5379.1443850267378</v>
      </c>
      <c r="BI769" s="18">
        <v>0</v>
      </c>
      <c r="BJ769" s="18">
        <v>0</v>
      </c>
      <c r="BK769" s="18">
        <v>0</v>
      </c>
      <c r="BL769" s="18">
        <v>0</v>
      </c>
      <c r="BM769" s="18">
        <v>0</v>
      </c>
      <c r="BN769" s="18">
        <v>0</v>
      </c>
      <c r="BO769" s="18">
        <v>0</v>
      </c>
      <c r="BP769" s="18">
        <v>0</v>
      </c>
      <c r="BQ769" s="60">
        <v>0</v>
      </c>
      <c r="BR769" s="101"/>
      <c r="BS769">
        <f t="shared" si="1505"/>
        <v>0</v>
      </c>
      <c r="BT769">
        <f t="shared" si="1505"/>
        <v>0</v>
      </c>
      <c r="BU769">
        <f t="shared" si="1505"/>
        <v>0</v>
      </c>
      <c r="BV769">
        <f t="shared" si="1505"/>
        <v>0</v>
      </c>
      <c r="BW769">
        <f t="shared" si="1505"/>
        <v>0</v>
      </c>
      <c r="BX769">
        <f t="shared" si="1505"/>
        <v>0</v>
      </c>
      <c r="BY769">
        <f t="shared" si="1505"/>
        <v>0</v>
      </c>
      <c r="BZ769">
        <f t="shared" si="1505"/>
        <v>0</v>
      </c>
      <c r="CA769">
        <f t="shared" si="1505"/>
        <v>0</v>
      </c>
      <c r="CB769">
        <f t="shared" si="1505"/>
        <v>0</v>
      </c>
      <c r="CC769">
        <f t="shared" si="1506"/>
        <v>0</v>
      </c>
      <c r="CD769">
        <f t="shared" si="1506"/>
        <v>0</v>
      </c>
      <c r="CE769">
        <f t="shared" si="1506"/>
        <v>0</v>
      </c>
      <c r="CF769">
        <f t="shared" si="1506"/>
        <v>0</v>
      </c>
      <c r="CG769">
        <f t="shared" si="1506"/>
        <v>0</v>
      </c>
      <c r="CH769">
        <f t="shared" si="1506"/>
        <v>0</v>
      </c>
      <c r="CI769">
        <f t="shared" si="1506"/>
        <v>0</v>
      </c>
      <c r="CJ769">
        <f t="shared" si="1506"/>
        <v>0</v>
      </c>
      <c r="CK769">
        <f t="shared" si="1506"/>
        <v>0</v>
      </c>
      <c r="CL769">
        <f t="shared" si="1506"/>
        <v>0</v>
      </c>
      <c r="CM769">
        <f t="shared" si="1507"/>
        <v>0</v>
      </c>
      <c r="CN769">
        <f t="shared" si="1507"/>
        <v>0</v>
      </c>
      <c r="CO769">
        <f t="shared" si="1507"/>
        <v>0</v>
      </c>
      <c r="CP769">
        <f t="shared" si="1507"/>
        <v>0</v>
      </c>
      <c r="CQ769">
        <f t="shared" si="1507"/>
        <v>0</v>
      </c>
      <c r="CR769">
        <f t="shared" si="1507"/>
        <v>0</v>
      </c>
      <c r="CS769">
        <f t="shared" si="1507"/>
        <v>0</v>
      </c>
      <c r="CT769">
        <f t="shared" si="1507"/>
        <v>0</v>
      </c>
      <c r="CU769">
        <f t="shared" si="1507"/>
        <v>0</v>
      </c>
      <c r="CV769">
        <f t="shared" si="1507"/>
        <v>0</v>
      </c>
      <c r="CW769">
        <f t="shared" si="1508"/>
        <v>0</v>
      </c>
      <c r="CX769">
        <f t="shared" si="1508"/>
        <v>0</v>
      </c>
      <c r="CY769">
        <f t="shared" si="1508"/>
        <v>0</v>
      </c>
      <c r="CZ769">
        <f t="shared" si="1508"/>
        <v>0</v>
      </c>
      <c r="DA769">
        <f t="shared" si="1508"/>
        <v>0</v>
      </c>
      <c r="DB769">
        <f t="shared" si="1508"/>
        <v>0</v>
      </c>
      <c r="DC769">
        <f t="shared" si="1508"/>
        <v>0</v>
      </c>
      <c r="DD769">
        <f t="shared" si="1508"/>
        <v>0</v>
      </c>
      <c r="DE769">
        <f t="shared" si="1508"/>
        <v>0</v>
      </c>
      <c r="DF769">
        <f t="shared" si="1508"/>
        <v>0</v>
      </c>
      <c r="DG769">
        <f t="shared" si="1509"/>
        <v>0</v>
      </c>
      <c r="DH769">
        <f t="shared" si="1509"/>
        <v>0</v>
      </c>
      <c r="DI769">
        <f t="shared" si="1509"/>
        <v>0</v>
      </c>
      <c r="DJ769">
        <f t="shared" si="1509"/>
        <v>0</v>
      </c>
      <c r="DK769">
        <f t="shared" si="1509"/>
        <v>0</v>
      </c>
      <c r="DL769">
        <f t="shared" si="1509"/>
        <v>0</v>
      </c>
      <c r="DM769">
        <f t="shared" si="1509"/>
        <v>0</v>
      </c>
      <c r="DN769">
        <f t="shared" si="1509"/>
        <v>0</v>
      </c>
      <c r="DO769">
        <f t="shared" si="1509"/>
        <v>0</v>
      </c>
      <c r="DP769">
        <f t="shared" si="1509"/>
        <v>0</v>
      </c>
      <c r="DQ769">
        <f t="shared" si="1510"/>
        <v>0</v>
      </c>
      <c r="DR769">
        <f t="shared" si="1510"/>
        <v>0</v>
      </c>
      <c r="DS769">
        <f t="shared" si="1510"/>
        <v>0</v>
      </c>
      <c r="DT769">
        <f t="shared" si="1510"/>
        <v>0</v>
      </c>
      <c r="DU769">
        <f t="shared" si="1510"/>
        <v>0</v>
      </c>
      <c r="DV769">
        <f t="shared" si="1510"/>
        <v>0</v>
      </c>
      <c r="DW769">
        <f t="shared" si="1510"/>
        <v>0</v>
      </c>
      <c r="DX769">
        <f t="shared" si="1510"/>
        <v>0</v>
      </c>
      <c r="DY769">
        <f t="shared" si="1510"/>
        <v>0</v>
      </c>
      <c r="DZ769">
        <f t="shared" si="1510"/>
        <v>0</v>
      </c>
      <c r="EA769">
        <f t="shared" si="1511"/>
        <v>0</v>
      </c>
      <c r="EB769">
        <f t="shared" si="1511"/>
        <v>0</v>
      </c>
      <c r="EC769">
        <f t="shared" si="1511"/>
        <v>0</v>
      </c>
      <c r="ED769">
        <f t="shared" si="1511"/>
        <v>0</v>
      </c>
      <c r="EE769">
        <f t="shared" si="1511"/>
        <v>0</v>
      </c>
      <c r="EF769">
        <f t="shared" si="1511"/>
        <v>0</v>
      </c>
    </row>
    <row r="770" spans="1:136" ht="15.5">
      <c r="A770" s="90"/>
      <c r="B770" s="19"/>
      <c r="C770" s="94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18"/>
      <c r="AV770" s="18"/>
      <c r="AW770" s="18"/>
      <c r="AX770" s="18"/>
      <c r="AY770" s="18"/>
      <c r="AZ770" s="18"/>
      <c r="BA770" s="18"/>
      <c r="BB770" s="18"/>
      <c r="BC770" s="18"/>
      <c r="BD770" s="18"/>
      <c r="BE770" s="25"/>
      <c r="BF770" s="18"/>
      <c r="BG770" s="18"/>
      <c r="BH770" s="18"/>
      <c r="BI770" s="18"/>
      <c r="BJ770" s="113"/>
      <c r="BK770" s="113"/>
      <c r="BL770" s="113"/>
      <c r="BM770" s="18"/>
      <c r="BN770" s="18"/>
      <c r="BO770" s="18"/>
      <c r="BP770" s="2"/>
      <c r="BQ770" s="2"/>
      <c r="BR770" s="101"/>
    </row>
    <row r="771" spans="1:136" ht="15.5">
      <c r="A771" s="93">
        <v>96</v>
      </c>
      <c r="B771" s="52" t="s">
        <v>255</v>
      </c>
      <c r="C771" s="94">
        <v>3</v>
      </c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/>
      <c r="AV771" s="18"/>
      <c r="AW771" s="18"/>
      <c r="AX771" s="18"/>
      <c r="AY771" s="18"/>
      <c r="AZ771" s="18"/>
      <c r="BA771" s="18"/>
      <c r="BB771" s="18"/>
      <c r="BC771" s="18"/>
      <c r="BD771" s="18"/>
      <c r="BE771" s="25"/>
      <c r="BF771" s="18"/>
      <c r="BG771" s="18"/>
      <c r="BH771" s="18"/>
      <c r="BI771" s="18"/>
      <c r="BJ771" s="113"/>
      <c r="BK771" s="113"/>
      <c r="BL771" s="113"/>
      <c r="BM771" s="18"/>
      <c r="BN771" s="18"/>
      <c r="BO771" s="18"/>
      <c r="BP771" s="2"/>
      <c r="BQ771" s="2"/>
      <c r="BR771" s="101"/>
    </row>
    <row r="772" spans="1:136" ht="15.5">
      <c r="A772" s="90"/>
      <c r="B772" s="19" t="s">
        <v>212</v>
      </c>
      <c r="C772" s="94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>
        <v>9</v>
      </c>
      <c r="AH772" s="18">
        <v>7</v>
      </c>
      <c r="AI772" s="18">
        <v>6</v>
      </c>
      <c r="AJ772" s="18">
        <f>6.9</f>
        <v>6.9</v>
      </c>
      <c r="AK772" s="18">
        <f>11</f>
        <v>11</v>
      </c>
      <c r="AL772" s="18">
        <f>13.5+0.3</f>
        <v>13.8</v>
      </c>
      <c r="AM772" s="18">
        <f>15.6+1.5</f>
        <v>17.100000000000001</v>
      </c>
      <c r="AN772" s="18">
        <v>17</v>
      </c>
      <c r="AO772" s="18">
        <v>17</v>
      </c>
      <c r="AP772" s="18">
        <v>1.2</v>
      </c>
      <c r="AQ772" s="18">
        <v>0</v>
      </c>
      <c r="AR772" s="18">
        <v>0</v>
      </c>
      <c r="AS772" s="18">
        <v>9</v>
      </c>
      <c r="AT772" s="18">
        <v>15</v>
      </c>
      <c r="AU772" s="18">
        <v>13</v>
      </c>
      <c r="AV772" s="18">
        <v>12</v>
      </c>
      <c r="AW772" s="18">
        <v>12</v>
      </c>
      <c r="AX772" s="18">
        <v>12</v>
      </c>
      <c r="AY772" s="18">
        <v>9.9</v>
      </c>
      <c r="AZ772" s="18">
        <v>22.3</v>
      </c>
      <c r="BA772" s="18">
        <v>0</v>
      </c>
      <c r="BB772" s="18">
        <v>0</v>
      </c>
      <c r="BC772" s="18">
        <v>0</v>
      </c>
      <c r="BD772" s="18">
        <v>0</v>
      </c>
      <c r="BE772" s="25">
        <v>0</v>
      </c>
      <c r="BF772" s="18">
        <v>0</v>
      </c>
      <c r="BG772" s="18">
        <v>0</v>
      </c>
      <c r="BH772" s="18">
        <v>0</v>
      </c>
      <c r="BI772" s="18">
        <v>0</v>
      </c>
      <c r="BJ772" s="113">
        <v>0</v>
      </c>
      <c r="BK772" s="113">
        <v>0</v>
      </c>
      <c r="BL772" s="113">
        <v>0</v>
      </c>
      <c r="BM772" s="18">
        <v>0</v>
      </c>
      <c r="BN772" s="18">
        <v>0</v>
      </c>
      <c r="BO772" s="18">
        <v>0</v>
      </c>
      <c r="BP772" s="18">
        <v>0</v>
      </c>
      <c r="BQ772" s="18">
        <v>0</v>
      </c>
      <c r="BR772" s="101"/>
    </row>
    <row r="773" spans="1:136" ht="15.5">
      <c r="A773" s="90"/>
      <c r="B773" s="19"/>
      <c r="C773" s="9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  <c r="AH773" s="34"/>
      <c r="AI773" s="34"/>
      <c r="AJ773" s="34"/>
      <c r="AK773" s="34"/>
      <c r="AL773" s="34"/>
      <c r="AM773" s="34"/>
      <c r="AN773" s="34"/>
      <c r="AO773" s="34"/>
      <c r="AP773" s="34"/>
      <c r="AQ773" s="34"/>
      <c r="AR773" s="34"/>
      <c r="AS773" s="34"/>
      <c r="AT773" s="34"/>
      <c r="AU773" s="34"/>
      <c r="AV773" s="34"/>
      <c r="AW773" s="34"/>
      <c r="AX773" s="34"/>
      <c r="AY773" s="34"/>
      <c r="AZ773" s="34"/>
      <c r="BA773" s="34"/>
      <c r="BB773" s="34"/>
      <c r="BC773" s="34"/>
      <c r="BD773" s="34"/>
      <c r="BE773" s="42"/>
      <c r="BF773" s="18"/>
      <c r="BG773" s="34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101"/>
    </row>
    <row r="774" spans="1:136" ht="15.5">
      <c r="A774" s="93">
        <v>97</v>
      </c>
      <c r="B774" s="52" t="s">
        <v>103</v>
      </c>
      <c r="C774" s="94">
        <v>3</v>
      </c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>
        <f t="shared" ref="AI774:BQ774" si="1512">SUM(AI775:AI779)</f>
        <v>0</v>
      </c>
      <c r="AJ774" s="22">
        <f t="shared" si="1512"/>
        <v>0</v>
      </c>
      <c r="AK774" s="22">
        <f t="shared" si="1512"/>
        <v>5.8684194000000005</v>
      </c>
      <c r="AL774" s="22">
        <f t="shared" si="1512"/>
        <v>24.986306800000001</v>
      </c>
      <c r="AM774" s="22">
        <f t="shared" si="1512"/>
        <v>46.752574800000005</v>
      </c>
      <c r="AN774" s="22">
        <f t="shared" si="1512"/>
        <v>119.6389586</v>
      </c>
      <c r="AO774" s="22">
        <f t="shared" si="1512"/>
        <v>16.119835399999999</v>
      </c>
      <c r="AP774" s="22">
        <f t="shared" si="1512"/>
        <v>104.6279299</v>
      </c>
      <c r="AQ774" s="22">
        <f t="shared" si="1512"/>
        <v>239.37443340000002</v>
      </c>
      <c r="AR774" s="22">
        <f t="shared" si="1512"/>
        <v>132.74153369999999</v>
      </c>
      <c r="AS774" s="22">
        <f t="shared" si="1512"/>
        <v>40.4957268</v>
      </c>
      <c r="AT774" s="22">
        <f t="shared" si="1512"/>
        <v>134.3135418</v>
      </c>
      <c r="AU774" s="22">
        <f t="shared" si="1512"/>
        <v>124.68651309999998</v>
      </c>
      <c r="AV774" s="22">
        <f t="shared" si="1512"/>
        <v>155.785213</v>
      </c>
      <c r="AW774" s="22">
        <f t="shared" si="1512"/>
        <v>134.00958130000001</v>
      </c>
      <c r="AX774" s="22">
        <f t="shared" si="1512"/>
        <v>243.23309659999998</v>
      </c>
      <c r="AY774" s="22">
        <f t="shared" si="1512"/>
        <v>28.333570799999997</v>
      </c>
      <c r="AZ774" s="22">
        <f t="shared" si="1512"/>
        <v>27.911994699999997</v>
      </c>
      <c r="BA774" s="22">
        <f t="shared" si="1512"/>
        <v>0</v>
      </c>
      <c r="BB774" s="22">
        <f t="shared" si="1512"/>
        <v>0</v>
      </c>
      <c r="BC774" s="22">
        <f t="shared" si="1512"/>
        <v>0</v>
      </c>
      <c r="BD774" s="22">
        <f t="shared" si="1512"/>
        <v>0</v>
      </c>
      <c r="BE774" s="22">
        <f t="shared" si="1512"/>
        <v>0</v>
      </c>
      <c r="BF774" s="22">
        <f t="shared" si="1512"/>
        <v>0</v>
      </c>
      <c r="BG774" s="22">
        <f t="shared" si="1512"/>
        <v>0</v>
      </c>
      <c r="BH774" s="22">
        <f t="shared" si="1512"/>
        <v>0</v>
      </c>
      <c r="BI774" s="22">
        <f t="shared" si="1512"/>
        <v>0</v>
      </c>
      <c r="BJ774" s="22">
        <f t="shared" si="1512"/>
        <v>0</v>
      </c>
      <c r="BK774" s="22">
        <f t="shared" si="1512"/>
        <v>0</v>
      </c>
      <c r="BL774" s="22">
        <f t="shared" si="1512"/>
        <v>0</v>
      </c>
      <c r="BM774" s="22">
        <f t="shared" si="1512"/>
        <v>0</v>
      </c>
      <c r="BN774" s="22">
        <f t="shared" si="1512"/>
        <v>9</v>
      </c>
      <c r="BO774" s="22">
        <f t="shared" si="1512"/>
        <v>9</v>
      </c>
      <c r="BP774" s="22">
        <f t="shared" si="1512"/>
        <v>9</v>
      </c>
      <c r="BQ774" s="22">
        <f t="shared" si="1512"/>
        <v>0</v>
      </c>
      <c r="BR774" s="101"/>
      <c r="BS774">
        <f t="shared" ref="BS774:CB775" si="1513">IF($C774&lt;&gt;"",IF(D774&gt;0,1,0),0)</f>
        <v>0</v>
      </c>
      <c r="BT774">
        <f t="shared" si="1513"/>
        <v>0</v>
      </c>
      <c r="BU774">
        <f t="shared" si="1513"/>
        <v>0</v>
      </c>
      <c r="BV774">
        <f t="shared" si="1513"/>
        <v>0</v>
      </c>
      <c r="BW774">
        <f t="shared" si="1513"/>
        <v>0</v>
      </c>
      <c r="BX774">
        <f t="shared" si="1513"/>
        <v>0</v>
      </c>
      <c r="BY774">
        <f t="shared" si="1513"/>
        <v>0</v>
      </c>
      <c r="BZ774">
        <f t="shared" si="1513"/>
        <v>0</v>
      </c>
      <c r="CA774">
        <f t="shared" si="1513"/>
        <v>0</v>
      </c>
      <c r="CB774">
        <f t="shared" si="1513"/>
        <v>0</v>
      </c>
      <c r="CC774">
        <f t="shared" ref="CC774:CL775" si="1514">IF($C774&lt;&gt;"",IF(N774&gt;0,1,0),0)</f>
        <v>0</v>
      </c>
      <c r="CD774">
        <f t="shared" si="1514"/>
        <v>0</v>
      </c>
      <c r="CE774">
        <f t="shared" si="1514"/>
        <v>0</v>
      </c>
      <c r="CF774">
        <f t="shared" si="1514"/>
        <v>0</v>
      </c>
      <c r="CG774">
        <f t="shared" si="1514"/>
        <v>0</v>
      </c>
      <c r="CH774">
        <f t="shared" si="1514"/>
        <v>0</v>
      </c>
      <c r="CI774">
        <f t="shared" si="1514"/>
        <v>0</v>
      </c>
      <c r="CJ774">
        <f t="shared" si="1514"/>
        <v>0</v>
      </c>
      <c r="CK774">
        <f t="shared" si="1514"/>
        <v>0</v>
      </c>
      <c r="CL774">
        <f t="shared" si="1514"/>
        <v>0</v>
      </c>
      <c r="CM774">
        <f t="shared" ref="CM774:CV775" si="1515">IF($C774&lt;&gt;"",IF(X774&gt;0,1,0),0)</f>
        <v>0</v>
      </c>
      <c r="CN774">
        <f t="shared" si="1515"/>
        <v>0</v>
      </c>
      <c r="CO774">
        <f t="shared" si="1515"/>
        <v>0</v>
      </c>
      <c r="CP774">
        <f t="shared" si="1515"/>
        <v>0</v>
      </c>
      <c r="CQ774">
        <f t="shared" si="1515"/>
        <v>0</v>
      </c>
      <c r="CR774">
        <f t="shared" si="1515"/>
        <v>0</v>
      </c>
      <c r="CS774">
        <f t="shared" si="1515"/>
        <v>0</v>
      </c>
      <c r="CT774">
        <f t="shared" si="1515"/>
        <v>0</v>
      </c>
      <c r="CU774">
        <f t="shared" si="1515"/>
        <v>0</v>
      </c>
      <c r="CV774">
        <f t="shared" si="1515"/>
        <v>0</v>
      </c>
      <c r="CW774">
        <f t="shared" ref="CW774:DF775" si="1516">IF($C774&lt;&gt;"",IF(AH774&gt;0,1,0),0)</f>
        <v>0</v>
      </c>
      <c r="CX774">
        <f t="shared" si="1516"/>
        <v>0</v>
      </c>
      <c r="CY774">
        <f t="shared" si="1516"/>
        <v>0</v>
      </c>
      <c r="CZ774">
        <f t="shared" si="1516"/>
        <v>1</v>
      </c>
      <c r="DA774">
        <f t="shared" si="1516"/>
        <v>1</v>
      </c>
      <c r="DB774">
        <f t="shared" si="1516"/>
        <v>1</v>
      </c>
      <c r="DC774">
        <f t="shared" si="1516"/>
        <v>1</v>
      </c>
      <c r="DD774">
        <f t="shared" si="1516"/>
        <v>1</v>
      </c>
      <c r="DE774">
        <f t="shared" si="1516"/>
        <v>1</v>
      </c>
      <c r="DF774">
        <f t="shared" si="1516"/>
        <v>1</v>
      </c>
      <c r="DG774">
        <f t="shared" ref="DG774:DP775" si="1517">IF($C774&lt;&gt;"",IF(AR774&gt;0,1,0),0)</f>
        <v>1</v>
      </c>
      <c r="DH774">
        <f t="shared" si="1517"/>
        <v>1</v>
      </c>
      <c r="DI774">
        <f t="shared" si="1517"/>
        <v>1</v>
      </c>
      <c r="DJ774">
        <f t="shared" si="1517"/>
        <v>1</v>
      </c>
      <c r="DK774">
        <f t="shared" si="1517"/>
        <v>1</v>
      </c>
      <c r="DL774">
        <f t="shared" si="1517"/>
        <v>1</v>
      </c>
      <c r="DM774">
        <f t="shared" si="1517"/>
        <v>1</v>
      </c>
      <c r="DN774">
        <f t="shared" si="1517"/>
        <v>1</v>
      </c>
      <c r="DO774">
        <f t="shared" si="1517"/>
        <v>1</v>
      </c>
      <c r="DP774">
        <f t="shared" si="1517"/>
        <v>0</v>
      </c>
      <c r="DQ774">
        <f t="shared" ref="DQ774:DZ775" si="1518">IF($C774&lt;&gt;"",IF(BB774&gt;0,1,0),0)</f>
        <v>0</v>
      </c>
      <c r="DR774">
        <f t="shared" si="1518"/>
        <v>0</v>
      </c>
      <c r="DS774">
        <f t="shared" si="1518"/>
        <v>0</v>
      </c>
      <c r="DT774">
        <f t="shared" si="1518"/>
        <v>0</v>
      </c>
      <c r="DU774">
        <f t="shared" si="1518"/>
        <v>0</v>
      </c>
      <c r="DV774">
        <f t="shared" si="1518"/>
        <v>0</v>
      </c>
      <c r="DW774">
        <f t="shared" si="1518"/>
        <v>0</v>
      </c>
      <c r="DX774">
        <f t="shared" si="1518"/>
        <v>0</v>
      </c>
      <c r="DY774">
        <f t="shared" si="1518"/>
        <v>0</v>
      </c>
      <c r="DZ774">
        <f t="shared" si="1518"/>
        <v>0</v>
      </c>
      <c r="EA774">
        <f t="shared" ref="EA774:EF775" si="1519">IF($C774&lt;&gt;"",IF(BL774&gt;0,1,0),0)</f>
        <v>0</v>
      </c>
      <c r="EB774">
        <f t="shared" si="1519"/>
        <v>0</v>
      </c>
      <c r="EC774">
        <f t="shared" si="1519"/>
        <v>1</v>
      </c>
      <c r="ED774">
        <f t="shared" si="1519"/>
        <v>1</v>
      </c>
      <c r="EE774">
        <f t="shared" si="1519"/>
        <v>1</v>
      </c>
      <c r="EF774">
        <f t="shared" si="1519"/>
        <v>0</v>
      </c>
    </row>
    <row r="775" spans="1:136" ht="15.5">
      <c r="A775" s="90"/>
      <c r="B775" s="19" t="s">
        <v>2</v>
      </c>
      <c r="C775" s="94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18">
        <v>0</v>
      </c>
      <c r="AJ775" s="147">
        <v>0</v>
      </c>
      <c r="AK775" s="147">
        <v>0</v>
      </c>
      <c r="AL775" s="147">
        <v>0</v>
      </c>
      <c r="AM775" s="147">
        <v>0</v>
      </c>
      <c r="AN775" s="147">
        <v>0</v>
      </c>
      <c r="AO775" s="147">
        <v>0</v>
      </c>
      <c r="AP775" s="147">
        <v>0</v>
      </c>
      <c r="AQ775" s="147">
        <v>0</v>
      </c>
      <c r="AR775" s="147">
        <v>0</v>
      </c>
      <c r="AS775" s="147">
        <v>0</v>
      </c>
      <c r="AT775" s="147">
        <v>0</v>
      </c>
      <c r="AU775" s="147">
        <v>0</v>
      </c>
      <c r="AV775" s="147">
        <v>0</v>
      </c>
      <c r="AW775" s="185" t="s">
        <v>16</v>
      </c>
      <c r="AX775" s="18">
        <v>151.1</v>
      </c>
      <c r="AY775" s="18">
        <v>0</v>
      </c>
      <c r="AZ775" s="18">
        <v>0</v>
      </c>
      <c r="BA775" s="18">
        <v>0</v>
      </c>
      <c r="BB775" s="18">
        <v>0</v>
      </c>
      <c r="BC775" s="18">
        <v>0</v>
      </c>
      <c r="BD775" s="18">
        <v>0</v>
      </c>
      <c r="BE775" s="18">
        <v>0</v>
      </c>
      <c r="BF775" s="18">
        <v>0</v>
      </c>
      <c r="BG775" s="18">
        <v>0</v>
      </c>
      <c r="BH775" s="113">
        <v>0</v>
      </c>
      <c r="BI775" s="113">
        <v>0</v>
      </c>
      <c r="BJ775" s="113">
        <v>0</v>
      </c>
      <c r="BK775" s="113">
        <v>0</v>
      </c>
      <c r="BL775" s="113">
        <v>0</v>
      </c>
      <c r="BM775" s="113">
        <v>0</v>
      </c>
      <c r="BN775" s="113">
        <v>0</v>
      </c>
      <c r="BO775" s="113">
        <v>0</v>
      </c>
      <c r="BP775" s="113">
        <v>0</v>
      </c>
      <c r="BQ775" s="113">
        <v>0</v>
      </c>
      <c r="BR775" s="101"/>
      <c r="BS775">
        <f t="shared" si="1513"/>
        <v>0</v>
      </c>
      <c r="BT775">
        <f t="shared" si="1513"/>
        <v>0</v>
      </c>
      <c r="BU775">
        <f t="shared" si="1513"/>
        <v>0</v>
      </c>
      <c r="BV775">
        <f t="shared" si="1513"/>
        <v>0</v>
      </c>
      <c r="BW775">
        <f t="shared" si="1513"/>
        <v>0</v>
      </c>
      <c r="BX775">
        <f t="shared" si="1513"/>
        <v>0</v>
      </c>
      <c r="BY775">
        <f t="shared" si="1513"/>
        <v>0</v>
      </c>
      <c r="BZ775">
        <f t="shared" si="1513"/>
        <v>0</v>
      </c>
      <c r="CA775">
        <f t="shared" si="1513"/>
        <v>0</v>
      </c>
      <c r="CB775">
        <f t="shared" si="1513"/>
        <v>0</v>
      </c>
      <c r="CC775">
        <f t="shared" si="1514"/>
        <v>0</v>
      </c>
      <c r="CD775">
        <f t="shared" si="1514"/>
        <v>0</v>
      </c>
      <c r="CE775">
        <f t="shared" si="1514"/>
        <v>0</v>
      </c>
      <c r="CF775">
        <f t="shared" si="1514"/>
        <v>0</v>
      </c>
      <c r="CG775">
        <f t="shared" si="1514"/>
        <v>0</v>
      </c>
      <c r="CH775">
        <f t="shared" si="1514"/>
        <v>0</v>
      </c>
      <c r="CI775">
        <f t="shared" si="1514"/>
        <v>0</v>
      </c>
      <c r="CJ775">
        <f t="shared" si="1514"/>
        <v>0</v>
      </c>
      <c r="CK775">
        <f t="shared" si="1514"/>
        <v>0</v>
      </c>
      <c r="CL775">
        <f t="shared" si="1514"/>
        <v>0</v>
      </c>
      <c r="CM775">
        <f t="shared" si="1515"/>
        <v>0</v>
      </c>
      <c r="CN775">
        <f t="shared" si="1515"/>
        <v>0</v>
      </c>
      <c r="CO775">
        <f t="shared" si="1515"/>
        <v>0</v>
      </c>
      <c r="CP775">
        <f t="shared" si="1515"/>
        <v>0</v>
      </c>
      <c r="CQ775">
        <f t="shared" si="1515"/>
        <v>0</v>
      </c>
      <c r="CR775">
        <f t="shared" si="1515"/>
        <v>0</v>
      </c>
      <c r="CS775">
        <f t="shared" si="1515"/>
        <v>0</v>
      </c>
      <c r="CT775">
        <f t="shared" si="1515"/>
        <v>0</v>
      </c>
      <c r="CU775">
        <f t="shared" si="1515"/>
        <v>0</v>
      </c>
      <c r="CV775">
        <f t="shared" si="1515"/>
        <v>0</v>
      </c>
      <c r="CW775">
        <f t="shared" si="1516"/>
        <v>0</v>
      </c>
      <c r="CX775">
        <f t="shared" si="1516"/>
        <v>0</v>
      </c>
      <c r="CY775">
        <f t="shared" si="1516"/>
        <v>0</v>
      </c>
      <c r="CZ775">
        <f t="shared" si="1516"/>
        <v>0</v>
      </c>
      <c r="DA775">
        <f t="shared" si="1516"/>
        <v>0</v>
      </c>
      <c r="DB775">
        <f t="shared" si="1516"/>
        <v>0</v>
      </c>
      <c r="DC775">
        <f t="shared" si="1516"/>
        <v>0</v>
      </c>
      <c r="DD775">
        <f t="shared" si="1516"/>
        <v>0</v>
      </c>
      <c r="DE775">
        <f t="shared" si="1516"/>
        <v>0</v>
      </c>
      <c r="DF775">
        <f t="shared" si="1516"/>
        <v>0</v>
      </c>
      <c r="DG775">
        <f t="shared" si="1517"/>
        <v>0</v>
      </c>
      <c r="DH775">
        <f t="shared" si="1517"/>
        <v>0</v>
      </c>
      <c r="DI775">
        <f t="shared" si="1517"/>
        <v>0</v>
      </c>
      <c r="DJ775">
        <f t="shared" si="1517"/>
        <v>0</v>
      </c>
      <c r="DK775">
        <f t="shared" si="1517"/>
        <v>0</v>
      </c>
      <c r="DL775">
        <f t="shared" si="1517"/>
        <v>0</v>
      </c>
      <c r="DM775">
        <f t="shared" si="1517"/>
        <v>0</v>
      </c>
      <c r="DN775">
        <f t="shared" si="1517"/>
        <v>0</v>
      </c>
      <c r="DO775">
        <f t="shared" si="1517"/>
        <v>0</v>
      </c>
      <c r="DP775">
        <f t="shared" si="1517"/>
        <v>0</v>
      </c>
      <c r="DQ775">
        <f t="shared" si="1518"/>
        <v>0</v>
      </c>
      <c r="DR775">
        <f t="shared" si="1518"/>
        <v>0</v>
      </c>
      <c r="DS775">
        <f t="shared" si="1518"/>
        <v>0</v>
      </c>
      <c r="DT775">
        <f t="shared" si="1518"/>
        <v>0</v>
      </c>
      <c r="DU775">
        <f t="shared" si="1518"/>
        <v>0</v>
      </c>
      <c r="DV775">
        <f t="shared" si="1518"/>
        <v>0</v>
      </c>
      <c r="DW775">
        <f t="shared" si="1518"/>
        <v>0</v>
      </c>
      <c r="DX775">
        <f t="shared" si="1518"/>
        <v>0</v>
      </c>
      <c r="DY775">
        <f t="shared" si="1518"/>
        <v>0</v>
      </c>
      <c r="DZ775">
        <f t="shared" si="1518"/>
        <v>0</v>
      </c>
      <c r="EA775">
        <f t="shared" si="1519"/>
        <v>0</v>
      </c>
      <c r="EB775">
        <f t="shared" si="1519"/>
        <v>0</v>
      </c>
      <c r="EC775">
        <f t="shared" si="1519"/>
        <v>0</v>
      </c>
      <c r="ED775">
        <f t="shared" si="1519"/>
        <v>0</v>
      </c>
      <c r="EE775">
        <f t="shared" si="1519"/>
        <v>0</v>
      </c>
      <c r="EF775">
        <f t="shared" si="1519"/>
        <v>0</v>
      </c>
    </row>
    <row r="776" spans="1:136" ht="15.5">
      <c r="A776" s="90"/>
      <c r="B776" s="53" t="s">
        <v>205</v>
      </c>
      <c r="C776" s="94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18">
        <v>0</v>
      </c>
      <c r="AJ776" s="18">
        <v>0</v>
      </c>
      <c r="AK776" s="18">
        <v>0</v>
      </c>
      <c r="AL776" s="18">
        <v>7.6957700000000004E-2</v>
      </c>
      <c r="AM776" s="18">
        <v>0.15028739999999999</v>
      </c>
      <c r="AN776" s="18">
        <v>0.26547929999999997</v>
      </c>
      <c r="AO776" s="18">
        <v>0.48841770000000001</v>
      </c>
      <c r="AP776" s="18">
        <v>0.50792990000000005</v>
      </c>
      <c r="AQ776" s="18">
        <v>0.41826179999999996</v>
      </c>
      <c r="AR776" s="18">
        <v>0.50800979999999996</v>
      </c>
      <c r="AS776" s="18">
        <v>0.50803920000000002</v>
      </c>
      <c r="AT776" s="147">
        <v>0</v>
      </c>
      <c r="AU776" s="147">
        <v>0</v>
      </c>
      <c r="AV776" s="147">
        <v>0</v>
      </c>
      <c r="AW776" s="147">
        <v>0</v>
      </c>
      <c r="AX776" s="147">
        <v>0</v>
      </c>
      <c r="AY776" s="147">
        <v>0</v>
      </c>
      <c r="AZ776" s="147">
        <v>0</v>
      </c>
      <c r="BA776" s="147">
        <v>0</v>
      </c>
      <c r="BB776" s="147">
        <v>0</v>
      </c>
      <c r="BC776" s="147">
        <v>0</v>
      </c>
      <c r="BD776" s="147">
        <v>0</v>
      </c>
      <c r="BE776" s="147">
        <v>0</v>
      </c>
      <c r="BF776" s="147">
        <v>0</v>
      </c>
      <c r="BG776" s="147">
        <v>0</v>
      </c>
      <c r="BH776" s="147">
        <v>0</v>
      </c>
      <c r="BI776" s="147">
        <v>0</v>
      </c>
      <c r="BJ776" s="147">
        <v>0</v>
      </c>
      <c r="BK776" s="147">
        <v>0</v>
      </c>
      <c r="BL776" s="147">
        <v>0</v>
      </c>
      <c r="BM776" s="147">
        <v>0</v>
      </c>
      <c r="BN776" s="147">
        <v>0</v>
      </c>
      <c r="BO776" s="147">
        <v>0</v>
      </c>
      <c r="BP776" s="113">
        <v>0</v>
      </c>
      <c r="BQ776" s="113">
        <v>0</v>
      </c>
      <c r="BR776" s="101"/>
    </row>
    <row r="777" spans="1:136" ht="15.5">
      <c r="A777" s="90"/>
      <c r="B777" s="19" t="s">
        <v>3</v>
      </c>
      <c r="C777" s="94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>
        <v>0</v>
      </c>
      <c r="AJ777" s="18">
        <v>0</v>
      </c>
      <c r="AK777" s="18">
        <v>5.8684194000000005</v>
      </c>
      <c r="AL777" s="18">
        <v>24.9093491</v>
      </c>
      <c r="AM777" s="18">
        <v>46.602287400000002</v>
      </c>
      <c r="AN777" s="18">
        <v>119.3734793</v>
      </c>
      <c r="AO777" s="18">
        <v>15.6314177</v>
      </c>
      <c r="AP777" s="18">
        <f>58.6019299-AP776</f>
        <v>58.094000000000001</v>
      </c>
      <c r="AQ777" s="18">
        <v>221.9019523</v>
      </c>
      <c r="AR777" s="18">
        <f>90.9958159-AR776</f>
        <v>90.4878061</v>
      </c>
      <c r="AS777" s="18">
        <f>8.4697393-AS776</f>
        <v>7.9617001000000007</v>
      </c>
      <c r="AT777" s="18">
        <v>26.310835900000001</v>
      </c>
      <c r="AU777" s="18">
        <v>37.153865099999997</v>
      </c>
      <c r="AV777" s="18">
        <v>40.785212999999999</v>
      </c>
      <c r="AW777" s="18">
        <v>52.219018200000001</v>
      </c>
      <c r="AX777" s="115" t="s">
        <v>16</v>
      </c>
      <c r="AY777" s="18">
        <v>28.333570799999997</v>
      </c>
      <c r="AZ777" s="18">
        <v>27.911994699999997</v>
      </c>
      <c r="BA777" s="18">
        <v>0</v>
      </c>
      <c r="BB777" s="18">
        <v>0</v>
      </c>
      <c r="BC777" s="18">
        <v>0</v>
      </c>
      <c r="BD777" s="18">
        <v>0</v>
      </c>
      <c r="BE777" s="25">
        <v>0</v>
      </c>
      <c r="BF777" s="18">
        <v>0</v>
      </c>
      <c r="BG777" s="18">
        <v>0</v>
      </c>
      <c r="BH777" s="113">
        <v>0</v>
      </c>
      <c r="BI777" s="113">
        <v>0</v>
      </c>
      <c r="BJ777" s="113">
        <v>0</v>
      </c>
      <c r="BK777" s="113">
        <v>0</v>
      </c>
      <c r="BL777" s="113">
        <v>0</v>
      </c>
      <c r="BM777" s="113">
        <v>0</v>
      </c>
      <c r="BN777" s="113">
        <v>9</v>
      </c>
      <c r="BO777" s="113">
        <v>9</v>
      </c>
      <c r="BP777" s="113">
        <v>9</v>
      </c>
      <c r="BQ777" s="113">
        <v>0</v>
      </c>
      <c r="BR777" s="101"/>
      <c r="BS777">
        <f t="shared" ref="BS777:CB780" si="1520">IF($C777&lt;&gt;"",IF(D777&gt;0,1,0),0)</f>
        <v>0</v>
      </c>
      <c r="BT777">
        <f t="shared" si="1520"/>
        <v>0</v>
      </c>
      <c r="BU777">
        <f t="shared" si="1520"/>
        <v>0</v>
      </c>
      <c r="BV777">
        <f t="shared" si="1520"/>
        <v>0</v>
      </c>
      <c r="BW777">
        <f t="shared" si="1520"/>
        <v>0</v>
      </c>
      <c r="BX777">
        <f t="shared" si="1520"/>
        <v>0</v>
      </c>
      <c r="BY777">
        <f t="shared" si="1520"/>
        <v>0</v>
      </c>
      <c r="BZ777">
        <f t="shared" si="1520"/>
        <v>0</v>
      </c>
      <c r="CA777">
        <f t="shared" si="1520"/>
        <v>0</v>
      </c>
      <c r="CB777">
        <f t="shared" si="1520"/>
        <v>0</v>
      </c>
      <c r="CC777">
        <f t="shared" ref="CC777:CL780" si="1521">IF($C777&lt;&gt;"",IF(N777&gt;0,1,0),0)</f>
        <v>0</v>
      </c>
      <c r="CD777">
        <f t="shared" si="1521"/>
        <v>0</v>
      </c>
      <c r="CE777">
        <f t="shared" si="1521"/>
        <v>0</v>
      </c>
      <c r="CF777">
        <f t="shared" si="1521"/>
        <v>0</v>
      </c>
      <c r="CG777">
        <f t="shared" si="1521"/>
        <v>0</v>
      </c>
      <c r="CH777">
        <f t="shared" si="1521"/>
        <v>0</v>
      </c>
      <c r="CI777">
        <f t="shared" si="1521"/>
        <v>0</v>
      </c>
      <c r="CJ777">
        <f t="shared" si="1521"/>
        <v>0</v>
      </c>
      <c r="CK777">
        <f t="shared" si="1521"/>
        <v>0</v>
      </c>
      <c r="CL777">
        <f t="shared" si="1521"/>
        <v>0</v>
      </c>
      <c r="CM777">
        <f t="shared" ref="CM777:CV780" si="1522">IF($C777&lt;&gt;"",IF(X777&gt;0,1,0),0)</f>
        <v>0</v>
      </c>
      <c r="CN777">
        <f t="shared" si="1522"/>
        <v>0</v>
      </c>
      <c r="CO777">
        <f t="shared" si="1522"/>
        <v>0</v>
      </c>
      <c r="CP777">
        <f t="shared" si="1522"/>
        <v>0</v>
      </c>
      <c r="CQ777">
        <f t="shared" si="1522"/>
        <v>0</v>
      </c>
      <c r="CR777">
        <f t="shared" si="1522"/>
        <v>0</v>
      </c>
      <c r="CS777">
        <f t="shared" si="1522"/>
        <v>0</v>
      </c>
      <c r="CT777">
        <f t="shared" si="1522"/>
        <v>0</v>
      </c>
      <c r="CU777">
        <f t="shared" si="1522"/>
        <v>0</v>
      </c>
      <c r="CV777">
        <f t="shared" si="1522"/>
        <v>0</v>
      </c>
      <c r="CW777">
        <f t="shared" ref="CW777:DF780" si="1523">IF($C777&lt;&gt;"",IF(AH777&gt;0,1,0),0)</f>
        <v>0</v>
      </c>
      <c r="CX777">
        <f t="shared" si="1523"/>
        <v>0</v>
      </c>
      <c r="CY777">
        <f t="shared" si="1523"/>
        <v>0</v>
      </c>
      <c r="CZ777">
        <f t="shared" si="1523"/>
        <v>0</v>
      </c>
      <c r="DA777">
        <f t="shared" si="1523"/>
        <v>0</v>
      </c>
      <c r="DB777">
        <f t="shared" si="1523"/>
        <v>0</v>
      </c>
      <c r="DC777">
        <f t="shared" si="1523"/>
        <v>0</v>
      </c>
      <c r="DD777">
        <f t="shared" si="1523"/>
        <v>0</v>
      </c>
      <c r="DE777">
        <f t="shared" si="1523"/>
        <v>0</v>
      </c>
      <c r="DF777">
        <f t="shared" si="1523"/>
        <v>0</v>
      </c>
      <c r="DG777">
        <f t="shared" ref="DG777:DP780" si="1524">IF($C777&lt;&gt;"",IF(AR777&gt;0,1,0),0)</f>
        <v>0</v>
      </c>
      <c r="DH777">
        <f t="shared" si="1524"/>
        <v>0</v>
      </c>
      <c r="DI777">
        <f t="shared" si="1524"/>
        <v>0</v>
      </c>
      <c r="DJ777">
        <f t="shared" si="1524"/>
        <v>0</v>
      </c>
      <c r="DK777">
        <f t="shared" si="1524"/>
        <v>0</v>
      </c>
      <c r="DL777">
        <f t="shared" si="1524"/>
        <v>0</v>
      </c>
      <c r="DM777">
        <f t="shared" si="1524"/>
        <v>0</v>
      </c>
      <c r="DN777">
        <f t="shared" si="1524"/>
        <v>0</v>
      </c>
      <c r="DO777">
        <f t="shared" si="1524"/>
        <v>0</v>
      </c>
      <c r="DP777">
        <f t="shared" si="1524"/>
        <v>0</v>
      </c>
      <c r="DQ777">
        <f t="shared" ref="DQ777:DZ780" si="1525">IF($C777&lt;&gt;"",IF(BB777&gt;0,1,0),0)</f>
        <v>0</v>
      </c>
      <c r="DR777">
        <f t="shared" si="1525"/>
        <v>0</v>
      </c>
      <c r="DS777">
        <f t="shared" si="1525"/>
        <v>0</v>
      </c>
      <c r="DT777">
        <f t="shared" si="1525"/>
        <v>0</v>
      </c>
      <c r="DU777">
        <f t="shared" si="1525"/>
        <v>0</v>
      </c>
      <c r="DV777">
        <f t="shared" si="1525"/>
        <v>0</v>
      </c>
      <c r="DW777">
        <f t="shared" si="1525"/>
        <v>0</v>
      </c>
      <c r="DX777">
        <f t="shared" si="1525"/>
        <v>0</v>
      </c>
      <c r="DY777">
        <f t="shared" si="1525"/>
        <v>0</v>
      </c>
      <c r="DZ777">
        <f t="shared" si="1525"/>
        <v>0</v>
      </c>
      <c r="EA777">
        <f t="shared" ref="EA777:EF780" si="1526">IF($C777&lt;&gt;"",IF(BL777&gt;0,1,0),0)</f>
        <v>0</v>
      </c>
      <c r="EB777">
        <f t="shared" si="1526"/>
        <v>0</v>
      </c>
      <c r="EC777">
        <f t="shared" si="1526"/>
        <v>0</v>
      </c>
      <c r="ED777">
        <f t="shared" si="1526"/>
        <v>0</v>
      </c>
      <c r="EE777">
        <f t="shared" si="1526"/>
        <v>0</v>
      </c>
      <c r="EF777">
        <f t="shared" si="1526"/>
        <v>0</v>
      </c>
    </row>
    <row r="778" spans="1:136" ht="15.5">
      <c r="A778" s="90"/>
      <c r="B778" s="53" t="s">
        <v>25</v>
      </c>
      <c r="C778" s="94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>
        <v>0</v>
      </c>
      <c r="AJ778" s="18">
        <v>0</v>
      </c>
      <c r="AK778" s="18">
        <v>0</v>
      </c>
      <c r="AL778" s="18">
        <v>0</v>
      </c>
      <c r="AM778" s="18">
        <v>0</v>
      </c>
      <c r="AN778" s="18">
        <v>0</v>
      </c>
      <c r="AO778" s="18">
        <v>0</v>
      </c>
      <c r="AP778" s="18">
        <v>30</v>
      </c>
      <c r="AQ778" s="18">
        <v>0</v>
      </c>
      <c r="AR778" s="18">
        <v>0</v>
      </c>
      <c r="AS778" s="18">
        <v>0</v>
      </c>
      <c r="AT778" s="18">
        <v>40</v>
      </c>
      <c r="AU778" s="18">
        <v>0</v>
      </c>
      <c r="AV778" s="18">
        <v>115</v>
      </c>
      <c r="AW778" s="18">
        <v>0</v>
      </c>
      <c r="AX778" s="18">
        <v>0</v>
      </c>
      <c r="AY778" s="18">
        <v>0</v>
      </c>
      <c r="AZ778" s="18">
        <v>0</v>
      </c>
      <c r="BA778" s="18">
        <v>0</v>
      </c>
      <c r="BB778" s="18">
        <v>0</v>
      </c>
      <c r="BC778" s="18">
        <v>0</v>
      </c>
      <c r="BD778" s="18">
        <v>0</v>
      </c>
      <c r="BE778" s="18">
        <v>0</v>
      </c>
      <c r="BF778" s="18">
        <v>0</v>
      </c>
      <c r="BG778" s="18">
        <v>0</v>
      </c>
      <c r="BH778" s="18">
        <v>0</v>
      </c>
      <c r="BI778" s="113">
        <v>0</v>
      </c>
      <c r="BJ778" s="113">
        <v>0</v>
      </c>
      <c r="BK778" s="113">
        <v>0</v>
      </c>
      <c r="BL778" s="113">
        <v>0</v>
      </c>
      <c r="BM778" s="113">
        <v>0</v>
      </c>
      <c r="BN778" s="113">
        <v>0</v>
      </c>
      <c r="BO778" s="113">
        <v>0</v>
      </c>
      <c r="BP778" s="113">
        <v>0</v>
      </c>
      <c r="BQ778" s="113">
        <v>0</v>
      </c>
      <c r="BR778" s="101"/>
      <c r="BS778">
        <f t="shared" si="1520"/>
        <v>0</v>
      </c>
      <c r="BT778">
        <f t="shared" si="1520"/>
        <v>0</v>
      </c>
      <c r="BU778">
        <f t="shared" si="1520"/>
        <v>0</v>
      </c>
      <c r="BV778">
        <f t="shared" si="1520"/>
        <v>0</v>
      </c>
      <c r="BW778">
        <f t="shared" si="1520"/>
        <v>0</v>
      </c>
      <c r="BX778">
        <f t="shared" si="1520"/>
        <v>0</v>
      </c>
      <c r="BY778">
        <f t="shared" si="1520"/>
        <v>0</v>
      </c>
      <c r="BZ778">
        <f t="shared" si="1520"/>
        <v>0</v>
      </c>
      <c r="CA778">
        <f t="shared" si="1520"/>
        <v>0</v>
      </c>
      <c r="CB778">
        <f t="shared" si="1520"/>
        <v>0</v>
      </c>
      <c r="CC778">
        <f t="shared" si="1521"/>
        <v>0</v>
      </c>
      <c r="CD778">
        <f t="shared" si="1521"/>
        <v>0</v>
      </c>
      <c r="CE778">
        <f t="shared" si="1521"/>
        <v>0</v>
      </c>
      <c r="CF778">
        <f t="shared" si="1521"/>
        <v>0</v>
      </c>
      <c r="CG778">
        <f t="shared" si="1521"/>
        <v>0</v>
      </c>
      <c r="CH778">
        <f t="shared" si="1521"/>
        <v>0</v>
      </c>
      <c r="CI778">
        <f t="shared" si="1521"/>
        <v>0</v>
      </c>
      <c r="CJ778">
        <f t="shared" si="1521"/>
        <v>0</v>
      </c>
      <c r="CK778">
        <f t="shared" si="1521"/>
        <v>0</v>
      </c>
      <c r="CL778">
        <f t="shared" si="1521"/>
        <v>0</v>
      </c>
      <c r="CM778">
        <f t="shared" si="1522"/>
        <v>0</v>
      </c>
      <c r="CN778">
        <f t="shared" si="1522"/>
        <v>0</v>
      </c>
      <c r="CO778">
        <f t="shared" si="1522"/>
        <v>0</v>
      </c>
      <c r="CP778">
        <f t="shared" si="1522"/>
        <v>0</v>
      </c>
      <c r="CQ778">
        <f t="shared" si="1522"/>
        <v>0</v>
      </c>
      <c r="CR778">
        <f t="shared" si="1522"/>
        <v>0</v>
      </c>
      <c r="CS778">
        <f t="shared" si="1522"/>
        <v>0</v>
      </c>
      <c r="CT778">
        <f t="shared" si="1522"/>
        <v>0</v>
      </c>
      <c r="CU778">
        <f t="shared" si="1522"/>
        <v>0</v>
      </c>
      <c r="CV778">
        <f t="shared" si="1522"/>
        <v>0</v>
      </c>
      <c r="CW778">
        <f t="shared" si="1523"/>
        <v>0</v>
      </c>
      <c r="CX778">
        <f t="shared" si="1523"/>
        <v>0</v>
      </c>
      <c r="CY778">
        <f t="shared" si="1523"/>
        <v>0</v>
      </c>
      <c r="CZ778">
        <f t="shared" si="1523"/>
        <v>0</v>
      </c>
      <c r="DA778">
        <f t="shared" si="1523"/>
        <v>0</v>
      </c>
      <c r="DB778">
        <f t="shared" si="1523"/>
        <v>0</v>
      </c>
      <c r="DC778">
        <f t="shared" si="1523"/>
        <v>0</v>
      </c>
      <c r="DD778">
        <f t="shared" si="1523"/>
        <v>0</v>
      </c>
      <c r="DE778">
        <f t="shared" si="1523"/>
        <v>0</v>
      </c>
      <c r="DF778">
        <f t="shared" si="1523"/>
        <v>0</v>
      </c>
      <c r="DG778">
        <f t="shared" si="1524"/>
        <v>0</v>
      </c>
      <c r="DH778">
        <f t="shared" si="1524"/>
        <v>0</v>
      </c>
      <c r="DI778">
        <f t="shared" si="1524"/>
        <v>0</v>
      </c>
      <c r="DJ778">
        <f t="shared" si="1524"/>
        <v>0</v>
      </c>
      <c r="DK778">
        <f t="shared" si="1524"/>
        <v>0</v>
      </c>
      <c r="DL778">
        <f t="shared" si="1524"/>
        <v>0</v>
      </c>
      <c r="DM778">
        <f t="shared" si="1524"/>
        <v>0</v>
      </c>
      <c r="DN778">
        <f t="shared" si="1524"/>
        <v>0</v>
      </c>
      <c r="DO778">
        <f t="shared" si="1524"/>
        <v>0</v>
      </c>
      <c r="DP778">
        <f t="shared" si="1524"/>
        <v>0</v>
      </c>
      <c r="DQ778">
        <f t="shared" si="1525"/>
        <v>0</v>
      </c>
      <c r="DR778">
        <f t="shared" si="1525"/>
        <v>0</v>
      </c>
      <c r="DS778">
        <f t="shared" si="1525"/>
        <v>0</v>
      </c>
      <c r="DT778">
        <f t="shared" si="1525"/>
        <v>0</v>
      </c>
      <c r="DU778">
        <f t="shared" si="1525"/>
        <v>0</v>
      </c>
      <c r="DV778">
        <f t="shared" si="1525"/>
        <v>0</v>
      </c>
      <c r="DW778">
        <f t="shared" si="1525"/>
        <v>0</v>
      </c>
      <c r="DX778">
        <f t="shared" si="1525"/>
        <v>0</v>
      </c>
      <c r="DY778">
        <f t="shared" si="1525"/>
        <v>0</v>
      </c>
      <c r="DZ778">
        <f t="shared" si="1525"/>
        <v>0</v>
      </c>
      <c r="EA778">
        <f t="shared" si="1526"/>
        <v>0</v>
      </c>
      <c r="EB778">
        <f t="shared" si="1526"/>
        <v>0</v>
      </c>
      <c r="EC778">
        <f t="shared" si="1526"/>
        <v>0</v>
      </c>
      <c r="ED778">
        <f t="shared" si="1526"/>
        <v>0</v>
      </c>
      <c r="EE778">
        <f t="shared" si="1526"/>
        <v>0</v>
      </c>
      <c r="EF778">
        <f t="shared" si="1526"/>
        <v>0</v>
      </c>
    </row>
    <row r="779" spans="1:136" ht="15.5">
      <c r="A779" s="90"/>
      <c r="B779" s="19" t="s">
        <v>208</v>
      </c>
      <c r="C779" s="9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  <c r="AH779" s="34"/>
      <c r="AI779" s="34">
        <v>0</v>
      </c>
      <c r="AJ779" s="34">
        <v>0</v>
      </c>
      <c r="AK779" s="34">
        <v>0</v>
      </c>
      <c r="AL779" s="34">
        <v>0</v>
      </c>
      <c r="AM779" s="34">
        <v>0</v>
      </c>
      <c r="AN779" s="34">
        <v>0</v>
      </c>
      <c r="AO779" s="34">
        <v>0</v>
      </c>
      <c r="AP779" s="18">
        <v>16.026</v>
      </c>
      <c r="AQ779" s="34">
        <v>17.0542193</v>
      </c>
      <c r="AR779" s="34">
        <v>41.745717799999994</v>
      </c>
      <c r="AS779" s="34">
        <v>32.025987499999999</v>
      </c>
      <c r="AT779" s="18">
        <v>68.002705900000009</v>
      </c>
      <c r="AU779" s="34">
        <v>87.532647999999995</v>
      </c>
      <c r="AV779" s="40" t="s">
        <v>16</v>
      </c>
      <c r="AW779" s="34">
        <v>81.7905631</v>
      </c>
      <c r="AX779" s="34">
        <v>92.133096599999988</v>
      </c>
      <c r="AY779" s="34">
        <v>0</v>
      </c>
      <c r="AZ779" s="34">
        <v>0</v>
      </c>
      <c r="BA779" s="34">
        <v>0</v>
      </c>
      <c r="BB779" s="34">
        <v>0</v>
      </c>
      <c r="BC779" s="34">
        <v>0</v>
      </c>
      <c r="BD779" s="34">
        <v>0</v>
      </c>
      <c r="BE779" s="42">
        <v>0</v>
      </c>
      <c r="BF779" s="18">
        <v>0</v>
      </c>
      <c r="BG779" s="18">
        <v>0</v>
      </c>
      <c r="BH779" s="18">
        <v>0</v>
      </c>
      <c r="BI779" s="18">
        <v>0</v>
      </c>
      <c r="BJ779" s="18">
        <v>0</v>
      </c>
      <c r="BK779" s="34">
        <v>0</v>
      </c>
      <c r="BL779" s="18">
        <v>0</v>
      </c>
      <c r="BM779" s="113">
        <v>0</v>
      </c>
      <c r="BN779" s="113">
        <v>0</v>
      </c>
      <c r="BO779" s="113">
        <v>0</v>
      </c>
      <c r="BP779" s="113">
        <v>0</v>
      </c>
      <c r="BQ779" s="113">
        <v>0</v>
      </c>
      <c r="BR779" s="101"/>
      <c r="BS779">
        <f t="shared" si="1520"/>
        <v>0</v>
      </c>
      <c r="BT779">
        <f t="shared" si="1520"/>
        <v>0</v>
      </c>
      <c r="BU779">
        <f t="shared" si="1520"/>
        <v>0</v>
      </c>
      <c r="BV779">
        <f t="shared" si="1520"/>
        <v>0</v>
      </c>
      <c r="BW779">
        <f t="shared" si="1520"/>
        <v>0</v>
      </c>
      <c r="BX779">
        <f t="shared" si="1520"/>
        <v>0</v>
      </c>
      <c r="BY779">
        <f t="shared" si="1520"/>
        <v>0</v>
      </c>
      <c r="BZ779">
        <f t="shared" si="1520"/>
        <v>0</v>
      </c>
      <c r="CA779">
        <f t="shared" si="1520"/>
        <v>0</v>
      </c>
      <c r="CB779">
        <f t="shared" si="1520"/>
        <v>0</v>
      </c>
      <c r="CC779">
        <f t="shared" si="1521"/>
        <v>0</v>
      </c>
      <c r="CD779">
        <f t="shared" si="1521"/>
        <v>0</v>
      </c>
      <c r="CE779">
        <f t="shared" si="1521"/>
        <v>0</v>
      </c>
      <c r="CF779">
        <f t="shared" si="1521"/>
        <v>0</v>
      </c>
      <c r="CG779">
        <f t="shared" si="1521"/>
        <v>0</v>
      </c>
      <c r="CH779">
        <f t="shared" si="1521"/>
        <v>0</v>
      </c>
      <c r="CI779">
        <f t="shared" si="1521"/>
        <v>0</v>
      </c>
      <c r="CJ779">
        <f t="shared" si="1521"/>
        <v>0</v>
      </c>
      <c r="CK779">
        <f t="shared" si="1521"/>
        <v>0</v>
      </c>
      <c r="CL779">
        <f t="shared" si="1521"/>
        <v>0</v>
      </c>
      <c r="CM779">
        <f t="shared" si="1522"/>
        <v>0</v>
      </c>
      <c r="CN779">
        <f t="shared" si="1522"/>
        <v>0</v>
      </c>
      <c r="CO779">
        <f t="shared" si="1522"/>
        <v>0</v>
      </c>
      <c r="CP779">
        <f t="shared" si="1522"/>
        <v>0</v>
      </c>
      <c r="CQ779">
        <f t="shared" si="1522"/>
        <v>0</v>
      </c>
      <c r="CR779">
        <f t="shared" si="1522"/>
        <v>0</v>
      </c>
      <c r="CS779">
        <f t="shared" si="1522"/>
        <v>0</v>
      </c>
      <c r="CT779">
        <f t="shared" si="1522"/>
        <v>0</v>
      </c>
      <c r="CU779">
        <f t="shared" si="1522"/>
        <v>0</v>
      </c>
      <c r="CV779">
        <f t="shared" si="1522"/>
        <v>0</v>
      </c>
      <c r="CW779">
        <f t="shared" si="1523"/>
        <v>0</v>
      </c>
      <c r="CX779">
        <f t="shared" si="1523"/>
        <v>0</v>
      </c>
      <c r="CY779">
        <f t="shared" si="1523"/>
        <v>0</v>
      </c>
      <c r="CZ779">
        <f t="shared" si="1523"/>
        <v>0</v>
      </c>
      <c r="DA779">
        <f t="shared" si="1523"/>
        <v>0</v>
      </c>
      <c r="DB779">
        <f t="shared" si="1523"/>
        <v>0</v>
      </c>
      <c r="DC779">
        <f t="shared" si="1523"/>
        <v>0</v>
      </c>
      <c r="DD779">
        <f t="shared" si="1523"/>
        <v>0</v>
      </c>
      <c r="DE779">
        <f t="shared" si="1523"/>
        <v>0</v>
      </c>
      <c r="DF779">
        <f t="shared" si="1523"/>
        <v>0</v>
      </c>
      <c r="DG779">
        <f t="shared" si="1524"/>
        <v>0</v>
      </c>
      <c r="DH779">
        <f t="shared" si="1524"/>
        <v>0</v>
      </c>
      <c r="DI779">
        <f t="shared" si="1524"/>
        <v>0</v>
      </c>
      <c r="DJ779">
        <f t="shared" si="1524"/>
        <v>0</v>
      </c>
      <c r="DK779">
        <f t="shared" si="1524"/>
        <v>0</v>
      </c>
      <c r="DL779">
        <f t="shared" si="1524"/>
        <v>0</v>
      </c>
      <c r="DM779">
        <f t="shared" si="1524"/>
        <v>0</v>
      </c>
      <c r="DN779">
        <f t="shared" si="1524"/>
        <v>0</v>
      </c>
      <c r="DO779">
        <f t="shared" si="1524"/>
        <v>0</v>
      </c>
      <c r="DP779">
        <f t="shared" si="1524"/>
        <v>0</v>
      </c>
      <c r="DQ779">
        <f t="shared" si="1525"/>
        <v>0</v>
      </c>
      <c r="DR779">
        <f t="shared" si="1525"/>
        <v>0</v>
      </c>
      <c r="DS779">
        <f t="shared" si="1525"/>
        <v>0</v>
      </c>
      <c r="DT779">
        <f t="shared" si="1525"/>
        <v>0</v>
      </c>
      <c r="DU779">
        <f t="shared" si="1525"/>
        <v>0</v>
      </c>
      <c r="DV779">
        <f t="shared" si="1525"/>
        <v>0</v>
      </c>
      <c r="DW779">
        <f t="shared" si="1525"/>
        <v>0</v>
      </c>
      <c r="DX779">
        <f t="shared" si="1525"/>
        <v>0</v>
      </c>
      <c r="DY779">
        <f t="shared" si="1525"/>
        <v>0</v>
      </c>
      <c r="DZ779">
        <f t="shared" si="1525"/>
        <v>0</v>
      </c>
      <c r="EA779">
        <f t="shared" si="1526"/>
        <v>0</v>
      </c>
      <c r="EB779">
        <f t="shared" si="1526"/>
        <v>0</v>
      </c>
      <c r="EC779">
        <f t="shared" si="1526"/>
        <v>0</v>
      </c>
      <c r="ED779">
        <f t="shared" si="1526"/>
        <v>0</v>
      </c>
      <c r="EE779">
        <f t="shared" si="1526"/>
        <v>0</v>
      </c>
      <c r="EF779">
        <f t="shared" si="1526"/>
        <v>0</v>
      </c>
    </row>
    <row r="780" spans="1:136" ht="15.5">
      <c r="A780" s="90"/>
      <c r="B780" s="19" t="s">
        <v>212</v>
      </c>
      <c r="C780" s="9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  <c r="AH780" s="34"/>
      <c r="AI780" s="34">
        <v>0</v>
      </c>
      <c r="AJ780" s="34">
        <v>121.55844155844156</v>
      </c>
      <c r="AK780" s="34">
        <v>135.71428571428572</v>
      </c>
      <c r="AL780" s="34">
        <v>141.45199063231851</v>
      </c>
      <c r="AM780" s="34">
        <v>133.11111111111111</v>
      </c>
      <c r="AN780" s="34">
        <v>207.09677419354838</v>
      </c>
      <c r="AO780" s="34">
        <v>144.42060085836908</v>
      </c>
      <c r="AP780" s="18">
        <v>68.870192307692307</v>
      </c>
      <c r="AQ780" s="18">
        <v>50.907519446845285</v>
      </c>
      <c r="AR780" s="147">
        <v>73.629032258064512</v>
      </c>
      <c r="AS780" s="147">
        <v>51.068702290076338</v>
      </c>
      <c r="AT780" s="147">
        <v>27.173913043478258</v>
      </c>
      <c r="AU780" s="147">
        <v>22.180451127819548</v>
      </c>
      <c r="AV780" s="147">
        <v>22.03125</v>
      </c>
      <c r="AW780" s="149">
        <v>22.34375</v>
      </c>
      <c r="AX780" s="149">
        <v>21.770334928229666</v>
      </c>
      <c r="AY780" s="149">
        <v>38.211382113821138</v>
      </c>
      <c r="AZ780" s="149">
        <v>41.470588235294123</v>
      </c>
      <c r="BA780" s="147">
        <v>37.933884297520663</v>
      </c>
      <c r="BB780" s="147">
        <v>19.29530201342282</v>
      </c>
      <c r="BC780" s="147">
        <v>14.236111111111112</v>
      </c>
      <c r="BD780" s="157">
        <v>5.2320675105485233</v>
      </c>
      <c r="BE780" s="158">
        <v>6.8725868725868731</v>
      </c>
      <c r="BF780" s="147">
        <v>6.3636363636363633</v>
      </c>
      <c r="BG780" s="159">
        <v>38.75</v>
      </c>
      <c r="BH780" s="147">
        <v>5.0830397584297931</v>
      </c>
      <c r="BI780" s="147">
        <v>2.3640661938534278</v>
      </c>
      <c r="BJ780" s="154">
        <v>3.2214369846878683</v>
      </c>
      <c r="BK780" s="154">
        <v>2.6004728132387704</v>
      </c>
      <c r="BL780" s="113">
        <v>1.7647058823529411</v>
      </c>
      <c r="BM780" s="113">
        <v>1.6843996518907385</v>
      </c>
      <c r="BN780" s="113">
        <v>2</v>
      </c>
      <c r="BO780" s="113">
        <v>0</v>
      </c>
      <c r="BP780" s="113">
        <v>0</v>
      </c>
      <c r="BQ780" s="113">
        <v>0</v>
      </c>
      <c r="BR780" s="101"/>
      <c r="BS780">
        <f t="shared" si="1520"/>
        <v>0</v>
      </c>
      <c r="BT780">
        <f t="shared" si="1520"/>
        <v>0</v>
      </c>
      <c r="BU780">
        <f t="shared" si="1520"/>
        <v>0</v>
      </c>
      <c r="BV780">
        <f t="shared" si="1520"/>
        <v>0</v>
      </c>
      <c r="BW780">
        <f t="shared" si="1520"/>
        <v>0</v>
      </c>
      <c r="BX780">
        <f t="shared" si="1520"/>
        <v>0</v>
      </c>
      <c r="BY780">
        <f t="shared" si="1520"/>
        <v>0</v>
      </c>
      <c r="BZ780">
        <f t="shared" si="1520"/>
        <v>0</v>
      </c>
      <c r="CA780">
        <f t="shared" si="1520"/>
        <v>0</v>
      </c>
      <c r="CB780">
        <f t="shared" si="1520"/>
        <v>0</v>
      </c>
      <c r="CC780">
        <f t="shared" si="1521"/>
        <v>0</v>
      </c>
      <c r="CD780">
        <f t="shared" si="1521"/>
        <v>0</v>
      </c>
      <c r="CE780">
        <f t="shared" si="1521"/>
        <v>0</v>
      </c>
      <c r="CF780">
        <f t="shared" si="1521"/>
        <v>0</v>
      </c>
      <c r="CG780">
        <f t="shared" si="1521"/>
        <v>0</v>
      </c>
      <c r="CH780">
        <f t="shared" si="1521"/>
        <v>0</v>
      </c>
      <c r="CI780">
        <f t="shared" si="1521"/>
        <v>0</v>
      </c>
      <c r="CJ780">
        <f t="shared" si="1521"/>
        <v>0</v>
      </c>
      <c r="CK780">
        <f t="shared" si="1521"/>
        <v>0</v>
      </c>
      <c r="CL780">
        <f t="shared" si="1521"/>
        <v>0</v>
      </c>
      <c r="CM780">
        <f t="shared" si="1522"/>
        <v>0</v>
      </c>
      <c r="CN780">
        <f t="shared" si="1522"/>
        <v>0</v>
      </c>
      <c r="CO780">
        <f t="shared" si="1522"/>
        <v>0</v>
      </c>
      <c r="CP780">
        <f t="shared" si="1522"/>
        <v>0</v>
      </c>
      <c r="CQ780">
        <f t="shared" si="1522"/>
        <v>0</v>
      </c>
      <c r="CR780">
        <f t="shared" si="1522"/>
        <v>0</v>
      </c>
      <c r="CS780">
        <f t="shared" si="1522"/>
        <v>0</v>
      </c>
      <c r="CT780">
        <f t="shared" si="1522"/>
        <v>0</v>
      </c>
      <c r="CU780">
        <f t="shared" si="1522"/>
        <v>0</v>
      </c>
      <c r="CV780">
        <f t="shared" si="1522"/>
        <v>0</v>
      </c>
      <c r="CW780">
        <f t="shared" si="1523"/>
        <v>0</v>
      </c>
      <c r="CX780">
        <f t="shared" si="1523"/>
        <v>0</v>
      </c>
      <c r="CY780">
        <f t="shared" si="1523"/>
        <v>0</v>
      </c>
      <c r="CZ780">
        <f t="shared" si="1523"/>
        <v>0</v>
      </c>
      <c r="DA780">
        <f t="shared" si="1523"/>
        <v>0</v>
      </c>
      <c r="DB780">
        <f t="shared" si="1523"/>
        <v>0</v>
      </c>
      <c r="DC780">
        <f t="shared" si="1523"/>
        <v>0</v>
      </c>
      <c r="DD780">
        <f t="shared" si="1523"/>
        <v>0</v>
      </c>
      <c r="DE780">
        <f t="shared" si="1523"/>
        <v>0</v>
      </c>
      <c r="DF780">
        <f t="shared" si="1523"/>
        <v>0</v>
      </c>
      <c r="DG780">
        <f t="shared" si="1524"/>
        <v>0</v>
      </c>
      <c r="DH780">
        <f t="shared" si="1524"/>
        <v>0</v>
      </c>
      <c r="DI780">
        <f t="shared" si="1524"/>
        <v>0</v>
      </c>
      <c r="DJ780">
        <f t="shared" si="1524"/>
        <v>0</v>
      </c>
      <c r="DK780">
        <f t="shared" si="1524"/>
        <v>0</v>
      </c>
      <c r="DL780">
        <f t="shared" si="1524"/>
        <v>0</v>
      </c>
      <c r="DM780">
        <f t="shared" si="1524"/>
        <v>0</v>
      </c>
      <c r="DN780">
        <f t="shared" si="1524"/>
        <v>0</v>
      </c>
      <c r="DO780">
        <f t="shared" si="1524"/>
        <v>0</v>
      </c>
      <c r="DP780">
        <f t="shared" si="1524"/>
        <v>0</v>
      </c>
      <c r="DQ780">
        <f t="shared" si="1525"/>
        <v>0</v>
      </c>
      <c r="DR780">
        <f t="shared" si="1525"/>
        <v>0</v>
      </c>
      <c r="DS780">
        <f t="shared" si="1525"/>
        <v>0</v>
      </c>
      <c r="DT780">
        <f t="shared" si="1525"/>
        <v>0</v>
      </c>
      <c r="DU780">
        <f t="shared" si="1525"/>
        <v>0</v>
      </c>
      <c r="DV780">
        <f t="shared" si="1525"/>
        <v>0</v>
      </c>
      <c r="DW780">
        <f t="shared" si="1525"/>
        <v>0</v>
      </c>
      <c r="DX780">
        <f t="shared" si="1525"/>
        <v>0</v>
      </c>
      <c r="DY780">
        <f t="shared" si="1525"/>
        <v>0</v>
      </c>
      <c r="DZ780">
        <f t="shared" si="1525"/>
        <v>0</v>
      </c>
      <c r="EA780">
        <f t="shared" si="1526"/>
        <v>0</v>
      </c>
      <c r="EB780">
        <f t="shared" si="1526"/>
        <v>0</v>
      </c>
      <c r="EC780">
        <f t="shared" si="1526"/>
        <v>0</v>
      </c>
      <c r="ED780">
        <f t="shared" si="1526"/>
        <v>0</v>
      </c>
      <c r="EE780">
        <f t="shared" si="1526"/>
        <v>0</v>
      </c>
      <c r="EF780">
        <f t="shared" si="1526"/>
        <v>0</v>
      </c>
    </row>
    <row r="781" spans="1:136" ht="15.5">
      <c r="A781" s="90"/>
      <c r="B781" s="37"/>
      <c r="C781" s="94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47"/>
      <c r="AQ781" s="147"/>
      <c r="AR781" s="147"/>
      <c r="AS781" s="147"/>
      <c r="AT781" s="147"/>
      <c r="AU781" s="147"/>
      <c r="AV781" s="18"/>
      <c r="AW781" s="18"/>
      <c r="AX781" s="18"/>
      <c r="AY781" s="18"/>
      <c r="AZ781" s="18"/>
      <c r="BA781" s="147"/>
      <c r="BB781" s="18"/>
      <c r="BC781" s="18"/>
      <c r="BD781" s="31"/>
      <c r="BE781" s="55"/>
      <c r="BF781" s="18"/>
      <c r="BG781" s="31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101"/>
      <c r="DQ781">
        <f t="shared" ref="DQ781:DQ787" si="1527">IF($C781&lt;&gt;"",IF(BB781&gt;0,1,0),0)</f>
        <v>0</v>
      </c>
      <c r="DT781">
        <f t="shared" ref="DT781:DT787" si="1528">IF($C781&lt;&gt;"",IF(BE781&gt;0,1,0),0)</f>
        <v>0</v>
      </c>
    </row>
    <row r="782" spans="1:136" ht="15.5">
      <c r="A782" s="93">
        <v>98</v>
      </c>
      <c r="B782" s="52" t="s">
        <v>104</v>
      </c>
      <c r="C782" s="95">
        <v>4</v>
      </c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2">
        <f t="shared" ref="AJ782:BO782" si="1529">SUM(AJ783:AJ786)</f>
        <v>7.6769838000000004</v>
      </c>
      <c r="AK782" s="22">
        <f t="shared" si="1529"/>
        <v>18.032529799999999</v>
      </c>
      <c r="AL782" s="22">
        <f t="shared" si="1529"/>
        <v>16.559321399999998</v>
      </c>
      <c r="AM782" s="22">
        <f t="shared" si="1529"/>
        <v>4.1072403</v>
      </c>
      <c r="AN782" s="22">
        <f t="shared" si="1529"/>
        <v>4.5239273999999998</v>
      </c>
      <c r="AO782" s="22">
        <f t="shared" si="1529"/>
        <v>63.680823500000002</v>
      </c>
      <c r="AP782" s="22">
        <f t="shared" si="1529"/>
        <v>68.633601200000001</v>
      </c>
      <c r="AQ782" s="22">
        <f t="shared" si="1529"/>
        <v>87.5549836</v>
      </c>
      <c r="AR782" s="22">
        <f t="shared" si="1529"/>
        <v>77.334510499999993</v>
      </c>
      <c r="AS782" s="22">
        <f t="shared" si="1529"/>
        <v>77.189068199999994</v>
      </c>
      <c r="AT782" s="22">
        <f t="shared" si="1529"/>
        <v>18.467162279874213</v>
      </c>
      <c r="AU782" s="22">
        <f t="shared" si="1529"/>
        <v>11018.495068599999</v>
      </c>
      <c r="AV782" s="22">
        <f t="shared" si="1529"/>
        <v>27.294858999999999</v>
      </c>
      <c r="AW782" s="22">
        <f t="shared" si="1529"/>
        <v>20.8672869</v>
      </c>
      <c r="AX782" s="22">
        <f t="shared" si="1529"/>
        <v>37.928969899999998</v>
      </c>
      <c r="AY782" s="22">
        <f t="shared" si="1529"/>
        <v>25.614720600000002</v>
      </c>
      <c r="AZ782" s="22">
        <f t="shared" si="1529"/>
        <v>26.130566100000003</v>
      </c>
      <c r="BA782" s="22">
        <f t="shared" si="1529"/>
        <v>9.7012344000000006</v>
      </c>
      <c r="BB782" s="22">
        <f t="shared" si="1529"/>
        <v>10.635376800000001</v>
      </c>
      <c r="BC782" s="22">
        <f t="shared" si="1529"/>
        <v>10.6206823</v>
      </c>
      <c r="BD782" s="22">
        <f t="shared" si="1529"/>
        <v>15.788361200000001</v>
      </c>
      <c r="BE782" s="22">
        <f t="shared" si="1529"/>
        <v>18.013971399999999</v>
      </c>
      <c r="BF782" s="22">
        <f t="shared" si="1529"/>
        <v>8.828730199999999</v>
      </c>
      <c r="BG782" s="22">
        <f t="shared" si="1529"/>
        <v>8.9410768000000012</v>
      </c>
      <c r="BH782" s="22">
        <f t="shared" si="1529"/>
        <v>17.8296095</v>
      </c>
      <c r="BI782" s="22">
        <f t="shared" si="1529"/>
        <v>2200.1475827999998</v>
      </c>
      <c r="BJ782" s="22">
        <f t="shared" si="1529"/>
        <v>10.2283671</v>
      </c>
      <c r="BK782" s="22">
        <f t="shared" si="1529"/>
        <v>4.4651607000000002</v>
      </c>
      <c r="BL782" s="22">
        <f t="shared" si="1529"/>
        <v>1806.1329148</v>
      </c>
      <c r="BM782" s="22">
        <f t="shared" si="1529"/>
        <v>4.1906199999999998E-2</v>
      </c>
      <c r="BN782" s="22">
        <f t="shared" si="1529"/>
        <v>0</v>
      </c>
      <c r="BO782" s="22">
        <f t="shared" si="1529"/>
        <v>0</v>
      </c>
      <c r="BP782" s="22">
        <f>SUM(BP783:BP786)</f>
        <v>0</v>
      </c>
      <c r="BQ782" s="22">
        <f>SUM(BQ783:BQ786)</f>
        <v>0</v>
      </c>
      <c r="BR782" s="101"/>
      <c r="BS782">
        <f t="shared" ref="BS782:CB787" si="1530">IF($C782&lt;&gt;"",IF(D782&gt;0,1,0),0)</f>
        <v>0</v>
      </c>
      <c r="BT782">
        <f t="shared" si="1530"/>
        <v>0</v>
      </c>
      <c r="BU782">
        <f t="shared" si="1530"/>
        <v>0</v>
      </c>
      <c r="BV782">
        <f t="shared" si="1530"/>
        <v>0</v>
      </c>
      <c r="BW782">
        <f t="shared" si="1530"/>
        <v>0</v>
      </c>
      <c r="BX782">
        <f t="shared" si="1530"/>
        <v>0</v>
      </c>
      <c r="BY782">
        <f t="shared" si="1530"/>
        <v>0</v>
      </c>
      <c r="BZ782">
        <f t="shared" si="1530"/>
        <v>0</v>
      </c>
      <c r="CA782">
        <f t="shared" si="1530"/>
        <v>0</v>
      </c>
      <c r="CB782">
        <f t="shared" si="1530"/>
        <v>0</v>
      </c>
      <c r="CC782">
        <f t="shared" ref="CC782:CL787" si="1531">IF($C782&lt;&gt;"",IF(N782&gt;0,1,0),0)</f>
        <v>0</v>
      </c>
      <c r="CD782">
        <f t="shared" si="1531"/>
        <v>0</v>
      </c>
      <c r="CE782">
        <f t="shared" si="1531"/>
        <v>0</v>
      </c>
      <c r="CF782">
        <f t="shared" si="1531"/>
        <v>0</v>
      </c>
      <c r="CG782">
        <f t="shared" si="1531"/>
        <v>0</v>
      </c>
      <c r="CH782">
        <f t="shared" si="1531"/>
        <v>0</v>
      </c>
      <c r="CI782">
        <f t="shared" si="1531"/>
        <v>0</v>
      </c>
      <c r="CJ782">
        <f t="shared" si="1531"/>
        <v>0</v>
      </c>
      <c r="CK782">
        <f t="shared" si="1531"/>
        <v>0</v>
      </c>
      <c r="CL782">
        <f t="shared" si="1531"/>
        <v>0</v>
      </c>
      <c r="CM782">
        <f t="shared" ref="CM782:CV787" si="1532">IF($C782&lt;&gt;"",IF(X782&gt;0,1,0),0)</f>
        <v>0</v>
      </c>
      <c r="CN782">
        <f t="shared" si="1532"/>
        <v>0</v>
      </c>
      <c r="CO782">
        <f t="shared" si="1532"/>
        <v>0</v>
      </c>
      <c r="CP782">
        <f t="shared" si="1532"/>
        <v>0</v>
      </c>
      <c r="CQ782">
        <f t="shared" si="1532"/>
        <v>0</v>
      </c>
      <c r="CR782">
        <f t="shared" si="1532"/>
        <v>0</v>
      </c>
      <c r="CS782">
        <f t="shared" si="1532"/>
        <v>0</v>
      </c>
      <c r="CT782">
        <f t="shared" si="1532"/>
        <v>0</v>
      </c>
      <c r="CU782">
        <f t="shared" si="1532"/>
        <v>0</v>
      </c>
      <c r="CV782">
        <f t="shared" si="1532"/>
        <v>0</v>
      </c>
      <c r="CW782">
        <f t="shared" ref="CW782:DF787" si="1533">IF($C782&lt;&gt;"",IF(AH782&gt;0,1,0),0)</f>
        <v>0</v>
      </c>
      <c r="CX782">
        <f t="shared" si="1533"/>
        <v>0</v>
      </c>
      <c r="CY782">
        <f t="shared" si="1533"/>
        <v>1</v>
      </c>
      <c r="CZ782">
        <f t="shared" si="1533"/>
        <v>1</v>
      </c>
      <c r="DA782">
        <f t="shared" si="1533"/>
        <v>1</v>
      </c>
      <c r="DB782">
        <f t="shared" si="1533"/>
        <v>1</v>
      </c>
      <c r="DC782">
        <f t="shared" si="1533"/>
        <v>1</v>
      </c>
      <c r="DD782">
        <f t="shared" si="1533"/>
        <v>1</v>
      </c>
      <c r="DE782">
        <f t="shared" si="1533"/>
        <v>1</v>
      </c>
      <c r="DF782">
        <f t="shared" si="1533"/>
        <v>1</v>
      </c>
      <c r="DG782">
        <f t="shared" ref="DG782:DP787" si="1534">IF($C782&lt;&gt;"",IF(AR782&gt;0,1,0),0)</f>
        <v>1</v>
      </c>
      <c r="DH782">
        <f t="shared" si="1534"/>
        <v>1</v>
      </c>
      <c r="DI782">
        <f t="shared" si="1534"/>
        <v>1</v>
      </c>
      <c r="DJ782">
        <f t="shared" si="1534"/>
        <v>1</v>
      </c>
      <c r="DK782">
        <f t="shared" si="1534"/>
        <v>1</v>
      </c>
      <c r="DL782">
        <f t="shared" si="1534"/>
        <v>1</v>
      </c>
      <c r="DM782">
        <f t="shared" si="1534"/>
        <v>1</v>
      </c>
      <c r="DN782">
        <f t="shared" si="1534"/>
        <v>1</v>
      </c>
      <c r="DO782">
        <f t="shared" si="1534"/>
        <v>1</v>
      </c>
      <c r="DP782">
        <f t="shared" si="1534"/>
        <v>1</v>
      </c>
      <c r="DQ782">
        <f t="shared" si="1527"/>
        <v>1</v>
      </c>
      <c r="DR782">
        <f t="shared" ref="DR782:DS787" si="1535">IF($C782&lt;&gt;"",IF(BC782&gt;0,1,0),0)</f>
        <v>1</v>
      </c>
      <c r="DS782">
        <f t="shared" si="1535"/>
        <v>1</v>
      </c>
      <c r="DT782">
        <f t="shared" si="1528"/>
        <v>1</v>
      </c>
      <c r="DU782">
        <f t="shared" ref="DU782:EF787" si="1536">IF($C782&lt;&gt;"",IF(BF782&gt;0,1,0),0)</f>
        <v>1</v>
      </c>
      <c r="DV782">
        <f t="shared" si="1536"/>
        <v>1</v>
      </c>
      <c r="DW782">
        <f t="shared" si="1536"/>
        <v>1</v>
      </c>
      <c r="DX782">
        <f t="shared" si="1536"/>
        <v>1</v>
      </c>
      <c r="DY782">
        <f t="shared" si="1536"/>
        <v>1</v>
      </c>
      <c r="DZ782">
        <f t="shared" si="1536"/>
        <v>1</v>
      </c>
      <c r="EA782">
        <f t="shared" si="1536"/>
        <v>1</v>
      </c>
      <c r="EB782">
        <f t="shared" si="1536"/>
        <v>1</v>
      </c>
      <c r="EC782">
        <f t="shared" si="1536"/>
        <v>0</v>
      </c>
      <c r="ED782">
        <f t="shared" si="1536"/>
        <v>0</v>
      </c>
      <c r="EE782">
        <f t="shared" si="1536"/>
        <v>0</v>
      </c>
      <c r="EF782">
        <f t="shared" si="1536"/>
        <v>0</v>
      </c>
    </row>
    <row r="783" spans="1:136" ht="15.5">
      <c r="A783" s="90"/>
      <c r="B783" s="53" t="s">
        <v>205</v>
      </c>
      <c r="C783" s="95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18">
        <v>0</v>
      </c>
      <c r="AK783" s="18">
        <v>0</v>
      </c>
      <c r="AL783" s="18">
        <v>0</v>
      </c>
      <c r="AM783" s="18">
        <v>0</v>
      </c>
      <c r="AN783" s="18">
        <v>0</v>
      </c>
      <c r="AO783" s="18">
        <v>0</v>
      </c>
      <c r="AP783" s="18">
        <v>0</v>
      </c>
      <c r="AQ783" s="18">
        <v>0</v>
      </c>
      <c r="AR783" s="18">
        <v>0</v>
      </c>
      <c r="AS783" s="18">
        <v>0</v>
      </c>
      <c r="AT783" s="18">
        <f>68/31.8</f>
        <v>2.1383647798742138</v>
      </c>
      <c r="AU783" s="18">
        <v>0</v>
      </c>
      <c r="AV783" s="18">
        <v>0</v>
      </c>
      <c r="AW783" s="18">
        <v>0</v>
      </c>
      <c r="AX783" s="18">
        <v>0</v>
      </c>
      <c r="AY783" s="18">
        <v>0</v>
      </c>
      <c r="AZ783" s="18">
        <v>0</v>
      </c>
      <c r="BA783" s="18">
        <v>0</v>
      </c>
      <c r="BB783" s="18">
        <v>0</v>
      </c>
      <c r="BC783" s="18">
        <v>0</v>
      </c>
      <c r="BD783" s="18">
        <v>4.7705735999999996</v>
      </c>
      <c r="BE783" s="25">
        <v>13.929765300000001</v>
      </c>
      <c r="BF783" s="18">
        <v>8.828730199999999</v>
      </c>
      <c r="BG783" s="18">
        <v>8.9410768000000012</v>
      </c>
      <c r="BH783" s="18">
        <v>8.9</v>
      </c>
      <c r="BI783" s="18">
        <v>2190</v>
      </c>
      <c r="BJ783" s="18">
        <v>10.2283671</v>
      </c>
      <c r="BK783" s="18">
        <v>4.2944039000000007</v>
      </c>
      <c r="BL783" s="147">
        <v>1800</v>
      </c>
      <c r="BM783" s="113">
        <v>0</v>
      </c>
      <c r="BN783" s="113">
        <v>0</v>
      </c>
      <c r="BO783" s="113">
        <v>0</v>
      </c>
      <c r="BP783" s="113">
        <v>0</v>
      </c>
      <c r="BQ783" s="113">
        <v>0</v>
      </c>
      <c r="BR783" s="101"/>
      <c r="BS783">
        <f t="shared" si="1530"/>
        <v>0</v>
      </c>
      <c r="BT783">
        <f t="shared" si="1530"/>
        <v>0</v>
      </c>
      <c r="BU783">
        <f t="shared" si="1530"/>
        <v>0</v>
      </c>
      <c r="BV783">
        <f t="shared" si="1530"/>
        <v>0</v>
      </c>
      <c r="BW783">
        <f t="shared" si="1530"/>
        <v>0</v>
      </c>
      <c r="BX783">
        <f t="shared" si="1530"/>
        <v>0</v>
      </c>
      <c r="BY783">
        <f t="shared" si="1530"/>
        <v>0</v>
      </c>
      <c r="BZ783">
        <f t="shared" si="1530"/>
        <v>0</v>
      </c>
      <c r="CA783">
        <f t="shared" si="1530"/>
        <v>0</v>
      </c>
      <c r="CB783">
        <f t="shared" si="1530"/>
        <v>0</v>
      </c>
      <c r="CC783">
        <f t="shared" si="1531"/>
        <v>0</v>
      </c>
      <c r="CD783">
        <f t="shared" si="1531"/>
        <v>0</v>
      </c>
      <c r="CE783">
        <f t="shared" si="1531"/>
        <v>0</v>
      </c>
      <c r="CF783">
        <f t="shared" si="1531"/>
        <v>0</v>
      </c>
      <c r="CG783">
        <f t="shared" si="1531"/>
        <v>0</v>
      </c>
      <c r="CH783">
        <f t="shared" si="1531"/>
        <v>0</v>
      </c>
      <c r="CI783">
        <f t="shared" si="1531"/>
        <v>0</v>
      </c>
      <c r="CJ783">
        <f t="shared" si="1531"/>
        <v>0</v>
      </c>
      <c r="CK783">
        <f t="shared" si="1531"/>
        <v>0</v>
      </c>
      <c r="CL783">
        <f t="shared" si="1531"/>
        <v>0</v>
      </c>
      <c r="CM783">
        <f t="shared" si="1532"/>
        <v>0</v>
      </c>
      <c r="CN783">
        <f t="shared" si="1532"/>
        <v>0</v>
      </c>
      <c r="CO783">
        <f t="shared" si="1532"/>
        <v>0</v>
      </c>
      <c r="CP783">
        <f t="shared" si="1532"/>
        <v>0</v>
      </c>
      <c r="CQ783">
        <f t="shared" si="1532"/>
        <v>0</v>
      </c>
      <c r="CR783">
        <f t="shared" si="1532"/>
        <v>0</v>
      </c>
      <c r="CS783">
        <f t="shared" si="1532"/>
        <v>0</v>
      </c>
      <c r="CT783">
        <f t="shared" si="1532"/>
        <v>0</v>
      </c>
      <c r="CU783">
        <f t="shared" si="1532"/>
        <v>0</v>
      </c>
      <c r="CV783">
        <f t="shared" si="1532"/>
        <v>0</v>
      </c>
      <c r="CW783">
        <f t="shared" si="1533"/>
        <v>0</v>
      </c>
      <c r="CX783">
        <f t="shared" si="1533"/>
        <v>0</v>
      </c>
      <c r="CY783">
        <f t="shared" si="1533"/>
        <v>0</v>
      </c>
      <c r="CZ783">
        <f t="shared" si="1533"/>
        <v>0</v>
      </c>
      <c r="DA783">
        <f t="shared" si="1533"/>
        <v>0</v>
      </c>
      <c r="DB783">
        <f t="shared" si="1533"/>
        <v>0</v>
      </c>
      <c r="DC783">
        <f t="shared" si="1533"/>
        <v>0</v>
      </c>
      <c r="DD783">
        <f t="shared" si="1533"/>
        <v>0</v>
      </c>
      <c r="DE783">
        <f t="shared" si="1533"/>
        <v>0</v>
      </c>
      <c r="DF783">
        <f t="shared" si="1533"/>
        <v>0</v>
      </c>
      <c r="DG783">
        <f t="shared" si="1534"/>
        <v>0</v>
      </c>
      <c r="DH783">
        <f t="shared" si="1534"/>
        <v>0</v>
      </c>
      <c r="DI783">
        <f t="shared" si="1534"/>
        <v>0</v>
      </c>
      <c r="DJ783">
        <f t="shared" si="1534"/>
        <v>0</v>
      </c>
      <c r="DK783">
        <f t="shared" si="1534"/>
        <v>0</v>
      </c>
      <c r="DL783">
        <f t="shared" si="1534"/>
        <v>0</v>
      </c>
      <c r="DM783">
        <f t="shared" si="1534"/>
        <v>0</v>
      </c>
      <c r="DN783">
        <f t="shared" si="1534"/>
        <v>0</v>
      </c>
      <c r="DO783">
        <f t="shared" si="1534"/>
        <v>0</v>
      </c>
      <c r="DP783">
        <f t="shared" si="1534"/>
        <v>0</v>
      </c>
      <c r="DQ783">
        <f t="shared" si="1527"/>
        <v>0</v>
      </c>
      <c r="DR783">
        <f t="shared" si="1535"/>
        <v>0</v>
      </c>
      <c r="DS783">
        <f t="shared" si="1535"/>
        <v>0</v>
      </c>
      <c r="DT783">
        <f t="shared" si="1528"/>
        <v>0</v>
      </c>
      <c r="DU783">
        <f t="shared" si="1536"/>
        <v>0</v>
      </c>
      <c r="DV783">
        <f t="shared" si="1536"/>
        <v>0</v>
      </c>
      <c r="DW783">
        <f t="shared" si="1536"/>
        <v>0</v>
      </c>
      <c r="DX783">
        <f t="shared" si="1536"/>
        <v>0</v>
      </c>
      <c r="DY783">
        <f t="shared" si="1536"/>
        <v>0</v>
      </c>
      <c r="DZ783">
        <f t="shared" si="1536"/>
        <v>0</v>
      </c>
      <c r="EA783">
        <f t="shared" si="1536"/>
        <v>0</v>
      </c>
      <c r="EB783">
        <f t="shared" si="1536"/>
        <v>0</v>
      </c>
      <c r="EC783">
        <f t="shared" si="1536"/>
        <v>0</v>
      </c>
      <c r="ED783">
        <f t="shared" si="1536"/>
        <v>0</v>
      </c>
      <c r="EE783">
        <f t="shared" si="1536"/>
        <v>0</v>
      </c>
      <c r="EF783">
        <f t="shared" si="1536"/>
        <v>0</v>
      </c>
    </row>
    <row r="784" spans="1:136" ht="15.5">
      <c r="A784" s="90"/>
      <c r="B784" s="19" t="s">
        <v>3</v>
      </c>
      <c r="C784" s="94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>
        <v>0.7914026999999999</v>
      </c>
      <c r="AK784" s="18">
        <v>2.06</v>
      </c>
      <c r="AL784" s="18">
        <v>13.61</v>
      </c>
      <c r="AM784" s="18">
        <v>0.79096040000000001</v>
      </c>
      <c r="AN784" s="18">
        <v>0.92097439999999997</v>
      </c>
      <c r="AO784" s="18">
        <v>4.4525459000000005</v>
      </c>
      <c r="AP784" s="18">
        <v>9.5114213000000003</v>
      </c>
      <c r="AQ784" s="18">
        <v>28.963406600000003</v>
      </c>
      <c r="AR784" s="18">
        <v>18.5177373</v>
      </c>
      <c r="AS784" s="18">
        <v>18.169068199999998</v>
      </c>
      <c r="AT784" s="18">
        <f>18.3287975-2</f>
        <v>16.3287975</v>
      </c>
      <c r="AU784" s="18">
        <f>18.4950686+11000</f>
        <v>11018.495068599999</v>
      </c>
      <c r="AV784" s="18">
        <v>27.294858999999999</v>
      </c>
      <c r="AW784" s="18">
        <v>20.8672869</v>
      </c>
      <c r="AX784" s="18">
        <v>37.928969899999998</v>
      </c>
      <c r="AY784" s="18">
        <v>25.614720600000002</v>
      </c>
      <c r="AZ784" s="18">
        <v>26.130566100000003</v>
      </c>
      <c r="BA784" s="18">
        <v>9.7012344000000006</v>
      </c>
      <c r="BB784" s="18">
        <v>10.635376800000001</v>
      </c>
      <c r="BC784" s="18">
        <v>10.6206823</v>
      </c>
      <c r="BD784" s="18">
        <f>15.7883612-BD783</f>
        <v>11.017787600000002</v>
      </c>
      <c r="BE784" s="55">
        <f>18.0139714-BE783</f>
        <v>4.0842060999999976</v>
      </c>
      <c r="BF784" s="18">
        <f>8.8287302-BF783</f>
        <v>0</v>
      </c>
      <c r="BG784" s="18">
        <f>8.9410768-BG783</f>
        <v>0</v>
      </c>
      <c r="BH784" s="18">
        <v>8.9296094999999998</v>
      </c>
      <c r="BI784" s="18">
        <v>10.1475828</v>
      </c>
      <c r="BJ784" s="18">
        <f>10.2283671-BJ783</f>
        <v>0</v>
      </c>
      <c r="BK784" s="40">
        <f>4.4651607-BK783</f>
        <v>0.17075679999999949</v>
      </c>
      <c r="BL784" s="18">
        <v>6.1329148</v>
      </c>
      <c r="BM784" s="103">
        <v>4.1906199999999998E-2</v>
      </c>
      <c r="BN784" s="113">
        <v>0</v>
      </c>
      <c r="BO784" s="113">
        <v>0</v>
      </c>
      <c r="BP784" s="113">
        <v>0</v>
      </c>
      <c r="BQ784" s="113">
        <v>0</v>
      </c>
      <c r="BR784" s="101"/>
      <c r="BS784">
        <f t="shared" si="1530"/>
        <v>0</v>
      </c>
      <c r="BT784">
        <f t="shared" si="1530"/>
        <v>0</v>
      </c>
      <c r="BU784">
        <f t="shared" si="1530"/>
        <v>0</v>
      </c>
      <c r="BV784">
        <f t="shared" si="1530"/>
        <v>0</v>
      </c>
      <c r="BW784">
        <f t="shared" si="1530"/>
        <v>0</v>
      </c>
      <c r="BX784">
        <f t="shared" si="1530"/>
        <v>0</v>
      </c>
      <c r="BY784">
        <f t="shared" si="1530"/>
        <v>0</v>
      </c>
      <c r="BZ784">
        <f t="shared" si="1530"/>
        <v>0</v>
      </c>
      <c r="CA784">
        <f t="shared" si="1530"/>
        <v>0</v>
      </c>
      <c r="CB784">
        <f t="shared" si="1530"/>
        <v>0</v>
      </c>
      <c r="CC784">
        <f t="shared" si="1531"/>
        <v>0</v>
      </c>
      <c r="CD784">
        <f t="shared" si="1531"/>
        <v>0</v>
      </c>
      <c r="CE784">
        <f t="shared" si="1531"/>
        <v>0</v>
      </c>
      <c r="CF784">
        <f t="shared" si="1531"/>
        <v>0</v>
      </c>
      <c r="CG784">
        <f t="shared" si="1531"/>
        <v>0</v>
      </c>
      <c r="CH784">
        <f t="shared" si="1531"/>
        <v>0</v>
      </c>
      <c r="CI784">
        <f t="shared" si="1531"/>
        <v>0</v>
      </c>
      <c r="CJ784">
        <f t="shared" si="1531"/>
        <v>0</v>
      </c>
      <c r="CK784">
        <f t="shared" si="1531"/>
        <v>0</v>
      </c>
      <c r="CL784">
        <f t="shared" si="1531"/>
        <v>0</v>
      </c>
      <c r="CM784">
        <f t="shared" si="1532"/>
        <v>0</v>
      </c>
      <c r="CN784">
        <f t="shared" si="1532"/>
        <v>0</v>
      </c>
      <c r="CO784">
        <f t="shared" si="1532"/>
        <v>0</v>
      </c>
      <c r="CP784">
        <f t="shared" si="1532"/>
        <v>0</v>
      </c>
      <c r="CQ784">
        <f t="shared" si="1532"/>
        <v>0</v>
      </c>
      <c r="CR784">
        <f t="shared" si="1532"/>
        <v>0</v>
      </c>
      <c r="CS784">
        <f t="shared" si="1532"/>
        <v>0</v>
      </c>
      <c r="CT784">
        <f t="shared" si="1532"/>
        <v>0</v>
      </c>
      <c r="CU784">
        <f t="shared" si="1532"/>
        <v>0</v>
      </c>
      <c r="CV784">
        <f t="shared" si="1532"/>
        <v>0</v>
      </c>
      <c r="CW784">
        <f t="shared" si="1533"/>
        <v>0</v>
      </c>
      <c r="CX784">
        <f t="shared" si="1533"/>
        <v>0</v>
      </c>
      <c r="CY784">
        <f t="shared" si="1533"/>
        <v>0</v>
      </c>
      <c r="CZ784">
        <f t="shared" si="1533"/>
        <v>0</v>
      </c>
      <c r="DA784">
        <f t="shared" si="1533"/>
        <v>0</v>
      </c>
      <c r="DB784">
        <f t="shared" si="1533"/>
        <v>0</v>
      </c>
      <c r="DC784">
        <f t="shared" si="1533"/>
        <v>0</v>
      </c>
      <c r="DD784">
        <f t="shared" si="1533"/>
        <v>0</v>
      </c>
      <c r="DE784">
        <f t="shared" si="1533"/>
        <v>0</v>
      </c>
      <c r="DF784">
        <f t="shared" si="1533"/>
        <v>0</v>
      </c>
      <c r="DG784">
        <f t="shared" si="1534"/>
        <v>0</v>
      </c>
      <c r="DH784">
        <f t="shared" si="1534"/>
        <v>0</v>
      </c>
      <c r="DI784">
        <f t="shared" si="1534"/>
        <v>0</v>
      </c>
      <c r="DJ784">
        <f t="shared" si="1534"/>
        <v>0</v>
      </c>
      <c r="DK784">
        <f t="shared" si="1534"/>
        <v>0</v>
      </c>
      <c r="DL784">
        <f t="shared" si="1534"/>
        <v>0</v>
      </c>
      <c r="DM784">
        <f t="shared" si="1534"/>
        <v>0</v>
      </c>
      <c r="DN784">
        <f t="shared" si="1534"/>
        <v>0</v>
      </c>
      <c r="DO784">
        <f t="shared" si="1534"/>
        <v>0</v>
      </c>
      <c r="DP784">
        <f t="shared" si="1534"/>
        <v>0</v>
      </c>
      <c r="DQ784">
        <f t="shared" si="1527"/>
        <v>0</v>
      </c>
      <c r="DR784">
        <f t="shared" si="1535"/>
        <v>0</v>
      </c>
      <c r="DS784">
        <f t="shared" si="1535"/>
        <v>0</v>
      </c>
      <c r="DT784">
        <f t="shared" si="1528"/>
        <v>0</v>
      </c>
      <c r="DU784">
        <f t="shared" si="1536"/>
        <v>0</v>
      </c>
      <c r="DV784">
        <f t="shared" si="1536"/>
        <v>0</v>
      </c>
      <c r="DW784">
        <f t="shared" si="1536"/>
        <v>0</v>
      </c>
      <c r="DX784">
        <f t="shared" si="1536"/>
        <v>0</v>
      </c>
      <c r="DY784">
        <f t="shared" si="1536"/>
        <v>0</v>
      </c>
      <c r="DZ784">
        <f t="shared" si="1536"/>
        <v>0</v>
      </c>
      <c r="EA784">
        <f t="shared" si="1536"/>
        <v>0</v>
      </c>
      <c r="EB784">
        <f t="shared" si="1536"/>
        <v>0</v>
      </c>
      <c r="EC784">
        <f t="shared" si="1536"/>
        <v>0</v>
      </c>
      <c r="ED784">
        <f t="shared" si="1536"/>
        <v>0</v>
      </c>
      <c r="EE784">
        <f t="shared" si="1536"/>
        <v>0</v>
      </c>
      <c r="EF784">
        <f t="shared" si="1536"/>
        <v>0</v>
      </c>
    </row>
    <row r="785" spans="1:136" ht="15.5">
      <c r="A785" s="90"/>
      <c r="B785" s="19" t="s">
        <v>208</v>
      </c>
      <c r="C785" s="96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34"/>
      <c r="AF785" s="34"/>
      <c r="AG785" s="34"/>
      <c r="AH785" s="34"/>
      <c r="AI785" s="34"/>
      <c r="AJ785" s="34">
        <v>6.8855811000000005</v>
      </c>
      <c r="AK785" s="34">
        <v>15.9725298</v>
      </c>
      <c r="AL785" s="34">
        <v>2.9493214000000001</v>
      </c>
      <c r="AM785" s="34">
        <v>3.3162799000000001</v>
      </c>
      <c r="AN785" s="34">
        <v>3.6029529999999999</v>
      </c>
      <c r="AO785" s="34">
        <v>2.8982776000000001</v>
      </c>
      <c r="AP785" s="34">
        <v>2.1196799</v>
      </c>
      <c r="AQ785" s="34">
        <v>0.91657699999999998</v>
      </c>
      <c r="AR785" s="34">
        <v>0.4692732</v>
      </c>
      <c r="AS785" s="34">
        <v>0</v>
      </c>
      <c r="AT785" s="34">
        <v>0</v>
      </c>
      <c r="AU785" s="34">
        <v>0</v>
      </c>
      <c r="AV785" s="34">
        <v>0</v>
      </c>
      <c r="AW785" s="34">
        <v>0</v>
      </c>
      <c r="AX785" s="34">
        <v>0</v>
      </c>
      <c r="AY785" s="34">
        <v>0</v>
      </c>
      <c r="AZ785" s="34">
        <v>0</v>
      </c>
      <c r="BA785" s="34">
        <v>0</v>
      </c>
      <c r="BB785" s="34">
        <v>0</v>
      </c>
      <c r="BC785" s="34">
        <v>0</v>
      </c>
      <c r="BD785" s="18">
        <v>0</v>
      </c>
      <c r="BE785" s="25">
        <v>0</v>
      </c>
      <c r="BF785" s="18">
        <v>0</v>
      </c>
      <c r="BG785" s="18">
        <v>0</v>
      </c>
      <c r="BH785" s="113">
        <v>0</v>
      </c>
      <c r="BI785" s="113">
        <v>0</v>
      </c>
      <c r="BJ785" s="113">
        <v>0</v>
      </c>
      <c r="BK785" s="113">
        <v>0</v>
      </c>
      <c r="BL785" s="113">
        <v>0</v>
      </c>
      <c r="BM785" s="113">
        <v>0</v>
      </c>
      <c r="BN785" s="113">
        <v>0</v>
      </c>
      <c r="BO785" s="113">
        <v>0</v>
      </c>
      <c r="BP785" s="113">
        <v>0</v>
      </c>
      <c r="BQ785" s="113">
        <v>0</v>
      </c>
      <c r="BR785" s="101"/>
      <c r="BS785">
        <f t="shared" si="1530"/>
        <v>0</v>
      </c>
      <c r="BT785">
        <f t="shared" si="1530"/>
        <v>0</v>
      </c>
      <c r="BU785">
        <f t="shared" si="1530"/>
        <v>0</v>
      </c>
      <c r="BV785">
        <f t="shared" si="1530"/>
        <v>0</v>
      </c>
      <c r="BW785">
        <f t="shared" si="1530"/>
        <v>0</v>
      </c>
      <c r="BX785">
        <f t="shared" si="1530"/>
        <v>0</v>
      </c>
      <c r="BY785">
        <f t="shared" si="1530"/>
        <v>0</v>
      </c>
      <c r="BZ785">
        <f t="shared" si="1530"/>
        <v>0</v>
      </c>
      <c r="CA785">
        <f t="shared" si="1530"/>
        <v>0</v>
      </c>
      <c r="CB785">
        <f t="shared" si="1530"/>
        <v>0</v>
      </c>
      <c r="CC785">
        <f t="shared" si="1531"/>
        <v>0</v>
      </c>
      <c r="CD785">
        <f t="shared" si="1531"/>
        <v>0</v>
      </c>
      <c r="CE785">
        <f t="shared" si="1531"/>
        <v>0</v>
      </c>
      <c r="CF785">
        <f t="shared" si="1531"/>
        <v>0</v>
      </c>
      <c r="CG785">
        <f t="shared" si="1531"/>
        <v>0</v>
      </c>
      <c r="CH785">
        <f t="shared" si="1531"/>
        <v>0</v>
      </c>
      <c r="CI785">
        <f t="shared" si="1531"/>
        <v>0</v>
      </c>
      <c r="CJ785">
        <f t="shared" si="1531"/>
        <v>0</v>
      </c>
      <c r="CK785">
        <f t="shared" si="1531"/>
        <v>0</v>
      </c>
      <c r="CL785">
        <f t="shared" si="1531"/>
        <v>0</v>
      </c>
      <c r="CM785">
        <f t="shared" si="1532"/>
        <v>0</v>
      </c>
      <c r="CN785">
        <f t="shared" si="1532"/>
        <v>0</v>
      </c>
      <c r="CO785">
        <f t="shared" si="1532"/>
        <v>0</v>
      </c>
      <c r="CP785">
        <f t="shared" si="1532"/>
        <v>0</v>
      </c>
      <c r="CQ785">
        <f t="shared" si="1532"/>
        <v>0</v>
      </c>
      <c r="CR785">
        <f t="shared" si="1532"/>
        <v>0</v>
      </c>
      <c r="CS785">
        <f t="shared" si="1532"/>
        <v>0</v>
      </c>
      <c r="CT785">
        <f t="shared" si="1532"/>
        <v>0</v>
      </c>
      <c r="CU785">
        <f t="shared" si="1532"/>
        <v>0</v>
      </c>
      <c r="CV785">
        <f t="shared" si="1532"/>
        <v>0</v>
      </c>
      <c r="CW785">
        <f t="shared" si="1533"/>
        <v>0</v>
      </c>
      <c r="CX785">
        <f t="shared" si="1533"/>
        <v>0</v>
      </c>
      <c r="CY785">
        <f t="shared" si="1533"/>
        <v>0</v>
      </c>
      <c r="CZ785">
        <f t="shared" si="1533"/>
        <v>0</v>
      </c>
      <c r="DA785">
        <f t="shared" si="1533"/>
        <v>0</v>
      </c>
      <c r="DB785">
        <f t="shared" si="1533"/>
        <v>0</v>
      </c>
      <c r="DC785">
        <f t="shared" si="1533"/>
        <v>0</v>
      </c>
      <c r="DD785">
        <f t="shared" si="1533"/>
        <v>0</v>
      </c>
      <c r="DE785">
        <f t="shared" si="1533"/>
        <v>0</v>
      </c>
      <c r="DF785">
        <f t="shared" si="1533"/>
        <v>0</v>
      </c>
      <c r="DG785">
        <f t="shared" si="1534"/>
        <v>0</v>
      </c>
      <c r="DH785">
        <f t="shared" si="1534"/>
        <v>0</v>
      </c>
      <c r="DI785">
        <f t="shared" si="1534"/>
        <v>0</v>
      </c>
      <c r="DJ785">
        <f t="shared" si="1534"/>
        <v>0</v>
      </c>
      <c r="DK785">
        <f t="shared" si="1534"/>
        <v>0</v>
      </c>
      <c r="DL785">
        <f t="shared" si="1534"/>
        <v>0</v>
      </c>
      <c r="DM785">
        <f t="shared" si="1534"/>
        <v>0</v>
      </c>
      <c r="DN785">
        <f t="shared" si="1534"/>
        <v>0</v>
      </c>
      <c r="DO785">
        <f t="shared" si="1534"/>
        <v>0</v>
      </c>
      <c r="DP785">
        <f t="shared" si="1534"/>
        <v>0</v>
      </c>
      <c r="DQ785">
        <f t="shared" si="1527"/>
        <v>0</v>
      </c>
      <c r="DR785">
        <f t="shared" si="1535"/>
        <v>0</v>
      </c>
      <c r="DS785">
        <f t="shared" si="1535"/>
        <v>0</v>
      </c>
      <c r="DT785">
        <f t="shared" si="1528"/>
        <v>0</v>
      </c>
      <c r="DU785">
        <f t="shared" si="1536"/>
        <v>0</v>
      </c>
      <c r="DV785">
        <f t="shared" si="1536"/>
        <v>0</v>
      </c>
      <c r="DW785">
        <f t="shared" si="1536"/>
        <v>0</v>
      </c>
      <c r="DX785">
        <f t="shared" si="1536"/>
        <v>0</v>
      </c>
      <c r="DY785">
        <f t="shared" si="1536"/>
        <v>0</v>
      </c>
      <c r="DZ785">
        <f t="shared" si="1536"/>
        <v>0</v>
      </c>
      <c r="EA785">
        <f t="shared" si="1536"/>
        <v>0</v>
      </c>
      <c r="EB785">
        <f t="shared" si="1536"/>
        <v>0</v>
      </c>
      <c r="EC785">
        <f t="shared" si="1536"/>
        <v>0</v>
      </c>
      <c r="ED785">
        <f t="shared" si="1536"/>
        <v>0</v>
      </c>
      <c r="EE785">
        <f t="shared" si="1536"/>
        <v>0</v>
      </c>
      <c r="EF785">
        <f t="shared" si="1536"/>
        <v>0</v>
      </c>
    </row>
    <row r="786" spans="1:136" ht="15.5">
      <c r="A786" s="90"/>
      <c r="B786" s="53" t="s">
        <v>21</v>
      </c>
      <c r="C786" s="94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>
        <v>0</v>
      </c>
      <c r="AK786" s="18">
        <v>0</v>
      </c>
      <c r="AL786" s="18">
        <v>0</v>
      </c>
      <c r="AM786" s="18">
        <v>0</v>
      </c>
      <c r="AN786" s="18">
        <v>0</v>
      </c>
      <c r="AO786" s="18">
        <v>56.33</v>
      </c>
      <c r="AP786" s="18">
        <f>AO786+0.6725</f>
        <v>57.002499999999998</v>
      </c>
      <c r="AQ786" s="18">
        <f>AP786+0.6725</f>
        <v>57.674999999999997</v>
      </c>
      <c r="AR786" s="18">
        <f>AQ786+0.6725</f>
        <v>58.347499999999997</v>
      </c>
      <c r="AS786" s="18">
        <f>AR786+0.6725</f>
        <v>59.019999999999996</v>
      </c>
      <c r="AT786" s="18">
        <v>0</v>
      </c>
      <c r="AU786" s="18">
        <v>0</v>
      </c>
      <c r="AV786" s="18">
        <v>0</v>
      </c>
      <c r="AW786" s="18">
        <v>0</v>
      </c>
      <c r="AX786" s="18">
        <v>0</v>
      </c>
      <c r="AY786" s="18">
        <v>0</v>
      </c>
      <c r="AZ786" s="18">
        <v>0</v>
      </c>
      <c r="BA786" s="18">
        <v>0</v>
      </c>
      <c r="BB786" s="18">
        <v>0</v>
      </c>
      <c r="BC786" s="18">
        <v>0</v>
      </c>
      <c r="BD786" s="18">
        <v>0</v>
      </c>
      <c r="BE786" s="18">
        <v>0</v>
      </c>
      <c r="BF786" s="18">
        <v>0</v>
      </c>
      <c r="BG786" s="18">
        <v>0</v>
      </c>
      <c r="BH786" s="18">
        <v>0</v>
      </c>
      <c r="BI786" s="18">
        <v>0</v>
      </c>
      <c r="BJ786" s="113">
        <v>0</v>
      </c>
      <c r="BK786" s="113">
        <v>0</v>
      </c>
      <c r="BL786" s="113">
        <v>0</v>
      </c>
      <c r="BM786" s="113">
        <v>0</v>
      </c>
      <c r="BN786" s="113">
        <v>0</v>
      </c>
      <c r="BO786" s="113">
        <v>0</v>
      </c>
      <c r="BP786" s="113">
        <v>0</v>
      </c>
      <c r="BQ786" s="113">
        <v>0</v>
      </c>
      <c r="BR786" s="101"/>
      <c r="BS786">
        <f t="shared" si="1530"/>
        <v>0</v>
      </c>
      <c r="BT786">
        <f t="shared" si="1530"/>
        <v>0</v>
      </c>
      <c r="BU786">
        <f t="shared" si="1530"/>
        <v>0</v>
      </c>
      <c r="BV786">
        <f t="shared" si="1530"/>
        <v>0</v>
      </c>
      <c r="BW786">
        <f t="shared" si="1530"/>
        <v>0</v>
      </c>
      <c r="BX786">
        <f t="shared" si="1530"/>
        <v>0</v>
      </c>
      <c r="BY786">
        <f t="shared" si="1530"/>
        <v>0</v>
      </c>
      <c r="BZ786">
        <f t="shared" si="1530"/>
        <v>0</v>
      </c>
      <c r="CA786">
        <f t="shared" si="1530"/>
        <v>0</v>
      </c>
      <c r="CB786">
        <f t="shared" si="1530"/>
        <v>0</v>
      </c>
      <c r="CC786">
        <f t="shared" si="1531"/>
        <v>0</v>
      </c>
      <c r="CD786">
        <f t="shared" si="1531"/>
        <v>0</v>
      </c>
      <c r="CE786">
        <f t="shared" si="1531"/>
        <v>0</v>
      </c>
      <c r="CF786">
        <f t="shared" si="1531"/>
        <v>0</v>
      </c>
      <c r="CG786">
        <f t="shared" si="1531"/>
        <v>0</v>
      </c>
      <c r="CH786">
        <f t="shared" si="1531"/>
        <v>0</v>
      </c>
      <c r="CI786">
        <f t="shared" si="1531"/>
        <v>0</v>
      </c>
      <c r="CJ786">
        <f t="shared" si="1531"/>
        <v>0</v>
      </c>
      <c r="CK786">
        <f t="shared" si="1531"/>
        <v>0</v>
      </c>
      <c r="CL786">
        <f t="shared" si="1531"/>
        <v>0</v>
      </c>
      <c r="CM786">
        <f t="shared" si="1532"/>
        <v>0</v>
      </c>
      <c r="CN786">
        <f t="shared" si="1532"/>
        <v>0</v>
      </c>
      <c r="CO786">
        <f t="shared" si="1532"/>
        <v>0</v>
      </c>
      <c r="CP786">
        <f t="shared" si="1532"/>
        <v>0</v>
      </c>
      <c r="CQ786">
        <f t="shared" si="1532"/>
        <v>0</v>
      </c>
      <c r="CR786">
        <f t="shared" si="1532"/>
        <v>0</v>
      </c>
      <c r="CS786">
        <f t="shared" si="1532"/>
        <v>0</v>
      </c>
      <c r="CT786">
        <f t="shared" si="1532"/>
        <v>0</v>
      </c>
      <c r="CU786">
        <f t="shared" si="1532"/>
        <v>0</v>
      </c>
      <c r="CV786">
        <f t="shared" si="1532"/>
        <v>0</v>
      </c>
      <c r="CW786">
        <f t="shared" si="1533"/>
        <v>0</v>
      </c>
      <c r="CX786">
        <f t="shared" si="1533"/>
        <v>0</v>
      </c>
      <c r="CY786">
        <f t="shared" si="1533"/>
        <v>0</v>
      </c>
      <c r="CZ786">
        <f t="shared" si="1533"/>
        <v>0</v>
      </c>
      <c r="DA786">
        <f t="shared" si="1533"/>
        <v>0</v>
      </c>
      <c r="DB786">
        <f t="shared" si="1533"/>
        <v>0</v>
      </c>
      <c r="DC786">
        <f t="shared" si="1533"/>
        <v>0</v>
      </c>
      <c r="DD786">
        <f t="shared" si="1533"/>
        <v>0</v>
      </c>
      <c r="DE786">
        <f t="shared" si="1533"/>
        <v>0</v>
      </c>
      <c r="DF786">
        <f t="shared" si="1533"/>
        <v>0</v>
      </c>
      <c r="DG786">
        <f t="shared" si="1534"/>
        <v>0</v>
      </c>
      <c r="DH786">
        <f t="shared" si="1534"/>
        <v>0</v>
      </c>
      <c r="DI786">
        <f t="shared" si="1534"/>
        <v>0</v>
      </c>
      <c r="DJ786">
        <f t="shared" si="1534"/>
        <v>0</v>
      </c>
      <c r="DK786">
        <f t="shared" si="1534"/>
        <v>0</v>
      </c>
      <c r="DL786">
        <f t="shared" si="1534"/>
        <v>0</v>
      </c>
      <c r="DM786">
        <f t="shared" si="1534"/>
        <v>0</v>
      </c>
      <c r="DN786">
        <f t="shared" si="1534"/>
        <v>0</v>
      </c>
      <c r="DO786">
        <f t="shared" si="1534"/>
        <v>0</v>
      </c>
      <c r="DP786">
        <f t="shared" si="1534"/>
        <v>0</v>
      </c>
      <c r="DQ786">
        <f t="shared" si="1527"/>
        <v>0</v>
      </c>
      <c r="DR786">
        <f t="shared" si="1535"/>
        <v>0</v>
      </c>
      <c r="DS786">
        <f t="shared" si="1535"/>
        <v>0</v>
      </c>
      <c r="DT786">
        <f t="shared" si="1528"/>
        <v>0</v>
      </c>
      <c r="DU786">
        <f t="shared" si="1536"/>
        <v>0</v>
      </c>
      <c r="DV786">
        <f t="shared" si="1536"/>
        <v>0</v>
      </c>
      <c r="DW786">
        <f t="shared" si="1536"/>
        <v>0</v>
      </c>
      <c r="DX786">
        <f t="shared" si="1536"/>
        <v>0</v>
      </c>
      <c r="DY786">
        <f t="shared" si="1536"/>
        <v>0</v>
      </c>
      <c r="DZ786">
        <f t="shared" si="1536"/>
        <v>0</v>
      </c>
      <c r="EA786">
        <f t="shared" si="1536"/>
        <v>0</v>
      </c>
      <c r="EB786">
        <f t="shared" si="1536"/>
        <v>0</v>
      </c>
      <c r="EC786">
        <f t="shared" si="1536"/>
        <v>0</v>
      </c>
      <c r="ED786">
        <f t="shared" si="1536"/>
        <v>0</v>
      </c>
      <c r="EE786">
        <f t="shared" si="1536"/>
        <v>0</v>
      </c>
      <c r="EF786">
        <f t="shared" si="1536"/>
        <v>0</v>
      </c>
    </row>
    <row r="787" spans="1:136" ht="15.5">
      <c r="A787" s="90"/>
      <c r="B787" s="19" t="s">
        <v>212</v>
      </c>
      <c r="C787" s="94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>
        <v>0</v>
      </c>
      <c r="AI787" s="18">
        <v>0</v>
      </c>
      <c r="AJ787" s="18">
        <v>0</v>
      </c>
      <c r="AK787" s="18">
        <v>0</v>
      </c>
      <c r="AL787" s="18">
        <v>0</v>
      </c>
      <c r="AM787" s="18">
        <v>0</v>
      </c>
      <c r="AN787" s="18">
        <v>0</v>
      </c>
      <c r="AO787" s="18">
        <v>0</v>
      </c>
      <c r="AP787" s="18">
        <v>0</v>
      </c>
      <c r="AQ787" s="18">
        <f>0.018*906</f>
        <v>16.308</v>
      </c>
      <c r="AR787" s="18">
        <f>0.023*970</f>
        <v>22.31</v>
      </c>
      <c r="AS787" s="18">
        <f>0.007*1030</f>
        <v>7.21</v>
      </c>
      <c r="AT787" s="18">
        <v>0</v>
      </c>
      <c r="AU787" s="18">
        <v>0</v>
      </c>
      <c r="AV787" s="18">
        <f>0.007*1516</f>
        <v>10.612</v>
      </c>
      <c r="AW787" s="18">
        <v>0</v>
      </c>
      <c r="AX787" s="18">
        <v>0</v>
      </c>
      <c r="AY787" s="18">
        <v>0</v>
      </c>
      <c r="AZ787" s="18">
        <f>3500/1166</f>
        <v>3.0017152658662094</v>
      </c>
      <c r="BA787" s="18">
        <f>(0.034*6591000/1443)</f>
        <v>155.29729729729732</v>
      </c>
      <c r="BB787" s="18">
        <f>(0.026*8415000)/1257</f>
        <v>174.05727923627686</v>
      </c>
      <c r="BC787" s="18">
        <f>(0.02*11088000)/1396</f>
        <v>158.85386819484242</v>
      </c>
      <c r="BD787" s="18">
        <f>0.016*10258</f>
        <v>164.12800000000001</v>
      </c>
      <c r="BE787" s="25">
        <v>0</v>
      </c>
      <c r="BF787" s="25">
        <v>0</v>
      </c>
      <c r="BG787" s="18">
        <v>0</v>
      </c>
      <c r="BH787" s="18">
        <v>0</v>
      </c>
      <c r="BI787" s="18">
        <v>0</v>
      </c>
      <c r="BJ787" s="113">
        <v>0</v>
      </c>
      <c r="BK787" s="113">
        <v>0</v>
      </c>
      <c r="BL787" s="113">
        <v>0</v>
      </c>
      <c r="BM787" s="113">
        <v>0</v>
      </c>
      <c r="BN787" s="113">
        <v>0</v>
      </c>
      <c r="BO787" s="113">
        <v>0</v>
      </c>
      <c r="BP787" s="113">
        <v>0</v>
      </c>
      <c r="BQ787" s="113">
        <v>0</v>
      </c>
      <c r="BR787" s="101"/>
      <c r="BS787">
        <f t="shared" si="1530"/>
        <v>0</v>
      </c>
      <c r="BT787">
        <f t="shared" si="1530"/>
        <v>0</v>
      </c>
      <c r="BU787">
        <f t="shared" si="1530"/>
        <v>0</v>
      </c>
      <c r="BV787">
        <f t="shared" si="1530"/>
        <v>0</v>
      </c>
      <c r="BW787">
        <f t="shared" si="1530"/>
        <v>0</v>
      </c>
      <c r="BX787">
        <f t="shared" si="1530"/>
        <v>0</v>
      </c>
      <c r="BY787">
        <f t="shared" si="1530"/>
        <v>0</v>
      </c>
      <c r="BZ787">
        <f t="shared" si="1530"/>
        <v>0</v>
      </c>
      <c r="CA787">
        <f t="shared" si="1530"/>
        <v>0</v>
      </c>
      <c r="CB787">
        <f t="shared" si="1530"/>
        <v>0</v>
      </c>
      <c r="CC787">
        <f t="shared" si="1531"/>
        <v>0</v>
      </c>
      <c r="CD787">
        <f t="shared" si="1531"/>
        <v>0</v>
      </c>
      <c r="CE787">
        <f t="shared" si="1531"/>
        <v>0</v>
      </c>
      <c r="CF787">
        <f t="shared" si="1531"/>
        <v>0</v>
      </c>
      <c r="CG787">
        <f t="shared" si="1531"/>
        <v>0</v>
      </c>
      <c r="CH787">
        <f t="shared" si="1531"/>
        <v>0</v>
      </c>
      <c r="CI787">
        <f t="shared" si="1531"/>
        <v>0</v>
      </c>
      <c r="CJ787">
        <f t="shared" si="1531"/>
        <v>0</v>
      </c>
      <c r="CK787">
        <f t="shared" si="1531"/>
        <v>0</v>
      </c>
      <c r="CL787">
        <f t="shared" si="1531"/>
        <v>0</v>
      </c>
      <c r="CM787">
        <f t="shared" si="1532"/>
        <v>0</v>
      </c>
      <c r="CN787">
        <f t="shared" si="1532"/>
        <v>0</v>
      </c>
      <c r="CO787">
        <f t="shared" si="1532"/>
        <v>0</v>
      </c>
      <c r="CP787">
        <f t="shared" si="1532"/>
        <v>0</v>
      </c>
      <c r="CQ787">
        <f t="shared" si="1532"/>
        <v>0</v>
      </c>
      <c r="CR787">
        <f t="shared" si="1532"/>
        <v>0</v>
      </c>
      <c r="CS787">
        <f t="shared" si="1532"/>
        <v>0</v>
      </c>
      <c r="CT787">
        <f t="shared" si="1532"/>
        <v>0</v>
      </c>
      <c r="CU787">
        <f t="shared" si="1532"/>
        <v>0</v>
      </c>
      <c r="CV787">
        <f t="shared" si="1532"/>
        <v>0</v>
      </c>
      <c r="CW787">
        <f t="shared" si="1533"/>
        <v>0</v>
      </c>
      <c r="CX787">
        <f t="shared" si="1533"/>
        <v>0</v>
      </c>
      <c r="CY787">
        <f t="shared" si="1533"/>
        <v>0</v>
      </c>
      <c r="CZ787">
        <f t="shared" si="1533"/>
        <v>0</v>
      </c>
      <c r="DA787">
        <f t="shared" si="1533"/>
        <v>0</v>
      </c>
      <c r="DB787">
        <f t="shared" si="1533"/>
        <v>0</v>
      </c>
      <c r="DC787">
        <f t="shared" si="1533"/>
        <v>0</v>
      </c>
      <c r="DD787">
        <f t="shared" si="1533"/>
        <v>0</v>
      </c>
      <c r="DE787">
        <f t="shared" si="1533"/>
        <v>0</v>
      </c>
      <c r="DF787">
        <f t="shared" si="1533"/>
        <v>0</v>
      </c>
      <c r="DG787">
        <f t="shared" si="1534"/>
        <v>0</v>
      </c>
      <c r="DH787">
        <f t="shared" si="1534"/>
        <v>0</v>
      </c>
      <c r="DI787">
        <f t="shared" si="1534"/>
        <v>0</v>
      </c>
      <c r="DJ787">
        <f t="shared" si="1534"/>
        <v>0</v>
      </c>
      <c r="DK787">
        <f t="shared" si="1534"/>
        <v>0</v>
      </c>
      <c r="DL787">
        <f t="shared" si="1534"/>
        <v>0</v>
      </c>
      <c r="DM787">
        <f t="shared" si="1534"/>
        <v>0</v>
      </c>
      <c r="DN787">
        <f t="shared" si="1534"/>
        <v>0</v>
      </c>
      <c r="DO787">
        <f t="shared" si="1534"/>
        <v>0</v>
      </c>
      <c r="DP787">
        <f t="shared" si="1534"/>
        <v>0</v>
      </c>
      <c r="DQ787">
        <f t="shared" si="1527"/>
        <v>0</v>
      </c>
      <c r="DR787">
        <f t="shared" si="1535"/>
        <v>0</v>
      </c>
      <c r="DS787">
        <f t="shared" si="1535"/>
        <v>0</v>
      </c>
      <c r="DT787">
        <f t="shared" si="1528"/>
        <v>0</v>
      </c>
      <c r="DU787">
        <f t="shared" si="1536"/>
        <v>0</v>
      </c>
      <c r="DV787">
        <f t="shared" si="1536"/>
        <v>0</v>
      </c>
      <c r="DW787">
        <f t="shared" si="1536"/>
        <v>0</v>
      </c>
      <c r="DX787">
        <f t="shared" si="1536"/>
        <v>0</v>
      </c>
      <c r="DY787">
        <f t="shared" si="1536"/>
        <v>0</v>
      </c>
      <c r="DZ787">
        <f t="shared" si="1536"/>
        <v>0</v>
      </c>
      <c r="EA787">
        <f t="shared" si="1536"/>
        <v>0</v>
      </c>
      <c r="EB787">
        <f t="shared" si="1536"/>
        <v>0</v>
      </c>
      <c r="EC787">
        <f t="shared" si="1536"/>
        <v>0</v>
      </c>
      <c r="ED787">
        <f t="shared" si="1536"/>
        <v>0</v>
      </c>
      <c r="EE787">
        <f t="shared" si="1536"/>
        <v>0</v>
      </c>
      <c r="EF787">
        <f t="shared" si="1536"/>
        <v>0</v>
      </c>
    </row>
    <row r="788" spans="1:136" ht="15.5">
      <c r="A788" s="90"/>
      <c r="B788" s="53"/>
      <c r="C788" s="94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/>
      <c r="AV788" s="18"/>
      <c r="AW788" s="18"/>
      <c r="AX788" s="18"/>
      <c r="AY788" s="18"/>
      <c r="AZ788" s="18"/>
      <c r="BA788" s="18"/>
      <c r="BB788" s="18"/>
      <c r="BC788" s="18"/>
      <c r="BD788" s="18"/>
      <c r="BE788" s="25"/>
      <c r="BF788" s="25"/>
      <c r="BG788" s="18"/>
      <c r="BH788" s="2"/>
      <c r="BI788" s="2"/>
      <c r="BJ788" s="2"/>
      <c r="BK788" s="2"/>
      <c r="BL788" s="4"/>
      <c r="BM788" s="2"/>
      <c r="BN788" s="2"/>
      <c r="BO788" s="2"/>
      <c r="BP788" s="2"/>
      <c r="BQ788" s="2"/>
      <c r="BR788" s="101"/>
    </row>
    <row r="789" spans="1:136" ht="15.5">
      <c r="A789" s="93">
        <v>99</v>
      </c>
      <c r="B789" s="52" t="s">
        <v>170</v>
      </c>
      <c r="C789" s="94">
        <v>3</v>
      </c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22">
        <f t="shared" ref="AU789:BQ789" si="1537">AU790</f>
        <v>4</v>
      </c>
      <c r="AV789" s="22">
        <f t="shared" si="1537"/>
        <v>209</v>
      </c>
      <c r="AW789" s="22">
        <f t="shared" si="1537"/>
        <v>4</v>
      </c>
      <c r="AX789" s="22">
        <f t="shared" si="1537"/>
        <v>0</v>
      </c>
      <c r="AY789" s="22">
        <f t="shared" si="1537"/>
        <v>205</v>
      </c>
      <c r="AZ789" s="22">
        <f t="shared" si="1537"/>
        <v>0</v>
      </c>
      <c r="BA789" s="22">
        <f t="shared" si="1537"/>
        <v>0</v>
      </c>
      <c r="BB789" s="22">
        <f t="shared" si="1537"/>
        <v>0</v>
      </c>
      <c r="BC789" s="22">
        <f t="shared" si="1537"/>
        <v>15</v>
      </c>
      <c r="BD789" s="22">
        <f t="shared" si="1537"/>
        <v>1</v>
      </c>
      <c r="BE789" s="22">
        <f t="shared" si="1537"/>
        <v>0</v>
      </c>
      <c r="BF789" s="22">
        <f t="shared" si="1537"/>
        <v>0</v>
      </c>
      <c r="BG789" s="22">
        <f t="shared" si="1537"/>
        <v>0</v>
      </c>
      <c r="BH789" s="22">
        <f t="shared" si="1537"/>
        <v>0</v>
      </c>
      <c r="BI789" s="22">
        <f t="shared" si="1537"/>
        <v>0</v>
      </c>
      <c r="BJ789" s="4">
        <f t="shared" si="1537"/>
        <v>0</v>
      </c>
      <c r="BK789" s="4">
        <f t="shared" si="1537"/>
        <v>0</v>
      </c>
      <c r="BL789" s="4">
        <f t="shared" si="1537"/>
        <v>0</v>
      </c>
      <c r="BM789" s="4">
        <f t="shared" si="1537"/>
        <v>0</v>
      </c>
      <c r="BN789" s="4">
        <f t="shared" si="1537"/>
        <v>0</v>
      </c>
      <c r="BO789" s="4">
        <f t="shared" si="1537"/>
        <v>0</v>
      </c>
      <c r="BP789" s="4">
        <f t="shared" si="1537"/>
        <v>0</v>
      </c>
      <c r="BQ789" s="4">
        <f t="shared" si="1537"/>
        <v>0</v>
      </c>
      <c r="BR789" s="101"/>
      <c r="BS789">
        <f t="shared" ref="BS789:CB791" si="1538">IF($C789&lt;&gt;"",IF(D789&gt;0,1,0),0)</f>
        <v>0</v>
      </c>
      <c r="BT789">
        <f t="shared" si="1538"/>
        <v>0</v>
      </c>
      <c r="BU789">
        <f t="shared" si="1538"/>
        <v>0</v>
      </c>
      <c r="BV789">
        <f t="shared" si="1538"/>
        <v>0</v>
      </c>
      <c r="BW789">
        <f t="shared" si="1538"/>
        <v>0</v>
      </c>
      <c r="BX789">
        <f t="shared" si="1538"/>
        <v>0</v>
      </c>
      <c r="BY789">
        <f t="shared" si="1538"/>
        <v>0</v>
      </c>
      <c r="BZ789">
        <f t="shared" si="1538"/>
        <v>0</v>
      </c>
      <c r="CA789">
        <f t="shared" si="1538"/>
        <v>0</v>
      </c>
      <c r="CB789">
        <f t="shared" si="1538"/>
        <v>0</v>
      </c>
      <c r="CC789">
        <f t="shared" ref="CC789:CL791" si="1539">IF($C789&lt;&gt;"",IF(N789&gt;0,1,0),0)</f>
        <v>0</v>
      </c>
      <c r="CD789">
        <f t="shared" si="1539"/>
        <v>0</v>
      </c>
      <c r="CE789">
        <f t="shared" si="1539"/>
        <v>0</v>
      </c>
      <c r="CF789">
        <f t="shared" si="1539"/>
        <v>0</v>
      </c>
      <c r="CG789">
        <f t="shared" si="1539"/>
        <v>0</v>
      </c>
      <c r="CH789">
        <f t="shared" si="1539"/>
        <v>0</v>
      </c>
      <c r="CI789">
        <f t="shared" si="1539"/>
        <v>0</v>
      </c>
      <c r="CJ789">
        <f t="shared" si="1539"/>
        <v>0</v>
      </c>
      <c r="CK789">
        <f t="shared" si="1539"/>
        <v>0</v>
      </c>
      <c r="CL789">
        <f t="shared" si="1539"/>
        <v>0</v>
      </c>
      <c r="CM789">
        <f t="shared" ref="CM789:CV791" si="1540">IF($C789&lt;&gt;"",IF(X789&gt;0,1,0),0)</f>
        <v>0</v>
      </c>
      <c r="CN789">
        <f t="shared" si="1540"/>
        <v>0</v>
      </c>
      <c r="CO789">
        <f t="shared" si="1540"/>
        <v>0</v>
      </c>
      <c r="CP789">
        <f t="shared" si="1540"/>
        <v>0</v>
      </c>
      <c r="CQ789">
        <f t="shared" si="1540"/>
        <v>0</v>
      </c>
      <c r="CR789">
        <f t="shared" si="1540"/>
        <v>0</v>
      </c>
      <c r="CS789">
        <f t="shared" si="1540"/>
        <v>0</v>
      </c>
      <c r="CT789">
        <f t="shared" si="1540"/>
        <v>0</v>
      </c>
      <c r="CU789">
        <f t="shared" si="1540"/>
        <v>0</v>
      </c>
      <c r="CV789">
        <f t="shared" si="1540"/>
        <v>0</v>
      </c>
      <c r="CW789">
        <f t="shared" ref="CW789:DF791" si="1541">IF($C789&lt;&gt;"",IF(AH789&gt;0,1,0),0)</f>
        <v>0</v>
      </c>
      <c r="CX789">
        <f t="shared" si="1541"/>
        <v>0</v>
      </c>
      <c r="CY789">
        <f t="shared" si="1541"/>
        <v>0</v>
      </c>
      <c r="CZ789">
        <f t="shared" si="1541"/>
        <v>0</v>
      </c>
      <c r="DA789">
        <f t="shared" si="1541"/>
        <v>0</v>
      </c>
      <c r="DB789">
        <f t="shared" si="1541"/>
        <v>0</v>
      </c>
      <c r="DC789">
        <f t="shared" si="1541"/>
        <v>0</v>
      </c>
      <c r="DD789">
        <f t="shared" si="1541"/>
        <v>0</v>
      </c>
      <c r="DE789">
        <f t="shared" si="1541"/>
        <v>0</v>
      </c>
      <c r="DF789">
        <f t="shared" si="1541"/>
        <v>0</v>
      </c>
      <c r="DG789">
        <f t="shared" ref="DG789:DP791" si="1542">IF($C789&lt;&gt;"",IF(AR789&gt;0,1,0),0)</f>
        <v>0</v>
      </c>
      <c r="DH789">
        <f t="shared" si="1542"/>
        <v>0</v>
      </c>
      <c r="DI789">
        <f t="shared" si="1542"/>
        <v>0</v>
      </c>
      <c r="DJ789">
        <f t="shared" si="1542"/>
        <v>1</v>
      </c>
      <c r="DK789">
        <f t="shared" si="1542"/>
        <v>1</v>
      </c>
      <c r="DL789">
        <f t="shared" si="1542"/>
        <v>1</v>
      </c>
      <c r="DM789">
        <f t="shared" si="1542"/>
        <v>0</v>
      </c>
      <c r="DN789">
        <f t="shared" si="1542"/>
        <v>1</v>
      </c>
      <c r="DO789">
        <f t="shared" si="1542"/>
        <v>0</v>
      </c>
      <c r="DP789">
        <f t="shared" si="1542"/>
        <v>0</v>
      </c>
      <c r="DQ789">
        <f t="shared" ref="DQ789:DZ791" si="1543">IF($C789&lt;&gt;"",IF(BB789&gt;0,1,0),0)</f>
        <v>0</v>
      </c>
      <c r="DR789">
        <f t="shared" si="1543"/>
        <v>1</v>
      </c>
      <c r="DS789">
        <f t="shared" si="1543"/>
        <v>1</v>
      </c>
      <c r="DT789">
        <f t="shared" si="1543"/>
        <v>0</v>
      </c>
      <c r="DU789">
        <f t="shared" si="1543"/>
        <v>0</v>
      </c>
      <c r="DV789">
        <f t="shared" si="1543"/>
        <v>0</v>
      </c>
      <c r="DW789">
        <f t="shared" si="1543"/>
        <v>0</v>
      </c>
      <c r="DX789">
        <f t="shared" si="1543"/>
        <v>0</v>
      </c>
      <c r="DY789">
        <f t="shared" si="1543"/>
        <v>0</v>
      </c>
      <c r="DZ789">
        <f t="shared" si="1543"/>
        <v>0</v>
      </c>
      <c r="EA789">
        <f t="shared" ref="EA789:EF791" si="1544">IF($C789&lt;&gt;"",IF(BL789&gt;0,1,0),0)</f>
        <v>0</v>
      </c>
      <c r="EB789">
        <f t="shared" si="1544"/>
        <v>0</v>
      </c>
      <c r="EC789">
        <f t="shared" si="1544"/>
        <v>0</v>
      </c>
      <c r="ED789">
        <f t="shared" si="1544"/>
        <v>0</v>
      </c>
      <c r="EE789">
        <f t="shared" si="1544"/>
        <v>0</v>
      </c>
      <c r="EF789">
        <f t="shared" si="1544"/>
        <v>0</v>
      </c>
    </row>
    <row r="790" spans="1:136" ht="15.5">
      <c r="A790" s="90"/>
      <c r="B790" s="19" t="s">
        <v>3</v>
      </c>
      <c r="C790" s="94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  <c r="AU790" s="18">
        <v>4</v>
      </c>
      <c r="AV790" s="18">
        <v>209</v>
      </c>
      <c r="AW790" s="18">
        <v>4</v>
      </c>
      <c r="AX790" s="18">
        <v>0</v>
      </c>
      <c r="AY790" s="18">
        <v>205</v>
      </c>
      <c r="AZ790" s="18">
        <v>0</v>
      </c>
      <c r="BA790" s="18">
        <v>0</v>
      </c>
      <c r="BB790" s="18">
        <v>0</v>
      </c>
      <c r="BC790" s="18">
        <v>15</v>
      </c>
      <c r="BD790" s="18">
        <v>1</v>
      </c>
      <c r="BE790" s="25">
        <v>0</v>
      </c>
      <c r="BF790" s="18">
        <v>0</v>
      </c>
      <c r="BG790" s="18">
        <v>0</v>
      </c>
      <c r="BH790" s="18">
        <v>0</v>
      </c>
      <c r="BI790" s="18">
        <v>0</v>
      </c>
      <c r="BJ790" s="113">
        <v>0</v>
      </c>
      <c r="BK790" s="113">
        <v>0</v>
      </c>
      <c r="BL790" s="113">
        <v>0</v>
      </c>
      <c r="BM790" s="113">
        <v>0</v>
      </c>
      <c r="BN790" s="113">
        <v>0</v>
      </c>
      <c r="BO790" s="113">
        <v>0</v>
      </c>
      <c r="BP790" s="113">
        <v>0</v>
      </c>
      <c r="BQ790" s="113">
        <v>0</v>
      </c>
      <c r="BR790" s="101"/>
      <c r="BS790">
        <f t="shared" si="1538"/>
        <v>0</v>
      </c>
      <c r="BT790">
        <f t="shared" si="1538"/>
        <v>0</v>
      </c>
      <c r="BU790">
        <f t="shared" si="1538"/>
        <v>0</v>
      </c>
      <c r="BV790">
        <f t="shared" si="1538"/>
        <v>0</v>
      </c>
      <c r="BW790">
        <f t="shared" si="1538"/>
        <v>0</v>
      </c>
      <c r="BX790">
        <f t="shared" si="1538"/>
        <v>0</v>
      </c>
      <c r="BY790">
        <f t="shared" si="1538"/>
        <v>0</v>
      </c>
      <c r="BZ790">
        <f t="shared" si="1538"/>
        <v>0</v>
      </c>
      <c r="CA790">
        <f t="shared" si="1538"/>
        <v>0</v>
      </c>
      <c r="CB790">
        <f t="shared" si="1538"/>
        <v>0</v>
      </c>
      <c r="CC790">
        <f t="shared" si="1539"/>
        <v>0</v>
      </c>
      <c r="CD790">
        <f t="shared" si="1539"/>
        <v>0</v>
      </c>
      <c r="CE790">
        <f t="shared" si="1539"/>
        <v>0</v>
      </c>
      <c r="CF790">
        <f t="shared" si="1539"/>
        <v>0</v>
      </c>
      <c r="CG790">
        <f t="shared" si="1539"/>
        <v>0</v>
      </c>
      <c r="CH790">
        <f t="shared" si="1539"/>
        <v>0</v>
      </c>
      <c r="CI790">
        <f t="shared" si="1539"/>
        <v>0</v>
      </c>
      <c r="CJ790">
        <f t="shared" si="1539"/>
        <v>0</v>
      </c>
      <c r="CK790">
        <f t="shared" si="1539"/>
        <v>0</v>
      </c>
      <c r="CL790">
        <f t="shared" si="1539"/>
        <v>0</v>
      </c>
      <c r="CM790">
        <f t="shared" si="1540"/>
        <v>0</v>
      </c>
      <c r="CN790">
        <f t="shared" si="1540"/>
        <v>0</v>
      </c>
      <c r="CO790">
        <f t="shared" si="1540"/>
        <v>0</v>
      </c>
      <c r="CP790">
        <f t="shared" si="1540"/>
        <v>0</v>
      </c>
      <c r="CQ790">
        <f t="shared" si="1540"/>
        <v>0</v>
      </c>
      <c r="CR790">
        <f t="shared" si="1540"/>
        <v>0</v>
      </c>
      <c r="CS790">
        <f t="shared" si="1540"/>
        <v>0</v>
      </c>
      <c r="CT790">
        <f t="shared" si="1540"/>
        <v>0</v>
      </c>
      <c r="CU790">
        <f t="shared" si="1540"/>
        <v>0</v>
      </c>
      <c r="CV790">
        <f t="shared" si="1540"/>
        <v>0</v>
      </c>
      <c r="CW790">
        <f t="shared" si="1541"/>
        <v>0</v>
      </c>
      <c r="CX790">
        <f t="shared" si="1541"/>
        <v>0</v>
      </c>
      <c r="CY790">
        <f t="shared" si="1541"/>
        <v>0</v>
      </c>
      <c r="CZ790">
        <f t="shared" si="1541"/>
        <v>0</v>
      </c>
      <c r="DA790">
        <f t="shared" si="1541"/>
        <v>0</v>
      </c>
      <c r="DB790">
        <f t="shared" si="1541"/>
        <v>0</v>
      </c>
      <c r="DC790">
        <f t="shared" si="1541"/>
        <v>0</v>
      </c>
      <c r="DD790">
        <f t="shared" si="1541"/>
        <v>0</v>
      </c>
      <c r="DE790">
        <f t="shared" si="1541"/>
        <v>0</v>
      </c>
      <c r="DF790">
        <f t="shared" si="1541"/>
        <v>0</v>
      </c>
      <c r="DG790">
        <f t="shared" si="1542"/>
        <v>0</v>
      </c>
      <c r="DH790">
        <f t="shared" si="1542"/>
        <v>0</v>
      </c>
      <c r="DI790">
        <f t="shared" si="1542"/>
        <v>0</v>
      </c>
      <c r="DJ790">
        <f t="shared" si="1542"/>
        <v>0</v>
      </c>
      <c r="DK790">
        <f t="shared" si="1542"/>
        <v>0</v>
      </c>
      <c r="DL790">
        <f t="shared" si="1542"/>
        <v>0</v>
      </c>
      <c r="DM790">
        <f t="shared" si="1542"/>
        <v>0</v>
      </c>
      <c r="DN790">
        <f t="shared" si="1542"/>
        <v>0</v>
      </c>
      <c r="DO790">
        <f t="shared" si="1542"/>
        <v>0</v>
      </c>
      <c r="DP790">
        <f t="shared" si="1542"/>
        <v>0</v>
      </c>
      <c r="DQ790">
        <f t="shared" si="1543"/>
        <v>0</v>
      </c>
      <c r="DR790">
        <f t="shared" si="1543"/>
        <v>0</v>
      </c>
      <c r="DS790">
        <f t="shared" si="1543"/>
        <v>0</v>
      </c>
      <c r="DT790">
        <f t="shared" si="1543"/>
        <v>0</v>
      </c>
      <c r="DU790">
        <f t="shared" si="1543"/>
        <v>0</v>
      </c>
      <c r="DV790">
        <f t="shared" si="1543"/>
        <v>0</v>
      </c>
      <c r="DW790">
        <f t="shared" si="1543"/>
        <v>0</v>
      </c>
      <c r="DX790">
        <f t="shared" si="1543"/>
        <v>0</v>
      </c>
      <c r="DY790">
        <f t="shared" si="1543"/>
        <v>0</v>
      </c>
      <c r="DZ790">
        <f t="shared" si="1543"/>
        <v>0</v>
      </c>
      <c r="EA790">
        <f t="shared" si="1544"/>
        <v>0</v>
      </c>
      <c r="EB790">
        <f t="shared" si="1544"/>
        <v>0</v>
      </c>
      <c r="EC790">
        <f t="shared" si="1544"/>
        <v>0</v>
      </c>
      <c r="ED790">
        <f t="shared" si="1544"/>
        <v>0</v>
      </c>
      <c r="EE790">
        <f t="shared" si="1544"/>
        <v>0</v>
      </c>
      <c r="EF790">
        <f t="shared" si="1544"/>
        <v>0</v>
      </c>
    </row>
    <row r="791" spans="1:136" ht="15.5">
      <c r="A791" s="90"/>
      <c r="B791" s="19" t="s">
        <v>212</v>
      </c>
      <c r="C791" s="94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18">
        <v>0</v>
      </c>
      <c r="AV791" s="18">
        <v>0</v>
      </c>
      <c r="AW791" s="18">
        <v>0</v>
      </c>
      <c r="AX791" s="18">
        <v>339</v>
      </c>
      <c r="AY791" s="18">
        <v>269</v>
      </c>
      <c r="AZ791" s="18">
        <v>315</v>
      </c>
      <c r="BA791" s="18">
        <v>225</v>
      </c>
      <c r="BB791" s="18">
        <v>104</v>
      </c>
      <c r="BC791" s="18">
        <v>55</v>
      </c>
      <c r="BD791" s="20">
        <v>0</v>
      </c>
      <c r="BE791" s="18">
        <f>(0.015*3362)*0.73</f>
        <v>36.813899999999997</v>
      </c>
      <c r="BF791" s="18">
        <v>0</v>
      </c>
      <c r="BG791" s="18">
        <f>(0.015*3641)*0.91</f>
        <v>49.699649999999998</v>
      </c>
      <c r="BH791" s="18">
        <v>0</v>
      </c>
      <c r="BI791" s="18">
        <v>0</v>
      </c>
      <c r="BJ791" s="113">
        <v>0</v>
      </c>
      <c r="BK791" s="195" t="s">
        <v>16</v>
      </c>
      <c r="BL791" s="195" t="s">
        <v>16</v>
      </c>
      <c r="BM791" s="113">
        <v>68</v>
      </c>
      <c r="BN791" s="113">
        <v>63</v>
      </c>
      <c r="BO791" s="113">
        <v>0</v>
      </c>
      <c r="BP791" s="113">
        <v>0</v>
      </c>
      <c r="BQ791" s="113">
        <v>0</v>
      </c>
      <c r="BR791" s="101"/>
      <c r="BS791">
        <f t="shared" si="1538"/>
        <v>0</v>
      </c>
      <c r="BT791">
        <f t="shared" si="1538"/>
        <v>0</v>
      </c>
      <c r="BU791">
        <f t="shared" si="1538"/>
        <v>0</v>
      </c>
      <c r="BV791">
        <f t="shared" si="1538"/>
        <v>0</v>
      </c>
      <c r="BW791">
        <f t="shared" si="1538"/>
        <v>0</v>
      </c>
      <c r="BX791">
        <f t="shared" si="1538"/>
        <v>0</v>
      </c>
      <c r="BY791">
        <f t="shared" si="1538"/>
        <v>0</v>
      </c>
      <c r="BZ791">
        <f t="shared" si="1538"/>
        <v>0</v>
      </c>
      <c r="CA791">
        <f t="shared" si="1538"/>
        <v>0</v>
      </c>
      <c r="CB791">
        <f t="shared" si="1538"/>
        <v>0</v>
      </c>
      <c r="CC791">
        <f t="shared" si="1539"/>
        <v>0</v>
      </c>
      <c r="CD791">
        <f t="shared" si="1539"/>
        <v>0</v>
      </c>
      <c r="CE791">
        <f t="shared" si="1539"/>
        <v>0</v>
      </c>
      <c r="CF791">
        <f t="shared" si="1539"/>
        <v>0</v>
      </c>
      <c r="CG791">
        <f t="shared" si="1539"/>
        <v>0</v>
      </c>
      <c r="CH791">
        <f t="shared" si="1539"/>
        <v>0</v>
      </c>
      <c r="CI791">
        <f t="shared" si="1539"/>
        <v>0</v>
      </c>
      <c r="CJ791">
        <f t="shared" si="1539"/>
        <v>0</v>
      </c>
      <c r="CK791">
        <f t="shared" si="1539"/>
        <v>0</v>
      </c>
      <c r="CL791">
        <f t="shared" si="1539"/>
        <v>0</v>
      </c>
      <c r="CM791">
        <f t="shared" si="1540"/>
        <v>0</v>
      </c>
      <c r="CN791">
        <f t="shared" si="1540"/>
        <v>0</v>
      </c>
      <c r="CO791">
        <f t="shared" si="1540"/>
        <v>0</v>
      </c>
      <c r="CP791">
        <f t="shared" si="1540"/>
        <v>0</v>
      </c>
      <c r="CQ791">
        <f t="shared" si="1540"/>
        <v>0</v>
      </c>
      <c r="CR791">
        <f t="shared" si="1540"/>
        <v>0</v>
      </c>
      <c r="CS791">
        <f t="shared" si="1540"/>
        <v>0</v>
      </c>
      <c r="CT791">
        <f t="shared" si="1540"/>
        <v>0</v>
      </c>
      <c r="CU791">
        <f t="shared" si="1540"/>
        <v>0</v>
      </c>
      <c r="CV791">
        <f t="shared" si="1540"/>
        <v>0</v>
      </c>
      <c r="CW791">
        <f t="shared" si="1541"/>
        <v>0</v>
      </c>
      <c r="CX791">
        <f t="shared" si="1541"/>
        <v>0</v>
      </c>
      <c r="CY791">
        <f t="shared" si="1541"/>
        <v>0</v>
      </c>
      <c r="CZ791">
        <f t="shared" si="1541"/>
        <v>0</v>
      </c>
      <c r="DA791">
        <f t="shared" si="1541"/>
        <v>0</v>
      </c>
      <c r="DB791">
        <f t="shared" si="1541"/>
        <v>0</v>
      </c>
      <c r="DC791">
        <f t="shared" si="1541"/>
        <v>0</v>
      </c>
      <c r="DD791">
        <f t="shared" si="1541"/>
        <v>0</v>
      </c>
      <c r="DE791">
        <f t="shared" si="1541"/>
        <v>0</v>
      </c>
      <c r="DF791">
        <f t="shared" si="1541"/>
        <v>0</v>
      </c>
      <c r="DG791">
        <f t="shared" si="1542"/>
        <v>0</v>
      </c>
      <c r="DH791">
        <f t="shared" si="1542"/>
        <v>0</v>
      </c>
      <c r="DI791">
        <f t="shared" si="1542"/>
        <v>0</v>
      </c>
      <c r="DJ791">
        <f t="shared" si="1542"/>
        <v>0</v>
      </c>
      <c r="DK791">
        <f t="shared" si="1542"/>
        <v>0</v>
      </c>
      <c r="DL791">
        <f t="shared" si="1542"/>
        <v>0</v>
      </c>
      <c r="DM791">
        <f t="shared" si="1542"/>
        <v>0</v>
      </c>
      <c r="DN791">
        <f t="shared" si="1542"/>
        <v>0</v>
      </c>
      <c r="DO791">
        <f t="shared" si="1542"/>
        <v>0</v>
      </c>
      <c r="DP791">
        <f t="shared" si="1542"/>
        <v>0</v>
      </c>
      <c r="DQ791">
        <f t="shared" si="1543"/>
        <v>0</v>
      </c>
      <c r="DR791">
        <f t="shared" si="1543"/>
        <v>0</v>
      </c>
      <c r="DS791">
        <f t="shared" si="1543"/>
        <v>0</v>
      </c>
      <c r="DT791">
        <f t="shared" si="1543"/>
        <v>0</v>
      </c>
      <c r="DU791">
        <f t="shared" si="1543"/>
        <v>0</v>
      </c>
      <c r="DV791">
        <f t="shared" si="1543"/>
        <v>0</v>
      </c>
      <c r="DW791">
        <f t="shared" si="1543"/>
        <v>0</v>
      </c>
      <c r="DX791">
        <f t="shared" si="1543"/>
        <v>0</v>
      </c>
      <c r="DY791">
        <f t="shared" si="1543"/>
        <v>0</v>
      </c>
      <c r="DZ791">
        <f t="shared" si="1543"/>
        <v>0</v>
      </c>
      <c r="EA791">
        <f t="shared" si="1544"/>
        <v>0</v>
      </c>
      <c r="EB791">
        <f t="shared" si="1544"/>
        <v>0</v>
      </c>
      <c r="EC791">
        <f t="shared" si="1544"/>
        <v>0</v>
      </c>
      <c r="ED791">
        <f t="shared" si="1544"/>
        <v>0</v>
      </c>
      <c r="EE791">
        <f t="shared" si="1544"/>
        <v>0</v>
      </c>
      <c r="EF791">
        <f t="shared" si="1544"/>
        <v>0</v>
      </c>
    </row>
    <row r="792" spans="1:136" ht="15.5">
      <c r="A792" s="90"/>
      <c r="B792" s="19"/>
      <c r="C792" s="94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20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76"/>
      <c r="AT792" s="18"/>
      <c r="AU792" s="18"/>
      <c r="AV792" s="18"/>
      <c r="AW792" s="18"/>
      <c r="AX792" s="18"/>
      <c r="AY792" s="18"/>
      <c r="AZ792" s="18"/>
      <c r="BA792" s="18"/>
      <c r="BB792" s="20"/>
      <c r="BC792" s="20"/>
      <c r="BD792" s="20"/>
      <c r="BE792" s="56"/>
      <c r="BF792" s="18"/>
      <c r="BG792" s="20"/>
      <c r="BH792" s="2"/>
      <c r="BI792" s="2"/>
      <c r="BJ792" s="2"/>
      <c r="BK792" s="2"/>
      <c r="BL792" s="22"/>
      <c r="BM792" s="2"/>
      <c r="BN792" s="2"/>
      <c r="BO792" s="2"/>
      <c r="BP792" s="2"/>
      <c r="BQ792" s="2"/>
      <c r="BR792" s="101"/>
    </row>
    <row r="793" spans="1:136" ht="15.5">
      <c r="A793" s="93">
        <v>100</v>
      </c>
      <c r="B793" s="52" t="s">
        <v>105</v>
      </c>
      <c r="C793" s="94">
        <v>3</v>
      </c>
      <c r="D793" s="22">
        <f t="shared" ref="D793:AI793" si="1545">SUM(D794:D797)</f>
        <v>0</v>
      </c>
      <c r="E793" s="22">
        <f t="shared" si="1545"/>
        <v>0</v>
      </c>
      <c r="F793" s="22">
        <f t="shared" si="1545"/>
        <v>0</v>
      </c>
      <c r="G793" s="22">
        <f t="shared" si="1545"/>
        <v>0</v>
      </c>
      <c r="H793" s="22">
        <f t="shared" si="1545"/>
        <v>0</v>
      </c>
      <c r="I793" s="22">
        <f t="shared" si="1545"/>
        <v>0</v>
      </c>
      <c r="J793" s="22">
        <f t="shared" si="1545"/>
        <v>0</v>
      </c>
      <c r="K793" s="22">
        <f t="shared" si="1545"/>
        <v>0</v>
      </c>
      <c r="L793" s="22">
        <f t="shared" si="1545"/>
        <v>0</v>
      </c>
      <c r="M793" s="22">
        <f t="shared" si="1545"/>
        <v>0</v>
      </c>
      <c r="N793" s="22">
        <f t="shared" si="1545"/>
        <v>2.1999999999999999E-2</v>
      </c>
      <c r="O793" s="22">
        <f t="shared" si="1545"/>
        <v>0</v>
      </c>
      <c r="P793" s="22">
        <f t="shared" si="1545"/>
        <v>0.13400000000000001</v>
      </c>
      <c r="Q793" s="22">
        <f t="shared" si="1545"/>
        <v>0.14799999999999999</v>
      </c>
      <c r="R793" s="22">
        <f t="shared" si="1545"/>
        <v>0.34799999999999998</v>
      </c>
      <c r="S793" s="22">
        <f t="shared" si="1545"/>
        <v>0.23599999999999999</v>
      </c>
      <c r="T793" s="22">
        <f t="shared" si="1545"/>
        <v>0.98899999999999999</v>
      </c>
      <c r="U793" s="22">
        <f t="shared" si="1545"/>
        <v>0.23200000000000001</v>
      </c>
      <c r="V793" s="22">
        <f t="shared" si="1545"/>
        <v>0.52900000000000003</v>
      </c>
      <c r="W793" s="22">
        <f t="shared" si="1545"/>
        <v>0.26300000000000001</v>
      </c>
      <c r="X793" s="22">
        <f t="shared" si="1545"/>
        <v>5.3840000000000003</v>
      </c>
      <c r="Y793" s="22">
        <f t="shared" si="1545"/>
        <v>51.465999999999994</v>
      </c>
      <c r="Z793" s="22">
        <f t="shared" si="1545"/>
        <v>27.38</v>
      </c>
      <c r="AA793" s="22">
        <f t="shared" si="1545"/>
        <v>1277.7070000000001</v>
      </c>
      <c r="AB793" s="22">
        <f t="shared" si="1545"/>
        <v>1638.3679999999999</v>
      </c>
      <c r="AC793" s="22">
        <f t="shared" si="1545"/>
        <v>1265.6759999999999</v>
      </c>
      <c r="AD793" s="22">
        <f t="shared" si="1545"/>
        <v>1489.0070000000001</v>
      </c>
      <c r="AE793" s="22">
        <f t="shared" si="1545"/>
        <v>3879.1480000000001</v>
      </c>
      <c r="AF793" s="22">
        <f t="shared" si="1545"/>
        <v>940.00400000000002</v>
      </c>
      <c r="AG793" s="22">
        <f t="shared" si="1545"/>
        <v>1668.481</v>
      </c>
      <c r="AH793" s="22">
        <f t="shared" si="1545"/>
        <v>6349.6390000000001</v>
      </c>
      <c r="AI793" s="22">
        <f t="shared" si="1545"/>
        <v>3954.7599999999998</v>
      </c>
      <c r="AJ793" s="22">
        <f t="shared" ref="AJ793:BQ793" si="1546">SUM(AJ794:AJ797)</f>
        <v>1546.1489999999999</v>
      </c>
      <c r="AK793" s="22">
        <f t="shared" si="1546"/>
        <v>247.239</v>
      </c>
      <c r="AL793" s="22">
        <f t="shared" si="1546"/>
        <v>231.41399999999999</v>
      </c>
      <c r="AM793" s="22">
        <f t="shared" si="1546"/>
        <v>230.31899999999999</v>
      </c>
      <c r="AN793" s="22">
        <f t="shared" si="1546"/>
        <v>277.512</v>
      </c>
      <c r="AO793" s="22">
        <f t="shared" si="1546"/>
        <v>315.90100000000001</v>
      </c>
      <c r="AP793" s="22">
        <f t="shared" si="1546"/>
        <v>333.35699999999997</v>
      </c>
      <c r="AQ793" s="22">
        <f t="shared" si="1546"/>
        <v>552.36900000000003</v>
      </c>
      <c r="AR793" s="22">
        <f t="shared" si="1546"/>
        <v>774.36184830000002</v>
      </c>
      <c r="AS793" s="22">
        <f t="shared" si="1546"/>
        <v>657.22396219999996</v>
      </c>
      <c r="AT793" s="22">
        <f t="shared" si="1546"/>
        <v>654.65529729999992</v>
      </c>
      <c r="AU793" s="22">
        <f t="shared" si="1546"/>
        <v>19.372263</v>
      </c>
      <c r="AV793" s="22">
        <f t="shared" si="1546"/>
        <v>22.584728600000002</v>
      </c>
      <c r="AW793" s="22">
        <f t="shared" si="1546"/>
        <v>3.3633247000000002</v>
      </c>
      <c r="AX793" s="22">
        <f t="shared" si="1546"/>
        <v>3.6204329999999998</v>
      </c>
      <c r="AY793" s="22">
        <f t="shared" si="1546"/>
        <v>1.8154751</v>
      </c>
      <c r="AZ793" s="22">
        <f t="shared" si="1546"/>
        <v>0.80702810000000003</v>
      </c>
      <c r="BA793" s="22">
        <f t="shared" si="1546"/>
        <v>0</v>
      </c>
      <c r="BB793" s="22">
        <f t="shared" si="1546"/>
        <v>0</v>
      </c>
      <c r="BC793" s="22">
        <f t="shared" si="1546"/>
        <v>4.6058000000000002E-3</v>
      </c>
      <c r="BD793" s="22">
        <f t="shared" si="1546"/>
        <v>0</v>
      </c>
      <c r="BE793" s="22">
        <f t="shared" si="1546"/>
        <v>0</v>
      </c>
      <c r="BF793" s="22">
        <f t="shared" si="1546"/>
        <v>0</v>
      </c>
      <c r="BG793" s="22">
        <f t="shared" si="1546"/>
        <v>0</v>
      </c>
      <c r="BH793" s="22">
        <f t="shared" si="1546"/>
        <v>0</v>
      </c>
      <c r="BI793" s="22">
        <f t="shared" si="1546"/>
        <v>8.5448E-3</v>
      </c>
      <c r="BJ793" s="4">
        <f t="shared" si="1546"/>
        <v>8.3447E-3</v>
      </c>
      <c r="BK793" s="22">
        <f t="shared" si="1546"/>
        <v>6.4992799999999989E-2</v>
      </c>
      <c r="BL793" s="22">
        <f t="shared" si="1546"/>
        <v>20.796772399999998</v>
      </c>
      <c r="BM793" s="22">
        <f t="shared" si="1546"/>
        <v>11.715816800000001</v>
      </c>
      <c r="BN793" s="22">
        <f t="shared" si="1546"/>
        <v>0.15304699999999999</v>
      </c>
      <c r="BO793" s="22">
        <f t="shared" si="1546"/>
        <v>5.0983000000000001E-2</v>
      </c>
      <c r="BP793" s="22">
        <f t="shared" si="1546"/>
        <v>5.0983000000000001E-2</v>
      </c>
      <c r="BQ793" s="22">
        <f t="shared" si="1546"/>
        <v>0</v>
      </c>
      <c r="BR793" s="101"/>
      <c r="BS793">
        <f t="shared" ref="BS793:CX793" si="1547">IF($C793&lt;&gt;"",IF(D793&gt;0,1,0),0)</f>
        <v>0</v>
      </c>
      <c r="BT793">
        <f t="shared" si="1547"/>
        <v>0</v>
      </c>
      <c r="BU793">
        <f t="shared" si="1547"/>
        <v>0</v>
      </c>
      <c r="BV793">
        <f t="shared" si="1547"/>
        <v>0</v>
      </c>
      <c r="BW793">
        <f t="shared" si="1547"/>
        <v>0</v>
      </c>
      <c r="BX793">
        <f t="shared" si="1547"/>
        <v>0</v>
      </c>
      <c r="BY793">
        <f t="shared" si="1547"/>
        <v>0</v>
      </c>
      <c r="BZ793">
        <f t="shared" si="1547"/>
        <v>0</v>
      </c>
      <c r="CA793">
        <f t="shared" si="1547"/>
        <v>0</v>
      </c>
      <c r="CB793">
        <f t="shared" si="1547"/>
        <v>0</v>
      </c>
      <c r="CC793">
        <f t="shared" si="1547"/>
        <v>1</v>
      </c>
      <c r="CD793">
        <f t="shared" si="1547"/>
        <v>0</v>
      </c>
      <c r="CE793">
        <f t="shared" si="1547"/>
        <v>1</v>
      </c>
      <c r="CF793">
        <f t="shared" si="1547"/>
        <v>1</v>
      </c>
      <c r="CG793">
        <f t="shared" si="1547"/>
        <v>1</v>
      </c>
      <c r="CH793">
        <f t="shared" si="1547"/>
        <v>1</v>
      </c>
      <c r="CI793">
        <f t="shared" si="1547"/>
        <v>1</v>
      </c>
      <c r="CJ793">
        <f t="shared" si="1547"/>
        <v>1</v>
      </c>
      <c r="CK793">
        <f t="shared" si="1547"/>
        <v>1</v>
      </c>
      <c r="CL793">
        <f t="shared" si="1547"/>
        <v>1</v>
      </c>
      <c r="CM793">
        <f t="shared" si="1547"/>
        <v>1</v>
      </c>
      <c r="CN793">
        <f t="shared" si="1547"/>
        <v>1</v>
      </c>
      <c r="CO793">
        <f t="shared" si="1547"/>
        <v>1</v>
      </c>
      <c r="CP793">
        <f t="shared" si="1547"/>
        <v>1</v>
      </c>
      <c r="CQ793">
        <f t="shared" si="1547"/>
        <v>1</v>
      </c>
      <c r="CR793">
        <f t="shared" si="1547"/>
        <v>1</v>
      </c>
      <c r="CS793">
        <f t="shared" si="1547"/>
        <v>1</v>
      </c>
      <c r="CT793">
        <f t="shared" si="1547"/>
        <v>1</v>
      </c>
      <c r="CU793">
        <f t="shared" si="1547"/>
        <v>1</v>
      </c>
      <c r="CV793">
        <f t="shared" si="1547"/>
        <v>1</v>
      </c>
      <c r="CW793">
        <f t="shared" si="1547"/>
        <v>1</v>
      </c>
      <c r="CX793">
        <f t="shared" si="1547"/>
        <v>1</v>
      </c>
      <c r="CY793">
        <f t="shared" ref="CY793:ED793" si="1548">IF($C793&lt;&gt;"",IF(AJ793&gt;0,1,0),0)</f>
        <v>1</v>
      </c>
      <c r="CZ793">
        <f t="shared" si="1548"/>
        <v>1</v>
      </c>
      <c r="DA793">
        <f t="shared" si="1548"/>
        <v>1</v>
      </c>
      <c r="DB793">
        <f t="shared" si="1548"/>
        <v>1</v>
      </c>
      <c r="DC793">
        <f t="shared" si="1548"/>
        <v>1</v>
      </c>
      <c r="DD793">
        <f t="shared" si="1548"/>
        <v>1</v>
      </c>
      <c r="DE793">
        <f t="shared" si="1548"/>
        <v>1</v>
      </c>
      <c r="DF793">
        <f t="shared" si="1548"/>
        <v>1</v>
      </c>
      <c r="DG793">
        <f t="shared" si="1548"/>
        <v>1</v>
      </c>
      <c r="DH793">
        <f t="shared" si="1548"/>
        <v>1</v>
      </c>
      <c r="DI793">
        <f t="shared" si="1548"/>
        <v>1</v>
      </c>
      <c r="DJ793">
        <f t="shared" si="1548"/>
        <v>1</v>
      </c>
      <c r="DK793">
        <f t="shared" si="1548"/>
        <v>1</v>
      </c>
      <c r="DL793">
        <f t="shared" si="1548"/>
        <v>1</v>
      </c>
      <c r="DM793">
        <f t="shared" si="1548"/>
        <v>1</v>
      </c>
      <c r="DN793">
        <f t="shared" si="1548"/>
        <v>1</v>
      </c>
      <c r="DO793">
        <f t="shared" si="1548"/>
        <v>1</v>
      </c>
      <c r="DP793">
        <f t="shared" si="1548"/>
        <v>0</v>
      </c>
      <c r="DQ793">
        <f t="shared" si="1548"/>
        <v>0</v>
      </c>
      <c r="DR793">
        <f t="shared" si="1548"/>
        <v>1</v>
      </c>
      <c r="DS793">
        <f t="shared" si="1548"/>
        <v>0</v>
      </c>
      <c r="DT793">
        <f t="shared" si="1548"/>
        <v>0</v>
      </c>
      <c r="DU793">
        <f t="shared" si="1548"/>
        <v>0</v>
      </c>
      <c r="DV793">
        <f t="shared" si="1548"/>
        <v>0</v>
      </c>
      <c r="DW793">
        <f t="shared" si="1548"/>
        <v>0</v>
      </c>
      <c r="DX793">
        <f t="shared" si="1548"/>
        <v>1</v>
      </c>
      <c r="DY793">
        <f t="shared" si="1548"/>
        <v>1</v>
      </c>
      <c r="DZ793">
        <f t="shared" si="1548"/>
        <v>1</v>
      </c>
      <c r="EA793">
        <f t="shared" si="1548"/>
        <v>1</v>
      </c>
      <c r="EB793">
        <f t="shared" si="1548"/>
        <v>1</v>
      </c>
      <c r="EC793">
        <f t="shared" si="1548"/>
        <v>1</v>
      </c>
      <c r="ED793">
        <f t="shared" si="1548"/>
        <v>1</v>
      </c>
      <c r="EE793">
        <f t="shared" ref="EE793:EF793" si="1549">IF($C793&lt;&gt;"",IF(BP793&gt;0,1,0),0)</f>
        <v>1</v>
      </c>
      <c r="EF793">
        <f t="shared" si="1549"/>
        <v>0</v>
      </c>
    </row>
    <row r="794" spans="1:136" ht="15.5">
      <c r="A794" s="90"/>
      <c r="B794" s="19" t="s">
        <v>2</v>
      </c>
      <c r="C794" s="94"/>
      <c r="D794" s="34">
        <v>0</v>
      </c>
      <c r="E794" s="34">
        <v>0</v>
      </c>
      <c r="F794" s="34">
        <v>0</v>
      </c>
      <c r="G794" s="34">
        <v>0</v>
      </c>
      <c r="H794" s="34">
        <v>0</v>
      </c>
      <c r="I794" s="34">
        <v>0</v>
      </c>
      <c r="J794" s="34">
        <v>0</v>
      </c>
      <c r="K794" s="34">
        <v>0</v>
      </c>
      <c r="L794" s="34">
        <v>0</v>
      </c>
      <c r="M794" s="34">
        <v>0</v>
      </c>
      <c r="N794" s="34">
        <v>0</v>
      </c>
      <c r="O794" s="34">
        <v>0</v>
      </c>
      <c r="P794" s="34">
        <v>0</v>
      </c>
      <c r="Q794" s="34">
        <v>0</v>
      </c>
      <c r="R794" s="34">
        <v>0</v>
      </c>
      <c r="S794" s="34">
        <v>0</v>
      </c>
      <c r="T794" s="34">
        <v>0</v>
      </c>
      <c r="U794" s="34">
        <v>0</v>
      </c>
      <c r="V794" s="34">
        <v>0</v>
      </c>
      <c r="W794" s="34">
        <v>0</v>
      </c>
      <c r="X794" s="22"/>
      <c r="Y794" s="22"/>
      <c r="Z794" s="40" t="s">
        <v>16</v>
      </c>
      <c r="AA794" s="18">
        <v>1210</v>
      </c>
      <c r="AB794" s="22"/>
      <c r="AC794" s="18">
        <v>678</v>
      </c>
      <c r="AD794" s="40" t="s">
        <v>16</v>
      </c>
      <c r="AE794" s="18">
        <v>1000</v>
      </c>
      <c r="AF794" s="18">
        <v>940</v>
      </c>
      <c r="AG794" s="40" t="s">
        <v>16</v>
      </c>
      <c r="AH794" s="18">
        <v>1390</v>
      </c>
      <c r="AI794" s="40" t="s">
        <v>16</v>
      </c>
      <c r="AJ794" s="18">
        <v>1250</v>
      </c>
      <c r="AK794" s="18">
        <v>0</v>
      </c>
      <c r="AL794" s="18">
        <v>0</v>
      </c>
      <c r="AM794" s="18">
        <v>0</v>
      </c>
      <c r="AN794" s="18">
        <v>0</v>
      </c>
      <c r="AO794" s="18">
        <v>0</v>
      </c>
      <c r="AP794" s="18">
        <v>0</v>
      </c>
      <c r="AQ794" s="18">
        <v>0</v>
      </c>
      <c r="AR794" s="18">
        <v>0</v>
      </c>
      <c r="AS794" s="18">
        <v>0</v>
      </c>
      <c r="AT794" s="18">
        <v>0</v>
      </c>
      <c r="AU794" s="18">
        <v>0</v>
      </c>
      <c r="AV794" s="18">
        <v>0</v>
      </c>
      <c r="AW794" s="18">
        <v>0</v>
      </c>
      <c r="AX794" s="18">
        <v>0</v>
      </c>
      <c r="AY794" s="18">
        <v>0</v>
      </c>
      <c r="AZ794" s="18">
        <v>0</v>
      </c>
      <c r="BA794" s="18">
        <v>0</v>
      </c>
      <c r="BB794" s="18">
        <v>0</v>
      </c>
      <c r="BC794" s="18">
        <v>0</v>
      </c>
      <c r="BD794" s="18">
        <v>0</v>
      </c>
      <c r="BE794" s="18">
        <v>0</v>
      </c>
      <c r="BF794" s="18">
        <f>SUM(BF795:BF797)</f>
        <v>0</v>
      </c>
      <c r="BG794" s="18">
        <v>0</v>
      </c>
      <c r="BH794" s="18">
        <v>0</v>
      </c>
      <c r="BI794" s="18">
        <v>0</v>
      </c>
      <c r="BJ794" s="113">
        <v>0</v>
      </c>
      <c r="BK794" s="18">
        <v>0</v>
      </c>
      <c r="BL794" s="18">
        <v>0</v>
      </c>
      <c r="BM794" s="18">
        <v>0</v>
      </c>
      <c r="BN794" s="18">
        <v>0</v>
      </c>
      <c r="BO794" s="18">
        <v>0</v>
      </c>
      <c r="BP794" s="18">
        <v>0</v>
      </c>
      <c r="BQ794" s="18">
        <v>0</v>
      </c>
      <c r="BR794" s="101"/>
      <c r="BS794">
        <f t="shared" ref="BS794:CB798" si="1550">IF($C794&lt;&gt;"",IF(D794&gt;0,1,0),0)</f>
        <v>0</v>
      </c>
      <c r="BT794">
        <f t="shared" si="1550"/>
        <v>0</v>
      </c>
      <c r="BU794">
        <f t="shared" si="1550"/>
        <v>0</v>
      </c>
      <c r="BV794">
        <f t="shared" si="1550"/>
        <v>0</v>
      </c>
      <c r="BW794">
        <f t="shared" si="1550"/>
        <v>0</v>
      </c>
      <c r="BX794">
        <f t="shared" si="1550"/>
        <v>0</v>
      </c>
      <c r="BY794">
        <f t="shared" si="1550"/>
        <v>0</v>
      </c>
      <c r="BZ794">
        <f t="shared" si="1550"/>
        <v>0</v>
      </c>
      <c r="CA794">
        <f t="shared" si="1550"/>
        <v>0</v>
      </c>
      <c r="CB794">
        <f t="shared" si="1550"/>
        <v>0</v>
      </c>
      <c r="CC794">
        <f t="shared" ref="CC794:CL798" si="1551">IF($C794&lt;&gt;"",IF(N794&gt;0,1,0),0)</f>
        <v>0</v>
      </c>
      <c r="CD794">
        <f t="shared" si="1551"/>
        <v>0</v>
      </c>
      <c r="CE794">
        <f t="shared" si="1551"/>
        <v>0</v>
      </c>
      <c r="CF794">
        <f t="shared" si="1551"/>
        <v>0</v>
      </c>
      <c r="CG794">
        <f t="shared" si="1551"/>
        <v>0</v>
      </c>
      <c r="CH794">
        <f t="shared" si="1551"/>
        <v>0</v>
      </c>
      <c r="CI794">
        <f t="shared" si="1551"/>
        <v>0</v>
      </c>
      <c r="CJ794">
        <f t="shared" si="1551"/>
        <v>0</v>
      </c>
      <c r="CK794">
        <f t="shared" si="1551"/>
        <v>0</v>
      </c>
      <c r="CL794">
        <f t="shared" si="1551"/>
        <v>0</v>
      </c>
      <c r="CM794">
        <f t="shared" ref="CM794:CV798" si="1552">IF($C794&lt;&gt;"",IF(X794&gt;0,1,0),0)</f>
        <v>0</v>
      </c>
      <c r="CN794">
        <f t="shared" si="1552"/>
        <v>0</v>
      </c>
      <c r="CO794">
        <f t="shared" si="1552"/>
        <v>0</v>
      </c>
      <c r="CP794">
        <f t="shared" si="1552"/>
        <v>0</v>
      </c>
      <c r="CQ794">
        <f t="shared" si="1552"/>
        <v>0</v>
      </c>
      <c r="CR794">
        <f t="shared" si="1552"/>
        <v>0</v>
      </c>
      <c r="CS794">
        <f t="shared" si="1552"/>
        <v>0</v>
      </c>
      <c r="CT794">
        <f t="shared" si="1552"/>
        <v>0</v>
      </c>
      <c r="CU794">
        <f t="shared" si="1552"/>
        <v>0</v>
      </c>
      <c r="CV794">
        <f t="shared" si="1552"/>
        <v>0</v>
      </c>
      <c r="CW794">
        <f t="shared" ref="CW794:DF798" si="1553">IF($C794&lt;&gt;"",IF(AH794&gt;0,1,0),0)</f>
        <v>0</v>
      </c>
      <c r="CX794">
        <f t="shared" si="1553"/>
        <v>0</v>
      </c>
      <c r="CY794">
        <f t="shared" si="1553"/>
        <v>0</v>
      </c>
      <c r="CZ794">
        <f t="shared" si="1553"/>
        <v>0</v>
      </c>
      <c r="DA794">
        <f t="shared" si="1553"/>
        <v>0</v>
      </c>
      <c r="DB794">
        <f t="shared" si="1553"/>
        <v>0</v>
      </c>
      <c r="DC794">
        <f t="shared" si="1553"/>
        <v>0</v>
      </c>
      <c r="DD794">
        <f t="shared" si="1553"/>
        <v>0</v>
      </c>
      <c r="DE794">
        <f t="shared" si="1553"/>
        <v>0</v>
      </c>
      <c r="DF794">
        <f t="shared" si="1553"/>
        <v>0</v>
      </c>
      <c r="DG794">
        <f t="shared" ref="DG794:DP798" si="1554">IF($C794&lt;&gt;"",IF(AR794&gt;0,1,0),0)</f>
        <v>0</v>
      </c>
      <c r="DH794">
        <f t="shared" si="1554"/>
        <v>0</v>
      </c>
      <c r="DI794">
        <f t="shared" si="1554"/>
        <v>0</v>
      </c>
      <c r="DJ794">
        <f t="shared" si="1554"/>
        <v>0</v>
      </c>
      <c r="DK794">
        <f t="shared" si="1554"/>
        <v>0</v>
      </c>
      <c r="DL794">
        <f t="shared" si="1554"/>
        <v>0</v>
      </c>
      <c r="DM794">
        <f t="shared" si="1554"/>
        <v>0</v>
      </c>
      <c r="DN794">
        <f t="shared" si="1554"/>
        <v>0</v>
      </c>
      <c r="DO794">
        <f t="shared" si="1554"/>
        <v>0</v>
      </c>
      <c r="DP794">
        <f t="shared" si="1554"/>
        <v>0</v>
      </c>
      <c r="DQ794">
        <f t="shared" ref="DQ794:DZ798" si="1555">IF($C794&lt;&gt;"",IF(BB794&gt;0,1,0),0)</f>
        <v>0</v>
      </c>
      <c r="DR794">
        <f t="shared" si="1555"/>
        <v>0</v>
      </c>
      <c r="DS794">
        <f t="shared" si="1555"/>
        <v>0</v>
      </c>
      <c r="DT794">
        <f t="shared" si="1555"/>
        <v>0</v>
      </c>
      <c r="DU794">
        <f t="shared" si="1555"/>
        <v>0</v>
      </c>
      <c r="DV794">
        <f t="shared" si="1555"/>
        <v>0</v>
      </c>
      <c r="DW794">
        <f t="shared" si="1555"/>
        <v>0</v>
      </c>
      <c r="DX794">
        <f t="shared" si="1555"/>
        <v>0</v>
      </c>
      <c r="DY794">
        <f t="shared" si="1555"/>
        <v>0</v>
      </c>
      <c r="DZ794">
        <f t="shared" si="1555"/>
        <v>0</v>
      </c>
      <c r="EA794">
        <f t="shared" ref="EA794:EF797" si="1556">IF($C794&lt;&gt;"",IF(BL793&gt;0,1,0),0)</f>
        <v>0</v>
      </c>
      <c r="EB794">
        <f t="shared" si="1556"/>
        <v>0</v>
      </c>
      <c r="EC794">
        <f t="shared" si="1556"/>
        <v>0</v>
      </c>
      <c r="ED794">
        <f t="shared" si="1556"/>
        <v>0</v>
      </c>
      <c r="EE794">
        <f t="shared" si="1556"/>
        <v>0</v>
      </c>
      <c r="EF794">
        <f t="shared" si="1556"/>
        <v>0</v>
      </c>
    </row>
    <row r="795" spans="1:136" ht="15.5">
      <c r="A795" s="90"/>
      <c r="B795" s="19" t="s">
        <v>3</v>
      </c>
      <c r="C795" s="94"/>
      <c r="D795" s="34">
        <v>0</v>
      </c>
      <c r="E795" s="34">
        <v>0</v>
      </c>
      <c r="F795" s="34">
        <v>0</v>
      </c>
      <c r="G795" s="34">
        <v>0</v>
      </c>
      <c r="H795" s="34">
        <v>0</v>
      </c>
      <c r="I795" s="34">
        <v>0</v>
      </c>
      <c r="J795" s="34">
        <v>0</v>
      </c>
      <c r="K795" s="34">
        <v>0</v>
      </c>
      <c r="L795" s="34">
        <v>0</v>
      </c>
      <c r="M795" s="34">
        <v>0</v>
      </c>
      <c r="N795" s="34">
        <v>2.1999999999999999E-2</v>
      </c>
      <c r="O795" s="34">
        <v>0</v>
      </c>
      <c r="P795" s="34">
        <v>0.13400000000000001</v>
      </c>
      <c r="Q795" s="34">
        <v>0.14799999999999999</v>
      </c>
      <c r="R795" s="34">
        <v>0.34799999999999998</v>
      </c>
      <c r="S795" s="34">
        <v>0.23599999999999999</v>
      </c>
      <c r="T795" s="34">
        <v>0.21199999999999999</v>
      </c>
      <c r="U795" s="34">
        <v>0.23200000000000001</v>
      </c>
      <c r="V795" s="34">
        <v>0.254</v>
      </c>
      <c r="W795" s="34">
        <v>0.26300000000000001</v>
      </c>
      <c r="X795" s="34">
        <v>5.3840000000000003</v>
      </c>
      <c r="Y795" s="34">
        <v>2.4279999999999999</v>
      </c>
      <c r="Z795" s="34">
        <v>5.282</v>
      </c>
      <c r="AA795" s="34">
        <v>19.634</v>
      </c>
      <c r="AB795" s="34">
        <v>67.831999999999994</v>
      </c>
      <c r="AC795" s="34">
        <v>78.25</v>
      </c>
      <c r="AD795" s="34">
        <v>951.00699999999995</v>
      </c>
      <c r="AE795" s="34">
        <v>435</v>
      </c>
      <c r="AF795" s="40" t="s">
        <v>16</v>
      </c>
      <c r="AG795" s="34">
        <v>918.274</v>
      </c>
      <c r="AH795" s="34">
        <v>1475.55</v>
      </c>
      <c r="AI795" s="34">
        <v>3703.5119999999997</v>
      </c>
      <c r="AJ795" s="40" t="s">
        <v>16</v>
      </c>
      <c r="AK795" s="34">
        <v>246.37200000000001</v>
      </c>
      <c r="AL795" s="34">
        <v>216.785</v>
      </c>
      <c r="AM795" s="34">
        <v>227.779</v>
      </c>
      <c r="AN795" s="34">
        <v>274.779</v>
      </c>
      <c r="AO795" s="34">
        <v>315.80700000000002</v>
      </c>
      <c r="AP795" s="34">
        <v>327.24199999999996</v>
      </c>
      <c r="AQ795" s="34">
        <v>545.18799999999999</v>
      </c>
      <c r="AR795" s="34">
        <v>770.07165780000003</v>
      </c>
      <c r="AS795" s="34">
        <v>652.23614339999995</v>
      </c>
      <c r="AT795" s="34">
        <v>652.24429729999997</v>
      </c>
      <c r="AU795" s="34">
        <v>19.067263000000001</v>
      </c>
      <c r="AV795" s="34">
        <v>22.584728600000002</v>
      </c>
      <c r="AW795" s="34">
        <v>3.3633247000000002</v>
      </c>
      <c r="AX795" s="34">
        <v>3.6204329999999998</v>
      </c>
      <c r="AY795" s="34">
        <v>1.5387203</v>
      </c>
      <c r="AZ795" s="34">
        <v>0.62054030000000004</v>
      </c>
      <c r="BA795" s="34">
        <v>0</v>
      </c>
      <c r="BB795" s="34">
        <v>0</v>
      </c>
      <c r="BC795" s="34">
        <v>4.6058000000000002E-3</v>
      </c>
      <c r="BD795" s="18">
        <v>0</v>
      </c>
      <c r="BE795" s="25">
        <v>0</v>
      </c>
      <c r="BF795" s="18">
        <v>0</v>
      </c>
      <c r="BG795" s="18">
        <v>0</v>
      </c>
      <c r="BH795" s="18">
        <v>0</v>
      </c>
      <c r="BI795" s="103">
        <v>8.5448E-3</v>
      </c>
      <c r="BJ795" s="103">
        <v>8.3447E-3</v>
      </c>
      <c r="BK795" s="18">
        <v>6.4992799999999989E-2</v>
      </c>
      <c r="BL795" s="18">
        <v>20.796772399999998</v>
      </c>
      <c r="BM795" s="18">
        <v>11.715816800000001</v>
      </c>
      <c r="BN795" s="18">
        <v>0.15304699999999999</v>
      </c>
      <c r="BO795" s="18">
        <v>5.0983000000000001E-2</v>
      </c>
      <c r="BP795" s="18">
        <v>5.0983000000000001E-2</v>
      </c>
      <c r="BQ795" s="18">
        <v>0</v>
      </c>
      <c r="BR795" s="101"/>
      <c r="BS795">
        <f t="shared" si="1550"/>
        <v>0</v>
      </c>
      <c r="BT795">
        <f t="shared" si="1550"/>
        <v>0</v>
      </c>
      <c r="BU795">
        <f t="shared" si="1550"/>
        <v>0</v>
      </c>
      <c r="BV795">
        <f t="shared" si="1550"/>
        <v>0</v>
      </c>
      <c r="BW795">
        <f t="shared" si="1550"/>
        <v>0</v>
      </c>
      <c r="BX795">
        <f t="shared" si="1550"/>
        <v>0</v>
      </c>
      <c r="BY795">
        <f t="shared" si="1550"/>
        <v>0</v>
      </c>
      <c r="BZ795">
        <f t="shared" si="1550"/>
        <v>0</v>
      </c>
      <c r="CA795">
        <f t="shared" si="1550"/>
        <v>0</v>
      </c>
      <c r="CB795">
        <f t="shared" si="1550"/>
        <v>0</v>
      </c>
      <c r="CC795">
        <f t="shared" si="1551"/>
        <v>0</v>
      </c>
      <c r="CD795">
        <f t="shared" si="1551"/>
        <v>0</v>
      </c>
      <c r="CE795">
        <f t="shared" si="1551"/>
        <v>0</v>
      </c>
      <c r="CF795">
        <f t="shared" si="1551"/>
        <v>0</v>
      </c>
      <c r="CG795">
        <f t="shared" si="1551"/>
        <v>0</v>
      </c>
      <c r="CH795">
        <f t="shared" si="1551"/>
        <v>0</v>
      </c>
      <c r="CI795">
        <f t="shared" si="1551"/>
        <v>0</v>
      </c>
      <c r="CJ795">
        <f t="shared" si="1551"/>
        <v>0</v>
      </c>
      <c r="CK795">
        <f t="shared" si="1551"/>
        <v>0</v>
      </c>
      <c r="CL795">
        <f t="shared" si="1551"/>
        <v>0</v>
      </c>
      <c r="CM795">
        <f t="shared" si="1552"/>
        <v>0</v>
      </c>
      <c r="CN795">
        <f t="shared" si="1552"/>
        <v>0</v>
      </c>
      <c r="CO795">
        <f t="shared" si="1552"/>
        <v>0</v>
      </c>
      <c r="CP795">
        <f t="shared" si="1552"/>
        <v>0</v>
      </c>
      <c r="CQ795">
        <f t="shared" si="1552"/>
        <v>0</v>
      </c>
      <c r="CR795">
        <f t="shared" si="1552"/>
        <v>0</v>
      </c>
      <c r="CS795">
        <f t="shared" si="1552"/>
        <v>0</v>
      </c>
      <c r="CT795">
        <f t="shared" si="1552"/>
        <v>0</v>
      </c>
      <c r="CU795">
        <f t="shared" si="1552"/>
        <v>0</v>
      </c>
      <c r="CV795">
        <f t="shared" si="1552"/>
        <v>0</v>
      </c>
      <c r="CW795">
        <f t="shared" si="1553"/>
        <v>0</v>
      </c>
      <c r="CX795">
        <f t="shared" si="1553"/>
        <v>0</v>
      </c>
      <c r="CY795">
        <f t="shared" si="1553"/>
        <v>0</v>
      </c>
      <c r="CZ795">
        <f t="shared" si="1553"/>
        <v>0</v>
      </c>
      <c r="DA795">
        <f t="shared" si="1553"/>
        <v>0</v>
      </c>
      <c r="DB795">
        <f t="shared" si="1553"/>
        <v>0</v>
      </c>
      <c r="DC795">
        <f t="shared" si="1553"/>
        <v>0</v>
      </c>
      <c r="DD795">
        <f t="shared" si="1553"/>
        <v>0</v>
      </c>
      <c r="DE795">
        <f t="shared" si="1553"/>
        <v>0</v>
      </c>
      <c r="DF795">
        <f t="shared" si="1553"/>
        <v>0</v>
      </c>
      <c r="DG795">
        <f t="shared" si="1554"/>
        <v>0</v>
      </c>
      <c r="DH795">
        <f t="shared" si="1554"/>
        <v>0</v>
      </c>
      <c r="DI795">
        <f t="shared" si="1554"/>
        <v>0</v>
      </c>
      <c r="DJ795">
        <f t="shared" si="1554"/>
        <v>0</v>
      </c>
      <c r="DK795">
        <f t="shared" si="1554"/>
        <v>0</v>
      </c>
      <c r="DL795">
        <f t="shared" si="1554"/>
        <v>0</v>
      </c>
      <c r="DM795">
        <f t="shared" si="1554"/>
        <v>0</v>
      </c>
      <c r="DN795">
        <f t="shared" si="1554"/>
        <v>0</v>
      </c>
      <c r="DO795">
        <f t="shared" si="1554"/>
        <v>0</v>
      </c>
      <c r="DP795">
        <f t="shared" si="1554"/>
        <v>0</v>
      </c>
      <c r="DQ795">
        <f t="shared" si="1555"/>
        <v>0</v>
      </c>
      <c r="DR795">
        <f t="shared" si="1555"/>
        <v>0</v>
      </c>
      <c r="DS795">
        <f t="shared" si="1555"/>
        <v>0</v>
      </c>
      <c r="DT795">
        <f t="shared" si="1555"/>
        <v>0</v>
      </c>
      <c r="DU795">
        <f t="shared" si="1555"/>
        <v>0</v>
      </c>
      <c r="DV795">
        <f t="shared" si="1555"/>
        <v>0</v>
      </c>
      <c r="DW795">
        <f t="shared" si="1555"/>
        <v>0</v>
      </c>
      <c r="DX795">
        <f t="shared" si="1555"/>
        <v>0</v>
      </c>
      <c r="DY795">
        <f t="shared" si="1555"/>
        <v>0</v>
      </c>
      <c r="DZ795">
        <f t="shared" si="1555"/>
        <v>0</v>
      </c>
      <c r="EA795">
        <f t="shared" si="1556"/>
        <v>0</v>
      </c>
      <c r="EB795">
        <f t="shared" si="1556"/>
        <v>0</v>
      </c>
      <c r="EC795">
        <f t="shared" si="1556"/>
        <v>0</v>
      </c>
      <c r="ED795">
        <f t="shared" si="1556"/>
        <v>0</v>
      </c>
      <c r="EE795">
        <f t="shared" si="1556"/>
        <v>0</v>
      </c>
      <c r="EF795">
        <f t="shared" si="1556"/>
        <v>0</v>
      </c>
    </row>
    <row r="796" spans="1:136" ht="15.5">
      <c r="A796" s="90"/>
      <c r="B796" s="53" t="s">
        <v>18</v>
      </c>
      <c r="C796" s="94"/>
      <c r="D796" s="34">
        <v>0</v>
      </c>
      <c r="E796" s="34">
        <v>0</v>
      </c>
      <c r="F796" s="34">
        <v>0</v>
      </c>
      <c r="G796" s="34">
        <v>0</v>
      </c>
      <c r="H796" s="34">
        <v>0</v>
      </c>
      <c r="I796" s="34">
        <v>0</v>
      </c>
      <c r="J796" s="34">
        <v>0</v>
      </c>
      <c r="K796" s="34">
        <v>0</v>
      </c>
      <c r="L796" s="34">
        <v>0</v>
      </c>
      <c r="M796" s="34">
        <v>0</v>
      </c>
      <c r="N796" s="34">
        <v>0</v>
      </c>
      <c r="O796" s="34">
        <v>0</v>
      </c>
      <c r="P796" s="34">
        <v>0</v>
      </c>
      <c r="Q796" s="34">
        <v>0</v>
      </c>
      <c r="R796" s="34">
        <v>0</v>
      </c>
      <c r="S796" s="34">
        <v>0</v>
      </c>
      <c r="T796" s="34">
        <v>0</v>
      </c>
      <c r="U796" s="34">
        <v>0</v>
      </c>
      <c r="V796" s="34">
        <v>0</v>
      </c>
      <c r="W796" s="34">
        <v>0</v>
      </c>
      <c r="X796" s="34">
        <v>0</v>
      </c>
      <c r="Y796" s="34">
        <v>0</v>
      </c>
      <c r="Z796" s="34">
        <v>0</v>
      </c>
      <c r="AA796" s="34">
        <v>0</v>
      </c>
      <c r="AB796" s="34">
        <v>1530</v>
      </c>
      <c r="AC796" s="34">
        <v>0</v>
      </c>
      <c r="AD796" s="34">
        <v>538</v>
      </c>
      <c r="AE796" s="34">
        <v>2444</v>
      </c>
      <c r="AF796" s="34">
        <v>0</v>
      </c>
      <c r="AG796" s="40" t="s">
        <v>16</v>
      </c>
      <c r="AH796" s="34">
        <v>3200</v>
      </c>
      <c r="AI796" s="34">
        <v>0</v>
      </c>
      <c r="AJ796" s="34">
        <v>0</v>
      </c>
      <c r="AK796" s="34">
        <v>0</v>
      </c>
      <c r="AL796" s="34">
        <v>0</v>
      </c>
      <c r="AM796" s="34">
        <v>0</v>
      </c>
      <c r="AN796" s="34">
        <v>0</v>
      </c>
      <c r="AO796" s="34">
        <v>0</v>
      </c>
      <c r="AP796" s="34">
        <v>0</v>
      </c>
      <c r="AQ796" s="34">
        <v>0</v>
      </c>
      <c r="AR796" s="34">
        <v>0</v>
      </c>
      <c r="AS796" s="34">
        <v>0</v>
      </c>
      <c r="AT796" s="34">
        <v>0</v>
      </c>
      <c r="AU796" s="34">
        <v>0</v>
      </c>
      <c r="AV796" s="34">
        <v>0</v>
      </c>
      <c r="AW796" s="34">
        <v>0</v>
      </c>
      <c r="AX796" s="34">
        <v>0</v>
      </c>
      <c r="AY796" s="34">
        <v>0</v>
      </c>
      <c r="AZ796" s="34">
        <v>0</v>
      </c>
      <c r="BA796" s="34">
        <v>0</v>
      </c>
      <c r="BB796" s="18">
        <v>0</v>
      </c>
      <c r="BC796" s="18">
        <v>0</v>
      </c>
      <c r="BD796" s="18">
        <v>0</v>
      </c>
      <c r="BE796" s="25">
        <v>0</v>
      </c>
      <c r="BF796" s="18">
        <v>0</v>
      </c>
      <c r="BG796" s="18">
        <v>0</v>
      </c>
      <c r="BH796" s="18">
        <v>0</v>
      </c>
      <c r="BI796" s="18">
        <v>0</v>
      </c>
      <c r="BJ796" s="113">
        <v>0</v>
      </c>
      <c r="BK796" s="18">
        <v>0</v>
      </c>
      <c r="BL796" s="18">
        <v>0</v>
      </c>
      <c r="BM796" s="18">
        <v>0</v>
      </c>
      <c r="BN796" s="18">
        <v>0</v>
      </c>
      <c r="BO796" s="18">
        <v>0</v>
      </c>
      <c r="BP796" s="18">
        <v>0</v>
      </c>
      <c r="BQ796" s="18">
        <v>0</v>
      </c>
      <c r="BR796" s="101"/>
      <c r="BS796">
        <f t="shared" si="1550"/>
        <v>0</v>
      </c>
      <c r="BT796">
        <f t="shared" si="1550"/>
        <v>0</v>
      </c>
      <c r="BU796">
        <f t="shared" si="1550"/>
        <v>0</v>
      </c>
      <c r="BV796">
        <f t="shared" si="1550"/>
        <v>0</v>
      </c>
      <c r="BW796">
        <f t="shared" si="1550"/>
        <v>0</v>
      </c>
      <c r="BX796">
        <f t="shared" si="1550"/>
        <v>0</v>
      </c>
      <c r="BY796">
        <f t="shared" si="1550"/>
        <v>0</v>
      </c>
      <c r="BZ796">
        <f t="shared" si="1550"/>
        <v>0</v>
      </c>
      <c r="CA796">
        <f t="shared" si="1550"/>
        <v>0</v>
      </c>
      <c r="CB796">
        <f t="shared" si="1550"/>
        <v>0</v>
      </c>
      <c r="CC796">
        <f t="shared" si="1551"/>
        <v>0</v>
      </c>
      <c r="CD796">
        <f t="shared" si="1551"/>
        <v>0</v>
      </c>
      <c r="CE796">
        <f t="shared" si="1551"/>
        <v>0</v>
      </c>
      <c r="CF796">
        <f t="shared" si="1551"/>
        <v>0</v>
      </c>
      <c r="CG796">
        <f t="shared" si="1551"/>
        <v>0</v>
      </c>
      <c r="CH796">
        <f t="shared" si="1551"/>
        <v>0</v>
      </c>
      <c r="CI796">
        <f t="shared" si="1551"/>
        <v>0</v>
      </c>
      <c r="CJ796">
        <f t="shared" si="1551"/>
        <v>0</v>
      </c>
      <c r="CK796">
        <f t="shared" si="1551"/>
        <v>0</v>
      </c>
      <c r="CL796">
        <f t="shared" si="1551"/>
        <v>0</v>
      </c>
      <c r="CM796">
        <f t="shared" si="1552"/>
        <v>0</v>
      </c>
      <c r="CN796">
        <f t="shared" si="1552"/>
        <v>0</v>
      </c>
      <c r="CO796">
        <f t="shared" si="1552"/>
        <v>0</v>
      </c>
      <c r="CP796">
        <f t="shared" si="1552"/>
        <v>0</v>
      </c>
      <c r="CQ796">
        <f t="shared" si="1552"/>
        <v>0</v>
      </c>
      <c r="CR796">
        <f t="shared" si="1552"/>
        <v>0</v>
      </c>
      <c r="CS796">
        <f t="shared" si="1552"/>
        <v>0</v>
      </c>
      <c r="CT796">
        <f t="shared" si="1552"/>
        <v>0</v>
      </c>
      <c r="CU796">
        <f t="shared" si="1552"/>
        <v>0</v>
      </c>
      <c r="CV796">
        <f t="shared" si="1552"/>
        <v>0</v>
      </c>
      <c r="CW796">
        <f t="shared" si="1553"/>
        <v>0</v>
      </c>
      <c r="CX796">
        <f t="shared" si="1553"/>
        <v>0</v>
      </c>
      <c r="CY796">
        <f t="shared" si="1553"/>
        <v>0</v>
      </c>
      <c r="CZ796">
        <f t="shared" si="1553"/>
        <v>0</v>
      </c>
      <c r="DA796">
        <f t="shared" si="1553"/>
        <v>0</v>
      </c>
      <c r="DB796">
        <f t="shared" si="1553"/>
        <v>0</v>
      </c>
      <c r="DC796">
        <f t="shared" si="1553"/>
        <v>0</v>
      </c>
      <c r="DD796">
        <f t="shared" si="1553"/>
        <v>0</v>
      </c>
      <c r="DE796">
        <f t="shared" si="1553"/>
        <v>0</v>
      </c>
      <c r="DF796">
        <f t="shared" si="1553"/>
        <v>0</v>
      </c>
      <c r="DG796">
        <f t="shared" si="1554"/>
        <v>0</v>
      </c>
      <c r="DH796">
        <f t="shared" si="1554"/>
        <v>0</v>
      </c>
      <c r="DI796">
        <f t="shared" si="1554"/>
        <v>0</v>
      </c>
      <c r="DJ796">
        <f t="shared" si="1554"/>
        <v>0</v>
      </c>
      <c r="DK796">
        <f t="shared" si="1554"/>
        <v>0</v>
      </c>
      <c r="DL796">
        <f t="shared" si="1554"/>
        <v>0</v>
      </c>
      <c r="DM796">
        <f t="shared" si="1554"/>
        <v>0</v>
      </c>
      <c r="DN796">
        <f t="shared" si="1554"/>
        <v>0</v>
      </c>
      <c r="DO796">
        <f t="shared" si="1554"/>
        <v>0</v>
      </c>
      <c r="DP796">
        <f t="shared" si="1554"/>
        <v>0</v>
      </c>
      <c r="DQ796">
        <f t="shared" si="1555"/>
        <v>0</v>
      </c>
      <c r="DR796">
        <f t="shared" si="1555"/>
        <v>0</v>
      </c>
      <c r="DS796">
        <f t="shared" si="1555"/>
        <v>0</v>
      </c>
      <c r="DT796">
        <f t="shared" si="1555"/>
        <v>0</v>
      </c>
      <c r="DU796">
        <f t="shared" si="1555"/>
        <v>0</v>
      </c>
      <c r="DV796">
        <f t="shared" si="1555"/>
        <v>0</v>
      </c>
      <c r="DW796">
        <f t="shared" si="1555"/>
        <v>0</v>
      </c>
      <c r="DX796">
        <f t="shared" si="1555"/>
        <v>0</v>
      </c>
      <c r="DY796">
        <f t="shared" si="1555"/>
        <v>0</v>
      </c>
      <c r="DZ796">
        <f t="shared" si="1555"/>
        <v>0</v>
      </c>
      <c r="EA796">
        <f t="shared" si="1556"/>
        <v>0</v>
      </c>
      <c r="EB796">
        <f t="shared" si="1556"/>
        <v>0</v>
      </c>
      <c r="EC796">
        <f t="shared" si="1556"/>
        <v>0</v>
      </c>
      <c r="ED796">
        <f t="shared" si="1556"/>
        <v>0</v>
      </c>
      <c r="EE796">
        <f t="shared" si="1556"/>
        <v>0</v>
      </c>
      <c r="EF796">
        <f t="shared" si="1556"/>
        <v>0</v>
      </c>
    </row>
    <row r="797" spans="1:136" ht="15.5">
      <c r="A797" s="90"/>
      <c r="B797" s="19" t="s">
        <v>208</v>
      </c>
      <c r="C797" s="94"/>
      <c r="D797" s="34">
        <v>0</v>
      </c>
      <c r="E797" s="34">
        <v>0</v>
      </c>
      <c r="F797" s="34">
        <v>0</v>
      </c>
      <c r="G797" s="34">
        <v>0</v>
      </c>
      <c r="H797" s="34">
        <v>0</v>
      </c>
      <c r="I797" s="34">
        <v>0</v>
      </c>
      <c r="J797" s="34">
        <v>0</v>
      </c>
      <c r="K797" s="34">
        <v>0</v>
      </c>
      <c r="L797" s="34">
        <v>0</v>
      </c>
      <c r="M797" s="34">
        <v>0</v>
      </c>
      <c r="N797" s="34">
        <v>0</v>
      </c>
      <c r="O797" s="34">
        <v>0</v>
      </c>
      <c r="P797" s="34">
        <v>0</v>
      </c>
      <c r="Q797" s="34">
        <v>0</v>
      </c>
      <c r="R797" s="34">
        <v>0</v>
      </c>
      <c r="S797" s="34">
        <v>0</v>
      </c>
      <c r="T797" s="34">
        <v>0.77700000000000002</v>
      </c>
      <c r="U797" s="34">
        <v>0</v>
      </c>
      <c r="V797" s="34">
        <v>0.27500000000000002</v>
      </c>
      <c r="W797" s="34">
        <v>0</v>
      </c>
      <c r="X797" s="34">
        <v>0</v>
      </c>
      <c r="Y797" s="34">
        <v>49.037999999999997</v>
      </c>
      <c r="Z797" s="34">
        <v>22.097999999999999</v>
      </c>
      <c r="AA797" s="34">
        <v>48.073</v>
      </c>
      <c r="AB797" s="34">
        <v>40.536000000000001</v>
      </c>
      <c r="AC797" s="34">
        <v>509.42600000000004</v>
      </c>
      <c r="AD797" s="34">
        <v>0</v>
      </c>
      <c r="AE797" s="34">
        <v>0.14799999999999999</v>
      </c>
      <c r="AF797" s="34">
        <v>4.0000000000000001E-3</v>
      </c>
      <c r="AG797" s="34">
        <v>750.20699999999999</v>
      </c>
      <c r="AH797" s="34">
        <v>284.089</v>
      </c>
      <c r="AI797" s="34">
        <v>251.24800000000002</v>
      </c>
      <c r="AJ797" s="34">
        <v>296.149</v>
      </c>
      <c r="AK797" s="34">
        <v>0.86699999999999999</v>
      </c>
      <c r="AL797" s="34">
        <v>14.629000000000001</v>
      </c>
      <c r="AM797" s="34">
        <v>2.54</v>
      </c>
      <c r="AN797" s="34">
        <v>2.7330000000000001</v>
      </c>
      <c r="AO797" s="34">
        <v>9.4E-2</v>
      </c>
      <c r="AP797" s="34">
        <v>6.1150000000000002</v>
      </c>
      <c r="AQ797" s="34">
        <v>7.181</v>
      </c>
      <c r="AR797" s="34">
        <v>4.2901904999999996</v>
      </c>
      <c r="AS797" s="34">
        <v>4.9878187999999994</v>
      </c>
      <c r="AT797" s="34">
        <v>2.411</v>
      </c>
      <c r="AU797" s="34">
        <v>0.30499999999999999</v>
      </c>
      <c r="AV797" s="34">
        <v>0</v>
      </c>
      <c r="AW797" s="34">
        <v>0</v>
      </c>
      <c r="AX797" s="34">
        <v>0</v>
      </c>
      <c r="AY797" s="34">
        <v>0.27675479999999997</v>
      </c>
      <c r="AZ797" s="34">
        <v>0.18648779999999998</v>
      </c>
      <c r="BA797" s="34">
        <v>0</v>
      </c>
      <c r="BB797" s="34">
        <v>0</v>
      </c>
      <c r="BC797" s="34">
        <v>0</v>
      </c>
      <c r="BD797" s="18">
        <v>0</v>
      </c>
      <c r="BE797" s="25">
        <v>0</v>
      </c>
      <c r="BF797" s="18">
        <v>0</v>
      </c>
      <c r="BG797" s="18">
        <v>0</v>
      </c>
      <c r="BH797" s="18">
        <v>0</v>
      </c>
      <c r="BI797" s="18">
        <v>0</v>
      </c>
      <c r="BJ797" s="113">
        <v>0</v>
      </c>
      <c r="BK797" s="18">
        <v>0</v>
      </c>
      <c r="BL797" s="18">
        <v>0</v>
      </c>
      <c r="BM797" s="18">
        <v>0</v>
      </c>
      <c r="BN797" s="18">
        <v>0</v>
      </c>
      <c r="BO797" s="18">
        <v>0</v>
      </c>
      <c r="BP797" s="18">
        <v>0</v>
      </c>
      <c r="BQ797" s="18">
        <v>0</v>
      </c>
      <c r="BR797" s="101"/>
      <c r="BS797">
        <f t="shared" si="1550"/>
        <v>0</v>
      </c>
      <c r="BT797">
        <f t="shared" si="1550"/>
        <v>0</v>
      </c>
      <c r="BU797">
        <f t="shared" si="1550"/>
        <v>0</v>
      </c>
      <c r="BV797">
        <f t="shared" si="1550"/>
        <v>0</v>
      </c>
      <c r="BW797">
        <f t="shared" si="1550"/>
        <v>0</v>
      </c>
      <c r="BX797">
        <f t="shared" si="1550"/>
        <v>0</v>
      </c>
      <c r="BY797">
        <f t="shared" si="1550"/>
        <v>0</v>
      </c>
      <c r="BZ797">
        <f t="shared" si="1550"/>
        <v>0</v>
      </c>
      <c r="CA797">
        <f t="shared" si="1550"/>
        <v>0</v>
      </c>
      <c r="CB797">
        <f t="shared" si="1550"/>
        <v>0</v>
      </c>
      <c r="CC797">
        <f t="shared" si="1551"/>
        <v>0</v>
      </c>
      <c r="CD797">
        <f t="shared" si="1551"/>
        <v>0</v>
      </c>
      <c r="CE797">
        <f t="shared" si="1551"/>
        <v>0</v>
      </c>
      <c r="CF797">
        <f t="shared" si="1551"/>
        <v>0</v>
      </c>
      <c r="CG797">
        <f t="shared" si="1551"/>
        <v>0</v>
      </c>
      <c r="CH797">
        <f t="shared" si="1551"/>
        <v>0</v>
      </c>
      <c r="CI797">
        <f t="shared" si="1551"/>
        <v>0</v>
      </c>
      <c r="CJ797">
        <f t="shared" si="1551"/>
        <v>0</v>
      </c>
      <c r="CK797">
        <f t="shared" si="1551"/>
        <v>0</v>
      </c>
      <c r="CL797">
        <f t="shared" si="1551"/>
        <v>0</v>
      </c>
      <c r="CM797">
        <f t="shared" si="1552"/>
        <v>0</v>
      </c>
      <c r="CN797">
        <f t="shared" si="1552"/>
        <v>0</v>
      </c>
      <c r="CO797">
        <f t="shared" si="1552"/>
        <v>0</v>
      </c>
      <c r="CP797">
        <f t="shared" si="1552"/>
        <v>0</v>
      </c>
      <c r="CQ797">
        <f t="shared" si="1552"/>
        <v>0</v>
      </c>
      <c r="CR797">
        <f t="shared" si="1552"/>
        <v>0</v>
      </c>
      <c r="CS797">
        <f t="shared" si="1552"/>
        <v>0</v>
      </c>
      <c r="CT797">
        <f t="shared" si="1552"/>
        <v>0</v>
      </c>
      <c r="CU797">
        <f t="shared" si="1552"/>
        <v>0</v>
      </c>
      <c r="CV797">
        <f t="shared" si="1552"/>
        <v>0</v>
      </c>
      <c r="CW797">
        <f t="shared" si="1553"/>
        <v>0</v>
      </c>
      <c r="CX797">
        <f t="shared" si="1553"/>
        <v>0</v>
      </c>
      <c r="CY797">
        <f t="shared" si="1553"/>
        <v>0</v>
      </c>
      <c r="CZ797">
        <f t="shared" si="1553"/>
        <v>0</v>
      </c>
      <c r="DA797">
        <f t="shared" si="1553"/>
        <v>0</v>
      </c>
      <c r="DB797">
        <f t="shared" si="1553"/>
        <v>0</v>
      </c>
      <c r="DC797">
        <f t="shared" si="1553"/>
        <v>0</v>
      </c>
      <c r="DD797">
        <f t="shared" si="1553"/>
        <v>0</v>
      </c>
      <c r="DE797">
        <f t="shared" si="1553"/>
        <v>0</v>
      </c>
      <c r="DF797">
        <f t="shared" si="1553"/>
        <v>0</v>
      </c>
      <c r="DG797">
        <f t="shared" si="1554"/>
        <v>0</v>
      </c>
      <c r="DH797">
        <f t="shared" si="1554"/>
        <v>0</v>
      </c>
      <c r="DI797">
        <f t="shared" si="1554"/>
        <v>0</v>
      </c>
      <c r="DJ797">
        <f t="shared" si="1554"/>
        <v>0</v>
      </c>
      <c r="DK797">
        <f t="shared" si="1554"/>
        <v>0</v>
      </c>
      <c r="DL797">
        <f t="shared" si="1554"/>
        <v>0</v>
      </c>
      <c r="DM797">
        <f t="shared" si="1554"/>
        <v>0</v>
      </c>
      <c r="DN797">
        <f t="shared" si="1554"/>
        <v>0</v>
      </c>
      <c r="DO797">
        <f t="shared" si="1554"/>
        <v>0</v>
      </c>
      <c r="DP797">
        <f t="shared" si="1554"/>
        <v>0</v>
      </c>
      <c r="DQ797">
        <f t="shared" si="1555"/>
        <v>0</v>
      </c>
      <c r="DR797">
        <f t="shared" si="1555"/>
        <v>0</v>
      </c>
      <c r="DS797">
        <f t="shared" si="1555"/>
        <v>0</v>
      </c>
      <c r="DT797">
        <f t="shared" si="1555"/>
        <v>0</v>
      </c>
      <c r="DU797">
        <f t="shared" si="1555"/>
        <v>0</v>
      </c>
      <c r="DV797">
        <f t="shared" si="1555"/>
        <v>0</v>
      </c>
      <c r="DW797">
        <f t="shared" si="1555"/>
        <v>0</v>
      </c>
      <c r="DX797">
        <f t="shared" si="1555"/>
        <v>0</v>
      </c>
      <c r="DY797">
        <f t="shared" si="1555"/>
        <v>0</v>
      </c>
      <c r="DZ797">
        <f t="shared" si="1555"/>
        <v>0</v>
      </c>
      <c r="EA797">
        <f t="shared" si="1556"/>
        <v>0</v>
      </c>
      <c r="EB797">
        <f t="shared" si="1556"/>
        <v>0</v>
      </c>
      <c r="EC797">
        <f t="shared" si="1556"/>
        <v>0</v>
      </c>
      <c r="ED797">
        <f t="shared" si="1556"/>
        <v>0</v>
      </c>
      <c r="EE797">
        <f t="shared" si="1556"/>
        <v>0</v>
      </c>
      <c r="EF797">
        <f t="shared" si="1556"/>
        <v>0</v>
      </c>
    </row>
    <row r="798" spans="1:136" ht="15.5">
      <c r="A798" s="90"/>
      <c r="B798" s="19" t="s">
        <v>212</v>
      </c>
      <c r="C798" s="9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>
        <v>1036.6028708133972</v>
      </c>
      <c r="AF798" s="34">
        <v>785.14007308160774</v>
      </c>
      <c r="AG798" s="34">
        <v>992.69729093050648</v>
      </c>
      <c r="AH798" s="34">
        <v>924.38811188811189</v>
      </c>
      <c r="AI798" s="34">
        <v>843.56775300171523</v>
      </c>
      <c r="AJ798" s="34">
        <v>1191.6861826697893</v>
      </c>
      <c r="AK798" s="34">
        <v>942.58064516129025</v>
      </c>
      <c r="AL798" s="34">
        <v>921.41304347826099</v>
      </c>
      <c r="AM798" s="34">
        <v>1563.2183908045979</v>
      </c>
      <c r="AN798" s="34">
        <v>1586.2068965517242</v>
      </c>
      <c r="AO798" s="34">
        <v>1305.2631578947369</v>
      </c>
      <c r="AP798" s="34">
        <v>770.83333333333337</v>
      </c>
      <c r="AQ798" s="34">
        <v>908.16326530612241</v>
      </c>
      <c r="AR798" s="34">
        <v>1962.2641509433963</v>
      </c>
      <c r="AS798" s="34">
        <v>3145.4545454545455</v>
      </c>
      <c r="AT798" s="34">
        <v>2205.6074766355141</v>
      </c>
      <c r="AU798" s="34">
        <v>2230</v>
      </c>
      <c r="AV798" s="34">
        <v>2964.7630619684082</v>
      </c>
      <c r="AW798" s="34">
        <v>1760.1760176017601</v>
      </c>
      <c r="AX798" s="34">
        <v>1694.5107398568018</v>
      </c>
      <c r="AY798" s="34">
        <v>1950.9043927648579</v>
      </c>
      <c r="AZ798" s="34">
        <v>1498.1273408239701</v>
      </c>
      <c r="BA798" s="34">
        <v>982.96199213630405</v>
      </c>
      <c r="BB798" s="149">
        <v>1710.2137767220902</v>
      </c>
      <c r="BC798" s="149">
        <v>2927.7108433734938</v>
      </c>
      <c r="BD798" s="18">
        <v>2180.2679658952493</v>
      </c>
      <c r="BE798" s="25">
        <v>866.83417085427141</v>
      </c>
      <c r="BF798" s="18">
        <v>308.9244851258581</v>
      </c>
      <c r="BG798" s="18">
        <v>0</v>
      </c>
      <c r="BH798" s="18">
        <v>851.48514851485152</v>
      </c>
      <c r="BI798" s="154">
        <v>923.07692307692309</v>
      </c>
      <c r="BJ798" s="113">
        <v>596.85863874345546</v>
      </c>
      <c r="BK798" s="113">
        <v>1760.4166666666667</v>
      </c>
      <c r="BL798" s="113">
        <v>508.67052023121386</v>
      </c>
      <c r="BM798" s="113">
        <v>1163.793103448276</v>
      </c>
      <c r="BN798" s="113">
        <v>967.11798839458413</v>
      </c>
      <c r="BO798" s="113">
        <f>19500/10</f>
        <v>1950</v>
      </c>
      <c r="BP798" s="18">
        <f>5200/10</f>
        <v>520</v>
      </c>
      <c r="BQ798" s="113">
        <v>0</v>
      </c>
      <c r="BR798" s="101"/>
      <c r="BS798">
        <f t="shared" si="1550"/>
        <v>0</v>
      </c>
      <c r="BT798">
        <f t="shared" si="1550"/>
        <v>0</v>
      </c>
      <c r="BU798">
        <f t="shared" si="1550"/>
        <v>0</v>
      </c>
      <c r="BV798">
        <f t="shared" si="1550"/>
        <v>0</v>
      </c>
      <c r="BW798">
        <f t="shared" si="1550"/>
        <v>0</v>
      </c>
      <c r="BX798">
        <f t="shared" si="1550"/>
        <v>0</v>
      </c>
      <c r="BY798">
        <f t="shared" si="1550"/>
        <v>0</v>
      </c>
      <c r="BZ798">
        <f t="shared" si="1550"/>
        <v>0</v>
      </c>
      <c r="CA798">
        <f t="shared" si="1550"/>
        <v>0</v>
      </c>
      <c r="CB798">
        <f t="shared" si="1550"/>
        <v>0</v>
      </c>
      <c r="CC798">
        <f t="shared" si="1551"/>
        <v>0</v>
      </c>
      <c r="CD798">
        <f t="shared" si="1551"/>
        <v>0</v>
      </c>
      <c r="CE798">
        <f t="shared" si="1551"/>
        <v>0</v>
      </c>
      <c r="CF798">
        <f t="shared" si="1551"/>
        <v>0</v>
      </c>
      <c r="CG798">
        <f t="shared" si="1551"/>
        <v>0</v>
      </c>
      <c r="CH798">
        <f t="shared" si="1551"/>
        <v>0</v>
      </c>
      <c r="CI798">
        <f t="shared" si="1551"/>
        <v>0</v>
      </c>
      <c r="CJ798">
        <f t="shared" si="1551"/>
        <v>0</v>
      </c>
      <c r="CK798">
        <f t="shared" si="1551"/>
        <v>0</v>
      </c>
      <c r="CL798">
        <f t="shared" si="1551"/>
        <v>0</v>
      </c>
      <c r="CM798">
        <f t="shared" si="1552"/>
        <v>0</v>
      </c>
      <c r="CN798">
        <f t="shared" si="1552"/>
        <v>0</v>
      </c>
      <c r="CO798">
        <f t="shared" si="1552"/>
        <v>0</v>
      </c>
      <c r="CP798">
        <f t="shared" si="1552"/>
        <v>0</v>
      </c>
      <c r="CQ798">
        <f t="shared" si="1552"/>
        <v>0</v>
      </c>
      <c r="CR798">
        <f t="shared" si="1552"/>
        <v>0</v>
      </c>
      <c r="CS798">
        <f t="shared" si="1552"/>
        <v>0</v>
      </c>
      <c r="CT798">
        <f t="shared" si="1552"/>
        <v>0</v>
      </c>
      <c r="CU798">
        <f t="shared" si="1552"/>
        <v>0</v>
      </c>
      <c r="CV798">
        <f t="shared" si="1552"/>
        <v>0</v>
      </c>
      <c r="CW798">
        <f t="shared" si="1553"/>
        <v>0</v>
      </c>
      <c r="CX798">
        <f t="shared" si="1553"/>
        <v>0</v>
      </c>
      <c r="CY798">
        <f t="shared" si="1553"/>
        <v>0</v>
      </c>
      <c r="CZ798">
        <f t="shared" si="1553"/>
        <v>0</v>
      </c>
      <c r="DA798">
        <f t="shared" si="1553"/>
        <v>0</v>
      </c>
      <c r="DB798">
        <f t="shared" si="1553"/>
        <v>0</v>
      </c>
      <c r="DC798">
        <f t="shared" si="1553"/>
        <v>0</v>
      </c>
      <c r="DD798">
        <f t="shared" si="1553"/>
        <v>0</v>
      </c>
      <c r="DE798">
        <f t="shared" si="1553"/>
        <v>0</v>
      </c>
      <c r="DF798">
        <f t="shared" si="1553"/>
        <v>0</v>
      </c>
      <c r="DG798">
        <f t="shared" si="1554"/>
        <v>0</v>
      </c>
      <c r="DH798">
        <f t="shared" si="1554"/>
        <v>0</v>
      </c>
      <c r="DI798">
        <f t="shared" si="1554"/>
        <v>0</v>
      </c>
      <c r="DJ798">
        <f t="shared" si="1554"/>
        <v>0</v>
      </c>
      <c r="DK798">
        <f t="shared" si="1554"/>
        <v>0</v>
      </c>
      <c r="DL798">
        <f t="shared" si="1554"/>
        <v>0</v>
      </c>
      <c r="DM798">
        <f t="shared" si="1554"/>
        <v>0</v>
      </c>
      <c r="DN798">
        <f t="shared" si="1554"/>
        <v>0</v>
      </c>
      <c r="DO798">
        <f t="shared" si="1554"/>
        <v>0</v>
      </c>
      <c r="DP798">
        <f t="shared" si="1554"/>
        <v>0</v>
      </c>
      <c r="DQ798">
        <f t="shared" si="1555"/>
        <v>0</v>
      </c>
      <c r="DR798">
        <f t="shared" si="1555"/>
        <v>0</v>
      </c>
      <c r="DS798">
        <f t="shared" si="1555"/>
        <v>0</v>
      </c>
      <c r="DT798">
        <f t="shared" si="1555"/>
        <v>0</v>
      </c>
      <c r="DU798">
        <f t="shared" si="1555"/>
        <v>0</v>
      </c>
      <c r="DV798">
        <f t="shared" si="1555"/>
        <v>0</v>
      </c>
      <c r="DW798">
        <f t="shared" si="1555"/>
        <v>0</v>
      </c>
      <c r="DX798">
        <f t="shared" si="1555"/>
        <v>0</v>
      </c>
      <c r="DY798">
        <f t="shared" si="1555"/>
        <v>0</v>
      </c>
      <c r="DZ798">
        <f t="shared" si="1555"/>
        <v>0</v>
      </c>
      <c r="EA798">
        <f t="shared" ref="EA798:EF798" si="1557">IF($C798&lt;&gt;"",IF(BL798&gt;0,1,0),0)</f>
        <v>0</v>
      </c>
      <c r="EB798">
        <f t="shared" si="1557"/>
        <v>0</v>
      </c>
      <c r="EC798">
        <f t="shared" si="1557"/>
        <v>0</v>
      </c>
      <c r="ED798">
        <f t="shared" si="1557"/>
        <v>0</v>
      </c>
      <c r="EE798">
        <f t="shared" si="1557"/>
        <v>0</v>
      </c>
      <c r="EF798">
        <f t="shared" si="1557"/>
        <v>0</v>
      </c>
    </row>
    <row r="799" spans="1:136" ht="15.5">
      <c r="A799" s="90"/>
      <c r="B799" s="53"/>
      <c r="C799" s="9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  <c r="AI799" s="34"/>
      <c r="AJ799" s="34"/>
      <c r="AK799" s="34"/>
      <c r="AL799" s="34"/>
      <c r="AM799" s="34"/>
      <c r="AN799" s="34"/>
      <c r="AO799" s="34"/>
      <c r="AP799" s="34"/>
      <c r="AQ799" s="34"/>
      <c r="AR799" s="34"/>
      <c r="AS799" s="34"/>
      <c r="AT799" s="34"/>
      <c r="AU799" s="34"/>
      <c r="AV799" s="34"/>
      <c r="AW799" s="34"/>
      <c r="AX799" s="34"/>
      <c r="AY799" s="34"/>
      <c r="AZ799" s="34"/>
      <c r="BA799" s="34"/>
      <c r="BB799" s="34"/>
      <c r="BC799" s="34"/>
      <c r="BD799" s="31"/>
      <c r="BE799" s="55"/>
      <c r="BF799" s="18"/>
      <c r="BG799" s="31"/>
      <c r="BH799" s="154"/>
      <c r="BI799" s="154"/>
      <c r="BJ799" s="113"/>
      <c r="BK799" s="113"/>
      <c r="BL799" s="113"/>
      <c r="BM799" s="113"/>
      <c r="BN799" s="2"/>
      <c r="BO799" s="2"/>
      <c r="BP799" s="2"/>
      <c r="BQ799" s="2"/>
      <c r="BR799" s="101"/>
    </row>
    <row r="800" spans="1:136" ht="15.5">
      <c r="A800" s="93">
        <v>101</v>
      </c>
      <c r="B800" s="52" t="s">
        <v>106</v>
      </c>
      <c r="C800" s="94">
        <v>3</v>
      </c>
      <c r="D800" s="18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>
        <f t="shared" ref="S800:AX800" si="1558">SUM(S801:S807)</f>
        <v>0</v>
      </c>
      <c r="T800" s="9">
        <f t="shared" si="1558"/>
        <v>0</v>
      </c>
      <c r="U800" s="9">
        <f t="shared" si="1558"/>
        <v>0</v>
      </c>
      <c r="V800" s="9">
        <f t="shared" si="1558"/>
        <v>0</v>
      </c>
      <c r="W800" s="9">
        <f t="shared" si="1558"/>
        <v>0</v>
      </c>
      <c r="X800" s="9">
        <f t="shared" si="1558"/>
        <v>750</v>
      </c>
      <c r="Y800" s="9">
        <f t="shared" si="1558"/>
        <v>0</v>
      </c>
      <c r="Z800" s="9">
        <f t="shared" si="1558"/>
        <v>0</v>
      </c>
      <c r="AA800" s="9">
        <f t="shared" si="1558"/>
        <v>0</v>
      </c>
      <c r="AB800" s="9">
        <f t="shared" si="1558"/>
        <v>143.27197340000001</v>
      </c>
      <c r="AC800" s="9">
        <f t="shared" si="1558"/>
        <v>286.95377489999998</v>
      </c>
      <c r="AD800" s="9">
        <f t="shared" si="1558"/>
        <v>591.93674450000003</v>
      </c>
      <c r="AE800" s="9">
        <f t="shared" si="1558"/>
        <v>1098.1430700999999</v>
      </c>
      <c r="AF800" s="9">
        <f t="shared" si="1558"/>
        <v>801.95725159999995</v>
      </c>
      <c r="AG800" s="9">
        <f t="shared" si="1558"/>
        <v>1018.159617</v>
      </c>
      <c r="AH800" s="9">
        <f t="shared" si="1558"/>
        <v>3172.8722391000001</v>
      </c>
      <c r="AI800" s="9">
        <f t="shared" si="1558"/>
        <v>1183.6936232</v>
      </c>
      <c r="AJ800" s="9">
        <f t="shared" si="1558"/>
        <v>1184.0204020000001</v>
      </c>
      <c r="AK800" s="9">
        <f t="shared" si="1558"/>
        <v>1491.0663579999998</v>
      </c>
      <c r="AL800" s="9">
        <f t="shared" si="1558"/>
        <v>1210.2366654</v>
      </c>
      <c r="AM800" s="9">
        <f t="shared" si="1558"/>
        <v>1831.6758390999998</v>
      </c>
      <c r="AN800" s="9">
        <f t="shared" si="1558"/>
        <v>2163.5490930999999</v>
      </c>
      <c r="AO800" s="9">
        <f t="shared" si="1558"/>
        <v>1672.5513811999999</v>
      </c>
      <c r="AP800" s="9">
        <f t="shared" si="1558"/>
        <v>2317.6561935</v>
      </c>
      <c r="AQ800" s="9">
        <f t="shared" si="1558"/>
        <v>1876.2468001</v>
      </c>
      <c r="AR800" s="9">
        <f t="shared" si="1558"/>
        <v>1245.9298670999999</v>
      </c>
      <c r="AS800" s="9">
        <f t="shared" si="1558"/>
        <v>2835.8416864999999</v>
      </c>
      <c r="AT800" s="9">
        <f t="shared" si="1558"/>
        <v>852.53566920000003</v>
      </c>
      <c r="AU800" s="145">
        <f t="shared" si="1558"/>
        <v>911.6448989999999</v>
      </c>
      <c r="AV800" s="145">
        <f t="shared" si="1558"/>
        <v>1011.5848327</v>
      </c>
      <c r="AW800" s="145">
        <f t="shared" si="1558"/>
        <v>1028.4479188</v>
      </c>
      <c r="AX800" s="145">
        <f t="shared" si="1558"/>
        <v>2838.0333853000002</v>
      </c>
      <c r="AY800" s="145">
        <f t="shared" ref="AY800:BQ800" si="1559">SUM(AY801:AY807)</f>
        <v>1058.8003899</v>
      </c>
      <c r="AZ800" s="145">
        <f t="shared" si="1559"/>
        <v>884.79681089999997</v>
      </c>
      <c r="BA800" s="145">
        <f t="shared" si="1559"/>
        <v>918.66091010000002</v>
      </c>
      <c r="BB800" s="145">
        <f t="shared" si="1559"/>
        <v>1505.7620386999999</v>
      </c>
      <c r="BC800" s="145">
        <f t="shared" si="1559"/>
        <v>1506.3330237999999</v>
      </c>
      <c r="BD800" s="145">
        <f t="shared" si="1559"/>
        <v>1511.3208674999998</v>
      </c>
      <c r="BE800" s="145">
        <f t="shared" si="1559"/>
        <v>1505.7620386999999</v>
      </c>
      <c r="BF800" s="145">
        <f t="shared" si="1559"/>
        <v>1505.7814642999999</v>
      </c>
      <c r="BG800" s="145">
        <f t="shared" si="1559"/>
        <v>1878.7914335999999</v>
      </c>
      <c r="BH800" s="145">
        <f t="shared" si="1559"/>
        <v>2810.1260440999999</v>
      </c>
      <c r="BI800" s="217">
        <f t="shared" si="1559"/>
        <v>4808.3531898000001</v>
      </c>
      <c r="BJ800" s="217">
        <f t="shared" si="1559"/>
        <v>5197.3803896999998</v>
      </c>
      <c r="BK800" s="217">
        <f t="shared" si="1559"/>
        <v>2925.3625102000001</v>
      </c>
      <c r="BL800" s="217">
        <f t="shared" si="1559"/>
        <v>2846.5720016</v>
      </c>
      <c r="BM800" s="217">
        <f t="shared" si="1559"/>
        <v>4027.7071873999998</v>
      </c>
      <c r="BN800" s="217">
        <f t="shared" si="1559"/>
        <v>3290</v>
      </c>
      <c r="BO800" s="217">
        <f t="shared" si="1559"/>
        <v>2729.4977067</v>
      </c>
      <c r="BP800" s="217">
        <f t="shared" si="1559"/>
        <v>605.7494246</v>
      </c>
      <c r="BQ800" s="217">
        <f t="shared" si="1559"/>
        <v>607</v>
      </c>
      <c r="BR800" s="101"/>
      <c r="BS800">
        <f t="shared" ref="BS800:CX800" si="1560">IF($C800&lt;&gt;"",IF(D800&gt;0,1,0),0)</f>
        <v>0</v>
      </c>
      <c r="BT800">
        <f t="shared" si="1560"/>
        <v>0</v>
      </c>
      <c r="BU800">
        <f t="shared" si="1560"/>
        <v>0</v>
      </c>
      <c r="BV800">
        <f t="shared" si="1560"/>
        <v>0</v>
      </c>
      <c r="BW800">
        <f t="shared" si="1560"/>
        <v>0</v>
      </c>
      <c r="BX800">
        <f t="shared" si="1560"/>
        <v>0</v>
      </c>
      <c r="BY800">
        <f t="shared" si="1560"/>
        <v>0</v>
      </c>
      <c r="BZ800">
        <f t="shared" si="1560"/>
        <v>0</v>
      </c>
      <c r="CA800">
        <f t="shared" si="1560"/>
        <v>0</v>
      </c>
      <c r="CB800">
        <f t="shared" si="1560"/>
        <v>0</v>
      </c>
      <c r="CC800">
        <f t="shared" si="1560"/>
        <v>0</v>
      </c>
      <c r="CD800">
        <f t="shared" si="1560"/>
        <v>0</v>
      </c>
      <c r="CE800">
        <f t="shared" si="1560"/>
        <v>0</v>
      </c>
      <c r="CF800">
        <f t="shared" si="1560"/>
        <v>0</v>
      </c>
      <c r="CG800">
        <f t="shared" si="1560"/>
        <v>0</v>
      </c>
      <c r="CH800">
        <f t="shared" si="1560"/>
        <v>0</v>
      </c>
      <c r="CI800">
        <f t="shared" si="1560"/>
        <v>0</v>
      </c>
      <c r="CJ800">
        <f t="shared" si="1560"/>
        <v>0</v>
      </c>
      <c r="CK800">
        <f t="shared" si="1560"/>
        <v>0</v>
      </c>
      <c r="CL800">
        <f t="shared" si="1560"/>
        <v>0</v>
      </c>
      <c r="CM800">
        <f t="shared" si="1560"/>
        <v>1</v>
      </c>
      <c r="CN800">
        <f t="shared" si="1560"/>
        <v>0</v>
      </c>
      <c r="CO800">
        <f t="shared" si="1560"/>
        <v>0</v>
      </c>
      <c r="CP800">
        <f t="shared" si="1560"/>
        <v>0</v>
      </c>
      <c r="CQ800">
        <f t="shared" si="1560"/>
        <v>1</v>
      </c>
      <c r="CR800">
        <f t="shared" si="1560"/>
        <v>1</v>
      </c>
      <c r="CS800">
        <f t="shared" si="1560"/>
        <v>1</v>
      </c>
      <c r="CT800">
        <f t="shared" si="1560"/>
        <v>1</v>
      </c>
      <c r="CU800">
        <f t="shared" si="1560"/>
        <v>1</v>
      </c>
      <c r="CV800">
        <f t="shared" si="1560"/>
        <v>1</v>
      </c>
      <c r="CW800">
        <f t="shared" si="1560"/>
        <v>1</v>
      </c>
      <c r="CX800">
        <f t="shared" si="1560"/>
        <v>1</v>
      </c>
      <c r="CY800">
        <f t="shared" ref="CY800:ED800" si="1561">IF($C800&lt;&gt;"",IF(AJ800&gt;0,1,0),0)</f>
        <v>1</v>
      </c>
      <c r="CZ800">
        <f t="shared" si="1561"/>
        <v>1</v>
      </c>
      <c r="DA800">
        <f t="shared" si="1561"/>
        <v>1</v>
      </c>
      <c r="DB800">
        <f t="shared" si="1561"/>
        <v>1</v>
      </c>
      <c r="DC800">
        <f t="shared" si="1561"/>
        <v>1</v>
      </c>
      <c r="DD800">
        <f t="shared" si="1561"/>
        <v>1</v>
      </c>
      <c r="DE800">
        <f t="shared" si="1561"/>
        <v>1</v>
      </c>
      <c r="DF800">
        <f t="shared" si="1561"/>
        <v>1</v>
      </c>
      <c r="DG800">
        <f t="shared" si="1561"/>
        <v>1</v>
      </c>
      <c r="DH800">
        <f t="shared" si="1561"/>
        <v>1</v>
      </c>
      <c r="DI800">
        <f t="shared" si="1561"/>
        <v>1</v>
      </c>
      <c r="DJ800">
        <f t="shared" si="1561"/>
        <v>1</v>
      </c>
      <c r="DK800">
        <f t="shared" si="1561"/>
        <v>1</v>
      </c>
      <c r="DL800">
        <f t="shared" si="1561"/>
        <v>1</v>
      </c>
      <c r="DM800">
        <f t="shared" si="1561"/>
        <v>1</v>
      </c>
      <c r="DN800">
        <f t="shared" si="1561"/>
        <v>1</v>
      </c>
      <c r="DO800">
        <f t="shared" si="1561"/>
        <v>1</v>
      </c>
      <c r="DP800">
        <f t="shared" si="1561"/>
        <v>1</v>
      </c>
      <c r="DQ800">
        <f t="shared" si="1561"/>
        <v>1</v>
      </c>
      <c r="DR800">
        <f t="shared" si="1561"/>
        <v>1</v>
      </c>
      <c r="DS800">
        <f t="shared" si="1561"/>
        <v>1</v>
      </c>
      <c r="DT800">
        <f t="shared" si="1561"/>
        <v>1</v>
      </c>
      <c r="DU800">
        <f t="shared" si="1561"/>
        <v>1</v>
      </c>
      <c r="DV800">
        <f t="shared" si="1561"/>
        <v>1</v>
      </c>
      <c r="DW800">
        <f t="shared" si="1561"/>
        <v>1</v>
      </c>
      <c r="DX800">
        <f t="shared" si="1561"/>
        <v>1</v>
      </c>
      <c r="DY800">
        <f t="shared" si="1561"/>
        <v>1</v>
      </c>
      <c r="DZ800">
        <f t="shared" si="1561"/>
        <v>1</v>
      </c>
      <c r="EA800">
        <f t="shared" si="1561"/>
        <v>1</v>
      </c>
      <c r="EB800">
        <f t="shared" si="1561"/>
        <v>1</v>
      </c>
      <c r="EC800">
        <f t="shared" si="1561"/>
        <v>1</v>
      </c>
      <c r="ED800">
        <f t="shared" si="1561"/>
        <v>1</v>
      </c>
      <c r="EE800">
        <f t="shared" ref="EE800:EF800" si="1562">IF($C800&lt;&gt;"",IF(BP800&gt;0,1,0),0)</f>
        <v>1</v>
      </c>
      <c r="EF800">
        <f t="shared" si="1562"/>
        <v>1</v>
      </c>
    </row>
    <row r="801" spans="1:136" ht="15.5">
      <c r="A801" s="90"/>
      <c r="B801" s="19" t="s">
        <v>2</v>
      </c>
      <c r="C801" s="94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>
        <v>0</v>
      </c>
      <c r="T801" s="60">
        <v>0</v>
      </c>
      <c r="U801" s="60">
        <v>0</v>
      </c>
      <c r="V801" s="60">
        <v>0</v>
      </c>
      <c r="W801" s="60">
        <v>0</v>
      </c>
      <c r="X801" s="60">
        <v>0</v>
      </c>
      <c r="Y801" s="60">
        <v>0</v>
      </c>
      <c r="Z801" s="60">
        <v>0</v>
      </c>
      <c r="AA801" s="40" t="s">
        <v>16</v>
      </c>
      <c r="AB801" s="34">
        <v>142</v>
      </c>
      <c r="AC801" s="40" t="s">
        <v>16</v>
      </c>
      <c r="AD801" s="40" t="s">
        <v>16</v>
      </c>
      <c r="AE801" s="34">
        <v>612</v>
      </c>
      <c r="AF801" s="40" t="s">
        <v>16</v>
      </c>
      <c r="AG801" s="40" t="s">
        <v>16</v>
      </c>
      <c r="AH801" s="34">
        <v>707</v>
      </c>
      <c r="AI801" s="40" t="s">
        <v>16</v>
      </c>
      <c r="AJ801" s="40" t="s">
        <v>16</v>
      </c>
      <c r="AK801" s="34">
        <v>440</v>
      </c>
      <c r="AL801" s="40" t="s">
        <v>16</v>
      </c>
      <c r="AM801" s="40" t="s">
        <v>16</v>
      </c>
      <c r="AN801" s="34">
        <v>663</v>
      </c>
      <c r="AO801" s="40" t="s">
        <v>16</v>
      </c>
      <c r="AP801" s="34">
        <v>663</v>
      </c>
      <c r="AQ801" s="34">
        <v>1860</v>
      </c>
      <c r="AR801" s="9"/>
      <c r="AS801" s="34">
        <v>2800</v>
      </c>
      <c r="AT801" s="40" t="s">
        <v>16</v>
      </c>
      <c r="AU801" s="34">
        <v>0</v>
      </c>
      <c r="AV801" s="34">
        <v>0</v>
      </c>
      <c r="AW801" s="34">
        <v>0</v>
      </c>
      <c r="AX801" s="34">
        <v>0</v>
      </c>
      <c r="AY801" s="40" t="s">
        <v>16</v>
      </c>
      <c r="AZ801" s="34">
        <v>0</v>
      </c>
      <c r="BA801" s="34">
        <v>0</v>
      </c>
      <c r="BB801" s="34">
        <v>0</v>
      </c>
      <c r="BC801" s="34">
        <v>0</v>
      </c>
      <c r="BD801" s="25">
        <v>0</v>
      </c>
      <c r="BE801" s="25">
        <v>0</v>
      </c>
      <c r="BF801" s="25">
        <v>0</v>
      </c>
      <c r="BG801" s="25">
        <v>0</v>
      </c>
      <c r="BH801" s="25">
        <v>0</v>
      </c>
      <c r="BI801" s="113">
        <v>23</v>
      </c>
      <c r="BJ801" s="113">
        <v>38</v>
      </c>
      <c r="BK801" s="18">
        <v>52</v>
      </c>
      <c r="BL801" s="113">
        <v>66</v>
      </c>
      <c r="BM801" s="113">
        <v>79</v>
      </c>
      <c r="BN801" s="18">
        <v>143</v>
      </c>
      <c r="BO801" s="18">
        <v>143</v>
      </c>
      <c r="BP801" s="113">
        <v>143</v>
      </c>
      <c r="BQ801" s="113">
        <v>143</v>
      </c>
      <c r="BR801" s="101"/>
      <c r="BS801">
        <f t="shared" ref="BS801:CB808" si="1563">IF($C801&lt;&gt;"",IF(D801&gt;0,1,0),0)</f>
        <v>0</v>
      </c>
      <c r="BT801">
        <f t="shared" si="1563"/>
        <v>0</v>
      </c>
      <c r="BU801">
        <f t="shared" si="1563"/>
        <v>0</v>
      </c>
      <c r="BV801">
        <f t="shared" si="1563"/>
        <v>0</v>
      </c>
      <c r="BW801">
        <f t="shared" si="1563"/>
        <v>0</v>
      </c>
      <c r="BX801">
        <f t="shared" si="1563"/>
        <v>0</v>
      </c>
      <c r="BY801">
        <f t="shared" si="1563"/>
        <v>0</v>
      </c>
      <c r="BZ801">
        <f t="shared" si="1563"/>
        <v>0</v>
      </c>
      <c r="CA801">
        <f t="shared" si="1563"/>
        <v>0</v>
      </c>
      <c r="CB801">
        <f t="shared" si="1563"/>
        <v>0</v>
      </c>
      <c r="CC801">
        <f t="shared" ref="CC801:CL808" si="1564">IF($C801&lt;&gt;"",IF(N801&gt;0,1,0),0)</f>
        <v>0</v>
      </c>
      <c r="CD801">
        <f t="shared" si="1564"/>
        <v>0</v>
      </c>
      <c r="CE801">
        <f t="shared" si="1564"/>
        <v>0</v>
      </c>
      <c r="CF801">
        <f t="shared" si="1564"/>
        <v>0</v>
      </c>
      <c r="CG801">
        <f t="shared" si="1564"/>
        <v>0</v>
      </c>
      <c r="CH801">
        <f t="shared" si="1564"/>
        <v>0</v>
      </c>
      <c r="CI801">
        <f t="shared" si="1564"/>
        <v>0</v>
      </c>
      <c r="CJ801">
        <f t="shared" si="1564"/>
        <v>0</v>
      </c>
      <c r="CK801">
        <f t="shared" si="1564"/>
        <v>0</v>
      </c>
      <c r="CL801">
        <f t="shared" si="1564"/>
        <v>0</v>
      </c>
      <c r="CM801">
        <f t="shared" ref="CM801:CV808" si="1565">IF($C801&lt;&gt;"",IF(X801&gt;0,1,0),0)</f>
        <v>0</v>
      </c>
      <c r="CN801">
        <f t="shared" si="1565"/>
        <v>0</v>
      </c>
      <c r="CO801">
        <f t="shared" si="1565"/>
        <v>0</v>
      </c>
      <c r="CP801">
        <f t="shared" si="1565"/>
        <v>0</v>
      </c>
      <c r="CQ801">
        <f t="shared" si="1565"/>
        <v>0</v>
      </c>
      <c r="CR801">
        <f t="shared" si="1565"/>
        <v>0</v>
      </c>
      <c r="CS801">
        <f t="shared" si="1565"/>
        <v>0</v>
      </c>
      <c r="CT801">
        <f t="shared" si="1565"/>
        <v>0</v>
      </c>
      <c r="CU801">
        <f t="shared" si="1565"/>
        <v>0</v>
      </c>
      <c r="CV801">
        <f t="shared" si="1565"/>
        <v>0</v>
      </c>
      <c r="CW801">
        <f t="shared" ref="CW801:DF808" si="1566">IF($C801&lt;&gt;"",IF(AH801&gt;0,1,0),0)</f>
        <v>0</v>
      </c>
      <c r="CX801">
        <f t="shared" si="1566"/>
        <v>0</v>
      </c>
      <c r="CY801">
        <f t="shared" si="1566"/>
        <v>0</v>
      </c>
      <c r="CZ801">
        <f t="shared" si="1566"/>
        <v>0</v>
      </c>
      <c r="DA801">
        <f t="shared" si="1566"/>
        <v>0</v>
      </c>
      <c r="DB801">
        <f t="shared" si="1566"/>
        <v>0</v>
      </c>
      <c r="DC801">
        <f t="shared" si="1566"/>
        <v>0</v>
      </c>
      <c r="DD801">
        <f t="shared" si="1566"/>
        <v>0</v>
      </c>
      <c r="DE801">
        <f t="shared" si="1566"/>
        <v>0</v>
      </c>
      <c r="DF801">
        <f t="shared" si="1566"/>
        <v>0</v>
      </c>
      <c r="DG801">
        <f t="shared" ref="DG801:DP808" si="1567">IF($C801&lt;&gt;"",IF(AR801&gt;0,1,0),0)</f>
        <v>0</v>
      </c>
      <c r="DH801">
        <f t="shared" si="1567"/>
        <v>0</v>
      </c>
      <c r="DI801">
        <f t="shared" si="1567"/>
        <v>0</v>
      </c>
      <c r="DJ801">
        <f t="shared" si="1567"/>
        <v>0</v>
      </c>
      <c r="DK801">
        <f t="shared" si="1567"/>
        <v>0</v>
      </c>
      <c r="DL801">
        <f t="shared" si="1567"/>
        <v>0</v>
      </c>
      <c r="DM801">
        <f t="shared" si="1567"/>
        <v>0</v>
      </c>
      <c r="DN801">
        <f t="shared" si="1567"/>
        <v>0</v>
      </c>
      <c r="DO801">
        <f t="shared" si="1567"/>
        <v>0</v>
      </c>
      <c r="DP801">
        <f t="shared" si="1567"/>
        <v>0</v>
      </c>
      <c r="DQ801">
        <f t="shared" ref="DQ801:DZ808" si="1568">IF($C801&lt;&gt;"",IF(BB801&gt;0,1,0),0)</f>
        <v>0</v>
      </c>
      <c r="DR801">
        <f t="shared" si="1568"/>
        <v>0</v>
      </c>
      <c r="DS801">
        <f t="shared" si="1568"/>
        <v>0</v>
      </c>
      <c r="DT801">
        <f t="shared" si="1568"/>
        <v>0</v>
      </c>
      <c r="DU801">
        <f t="shared" si="1568"/>
        <v>0</v>
      </c>
      <c r="DV801">
        <f t="shared" si="1568"/>
        <v>0</v>
      </c>
      <c r="DW801">
        <f t="shared" si="1568"/>
        <v>0</v>
      </c>
      <c r="DX801">
        <f t="shared" si="1568"/>
        <v>0</v>
      </c>
      <c r="DY801">
        <f t="shared" si="1568"/>
        <v>0</v>
      </c>
      <c r="DZ801">
        <f t="shared" si="1568"/>
        <v>0</v>
      </c>
      <c r="EA801">
        <f t="shared" ref="EA801:EF807" si="1569">IF($C801&lt;&gt;"",IF(BL800&gt;0,1,0),0)</f>
        <v>0</v>
      </c>
      <c r="EB801">
        <f t="shared" si="1569"/>
        <v>0</v>
      </c>
      <c r="EC801">
        <f t="shared" si="1569"/>
        <v>0</v>
      </c>
      <c r="ED801">
        <f t="shared" si="1569"/>
        <v>0</v>
      </c>
      <c r="EE801">
        <f t="shared" si="1569"/>
        <v>0</v>
      </c>
      <c r="EF801">
        <f t="shared" si="1569"/>
        <v>0</v>
      </c>
    </row>
    <row r="802" spans="1:136" ht="15.5">
      <c r="A802" s="90"/>
      <c r="B802" s="19" t="s">
        <v>205</v>
      </c>
      <c r="C802" s="94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34">
        <v>0</v>
      </c>
      <c r="T802" s="34">
        <v>0</v>
      </c>
      <c r="U802" s="34">
        <v>0</v>
      </c>
      <c r="V802" s="34">
        <v>0</v>
      </c>
      <c r="W802" s="34">
        <v>0</v>
      </c>
      <c r="X802" s="34">
        <v>0</v>
      </c>
      <c r="Y802" s="34">
        <v>0</v>
      </c>
      <c r="Z802" s="34">
        <v>0</v>
      </c>
      <c r="AA802" s="34">
        <v>0</v>
      </c>
      <c r="AB802" s="34">
        <v>0</v>
      </c>
      <c r="AC802" s="34">
        <v>0</v>
      </c>
      <c r="AD802" s="34">
        <v>0</v>
      </c>
      <c r="AE802" s="34">
        <v>0</v>
      </c>
      <c r="AF802" s="130">
        <v>0.20300000000000001</v>
      </c>
      <c r="AG802" s="130">
        <v>0.40600000000000003</v>
      </c>
      <c r="AH802" s="130">
        <v>0.60899999999999999</v>
      </c>
      <c r="AI802" s="130">
        <v>1.0149999999999999</v>
      </c>
      <c r="AJ802" s="130">
        <v>3.4510000000000001</v>
      </c>
      <c r="AK802" s="130">
        <v>4.79</v>
      </c>
      <c r="AL802" s="130">
        <v>8.0478939999999994</v>
      </c>
      <c r="AM802" s="130">
        <v>10.366526199999999</v>
      </c>
      <c r="AN802" s="130">
        <v>12.755851699999999</v>
      </c>
      <c r="AO802" s="130">
        <v>9.4537113000000002</v>
      </c>
      <c r="AP802" s="130">
        <v>10.359943699999999</v>
      </c>
      <c r="AQ802" s="130">
        <v>11.551310599999999</v>
      </c>
      <c r="AR802" s="130">
        <v>10.388242699999999</v>
      </c>
      <c r="AS802" s="34">
        <v>35</v>
      </c>
      <c r="AT802" s="34">
        <v>22</v>
      </c>
      <c r="AU802" s="34">
        <v>8.8013591999999985</v>
      </c>
      <c r="AV802" s="34">
        <v>10.0653697</v>
      </c>
      <c r="AW802" s="34">
        <v>11.8447604</v>
      </c>
      <c r="AX802" s="34">
        <v>15.091810000000001</v>
      </c>
      <c r="AY802" s="34">
        <v>30</v>
      </c>
      <c r="AZ802" s="34">
        <v>0</v>
      </c>
      <c r="BA802" s="34">
        <v>0</v>
      </c>
      <c r="BB802" s="71">
        <v>63.4</v>
      </c>
      <c r="BC802" s="34">
        <v>0</v>
      </c>
      <c r="BD802" s="18">
        <v>13.330427199999999</v>
      </c>
      <c r="BE802" s="25">
        <v>0</v>
      </c>
      <c r="BF802" s="25">
        <v>0</v>
      </c>
      <c r="BG802" s="25">
        <f>96</f>
        <v>96</v>
      </c>
      <c r="BH802" s="25">
        <f>119</f>
        <v>119</v>
      </c>
      <c r="BI802" s="113">
        <f>2020+123</f>
        <v>2143</v>
      </c>
      <c r="BJ802" s="113">
        <f>2000+216</f>
        <v>2216</v>
      </c>
      <c r="BK802" s="34">
        <v>105</v>
      </c>
      <c r="BL802" s="113">
        <v>184.15277</v>
      </c>
      <c r="BM802" s="113">
        <v>861.64188200000001</v>
      </c>
      <c r="BN802" s="18">
        <v>0</v>
      </c>
      <c r="BO802" s="18">
        <v>46.497706700000002</v>
      </c>
      <c r="BP802" s="113">
        <v>4.7494245999999993</v>
      </c>
      <c r="BQ802" s="113">
        <v>0</v>
      </c>
      <c r="BR802" s="101"/>
      <c r="BS802">
        <f t="shared" si="1563"/>
        <v>0</v>
      </c>
      <c r="BT802">
        <f t="shared" si="1563"/>
        <v>0</v>
      </c>
      <c r="BU802">
        <f t="shared" si="1563"/>
        <v>0</v>
      </c>
      <c r="BV802">
        <f t="shared" si="1563"/>
        <v>0</v>
      </c>
      <c r="BW802">
        <f t="shared" si="1563"/>
        <v>0</v>
      </c>
      <c r="BX802">
        <f t="shared" si="1563"/>
        <v>0</v>
      </c>
      <c r="BY802">
        <f t="shared" si="1563"/>
        <v>0</v>
      </c>
      <c r="BZ802">
        <f t="shared" si="1563"/>
        <v>0</v>
      </c>
      <c r="CA802">
        <f t="shared" si="1563"/>
        <v>0</v>
      </c>
      <c r="CB802">
        <f t="shared" si="1563"/>
        <v>0</v>
      </c>
      <c r="CC802">
        <f t="shared" si="1564"/>
        <v>0</v>
      </c>
      <c r="CD802">
        <f t="shared" si="1564"/>
        <v>0</v>
      </c>
      <c r="CE802">
        <f t="shared" si="1564"/>
        <v>0</v>
      </c>
      <c r="CF802">
        <f t="shared" si="1564"/>
        <v>0</v>
      </c>
      <c r="CG802">
        <f t="shared" si="1564"/>
        <v>0</v>
      </c>
      <c r="CH802">
        <f t="shared" si="1564"/>
        <v>0</v>
      </c>
      <c r="CI802">
        <f t="shared" si="1564"/>
        <v>0</v>
      </c>
      <c r="CJ802">
        <f t="shared" si="1564"/>
        <v>0</v>
      </c>
      <c r="CK802">
        <f t="shared" si="1564"/>
        <v>0</v>
      </c>
      <c r="CL802">
        <f t="shared" si="1564"/>
        <v>0</v>
      </c>
      <c r="CM802">
        <f t="shared" si="1565"/>
        <v>0</v>
      </c>
      <c r="CN802">
        <f t="shared" si="1565"/>
        <v>0</v>
      </c>
      <c r="CO802">
        <f t="shared" si="1565"/>
        <v>0</v>
      </c>
      <c r="CP802">
        <f t="shared" si="1565"/>
        <v>0</v>
      </c>
      <c r="CQ802">
        <f t="shared" si="1565"/>
        <v>0</v>
      </c>
      <c r="CR802">
        <f t="shared" si="1565"/>
        <v>0</v>
      </c>
      <c r="CS802">
        <f t="shared" si="1565"/>
        <v>0</v>
      </c>
      <c r="CT802">
        <f t="shared" si="1565"/>
        <v>0</v>
      </c>
      <c r="CU802">
        <f t="shared" si="1565"/>
        <v>0</v>
      </c>
      <c r="CV802">
        <f t="shared" si="1565"/>
        <v>0</v>
      </c>
      <c r="CW802">
        <f t="shared" si="1566"/>
        <v>0</v>
      </c>
      <c r="CX802">
        <f t="shared" si="1566"/>
        <v>0</v>
      </c>
      <c r="CY802">
        <f t="shared" si="1566"/>
        <v>0</v>
      </c>
      <c r="CZ802">
        <f t="shared" si="1566"/>
        <v>0</v>
      </c>
      <c r="DA802">
        <f t="shared" si="1566"/>
        <v>0</v>
      </c>
      <c r="DB802">
        <f t="shared" si="1566"/>
        <v>0</v>
      </c>
      <c r="DC802">
        <f t="shared" si="1566"/>
        <v>0</v>
      </c>
      <c r="DD802">
        <f t="shared" si="1566"/>
        <v>0</v>
      </c>
      <c r="DE802">
        <f t="shared" si="1566"/>
        <v>0</v>
      </c>
      <c r="DF802">
        <f t="shared" si="1566"/>
        <v>0</v>
      </c>
      <c r="DG802">
        <f t="shared" si="1567"/>
        <v>0</v>
      </c>
      <c r="DH802">
        <f t="shared" si="1567"/>
        <v>0</v>
      </c>
      <c r="DI802">
        <f t="shared" si="1567"/>
        <v>0</v>
      </c>
      <c r="DJ802">
        <f t="shared" si="1567"/>
        <v>0</v>
      </c>
      <c r="DK802">
        <f t="shared" si="1567"/>
        <v>0</v>
      </c>
      <c r="DL802">
        <f t="shared" si="1567"/>
        <v>0</v>
      </c>
      <c r="DM802">
        <f t="shared" si="1567"/>
        <v>0</v>
      </c>
      <c r="DN802">
        <f t="shared" si="1567"/>
        <v>0</v>
      </c>
      <c r="DO802">
        <f t="shared" si="1567"/>
        <v>0</v>
      </c>
      <c r="DP802">
        <f t="shared" si="1567"/>
        <v>0</v>
      </c>
      <c r="DQ802">
        <f t="shared" si="1568"/>
        <v>0</v>
      </c>
      <c r="DR802">
        <f t="shared" si="1568"/>
        <v>0</v>
      </c>
      <c r="DS802">
        <f t="shared" si="1568"/>
        <v>0</v>
      </c>
      <c r="DT802">
        <f t="shared" si="1568"/>
        <v>0</v>
      </c>
      <c r="DU802">
        <f t="shared" si="1568"/>
        <v>0</v>
      </c>
      <c r="DV802">
        <f t="shared" si="1568"/>
        <v>0</v>
      </c>
      <c r="DW802">
        <f t="shared" si="1568"/>
        <v>0</v>
      </c>
      <c r="DX802">
        <f t="shared" si="1568"/>
        <v>0</v>
      </c>
      <c r="DY802">
        <f t="shared" si="1568"/>
        <v>0</v>
      </c>
      <c r="DZ802">
        <f t="shared" si="1568"/>
        <v>0</v>
      </c>
      <c r="EA802">
        <f t="shared" si="1569"/>
        <v>0</v>
      </c>
      <c r="EB802">
        <f t="shared" si="1569"/>
        <v>0</v>
      </c>
      <c r="EC802">
        <f t="shared" si="1569"/>
        <v>0</v>
      </c>
      <c r="ED802">
        <f t="shared" si="1569"/>
        <v>0</v>
      </c>
      <c r="EE802">
        <f t="shared" si="1569"/>
        <v>0</v>
      </c>
      <c r="EF802">
        <f t="shared" si="1569"/>
        <v>0</v>
      </c>
    </row>
    <row r="803" spans="1:136" ht="15.5">
      <c r="A803" s="90"/>
      <c r="B803" s="19" t="s">
        <v>3</v>
      </c>
      <c r="C803" s="94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>
        <v>0</v>
      </c>
      <c r="T803" s="18">
        <v>0</v>
      </c>
      <c r="U803" s="18">
        <v>0</v>
      </c>
      <c r="V803" s="18">
        <v>0</v>
      </c>
      <c r="W803" s="18">
        <v>0</v>
      </c>
      <c r="X803" s="18">
        <v>0</v>
      </c>
      <c r="Y803" s="18">
        <v>0</v>
      </c>
      <c r="Z803" s="18">
        <v>0</v>
      </c>
      <c r="AA803" s="18">
        <v>0</v>
      </c>
      <c r="AB803" s="40" t="s">
        <v>16</v>
      </c>
      <c r="AC803" s="18">
        <v>128.24110579999999</v>
      </c>
      <c r="AD803" s="18">
        <v>257.05052749999999</v>
      </c>
      <c r="AE803" s="40" t="s">
        <v>16</v>
      </c>
      <c r="AF803" s="18">
        <v>408.03697080000001</v>
      </c>
      <c r="AG803" s="18">
        <v>508.84739229999997</v>
      </c>
      <c r="AH803" s="18">
        <v>1855.9816070999998</v>
      </c>
      <c r="AI803" s="18">
        <v>817.52383810000003</v>
      </c>
      <c r="AJ803" s="18">
        <v>814.81974889999992</v>
      </c>
      <c r="AK803" s="18">
        <v>942.63210929999991</v>
      </c>
      <c r="AL803" s="18">
        <v>1175.2341219</v>
      </c>
      <c r="AM803" s="18">
        <v>1802.0166087999999</v>
      </c>
      <c r="AN803" s="18">
        <v>1471.9210396999999</v>
      </c>
      <c r="AO803" s="18">
        <v>1655.6168157</v>
      </c>
      <c r="AP803" s="18">
        <v>1638.8150643999998</v>
      </c>
      <c r="AQ803" s="40" t="s">
        <v>16</v>
      </c>
      <c r="AR803" s="18">
        <v>1216.6918223999999</v>
      </c>
      <c r="AS803" s="40" t="s">
        <v>16</v>
      </c>
      <c r="AT803" s="18">
        <v>830.53566920000003</v>
      </c>
      <c r="AU803" s="18">
        <v>902.84353979999992</v>
      </c>
      <c r="AV803" s="18">
        <v>1001.519463</v>
      </c>
      <c r="AW803" s="18">
        <v>1016.6031584</v>
      </c>
      <c r="AX803" s="18">
        <v>2822.9415753000003</v>
      </c>
      <c r="AY803" s="18">
        <v>871.65317989999994</v>
      </c>
      <c r="AZ803" s="18">
        <v>884.79681089999997</v>
      </c>
      <c r="BA803" s="18">
        <v>916.6391893</v>
      </c>
      <c r="BB803" s="18">
        <f>1505.7620387-BB802</f>
        <v>1442.3620386999999</v>
      </c>
      <c r="BC803" s="18">
        <f t="shared" ref="BC803:BH803" si="1570">1505.7620387-BC802</f>
        <v>1505.7620386999999</v>
      </c>
      <c r="BD803" s="18">
        <f t="shared" si="1570"/>
        <v>1492.4316114999999</v>
      </c>
      <c r="BE803" s="18">
        <f t="shared" si="1570"/>
        <v>1505.7620386999999</v>
      </c>
      <c r="BF803" s="18">
        <f t="shared" si="1570"/>
        <v>1505.7620386999999</v>
      </c>
      <c r="BG803" s="18">
        <f t="shared" si="1570"/>
        <v>1409.7620386999999</v>
      </c>
      <c r="BH803" s="18">
        <f t="shared" si="1570"/>
        <v>1386.7620386999999</v>
      </c>
      <c r="BI803" s="18">
        <f>477.0740619-BI801</f>
        <v>454.0740619</v>
      </c>
      <c r="BJ803" s="18">
        <f>497.4584547-BJ801</f>
        <v>459.4584547</v>
      </c>
      <c r="BK803" s="18">
        <v>243</v>
      </c>
      <c r="BL803" s="113">
        <f>315-BL802-BL801</f>
        <v>64.847229999999996</v>
      </c>
      <c r="BM803" s="113">
        <v>385</v>
      </c>
      <c r="BN803" s="113">
        <v>452</v>
      </c>
      <c r="BO803" s="18">
        <v>452</v>
      </c>
      <c r="BP803" s="113">
        <v>458</v>
      </c>
      <c r="BQ803" s="113">
        <v>464</v>
      </c>
      <c r="BR803" s="101"/>
      <c r="BS803">
        <f t="shared" si="1563"/>
        <v>0</v>
      </c>
      <c r="BT803">
        <f t="shared" si="1563"/>
        <v>0</v>
      </c>
      <c r="BU803">
        <f t="shared" si="1563"/>
        <v>0</v>
      </c>
      <c r="BV803">
        <f t="shared" si="1563"/>
        <v>0</v>
      </c>
      <c r="BW803">
        <f t="shared" si="1563"/>
        <v>0</v>
      </c>
      <c r="BX803">
        <f t="shared" si="1563"/>
        <v>0</v>
      </c>
      <c r="BY803">
        <f t="shared" si="1563"/>
        <v>0</v>
      </c>
      <c r="BZ803">
        <f t="shared" si="1563"/>
        <v>0</v>
      </c>
      <c r="CA803">
        <f t="shared" si="1563"/>
        <v>0</v>
      </c>
      <c r="CB803">
        <f t="shared" si="1563"/>
        <v>0</v>
      </c>
      <c r="CC803">
        <f t="shared" si="1564"/>
        <v>0</v>
      </c>
      <c r="CD803">
        <f t="shared" si="1564"/>
        <v>0</v>
      </c>
      <c r="CE803">
        <f t="shared" si="1564"/>
        <v>0</v>
      </c>
      <c r="CF803">
        <f t="shared" si="1564"/>
        <v>0</v>
      </c>
      <c r="CG803">
        <f t="shared" si="1564"/>
        <v>0</v>
      </c>
      <c r="CH803">
        <f t="shared" si="1564"/>
        <v>0</v>
      </c>
      <c r="CI803">
        <f t="shared" si="1564"/>
        <v>0</v>
      </c>
      <c r="CJ803">
        <f t="shared" si="1564"/>
        <v>0</v>
      </c>
      <c r="CK803">
        <f t="shared" si="1564"/>
        <v>0</v>
      </c>
      <c r="CL803">
        <f t="shared" si="1564"/>
        <v>0</v>
      </c>
      <c r="CM803">
        <f t="shared" si="1565"/>
        <v>0</v>
      </c>
      <c r="CN803">
        <f t="shared" si="1565"/>
        <v>0</v>
      </c>
      <c r="CO803">
        <f t="shared" si="1565"/>
        <v>0</v>
      </c>
      <c r="CP803">
        <f t="shared" si="1565"/>
        <v>0</v>
      </c>
      <c r="CQ803">
        <f t="shared" si="1565"/>
        <v>0</v>
      </c>
      <c r="CR803">
        <f t="shared" si="1565"/>
        <v>0</v>
      </c>
      <c r="CS803">
        <f t="shared" si="1565"/>
        <v>0</v>
      </c>
      <c r="CT803">
        <f t="shared" si="1565"/>
        <v>0</v>
      </c>
      <c r="CU803">
        <f t="shared" si="1565"/>
        <v>0</v>
      </c>
      <c r="CV803">
        <f t="shared" si="1565"/>
        <v>0</v>
      </c>
      <c r="CW803">
        <f t="shared" si="1566"/>
        <v>0</v>
      </c>
      <c r="CX803">
        <f t="shared" si="1566"/>
        <v>0</v>
      </c>
      <c r="CY803">
        <f t="shared" si="1566"/>
        <v>0</v>
      </c>
      <c r="CZ803">
        <f t="shared" si="1566"/>
        <v>0</v>
      </c>
      <c r="DA803">
        <f t="shared" si="1566"/>
        <v>0</v>
      </c>
      <c r="DB803">
        <f t="shared" si="1566"/>
        <v>0</v>
      </c>
      <c r="DC803">
        <f t="shared" si="1566"/>
        <v>0</v>
      </c>
      <c r="DD803">
        <f t="shared" si="1566"/>
        <v>0</v>
      </c>
      <c r="DE803">
        <f t="shared" si="1566"/>
        <v>0</v>
      </c>
      <c r="DF803">
        <f t="shared" si="1566"/>
        <v>0</v>
      </c>
      <c r="DG803">
        <f t="shared" si="1567"/>
        <v>0</v>
      </c>
      <c r="DH803">
        <f t="shared" si="1567"/>
        <v>0</v>
      </c>
      <c r="DI803">
        <f t="shared" si="1567"/>
        <v>0</v>
      </c>
      <c r="DJ803">
        <f t="shared" si="1567"/>
        <v>0</v>
      </c>
      <c r="DK803">
        <f t="shared" si="1567"/>
        <v>0</v>
      </c>
      <c r="DL803">
        <f t="shared" si="1567"/>
        <v>0</v>
      </c>
      <c r="DM803">
        <f t="shared" si="1567"/>
        <v>0</v>
      </c>
      <c r="DN803">
        <f t="shared" si="1567"/>
        <v>0</v>
      </c>
      <c r="DO803">
        <f t="shared" si="1567"/>
        <v>0</v>
      </c>
      <c r="DP803">
        <f t="shared" si="1567"/>
        <v>0</v>
      </c>
      <c r="DQ803">
        <f t="shared" si="1568"/>
        <v>0</v>
      </c>
      <c r="DR803">
        <f t="shared" si="1568"/>
        <v>0</v>
      </c>
      <c r="DS803">
        <f t="shared" si="1568"/>
        <v>0</v>
      </c>
      <c r="DT803">
        <f t="shared" si="1568"/>
        <v>0</v>
      </c>
      <c r="DU803">
        <f t="shared" si="1568"/>
        <v>0</v>
      </c>
      <c r="DV803">
        <f t="shared" si="1568"/>
        <v>0</v>
      </c>
      <c r="DW803">
        <f t="shared" si="1568"/>
        <v>0</v>
      </c>
      <c r="DX803">
        <f t="shared" si="1568"/>
        <v>0</v>
      </c>
      <c r="DY803">
        <f t="shared" si="1568"/>
        <v>0</v>
      </c>
      <c r="DZ803">
        <f t="shared" si="1568"/>
        <v>0</v>
      </c>
      <c r="EA803">
        <f t="shared" si="1569"/>
        <v>0</v>
      </c>
      <c r="EB803">
        <f t="shared" si="1569"/>
        <v>0</v>
      </c>
      <c r="EC803">
        <f t="shared" si="1569"/>
        <v>0</v>
      </c>
      <c r="ED803">
        <f t="shared" si="1569"/>
        <v>0</v>
      </c>
      <c r="EE803">
        <f t="shared" si="1569"/>
        <v>0</v>
      </c>
      <c r="EF803">
        <f t="shared" si="1569"/>
        <v>0</v>
      </c>
    </row>
    <row r="804" spans="1:136" ht="15.5">
      <c r="A804" s="90"/>
      <c r="B804" s="53" t="s">
        <v>18</v>
      </c>
      <c r="C804" s="94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>
        <v>0</v>
      </c>
      <c r="T804" s="18">
        <v>0</v>
      </c>
      <c r="U804" s="18">
        <v>0</v>
      </c>
      <c r="V804" s="18">
        <v>0</v>
      </c>
      <c r="W804" s="18">
        <v>0</v>
      </c>
      <c r="X804" s="18">
        <v>473</v>
      </c>
      <c r="Y804" s="18">
        <v>0</v>
      </c>
      <c r="Z804" s="18">
        <v>0</v>
      </c>
      <c r="AA804" s="18">
        <v>0</v>
      </c>
      <c r="AB804" s="18">
        <v>0</v>
      </c>
      <c r="AC804" s="40" t="s">
        <v>16</v>
      </c>
      <c r="AD804" s="40" t="s">
        <v>16</v>
      </c>
      <c r="AE804" s="18">
        <v>140</v>
      </c>
      <c r="AF804" s="40" t="s">
        <v>16</v>
      </c>
      <c r="AG804" s="71">
        <v>311</v>
      </c>
      <c r="AH804" s="40" t="s">
        <v>16</v>
      </c>
      <c r="AI804" s="18">
        <v>107</v>
      </c>
      <c r="AJ804" s="40" t="s">
        <v>16</v>
      </c>
      <c r="AK804" s="40" t="s">
        <v>16</v>
      </c>
      <c r="AL804" s="40" t="s">
        <v>16</v>
      </c>
      <c r="AM804" s="71">
        <v>0</v>
      </c>
      <c r="AN804" s="71">
        <v>0</v>
      </c>
      <c r="AO804" s="71">
        <v>0</v>
      </c>
      <c r="AP804" s="71">
        <v>0</v>
      </c>
      <c r="AQ804" s="71">
        <v>0</v>
      </c>
      <c r="AR804" s="71">
        <v>0</v>
      </c>
      <c r="AS804" s="71">
        <v>0</v>
      </c>
      <c r="AT804" s="71">
        <v>0</v>
      </c>
      <c r="AU804" s="71">
        <v>0</v>
      </c>
      <c r="AV804" s="71">
        <v>0</v>
      </c>
      <c r="AW804" s="71">
        <v>0</v>
      </c>
      <c r="AX804" s="40" t="s">
        <v>16</v>
      </c>
      <c r="AY804" s="18">
        <v>157</v>
      </c>
      <c r="AZ804" s="18">
        <v>0</v>
      </c>
      <c r="BA804" s="18">
        <v>0</v>
      </c>
      <c r="BB804" s="18">
        <v>0</v>
      </c>
      <c r="BC804" s="18">
        <v>0</v>
      </c>
      <c r="BD804" s="18">
        <v>0</v>
      </c>
      <c r="BE804" s="18">
        <v>0</v>
      </c>
      <c r="BF804" s="18">
        <v>0</v>
      </c>
      <c r="BG804" s="18">
        <v>0</v>
      </c>
      <c r="BH804" s="113">
        <v>576</v>
      </c>
      <c r="BI804" s="113">
        <v>1247</v>
      </c>
      <c r="BJ804" s="113">
        <v>1331</v>
      </c>
      <c r="BK804" s="113">
        <v>1415</v>
      </c>
      <c r="BL804" s="113">
        <v>1338</v>
      </c>
      <c r="BM804" s="113">
        <v>1338</v>
      </c>
      <c r="BN804" s="113">
        <v>1338</v>
      </c>
      <c r="BO804" s="113">
        <v>648</v>
      </c>
      <c r="BP804" s="113">
        <v>0</v>
      </c>
      <c r="BQ804" s="113">
        <v>0</v>
      </c>
      <c r="BR804" s="101"/>
      <c r="BS804">
        <f t="shared" si="1563"/>
        <v>0</v>
      </c>
      <c r="BT804">
        <f t="shared" si="1563"/>
        <v>0</v>
      </c>
      <c r="BU804">
        <f t="shared" si="1563"/>
        <v>0</v>
      </c>
      <c r="BV804">
        <f t="shared" si="1563"/>
        <v>0</v>
      </c>
      <c r="BW804">
        <f t="shared" si="1563"/>
        <v>0</v>
      </c>
      <c r="BX804">
        <f t="shared" si="1563"/>
        <v>0</v>
      </c>
      <c r="BY804">
        <f t="shared" si="1563"/>
        <v>0</v>
      </c>
      <c r="BZ804">
        <f t="shared" si="1563"/>
        <v>0</v>
      </c>
      <c r="CA804">
        <f t="shared" si="1563"/>
        <v>0</v>
      </c>
      <c r="CB804">
        <f t="shared" si="1563"/>
        <v>0</v>
      </c>
      <c r="CC804">
        <f t="shared" si="1564"/>
        <v>0</v>
      </c>
      <c r="CD804">
        <f t="shared" si="1564"/>
        <v>0</v>
      </c>
      <c r="CE804">
        <f t="shared" si="1564"/>
        <v>0</v>
      </c>
      <c r="CF804">
        <f t="shared" si="1564"/>
        <v>0</v>
      </c>
      <c r="CG804">
        <f t="shared" si="1564"/>
        <v>0</v>
      </c>
      <c r="CH804">
        <f t="shared" si="1564"/>
        <v>0</v>
      </c>
      <c r="CI804">
        <f t="shared" si="1564"/>
        <v>0</v>
      </c>
      <c r="CJ804">
        <f t="shared" si="1564"/>
        <v>0</v>
      </c>
      <c r="CK804">
        <f t="shared" si="1564"/>
        <v>0</v>
      </c>
      <c r="CL804">
        <f t="shared" si="1564"/>
        <v>0</v>
      </c>
      <c r="CM804">
        <f t="shared" si="1565"/>
        <v>0</v>
      </c>
      <c r="CN804">
        <f t="shared" si="1565"/>
        <v>0</v>
      </c>
      <c r="CO804">
        <f t="shared" si="1565"/>
        <v>0</v>
      </c>
      <c r="CP804">
        <f t="shared" si="1565"/>
        <v>0</v>
      </c>
      <c r="CQ804">
        <f t="shared" si="1565"/>
        <v>0</v>
      </c>
      <c r="CR804">
        <f t="shared" si="1565"/>
        <v>0</v>
      </c>
      <c r="CS804">
        <f t="shared" si="1565"/>
        <v>0</v>
      </c>
      <c r="CT804">
        <f t="shared" si="1565"/>
        <v>0</v>
      </c>
      <c r="CU804">
        <f t="shared" si="1565"/>
        <v>0</v>
      </c>
      <c r="CV804">
        <f t="shared" si="1565"/>
        <v>0</v>
      </c>
      <c r="CW804">
        <f t="shared" si="1566"/>
        <v>0</v>
      </c>
      <c r="CX804">
        <f t="shared" si="1566"/>
        <v>0</v>
      </c>
      <c r="CY804">
        <f t="shared" si="1566"/>
        <v>0</v>
      </c>
      <c r="CZ804">
        <f t="shared" si="1566"/>
        <v>0</v>
      </c>
      <c r="DA804">
        <f t="shared" si="1566"/>
        <v>0</v>
      </c>
      <c r="DB804">
        <f t="shared" si="1566"/>
        <v>0</v>
      </c>
      <c r="DC804">
        <f t="shared" si="1566"/>
        <v>0</v>
      </c>
      <c r="DD804">
        <f t="shared" si="1566"/>
        <v>0</v>
      </c>
      <c r="DE804">
        <f t="shared" si="1566"/>
        <v>0</v>
      </c>
      <c r="DF804">
        <f t="shared" si="1566"/>
        <v>0</v>
      </c>
      <c r="DG804">
        <f t="shared" si="1567"/>
        <v>0</v>
      </c>
      <c r="DH804">
        <f t="shared" si="1567"/>
        <v>0</v>
      </c>
      <c r="DI804">
        <f t="shared" si="1567"/>
        <v>0</v>
      </c>
      <c r="DJ804">
        <f t="shared" si="1567"/>
        <v>0</v>
      </c>
      <c r="DK804">
        <f t="shared" si="1567"/>
        <v>0</v>
      </c>
      <c r="DL804">
        <f t="shared" si="1567"/>
        <v>0</v>
      </c>
      <c r="DM804">
        <f t="shared" si="1567"/>
        <v>0</v>
      </c>
      <c r="DN804">
        <f t="shared" si="1567"/>
        <v>0</v>
      </c>
      <c r="DO804">
        <f t="shared" si="1567"/>
        <v>0</v>
      </c>
      <c r="DP804">
        <f t="shared" si="1567"/>
        <v>0</v>
      </c>
      <c r="DQ804">
        <f t="shared" si="1568"/>
        <v>0</v>
      </c>
      <c r="DR804">
        <f t="shared" si="1568"/>
        <v>0</v>
      </c>
      <c r="DS804">
        <f t="shared" si="1568"/>
        <v>0</v>
      </c>
      <c r="DT804">
        <f t="shared" si="1568"/>
        <v>0</v>
      </c>
      <c r="DU804">
        <f t="shared" si="1568"/>
        <v>0</v>
      </c>
      <c r="DV804">
        <f t="shared" si="1568"/>
        <v>0</v>
      </c>
      <c r="DW804">
        <f t="shared" si="1568"/>
        <v>0</v>
      </c>
      <c r="DX804">
        <f t="shared" si="1568"/>
        <v>0</v>
      </c>
      <c r="DY804">
        <f t="shared" si="1568"/>
        <v>0</v>
      </c>
      <c r="DZ804">
        <f t="shared" si="1568"/>
        <v>0</v>
      </c>
      <c r="EA804">
        <f t="shared" si="1569"/>
        <v>0</v>
      </c>
      <c r="EB804">
        <f t="shared" si="1569"/>
        <v>0</v>
      </c>
      <c r="EC804">
        <f t="shared" si="1569"/>
        <v>0</v>
      </c>
      <c r="ED804">
        <f t="shared" si="1569"/>
        <v>0</v>
      </c>
      <c r="EE804">
        <f t="shared" si="1569"/>
        <v>0</v>
      </c>
      <c r="EF804">
        <f t="shared" si="1569"/>
        <v>0</v>
      </c>
    </row>
    <row r="805" spans="1:136" ht="15.5">
      <c r="A805" s="90"/>
      <c r="B805" s="53" t="s">
        <v>25</v>
      </c>
      <c r="C805" s="94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>
        <v>0</v>
      </c>
      <c r="T805" s="18">
        <v>0</v>
      </c>
      <c r="U805" s="18">
        <v>0</v>
      </c>
      <c r="V805" s="18">
        <v>0</v>
      </c>
      <c r="W805" s="18">
        <v>0</v>
      </c>
      <c r="X805" s="18">
        <v>0</v>
      </c>
      <c r="Y805" s="18">
        <v>0</v>
      </c>
      <c r="Z805" s="18">
        <v>0</v>
      </c>
      <c r="AA805" s="18">
        <v>0</v>
      </c>
      <c r="AB805" s="18">
        <v>0</v>
      </c>
      <c r="AC805" s="18">
        <v>0</v>
      </c>
      <c r="AD805" s="18">
        <v>0</v>
      </c>
      <c r="AE805" s="18">
        <v>0</v>
      </c>
      <c r="AF805" s="18">
        <v>0</v>
      </c>
      <c r="AG805" s="18">
        <v>0</v>
      </c>
      <c r="AH805" s="18">
        <v>0</v>
      </c>
      <c r="AI805" s="18">
        <v>0</v>
      </c>
      <c r="AJ805" s="18">
        <v>0</v>
      </c>
      <c r="AK805" s="18">
        <v>0</v>
      </c>
      <c r="AL805" s="18">
        <v>0</v>
      </c>
      <c r="AM805" s="18">
        <v>0</v>
      </c>
      <c r="AN805" s="18">
        <v>0</v>
      </c>
      <c r="AO805" s="18">
        <v>0</v>
      </c>
      <c r="AP805" s="18">
        <v>0</v>
      </c>
      <c r="AQ805" s="18">
        <v>0</v>
      </c>
      <c r="AR805" s="18">
        <v>0</v>
      </c>
      <c r="AS805" s="18">
        <v>0</v>
      </c>
      <c r="AT805" s="18">
        <v>0</v>
      </c>
      <c r="AU805" s="18">
        <v>0</v>
      </c>
      <c r="AV805" s="18">
        <v>0</v>
      </c>
      <c r="AW805" s="18">
        <v>0</v>
      </c>
      <c r="AX805" s="18">
        <v>0</v>
      </c>
      <c r="AY805" s="18">
        <v>0</v>
      </c>
      <c r="AZ805" s="18">
        <v>0</v>
      </c>
      <c r="BA805" s="18">
        <v>0</v>
      </c>
      <c r="BB805" s="18">
        <v>0</v>
      </c>
      <c r="BC805" s="18">
        <v>0</v>
      </c>
      <c r="BD805" s="18">
        <v>0</v>
      </c>
      <c r="BE805" s="18">
        <v>0</v>
      </c>
      <c r="BF805" s="18">
        <v>0</v>
      </c>
      <c r="BG805" s="18">
        <v>373</v>
      </c>
      <c r="BH805" s="113">
        <v>727</v>
      </c>
      <c r="BI805" s="113">
        <v>879</v>
      </c>
      <c r="BJ805" s="113">
        <v>1031</v>
      </c>
      <c r="BK805" s="113">
        <v>1108</v>
      </c>
      <c r="BL805" s="113">
        <v>1191</v>
      </c>
      <c r="BM805" s="113">
        <v>1274</v>
      </c>
      <c r="BN805" s="113">
        <f>BM805+83</f>
        <v>1357</v>
      </c>
      <c r="BO805" s="113">
        <v>1440</v>
      </c>
      <c r="BP805" s="113">
        <v>0</v>
      </c>
      <c r="BQ805" s="113">
        <v>0</v>
      </c>
      <c r="BR805" s="101"/>
      <c r="BS805">
        <f t="shared" si="1563"/>
        <v>0</v>
      </c>
      <c r="BT805">
        <f t="shared" si="1563"/>
        <v>0</v>
      </c>
      <c r="BU805">
        <f t="shared" si="1563"/>
        <v>0</v>
      </c>
      <c r="BV805">
        <f t="shared" si="1563"/>
        <v>0</v>
      </c>
      <c r="BW805">
        <f t="shared" si="1563"/>
        <v>0</v>
      </c>
      <c r="BX805">
        <f t="shared" si="1563"/>
        <v>0</v>
      </c>
      <c r="BY805">
        <f t="shared" si="1563"/>
        <v>0</v>
      </c>
      <c r="BZ805">
        <f t="shared" si="1563"/>
        <v>0</v>
      </c>
      <c r="CA805">
        <f t="shared" si="1563"/>
        <v>0</v>
      </c>
      <c r="CB805">
        <f t="shared" si="1563"/>
        <v>0</v>
      </c>
      <c r="CC805">
        <f t="shared" si="1564"/>
        <v>0</v>
      </c>
      <c r="CD805">
        <f t="shared" si="1564"/>
        <v>0</v>
      </c>
      <c r="CE805">
        <f t="shared" si="1564"/>
        <v>0</v>
      </c>
      <c r="CF805">
        <f t="shared" si="1564"/>
        <v>0</v>
      </c>
      <c r="CG805">
        <f t="shared" si="1564"/>
        <v>0</v>
      </c>
      <c r="CH805">
        <f t="shared" si="1564"/>
        <v>0</v>
      </c>
      <c r="CI805">
        <f t="shared" si="1564"/>
        <v>0</v>
      </c>
      <c r="CJ805">
        <f t="shared" si="1564"/>
        <v>0</v>
      </c>
      <c r="CK805">
        <f t="shared" si="1564"/>
        <v>0</v>
      </c>
      <c r="CL805">
        <f t="shared" si="1564"/>
        <v>0</v>
      </c>
      <c r="CM805">
        <f t="shared" si="1565"/>
        <v>0</v>
      </c>
      <c r="CN805">
        <f t="shared" si="1565"/>
        <v>0</v>
      </c>
      <c r="CO805">
        <f t="shared" si="1565"/>
        <v>0</v>
      </c>
      <c r="CP805">
        <f t="shared" si="1565"/>
        <v>0</v>
      </c>
      <c r="CQ805">
        <f t="shared" si="1565"/>
        <v>0</v>
      </c>
      <c r="CR805">
        <f t="shared" si="1565"/>
        <v>0</v>
      </c>
      <c r="CS805">
        <f t="shared" si="1565"/>
        <v>0</v>
      </c>
      <c r="CT805">
        <f t="shared" si="1565"/>
        <v>0</v>
      </c>
      <c r="CU805">
        <f t="shared" si="1565"/>
        <v>0</v>
      </c>
      <c r="CV805">
        <f t="shared" si="1565"/>
        <v>0</v>
      </c>
      <c r="CW805">
        <f t="shared" si="1566"/>
        <v>0</v>
      </c>
      <c r="CX805">
        <f t="shared" si="1566"/>
        <v>0</v>
      </c>
      <c r="CY805">
        <f t="shared" si="1566"/>
        <v>0</v>
      </c>
      <c r="CZ805">
        <f t="shared" si="1566"/>
        <v>0</v>
      </c>
      <c r="DA805">
        <f t="shared" si="1566"/>
        <v>0</v>
      </c>
      <c r="DB805">
        <f t="shared" si="1566"/>
        <v>0</v>
      </c>
      <c r="DC805">
        <f t="shared" si="1566"/>
        <v>0</v>
      </c>
      <c r="DD805">
        <f t="shared" si="1566"/>
        <v>0</v>
      </c>
      <c r="DE805">
        <f t="shared" si="1566"/>
        <v>0</v>
      </c>
      <c r="DF805">
        <f t="shared" si="1566"/>
        <v>0</v>
      </c>
      <c r="DG805">
        <f t="shared" si="1567"/>
        <v>0</v>
      </c>
      <c r="DH805">
        <f t="shared" si="1567"/>
        <v>0</v>
      </c>
      <c r="DI805">
        <f t="shared" si="1567"/>
        <v>0</v>
      </c>
      <c r="DJ805">
        <f t="shared" si="1567"/>
        <v>0</v>
      </c>
      <c r="DK805">
        <f t="shared" si="1567"/>
        <v>0</v>
      </c>
      <c r="DL805">
        <f t="shared" si="1567"/>
        <v>0</v>
      </c>
      <c r="DM805">
        <f t="shared" si="1567"/>
        <v>0</v>
      </c>
      <c r="DN805">
        <f t="shared" si="1567"/>
        <v>0</v>
      </c>
      <c r="DO805">
        <f t="shared" si="1567"/>
        <v>0</v>
      </c>
      <c r="DP805">
        <f t="shared" si="1567"/>
        <v>0</v>
      </c>
      <c r="DQ805">
        <f t="shared" si="1568"/>
        <v>0</v>
      </c>
      <c r="DR805">
        <f t="shared" si="1568"/>
        <v>0</v>
      </c>
      <c r="DS805">
        <f t="shared" si="1568"/>
        <v>0</v>
      </c>
      <c r="DT805">
        <f t="shared" si="1568"/>
        <v>0</v>
      </c>
      <c r="DU805">
        <f t="shared" si="1568"/>
        <v>0</v>
      </c>
      <c r="DV805">
        <f t="shared" si="1568"/>
        <v>0</v>
      </c>
      <c r="DW805">
        <f t="shared" si="1568"/>
        <v>0</v>
      </c>
      <c r="DX805">
        <f t="shared" si="1568"/>
        <v>0</v>
      </c>
      <c r="DY805">
        <f t="shared" si="1568"/>
        <v>0</v>
      </c>
      <c r="DZ805">
        <f t="shared" si="1568"/>
        <v>0</v>
      </c>
      <c r="EA805">
        <f t="shared" si="1569"/>
        <v>0</v>
      </c>
      <c r="EB805">
        <f t="shared" si="1569"/>
        <v>0</v>
      </c>
      <c r="EC805">
        <f t="shared" si="1569"/>
        <v>0</v>
      </c>
      <c r="ED805">
        <f t="shared" si="1569"/>
        <v>0</v>
      </c>
      <c r="EE805">
        <f t="shared" si="1569"/>
        <v>0</v>
      </c>
      <c r="EF805">
        <f t="shared" si="1569"/>
        <v>0</v>
      </c>
    </row>
    <row r="806" spans="1:136" ht="15.5">
      <c r="A806" s="90"/>
      <c r="B806" s="19" t="s">
        <v>208</v>
      </c>
      <c r="C806" s="94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>
        <v>0</v>
      </c>
      <c r="T806" s="18">
        <v>0</v>
      </c>
      <c r="U806" s="18">
        <v>0</v>
      </c>
      <c r="V806" s="18">
        <v>0</v>
      </c>
      <c r="W806" s="18">
        <v>0</v>
      </c>
      <c r="X806" s="18">
        <v>0</v>
      </c>
      <c r="Y806" s="18">
        <v>0</v>
      </c>
      <c r="Z806" s="18">
        <v>0</v>
      </c>
      <c r="AA806" s="18">
        <v>0</v>
      </c>
      <c r="AB806" s="18">
        <v>1.2719733999999998</v>
      </c>
      <c r="AC806" s="18">
        <v>158.7126691</v>
      </c>
      <c r="AD806" s="18">
        <v>334.88621699999999</v>
      </c>
      <c r="AE806" s="18">
        <v>346.14307010000005</v>
      </c>
      <c r="AF806" s="18">
        <v>393.71728079999997</v>
      </c>
      <c r="AG806" s="18">
        <f>508.9062247-AG804</f>
        <v>197.9062247</v>
      </c>
      <c r="AH806" s="18">
        <v>609.28163199999995</v>
      </c>
      <c r="AI806" s="18">
        <f>365.1547851-AI804</f>
        <v>258.15478510000003</v>
      </c>
      <c r="AJ806" s="18">
        <v>365.74965310000005</v>
      </c>
      <c r="AK806" s="18">
        <v>103.64424870000001</v>
      </c>
      <c r="AL806" s="18">
        <v>26.954649499999999</v>
      </c>
      <c r="AM806" s="18">
        <v>19.292704100000002</v>
      </c>
      <c r="AN806" s="18">
        <v>15.872201700000002</v>
      </c>
      <c r="AO806" s="18">
        <v>7.4808541999999996</v>
      </c>
      <c r="AP806" s="18">
        <v>5.4811854000000002</v>
      </c>
      <c r="AQ806" s="18">
        <v>4.6954894999999999</v>
      </c>
      <c r="AR806" s="18">
        <v>18.849802</v>
      </c>
      <c r="AS806" s="18">
        <v>0.8416865</v>
      </c>
      <c r="AT806" s="18">
        <v>0</v>
      </c>
      <c r="AU806" s="18">
        <v>0</v>
      </c>
      <c r="AV806" s="18">
        <v>0</v>
      </c>
      <c r="AW806" s="18">
        <v>0</v>
      </c>
      <c r="AX806" s="18">
        <v>0</v>
      </c>
      <c r="AY806" s="18">
        <v>0.14721000000000001</v>
      </c>
      <c r="AZ806" s="18">
        <v>0</v>
      </c>
      <c r="BA806" s="18">
        <v>2.0217208000000002</v>
      </c>
      <c r="BB806" s="18">
        <v>0</v>
      </c>
      <c r="BC806" s="18">
        <v>0.57098510000000002</v>
      </c>
      <c r="BD806" s="18">
        <v>5.5588287999999997</v>
      </c>
      <c r="BE806" s="25">
        <v>0</v>
      </c>
      <c r="BF806" s="18">
        <v>1.9425599999999998E-2</v>
      </c>
      <c r="BG806" s="18">
        <v>2.9394900000000002E-2</v>
      </c>
      <c r="BH806" s="18">
        <v>1.3640053999999999</v>
      </c>
      <c r="BI806" s="18">
        <v>62.279127899999999</v>
      </c>
      <c r="BJ806" s="18">
        <v>121.921935</v>
      </c>
      <c r="BK806" s="18">
        <v>2.3625102</v>
      </c>
      <c r="BL806" s="18">
        <v>2.5720016000000001</v>
      </c>
      <c r="BM806" s="18">
        <v>90.065305399999986</v>
      </c>
      <c r="BN806" s="18">
        <v>0</v>
      </c>
      <c r="BO806" s="113">
        <v>0</v>
      </c>
      <c r="BP806" s="113">
        <v>0</v>
      </c>
      <c r="BQ806" s="113">
        <v>0</v>
      </c>
      <c r="BR806" s="101"/>
      <c r="BS806">
        <f t="shared" si="1563"/>
        <v>0</v>
      </c>
      <c r="BT806">
        <f t="shared" si="1563"/>
        <v>0</v>
      </c>
      <c r="BU806">
        <f t="shared" si="1563"/>
        <v>0</v>
      </c>
      <c r="BV806">
        <f t="shared" si="1563"/>
        <v>0</v>
      </c>
      <c r="BW806">
        <f t="shared" si="1563"/>
        <v>0</v>
      </c>
      <c r="BX806">
        <f t="shared" si="1563"/>
        <v>0</v>
      </c>
      <c r="BY806">
        <f t="shared" si="1563"/>
        <v>0</v>
      </c>
      <c r="BZ806">
        <f t="shared" si="1563"/>
        <v>0</v>
      </c>
      <c r="CA806">
        <f t="shared" si="1563"/>
        <v>0</v>
      </c>
      <c r="CB806">
        <f t="shared" si="1563"/>
        <v>0</v>
      </c>
      <c r="CC806">
        <f t="shared" si="1564"/>
        <v>0</v>
      </c>
      <c r="CD806">
        <f t="shared" si="1564"/>
        <v>0</v>
      </c>
      <c r="CE806">
        <f t="shared" si="1564"/>
        <v>0</v>
      </c>
      <c r="CF806">
        <f t="shared" si="1564"/>
        <v>0</v>
      </c>
      <c r="CG806">
        <f t="shared" si="1564"/>
        <v>0</v>
      </c>
      <c r="CH806">
        <f t="shared" si="1564"/>
        <v>0</v>
      </c>
      <c r="CI806">
        <f t="shared" si="1564"/>
        <v>0</v>
      </c>
      <c r="CJ806">
        <f t="shared" si="1564"/>
        <v>0</v>
      </c>
      <c r="CK806">
        <f t="shared" si="1564"/>
        <v>0</v>
      </c>
      <c r="CL806">
        <f t="shared" si="1564"/>
        <v>0</v>
      </c>
      <c r="CM806">
        <f t="shared" si="1565"/>
        <v>0</v>
      </c>
      <c r="CN806">
        <f t="shared" si="1565"/>
        <v>0</v>
      </c>
      <c r="CO806">
        <f t="shared" si="1565"/>
        <v>0</v>
      </c>
      <c r="CP806">
        <f t="shared" si="1565"/>
        <v>0</v>
      </c>
      <c r="CQ806">
        <f t="shared" si="1565"/>
        <v>0</v>
      </c>
      <c r="CR806">
        <f t="shared" si="1565"/>
        <v>0</v>
      </c>
      <c r="CS806">
        <f t="shared" si="1565"/>
        <v>0</v>
      </c>
      <c r="CT806">
        <f t="shared" si="1565"/>
        <v>0</v>
      </c>
      <c r="CU806">
        <f t="shared" si="1565"/>
        <v>0</v>
      </c>
      <c r="CV806">
        <f t="shared" si="1565"/>
        <v>0</v>
      </c>
      <c r="CW806">
        <f t="shared" si="1566"/>
        <v>0</v>
      </c>
      <c r="CX806">
        <f t="shared" si="1566"/>
        <v>0</v>
      </c>
      <c r="CY806">
        <f t="shared" si="1566"/>
        <v>0</v>
      </c>
      <c r="CZ806">
        <f t="shared" si="1566"/>
        <v>0</v>
      </c>
      <c r="DA806">
        <f t="shared" si="1566"/>
        <v>0</v>
      </c>
      <c r="DB806">
        <f t="shared" si="1566"/>
        <v>0</v>
      </c>
      <c r="DC806">
        <f t="shared" si="1566"/>
        <v>0</v>
      </c>
      <c r="DD806">
        <f t="shared" si="1566"/>
        <v>0</v>
      </c>
      <c r="DE806">
        <f t="shared" si="1566"/>
        <v>0</v>
      </c>
      <c r="DF806">
        <f t="shared" si="1566"/>
        <v>0</v>
      </c>
      <c r="DG806">
        <f t="shared" si="1567"/>
        <v>0</v>
      </c>
      <c r="DH806">
        <f t="shared" si="1567"/>
        <v>0</v>
      </c>
      <c r="DI806">
        <f t="shared" si="1567"/>
        <v>0</v>
      </c>
      <c r="DJ806">
        <f t="shared" si="1567"/>
        <v>0</v>
      </c>
      <c r="DK806">
        <f t="shared" si="1567"/>
        <v>0</v>
      </c>
      <c r="DL806">
        <f t="shared" si="1567"/>
        <v>0</v>
      </c>
      <c r="DM806">
        <f t="shared" si="1567"/>
        <v>0</v>
      </c>
      <c r="DN806">
        <f t="shared" si="1567"/>
        <v>0</v>
      </c>
      <c r="DO806">
        <f t="shared" si="1567"/>
        <v>0</v>
      </c>
      <c r="DP806">
        <f t="shared" si="1567"/>
        <v>0</v>
      </c>
      <c r="DQ806">
        <f t="shared" si="1568"/>
        <v>0</v>
      </c>
      <c r="DR806">
        <f t="shared" si="1568"/>
        <v>0</v>
      </c>
      <c r="DS806">
        <f t="shared" si="1568"/>
        <v>0</v>
      </c>
      <c r="DT806">
        <f t="shared" si="1568"/>
        <v>0</v>
      </c>
      <c r="DU806">
        <f t="shared" si="1568"/>
        <v>0</v>
      </c>
      <c r="DV806">
        <f t="shared" si="1568"/>
        <v>0</v>
      </c>
      <c r="DW806">
        <f t="shared" si="1568"/>
        <v>0</v>
      </c>
      <c r="DX806">
        <f t="shared" si="1568"/>
        <v>0</v>
      </c>
      <c r="DY806">
        <f t="shared" si="1568"/>
        <v>0</v>
      </c>
      <c r="DZ806">
        <f t="shared" si="1568"/>
        <v>0</v>
      </c>
      <c r="EA806">
        <f t="shared" si="1569"/>
        <v>0</v>
      </c>
      <c r="EB806">
        <f t="shared" si="1569"/>
        <v>0</v>
      </c>
      <c r="EC806">
        <f t="shared" si="1569"/>
        <v>0</v>
      </c>
      <c r="ED806">
        <f t="shared" si="1569"/>
        <v>0</v>
      </c>
      <c r="EE806">
        <f t="shared" si="1569"/>
        <v>0</v>
      </c>
      <c r="EF806">
        <f t="shared" si="1569"/>
        <v>0</v>
      </c>
    </row>
    <row r="807" spans="1:136" ht="15.5">
      <c r="A807" s="90"/>
      <c r="B807" s="53" t="s">
        <v>21</v>
      </c>
      <c r="C807" s="94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>
        <v>0</v>
      </c>
      <c r="T807" s="18">
        <v>0</v>
      </c>
      <c r="U807" s="18">
        <v>0</v>
      </c>
      <c r="V807" s="18">
        <v>0</v>
      </c>
      <c r="W807" s="18">
        <v>0</v>
      </c>
      <c r="X807" s="18">
        <v>277</v>
      </c>
      <c r="Y807" s="18">
        <v>0</v>
      </c>
      <c r="Z807" s="18">
        <v>0</v>
      </c>
      <c r="AA807" s="18">
        <v>0</v>
      </c>
      <c r="AB807" s="18">
        <v>0</v>
      </c>
      <c r="AC807" s="18">
        <v>0</v>
      </c>
      <c r="AD807" s="18">
        <v>0</v>
      </c>
      <c r="AE807" s="18">
        <v>0</v>
      </c>
      <c r="AF807" s="18">
        <v>0</v>
      </c>
      <c r="AG807" s="18">
        <v>0</v>
      </c>
      <c r="AH807" s="18">
        <v>0</v>
      </c>
      <c r="AI807" s="18">
        <v>0</v>
      </c>
      <c r="AJ807" s="18">
        <v>0</v>
      </c>
      <c r="AK807" s="18">
        <v>0</v>
      </c>
      <c r="AL807" s="18">
        <v>0</v>
      </c>
      <c r="AM807" s="18">
        <v>0</v>
      </c>
      <c r="AN807" s="18">
        <v>0</v>
      </c>
      <c r="AO807" s="18">
        <v>0</v>
      </c>
      <c r="AP807" s="18">
        <v>0</v>
      </c>
      <c r="AQ807" s="18">
        <v>0</v>
      </c>
      <c r="AR807" s="18">
        <v>0</v>
      </c>
      <c r="AS807" s="18">
        <v>0</v>
      </c>
      <c r="AT807" s="18">
        <v>0</v>
      </c>
      <c r="AU807" s="18">
        <v>0</v>
      </c>
      <c r="AV807" s="18">
        <v>0</v>
      </c>
      <c r="AW807" s="18">
        <v>0</v>
      </c>
      <c r="AX807" s="18">
        <v>0</v>
      </c>
      <c r="AY807" s="18">
        <v>0</v>
      </c>
      <c r="AZ807" s="18">
        <v>0</v>
      </c>
      <c r="BA807" s="18">
        <v>0</v>
      </c>
      <c r="BB807" s="18">
        <v>0</v>
      </c>
      <c r="BC807" s="18">
        <v>0</v>
      </c>
      <c r="BD807" s="18">
        <v>0</v>
      </c>
      <c r="BE807" s="18">
        <v>0</v>
      </c>
      <c r="BF807" s="18">
        <v>0</v>
      </c>
      <c r="BG807" s="18">
        <v>0</v>
      </c>
      <c r="BH807" s="18">
        <v>0</v>
      </c>
      <c r="BI807" s="113">
        <v>0</v>
      </c>
      <c r="BJ807" s="113">
        <v>0</v>
      </c>
      <c r="BK807" s="113">
        <v>0</v>
      </c>
      <c r="BL807" s="113">
        <v>0</v>
      </c>
      <c r="BM807" s="113">
        <v>0</v>
      </c>
      <c r="BN807" s="113">
        <v>0</v>
      </c>
      <c r="BO807" s="113">
        <v>0</v>
      </c>
      <c r="BP807" s="113">
        <v>0</v>
      </c>
      <c r="BQ807" s="113">
        <v>0</v>
      </c>
      <c r="BR807" s="101"/>
      <c r="BS807">
        <f t="shared" si="1563"/>
        <v>0</v>
      </c>
      <c r="BT807">
        <f t="shared" si="1563"/>
        <v>0</v>
      </c>
      <c r="BU807">
        <f t="shared" si="1563"/>
        <v>0</v>
      </c>
      <c r="BV807">
        <f t="shared" si="1563"/>
        <v>0</v>
      </c>
      <c r="BW807">
        <f t="shared" si="1563"/>
        <v>0</v>
      </c>
      <c r="BX807">
        <f t="shared" si="1563"/>
        <v>0</v>
      </c>
      <c r="BY807">
        <f t="shared" si="1563"/>
        <v>0</v>
      </c>
      <c r="BZ807">
        <f t="shared" si="1563"/>
        <v>0</v>
      </c>
      <c r="CA807">
        <f t="shared" si="1563"/>
        <v>0</v>
      </c>
      <c r="CB807">
        <f t="shared" si="1563"/>
        <v>0</v>
      </c>
      <c r="CC807">
        <f t="shared" si="1564"/>
        <v>0</v>
      </c>
      <c r="CD807">
        <f t="shared" si="1564"/>
        <v>0</v>
      </c>
      <c r="CE807">
        <f t="shared" si="1564"/>
        <v>0</v>
      </c>
      <c r="CF807">
        <f t="shared" si="1564"/>
        <v>0</v>
      </c>
      <c r="CG807">
        <f t="shared" si="1564"/>
        <v>0</v>
      </c>
      <c r="CH807">
        <f t="shared" si="1564"/>
        <v>0</v>
      </c>
      <c r="CI807">
        <f t="shared" si="1564"/>
        <v>0</v>
      </c>
      <c r="CJ807">
        <f t="shared" si="1564"/>
        <v>0</v>
      </c>
      <c r="CK807">
        <f t="shared" si="1564"/>
        <v>0</v>
      </c>
      <c r="CL807">
        <f t="shared" si="1564"/>
        <v>0</v>
      </c>
      <c r="CM807">
        <f t="shared" si="1565"/>
        <v>0</v>
      </c>
      <c r="CN807">
        <f t="shared" si="1565"/>
        <v>0</v>
      </c>
      <c r="CO807">
        <f t="shared" si="1565"/>
        <v>0</v>
      </c>
      <c r="CP807">
        <f t="shared" si="1565"/>
        <v>0</v>
      </c>
      <c r="CQ807">
        <f t="shared" si="1565"/>
        <v>0</v>
      </c>
      <c r="CR807">
        <f t="shared" si="1565"/>
        <v>0</v>
      </c>
      <c r="CS807">
        <f t="shared" si="1565"/>
        <v>0</v>
      </c>
      <c r="CT807">
        <f t="shared" si="1565"/>
        <v>0</v>
      </c>
      <c r="CU807">
        <f t="shared" si="1565"/>
        <v>0</v>
      </c>
      <c r="CV807">
        <f t="shared" si="1565"/>
        <v>0</v>
      </c>
      <c r="CW807">
        <f t="shared" si="1566"/>
        <v>0</v>
      </c>
      <c r="CX807">
        <f t="shared" si="1566"/>
        <v>0</v>
      </c>
      <c r="CY807">
        <f t="shared" si="1566"/>
        <v>0</v>
      </c>
      <c r="CZ807">
        <f t="shared" si="1566"/>
        <v>0</v>
      </c>
      <c r="DA807">
        <f t="shared" si="1566"/>
        <v>0</v>
      </c>
      <c r="DB807">
        <f t="shared" si="1566"/>
        <v>0</v>
      </c>
      <c r="DC807">
        <f t="shared" si="1566"/>
        <v>0</v>
      </c>
      <c r="DD807">
        <f t="shared" si="1566"/>
        <v>0</v>
      </c>
      <c r="DE807">
        <f t="shared" si="1566"/>
        <v>0</v>
      </c>
      <c r="DF807">
        <f t="shared" si="1566"/>
        <v>0</v>
      </c>
      <c r="DG807">
        <f t="shared" si="1567"/>
        <v>0</v>
      </c>
      <c r="DH807">
        <f t="shared" si="1567"/>
        <v>0</v>
      </c>
      <c r="DI807">
        <f t="shared" si="1567"/>
        <v>0</v>
      </c>
      <c r="DJ807">
        <f t="shared" si="1567"/>
        <v>0</v>
      </c>
      <c r="DK807">
        <f t="shared" si="1567"/>
        <v>0</v>
      </c>
      <c r="DL807">
        <f t="shared" si="1567"/>
        <v>0</v>
      </c>
      <c r="DM807">
        <f t="shared" si="1567"/>
        <v>0</v>
      </c>
      <c r="DN807">
        <f t="shared" si="1567"/>
        <v>0</v>
      </c>
      <c r="DO807">
        <f t="shared" si="1567"/>
        <v>0</v>
      </c>
      <c r="DP807">
        <f t="shared" si="1567"/>
        <v>0</v>
      </c>
      <c r="DQ807">
        <f t="shared" si="1568"/>
        <v>0</v>
      </c>
      <c r="DR807">
        <f t="shared" si="1568"/>
        <v>0</v>
      </c>
      <c r="DS807">
        <f t="shared" si="1568"/>
        <v>0</v>
      </c>
      <c r="DT807">
        <f t="shared" si="1568"/>
        <v>0</v>
      </c>
      <c r="DU807">
        <f t="shared" si="1568"/>
        <v>0</v>
      </c>
      <c r="DV807">
        <f t="shared" si="1568"/>
        <v>0</v>
      </c>
      <c r="DW807">
        <f t="shared" si="1568"/>
        <v>0</v>
      </c>
      <c r="DX807">
        <f t="shared" si="1568"/>
        <v>0</v>
      </c>
      <c r="DY807">
        <f t="shared" si="1568"/>
        <v>0</v>
      </c>
      <c r="DZ807">
        <f t="shared" si="1568"/>
        <v>0</v>
      </c>
      <c r="EA807">
        <f t="shared" si="1569"/>
        <v>0</v>
      </c>
      <c r="EB807">
        <f t="shared" si="1569"/>
        <v>0</v>
      </c>
      <c r="EC807">
        <f t="shared" si="1569"/>
        <v>0</v>
      </c>
      <c r="ED807">
        <f t="shared" si="1569"/>
        <v>0</v>
      </c>
      <c r="EE807">
        <f t="shared" si="1569"/>
        <v>0</v>
      </c>
      <c r="EF807">
        <f t="shared" si="1569"/>
        <v>0</v>
      </c>
    </row>
    <row r="808" spans="1:136" ht="15.5">
      <c r="A808" s="90"/>
      <c r="B808" s="53" t="s">
        <v>212</v>
      </c>
      <c r="C808" s="94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>
        <v>0</v>
      </c>
      <c r="T808" s="18">
        <v>0</v>
      </c>
      <c r="U808" s="18">
        <v>0</v>
      </c>
      <c r="V808" s="18">
        <v>0</v>
      </c>
      <c r="W808" s="18">
        <v>0</v>
      </c>
      <c r="X808" s="18">
        <v>0</v>
      </c>
      <c r="Y808" s="18">
        <v>0</v>
      </c>
      <c r="Z808" s="18">
        <v>0</v>
      </c>
      <c r="AA808" s="18">
        <v>0</v>
      </c>
      <c r="AB808" s="18">
        <v>0</v>
      </c>
      <c r="AC808" s="18">
        <v>0</v>
      </c>
      <c r="AD808" s="18">
        <v>0</v>
      </c>
      <c r="AE808" s="18">
        <v>0</v>
      </c>
      <c r="AF808" s="18">
        <v>0</v>
      </c>
      <c r="AG808" s="18">
        <v>0</v>
      </c>
      <c r="AH808" s="18">
        <v>0</v>
      </c>
      <c r="AI808" s="18">
        <v>7.7962499999999997</v>
      </c>
      <c r="AJ808" s="18">
        <v>9.0844000000000005</v>
      </c>
      <c r="AK808" s="18">
        <v>2.3422000000000001</v>
      </c>
      <c r="AL808" s="18">
        <v>10.244428571428571</v>
      </c>
      <c r="AM808" s="18">
        <v>0</v>
      </c>
      <c r="AN808" s="18">
        <v>35.236830455953964</v>
      </c>
      <c r="AO808" s="18">
        <v>26.628748707342297</v>
      </c>
      <c r="AP808" s="18">
        <v>25.715672003881611</v>
      </c>
      <c r="AQ808" s="18">
        <v>22.923286427598729</v>
      </c>
      <c r="AR808" s="18">
        <v>12.212738017071569</v>
      </c>
      <c r="AS808" s="18">
        <v>5.8937198067632854</v>
      </c>
      <c r="AT808" s="18">
        <v>4.180743243243243</v>
      </c>
      <c r="AU808" s="18">
        <v>13.66694701429773</v>
      </c>
      <c r="AV808" s="18">
        <v>17.195767195767196</v>
      </c>
      <c r="AW808" s="18">
        <v>26.859504132231407</v>
      </c>
      <c r="AX808" s="18">
        <v>37.5</v>
      </c>
      <c r="AY808" s="18">
        <v>54.621848739495796</v>
      </c>
      <c r="AZ808" s="18">
        <v>50.980392156862742</v>
      </c>
      <c r="BA808" s="18">
        <v>47.272727272727273</v>
      </c>
      <c r="BB808" s="18">
        <v>25</v>
      </c>
      <c r="BC808" s="18">
        <v>123.82739212007505</v>
      </c>
      <c r="BD808" s="18">
        <v>118.56368563685638</v>
      </c>
      <c r="BE808" s="25">
        <v>235.13604299630501</v>
      </c>
      <c r="BF808" s="18">
        <v>287.51123090745733</v>
      </c>
      <c r="BG808" s="18">
        <v>362.34090909090907</v>
      </c>
      <c r="BH808" s="18">
        <v>348.77236787349148</v>
      </c>
      <c r="BI808" s="113">
        <v>342.8863868986694</v>
      </c>
      <c r="BJ808" s="113">
        <v>112.26814188089814</v>
      </c>
      <c r="BK808" s="113">
        <v>72.225869993434003</v>
      </c>
      <c r="BL808" s="113">
        <v>128.18782890298206</v>
      </c>
      <c r="BM808" s="113">
        <v>144.13285289049037</v>
      </c>
      <c r="BN808" s="113">
        <v>125.4115065057219</v>
      </c>
      <c r="BO808" s="168">
        <v>126.48221343873517</v>
      </c>
      <c r="BP808" s="113">
        <v>392</v>
      </c>
      <c r="BQ808" s="113">
        <v>953</v>
      </c>
      <c r="BR808" s="101"/>
      <c r="BS808">
        <f t="shared" si="1563"/>
        <v>0</v>
      </c>
      <c r="BT808">
        <f t="shared" si="1563"/>
        <v>0</v>
      </c>
      <c r="BU808">
        <f t="shared" si="1563"/>
        <v>0</v>
      </c>
      <c r="BV808">
        <f t="shared" si="1563"/>
        <v>0</v>
      </c>
      <c r="BW808">
        <f t="shared" si="1563"/>
        <v>0</v>
      </c>
      <c r="BX808">
        <f t="shared" si="1563"/>
        <v>0</v>
      </c>
      <c r="BY808">
        <f t="shared" si="1563"/>
        <v>0</v>
      </c>
      <c r="BZ808">
        <f t="shared" si="1563"/>
        <v>0</v>
      </c>
      <c r="CA808">
        <f t="shared" si="1563"/>
        <v>0</v>
      </c>
      <c r="CB808">
        <f t="shared" si="1563"/>
        <v>0</v>
      </c>
      <c r="CC808">
        <f t="shared" si="1564"/>
        <v>0</v>
      </c>
      <c r="CD808">
        <f t="shared" si="1564"/>
        <v>0</v>
      </c>
      <c r="CE808">
        <f t="shared" si="1564"/>
        <v>0</v>
      </c>
      <c r="CF808">
        <f t="shared" si="1564"/>
        <v>0</v>
      </c>
      <c r="CG808">
        <f t="shared" si="1564"/>
        <v>0</v>
      </c>
      <c r="CH808">
        <f t="shared" si="1564"/>
        <v>0</v>
      </c>
      <c r="CI808">
        <f t="shared" si="1564"/>
        <v>0</v>
      </c>
      <c r="CJ808">
        <f t="shared" si="1564"/>
        <v>0</v>
      </c>
      <c r="CK808">
        <f t="shared" si="1564"/>
        <v>0</v>
      </c>
      <c r="CL808">
        <f t="shared" si="1564"/>
        <v>0</v>
      </c>
      <c r="CM808">
        <f t="shared" si="1565"/>
        <v>0</v>
      </c>
      <c r="CN808">
        <f t="shared" si="1565"/>
        <v>0</v>
      </c>
      <c r="CO808">
        <f t="shared" si="1565"/>
        <v>0</v>
      </c>
      <c r="CP808">
        <f t="shared" si="1565"/>
        <v>0</v>
      </c>
      <c r="CQ808">
        <f t="shared" si="1565"/>
        <v>0</v>
      </c>
      <c r="CR808">
        <f t="shared" si="1565"/>
        <v>0</v>
      </c>
      <c r="CS808">
        <f t="shared" si="1565"/>
        <v>0</v>
      </c>
      <c r="CT808">
        <f t="shared" si="1565"/>
        <v>0</v>
      </c>
      <c r="CU808">
        <f t="shared" si="1565"/>
        <v>0</v>
      </c>
      <c r="CV808">
        <f t="shared" si="1565"/>
        <v>0</v>
      </c>
      <c r="CW808">
        <f t="shared" si="1566"/>
        <v>0</v>
      </c>
      <c r="CX808">
        <f t="shared" si="1566"/>
        <v>0</v>
      </c>
      <c r="CY808">
        <f t="shared" si="1566"/>
        <v>0</v>
      </c>
      <c r="CZ808">
        <f t="shared" si="1566"/>
        <v>0</v>
      </c>
      <c r="DA808">
        <f t="shared" si="1566"/>
        <v>0</v>
      </c>
      <c r="DB808">
        <f t="shared" si="1566"/>
        <v>0</v>
      </c>
      <c r="DC808">
        <f t="shared" si="1566"/>
        <v>0</v>
      </c>
      <c r="DD808">
        <f t="shared" si="1566"/>
        <v>0</v>
      </c>
      <c r="DE808">
        <f t="shared" si="1566"/>
        <v>0</v>
      </c>
      <c r="DF808">
        <f t="shared" si="1566"/>
        <v>0</v>
      </c>
      <c r="DG808">
        <f t="shared" si="1567"/>
        <v>0</v>
      </c>
      <c r="DH808">
        <f t="shared" si="1567"/>
        <v>0</v>
      </c>
      <c r="DI808">
        <f t="shared" si="1567"/>
        <v>0</v>
      </c>
      <c r="DJ808">
        <f t="shared" si="1567"/>
        <v>0</v>
      </c>
      <c r="DK808">
        <f t="shared" si="1567"/>
        <v>0</v>
      </c>
      <c r="DL808">
        <f t="shared" si="1567"/>
        <v>0</v>
      </c>
      <c r="DM808">
        <f t="shared" si="1567"/>
        <v>0</v>
      </c>
      <c r="DN808">
        <f t="shared" si="1567"/>
        <v>0</v>
      </c>
      <c r="DO808">
        <f t="shared" si="1567"/>
        <v>0</v>
      </c>
      <c r="DP808">
        <f t="shared" si="1567"/>
        <v>0</v>
      </c>
      <c r="DQ808">
        <f t="shared" si="1568"/>
        <v>0</v>
      </c>
      <c r="DR808">
        <f t="shared" si="1568"/>
        <v>0</v>
      </c>
      <c r="DS808">
        <f t="shared" si="1568"/>
        <v>0</v>
      </c>
      <c r="DT808">
        <f t="shared" si="1568"/>
        <v>0</v>
      </c>
      <c r="DU808">
        <f t="shared" si="1568"/>
        <v>0</v>
      </c>
      <c r="DV808">
        <f t="shared" si="1568"/>
        <v>0</v>
      </c>
      <c r="DW808">
        <f t="shared" si="1568"/>
        <v>0</v>
      </c>
      <c r="DX808">
        <f t="shared" si="1568"/>
        <v>0</v>
      </c>
      <c r="DY808">
        <f t="shared" si="1568"/>
        <v>0</v>
      </c>
      <c r="DZ808">
        <f t="shared" si="1568"/>
        <v>0</v>
      </c>
      <c r="EA808">
        <f t="shared" ref="EA808:EF808" si="1571">IF($C808&lt;&gt;"",IF(BL808&gt;0,1,0),0)</f>
        <v>0</v>
      </c>
      <c r="EB808">
        <f t="shared" si="1571"/>
        <v>0</v>
      </c>
      <c r="EC808">
        <f t="shared" si="1571"/>
        <v>0</v>
      </c>
      <c r="ED808">
        <f t="shared" si="1571"/>
        <v>0</v>
      </c>
      <c r="EE808">
        <f t="shared" si="1571"/>
        <v>0</v>
      </c>
      <c r="EF808">
        <f t="shared" si="1571"/>
        <v>0</v>
      </c>
    </row>
    <row r="809" spans="1:136" ht="15.5">
      <c r="A809" s="90"/>
      <c r="B809" s="53"/>
      <c r="C809" s="94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M809" s="18"/>
      <c r="AN809" s="18"/>
      <c r="AO809" s="18"/>
      <c r="AP809" s="18"/>
      <c r="AQ809" s="18"/>
      <c r="AR809" s="18"/>
      <c r="AS809" s="18"/>
      <c r="AT809" s="18"/>
      <c r="AU809" s="18"/>
      <c r="AV809" s="18"/>
      <c r="AW809" s="18"/>
      <c r="AX809" s="18"/>
      <c r="AY809" s="18"/>
      <c r="AZ809" s="18"/>
      <c r="BA809" s="18"/>
      <c r="BB809" s="18"/>
      <c r="BC809" s="18"/>
      <c r="BD809" s="18"/>
      <c r="BE809" s="25"/>
      <c r="BF809" s="25"/>
      <c r="BG809" s="18"/>
      <c r="BH809" s="2"/>
      <c r="BI809" s="2"/>
      <c r="BJ809" s="2"/>
      <c r="BK809" s="2"/>
      <c r="BL809" s="22"/>
      <c r="BM809" s="2"/>
      <c r="BN809" s="2"/>
      <c r="BO809" s="2"/>
      <c r="BP809" s="2"/>
      <c r="BQ809" s="2"/>
      <c r="BR809" s="101"/>
    </row>
    <row r="810" spans="1:136" ht="15.5">
      <c r="A810" s="93">
        <v>102</v>
      </c>
      <c r="B810" s="52" t="s">
        <v>107</v>
      </c>
      <c r="C810" s="94">
        <v>4</v>
      </c>
      <c r="D810" s="22">
        <f t="shared" ref="D810:AI810" si="1572">SUM(D811:D816)</f>
        <v>0</v>
      </c>
      <c r="E810" s="22">
        <f t="shared" si="1572"/>
        <v>0</v>
      </c>
      <c r="F810" s="22">
        <f t="shared" si="1572"/>
        <v>0</v>
      </c>
      <c r="G810" s="22">
        <f t="shared" si="1572"/>
        <v>0</v>
      </c>
      <c r="H810" s="22">
        <f t="shared" si="1572"/>
        <v>384</v>
      </c>
      <c r="I810" s="22">
        <f t="shared" si="1572"/>
        <v>0</v>
      </c>
      <c r="J810" s="22">
        <f t="shared" si="1572"/>
        <v>0</v>
      </c>
      <c r="K810" s="22">
        <f t="shared" si="1572"/>
        <v>0</v>
      </c>
      <c r="L810" s="22">
        <f t="shared" si="1572"/>
        <v>0</v>
      </c>
      <c r="M810" s="22">
        <f t="shared" si="1572"/>
        <v>0</v>
      </c>
      <c r="N810" s="22">
        <f t="shared" si="1572"/>
        <v>0</v>
      </c>
      <c r="O810" s="22">
        <f t="shared" si="1572"/>
        <v>0</v>
      </c>
      <c r="P810" s="22">
        <f t="shared" si="1572"/>
        <v>0</v>
      </c>
      <c r="Q810" s="22">
        <f t="shared" si="1572"/>
        <v>0</v>
      </c>
      <c r="R810" s="22">
        <f t="shared" si="1572"/>
        <v>0</v>
      </c>
      <c r="S810" s="22">
        <f t="shared" si="1572"/>
        <v>0</v>
      </c>
      <c r="T810" s="22">
        <f t="shared" si="1572"/>
        <v>0.03</v>
      </c>
      <c r="U810" s="22">
        <f t="shared" si="1572"/>
        <v>6.2E-2</v>
      </c>
      <c r="V810" s="22">
        <f t="shared" si="1572"/>
        <v>9.6000000000000002E-2</v>
      </c>
      <c r="W810" s="22">
        <f t="shared" si="1572"/>
        <v>0.13</v>
      </c>
      <c r="X810" s="22">
        <f t="shared" si="1572"/>
        <v>0.16400000000000001</v>
      </c>
      <c r="Y810" s="22">
        <f t="shared" si="1572"/>
        <v>0.19800000000000001</v>
      </c>
      <c r="Z810" s="22">
        <f t="shared" si="1572"/>
        <v>0.23200000000000001</v>
      </c>
      <c r="AA810" s="22">
        <f t="shared" si="1572"/>
        <v>0.22900000000000001</v>
      </c>
      <c r="AB810" s="22">
        <f t="shared" si="1572"/>
        <v>381.22699999999998</v>
      </c>
      <c r="AC810" s="22">
        <f t="shared" si="1572"/>
        <v>3.9366534999999998</v>
      </c>
      <c r="AD810" s="22">
        <f t="shared" si="1572"/>
        <v>57.910147299999998</v>
      </c>
      <c r="AE810" s="22">
        <f t="shared" si="1572"/>
        <v>1448.7929810999999</v>
      </c>
      <c r="AF810" s="22">
        <f t="shared" si="1572"/>
        <v>257.86879909999999</v>
      </c>
      <c r="AG810" s="22">
        <f t="shared" si="1572"/>
        <v>332.65245010000001</v>
      </c>
      <c r="AH810" s="22">
        <f t="shared" si="1572"/>
        <v>579.91036240000005</v>
      </c>
      <c r="AI810" s="22">
        <f t="shared" si="1572"/>
        <v>884.73840019999989</v>
      </c>
      <c r="AJ810" s="22">
        <f t="shared" ref="AJ810:BQ810" si="1573">SUM(AJ811:AJ816)</f>
        <v>1129.1720982000002</v>
      </c>
      <c r="AK810" s="22">
        <f t="shared" si="1573"/>
        <v>1398.9129551000001</v>
      </c>
      <c r="AL810" s="22">
        <f t="shared" si="1573"/>
        <v>1811.4148465999999</v>
      </c>
      <c r="AM810" s="22">
        <f t="shared" si="1573"/>
        <v>1710.5866047</v>
      </c>
      <c r="AN810" s="22">
        <f t="shared" si="1573"/>
        <v>1656.8064054000001</v>
      </c>
      <c r="AO810" s="22">
        <f t="shared" si="1573"/>
        <v>1740.8875542000001</v>
      </c>
      <c r="AP810" s="22">
        <f t="shared" si="1573"/>
        <v>1989.3356411</v>
      </c>
      <c r="AQ810" s="22">
        <f t="shared" si="1573"/>
        <v>2372.5024465000001</v>
      </c>
      <c r="AR810" s="22">
        <f t="shared" si="1573"/>
        <v>2451.9088181000002</v>
      </c>
      <c r="AS810" s="22">
        <f t="shared" si="1573"/>
        <v>2488.8697167</v>
      </c>
      <c r="AT810" s="22">
        <f t="shared" si="1573"/>
        <v>3094.9541426999999</v>
      </c>
      <c r="AU810" s="22">
        <f t="shared" si="1573"/>
        <v>3740.9739943</v>
      </c>
      <c r="AV810" s="22">
        <f t="shared" si="1573"/>
        <v>4167.6465621000007</v>
      </c>
      <c r="AW810" s="22">
        <f t="shared" si="1573"/>
        <v>4020.2792912999998</v>
      </c>
      <c r="AX810" s="22">
        <f t="shared" si="1573"/>
        <v>4343.4472537000001</v>
      </c>
      <c r="AY810" s="22">
        <f t="shared" si="1573"/>
        <v>4800.2937474999999</v>
      </c>
      <c r="AZ810" s="22">
        <f t="shared" si="1573"/>
        <v>8885.1401496999988</v>
      </c>
      <c r="BA810" s="22">
        <f t="shared" si="1573"/>
        <v>9233.0752716000006</v>
      </c>
      <c r="BB810" s="22">
        <f t="shared" si="1573"/>
        <v>10166.2168877</v>
      </c>
      <c r="BC810" s="22">
        <f t="shared" si="1573"/>
        <v>10596.041966300001</v>
      </c>
      <c r="BD810" s="22">
        <f t="shared" si="1573"/>
        <v>10975.021903299999</v>
      </c>
      <c r="BE810" s="22">
        <f t="shared" si="1573"/>
        <v>2592.1183875000002</v>
      </c>
      <c r="BF810" s="22">
        <f t="shared" si="1573"/>
        <v>668.89567869999996</v>
      </c>
      <c r="BG810" s="22">
        <f t="shared" si="1573"/>
        <v>647.69241720000002</v>
      </c>
      <c r="BH810" s="22">
        <f t="shared" si="1573"/>
        <v>664.8162337</v>
      </c>
      <c r="BI810" s="22">
        <f t="shared" si="1573"/>
        <v>660.92933389999996</v>
      </c>
      <c r="BJ810" s="22">
        <f t="shared" si="1573"/>
        <v>799.70397609999998</v>
      </c>
      <c r="BK810" s="22">
        <f t="shared" si="1573"/>
        <v>633.42509749999999</v>
      </c>
      <c r="BL810" s="22">
        <f t="shared" si="1573"/>
        <v>920.51262939999992</v>
      </c>
      <c r="BM810" s="22">
        <f t="shared" si="1573"/>
        <v>720.66590229999997</v>
      </c>
      <c r="BN810" s="22">
        <f t="shared" si="1573"/>
        <v>596.22974840000006</v>
      </c>
      <c r="BO810" s="22">
        <f t="shared" si="1573"/>
        <v>694</v>
      </c>
      <c r="BP810" s="22">
        <f t="shared" si="1573"/>
        <v>894</v>
      </c>
      <c r="BQ810" s="22">
        <f t="shared" si="1573"/>
        <v>1099</v>
      </c>
      <c r="BR810" s="101"/>
      <c r="BS810">
        <f t="shared" ref="BS810:CX810" si="1574">IF($C810&lt;&gt;"",IF(D810&gt;0,1,0),0)</f>
        <v>0</v>
      </c>
      <c r="BT810">
        <f t="shared" si="1574"/>
        <v>0</v>
      </c>
      <c r="BU810">
        <f t="shared" si="1574"/>
        <v>0</v>
      </c>
      <c r="BV810">
        <f t="shared" si="1574"/>
        <v>0</v>
      </c>
      <c r="BW810">
        <f t="shared" si="1574"/>
        <v>1</v>
      </c>
      <c r="BX810">
        <f t="shared" si="1574"/>
        <v>0</v>
      </c>
      <c r="BY810">
        <f t="shared" si="1574"/>
        <v>0</v>
      </c>
      <c r="BZ810">
        <f t="shared" si="1574"/>
        <v>0</v>
      </c>
      <c r="CA810">
        <f t="shared" si="1574"/>
        <v>0</v>
      </c>
      <c r="CB810">
        <f t="shared" si="1574"/>
        <v>0</v>
      </c>
      <c r="CC810">
        <f t="shared" si="1574"/>
        <v>0</v>
      </c>
      <c r="CD810">
        <f t="shared" si="1574"/>
        <v>0</v>
      </c>
      <c r="CE810">
        <f t="shared" si="1574"/>
        <v>0</v>
      </c>
      <c r="CF810">
        <f t="shared" si="1574"/>
        <v>0</v>
      </c>
      <c r="CG810">
        <f t="shared" si="1574"/>
        <v>0</v>
      </c>
      <c r="CH810">
        <f t="shared" si="1574"/>
        <v>0</v>
      </c>
      <c r="CI810">
        <f t="shared" si="1574"/>
        <v>1</v>
      </c>
      <c r="CJ810">
        <f t="shared" si="1574"/>
        <v>1</v>
      </c>
      <c r="CK810">
        <f t="shared" si="1574"/>
        <v>1</v>
      </c>
      <c r="CL810">
        <f t="shared" si="1574"/>
        <v>1</v>
      </c>
      <c r="CM810">
        <f t="shared" si="1574"/>
        <v>1</v>
      </c>
      <c r="CN810">
        <f t="shared" si="1574"/>
        <v>1</v>
      </c>
      <c r="CO810">
        <f t="shared" si="1574"/>
        <v>1</v>
      </c>
      <c r="CP810">
        <f t="shared" si="1574"/>
        <v>1</v>
      </c>
      <c r="CQ810">
        <f t="shared" si="1574"/>
        <v>1</v>
      </c>
      <c r="CR810">
        <f t="shared" si="1574"/>
        <v>1</v>
      </c>
      <c r="CS810">
        <f t="shared" si="1574"/>
        <v>1</v>
      </c>
      <c r="CT810">
        <f t="shared" si="1574"/>
        <v>1</v>
      </c>
      <c r="CU810">
        <f t="shared" si="1574"/>
        <v>1</v>
      </c>
      <c r="CV810">
        <f t="shared" si="1574"/>
        <v>1</v>
      </c>
      <c r="CW810">
        <f t="shared" si="1574"/>
        <v>1</v>
      </c>
      <c r="CX810">
        <f t="shared" si="1574"/>
        <v>1</v>
      </c>
      <c r="CY810">
        <f t="shared" ref="CY810:ED810" si="1575">IF($C810&lt;&gt;"",IF(AJ810&gt;0,1,0),0)</f>
        <v>1</v>
      </c>
      <c r="CZ810">
        <f t="shared" si="1575"/>
        <v>1</v>
      </c>
      <c r="DA810">
        <f t="shared" si="1575"/>
        <v>1</v>
      </c>
      <c r="DB810">
        <f t="shared" si="1575"/>
        <v>1</v>
      </c>
      <c r="DC810">
        <f t="shared" si="1575"/>
        <v>1</v>
      </c>
      <c r="DD810">
        <f t="shared" si="1575"/>
        <v>1</v>
      </c>
      <c r="DE810">
        <f t="shared" si="1575"/>
        <v>1</v>
      </c>
      <c r="DF810">
        <f t="shared" si="1575"/>
        <v>1</v>
      </c>
      <c r="DG810">
        <f t="shared" si="1575"/>
        <v>1</v>
      </c>
      <c r="DH810">
        <f t="shared" si="1575"/>
        <v>1</v>
      </c>
      <c r="DI810">
        <f t="shared" si="1575"/>
        <v>1</v>
      </c>
      <c r="DJ810">
        <f t="shared" si="1575"/>
        <v>1</v>
      </c>
      <c r="DK810">
        <f t="shared" si="1575"/>
        <v>1</v>
      </c>
      <c r="DL810">
        <f t="shared" si="1575"/>
        <v>1</v>
      </c>
      <c r="DM810">
        <f t="shared" si="1575"/>
        <v>1</v>
      </c>
      <c r="DN810">
        <f t="shared" si="1575"/>
        <v>1</v>
      </c>
      <c r="DO810">
        <f t="shared" si="1575"/>
        <v>1</v>
      </c>
      <c r="DP810">
        <f t="shared" si="1575"/>
        <v>1</v>
      </c>
      <c r="DQ810">
        <f t="shared" si="1575"/>
        <v>1</v>
      </c>
      <c r="DR810">
        <f t="shared" si="1575"/>
        <v>1</v>
      </c>
      <c r="DS810">
        <f t="shared" si="1575"/>
        <v>1</v>
      </c>
      <c r="DT810">
        <f t="shared" si="1575"/>
        <v>1</v>
      </c>
      <c r="DU810">
        <f t="shared" si="1575"/>
        <v>1</v>
      </c>
      <c r="DV810">
        <f t="shared" si="1575"/>
        <v>1</v>
      </c>
      <c r="DW810">
        <f t="shared" si="1575"/>
        <v>1</v>
      </c>
      <c r="DX810">
        <f t="shared" si="1575"/>
        <v>1</v>
      </c>
      <c r="DY810">
        <f t="shared" si="1575"/>
        <v>1</v>
      </c>
      <c r="DZ810">
        <f t="shared" si="1575"/>
        <v>1</v>
      </c>
      <c r="EA810">
        <f t="shared" si="1575"/>
        <v>1</v>
      </c>
      <c r="EB810">
        <f t="shared" si="1575"/>
        <v>1</v>
      </c>
      <c r="EC810">
        <f t="shared" si="1575"/>
        <v>1</v>
      </c>
      <c r="ED810">
        <f t="shared" si="1575"/>
        <v>1</v>
      </c>
      <c r="EE810">
        <f t="shared" ref="EE810:EF810" si="1576">IF($C810&lt;&gt;"",IF(BP810&gt;0,1,0),0)</f>
        <v>1</v>
      </c>
      <c r="EF810">
        <f t="shared" si="1576"/>
        <v>1</v>
      </c>
    </row>
    <row r="811" spans="1:136" ht="15.5">
      <c r="A811" s="90"/>
      <c r="B811" s="57" t="s">
        <v>202</v>
      </c>
      <c r="C811" s="94"/>
      <c r="D811" s="18">
        <v>0</v>
      </c>
      <c r="E811" s="18">
        <v>0</v>
      </c>
      <c r="F811" s="18">
        <v>0</v>
      </c>
      <c r="G811" s="18">
        <v>0</v>
      </c>
      <c r="H811" s="18">
        <v>0</v>
      </c>
      <c r="I811" s="18">
        <v>0</v>
      </c>
      <c r="J811" s="18">
        <v>0</v>
      </c>
      <c r="K811" s="18">
        <v>0</v>
      </c>
      <c r="L811" s="18">
        <v>0</v>
      </c>
      <c r="M811" s="18">
        <v>0</v>
      </c>
      <c r="N811" s="18">
        <v>0</v>
      </c>
      <c r="O811" s="18">
        <v>0</v>
      </c>
      <c r="P811" s="18">
        <v>0</v>
      </c>
      <c r="Q811" s="18">
        <v>0</v>
      </c>
      <c r="R811" s="18">
        <v>0</v>
      </c>
      <c r="S811" s="18">
        <v>0</v>
      </c>
      <c r="T811" s="18">
        <v>0</v>
      </c>
      <c r="U811" s="18">
        <v>0</v>
      </c>
      <c r="V811" s="18">
        <v>0</v>
      </c>
      <c r="W811" s="18">
        <v>0</v>
      </c>
      <c r="X811" s="18">
        <v>0</v>
      </c>
      <c r="Y811" s="18">
        <v>0</v>
      </c>
      <c r="Z811" s="18">
        <v>0</v>
      </c>
      <c r="AA811" s="18">
        <v>0</v>
      </c>
      <c r="AB811" s="18">
        <v>0</v>
      </c>
      <c r="AC811" s="18">
        <v>0</v>
      </c>
      <c r="AD811" s="18">
        <v>0</v>
      </c>
      <c r="AE811" s="18">
        <v>0</v>
      </c>
      <c r="AF811" s="18">
        <v>0</v>
      </c>
      <c r="AG811" s="18">
        <v>0</v>
      </c>
      <c r="AH811" s="18">
        <v>0</v>
      </c>
      <c r="AI811" s="18">
        <v>0</v>
      </c>
      <c r="AJ811" s="18">
        <v>0</v>
      </c>
      <c r="AK811" s="18">
        <v>0</v>
      </c>
      <c r="AL811" s="18">
        <v>0</v>
      </c>
      <c r="AM811" s="18">
        <v>0</v>
      </c>
      <c r="AN811" s="18">
        <v>0</v>
      </c>
      <c r="AO811" s="18">
        <v>0</v>
      </c>
      <c r="AP811" s="18">
        <v>0</v>
      </c>
      <c r="AQ811" s="146">
        <v>25</v>
      </c>
      <c r="AR811" s="146">
        <v>43</v>
      </c>
      <c r="AS811" s="146">
        <v>62</v>
      </c>
      <c r="AT811" s="146">
        <v>85</v>
      </c>
      <c r="AU811" s="146">
        <v>112</v>
      </c>
      <c r="AV811" s="146">
        <v>142</v>
      </c>
      <c r="AW811" s="146">
        <v>170</v>
      </c>
      <c r="AX811" s="146">
        <v>200</v>
      </c>
      <c r="AY811" s="146">
        <v>234</v>
      </c>
      <c r="AZ811" s="146">
        <v>275</v>
      </c>
      <c r="BA811" s="146">
        <v>300</v>
      </c>
      <c r="BB811" s="146">
        <v>324</v>
      </c>
      <c r="BC811" s="146">
        <v>370</v>
      </c>
      <c r="BD811" s="18">
        <v>390</v>
      </c>
      <c r="BE811" s="25">
        <v>0</v>
      </c>
      <c r="BF811" s="18">
        <v>0</v>
      </c>
      <c r="BG811" s="18">
        <v>0</v>
      </c>
      <c r="BH811" s="113">
        <v>0</v>
      </c>
      <c r="BI811" s="113">
        <v>0</v>
      </c>
      <c r="BJ811" s="113">
        <v>0</v>
      </c>
      <c r="BK811" s="113">
        <v>0</v>
      </c>
      <c r="BL811" s="113">
        <v>0</v>
      </c>
      <c r="BM811" s="113">
        <v>0</v>
      </c>
      <c r="BN811" s="113">
        <v>0</v>
      </c>
      <c r="BO811" s="113">
        <v>0</v>
      </c>
      <c r="BP811" s="113">
        <v>0</v>
      </c>
      <c r="BQ811" s="113">
        <v>0</v>
      </c>
      <c r="BR811" s="101"/>
      <c r="BS811">
        <f t="shared" ref="BS811:CB812" si="1577">IF($C811&lt;&gt;"",IF(D811&gt;0,1,0),0)</f>
        <v>0</v>
      </c>
      <c r="BT811">
        <f t="shared" si="1577"/>
        <v>0</v>
      </c>
      <c r="BU811">
        <f t="shared" si="1577"/>
        <v>0</v>
      </c>
      <c r="BV811">
        <f t="shared" si="1577"/>
        <v>0</v>
      </c>
      <c r="BW811">
        <f t="shared" si="1577"/>
        <v>0</v>
      </c>
      <c r="BX811">
        <f t="shared" si="1577"/>
        <v>0</v>
      </c>
      <c r="BY811">
        <f t="shared" si="1577"/>
        <v>0</v>
      </c>
      <c r="BZ811">
        <f t="shared" si="1577"/>
        <v>0</v>
      </c>
      <c r="CA811">
        <f t="shared" si="1577"/>
        <v>0</v>
      </c>
      <c r="CB811">
        <f t="shared" si="1577"/>
        <v>0</v>
      </c>
      <c r="CC811">
        <f t="shared" ref="CC811:CL812" si="1578">IF($C811&lt;&gt;"",IF(N811&gt;0,1,0),0)</f>
        <v>0</v>
      </c>
      <c r="CD811">
        <f t="shared" si="1578"/>
        <v>0</v>
      </c>
      <c r="CE811">
        <f t="shared" si="1578"/>
        <v>0</v>
      </c>
      <c r="CF811">
        <f t="shared" si="1578"/>
        <v>0</v>
      </c>
      <c r="CG811">
        <f t="shared" si="1578"/>
        <v>0</v>
      </c>
      <c r="CH811">
        <f t="shared" si="1578"/>
        <v>0</v>
      </c>
      <c r="CI811">
        <f t="shared" si="1578"/>
        <v>0</v>
      </c>
      <c r="CJ811">
        <f t="shared" si="1578"/>
        <v>0</v>
      </c>
      <c r="CK811">
        <f t="shared" si="1578"/>
        <v>0</v>
      </c>
      <c r="CL811">
        <f t="shared" si="1578"/>
        <v>0</v>
      </c>
      <c r="CM811">
        <f t="shared" ref="CM811:CV812" si="1579">IF($C811&lt;&gt;"",IF(X811&gt;0,1,0),0)</f>
        <v>0</v>
      </c>
      <c r="CN811">
        <f t="shared" si="1579"/>
        <v>0</v>
      </c>
      <c r="CO811">
        <f t="shared" si="1579"/>
        <v>0</v>
      </c>
      <c r="CP811">
        <f t="shared" si="1579"/>
        <v>0</v>
      </c>
      <c r="CQ811">
        <f t="shared" si="1579"/>
        <v>0</v>
      </c>
      <c r="CR811">
        <f t="shared" si="1579"/>
        <v>0</v>
      </c>
      <c r="CS811">
        <f t="shared" si="1579"/>
        <v>0</v>
      </c>
      <c r="CT811">
        <f t="shared" si="1579"/>
        <v>0</v>
      </c>
      <c r="CU811">
        <f t="shared" si="1579"/>
        <v>0</v>
      </c>
      <c r="CV811">
        <f t="shared" si="1579"/>
        <v>0</v>
      </c>
      <c r="CW811">
        <f t="shared" ref="CW811:DF812" si="1580">IF($C811&lt;&gt;"",IF(AH811&gt;0,1,0),0)</f>
        <v>0</v>
      </c>
      <c r="CX811">
        <f t="shared" si="1580"/>
        <v>0</v>
      </c>
      <c r="CY811">
        <f t="shared" si="1580"/>
        <v>0</v>
      </c>
      <c r="CZ811">
        <f t="shared" si="1580"/>
        <v>0</v>
      </c>
      <c r="DA811">
        <f t="shared" si="1580"/>
        <v>0</v>
      </c>
      <c r="DB811">
        <f t="shared" si="1580"/>
        <v>0</v>
      </c>
      <c r="DC811">
        <f t="shared" si="1580"/>
        <v>0</v>
      </c>
      <c r="DD811">
        <f t="shared" si="1580"/>
        <v>0</v>
      </c>
      <c r="DE811">
        <f t="shared" si="1580"/>
        <v>0</v>
      </c>
      <c r="DF811">
        <f t="shared" si="1580"/>
        <v>0</v>
      </c>
      <c r="DG811">
        <f t="shared" ref="DG811:DP812" si="1581">IF($C811&lt;&gt;"",IF(AR811&gt;0,1,0),0)</f>
        <v>0</v>
      </c>
      <c r="DH811">
        <f t="shared" si="1581"/>
        <v>0</v>
      </c>
      <c r="DI811">
        <f t="shared" si="1581"/>
        <v>0</v>
      </c>
      <c r="DJ811">
        <f t="shared" si="1581"/>
        <v>0</v>
      </c>
      <c r="DK811">
        <f t="shared" si="1581"/>
        <v>0</v>
      </c>
      <c r="DL811">
        <f t="shared" si="1581"/>
        <v>0</v>
      </c>
      <c r="DM811">
        <f t="shared" si="1581"/>
        <v>0</v>
      </c>
      <c r="DN811">
        <f t="shared" si="1581"/>
        <v>0</v>
      </c>
      <c r="DO811">
        <f t="shared" si="1581"/>
        <v>0</v>
      </c>
      <c r="DP811">
        <f t="shared" si="1581"/>
        <v>0</v>
      </c>
      <c r="DQ811">
        <f t="shared" ref="DQ811:DZ812" si="1582">IF($C811&lt;&gt;"",IF(BB811&gt;0,1,0),0)</f>
        <v>0</v>
      </c>
      <c r="DR811">
        <f t="shared" si="1582"/>
        <v>0</v>
      </c>
      <c r="DS811">
        <f t="shared" si="1582"/>
        <v>0</v>
      </c>
      <c r="DT811">
        <f t="shared" si="1582"/>
        <v>0</v>
      </c>
      <c r="DU811">
        <f t="shared" si="1582"/>
        <v>0</v>
      </c>
      <c r="DV811">
        <f t="shared" si="1582"/>
        <v>0</v>
      </c>
      <c r="DW811">
        <f t="shared" si="1582"/>
        <v>0</v>
      </c>
      <c r="DX811">
        <f t="shared" si="1582"/>
        <v>0</v>
      </c>
      <c r="DY811">
        <f t="shared" si="1582"/>
        <v>0</v>
      </c>
      <c r="DZ811">
        <f t="shared" si="1582"/>
        <v>0</v>
      </c>
      <c r="EA811">
        <f t="shared" ref="EA811:EF816" si="1583">IF($C811&lt;&gt;"",IF(BL810&gt;0,1,0),0)</f>
        <v>0</v>
      </c>
      <c r="EB811">
        <f t="shared" si="1583"/>
        <v>0</v>
      </c>
      <c r="EC811">
        <f t="shared" si="1583"/>
        <v>0</v>
      </c>
      <c r="ED811">
        <f t="shared" si="1583"/>
        <v>0</v>
      </c>
      <c r="EE811">
        <f t="shared" si="1583"/>
        <v>0</v>
      </c>
      <c r="EF811">
        <f t="shared" si="1583"/>
        <v>0</v>
      </c>
    </row>
    <row r="812" spans="1:136" ht="15.5">
      <c r="A812" s="90"/>
      <c r="B812" s="19" t="s">
        <v>2</v>
      </c>
      <c r="C812" s="94"/>
      <c r="D812" s="18">
        <v>0</v>
      </c>
      <c r="E812" s="18">
        <v>0</v>
      </c>
      <c r="F812" s="18">
        <v>0</v>
      </c>
      <c r="G812" s="18">
        <v>0</v>
      </c>
      <c r="H812" s="18">
        <v>0</v>
      </c>
      <c r="I812" s="18">
        <v>0</v>
      </c>
      <c r="J812" s="18">
        <v>0</v>
      </c>
      <c r="K812" s="18">
        <v>0</v>
      </c>
      <c r="L812" s="18">
        <v>0</v>
      </c>
      <c r="M812" s="18">
        <v>0</v>
      </c>
      <c r="N812" s="18">
        <v>0</v>
      </c>
      <c r="O812" s="18">
        <v>0</v>
      </c>
      <c r="P812" s="18">
        <v>0</v>
      </c>
      <c r="Q812" s="18">
        <v>0</v>
      </c>
      <c r="R812" s="18">
        <v>0</v>
      </c>
      <c r="S812" s="18">
        <v>0</v>
      </c>
      <c r="T812" s="18">
        <v>0</v>
      </c>
      <c r="U812" s="18">
        <v>0</v>
      </c>
      <c r="V812" s="18">
        <v>0</v>
      </c>
      <c r="W812" s="18">
        <v>0</v>
      </c>
      <c r="X812" s="18">
        <v>0</v>
      </c>
      <c r="Y812" s="18">
        <v>0</v>
      </c>
      <c r="Z812" s="18">
        <v>0</v>
      </c>
      <c r="AA812" s="18">
        <v>0</v>
      </c>
      <c r="AB812" s="18">
        <v>0</v>
      </c>
      <c r="AC812" s="18">
        <v>0</v>
      </c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  <c r="AS812" s="18"/>
      <c r="AT812" s="18"/>
      <c r="AU812" s="18"/>
      <c r="AV812" s="18"/>
      <c r="AW812" s="18"/>
      <c r="AX812" s="18"/>
      <c r="AY812" s="18"/>
      <c r="AZ812" s="18">
        <v>3227</v>
      </c>
      <c r="BA812" s="18">
        <v>3363</v>
      </c>
      <c r="BB812" s="18">
        <v>3699</v>
      </c>
      <c r="BC812" s="18">
        <v>3777</v>
      </c>
      <c r="BD812" s="18">
        <v>9869</v>
      </c>
      <c r="BE812" s="40" t="s">
        <v>16</v>
      </c>
      <c r="BF812" s="18">
        <v>0</v>
      </c>
      <c r="BG812" s="18">
        <v>0</v>
      </c>
      <c r="BH812" s="18">
        <v>0</v>
      </c>
      <c r="BI812" s="18">
        <v>0</v>
      </c>
      <c r="BJ812" s="18">
        <v>0</v>
      </c>
      <c r="BK812" s="113">
        <v>0</v>
      </c>
      <c r="BL812" s="113">
        <v>0</v>
      </c>
      <c r="BM812" s="113">
        <v>0</v>
      </c>
      <c r="BN812" s="113">
        <v>0</v>
      </c>
      <c r="BO812" s="113">
        <v>0</v>
      </c>
      <c r="BP812" s="113">
        <v>0</v>
      </c>
      <c r="BQ812" s="113">
        <v>0</v>
      </c>
      <c r="BR812" s="101"/>
      <c r="BS812">
        <f t="shared" si="1577"/>
        <v>0</v>
      </c>
      <c r="BT812">
        <f t="shared" si="1577"/>
        <v>0</v>
      </c>
      <c r="BU812">
        <f t="shared" si="1577"/>
        <v>0</v>
      </c>
      <c r="BV812">
        <f t="shared" si="1577"/>
        <v>0</v>
      </c>
      <c r="BW812">
        <f t="shared" si="1577"/>
        <v>0</v>
      </c>
      <c r="BX812">
        <f t="shared" si="1577"/>
        <v>0</v>
      </c>
      <c r="BY812">
        <f t="shared" si="1577"/>
        <v>0</v>
      </c>
      <c r="BZ812">
        <f t="shared" si="1577"/>
        <v>0</v>
      </c>
      <c r="CA812">
        <f t="shared" si="1577"/>
        <v>0</v>
      </c>
      <c r="CB812">
        <f t="shared" si="1577"/>
        <v>0</v>
      </c>
      <c r="CC812">
        <f t="shared" si="1578"/>
        <v>0</v>
      </c>
      <c r="CD812">
        <f t="shared" si="1578"/>
        <v>0</v>
      </c>
      <c r="CE812">
        <f t="shared" si="1578"/>
        <v>0</v>
      </c>
      <c r="CF812">
        <f t="shared" si="1578"/>
        <v>0</v>
      </c>
      <c r="CG812">
        <f t="shared" si="1578"/>
        <v>0</v>
      </c>
      <c r="CH812">
        <f t="shared" si="1578"/>
        <v>0</v>
      </c>
      <c r="CI812">
        <f t="shared" si="1578"/>
        <v>0</v>
      </c>
      <c r="CJ812">
        <f t="shared" si="1578"/>
        <v>0</v>
      </c>
      <c r="CK812">
        <f t="shared" si="1578"/>
        <v>0</v>
      </c>
      <c r="CL812">
        <f t="shared" si="1578"/>
        <v>0</v>
      </c>
      <c r="CM812">
        <f t="shared" si="1579"/>
        <v>0</v>
      </c>
      <c r="CN812">
        <f t="shared" si="1579"/>
        <v>0</v>
      </c>
      <c r="CO812">
        <f t="shared" si="1579"/>
        <v>0</v>
      </c>
      <c r="CP812">
        <f t="shared" si="1579"/>
        <v>0</v>
      </c>
      <c r="CQ812">
        <f t="shared" si="1579"/>
        <v>0</v>
      </c>
      <c r="CR812">
        <f t="shared" si="1579"/>
        <v>0</v>
      </c>
      <c r="CS812">
        <f t="shared" si="1579"/>
        <v>0</v>
      </c>
      <c r="CT812">
        <f t="shared" si="1579"/>
        <v>0</v>
      </c>
      <c r="CU812">
        <f t="shared" si="1579"/>
        <v>0</v>
      </c>
      <c r="CV812">
        <f t="shared" si="1579"/>
        <v>0</v>
      </c>
      <c r="CW812">
        <f t="shared" si="1580"/>
        <v>0</v>
      </c>
      <c r="CX812">
        <f t="shared" si="1580"/>
        <v>0</v>
      </c>
      <c r="CY812">
        <f t="shared" si="1580"/>
        <v>0</v>
      </c>
      <c r="CZ812">
        <f t="shared" si="1580"/>
        <v>0</v>
      </c>
      <c r="DA812">
        <f t="shared" si="1580"/>
        <v>0</v>
      </c>
      <c r="DB812">
        <f t="shared" si="1580"/>
        <v>0</v>
      </c>
      <c r="DC812">
        <f t="shared" si="1580"/>
        <v>0</v>
      </c>
      <c r="DD812">
        <f t="shared" si="1580"/>
        <v>0</v>
      </c>
      <c r="DE812">
        <f t="shared" si="1580"/>
        <v>0</v>
      </c>
      <c r="DF812">
        <f t="shared" si="1580"/>
        <v>0</v>
      </c>
      <c r="DG812">
        <f t="shared" si="1581"/>
        <v>0</v>
      </c>
      <c r="DH812">
        <f t="shared" si="1581"/>
        <v>0</v>
      </c>
      <c r="DI812">
        <f t="shared" si="1581"/>
        <v>0</v>
      </c>
      <c r="DJ812">
        <f t="shared" si="1581"/>
        <v>0</v>
      </c>
      <c r="DK812">
        <f t="shared" si="1581"/>
        <v>0</v>
      </c>
      <c r="DL812">
        <f t="shared" si="1581"/>
        <v>0</v>
      </c>
      <c r="DM812">
        <f t="shared" si="1581"/>
        <v>0</v>
      </c>
      <c r="DN812">
        <f t="shared" si="1581"/>
        <v>0</v>
      </c>
      <c r="DO812">
        <f t="shared" si="1581"/>
        <v>0</v>
      </c>
      <c r="DP812">
        <f t="shared" si="1581"/>
        <v>0</v>
      </c>
      <c r="DQ812">
        <f t="shared" si="1582"/>
        <v>0</v>
      </c>
      <c r="DR812">
        <f t="shared" si="1582"/>
        <v>0</v>
      </c>
      <c r="DS812">
        <f t="shared" si="1582"/>
        <v>0</v>
      </c>
      <c r="DT812">
        <f t="shared" si="1582"/>
        <v>0</v>
      </c>
      <c r="DU812">
        <f t="shared" si="1582"/>
        <v>0</v>
      </c>
      <c r="DV812">
        <f t="shared" si="1582"/>
        <v>0</v>
      </c>
      <c r="DW812">
        <f t="shared" si="1582"/>
        <v>0</v>
      </c>
      <c r="DX812">
        <f t="shared" si="1582"/>
        <v>0</v>
      </c>
      <c r="DY812">
        <f t="shared" si="1582"/>
        <v>0</v>
      </c>
      <c r="DZ812">
        <f t="shared" si="1582"/>
        <v>0</v>
      </c>
      <c r="EA812">
        <f t="shared" si="1583"/>
        <v>0</v>
      </c>
      <c r="EB812">
        <f t="shared" si="1583"/>
        <v>0</v>
      </c>
      <c r="EC812">
        <f t="shared" si="1583"/>
        <v>0</v>
      </c>
      <c r="ED812">
        <f t="shared" si="1583"/>
        <v>0</v>
      </c>
      <c r="EE812">
        <f t="shared" si="1583"/>
        <v>0</v>
      </c>
      <c r="EF812">
        <f t="shared" si="1583"/>
        <v>0</v>
      </c>
    </row>
    <row r="813" spans="1:136" ht="15.5">
      <c r="A813" s="90"/>
      <c r="B813" s="19" t="s">
        <v>205</v>
      </c>
      <c r="C813" s="94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>
        <v>0</v>
      </c>
      <c r="AC813" s="18">
        <v>0</v>
      </c>
      <c r="AD813" s="18">
        <v>44.234999999999999</v>
      </c>
      <c r="AE813" s="18">
        <v>0</v>
      </c>
      <c r="AF813" s="18">
        <v>0</v>
      </c>
      <c r="AG813" s="18">
        <v>0</v>
      </c>
      <c r="AH813" s="18">
        <v>0</v>
      </c>
      <c r="AI813" s="18">
        <v>6.2377669999999998</v>
      </c>
      <c r="AJ813" s="18">
        <v>10.254238300000001</v>
      </c>
      <c r="AK813" s="18">
        <v>10.0596137</v>
      </c>
      <c r="AL813" s="18">
        <v>10.1800955</v>
      </c>
      <c r="AM813" s="18">
        <v>11.175080599999999</v>
      </c>
      <c r="AN813" s="18">
        <v>23.935681500000001</v>
      </c>
      <c r="AO813" s="18">
        <v>25.637805699999998</v>
      </c>
      <c r="AP813" s="18">
        <v>35.639450600000004</v>
      </c>
      <c r="AQ813" s="18">
        <v>57.729429200000006</v>
      </c>
      <c r="AR813" s="18">
        <v>37.278693700000005</v>
      </c>
      <c r="AS813" s="18">
        <v>52.3406734</v>
      </c>
      <c r="AT813" s="18">
        <v>54.405881899999997</v>
      </c>
      <c r="AU813" s="71">
        <v>56.474343600000005</v>
      </c>
      <c r="AV813" s="18">
        <v>58.541697899999996</v>
      </c>
      <c r="AW813" s="18">
        <v>61.0197997</v>
      </c>
      <c r="AX813" s="18">
        <v>63.521796200000004</v>
      </c>
      <c r="AY813" s="18">
        <v>66.406638900000004</v>
      </c>
      <c r="AZ813" s="18">
        <v>69.52917140000001</v>
      </c>
      <c r="BA813" s="18">
        <v>70.277172800000002</v>
      </c>
      <c r="BB813" s="18">
        <v>217.18537519999998</v>
      </c>
      <c r="BC813" s="18">
        <v>73.510748300000003</v>
      </c>
      <c r="BD813" s="18">
        <v>73.585977599999993</v>
      </c>
      <c r="BE813" s="71">
        <v>74.872792900000007</v>
      </c>
      <c r="BF813" s="71">
        <v>86.195280499999996</v>
      </c>
      <c r="BG813" s="71">
        <v>96.158110800000003</v>
      </c>
      <c r="BH813" s="71">
        <v>119.49168940000001</v>
      </c>
      <c r="BI813" s="71">
        <v>123.2744715</v>
      </c>
      <c r="BJ813" s="71">
        <v>216.05929609999998</v>
      </c>
      <c r="BK813" s="113">
        <v>105.40446</v>
      </c>
      <c r="BL813" s="113">
        <v>189</v>
      </c>
      <c r="BM813" s="113">
        <v>177</v>
      </c>
      <c r="BN813" s="113">
        <v>116</v>
      </c>
      <c r="BO813" s="113">
        <v>107</v>
      </c>
      <c r="BP813" s="113">
        <v>110</v>
      </c>
      <c r="BQ813" s="113">
        <v>115</v>
      </c>
      <c r="BR813" s="101"/>
      <c r="BS813">
        <f t="shared" ref="BS813:CB816" si="1584">IF($C813&lt;&gt;"",IF(D813&gt;0,1,0),0)</f>
        <v>0</v>
      </c>
      <c r="BT813">
        <f t="shared" si="1584"/>
        <v>0</v>
      </c>
      <c r="BU813">
        <f t="shared" si="1584"/>
        <v>0</v>
      </c>
      <c r="BV813">
        <f t="shared" si="1584"/>
        <v>0</v>
      </c>
      <c r="BW813">
        <f t="shared" si="1584"/>
        <v>0</v>
      </c>
      <c r="BX813">
        <f t="shared" si="1584"/>
        <v>0</v>
      </c>
      <c r="BY813">
        <f t="shared" si="1584"/>
        <v>0</v>
      </c>
      <c r="BZ813">
        <f t="shared" si="1584"/>
        <v>0</v>
      </c>
      <c r="CA813">
        <f t="shared" si="1584"/>
        <v>0</v>
      </c>
      <c r="CB813">
        <f t="shared" si="1584"/>
        <v>0</v>
      </c>
      <c r="CC813">
        <f t="shared" ref="CC813:CL816" si="1585">IF($C813&lt;&gt;"",IF(N813&gt;0,1,0),0)</f>
        <v>0</v>
      </c>
      <c r="CD813">
        <f t="shared" si="1585"/>
        <v>0</v>
      </c>
      <c r="CE813">
        <f t="shared" si="1585"/>
        <v>0</v>
      </c>
      <c r="CF813">
        <f t="shared" si="1585"/>
        <v>0</v>
      </c>
      <c r="CG813">
        <f t="shared" si="1585"/>
        <v>0</v>
      </c>
      <c r="CH813">
        <f t="shared" si="1585"/>
        <v>0</v>
      </c>
      <c r="CI813">
        <f t="shared" si="1585"/>
        <v>0</v>
      </c>
      <c r="CJ813">
        <f t="shared" si="1585"/>
        <v>0</v>
      </c>
      <c r="CK813">
        <f t="shared" si="1585"/>
        <v>0</v>
      </c>
      <c r="CL813">
        <f t="shared" si="1585"/>
        <v>0</v>
      </c>
      <c r="CM813">
        <f t="shared" ref="CM813:CV816" si="1586">IF($C813&lt;&gt;"",IF(X813&gt;0,1,0),0)</f>
        <v>0</v>
      </c>
      <c r="CN813">
        <f t="shared" si="1586"/>
        <v>0</v>
      </c>
      <c r="CO813">
        <f t="shared" si="1586"/>
        <v>0</v>
      </c>
      <c r="CP813">
        <f t="shared" si="1586"/>
        <v>0</v>
      </c>
      <c r="CQ813">
        <f t="shared" si="1586"/>
        <v>0</v>
      </c>
      <c r="CR813">
        <f t="shared" si="1586"/>
        <v>0</v>
      </c>
      <c r="CS813">
        <f t="shared" si="1586"/>
        <v>0</v>
      </c>
      <c r="CT813">
        <f t="shared" si="1586"/>
        <v>0</v>
      </c>
      <c r="CU813">
        <f t="shared" si="1586"/>
        <v>0</v>
      </c>
      <c r="CV813">
        <f t="shared" si="1586"/>
        <v>0</v>
      </c>
      <c r="CW813">
        <f t="shared" ref="CW813:DF816" si="1587">IF($C813&lt;&gt;"",IF(AH813&gt;0,1,0),0)</f>
        <v>0</v>
      </c>
      <c r="CX813">
        <f t="shared" si="1587"/>
        <v>0</v>
      </c>
      <c r="CY813">
        <f t="shared" si="1587"/>
        <v>0</v>
      </c>
      <c r="CZ813">
        <f t="shared" si="1587"/>
        <v>0</v>
      </c>
      <c r="DA813">
        <f t="shared" si="1587"/>
        <v>0</v>
      </c>
      <c r="DB813">
        <f t="shared" si="1587"/>
        <v>0</v>
      </c>
      <c r="DC813">
        <f t="shared" si="1587"/>
        <v>0</v>
      </c>
      <c r="DD813">
        <f t="shared" si="1587"/>
        <v>0</v>
      </c>
      <c r="DE813">
        <f t="shared" si="1587"/>
        <v>0</v>
      </c>
      <c r="DF813">
        <f t="shared" si="1587"/>
        <v>0</v>
      </c>
      <c r="DG813">
        <f t="shared" ref="DG813:DL816" si="1588">IF($C813&lt;&gt;"",IF(AR813&gt;0,1,0),0)</f>
        <v>0</v>
      </c>
      <c r="DH813">
        <f t="shared" si="1588"/>
        <v>0</v>
      </c>
      <c r="DI813">
        <f t="shared" si="1588"/>
        <v>0</v>
      </c>
      <c r="DJ813">
        <f t="shared" si="1588"/>
        <v>0</v>
      </c>
      <c r="DK813">
        <f t="shared" si="1588"/>
        <v>0</v>
      </c>
      <c r="DL813">
        <f t="shared" si="1588"/>
        <v>0</v>
      </c>
      <c r="DM813">
        <f>IF($C813&lt;&gt;"",IF(#REF!&gt;0,1,0),0)</f>
        <v>0</v>
      </c>
      <c r="DN813">
        <f>IF($C813&lt;&gt;"",IF(AX813&gt;0,1,0),0)</f>
        <v>0</v>
      </c>
      <c r="DO813">
        <f t="shared" ref="DO813:DZ816" si="1589">IF($C813&lt;&gt;"",IF(AZ813&gt;0,1,0),0)</f>
        <v>0</v>
      </c>
      <c r="DP813">
        <f t="shared" si="1589"/>
        <v>0</v>
      </c>
      <c r="DQ813">
        <f t="shared" si="1589"/>
        <v>0</v>
      </c>
      <c r="DR813">
        <f t="shared" si="1589"/>
        <v>0</v>
      </c>
      <c r="DS813">
        <f t="shared" si="1589"/>
        <v>0</v>
      </c>
      <c r="DT813">
        <f t="shared" si="1589"/>
        <v>0</v>
      </c>
      <c r="DU813">
        <f t="shared" si="1589"/>
        <v>0</v>
      </c>
      <c r="DV813">
        <f t="shared" si="1589"/>
        <v>0</v>
      </c>
      <c r="DW813">
        <f t="shared" si="1589"/>
        <v>0</v>
      </c>
      <c r="DX813">
        <f t="shared" si="1589"/>
        <v>0</v>
      </c>
      <c r="DY813">
        <f t="shared" si="1589"/>
        <v>0</v>
      </c>
      <c r="DZ813">
        <f t="shared" si="1589"/>
        <v>0</v>
      </c>
      <c r="EA813">
        <f t="shared" si="1583"/>
        <v>0</v>
      </c>
      <c r="EB813">
        <f t="shared" si="1583"/>
        <v>0</v>
      </c>
      <c r="EC813">
        <f t="shared" si="1583"/>
        <v>0</v>
      </c>
      <c r="ED813">
        <f t="shared" si="1583"/>
        <v>0</v>
      </c>
      <c r="EE813">
        <f t="shared" si="1583"/>
        <v>0</v>
      </c>
      <c r="EF813">
        <f t="shared" si="1583"/>
        <v>0</v>
      </c>
    </row>
    <row r="814" spans="1:136" ht="15.5">
      <c r="A814" s="90"/>
      <c r="B814" s="57" t="s">
        <v>3</v>
      </c>
      <c r="C814" s="94"/>
      <c r="D814" s="18">
        <v>0</v>
      </c>
      <c r="E814" s="18">
        <v>0</v>
      </c>
      <c r="F814" s="18">
        <v>0</v>
      </c>
      <c r="G814" s="18">
        <v>0</v>
      </c>
      <c r="H814" s="18">
        <v>0</v>
      </c>
      <c r="I814" s="18">
        <v>0</v>
      </c>
      <c r="J814" s="18">
        <v>0</v>
      </c>
      <c r="K814" s="18">
        <v>0</v>
      </c>
      <c r="L814" s="18">
        <v>0</v>
      </c>
      <c r="M814" s="18">
        <v>0</v>
      </c>
      <c r="N814" s="18">
        <v>0</v>
      </c>
      <c r="O814" s="18">
        <v>0</v>
      </c>
      <c r="P814" s="18">
        <v>0</v>
      </c>
      <c r="Q814" s="18">
        <v>0</v>
      </c>
      <c r="R814" s="18">
        <v>0</v>
      </c>
      <c r="S814" s="18">
        <v>0</v>
      </c>
      <c r="T814" s="18">
        <v>0.03</v>
      </c>
      <c r="U814" s="18">
        <v>6.2E-2</v>
      </c>
      <c r="V814" s="18">
        <v>9.6000000000000002E-2</v>
      </c>
      <c r="W814" s="18">
        <v>0.13</v>
      </c>
      <c r="X814" s="18">
        <v>0.16400000000000001</v>
      </c>
      <c r="Y814" s="18">
        <v>0.19800000000000001</v>
      </c>
      <c r="Z814" s="18">
        <v>0.23200000000000001</v>
      </c>
      <c r="AA814" s="18">
        <v>0.22900000000000001</v>
      </c>
      <c r="AB814" s="18">
        <v>0.22700000000000001</v>
      </c>
      <c r="AC814" s="18">
        <v>3.9366534999999998</v>
      </c>
      <c r="AD814" s="18">
        <f>57.9101473-AD813</f>
        <v>13.675147299999999</v>
      </c>
      <c r="AE814" s="18">
        <v>69.757884300000001</v>
      </c>
      <c r="AF814" s="18">
        <v>179.0718415</v>
      </c>
      <c r="AG814" s="18">
        <v>275.34056820000001</v>
      </c>
      <c r="AH814" s="18">
        <v>462.84539070000005</v>
      </c>
      <c r="AI814" s="18">
        <f>709.427526-AI813</f>
        <v>703.18975899999998</v>
      </c>
      <c r="AJ814" s="18">
        <f>905.0045966-AJ813</f>
        <v>894.75035830000002</v>
      </c>
      <c r="AK814" s="18">
        <f>1140.7307325-AK813</f>
        <v>1130.6711187999999</v>
      </c>
      <c r="AL814" s="18">
        <f>1490.9839032-AL813</f>
        <v>1480.8038076999999</v>
      </c>
      <c r="AM814" s="18">
        <f>1384.8045791-AM813</f>
        <v>1373.6294985</v>
      </c>
      <c r="AN814" s="18">
        <f>1347.4344756-AN813</f>
        <v>1323.4987940999999</v>
      </c>
      <c r="AO814" s="18">
        <f>1445.536987-AO813</f>
        <v>1419.8991813</v>
      </c>
      <c r="AP814" s="18">
        <f>1691.1562278-AP813</f>
        <v>1655.5167772</v>
      </c>
      <c r="AQ814" s="18">
        <f>2021.3267176-AQ811</f>
        <v>1996.3267175999999</v>
      </c>
      <c r="AR814" s="18">
        <f>2081.972133-AR813</f>
        <v>2044.6934393000001</v>
      </c>
      <c r="AS814" s="18">
        <f>2056.2242298-AS813</f>
        <v>2003.8835564000001</v>
      </c>
      <c r="AT814" s="18">
        <f>2557.8147243-AT813</f>
        <v>2503.4088423999997</v>
      </c>
      <c r="AU814" s="18">
        <f>3098.0623001-AU813</f>
        <v>3041.5879565</v>
      </c>
      <c r="AV814" s="18">
        <f>3439.3416885-AV813</f>
        <v>3380.7999906</v>
      </c>
      <c r="AW814" s="18">
        <f>3282.361681-AW813</f>
        <v>3221.3418812999998</v>
      </c>
      <c r="AX814" s="18">
        <f>3540.3789622-AX813</f>
        <v>3476.8571659999998</v>
      </c>
      <c r="AY814" s="18">
        <f>3931.6499493-AY813</f>
        <v>3865.2433104000002</v>
      </c>
      <c r="AZ814" s="18">
        <f>4747.3438-AZ813</f>
        <v>4677.8146285999992</v>
      </c>
      <c r="BA814" s="18">
        <f>4921.8112253-BA813</f>
        <v>4851.5340525000001</v>
      </c>
      <c r="BB814" s="18">
        <f>5490.9346435-BB813</f>
        <v>5273.7492683</v>
      </c>
      <c r="BC814" s="18">
        <f>5795.3897704-BC813</f>
        <v>5721.8790220999999</v>
      </c>
      <c r="BD814" s="40" t="s">
        <v>16</v>
      </c>
      <c r="BE814" s="71">
        <f>2370-BE813</f>
        <v>2295.1272070999999</v>
      </c>
      <c r="BF814" s="18">
        <f>450-BF813</f>
        <v>363.80471950000003</v>
      </c>
      <c r="BG814" s="18">
        <f>422.1922636-BG813</f>
        <v>326.03415280000002</v>
      </c>
      <c r="BH814" s="18">
        <f>432.9370881-BH813</f>
        <v>313.44539869999994</v>
      </c>
      <c r="BI814" s="18">
        <f>432.0226426-BI813</f>
        <v>308.74817109999998</v>
      </c>
      <c r="BJ814" s="18">
        <f>558.3636812-BJ813</f>
        <v>342.30438509999999</v>
      </c>
      <c r="BK814" s="34">
        <f>405.6388683-BK813</f>
        <v>300.23440830000004</v>
      </c>
      <c r="BL814" s="113">
        <f>611.5704334-BL813</f>
        <v>422.57043339999996</v>
      </c>
      <c r="BM814" s="113">
        <f>456.9267595-BM813</f>
        <v>279.9267595</v>
      </c>
      <c r="BN814" s="113">
        <f>383.9040145-BN813</f>
        <v>267.90401450000002</v>
      </c>
      <c r="BO814" s="113">
        <f>483-BO813</f>
        <v>376</v>
      </c>
      <c r="BP814" s="113">
        <v>575</v>
      </c>
      <c r="BQ814" s="113">
        <v>774</v>
      </c>
      <c r="BR814" s="101"/>
      <c r="BS814">
        <f t="shared" si="1584"/>
        <v>0</v>
      </c>
      <c r="BT814">
        <f t="shared" si="1584"/>
        <v>0</v>
      </c>
      <c r="BU814">
        <f t="shared" si="1584"/>
        <v>0</v>
      </c>
      <c r="BV814">
        <f t="shared" si="1584"/>
        <v>0</v>
      </c>
      <c r="BW814">
        <f t="shared" si="1584"/>
        <v>0</v>
      </c>
      <c r="BX814">
        <f t="shared" si="1584"/>
        <v>0</v>
      </c>
      <c r="BY814">
        <f t="shared" si="1584"/>
        <v>0</v>
      </c>
      <c r="BZ814">
        <f t="shared" si="1584"/>
        <v>0</v>
      </c>
      <c r="CA814">
        <f t="shared" si="1584"/>
        <v>0</v>
      </c>
      <c r="CB814">
        <f t="shared" si="1584"/>
        <v>0</v>
      </c>
      <c r="CC814">
        <f t="shared" si="1585"/>
        <v>0</v>
      </c>
      <c r="CD814">
        <f t="shared" si="1585"/>
        <v>0</v>
      </c>
      <c r="CE814">
        <f t="shared" si="1585"/>
        <v>0</v>
      </c>
      <c r="CF814">
        <f t="shared" si="1585"/>
        <v>0</v>
      </c>
      <c r="CG814">
        <f t="shared" si="1585"/>
        <v>0</v>
      </c>
      <c r="CH814">
        <f t="shared" si="1585"/>
        <v>0</v>
      </c>
      <c r="CI814">
        <f t="shared" si="1585"/>
        <v>0</v>
      </c>
      <c r="CJ814">
        <f t="shared" si="1585"/>
        <v>0</v>
      </c>
      <c r="CK814">
        <f t="shared" si="1585"/>
        <v>0</v>
      </c>
      <c r="CL814">
        <f t="shared" si="1585"/>
        <v>0</v>
      </c>
      <c r="CM814">
        <f t="shared" si="1586"/>
        <v>0</v>
      </c>
      <c r="CN814">
        <f t="shared" si="1586"/>
        <v>0</v>
      </c>
      <c r="CO814">
        <f t="shared" si="1586"/>
        <v>0</v>
      </c>
      <c r="CP814">
        <f t="shared" si="1586"/>
        <v>0</v>
      </c>
      <c r="CQ814">
        <f t="shared" si="1586"/>
        <v>0</v>
      </c>
      <c r="CR814">
        <f t="shared" si="1586"/>
        <v>0</v>
      </c>
      <c r="CS814">
        <f t="shared" si="1586"/>
        <v>0</v>
      </c>
      <c r="CT814">
        <f t="shared" si="1586"/>
        <v>0</v>
      </c>
      <c r="CU814">
        <f t="shared" si="1586"/>
        <v>0</v>
      </c>
      <c r="CV814">
        <f t="shared" si="1586"/>
        <v>0</v>
      </c>
      <c r="CW814">
        <f t="shared" si="1587"/>
        <v>0</v>
      </c>
      <c r="CX814">
        <f t="shared" si="1587"/>
        <v>0</v>
      </c>
      <c r="CY814">
        <f t="shared" si="1587"/>
        <v>0</v>
      </c>
      <c r="CZ814">
        <f t="shared" si="1587"/>
        <v>0</v>
      </c>
      <c r="DA814">
        <f t="shared" si="1587"/>
        <v>0</v>
      </c>
      <c r="DB814">
        <f t="shared" si="1587"/>
        <v>0</v>
      </c>
      <c r="DC814">
        <f t="shared" si="1587"/>
        <v>0</v>
      </c>
      <c r="DD814">
        <f t="shared" si="1587"/>
        <v>0</v>
      </c>
      <c r="DE814">
        <f t="shared" si="1587"/>
        <v>0</v>
      </c>
      <c r="DF814">
        <f t="shared" si="1587"/>
        <v>0</v>
      </c>
      <c r="DG814">
        <f t="shared" si="1588"/>
        <v>0</v>
      </c>
      <c r="DH814">
        <f t="shared" si="1588"/>
        <v>0</v>
      </c>
      <c r="DI814">
        <f t="shared" si="1588"/>
        <v>0</v>
      </c>
      <c r="DJ814">
        <f t="shared" si="1588"/>
        <v>0</v>
      </c>
      <c r="DK814">
        <f t="shared" si="1588"/>
        <v>0</v>
      </c>
      <c r="DL814">
        <f t="shared" si="1588"/>
        <v>0</v>
      </c>
      <c r="DM814">
        <f t="shared" ref="DM814:DN816" si="1590">IF($C814&lt;&gt;"",IF(AX814&gt;0,1,0),0)</f>
        <v>0</v>
      </c>
      <c r="DN814">
        <f t="shared" si="1590"/>
        <v>0</v>
      </c>
      <c r="DO814">
        <f t="shared" si="1589"/>
        <v>0</v>
      </c>
      <c r="DP814">
        <f t="shared" si="1589"/>
        <v>0</v>
      </c>
      <c r="DQ814">
        <f t="shared" si="1589"/>
        <v>0</v>
      </c>
      <c r="DR814">
        <f t="shared" si="1589"/>
        <v>0</v>
      </c>
      <c r="DS814">
        <f t="shared" si="1589"/>
        <v>0</v>
      </c>
      <c r="DT814">
        <f t="shared" si="1589"/>
        <v>0</v>
      </c>
      <c r="DU814">
        <f t="shared" si="1589"/>
        <v>0</v>
      </c>
      <c r="DV814">
        <f t="shared" si="1589"/>
        <v>0</v>
      </c>
      <c r="DW814">
        <f t="shared" si="1589"/>
        <v>0</v>
      </c>
      <c r="DX814">
        <f t="shared" si="1589"/>
        <v>0</v>
      </c>
      <c r="DY814">
        <f t="shared" si="1589"/>
        <v>0</v>
      </c>
      <c r="DZ814">
        <f t="shared" si="1589"/>
        <v>0</v>
      </c>
      <c r="EA814">
        <f t="shared" si="1583"/>
        <v>0</v>
      </c>
      <c r="EB814">
        <f t="shared" si="1583"/>
        <v>0</v>
      </c>
      <c r="EC814">
        <f t="shared" si="1583"/>
        <v>0</v>
      </c>
      <c r="ED814">
        <f t="shared" si="1583"/>
        <v>0</v>
      </c>
      <c r="EE814">
        <f t="shared" si="1583"/>
        <v>0</v>
      </c>
      <c r="EF814">
        <f t="shared" si="1583"/>
        <v>0</v>
      </c>
    </row>
    <row r="815" spans="1:136" ht="15.5">
      <c r="A815" s="90"/>
      <c r="B815" s="19" t="s">
        <v>208</v>
      </c>
      <c r="C815" s="94"/>
      <c r="D815" s="18">
        <v>0</v>
      </c>
      <c r="E815" s="18">
        <v>0</v>
      </c>
      <c r="F815" s="18">
        <v>0</v>
      </c>
      <c r="G815" s="18">
        <v>0</v>
      </c>
      <c r="H815" s="18">
        <v>0</v>
      </c>
      <c r="I815" s="18">
        <v>0</v>
      </c>
      <c r="J815" s="18">
        <v>0</v>
      </c>
      <c r="K815" s="18">
        <v>0</v>
      </c>
      <c r="L815" s="18">
        <v>0</v>
      </c>
      <c r="M815" s="18">
        <v>0</v>
      </c>
      <c r="N815" s="18">
        <v>0</v>
      </c>
      <c r="O815" s="18">
        <v>0</v>
      </c>
      <c r="P815" s="18">
        <v>0</v>
      </c>
      <c r="Q815" s="18">
        <v>0</v>
      </c>
      <c r="R815" s="18">
        <v>0</v>
      </c>
      <c r="S815" s="18">
        <v>0</v>
      </c>
      <c r="T815" s="18">
        <v>0</v>
      </c>
      <c r="U815" s="18">
        <v>0</v>
      </c>
      <c r="V815" s="18">
        <v>0</v>
      </c>
      <c r="W815" s="18">
        <v>0</v>
      </c>
      <c r="X815" s="18">
        <v>0</v>
      </c>
      <c r="Y815" s="18">
        <v>0</v>
      </c>
      <c r="Z815" s="18">
        <v>0</v>
      </c>
      <c r="AA815" s="18">
        <v>0</v>
      </c>
      <c r="AB815" s="18">
        <v>0</v>
      </c>
      <c r="AC815" s="18">
        <v>0</v>
      </c>
      <c r="AD815" s="18">
        <v>0</v>
      </c>
      <c r="AE815" s="18">
        <v>40.035096799999998</v>
      </c>
      <c r="AF815" s="18">
        <v>78.796957599999999</v>
      </c>
      <c r="AG815" s="18">
        <v>57.311881899999996</v>
      </c>
      <c r="AH815" s="18">
        <v>117.06497169999999</v>
      </c>
      <c r="AI815" s="18">
        <v>175.3108742</v>
      </c>
      <c r="AJ815" s="18">
        <v>224.16750160000004</v>
      </c>
      <c r="AK815" s="18">
        <v>258.18222260000005</v>
      </c>
      <c r="AL815" s="18">
        <v>320.43094339999999</v>
      </c>
      <c r="AM815" s="18">
        <v>325.7820256</v>
      </c>
      <c r="AN815" s="18">
        <v>309.37192980000003</v>
      </c>
      <c r="AO815" s="18">
        <v>295.3505672</v>
      </c>
      <c r="AP815" s="18">
        <v>298.17941330000002</v>
      </c>
      <c r="AQ815" s="18">
        <v>293.4462997</v>
      </c>
      <c r="AR815" s="18">
        <v>326.93668510000003</v>
      </c>
      <c r="AS815" s="18">
        <v>370.64548689999998</v>
      </c>
      <c r="AT815" s="18">
        <v>452.13941840000001</v>
      </c>
      <c r="AU815" s="18">
        <v>530.91169420000006</v>
      </c>
      <c r="AV815" s="18">
        <v>586.30487360000006</v>
      </c>
      <c r="AW815" s="18">
        <v>567.91761029999998</v>
      </c>
      <c r="AX815" s="18">
        <v>603.06829149999999</v>
      </c>
      <c r="AY815" s="18">
        <v>634.64379819999988</v>
      </c>
      <c r="AZ815" s="18">
        <v>635.79634969999995</v>
      </c>
      <c r="BA815" s="18">
        <v>648.2640462999999</v>
      </c>
      <c r="BB815" s="18">
        <v>652.28224419999992</v>
      </c>
      <c r="BC815" s="18">
        <v>653.65219589999992</v>
      </c>
      <c r="BD815" s="18">
        <v>642.43592569999998</v>
      </c>
      <c r="BE815" s="25">
        <v>222.11838750000001</v>
      </c>
      <c r="BF815" s="18">
        <v>218.89567869999999</v>
      </c>
      <c r="BG815" s="18">
        <v>225.5001536</v>
      </c>
      <c r="BH815" s="18">
        <v>231.87914559999999</v>
      </c>
      <c r="BI815" s="18">
        <v>228.90669130000001</v>
      </c>
      <c r="BJ815" s="18">
        <v>241.3402949</v>
      </c>
      <c r="BK815" s="34">
        <v>227.78622919999998</v>
      </c>
      <c r="BL815" s="18">
        <v>308.94219600000002</v>
      </c>
      <c r="BM815" s="113">
        <v>263.73914279999997</v>
      </c>
      <c r="BN815" s="113">
        <v>212.32573390000002</v>
      </c>
      <c r="BO815" s="113">
        <v>211</v>
      </c>
      <c r="BP815" s="113">
        <v>209</v>
      </c>
      <c r="BQ815" s="113">
        <v>210</v>
      </c>
      <c r="BR815" s="101"/>
      <c r="BS815">
        <f t="shared" si="1584"/>
        <v>0</v>
      </c>
      <c r="BT815">
        <f t="shared" si="1584"/>
        <v>0</v>
      </c>
      <c r="BU815">
        <f t="shared" si="1584"/>
        <v>0</v>
      </c>
      <c r="BV815">
        <f t="shared" si="1584"/>
        <v>0</v>
      </c>
      <c r="BW815">
        <f t="shared" si="1584"/>
        <v>0</v>
      </c>
      <c r="BX815">
        <f t="shared" si="1584"/>
        <v>0</v>
      </c>
      <c r="BY815">
        <f t="shared" si="1584"/>
        <v>0</v>
      </c>
      <c r="BZ815">
        <f t="shared" si="1584"/>
        <v>0</v>
      </c>
      <c r="CA815">
        <f t="shared" si="1584"/>
        <v>0</v>
      </c>
      <c r="CB815">
        <f t="shared" si="1584"/>
        <v>0</v>
      </c>
      <c r="CC815">
        <f t="shared" si="1585"/>
        <v>0</v>
      </c>
      <c r="CD815">
        <f t="shared" si="1585"/>
        <v>0</v>
      </c>
      <c r="CE815">
        <f t="shared" si="1585"/>
        <v>0</v>
      </c>
      <c r="CF815">
        <f t="shared" si="1585"/>
        <v>0</v>
      </c>
      <c r="CG815">
        <f t="shared" si="1585"/>
        <v>0</v>
      </c>
      <c r="CH815">
        <f t="shared" si="1585"/>
        <v>0</v>
      </c>
      <c r="CI815">
        <f t="shared" si="1585"/>
        <v>0</v>
      </c>
      <c r="CJ815">
        <f t="shared" si="1585"/>
        <v>0</v>
      </c>
      <c r="CK815">
        <f t="shared" si="1585"/>
        <v>0</v>
      </c>
      <c r="CL815">
        <f t="shared" si="1585"/>
        <v>0</v>
      </c>
      <c r="CM815">
        <f t="shared" si="1586"/>
        <v>0</v>
      </c>
      <c r="CN815">
        <f t="shared" si="1586"/>
        <v>0</v>
      </c>
      <c r="CO815">
        <f t="shared" si="1586"/>
        <v>0</v>
      </c>
      <c r="CP815">
        <f t="shared" si="1586"/>
        <v>0</v>
      </c>
      <c r="CQ815">
        <f t="shared" si="1586"/>
        <v>0</v>
      </c>
      <c r="CR815">
        <f t="shared" si="1586"/>
        <v>0</v>
      </c>
      <c r="CS815">
        <f t="shared" si="1586"/>
        <v>0</v>
      </c>
      <c r="CT815">
        <f t="shared" si="1586"/>
        <v>0</v>
      </c>
      <c r="CU815">
        <f t="shared" si="1586"/>
        <v>0</v>
      </c>
      <c r="CV815">
        <f t="shared" si="1586"/>
        <v>0</v>
      </c>
      <c r="CW815">
        <f t="shared" si="1587"/>
        <v>0</v>
      </c>
      <c r="CX815">
        <f t="shared" si="1587"/>
        <v>0</v>
      </c>
      <c r="CY815">
        <f t="shared" si="1587"/>
        <v>0</v>
      </c>
      <c r="CZ815">
        <f t="shared" si="1587"/>
        <v>0</v>
      </c>
      <c r="DA815">
        <f t="shared" si="1587"/>
        <v>0</v>
      </c>
      <c r="DB815">
        <f t="shared" si="1587"/>
        <v>0</v>
      </c>
      <c r="DC815">
        <f t="shared" si="1587"/>
        <v>0</v>
      </c>
      <c r="DD815">
        <f t="shared" si="1587"/>
        <v>0</v>
      </c>
      <c r="DE815">
        <f t="shared" si="1587"/>
        <v>0</v>
      </c>
      <c r="DF815">
        <f t="shared" si="1587"/>
        <v>0</v>
      </c>
      <c r="DG815">
        <f t="shared" si="1588"/>
        <v>0</v>
      </c>
      <c r="DH815">
        <f t="shared" si="1588"/>
        <v>0</v>
      </c>
      <c r="DI815">
        <f t="shared" si="1588"/>
        <v>0</v>
      </c>
      <c r="DJ815">
        <f t="shared" si="1588"/>
        <v>0</v>
      </c>
      <c r="DK815">
        <f t="shared" si="1588"/>
        <v>0</v>
      </c>
      <c r="DL815">
        <f t="shared" si="1588"/>
        <v>0</v>
      </c>
      <c r="DM815">
        <f t="shared" si="1590"/>
        <v>0</v>
      </c>
      <c r="DN815">
        <f t="shared" si="1590"/>
        <v>0</v>
      </c>
      <c r="DO815">
        <f t="shared" si="1589"/>
        <v>0</v>
      </c>
      <c r="DP815">
        <f t="shared" si="1589"/>
        <v>0</v>
      </c>
      <c r="DQ815">
        <f t="shared" si="1589"/>
        <v>0</v>
      </c>
      <c r="DR815">
        <f t="shared" si="1589"/>
        <v>0</v>
      </c>
      <c r="DS815">
        <f t="shared" si="1589"/>
        <v>0</v>
      </c>
      <c r="DT815">
        <f t="shared" si="1589"/>
        <v>0</v>
      </c>
      <c r="DU815">
        <f t="shared" si="1589"/>
        <v>0</v>
      </c>
      <c r="DV815">
        <f t="shared" si="1589"/>
        <v>0</v>
      </c>
      <c r="DW815">
        <f t="shared" si="1589"/>
        <v>0</v>
      </c>
      <c r="DX815">
        <f t="shared" si="1589"/>
        <v>0</v>
      </c>
      <c r="DY815">
        <f t="shared" si="1589"/>
        <v>0</v>
      </c>
      <c r="DZ815">
        <f t="shared" si="1589"/>
        <v>0</v>
      </c>
      <c r="EA815">
        <f t="shared" si="1583"/>
        <v>0</v>
      </c>
      <c r="EB815">
        <f t="shared" si="1583"/>
        <v>0</v>
      </c>
      <c r="EC815">
        <f t="shared" si="1583"/>
        <v>0</v>
      </c>
      <c r="ED815">
        <f t="shared" si="1583"/>
        <v>0</v>
      </c>
      <c r="EE815">
        <f t="shared" si="1583"/>
        <v>0</v>
      </c>
      <c r="EF815">
        <f t="shared" si="1583"/>
        <v>0</v>
      </c>
    </row>
    <row r="816" spans="1:136" ht="15.5">
      <c r="A816" s="90"/>
      <c r="B816" s="53" t="s">
        <v>21</v>
      </c>
      <c r="C816" s="94"/>
      <c r="D816" s="18">
        <v>0</v>
      </c>
      <c r="E816" s="18">
        <v>0</v>
      </c>
      <c r="F816" s="18">
        <v>0</v>
      </c>
      <c r="G816" s="18">
        <v>0</v>
      </c>
      <c r="H816" s="18">
        <v>384</v>
      </c>
      <c r="I816" s="18">
        <v>0</v>
      </c>
      <c r="J816" s="18">
        <v>0</v>
      </c>
      <c r="K816" s="18">
        <v>0</v>
      </c>
      <c r="L816" s="18">
        <v>0</v>
      </c>
      <c r="M816" s="18">
        <v>0</v>
      </c>
      <c r="N816" s="18">
        <v>0</v>
      </c>
      <c r="O816" s="18">
        <v>0</v>
      </c>
      <c r="P816" s="18">
        <v>0</v>
      </c>
      <c r="Q816" s="18">
        <v>0</v>
      </c>
      <c r="R816" s="18">
        <v>0</v>
      </c>
      <c r="S816" s="18">
        <v>0</v>
      </c>
      <c r="T816" s="18">
        <v>0</v>
      </c>
      <c r="U816" s="18">
        <v>0</v>
      </c>
      <c r="V816" s="18">
        <v>0</v>
      </c>
      <c r="W816" s="18">
        <v>0</v>
      </c>
      <c r="X816" s="18">
        <v>0</v>
      </c>
      <c r="Y816" s="18">
        <v>0</v>
      </c>
      <c r="Z816" s="18">
        <v>0</v>
      </c>
      <c r="AA816" s="18">
        <v>0</v>
      </c>
      <c r="AB816" s="18">
        <v>381</v>
      </c>
      <c r="AC816" s="18">
        <v>0</v>
      </c>
      <c r="AD816" s="18">
        <v>0</v>
      </c>
      <c r="AE816" s="18">
        <v>1339</v>
      </c>
      <c r="AF816" s="18">
        <v>0</v>
      </c>
      <c r="AG816" s="18">
        <v>0</v>
      </c>
      <c r="AH816" s="18">
        <v>0</v>
      </c>
      <c r="AI816" s="18">
        <v>0</v>
      </c>
      <c r="AJ816" s="18">
        <v>0</v>
      </c>
      <c r="AK816" s="18">
        <v>0</v>
      </c>
      <c r="AL816" s="18">
        <v>0</v>
      </c>
      <c r="AM816" s="18">
        <v>0</v>
      </c>
      <c r="AN816" s="18">
        <v>0</v>
      </c>
      <c r="AO816" s="18">
        <v>0</v>
      </c>
      <c r="AP816" s="18">
        <v>0</v>
      </c>
      <c r="AQ816" s="18">
        <v>0</v>
      </c>
      <c r="AR816" s="18">
        <v>0</v>
      </c>
      <c r="AS816" s="18">
        <v>0</v>
      </c>
      <c r="AT816" s="18">
        <v>0</v>
      </c>
      <c r="AU816" s="18">
        <v>0</v>
      </c>
      <c r="AV816" s="18">
        <v>0</v>
      </c>
      <c r="AW816" s="18">
        <v>0</v>
      </c>
      <c r="AX816" s="18">
        <v>0</v>
      </c>
      <c r="AY816" s="18">
        <v>0</v>
      </c>
      <c r="AZ816" s="18">
        <v>0</v>
      </c>
      <c r="BA816" s="18">
        <v>0</v>
      </c>
      <c r="BB816" s="18">
        <v>0</v>
      </c>
      <c r="BC816" s="18">
        <v>0</v>
      </c>
      <c r="BD816" s="18">
        <v>0</v>
      </c>
      <c r="BE816" s="25">
        <v>0</v>
      </c>
      <c r="BF816" s="18">
        <v>0</v>
      </c>
      <c r="BG816" s="18">
        <v>0</v>
      </c>
      <c r="BH816" s="113">
        <v>0</v>
      </c>
      <c r="BI816" s="113">
        <v>0</v>
      </c>
      <c r="BJ816" s="113">
        <v>0</v>
      </c>
      <c r="BK816" s="113">
        <v>0</v>
      </c>
      <c r="BL816" s="113">
        <v>0</v>
      </c>
      <c r="BM816" s="113">
        <v>0</v>
      </c>
      <c r="BN816" s="113">
        <v>0</v>
      </c>
      <c r="BO816" s="113">
        <v>0</v>
      </c>
      <c r="BP816" s="113">
        <v>0</v>
      </c>
      <c r="BQ816" s="113">
        <v>0</v>
      </c>
      <c r="BR816" s="101"/>
      <c r="BS816">
        <f t="shared" si="1584"/>
        <v>0</v>
      </c>
      <c r="BT816">
        <f t="shared" si="1584"/>
        <v>0</v>
      </c>
      <c r="BU816">
        <f t="shared" si="1584"/>
        <v>0</v>
      </c>
      <c r="BV816">
        <f t="shared" si="1584"/>
        <v>0</v>
      </c>
      <c r="BW816">
        <f t="shared" si="1584"/>
        <v>0</v>
      </c>
      <c r="BX816">
        <f t="shared" si="1584"/>
        <v>0</v>
      </c>
      <c r="BY816">
        <f t="shared" si="1584"/>
        <v>0</v>
      </c>
      <c r="BZ816">
        <f t="shared" si="1584"/>
        <v>0</v>
      </c>
      <c r="CA816">
        <f t="shared" si="1584"/>
        <v>0</v>
      </c>
      <c r="CB816">
        <f t="shared" si="1584"/>
        <v>0</v>
      </c>
      <c r="CC816">
        <f t="shared" si="1585"/>
        <v>0</v>
      </c>
      <c r="CD816">
        <f t="shared" si="1585"/>
        <v>0</v>
      </c>
      <c r="CE816">
        <f t="shared" si="1585"/>
        <v>0</v>
      </c>
      <c r="CF816">
        <f t="shared" si="1585"/>
        <v>0</v>
      </c>
      <c r="CG816">
        <f t="shared" si="1585"/>
        <v>0</v>
      </c>
      <c r="CH816">
        <f t="shared" si="1585"/>
        <v>0</v>
      </c>
      <c r="CI816">
        <f t="shared" si="1585"/>
        <v>0</v>
      </c>
      <c r="CJ816">
        <f t="shared" si="1585"/>
        <v>0</v>
      </c>
      <c r="CK816">
        <f t="shared" si="1585"/>
        <v>0</v>
      </c>
      <c r="CL816">
        <f t="shared" si="1585"/>
        <v>0</v>
      </c>
      <c r="CM816">
        <f t="shared" si="1586"/>
        <v>0</v>
      </c>
      <c r="CN816">
        <f t="shared" si="1586"/>
        <v>0</v>
      </c>
      <c r="CO816">
        <f t="shared" si="1586"/>
        <v>0</v>
      </c>
      <c r="CP816">
        <f t="shared" si="1586"/>
        <v>0</v>
      </c>
      <c r="CQ816">
        <f t="shared" si="1586"/>
        <v>0</v>
      </c>
      <c r="CR816">
        <f t="shared" si="1586"/>
        <v>0</v>
      </c>
      <c r="CS816">
        <f t="shared" si="1586"/>
        <v>0</v>
      </c>
      <c r="CT816">
        <f t="shared" si="1586"/>
        <v>0</v>
      </c>
      <c r="CU816">
        <f t="shared" si="1586"/>
        <v>0</v>
      </c>
      <c r="CV816">
        <f t="shared" si="1586"/>
        <v>0</v>
      </c>
      <c r="CW816">
        <f t="shared" si="1587"/>
        <v>0</v>
      </c>
      <c r="CX816">
        <f t="shared" si="1587"/>
        <v>0</v>
      </c>
      <c r="CY816">
        <f t="shared" si="1587"/>
        <v>0</v>
      </c>
      <c r="CZ816">
        <f t="shared" si="1587"/>
        <v>0</v>
      </c>
      <c r="DA816">
        <f t="shared" si="1587"/>
        <v>0</v>
      </c>
      <c r="DB816">
        <f t="shared" si="1587"/>
        <v>0</v>
      </c>
      <c r="DC816">
        <f t="shared" si="1587"/>
        <v>0</v>
      </c>
      <c r="DD816">
        <f t="shared" si="1587"/>
        <v>0</v>
      </c>
      <c r="DE816">
        <f t="shared" si="1587"/>
        <v>0</v>
      </c>
      <c r="DF816">
        <f t="shared" si="1587"/>
        <v>0</v>
      </c>
      <c r="DG816">
        <f t="shared" si="1588"/>
        <v>0</v>
      </c>
      <c r="DH816">
        <f t="shared" si="1588"/>
        <v>0</v>
      </c>
      <c r="DI816">
        <f t="shared" si="1588"/>
        <v>0</v>
      </c>
      <c r="DJ816">
        <f t="shared" si="1588"/>
        <v>0</v>
      </c>
      <c r="DK816">
        <f t="shared" si="1588"/>
        <v>0</v>
      </c>
      <c r="DL816">
        <f t="shared" si="1588"/>
        <v>0</v>
      </c>
      <c r="DM816">
        <f t="shared" si="1590"/>
        <v>0</v>
      </c>
      <c r="DN816">
        <f t="shared" si="1590"/>
        <v>0</v>
      </c>
      <c r="DO816">
        <f t="shared" si="1589"/>
        <v>0</v>
      </c>
      <c r="DP816">
        <f t="shared" si="1589"/>
        <v>0</v>
      </c>
      <c r="DQ816">
        <f t="shared" si="1589"/>
        <v>0</v>
      </c>
      <c r="DR816">
        <f t="shared" si="1589"/>
        <v>0</v>
      </c>
      <c r="DS816">
        <f t="shared" si="1589"/>
        <v>0</v>
      </c>
      <c r="DT816">
        <f t="shared" si="1589"/>
        <v>0</v>
      </c>
      <c r="DU816">
        <f t="shared" si="1589"/>
        <v>0</v>
      </c>
      <c r="DV816">
        <f t="shared" si="1589"/>
        <v>0</v>
      </c>
      <c r="DW816">
        <f t="shared" si="1589"/>
        <v>0</v>
      </c>
      <c r="DX816">
        <f t="shared" si="1589"/>
        <v>0</v>
      </c>
      <c r="DY816">
        <f t="shared" si="1589"/>
        <v>0</v>
      </c>
      <c r="DZ816">
        <f t="shared" si="1589"/>
        <v>0</v>
      </c>
      <c r="EA816">
        <f t="shared" si="1583"/>
        <v>0</v>
      </c>
      <c r="EB816">
        <f t="shared" si="1583"/>
        <v>0</v>
      </c>
      <c r="EC816">
        <f t="shared" si="1583"/>
        <v>0</v>
      </c>
      <c r="ED816">
        <f t="shared" si="1583"/>
        <v>0</v>
      </c>
      <c r="EE816">
        <f t="shared" si="1583"/>
        <v>0</v>
      </c>
      <c r="EF816">
        <f t="shared" si="1583"/>
        <v>0</v>
      </c>
    </row>
    <row r="817" spans="1:136" ht="15.5">
      <c r="A817" s="90"/>
      <c r="B817" s="32"/>
      <c r="C817" s="94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  <c r="AQ817" s="18"/>
      <c r="AR817" s="18"/>
      <c r="AS817" s="18"/>
      <c r="AT817" s="18"/>
      <c r="AU817" s="18"/>
      <c r="AV817" s="18"/>
      <c r="AW817" s="18"/>
      <c r="AX817" s="18"/>
      <c r="AY817" s="18"/>
      <c r="AZ817" s="18"/>
      <c r="BA817" s="18"/>
      <c r="BB817" s="18"/>
      <c r="BC817" s="18"/>
      <c r="BD817" s="18"/>
      <c r="BE817" s="25"/>
      <c r="BF817" s="25"/>
      <c r="BG817" s="18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101"/>
    </row>
    <row r="818" spans="1:136" ht="15.5">
      <c r="A818" s="93">
        <v>103</v>
      </c>
      <c r="B818" s="32" t="s">
        <v>215</v>
      </c>
      <c r="C818" s="94">
        <v>3</v>
      </c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22">
        <f t="shared" ref="AH818:AN818" si="1591">AH819</f>
        <v>0</v>
      </c>
      <c r="AI818" s="22">
        <f t="shared" si="1591"/>
        <v>0</v>
      </c>
      <c r="AJ818" s="22">
        <f t="shared" si="1591"/>
        <v>0</v>
      </c>
      <c r="AK818" s="22">
        <f t="shared" si="1591"/>
        <v>0</v>
      </c>
      <c r="AL818" s="22">
        <f t="shared" si="1591"/>
        <v>0</v>
      </c>
      <c r="AM818" s="22">
        <f t="shared" si="1591"/>
        <v>0</v>
      </c>
      <c r="AN818" s="22">
        <f t="shared" si="1591"/>
        <v>0</v>
      </c>
      <c r="AO818" s="22">
        <f t="shared" ref="AO818:BQ818" si="1592">SUM(AO819)</f>
        <v>6.317365269461078</v>
      </c>
      <c r="AP818" s="22">
        <f t="shared" si="1592"/>
        <v>0</v>
      </c>
      <c r="AQ818" s="22">
        <f t="shared" si="1592"/>
        <v>0</v>
      </c>
      <c r="AR818" s="22">
        <f t="shared" si="1592"/>
        <v>0</v>
      </c>
      <c r="AS818" s="22">
        <f t="shared" si="1592"/>
        <v>0</v>
      </c>
      <c r="AT818" s="22">
        <f t="shared" si="1592"/>
        <v>0</v>
      </c>
      <c r="AU818" s="22">
        <f t="shared" si="1592"/>
        <v>0</v>
      </c>
      <c r="AV818" s="22">
        <f t="shared" si="1592"/>
        <v>0</v>
      </c>
      <c r="AW818" s="22">
        <f t="shared" si="1592"/>
        <v>0</v>
      </c>
      <c r="AX818" s="22">
        <f t="shared" si="1592"/>
        <v>0</v>
      </c>
      <c r="AY818" s="22">
        <f t="shared" si="1592"/>
        <v>0</v>
      </c>
      <c r="AZ818" s="22">
        <f t="shared" si="1592"/>
        <v>0</v>
      </c>
      <c r="BA818" s="22">
        <f t="shared" si="1592"/>
        <v>0</v>
      </c>
      <c r="BB818" s="22">
        <f t="shared" si="1592"/>
        <v>0</v>
      </c>
      <c r="BC818" s="22">
        <f t="shared" si="1592"/>
        <v>0</v>
      </c>
      <c r="BD818" s="22">
        <f t="shared" si="1592"/>
        <v>0</v>
      </c>
      <c r="BE818" s="22">
        <f t="shared" si="1592"/>
        <v>0</v>
      </c>
      <c r="BF818" s="22">
        <f t="shared" si="1592"/>
        <v>0</v>
      </c>
      <c r="BG818" s="22">
        <f t="shared" si="1592"/>
        <v>0</v>
      </c>
      <c r="BH818" s="22">
        <f t="shared" si="1592"/>
        <v>0</v>
      </c>
      <c r="BI818" s="22">
        <f t="shared" si="1592"/>
        <v>0</v>
      </c>
      <c r="BJ818" s="22">
        <f t="shared" si="1592"/>
        <v>0</v>
      </c>
      <c r="BK818" s="22">
        <f t="shared" si="1592"/>
        <v>0</v>
      </c>
      <c r="BL818" s="22">
        <f t="shared" si="1592"/>
        <v>0</v>
      </c>
      <c r="BM818" s="22">
        <f t="shared" si="1592"/>
        <v>0</v>
      </c>
      <c r="BN818" s="22">
        <f t="shared" si="1592"/>
        <v>0</v>
      </c>
      <c r="BO818" s="22">
        <f t="shared" si="1592"/>
        <v>0</v>
      </c>
      <c r="BP818" s="22">
        <f t="shared" si="1592"/>
        <v>0</v>
      </c>
      <c r="BQ818" s="22">
        <f t="shared" si="1592"/>
        <v>0</v>
      </c>
      <c r="BR818" s="101"/>
      <c r="BS818">
        <f t="shared" ref="BS818:CB820" si="1593">IF($C818&lt;&gt;"",IF(D818&gt;0,1,0),0)</f>
        <v>0</v>
      </c>
      <c r="BT818">
        <f t="shared" si="1593"/>
        <v>0</v>
      </c>
      <c r="BU818">
        <f t="shared" si="1593"/>
        <v>0</v>
      </c>
      <c r="BV818">
        <f t="shared" si="1593"/>
        <v>0</v>
      </c>
      <c r="BW818">
        <f t="shared" si="1593"/>
        <v>0</v>
      </c>
      <c r="BX818">
        <f t="shared" si="1593"/>
        <v>0</v>
      </c>
      <c r="BY818">
        <f t="shared" si="1593"/>
        <v>0</v>
      </c>
      <c r="BZ818">
        <f t="shared" si="1593"/>
        <v>0</v>
      </c>
      <c r="CA818">
        <f t="shared" si="1593"/>
        <v>0</v>
      </c>
      <c r="CB818">
        <f t="shared" si="1593"/>
        <v>0</v>
      </c>
      <c r="CC818">
        <f t="shared" ref="CC818:CL820" si="1594">IF($C818&lt;&gt;"",IF(N818&gt;0,1,0),0)</f>
        <v>0</v>
      </c>
      <c r="CD818">
        <f t="shared" si="1594"/>
        <v>0</v>
      </c>
      <c r="CE818">
        <f t="shared" si="1594"/>
        <v>0</v>
      </c>
      <c r="CF818">
        <f t="shared" si="1594"/>
        <v>0</v>
      </c>
      <c r="CG818">
        <f t="shared" si="1594"/>
        <v>0</v>
      </c>
      <c r="CH818">
        <f t="shared" si="1594"/>
        <v>0</v>
      </c>
      <c r="CI818">
        <f t="shared" si="1594"/>
        <v>0</v>
      </c>
      <c r="CJ818">
        <f t="shared" si="1594"/>
        <v>0</v>
      </c>
      <c r="CK818">
        <f t="shared" si="1594"/>
        <v>0</v>
      </c>
      <c r="CL818">
        <f t="shared" si="1594"/>
        <v>0</v>
      </c>
      <c r="CM818">
        <f t="shared" ref="CM818:CV820" si="1595">IF($C818&lt;&gt;"",IF(X818&gt;0,1,0),0)</f>
        <v>0</v>
      </c>
      <c r="CN818">
        <f t="shared" si="1595"/>
        <v>0</v>
      </c>
      <c r="CO818">
        <f t="shared" si="1595"/>
        <v>0</v>
      </c>
      <c r="CP818">
        <f t="shared" si="1595"/>
        <v>0</v>
      </c>
      <c r="CQ818">
        <f t="shared" si="1595"/>
        <v>0</v>
      </c>
      <c r="CR818">
        <f t="shared" si="1595"/>
        <v>0</v>
      </c>
      <c r="CS818">
        <f t="shared" si="1595"/>
        <v>0</v>
      </c>
      <c r="CT818">
        <f t="shared" si="1595"/>
        <v>0</v>
      </c>
      <c r="CU818">
        <f t="shared" si="1595"/>
        <v>0</v>
      </c>
      <c r="CV818">
        <f t="shared" si="1595"/>
        <v>0</v>
      </c>
      <c r="CW818">
        <f t="shared" ref="CW818:DF820" si="1596">IF($C818&lt;&gt;"",IF(AH818&gt;0,1,0),0)</f>
        <v>0</v>
      </c>
      <c r="CX818">
        <f t="shared" si="1596"/>
        <v>0</v>
      </c>
      <c r="CY818">
        <f t="shared" si="1596"/>
        <v>0</v>
      </c>
      <c r="CZ818">
        <f t="shared" si="1596"/>
        <v>0</v>
      </c>
      <c r="DA818">
        <f t="shared" si="1596"/>
        <v>0</v>
      </c>
      <c r="DB818">
        <f t="shared" si="1596"/>
        <v>0</v>
      </c>
      <c r="DC818">
        <f t="shared" si="1596"/>
        <v>0</v>
      </c>
      <c r="DD818">
        <f t="shared" si="1596"/>
        <v>1</v>
      </c>
      <c r="DE818">
        <f t="shared" si="1596"/>
        <v>0</v>
      </c>
      <c r="DF818">
        <f t="shared" si="1596"/>
        <v>0</v>
      </c>
      <c r="DG818">
        <f t="shared" ref="DG818:DP820" si="1597">IF($C818&lt;&gt;"",IF(AR818&gt;0,1,0),0)</f>
        <v>0</v>
      </c>
      <c r="DH818">
        <f t="shared" si="1597"/>
        <v>0</v>
      </c>
      <c r="DI818">
        <f t="shared" si="1597"/>
        <v>0</v>
      </c>
      <c r="DJ818">
        <f t="shared" si="1597"/>
        <v>0</v>
      </c>
      <c r="DK818">
        <f t="shared" si="1597"/>
        <v>0</v>
      </c>
      <c r="DL818">
        <f t="shared" si="1597"/>
        <v>0</v>
      </c>
      <c r="DM818">
        <f t="shared" si="1597"/>
        <v>0</v>
      </c>
      <c r="DN818">
        <f t="shared" si="1597"/>
        <v>0</v>
      </c>
      <c r="DO818">
        <f t="shared" si="1597"/>
        <v>0</v>
      </c>
      <c r="DP818">
        <f t="shared" si="1597"/>
        <v>0</v>
      </c>
      <c r="DQ818">
        <f t="shared" ref="DQ818:DZ820" si="1598">IF($C818&lt;&gt;"",IF(BB818&gt;0,1,0),0)</f>
        <v>0</v>
      </c>
      <c r="DR818">
        <f t="shared" si="1598"/>
        <v>0</v>
      </c>
      <c r="DS818">
        <f t="shared" si="1598"/>
        <v>0</v>
      </c>
      <c r="DT818">
        <f t="shared" si="1598"/>
        <v>0</v>
      </c>
      <c r="DU818">
        <f t="shared" si="1598"/>
        <v>0</v>
      </c>
      <c r="DV818">
        <f t="shared" si="1598"/>
        <v>0</v>
      </c>
      <c r="DW818">
        <f t="shared" si="1598"/>
        <v>0</v>
      </c>
      <c r="DX818">
        <f t="shared" si="1598"/>
        <v>0</v>
      </c>
      <c r="DY818">
        <f t="shared" si="1598"/>
        <v>0</v>
      </c>
      <c r="DZ818">
        <f t="shared" si="1598"/>
        <v>0</v>
      </c>
      <c r="EA818">
        <f t="shared" ref="EA818:EF820" si="1599">IF($C818&lt;&gt;"",IF(BL818&gt;0,1,0),0)</f>
        <v>0</v>
      </c>
      <c r="EB818">
        <f t="shared" si="1599"/>
        <v>0</v>
      </c>
      <c r="EC818">
        <f t="shared" si="1599"/>
        <v>0</v>
      </c>
      <c r="ED818">
        <f t="shared" si="1599"/>
        <v>0</v>
      </c>
      <c r="EE818">
        <f t="shared" si="1599"/>
        <v>0</v>
      </c>
      <c r="EF818">
        <f t="shared" si="1599"/>
        <v>0</v>
      </c>
    </row>
    <row r="819" spans="1:136" ht="15.5">
      <c r="A819" s="90"/>
      <c r="B819" s="19" t="s">
        <v>3</v>
      </c>
      <c r="C819" s="94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>
        <v>0</v>
      </c>
      <c r="AI819" s="18">
        <v>0</v>
      </c>
      <c r="AJ819" s="18">
        <v>0</v>
      </c>
      <c r="AK819" s="18">
        <v>0</v>
      </c>
      <c r="AL819" s="18">
        <v>0</v>
      </c>
      <c r="AM819" s="18">
        <v>0</v>
      </c>
      <c r="AN819" s="18">
        <v>0</v>
      </c>
      <c r="AO819" s="18">
        <f>844/133.6</f>
        <v>6.317365269461078</v>
      </c>
      <c r="AP819" s="18">
        <v>0</v>
      </c>
      <c r="AQ819" s="18">
        <v>0</v>
      </c>
      <c r="AR819" s="18">
        <v>0</v>
      </c>
      <c r="AS819" s="18">
        <v>0</v>
      </c>
      <c r="AT819" s="18">
        <v>0</v>
      </c>
      <c r="AU819" s="18">
        <v>0</v>
      </c>
      <c r="AV819" s="18">
        <v>0</v>
      </c>
      <c r="AW819" s="18">
        <v>0</v>
      </c>
      <c r="AX819" s="18">
        <v>0</v>
      </c>
      <c r="AY819" s="18">
        <v>0</v>
      </c>
      <c r="AZ819" s="18">
        <v>0</v>
      </c>
      <c r="BA819" s="18">
        <v>0</v>
      </c>
      <c r="BB819" s="18">
        <v>0</v>
      </c>
      <c r="BC819" s="18">
        <v>0</v>
      </c>
      <c r="BD819" s="18">
        <v>0</v>
      </c>
      <c r="BE819" s="18">
        <v>0</v>
      </c>
      <c r="BF819" s="18">
        <v>0</v>
      </c>
      <c r="BG819" s="18">
        <v>0</v>
      </c>
      <c r="BH819" s="18">
        <v>0</v>
      </c>
      <c r="BI819" s="18">
        <v>0</v>
      </c>
      <c r="BJ819" s="18">
        <v>0</v>
      </c>
      <c r="BK819" s="18">
        <v>0</v>
      </c>
      <c r="BL819" s="18">
        <v>0</v>
      </c>
      <c r="BM819" s="18">
        <v>0</v>
      </c>
      <c r="BN819" s="18">
        <v>0</v>
      </c>
      <c r="BO819" s="18">
        <v>0</v>
      </c>
      <c r="BP819" s="18">
        <v>0</v>
      </c>
      <c r="BQ819" s="18">
        <v>0</v>
      </c>
      <c r="BR819" s="101"/>
      <c r="BS819">
        <f t="shared" si="1593"/>
        <v>0</v>
      </c>
      <c r="BT819">
        <f t="shared" si="1593"/>
        <v>0</v>
      </c>
      <c r="BU819">
        <f t="shared" si="1593"/>
        <v>0</v>
      </c>
      <c r="BV819">
        <f t="shared" si="1593"/>
        <v>0</v>
      </c>
      <c r="BW819">
        <f t="shared" si="1593"/>
        <v>0</v>
      </c>
      <c r="BX819">
        <f t="shared" si="1593"/>
        <v>0</v>
      </c>
      <c r="BY819">
        <f t="shared" si="1593"/>
        <v>0</v>
      </c>
      <c r="BZ819">
        <f t="shared" si="1593"/>
        <v>0</v>
      </c>
      <c r="CA819">
        <f t="shared" si="1593"/>
        <v>0</v>
      </c>
      <c r="CB819">
        <f t="shared" si="1593"/>
        <v>0</v>
      </c>
      <c r="CC819">
        <f t="shared" si="1594"/>
        <v>0</v>
      </c>
      <c r="CD819">
        <f t="shared" si="1594"/>
        <v>0</v>
      </c>
      <c r="CE819">
        <f t="shared" si="1594"/>
        <v>0</v>
      </c>
      <c r="CF819">
        <f t="shared" si="1594"/>
        <v>0</v>
      </c>
      <c r="CG819">
        <f t="shared" si="1594"/>
        <v>0</v>
      </c>
      <c r="CH819">
        <f t="shared" si="1594"/>
        <v>0</v>
      </c>
      <c r="CI819">
        <f t="shared" si="1594"/>
        <v>0</v>
      </c>
      <c r="CJ819">
        <f t="shared" si="1594"/>
        <v>0</v>
      </c>
      <c r="CK819">
        <f t="shared" si="1594"/>
        <v>0</v>
      </c>
      <c r="CL819">
        <f t="shared" si="1594"/>
        <v>0</v>
      </c>
      <c r="CM819">
        <f t="shared" si="1595"/>
        <v>0</v>
      </c>
      <c r="CN819">
        <f t="shared" si="1595"/>
        <v>0</v>
      </c>
      <c r="CO819">
        <f t="shared" si="1595"/>
        <v>0</v>
      </c>
      <c r="CP819">
        <f t="shared" si="1595"/>
        <v>0</v>
      </c>
      <c r="CQ819">
        <f t="shared" si="1595"/>
        <v>0</v>
      </c>
      <c r="CR819">
        <f t="shared" si="1595"/>
        <v>0</v>
      </c>
      <c r="CS819">
        <f t="shared" si="1595"/>
        <v>0</v>
      </c>
      <c r="CT819">
        <f t="shared" si="1595"/>
        <v>0</v>
      </c>
      <c r="CU819">
        <f t="shared" si="1595"/>
        <v>0</v>
      </c>
      <c r="CV819">
        <f t="shared" si="1595"/>
        <v>0</v>
      </c>
      <c r="CW819">
        <f t="shared" si="1596"/>
        <v>0</v>
      </c>
      <c r="CX819">
        <f t="shared" si="1596"/>
        <v>0</v>
      </c>
      <c r="CY819">
        <f t="shared" si="1596"/>
        <v>0</v>
      </c>
      <c r="CZ819">
        <f t="shared" si="1596"/>
        <v>0</v>
      </c>
      <c r="DA819">
        <f t="shared" si="1596"/>
        <v>0</v>
      </c>
      <c r="DB819">
        <f t="shared" si="1596"/>
        <v>0</v>
      </c>
      <c r="DC819">
        <f t="shared" si="1596"/>
        <v>0</v>
      </c>
      <c r="DD819">
        <f t="shared" si="1596"/>
        <v>0</v>
      </c>
      <c r="DE819">
        <f t="shared" si="1596"/>
        <v>0</v>
      </c>
      <c r="DF819">
        <f t="shared" si="1596"/>
        <v>0</v>
      </c>
      <c r="DG819">
        <f t="shared" si="1597"/>
        <v>0</v>
      </c>
      <c r="DH819">
        <f t="shared" si="1597"/>
        <v>0</v>
      </c>
      <c r="DI819">
        <f t="shared" si="1597"/>
        <v>0</v>
      </c>
      <c r="DJ819">
        <f t="shared" si="1597"/>
        <v>0</v>
      </c>
      <c r="DK819">
        <f t="shared" si="1597"/>
        <v>0</v>
      </c>
      <c r="DL819">
        <f t="shared" si="1597"/>
        <v>0</v>
      </c>
      <c r="DM819">
        <f t="shared" si="1597"/>
        <v>0</v>
      </c>
      <c r="DN819">
        <f t="shared" si="1597"/>
        <v>0</v>
      </c>
      <c r="DO819">
        <f t="shared" si="1597"/>
        <v>0</v>
      </c>
      <c r="DP819">
        <f t="shared" si="1597"/>
        <v>0</v>
      </c>
      <c r="DQ819">
        <f t="shared" si="1598"/>
        <v>0</v>
      </c>
      <c r="DR819">
        <f t="shared" si="1598"/>
        <v>0</v>
      </c>
      <c r="DS819">
        <f t="shared" si="1598"/>
        <v>0</v>
      </c>
      <c r="DT819">
        <f t="shared" si="1598"/>
        <v>0</v>
      </c>
      <c r="DU819">
        <f t="shared" si="1598"/>
        <v>0</v>
      </c>
      <c r="DV819">
        <f t="shared" si="1598"/>
        <v>0</v>
      </c>
      <c r="DW819">
        <f t="shared" si="1598"/>
        <v>0</v>
      </c>
      <c r="DX819">
        <f t="shared" si="1598"/>
        <v>0</v>
      </c>
      <c r="DY819">
        <f t="shared" si="1598"/>
        <v>0</v>
      </c>
      <c r="DZ819">
        <f t="shared" si="1598"/>
        <v>0</v>
      </c>
      <c r="EA819">
        <f t="shared" si="1599"/>
        <v>0</v>
      </c>
      <c r="EB819">
        <f t="shared" si="1599"/>
        <v>0</v>
      </c>
      <c r="EC819">
        <f t="shared" si="1599"/>
        <v>0</v>
      </c>
      <c r="ED819">
        <f t="shared" si="1599"/>
        <v>0</v>
      </c>
      <c r="EE819">
        <f t="shared" si="1599"/>
        <v>0</v>
      </c>
      <c r="EF819">
        <f t="shared" si="1599"/>
        <v>0</v>
      </c>
    </row>
    <row r="820" spans="1:136" ht="15.5">
      <c r="A820" s="90"/>
      <c r="B820" s="53" t="s">
        <v>212</v>
      </c>
      <c r="C820" s="94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>
        <v>0</v>
      </c>
      <c r="AI820" s="18">
        <v>0</v>
      </c>
      <c r="AJ820" s="18">
        <v>0</v>
      </c>
      <c r="AK820" s="18">
        <v>0</v>
      </c>
      <c r="AL820" s="18">
        <v>0</v>
      </c>
      <c r="AM820" s="18">
        <v>0</v>
      </c>
      <c r="AN820" s="18">
        <v>0</v>
      </c>
      <c r="AO820" s="18">
        <v>0</v>
      </c>
      <c r="AP820" s="18">
        <v>0</v>
      </c>
      <c r="AQ820" s="18">
        <v>0</v>
      </c>
      <c r="AR820" s="18">
        <v>0</v>
      </c>
      <c r="AS820" s="18">
        <v>0</v>
      </c>
      <c r="AT820" s="18">
        <v>0</v>
      </c>
      <c r="AU820" s="18">
        <v>0</v>
      </c>
      <c r="AV820" s="18">
        <v>0</v>
      </c>
      <c r="AW820" s="18">
        <v>0</v>
      </c>
      <c r="AX820" s="18">
        <v>0</v>
      </c>
      <c r="AY820" s="18">
        <v>0</v>
      </c>
      <c r="AZ820" s="18">
        <v>0</v>
      </c>
      <c r="BA820" s="18">
        <v>0</v>
      </c>
      <c r="BB820" s="18">
        <v>0</v>
      </c>
      <c r="BC820" s="18">
        <v>0</v>
      </c>
      <c r="BD820" s="18">
        <v>0</v>
      </c>
      <c r="BE820" s="25">
        <v>0</v>
      </c>
      <c r="BF820" s="18">
        <v>0</v>
      </c>
      <c r="BG820" s="18">
        <v>0</v>
      </c>
      <c r="BH820" s="113">
        <v>276.19728377412434</v>
      </c>
      <c r="BI820" s="113">
        <v>0</v>
      </c>
      <c r="BJ820" s="113">
        <v>0</v>
      </c>
      <c r="BK820" s="113">
        <v>271.04136947218262</v>
      </c>
      <c r="BL820" s="113">
        <v>0</v>
      </c>
      <c r="BM820" s="113">
        <v>0</v>
      </c>
      <c r="BN820" s="113">
        <v>0</v>
      </c>
      <c r="BO820" s="113">
        <v>0</v>
      </c>
      <c r="BP820" s="113">
        <v>0</v>
      </c>
      <c r="BQ820" s="113">
        <v>0</v>
      </c>
      <c r="BR820" s="101"/>
      <c r="BS820">
        <f t="shared" si="1593"/>
        <v>0</v>
      </c>
      <c r="BT820">
        <f t="shared" si="1593"/>
        <v>0</v>
      </c>
      <c r="BU820">
        <f t="shared" si="1593"/>
        <v>0</v>
      </c>
      <c r="BV820">
        <f t="shared" si="1593"/>
        <v>0</v>
      </c>
      <c r="BW820">
        <f t="shared" si="1593"/>
        <v>0</v>
      </c>
      <c r="BX820">
        <f t="shared" si="1593"/>
        <v>0</v>
      </c>
      <c r="BY820">
        <f t="shared" si="1593"/>
        <v>0</v>
      </c>
      <c r="BZ820">
        <f t="shared" si="1593"/>
        <v>0</v>
      </c>
      <c r="CA820">
        <f t="shared" si="1593"/>
        <v>0</v>
      </c>
      <c r="CB820">
        <f t="shared" si="1593"/>
        <v>0</v>
      </c>
      <c r="CC820">
        <f t="shared" si="1594"/>
        <v>0</v>
      </c>
      <c r="CD820">
        <f t="shared" si="1594"/>
        <v>0</v>
      </c>
      <c r="CE820">
        <f t="shared" si="1594"/>
        <v>0</v>
      </c>
      <c r="CF820">
        <f t="shared" si="1594"/>
        <v>0</v>
      </c>
      <c r="CG820">
        <f t="shared" si="1594"/>
        <v>0</v>
      </c>
      <c r="CH820">
        <f t="shared" si="1594"/>
        <v>0</v>
      </c>
      <c r="CI820">
        <f t="shared" si="1594"/>
        <v>0</v>
      </c>
      <c r="CJ820">
        <f t="shared" si="1594"/>
        <v>0</v>
      </c>
      <c r="CK820">
        <f t="shared" si="1594"/>
        <v>0</v>
      </c>
      <c r="CL820">
        <f t="shared" si="1594"/>
        <v>0</v>
      </c>
      <c r="CM820">
        <f t="shared" si="1595"/>
        <v>0</v>
      </c>
      <c r="CN820">
        <f t="shared" si="1595"/>
        <v>0</v>
      </c>
      <c r="CO820">
        <f t="shared" si="1595"/>
        <v>0</v>
      </c>
      <c r="CP820">
        <f t="shared" si="1595"/>
        <v>0</v>
      </c>
      <c r="CQ820">
        <f t="shared" si="1595"/>
        <v>0</v>
      </c>
      <c r="CR820">
        <f t="shared" si="1595"/>
        <v>0</v>
      </c>
      <c r="CS820">
        <f t="shared" si="1595"/>
        <v>0</v>
      </c>
      <c r="CT820">
        <f t="shared" si="1595"/>
        <v>0</v>
      </c>
      <c r="CU820">
        <f t="shared" si="1595"/>
        <v>0</v>
      </c>
      <c r="CV820">
        <f t="shared" si="1595"/>
        <v>0</v>
      </c>
      <c r="CW820">
        <f t="shared" si="1596"/>
        <v>0</v>
      </c>
      <c r="CX820">
        <f t="shared" si="1596"/>
        <v>0</v>
      </c>
      <c r="CY820">
        <f t="shared" si="1596"/>
        <v>0</v>
      </c>
      <c r="CZ820">
        <f t="shared" si="1596"/>
        <v>0</v>
      </c>
      <c r="DA820">
        <f t="shared" si="1596"/>
        <v>0</v>
      </c>
      <c r="DB820">
        <f t="shared" si="1596"/>
        <v>0</v>
      </c>
      <c r="DC820">
        <f t="shared" si="1596"/>
        <v>0</v>
      </c>
      <c r="DD820">
        <f t="shared" si="1596"/>
        <v>0</v>
      </c>
      <c r="DE820">
        <f t="shared" si="1596"/>
        <v>0</v>
      </c>
      <c r="DF820">
        <f t="shared" si="1596"/>
        <v>0</v>
      </c>
      <c r="DG820">
        <f t="shared" si="1597"/>
        <v>0</v>
      </c>
      <c r="DH820">
        <f t="shared" si="1597"/>
        <v>0</v>
      </c>
      <c r="DI820">
        <f t="shared" si="1597"/>
        <v>0</v>
      </c>
      <c r="DJ820">
        <f t="shared" si="1597"/>
        <v>0</v>
      </c>
      <c r="DK820">
        <f t="shared" si="1597"/>
        <v>0</v>
      </c>
      <c r="DL820">
        <f t="shared" si="1597"/>
        <v>0</v>
      </c>
      <c r="DM820">
        <f t="shared" si="1597"/>
        <v>0</v>
      </c>
      <c r="DN820">
        <f t="shared" si="1597"/>
        <v>0</v>
      </c>
      <c r="DO820">
        <f t="shared" si="1597"/>
        <v>0</v>
      </c>
      <c r="DP820">
        <f t="shared" si="1597"/>
        <v>0</v>
      </c>
      <c r="DQ820">
        <f t="shared" si="1598"/>
        <v>0</v>
      </c>
      <c r="DR820">
        <f t="shared" si="1598"/>
        <v>0</v>
      </c>
      <c r="DS820">
        <f t="shared" si="1598"/>
        <v>0</v>
      </c>
      <c r="DT820">
        <f t="shared" si="1598"/>
        <v>0</v>
      </c>
      <c r="DU820">
        <f t="shared" si="1598"/>
        <v>0</v>
      </c>
      <c r="DV820">
        <f t="shared" si="1598"/>
        <v>0</v>
      </c>
      <c r="DW820">
        <f t="shared" si="1598"/>
        <v>0</v>
      </c>
      <c r="DX820">
        <f t="shared" si="1598"/>
        <v>0</v>
      </c>
      <c r="DY820">
        <f t="shared" si="1598"/>
        <v>0</v>
      </c>
      <c r="DZ820">
        <f t="shared" si="1598"/>
        <v>0</v>
      </c>
      <c r="EA820">
        <f t="shared" si="1599"/>
        <v>0</v>
      </c>
      <c r="EB820">
        <f t="shared" si="1599"/>
        <v>0</v>
      </c>
      <c r="EC820">
        <f t="shared" si="1599"/>
        <v>0</v>
      </c>
      <c r="ED820">
        <f t="shared" si="1599"/>
        <v>0</v>
      </c>
      <c r="EE820">
        <f t="shared" si="1599"/>
        <v>0</v>
      </c>
      <c r="EF820">
        <f t="shared" si="1599"/>
        <v>0</v>
      </c>
    </row>
    <row r="821" spans="1:136" ht="15.5">
      <c r="A821" s="90"/>
      <c r="B821" s="32"/>
      <c r="C821" s="94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  <c r="AS821" s="18"/>
      <c r="AT821" s="18"/>
      <c r="AU821" s="18"/>
      <c r="AV821" s="18"/>
      <c r="AW821" s="18"/>
      <c r="AX821" s="18"/>
      <c r="AY821" s="18"/>
      <c r="AZ821" s="18"/>
      <c r="BA821" s="18"/>
      <c r="BB821" s="18"/>
      <c r="BC821" s="18"/>
      <c r="BD821" s="18"/>
      <c r="BE821" s="25"/>
      <c r="BF821" s="18"/>
      <c r="BG821" s="18"/>
      <c r="BH821" s="113"/>
      <c r="BI821" s="113"/>
      <c r="BJ821" s="113"/>
      <c r="BK821" s="113"/>
      <c r="BL821" s="113"/>
      <c r="BM821" s="113"/>
      <c r="BN821" s="2"/>
      <c r="BO821" s="2"/>
      <c r="BP821" s="2"/>
      <c r="BQ821" s="2"/>
      <c r="BR821" s="101"/>
    </row>
    <row r="822" spans="1:136" ht="15.5">
      <c r="A822" s="93">
        <v>104</v>
      </c>
      <c r="B822" s="32" t="s">
        <v>108</v>
      </c>
      <c r="C822" s="94">
        <v>4</v>
      </c>
      <c r="D822" s="18"/>
      <c r="E822" s="18"/>
      <c r="F822" s="18"/>
      <c r="G822" s="18"/>
      <c r="H822" s="18"/>
      <c r="I822" s="18"/>
      <c r="J822" s="18"/>
      <c r="K822" s="18"/>
      <c r="L822" s="22">
        <f t="shared" ref="L822:AS822" si="1600">SUM(L824:L826)</f>
        <v>0</v>
      </c>
      <c r="M822" s="22">
        <f t="shared" si="1600"/>
        <v>0</v>
      </c>
      <c r="N822" s="22">
        <f t="shared" si="1600"/>
        <v>0</v>
      </c>
      <c r="O822" s="22">
        <f t="shared" si="1600"/>
        <v>0</v>
      </c>
      <c r="P822" s="22">
        <f t="shared" si="1600"/>
        <v>0</v>
      </c>
      <c r="Q822" s="22">
        <f t="shared" si="1600"/>
        <v>0</v>
      </c>
      <c r="R822" s="22">
        <f t="shared" si="1600"/>
        <v>0</v>
      </c>
      <c r="S822" s="22">
        <f t="shared" si="1600"/>
        <v>0</v>
      </c>
      <c r="T822" s="22">
        <f t="shared" si="1600"/>
        <v>0</v>
      </c>
      <c r="U822" s="22">
        <f t="shared" si="1600"/>
        <v>0</v>
      </c>
      <c r="V822" s="22">
        <f t="shared" si="1600"/>
        <v>0</v>
      </c>
      <c r="W822" s="22">
        <f t="shared" si="1600"/>
        <v>0</v>
      </c>
      <c r="X822" s="22">
        <f t="shared" si="1600"/>
        <v>0</v>
      </c>
      <c r="Y822" s="22">
        <f t="shared" si="1600"/>
        <v>0</v>
      </c>
      <c r="Z822" s="22">
        <f t="shared" si="1600"/>
        <v>0</v>
      </c>
      <c r="AA822" s="22">
        <f t="shared" si="1600"/>
        <v>0</v>
      </c>
      <c r="AB822" s="22">
        <f t="shared" si="1600"/>
        <v>0</v>
      </c>
      <c r="AC822" s="22">
        <f t="shared" si="1600"/>
        <v>0</v>
      </c>
      <c r="AD822" s="22">
        <f t="shared" si="1600"/>
        <v>0</v>
      </c>
      <c r="AE822" s="22">
        <f t="shared" si="1600"/>
        <v>0</v>
      </c>
      <c r="AF822" s="22">
        <f t="shared" si="1600"/>
        <v>0</v>
      </c>
      <c r="AG822" s="22">
        <f t="shared" si="1600"/>
        <v>0</v>
      </c>
      <c r="AH822" s="22">
        <f t="shared" si="1600"/>
        <v>0</v>
      </c>
      <c r="AI822" s="22">
        <f t="shared" si="1600"/>
        <v>0</v>
      </c>
      <c r="AJ822" s="22">
        <f t="shared" si="1600"/>
        <v>0</v>
      </c>
      <c r="AK822" s="22">
        <f t="shared" si="1600"/>
        <v>0</v>
      </c>
      <c r="AL822" s="22">
        <f t="shared" si="1600"/>
        <v>15.020080321285141</v>
      </c>
      <c r="AM822" s="22">
        <f t="shared" si="1600"/>
        <v>75.826186161002667</v>
      </c>
      <c r="AN822" s="22">
        <f t="shared" si="1600"/>
        <v>69.756618863761716</v>
      </c>
      <c r="AO822" s="22">
        <f t="shared" si="1600"/>
        <v>66.507321690989698</v>
      </c>
      <c r="AP822" s="22">
        <f t="shared" si="1600"/>
        <v>65.000587834722253</v>
      </c>
      <c r="AQ822" s="22">
        <f t="shared" si="1600"/>
        <v>78.93404094810532</v>
      </c>
      <c r="AR822" s="22">
        <f t="shared" si="1600"/>
        <v>87.572121628139953</v>
      </c>
      <c r="AS822" s="22">
        <f t="shared" si="1600"/>
        <v>83.916751118715453</v>
      </c>
      <c r="AT822" s="22">
        <f>SUM(AT823:AT826)</f>
        <v>85.379026388671505</v>
      </c>
      <c r="AU822" s="22">
        <f t="shared" ref="AU822:BO822" si="1601">SUM(AU824:AU826)</f>
        <v>109.14143207574348</v>
      </c>
      <c r="AV822" s="22">
        <f t="shared" si="1601"/>
        <v>293.30017072458088</v>
      </c>
      <c r="AW822" s="22">
        <f t="shared" si="1601"/>
        <v>109.79123776984004</v>
      </c>
      <c r="AX822" s="22">
        <f t="shared" si="1601"/>
        <v>108.21678257034307</v>
      </c>
      <c r="AY822" s="22">
        <f t="shared" si="1601"/>
        <v>110.99575662160132</v>
      </c>
      <c r="AZ822" s="22">
        <f t="shared" si="1601"/>
        <v>127.14526272214302</v>
      </c>
      <c r="BA822" s="22">
        <f t="shared" si="1601"/>
        <v>145.26428038474555</v>
      </c>
      <c r="BB822" s="22">
        <f t="shared" si="1601"/>
        <v>160.30533698937251</v>
      </c>
      <c r="BC822" s="22">
        <f t="shared" si="1601"/>
        <v>182.37894417209242</v>
      </c>
      <c r="BD822" s="22">
        <f t="shared" si="1601"/>
        <v>187.90404420055626</v>
      </c>
      <c r="BE822" s="22">
        <f t="shared" si="1601"/>
        <v>158.41915384780901</v>
      </c>
      <c r="BF822" s="22">
        <f t="shared" si="1601"/>
        <v>150.5996323049599</v>
      </c>
      <c r="BG822" s="22">
        <f t="shared" si="1601"/>
        <v>135.37894953370161</v>
      </c>
      <c r="BH822" s="22">
        <f t="shared" si="1601"/>
        <v>155.08103949219978</v>
      </c>
      <c r="BI822" s="22">
        <f t="shared" si="1601"/>
        <v>154.45108145864444</v>
      </c>
      <c r="BJ822" s="22">
        <f t="shared" si="1601"/>
        <v>161.1099782490484</v>
      </c>
      <c r="BK822" s="22">
        <f t="shared" si="1601"/>
        <v>168.00221055540206</v>
      </c>
      <c r="BL822" s="22">
        <f t="shared" si="1601"/>
        <v>181</v>
      </c>
      <c r="BM822" s="22">
        <f t="shared" si="1601"/>
        <v>166.50377899400573</v>
      </c>
      <c r="BN822" s="22">
        <f t="shared" si="1601"/>
        <v>1.2</v>
      </c>
      <c r="BO822" s="22">
        <f t="shared" si="1601"/>
        <v>1.2</v>
      </c>
      <c r="BP822" s="22">
        <f>SUM(BP824:BP826)</f>
        <v>1.2</v>
      </c>
      <c r="BQ822" s="22">
        <f>SUM(BQ824:BQ826)</f>
        <v>1.2</v>
      </c>
      <c r="BR822" s="101"/>
      <c r="BS822">
        <f t="shared" ref="BS822:CB827" si="1602">IF($C822&lt;&gt;"",IF(D822&gt;0,1,0),0)</f>
        <v>0</v>
      </c>
      <c r="BT822">
        <f t="shared" si="1602"/>
        <v>0</v>
      </c>
      <c r="BU822">
        <f t="shared" si="1602"/>
        <v>0</v>
      </c>
      <c r="BV822">
        <f t="shared" si="1602"/>
        <v>0</v>
      </c>
      <c r="BW822">
        <f t="shared" si="1602"/>
        <v>0</v>
      </c>
      <c r="BX822">
        <f t="shared" si="1602"/>
        <v>0</v>
      </c>
      <c r="BY822">
        <f t="shared" si="1602"/>
        <v>0</v>
      </c>
      <c r="BZ822">
        <f t="shared" si="1602"/>
        <v>0</v>
      </c>
      <c r="CA822">
        <f t="shared" si="1602"/>
        <v>0</v>
      </c>
      <c r="CB822">
        <f t="shared" si="1602"/>
        <v>0</v>
      </c>
      <c r="CC822">
        <f t="shared" ref="CC822:CL827" si="1603">IF($C822&lt;&gt;"",IF(N822&gt;0,1,0),0)</f>
        <v>0</v>
      </c>
      <c r="CD822">
        <f t="shared" si="1603"/>
        <v>0</v>
      </c>
      <c r="CE822">
        <f t="shared" si="1603"/>
        <v>0</v>
      </c>
      <c r="CF822">
        <f t="shared" si="1603"/>
        <v>0</v>
      </c>
      <c r="CG822">
        <f t="shared" si="1603"/>
        <v>0</v>
      </c>
      <c r="CH822">
        <f t="shared" si="1603"/>
        <v>0</v>
      </c>
      <c r="CI822">
        <f t="shared" si="1603"/>
        <v>0</v>
      </c>
      <c r="CJ822">
        <f t="shared" si="1603"/>
        <v>0</v>
      </c>
      <c r="CK822">
        <f t="shared" si="1603"/>
        <v>0</v>
      </c>
      <c r="CL822">
        <f t="shared" si="1603"/>
        <v>0</v>
      </c>
      <c r="CM822">
        <f t="shared" ref="CM822:CV827" si="1604">IF($C822&lt;&gt;"",IF(X822&gt;0,1,0),0)</f>
        <v>0</v>
      </c>
      <c r="CN822">
        <f t="shared" si="1604"/>
        <v>0</v>
      </c>
      <c r="CO822">
        <f t="shared" si="1604"/>
        <v>0</v>
      </c>
      <c r="CP822">
        <f t="shared" si="1604"/>
        <v>0</v>
      </c>
      <c r="CQ822">
        <f t="shared" si="1604"/>
        <v>0</v>
      </c>
      <c r="CR822">
        <f t="shared" si="1604"/>
        <v>0</v>
      </c>
      <c r="CS822">
        <f t="shared" si="1604"/>
        <v>0</v>
      </c>
      <c r="CT822">
        <f t="shared" si="1604"/>
        <v>0</v>
      </c>
      <c r="CU822">
        <f t="shared" si="1604"/>
        <v>0</v>
      </c>
      <c r="CV822">
        <f t="shared" si="1604"/>
        <v>0</v>
      </c>
      <c r="CW822">
        <f t="shared" ref="CW822:DF827" si="1605">IF($C822&lt;&gt;"",IF(AH822&gt;0,1,0),0)</f>
        <v>0</v>
      </c>
      <c r="CX822">
        <f t="shared" si="1605"/>
        <v>0</v>
      </c>
      <c r="CY822">
        <f t="shared" si="1605"/>
        <v>0</v>
      </c>
      <c r="CZ822">
        <f t="shared" si="1605"/>
        <v>0</v>
      </c>
      <c r="DA822">
        <f t="shared" si="1605"/>
        <v>1</v>
      </c>
      <c r="DB822">
        <f t="shared" si="1605"/>
        <v>1</v>
      </c>
      <c r="DC822">
        <f t="shared" si="1605"/>
        <v>1</v>
      </c>
      <c r="DD822">
        <f t="shared" si="1605"/>
        <v>1</v>
      </c>
      <c r="DE822">
        <f t="shared" si="1605"/>
        <v>1</v>
      </c>
      <c r="DF822">
        <f t="shared" si="1605"/>
        <v>1</v>
      </c>
      <c r="DG822">
        <f t="shared" ref="DG822:DP827" si="1606">IF($C822&lt;&gt;"",IF(AR822&gt;0,1,0),0)</f>
        <v>1</v>
      </c>
      <c r="DH822">
        <f t="shared" si="1606"/>
        <v>1</v>
      </c>
      <c r="DI822">
        <f t="shared" si="1606"/>
        <v>1</v>
      </c>
      <c r="DJ822">
        <f t="shared" si="1606"/>
        <v>1</v>
      </c>
      <c r="DK822">
        <f t="shared" si="1606"/>
        <v>1</v>
      </c>
      <c r="DL822">
        <f t="shared" si="1606"/>
        <v>1</v>
      </c>
      <c r="DM822">
        <f t="shared" si="1606"/>
        <v>1</v>
      </c>
      <c r="DN822">
        <f t="shared" si="1606"/>
        <v>1</v>
      </c>
      <c r="DO822">
        <f t="shared" si="1606"/>
        <v>1</v>
      </c>
      <c r="DP822">
        <f t="shared" si="1606"/>
        <v>1</v>
      </c>
      <c r="DQ822">
        <f t="shared" ref="DQ822:DZ827" si="1607">IF($C822&lt;&gt;"",IF(BB822&gt;0,1,0),0)</f>
        <v>1</v>
      </c>
      <c r="DR822">
        <f t="shared" si="1607"/>
        <v>1</v>
      </c>
      <c r="DS822">
        <f t="shared" si="1607"/>
        <v>1</v>
      </c>
      <c r="DT822">
        <f t="shared" si="1607"/>
        <v>1</v>
      </c>
      <c r="DU822">
        <f t="shared" si="1607"/>
        <v>1</v>
      </c>
      <c r="DV822">
        <f t="shared" si="1607"/>
        <v>1</v>
      </c>
      <c r="DW822">
        <f t="shared" si="1607"/>
        <v>1</v>
      </c>
      <c r="DX822">
        <f t="shared" si="1607"/>
        <v>1</v>
      </c>
      <c r="DY822">
        <f t="shared" si="1607"/>
        <v>1</v>
      </c>
      <c r="DZ822">
        <f t="shared" si="1607"/>
        <v>1</v>
      </c>
      <c r="EA822">
        <f t="shared" ref="EA822:EF827" si="1608">IF($C822&lt;&gt;"",IF(BL822&gt;0,1,0),0)</f>
        <v>1</v>
      </c>
      <c r="EB822">
        <f t="shared" si="1608"/>
        <v>1</v>
      </c>
      <c r="EC822">
        <f t="shared" si="1608"/>
        <v>1</v>
      </c>
      <c r="ED822">
        <f t="shared" si="1608"/>
        <v>1</v>
      </c>
      <c r="EE822">
        <f t="shared" si="1608"/>
        <v>1</v>
      </c>
      <c r="EF822">
        <f t="shared" si="1608"/>
        <v>1</v>
      </c>
    </row>
    <row r="823" spans="1:136" ht="15.5">
      <c r="A823" s="90"/>
      <c r="B823" s="19" t="s">
        <v>205</v>
      </c>
      <c r="C823" s="94"/>
      <c r="D823" s="18"/>
      <c r="E823" s="18"/>
      <c r="F823" s="18"/>
      <c r="G823" s="18"/>
      <c r="H823" s="18"/>
      <c r="I823" s="18"/>
      <c r="J823" s="18"/>
      <c r="K823" s="18"/>
      <c r="L823" s="18">
        <v>0</v>
      </c>
      <c r="M823" s="18">
        <v>0</v>
      </c>
      <c r="N823" s="18">
        <v>0</v>
      </c>
      <c r="O823" s="18">
        <v>0</v>
      </c>
      <c r="P823" s="18">
        <v>0</v>
      </c>
      <c r="Q823" s="18">
        <v>0</v>
      </c>
      <c r="R823" s="18">
        <v>0</v>
      </c>
      <c r="S823" s="18">
        <v>0</v>
      </c>
      <c r="T823" s="18">
        <v>0</v>
      </c>
      <c r="U823" s="18">
        <v>0</v>
      </c>
      <c r="V823" s="18">
        <v>0</v>
      </c>
      <c r="W823" s="18">
        <v>0</v>
      </c>
      <c r="X823" s="18">
        <v>0</v>
      </c>
      <c r="Y823" s="18">
        <v>0</v>
      </c>
      <c r="Z823" s="18">
        <v>0</v>
      </c>
      <c r="AA823" s="18">
        <v>0</v>
      </c>
      <c r="AB823" s="18">
        <v>0</v>
      </c>
      <c r="AC823" s="18">
        <v>0</v>
      </c>
      <c r="AD823" s="18">
        <v>0</v>
      </c>
      <c r="AE823" s="18">
        <v>0</v>
      </c>
      <c r="AF823" s="18">
        <v>0</v>
      </c>
      <c r="AG823" s="18">
        <v>0</v>
      </c>
      <c r="AH823" s="18">
        <v>0</v>
      </c>
      <c r="AI823" s="18">
        <v>0</v>
      </c>
      <c r="AJ823" s="18">
        <v>0</v>
      </c>
      <c r="AK823" s="18">
        <v>0</v>
      </c>
      <c r="AL823" s="18">
        <v>0</v>
      </c>
      <c r="AM823" s="18">
        <v>0</v>
      </c>
      <c r="AN823" s="18">
        <v>0</v>
      </c>
      <c r="AO823" s="18">
        <v>0</v>
      </c>
      <c r="AP823" s="18">
        <v>0</v>
      </c>
      <c r="AQ823" s="18">
        <v>0</v>
      </c>
      <c r="AR823" s="18">
        <v>0</v>
      </c>
      <c r="AS823" s="18">
        <v>0</v>
      </c>
      <c r="AT823" s="18">
        <v>0</v>
      </c>
      <c r="AU823" s="18">
        <v>0</v>
      </c>
      <c r="AV823" s="18">
        <v>0</v>
      </c>
      <c r="AW823" s="18">
        <v>0</v>
      </c>
      <c r="AX823" s="18">
        <v>0</v>
      </c>
      <c r="AY823" s="18">
        <v>0</v>
      </c>
      <c r="AZ823" s="18">
        <v>0</v>
      </c>
      <c r="BA823" s="18">
        <v>0</v>
      </c>
      <c r="BB823" s="18">
        <v>0</v>
      </c>
      <c r="BC823" s="18">
        <v>0</v>
      </c>
      <c r="BD823" s="18">
        <v>0</v>
      </c>
      <c r="BE823" s="18">
        <v>0</v>
      </c>
      <c r="BF823" s="18">
        <v>0</v>
      </c>
      <c r="BG823" s="18">
        <v>0</v>
      </c>
      <c r="BH823" s="18">
        <v>0</v>
      </c>
      <c r="BI823" s="18">
        <v>0</v>
      </c>
      <c r="BJ823" s="18">
        <v>0</v>
      </c>
      <c r="BK823" s="18">
        <v>0</v>
      </c>
      <c r="BL823" s="18">
        <v>0</v>
      </c>
      <c r="BM823" s="18">
        <v>1</v>
      </c>
      <c r="BN823" s="18">
        <v>0</v>
      </c>
      <c r="BO823" s="18">
        <v>0</v>
      </c>
      <c r="BP823" s="18">
        <v>0</v>
      </c>
      <c r="BQ823" s="18">
        <v>0</v>
      </c>
      <c r="BR823" s="101"/>
      <c r="BS823">
        <f t="shared" si="1602"/>
        <v>0</v>
      </c>
      <c r="BT823">
        <f t="shared" si="1602"/>
        <v>0</v>
      </c>
      <c r="BU823">
        <f t="shared" si="1602"/>
        <v>0</v>
      </c>
      <c r="BV823">
        <f t="shared" si="1602"/>
        <v>0</v>
      </c>
      <c r="BW823">
        <f t="shared" si="1602"/>
        <v>0</v>
      </c>
      <c r="BX823">
        <f t="shared" si="1602"/>
        <v>0</v>
      </c>
      <c r="BY823">
        <f t="shared" si="1602"/>
        <v>0</v>
      </c>
      <c r="BZ823">
        <f t="shared" si="1602"/>
        <v>0</v>
      </c>
      <c r="CA823">
        <f t="shared" si="1602"/>
        <v>0</v>
      </c>
      <c r="CB823">
        <f t="shared" si="1602"/>
        <v>0</v>
      </c>
      <c r="CC823">
        <f t="shared" si="1603"/>
        <v>0</v>
      </c>
      <c r="CD823">
        <f t="shared" si="1603"/>
        <v>0</v>
      </c>
      <c r="CE823">
        <f t="shared" si="1603"/>
        <v>0</v>
      </c>
      <c r="CF823">
        <f t="shared" si="1603"/>
        <v>0</v>
      </c>
      <c r="CG823">
        <f t="shared" si="1603"/>
        <v>0</v>
      </c>
      <c r="CH823">
        <f t="shared" si="1603"/>
        <v>0</v>
      </c>
      <c r="CI823">
        <f t="shared" si="1603"/>
        <v>0</v>
      </c>
      <c r="CJ823">
        <f t="shared" si="1603"/>
        <v>0</v>
      </c>
      <c r="CK823">
        <f t="shared" si="1603"/>
        <v>0</v>
      </c>
      <c r="CL823">
        <f t="shared" si="1603"/>
        <v>0</v>
      </c>
      <c r="CM823">
        <f t="shared" si="1604"/>
        <v>0</v>
      </c>
      <c r="CN823">
        <f t="shared" si="1604"/>
        <v>0</v>
      </c>
      <c r="CO823">
        <f t="shared" si="1604"/>
        <v>0</v>
      </c>
      <c r="CP823">
        <f t="shared" si="1604"/>
        <v>0</v>
      </c>
      <c r="CQ823">
        <f t="shared" si="1604"/>
        <v>0</v>
      </c>
      <c r="CR823">
        <f t="shared" si="1604"/>
        <v>0</v>
      </c>
      <c r="CS823">
        <f t="shared" si="1604"/>
        <v>0</v>
      </c>
      <c r="CT823">
        <f t="shared" si="1604"/>
        <v>0</v>
      </c>
      <c r="CU823">
        <f t="shared" si="1604"/>
        <v>0</v>
      </c>
      <c r="CV823">
        <f t="shared" si="1604"/>
        <v>0</v>
      </c>
      <c r="CW823">
        <f t="shared" si="1605"/>
        <v>0</v>
      </c>
      <c r="CX823">
        <f t="shared" si="1605"/>
        <v>0</v>
      </c>
      <c r="CY823">
        <f t="shared" si="1605"/>
        <v>0</v>
      </c>
      <c r="CZ823">
        <f t="shared" si="1605"/>
        <v>0</v>
      </c>
      <c r="DA823">
        <f t="shared" si="1605"/>
        <v>0</v>
      </c>
      <c r="DB823">
        <f t="shared" si="1605"/>
        <v>0</v>
      </c>
      <c r="DC823">
        <f t="shared" si="1605"/>
        <v>0</v>
      </c>
      <c r="DD823">
        <f t="shared" si="1605"/>
        <v>0</v>
      </c>
      <c r="DE823">
        <f t="shared" si="1605"/>
        <v>0</v>
      </c>
      <c r="DF823">
        <f t="shared" si="1605"/>
        <v>0</v>
      </c>
      <c r="DG823">
        <f t="shared" si="1606"/>
        <v>0</v>
      </c>
      <c r="DH823">
        <f t="shared" si="1606"/>
        <v>0</v>
      </c>
      <c r="DI823">
        <f t="shared" si="1606"/>
        <v>0</v>
      </c>
      <c r="DJ823">
        <f t="shared" si="1606"/>
        <v>0</v>
      </c>
      <c r="DK823">
        <f t="shared" si="1606"/>
        <v>0</v>
      </c>
      <c r="DL823">
        <f t="shared" si="1606"/>
        <v>0</v>
      </c>
      <c r="DM823">
        <f t="shared" si="1606"/>
        <v>0</v>
      </c>
      <c r="DN823">
        <f t="shared" si="1606"/>
        <v>0</v>
      </c>
      <c r="DO823">
        <f t="shared" si="1606"/>
        <v>0</v>
      </c>
      <c r="DP823">
        <f t="shared" si="1606"/>
        <v>0</v>
      </c>
      <c r="DQ823">
        <f t="shared" si="1607"/>
        <v>0</v>
      </c>
      <c r="DR823">
        <f t="shared" si="1607"/>
        <v>0</v>
      </c>
      <c r="DS823">
        <f t="shared" si="1607"/>
        <v>0</v>
      </c>
      <c r="DT823">
        <f t="shared" si="1607"/>
        <v>0</v>
      </c>
      <c r="DU823">
        <f t="shared" si="1607"/>
        <v>0</v>
      </c>
      <c r="DV823">
        <f t="shared" si="1607"/>
        <v>0</v>
      </c>
      <c r="DW823">
        <f t="shared" si="1607"/>
        <v>0</v>
      </c>
      <c r="DX823">
        <f t="shared" si="1607"/>
        <v>0</v>
      </c>
      <c r="DY823">
        <f t="shared" si="1607"/>
        <v>0</v>
      </c>
      <c r="DZ823">
        <f t="shared" si="1607"/>
        <v>0</v>
      </c>
      <c r="EA823">
        <f t="shared" si="1608"/>
        <v>0</v>
      </c>
      <c r="EB823">
        <f t="shared" si="1608"/>
        <v>0</v>
      </c>
      <c r="EC823">
        <f t="shared" si="1608"/>
        <v>0</v>
      </c>
      <c r="ED823">
        <f t="shared" si="1608"/>
        <v>0</v>
      </c>
      <c r="EE823">
        <f t="shared" si="1608"/>
        <v>0</v>
      </c>
      <c r="EF823">
        <f t="shared" si="1608"/>
        <v>0</v>
      </c>
    </row>
    <row r="824" spans="1:136" ht="15.5">
      <c r="A824" s="90"/>
      <c r="B824" s="19" t="s">
        <v>3</v>
      </c>
      <c r="C824" s="94"/>
      <c r="D824" s="18"/>
      <c r="E824" s="18"/>
      <c r="F824" s="18"/>
      <c r="G824" s="18"/>
      <c r="H824" s="18"/>
      <c r="I824" s="18"/>
      <c r="J824" s="18"/>
      <c r="K824" s="18"/>
      <c r="L824" s="18">
        <v>0</v>
      </c>
      <c r="M824" s="18">
        <v>0</v>
      </c>
      <c r="N824" s="18">
        <v>0</v>
      </c>
      <c r="O824" s="18">
        <v>0</v>
      </c>
      <c r="P824" s="18">
        <v>0</v>
      </c>
      <c r="Q824" s="18">
        <v>0</v>
      </c>
      <c r="R824" s="18">
        <v>0</v>
      </c>
      <c r="S824" s="18">
        <v>0</v>
      </c>
      <c r="T824" s="18">
        <v>0</v>
      </c>
      <c r="U824" s="18">
        <v>0</v>
      </c>
      <c r="V824" s="18">
        <v>0</v>
      </c>
      <c r="W824" s="18">
        <v>0</v>
      </c>
      <c r="X824" s="18">
        <v>0</v>
      </c>
      <c r="Y824" s="18">
        <v>0</v>
      </c>
      <c r="Z824" s="18">
        <v>0</v>
      </c>
      <c r="AA824" s="18">
        <v>0</v>
      </c>
      <c r="AB824" s="18">
        <v>0</v>
      </c>
      <c r="AC824" s="18">
        <v>0</v>
      </c>
      <c r="AD824" s="18">
        <v>0</v>
      </c>
      <c r="AE824" s="18">
        <v>0</v>
      </c>
      <c r="AF824" s="18">
        <v>0</v>
      </c>
      <c r="AG824" s="18">
        <v>0</v>
      </c>
      <c r="AH824" s="18">
        <v>0</v>
      </c>
      <c r="AI824" s="18">
        <v>0</v>
      </c>
      <c r="AJ824" s="18">
        <v>0</v>
      </c>
      <c r="AK824" s="18">
        <v>0</v>
      </c>
      <c r="AL824" s="18">
        <v>0</v>
      </c>
      <c r="AM824" s="18">
        <v>0</v>
      </c>
      <c r="AN824" s="18">
        <v>0</v>
      </c>
      <c r="AO824" s="18">
        <v>0</v>
      </c>
      <c r="AP824" s="18">
        <v>0</v>
      </c>
      <c r="AQ824" s="18">
        <v>0</v>
      </c>
      <c r="AR824" s="18">
        <v>0</v>
      </c>
      <c r="AS824" s="18">
        <v>2.4500000000000002</v>
      </c>
      <c r="AT824" s="18">
        <v>2.59</v>
      </c>
      <c r="AU824" s="18">
        <v>2.73</v>
      </c>
      <c r="AV824" s="18">
        <v>2.88</v>
      </c>
      <c r="AW824" s="18">
        <v>3.02</v>
      </c>
      <c r="AX824" s="18">
        <v>3.16</v>
      </c>
      <c r="AY824" s="18">
        <v>3.3</v>
      </c>
      <c r="AZ824" s="18">
        <v>0</v>
      </c>
      <c r="BA824" s="18">
        <v>0</v>
      </c>
      <c r="BB824" s="18">
        <v>0</v>
      </c>
      <c r="BC824" s="18">
        <v>0</v>
      </c>
      <c r="BD824" s="18">
        <v>0</v>
      </c>
      <c r="BE824" s="25">
        <v>0</v>
      </c>
      <c r="BF824" s="18">
        <v>0</v>
      </c>
      <c r="BG824" s="18">
        <v>0</v>
      </c>
      <c r="BH824" s="113">
        <v>0</v>
      </c>
      <c r="BI824" s="113">
        <v>0</v>
      </c>
      <c r="BJ824" s="113">
        <v>0</v>
      </c>
      <c r="BK824" s="113">
        <v>0</v>
      </c>
      <c r="BL824" s="113">
        <v>0</v>
      </c>
      <c r="BM824" s="113">
        <v>0</v>
      </c>
      <c r="BN824" s="113">
        <v>1.2</v>
      </c>
      <c r="BO824" s="113">
        <v>1.2</v>
      </c>
      <c r="BP824" s="113">
        <v>1.2</v>
      </c>
      <c r="BQ824" s="113">
        <v>1.2</v>
      </c>
      <c r="BR824" s="101"/>
      <c r="BS824">
        <f t="shared" si="1602"/>
        <v>0</v>
      </c>
      <c r="BT824">
        <f t="shared" si="1602"/>
        <v>0</v>
      </c>
      <c r="BU824">
        <f t="shared" si="1602"/>
        <v>0</v>
      </c>
      <c r="BV824">
        <f t="shared" si="1602"/>
        <v>0</v>
      </c>
      <c r="BW824">
        <f t="shared" si="1602"/>
        <v>0</v>
      </c>
      <c r="BX824">
        <f t="shared" si="1602"/>
        <v>0</v>
      </c>
      <c r="BY824">
        <f t="shared" si="1602"/>
        <v>0</v>
      </c>
      <c r="BZ824">
        <f t="shared" si="1602"/>
        <v>0</v>
      </c>
      <c r="CA824">
        <f t="shared" si="1602"/>
        <v>0</v>
      </c>
      <c r="CB824">
        <f t="shared" si="1602"/>
        <v>0</v>
      </c>
      <c r="CC824">
        <f t="shared" si="1603"/>
        <v>0</v>
      </c>
      <c r="CD824">
        <f t="shared" si="1603"/>
        <v>0</v>
      </c>
      <c r="CE824">
        <f t="shared" si="1603"/>
        <v>0</v>
      </c>
      <c r="CF824">
        <f t="shared" si="1603"/>
        <v>0</v>
      </c>
      <c r="CG824">
        <f t="shared" si="1603"/>
        <v>0</v>
      </c>
      <c r="CH824">
        <f t="shared" si="1603"/>
        <v>0</v>
      </c>
      <c r="CI824">
        <f t="shared" si="1603"/>
        <v>0</v>
      </c>
      <c r="CJ824">
        <f t="shared" si="1603"/>
        <v>0</v>
      </c>
      <c r="CK824">
        <f t="shared" si="1603"/>
        <v>0</v>
      </c>
      <c r="CL824">
        <f t="shared" si="1603"/>
        <v>0</v>
      </c>
      <c r="CM824">
        <f t="shared" si="1604"/>
        <v>0</v>
      </c>
      <c r="CN824">
        <f t="shared" si="1604"/>
        <v>0</v>
      </c>
      <c r="CO824">
        <f t="shared" si="1604"/>
        <v>0</v>
      </c>
      <c r="CP824">
        <f t="shared" si="1604"/>
        <v>0</v>
      </c>
      <c r="CQ824">
        <f t="shared" si="1604"/>
        <v>0</v>
      </c>
      <c r="CR824">
        <f t="shared" si="1604"/>
        <v>0</v>
      </c>
      <c r="CS824">
        <f t="shared" si="1604"/>
        <v>0</v>
      </c>
      <c r="CT824">
        <f t="shared" si="1604"/>
        <v>0</v>
      </c>
      <c r="CU824">
        <f t="shared" si="1604"/>
        <v>0</v>
      </c>
      <c r="CV824">
        <f t="shared" si="1604"/>
        <v>0</v>
      </c>
      <c r="CW824">
        <f t="shared" si="1605"/>
        <v>0</v>
      </c>
      <c r="CX824">
        <f t="shared" si="1605"/>
        <v>0</v>
      </c>
      <c r="CY824">
        <f t="shared" si="1605"/>
        <v>0</v>
      </c>
      <c r="CZ824">
        <f t="shared" si="1605"/>
        <v>0</v>
      </c>
      <c r="DA824">
        <f t="shared" si="1605"/>
        <v>0</v>
      </c>
      <c r="DB824">
        <f t="shared" si="1605"/>
        <v>0</v>
      </c>
      <c r="DC824">
        <f t="shared" si="1605"/>
        <v>0</v>
      </c>
      <c r="DD824">
        <f t="shared" si="1605"/>
        <v>0</v>
      </c>
      <c r="DE824">
        <f t="shared" si="1605"/>
        <v>0</v>
      </c>
      <c r="DF824">
        <f t="shared" si="1605"/>
        <v>0</v>
      </c>
      <c r="DG824">
        <f t="shared" si="1606"/>
        <v>0</v>
      </c>
      <c r="DH824">
        <f t="shared" si="1606"/>
        <v>0</v>
      </c>
      <c r="DI824">
        <f t="shared" si="1606"/>
        <v>0</v>
      </c>
      <c r="DJ824">
        <f t="shared" si="1606"/>
        <v>0</v>
      </c>
      <c r="DK824">
        <f t="shared" si="1606"/>
        <v>0</v>
      </c>
      <c r="DL824">
        <f t="shared" si="1606"/>
        <v>0</v>
      </c>
      <c r="DM824">
        <f t="shared" si="1606"/>
        <v>0</v>
      </c>
      <c r="DN824">
        <f t="shared" si="1606"/>
        <v>0</v>
      </c>
      <c r="DO824">
        <f t="shared" si="1606"/>
        <v>0</v>
      </c>
      <c r="DP824">
        <f t="shared" si="1606"/>
        <v>0</v>
      </c>
      <c r="DQ824">
        <f t="shared" si="1607"/>
        <v>0</v>
      </c>
      <c r="DR824">
        <f t="shared" si="1607"/>
        <v>0</v>
      </c>
      <c r="DS824">
        <f t="shared" si="1607"/>
        <v>0</v>
      </c>
      <c r="DT824">
        <f t="shared" si="1607"/>
        <v>0</v>
      </c>
      <c r="DU824">
        <f t="shared" si="1607"/>
        <v>0</v>
      </c>
      <c r="DV824">
        <f t="shared" si="1607"/>
        <v>0</v>
      </c>
      <c r="DW824">
        <f t="shared" si="1607"/>
        <v>0</v>
      </c>
      <c r="DX824">
        <f t="shared" si="1607"/>
        <v>0</v>
      </c>
      <c r="DY824">
        <f t="shared" si="1607"/>
        <v>0</v>
      </c>
      <c r="DZ824">
        <f t="shared" si="1607"/>
        <v>0</v>
      </c>
      <c r="EA824">
        <f t="shared" si="1608"/>
        <v>0</v>
      </c>
      <c r="EB824">
        <f t="shared" si="1608"/>
        <v>0</v>
      </c>
      <c r="EC824">
        <f t="shared" si="1608"/>
        <v>0</v>
      </c>
      <c r="ED824">
        <f t="shared" si="1608"/>
        <v>0</v>
      </c>
      <c r="EE824">
        <f t="shared" si="1608"/>
        <v>0</v>
      </c>
      <c r="EF824">
        <f t="shared" si="1608"/>
        <v>0</v>
      </c>
    </row>
    <row r="825" spans="1:136" ht="15.5">
      <c r="A825" s="90"/>
      <c r="B825" s="19" t="s">
        <v>18</v>
      </c>
      <c r="C825" s="94"/>
      <c r="D825" s="18"/>
      <c r="E825" s="18"/>
      <c r="F825" s="18"/>
      <c r="G825" s="18"/>
      <c r="H825" s="18"/>
      <c r="I825" s="18"/>
      <c r="J825" s="18"/>
      <c r="K825" s="18"/>
      <c r="L825" s="18">
        <v>0</v>
      </c>
      <c r="M825" s="18">
        <v>0</v>
      </c>
      <c r="N825" s="18">
        <v>0</v>
      </c>
      <c r="O825" s="18">
        <v>0</v>
      </c>
      <c r="P825" s="18">
        <v>0</v>
      </c>
      <c r="Q825" s="18">
        <v>0</v>
      </c>
      <c r="R825" s="18">
        <v>0</v>
      </c>
      <c r="S825" s="18">
        <v>0</v>
      </c>
      <c r="T825" s="18">
        <v>0</v>
      </c>
      <c r="U825" s="18">
        <v>0</v>
      </c>
      <c r="V825" s="18">
        <v>0</v>
      </c>
      <c r="W825" s="18">
        <v>0</v>
      </c>
      <c r="X825" s="18">
        <v>0</v>
      </c>
      <c r="Y825" s="18">
        <v>0</v>
      </c>
      <c r="Z825" s="18">
        <v>0</v>
      </c>
      <c r="AA825" s="18">
        <v>0</v>
      </c>
      <c r="AB825" s="18">
        <v>0</v>
      </c>
      <c r="AC825" s="18">
        <v>0</v>
      </c>
      <c r="AD825" s="18">
        <v>0</v>
      </c>
      <c r="AE825" s="18">
        <v>0</v>
      </c>
      <c r="AF825" s="18">
        <v>0</v>
      </c>
      <c r="AG825" s="18">
        <v>0</v>
      </c>
      <c r="AH825" s="18">
        <v>0</v>
      </c>
      <c r="AI825" s="18">
        <v>0</v>
      </c>
      <c r="AJ825" s="18">
        <v>0</v>
      </c>
      <c r="AK825" s="18">
        <v>0</v>
      </c>
      <c r="AL825" s="18">
        <v>0</v>
      </c>
      <c r="AM825" s="18">
        <v>0</v>
      </c>
      <c r="AN825" s="18">
        <v>0</v>
      </c>
      <c r="AO825" s="18">
        <v>0</v>
      </c>
      <c r="AP825" s="18">
        <v>0</v>
      </c>
      <c r="AQ825" s="18">
        <v>0</v>
      </c>
      <c r="AR825" s="18">
        <v>0</v>
      </c>
      <c r="AS825" s="18">
        <v>0</v>
      </c>
      <c r="AT825" s="18">
        <v>0</v>
      </c>
      <c r="AU825" s="18">
        <v>13</v>
      </c>
      <c r="AV825" s="18">
        <v>186</v>
      </c>
      <c r="AW825" s="18">
        <v>0</v>
      </c>
      <c r="AX825" s="18">
        <v>0</v>
      </c>
      <c r="AY825" s="18">
        <v>0</v>
      </c>
      <c r="AZ825" s="18">
        <v>0</v>
      </c>
      <c r="BA825" s="18">
        <v>0</v>
      </c>
      <c r="BB825" s="18">
        <v>0</v>
      </c>
      <c r="BC825" s="18">
        <v>0</v>
      </c>
      <c r="BD825" s="18">
        <v>0</v>
      </c>
      <c r="BE825" s="25">
        <v>0</v>
      </c>
      <c r="BF825" s="18">
        <v>0</v>
      </c>
      <c r="BG825" s="18">
        <v>0</v>
      </c>
      <c r="BH825" s="113">
        <v>0</v>
      </c>
      <c r="BI825" s="113">
        <v>0</v>
      </c>
      <c r="BJ825" s="113">
        <v>0</v>
      </c>
      <c r="BK825" s="113">
        <v>0</v>
      </c>
      <c r="BL825" s="113">
        <v>0</v>
      </c>
      <c r="BM825" s="113">
        <v>0</v>
      </c>
      <c r="BN825" s="113">
        <v>0</v>
      </c>
      <c r="BO825" s="113">
        <v>0</v>
      </c>
      <c r="BP825" s="113">
        <v>0</v>
      </c>
      <c r="BQ825" s="18">
        <v>0</v>
      </c>
      <c r="BR825" s="101"/>
      <c r="BS825">
        <f t="shared" si="1602"/>
        <v>0</v>
      </c>
      <c r="BT825">
        <f t="shared" si="1602"/>
        <v>0</v>
      </c>
      <c r="BU825">
        <f t="shared" si="1602"/>
        <v>0</v>
      </c>
      <c r="BV825">
        <f t="shared" si="1602"/>
        <v>0</v>
      </c>
      <c r="BW825">
        <f t="shared" si="1602"/>
        <v>0</v>
      </c>
      <c r="BX825">
        <f t="shared" si="1602"/>
        <v>0</v>
      </c>
      <c r="BY825">
        <f t="shared" si="1602"/>
        <v>0</v>
      </c>
      <c r="BZ825">
        <f t="shared" si="1602"/>
        <v>0</v>
      </c>
      <c r="CA825">
        <f t="shared" si="1602"/>
        <v>0</v>
      </c>
      <c r="CB825">
        <f t="shared" si="1602"/>
        <v>0</v>
      </c>
      <c r="CC825">
        <f t="shared" si="1603"/>
        <v>0</v>
      </c>
      <c r="CD825">
        <f t="shared" si="1603"/>
        <v>0</v>
      </c>
      <c r="CE825">
        <f t="shared" si="1603"/>
        <v>0</v>
      </c>
      <c r="CF825">
        <f t="shared" si="1603"/>
        <v>0</v>
      </c>
      <c r="CG825">
        <f t="shared" si="1603"/>
        <v>0</v>
      </c>
      <c r="CH825">
        <f t="shared" si="1603"/>
        <v>0</v>
      </c>
      <c r="CI825">
        <f t="shared" si="1603"/>
        <v>0</v>
      </c>
      <c r="CJ825">
        <f t="shared" si="1603"/>
        <v>0</v>
      </c>
      <c r="CK825">
        <f t="shared" si="1603"/>
        <v>0</v>
      </c>
      <c r="CL825">
        <f t="shared" si="1603"/>
        <v>0</v>
      </c>
      <c r="CM825">
        <f t="shared" si="1604"/>
        <v>0</v>
      </c>
      <c r="CN825">
        <f t="shared" si="1604"/>
        <v>0</v>
      </c>
      <c r="CO825">
        <f t="shared" si="1604"/>
        <v>0</v>
      </c>
      <c r="CP825">
        <f t="shared" si="1604"/>
        <v>0</v>
      </c>
      <c r="CQ825">
        <f t="shared" si="1604"/>
        <v>0</v>
      </c>
      <c r="CR825">
        <f t="shared" si="1604"/>
        <v>0</v>
      </c>
      <c r="CS825">
        <f t="shared" si="1604"/>
        <v>0</v>
      </c>
      <c r="CT825">
        <f t="shared" si="1604"/>
        <v>0</v>
      </c>
      <c r="CU825">
        <f t="shared" si="1604"/>
        <v>0</v>
      </c>
      <c r="CV825">
        <f t="shared" si="1604"/>
        <v>0</v>
      </c>
      <c r="CW825">
        <f t="shared" si="1605"/>
        <v>0</v>
      </c>
      <c r="CX825">
        <f t="shared" si="1605"/>
        <v>0</v>
      </c>
      <c r="CY825">
        <f t="shared" si="1605"/>
        <v>0</v>
      </c>
      <c r="CZ825">
        <f t="shared" si="1605"/>
        <v>0</v>
      </c>
      <c r="DA825">
        <f t="shared" si="1605"/>
        <v>0</v>
      </c>
      <c r="DB825">
        <f t="shared" si="1605"/>
        <v>0</v>
      </c>
      <c r="DC825">
        <f t="shared" si="1605"/>
        <v>0</v>
      </c>
      <c r="DD825">
        <f t="shared" si="1605"/>
        <v>0</v>
      </c>
      <c r="DE825">
        <f t="shared" si="1605"/>
        <v>0</v>
      </c>
      <c r="DF825">
        <f t="shared" si="1605"/>
        <v>0</v>
      </c>
      <c r="DG825">
        <f t="shared" si="1606"/>
        <v>0</v>
      </c>
      <c r="DH825">
        <f t="shared" si="1606"/>
        <v>0</v>
      </c>
      <c r="DI825">
        <f t="shared" si="1606"/>
        <v>0</v>
      </c>
      <c r="DJ825">
        <f t="shared" si="1606"/>
        <v>0</v>
      </c>
      <c r="DK825">
        <f t="shared" si="1606"/>
        <v>0</v>
      </c>
      <c r="DL825">
        <f t="shared" si="1606"/>
        <v>0</v>
      </c>
      <c r="DM825">
        <f t="shared" si="1606"/>
        <v>0</v>
      </c>
      <c r="DN825">
        <f t="shared" si="1606"/>
        <v>0</v>
      </c>
      <c r="DO825">
        <f t="shared" si="1606"/>
        <v>0</v>
      </c>
      <c r="DP825">
        <f t="shared" si="1606"/>
        <v>0</v>
      </c>
      <c r="DQ825">
        <f t="shared" si="1607"/>
        <v>0</v>
      </c>
      <c r="DR825">
        <f t="shared" si="1607"/>
        <v>0</v>
      </c>
      <c r="DS825">
        <f t="shared" si="1607"/>
        <v>0</v>
      </c>
      <c r="DT825">
        <f t="shared" si="1607"/>
        <v>0</v>
      </c>
      <c r="DU825">
        <f t="shared" si="1607"/>
        <v>0</v>
      </c>
      <c r="DV825">
        <f t="shared" si="1607"/>
        <v>0</v>
      </c>
      <c r="DW825">
        <f t="shared" si="1607"/>
        <v>0</v>
      </c>
      <c r="DX825">
        <f t="shared" si="1607"/>
        <v>0</v>
      </c>
      <c r="DY825">
        <f t="shared" si="1607"/>
        <v>0</v>
      </c>
      <c r="DZ825">
        <f t="shared" si="1607"/>
        <v>0</v>
      </c>
      <c r="EA825">
        <f t="shared" si="1608"/>
        <v>0</v>
      </c>
      <c r="EB825">
        <f t="shared" si="1608"/>
        <v>0</v>
      </c>
      <c r="EC825">
        <f t="shared" si="1608"/>
        <v>0</v>
      </c>
      <c r="ED825">
        <f t="shared" si="1608"/>
        <v>0</v>
      </c>
      <c r="EE825">
        <f t="shared" si="1608"/>
        <v>0</v>
      </c>
      <c r="EF825">
        <f t="shared" si="1608"/>
        <v>0</v>
      </c>
    </row>
    <row r="826" spans="1:136" ht="15.5">
      <c r="A826" s="90"/>
      <c r="B826" s="53" t="s">
        <v>25</v>
      </c>
      <c r="C826" s="94"/>
      <c r="D826" s="18"/>
      <c r="E826" s="18"/>
      <c r="F826" s="18"/>
      <c r="G826" s="18"/>
      <c r="H826" s="18"/>
      <c r="I826" s="18"/>
      <c r="J826" s="18"/>
      <c r="K826" s="18"/>
      <c r="L826" s="18">
        <v>0</v>
      </c>
      <c r="M826" s="18">
        <v>0</v>
      </c>
      <c r="N826" s="18">
        <v>0</v>
      </c>
      <c r="O826" s="18">
        <v>0</v>
      </c>
      <c r="P826" s="18">
        <v>0</v>
      </c>
      <c r="Q826" s="18">
        <v>0</v>
      </c>
      <c r="R826" s="18">
        <v>0</v>
      </c>
      <c r="S826" s="18">
        <v>0</v>
      </c>
      <c r="T826" s="18">
        <v>0</v>
      </c>
      <c r="U826" s="18">
        <v>0</v>
      </c>
      <c r="V826" s="18">
        <v>0</v>
      </c>
      <c r="W826" s="18">
        <v>0</v>
      </c>
      <c r="X826" s="18">
        <v>0</v>
      </c>
      <c r="Y826" s="18">
        <v>0</v>
      </c>
      <c r="Z826" s="18">
        <v>0</v>
      </c>
      <c r="AA826" s="18">
        <v>0</v>
      </c>
      <c r="AB826" s="18">
        <v>0</v>
      </c>
      <c r="AC826" s="18">
        <v>0</v>
      </c>
      <c r="AD826" s="18">
        <v>0</v>
      </c>
      <c r="AE826" s="18">
        <v>0</v>
      </c>
      <c r="AF826" s="18">
        <v>0</v>
      </c>
      <c r="AG826" s="18">
        <v>0</v>
      </c>
      <c r="AH826" s="18">
        <v>0</v>
      </c>
      <c r="AI826" s="18">
        <v>0</v>
      </c>
      <c r="AJ826" s="18">
        <v>0</v>
      </c>
      <c r="AK826" s="18">
        <v>0</v>
      </c>
      <c r="AL826" s="18">
        <v>15.020080321285141</v>
      </c>
      <c r="AM826" s="18">
        <v>75.826186161002667</v>
      </c>
      <c r="AN826" s="18">
        <v>69.756618863761716</v>
      </c>
      <c r="AO826" s="18">
        <v>66.507321690989698</v>
      </c>
      <c r="AP826" s="18">
        <v>65.000587834722253</v>
      </c>
      <c r="AQ826" s="18">
        <v>78.93404094810532</v>
      </c>
      <c r="AR826" s="18">
        <v>87.572121628139953</v>
      </c>
      <c r="AS826" s="18">
        <v>81.46675111871545</v>
      </c>
      <c r="AT826" s="18">
        <v>82.789026388671502</v>
      </c>
      <c r="AU826" s="18">
        <v>93.411432075743477</v>
      </c>
      <c r="AV826" s="18">
        <v>104.42017072458086</v>
      </c>
      <c r="AW826" s="18">
        <v>106.77123776984004</v>
      </c>
      <c r="AX826" s="18">
        <v>105.05678257034307</v>
      </c>
      <c r="AY826" s="18">
        <v>107.69575662160132</v>
      </c>
      <c r="AZ826" s="18">
        <v>127.14526272214302</v>
      </c>
      <c r="BA826" s="18">
        <v>145.26428038474555</v>
      </c>
      <c r="BB826" s="18">
        <v>160.30533698937251</v>
      </c>
      <c r="BC826" s="18">
        <v>182.37894417209242</v>
      </c>
      <c r="BD826" s="18">
        <v>187.90404420055626</v>
      </c>
      <c r="BE826" s="18">
        <v>158.41915384780901</v>
      </c>
      <c r="BF826" s="18">
        <v>150.5996323049599</v>
      </c>
      <c r="BG826" s="18">
        <v>135.37894953370161</v>
      </c>
      <c r="BH826" s="18">
        <v>155.08103949219978</v>
      </c>
      <c r="BI826" s="18">
        <v>154.45108145864444</v>
      </c>
      <c r="BJ826" s="113">
        <v>161.1099782490484</v>
      </c>
      <c r="BK826" s="113">
        <v>168.00221055540206</v>
      </c>
      <c r="BL826" s="113">
        <v>181</v>
      </c>
      <c r="BM826" s="113">
        <v>166.50377899400573</v>
      </c>
      <c r="BN826" s="113">
        <v>0</v>
      </c>
      <c r="BO826" s="113">
        <v>0</v>
      </c>
      <c r="BP826" s="113">
        <v>0</v>
      </c>
      <c r="BQ826" s="18">
        <v>0</v>
      </c>
      <c r="BR826" s="101"/>
      <c r="BS826">
        <f t="shared" si="1602"/>
        <v>0</v>
      </c>
      <c r="BT826">
        <f t="shared" si="1602"/>
        <v>0</v>
      </c>
      <c r="BU826">
        <f t="shared" si="1602"/>
        <v>0</v>
      </c>
      <c r="BV826">
        <f t="shared" si="1602"/>
        <v>0</v>
      </c>
      <c r="BW826">
        <f t="shared" si="1602"/>
        <v>0</v>
      </c>
      <c r="BX826">
        <f t="shared" si="1602"/>
        <v>0</v>
      </c>
      <c r="BY826">
        <f t="shared" si="1602"/>
        <v>0</v>
      </c>
      <c r="BZ826">
        <f t="shared" si="1602"/>
        <v>0</v>
      </c>
      <c r="CA826">
        <f t="shared" si="1602"/>
        <v>0</v>
      </c>
      <c r="CB826">
        <f t="shared" si="1602"/>
        <v>0</v>
      </c>
      <c r="CC826">
        <f t="shared" si="1603"/>
        <v>0</v>
      </c>
      <c r="CD826">
        <f t="shared" si="1603"/>
        <v>0</v>
      </c>
      <c r="CE826">
        <f t="shared" si="1603"/>
        <v>0</v>
      </c>
      <c r="CF826">
        <f t="shared" si="1603"/>
        <v>0</v>
      </c>
      <c r="CG826">
        <f t="shared" si="1603"/>
        <v>0</v>
      </c>
      <c r="CH826">
        <f t="shared" si="1603"/>
        <v>0</v>
      </c>
      <c r="CI826">
        <f t="shared" si="1603"/>
        <v>0</v>
      </c>
      <c r="CJ826">
        <f t="shared" si="1603"/>
        <v>0</v>
      </c>
      <c r="CK826">
        <f t="shared" si="1603"/>
        <v>0</v>
      </c>
      <c r="CL826">
        <f t="shared" si="1603"/>
        <v>0</v>
      </c>
      <c r="CM826">
        <f t="shared" si="1604"/>
        <v>0</v>
      </c>
      <c r="CN826">
        <f t="shared" si="1604"/>
        <v>0</v>
      </c>
      <c r="CO826">
        <f t="shared" si="1604"/>
        <v>0</v>
      </c>
      <c r="CP826">
        <f t="shared" si="1604"/>
        <v>0</v>
      </c>
      <c r="CQ826">
        <f t="shared" si="1604"/>
        <v>0</v>
      </c>
      <c r="CR826">
        <f t="shared" si="1604"/>
        <v>0</v>
      </c>
      <c r="CS826">
        <f t="shared" si="1604"/>
        <v>0</v>
      </c>
      <c r="CT826">
        <f t="shared" si="1604"/>
        <v>0</v>
      </c>
      <c r="CU826">
        <f t="shared" si="1604"/>
        <v>0</v>
      </c>
      <c r="CV826">
        <f t="shared" si="1604"/>
        <v>0</v>
      </c>
      <c r="CW826">
        <f t="shared" si="1605"/>
        <v>0</v>
      </c>
      <c r="CX826">
        <f t="shared" si="1605"/>
        <v>0</v>
      </c>
      <c r="CY826">
        <f t="shared" si="1605"/>
        <v>0</v>
      </c>
      <c r="CZ826">
        <f t="shared" si="1605"/>
        <v>0</v>
      </c>
      <c r="DA826">
        <f t="shared" si="1605"/>
        <v>0</v>
      </c>
      <c r="DB826">
        <f t="shared" si="1605"/>
        <v>0</v>
      </c>
      <c r="DC826">
        <f t="shared" si="1605"/>
        <v>0</v>
      </c>
      <c r="DD826">
        <f t="shared" si="1605"/>
        <v>0</v>
      </c>
      <c r="DE826">
        <f t="shared" si="1605"/>
        <v>0</v>
      </c>
      <c r="DF826">
        <f t="shared" si="1605"/>
        <v>0</v>
      </c>
      <c r="DG826">
        <f t="shared" si="1606"/>
        <v>0</v>
      </c>
      <c r="DH826">
        <f t="shared" si="1606"/>
        <v>0</v>
      </c>
      <c r="DI826">
        <f t="shared" si="1606"/>
        <v>0</v>
      </c>
      <c r="DJ826">
        <f t="shared" si="1606"/>
        <v>0</v>
      </c>
      <c r="DK826">
        <f t="shared" si="1606"/>
        <v>0</v>
      </c>
      <c r="DL826">
        <f t="shared" si="1606"/>
        <v>0</v>
      </c>
      <c r="DM826">
        <f t="shared" si="1606"/>
        <v>0</v>
      </c>
      <c r="DN826">
        <f t="shared" si="1606"/>
        <v>0</v>
      </c>
      <c r="DO826">
        <f t="shared" si="1606"/>
        <v>0</v>
      </c>
      <c r="DP826">
        <f t="shared" si="1606"/>
        <v>0</v>
      </c>
      <c r="DQ826">
        <f t="shared" si="1607"/>
        <v>0</v>
      </c>
      <c r="DR826">
        <f t="shared" si="1607"/>
        <v>0</v>
      </c>
      <c r="DS826">
        <f t="shared" si="1607"/>
        <v>0</v>
      </c>
      <c r="DT826">
        <f t="shared" si="1607"/>
        <v>0</v>
      </c>
      <c r="DU826">
        <f t="shared" si="1607"/>
        <v>0</v>
      </c>
      <c r="DV826">
        <f t="shared" si="1607"/>
        <v>0</v>
      </c>
      <c r="DW826">
        <f t="shared" si="1607"/>
        <v>0</v>
      </c>
      <c r="DX826">
        <f t="shared" si="1607"/>
        <v>0</v>
      </c>
      <c r="DY826">
        <f t="shared" si="1607"/>
        <v>0</v>
      </c>
      <c r="DZ826">
        <f t="shared" si="1607"/>
        <v>0</v>
      </c>
      <c r="EA826">
        <f t="shared" si="1608"/>
        <v>0</v>
      </c>
      <c r="EB826">
        <f t="shared" si="1608"/>
        <v>0</v>
      </c>
      <c r="EC826">
        <f t="shared" si="1608"/>
        <v>0</v>
      </c>
      <c r="ED826">
        <f t="shared" si="1608"/>
        <v>0</v>
      </c>
      <c r="EE826">
        <f t="shared" si="1608"/>
        <v>0</v>
      </c>
      <c r="EF826">
        <f t="shared" si="1608"/>
        <v>0</v>
      </c>
    </row>
    <row r="827" spans="1:136" ht="15.5">
      <c r="A827" s="90"/>
      <c r="B827" s="53" t="s">
        <v>212</v>
      </c>
      <c r="C827" s="94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40"/>
      <c r="AS827" s="40"/>
      <c r="AT827" s="40"/>
      <c r="AU827" s="40"/>
      <c r="AV827" s="40"/>
      <c r="AW827" s="40"/>
      <c r="AX827" s="18">
        <f>43*0.78</f>
        <v>33.54</v>
      </c>
      <c r="AY827" s="18">
        <f>43*0.87</f>
        <v>37.409999999999997</v>
      </c>
      <c r="AZ827" s="18">
        <f>43*0.68</f>
        <v>29.240000000000002</v>
      </c>
      <c r="BA827" s="18">
        <f>43*0.88</f>
        <v>37.840000000000003</v>
      </c>
      <c r="BB827" s="18">
        <f>43*1.02</f>
        <v>43.86</v>
      </c>
      <c r="BC827" s="18">
        <f>43*1</f>
        <v>43</v>
      </c>
      <c r="BD827" s="18">
        <f>43*1.04</f>
        <v>44.72</v>
      </c>
      <c r="BE827" s="18">
        <f>43*0.82</f>
        <v>35.26</v>
      </c>
      <c r="BF827" s="18">
        <f>43*0.82</f>
        <v>35.26</v>
      </c>
      <c r="BG827" s="18">
        <f>43*0.72</f>
        <v>30.959999999999997</v>
      </c>
      <c r="BH827" s="18">
        <f>43*0.72</f>
        <v>30.959999999999997</v>
      </c>
      <c r="BI827" s="18">
        <f>43*0.78</f>
        <v>33.54</v>
      </c>
      <c r="BJ827" s="113">
        <v>49</v>
      </c>
      <c r="BK827" s="113">
        <v>50</v>
      </c>
      <c r="BL827" s="113">
        <v>49</v>
      </c>
      <c r="BM827" s="113">
        <v>49</v>
      </c>
      <c r="BN827" s="113">
        <v>49</v>
      </c>
      <c r="BO827" s="113">
        <v>0</v>
      </c>
      <c r="BP827" s="113">
        <v>0</v>
      </c>
      <c r="BQ827" s="18">
        <v>0</v>
      </c>
      <c r="BR827" s="101"/>
      <c r="BS827">
        <f t="shared" si="1602"/>
        <v>0</v>
      </c>
      <c r="BT827">
        <f t="shared" si="1602"/>
        <v>0</v>
      </c>
      <c r="BU827">
        <f t="shared" si="1602"/>
        <v>0</v>
      </c>
      <c r="BV827">
        <f t="shared" si="1602"/>
        <v>0</v>
      </c>
      <c r="BW827">
        <f t="shared" si="1602"/>
        <v>0</v>
      </c>
      <c r="BX827">
        <f t="shared" si="1602"/>
        <v>0</v>
      </c>
      <c r="BY827">
        <f t="shared" si="1602"/>
        <v>0</v>
      </c>
      <c r="BZ827">
        <f t="shared" si="1602"/>
        <v>0</v>
      </c>
      <c r="CA827">
        <f t="shared" si="1602"/>
        <v>0</v>
      </c>
      <c r="CB827">
        <f t="shared" si="1602"/>
        <v>0</v>
      </c>
      <c r="CC827">
        <f t="shared" si="1603"/>
        <v>0</v>
      </c>
      <c r="CD827">
        <f t="shared" si="1603"/>
        <v>0</v>
      </c>
      <c r="CE827">
        <f t="shared" si="1603"/>
        <v>0</v>
      </c>
      <c r="CF827">
        <f t="shared" si="1603"/>
        <v>0</v>
      </c>
      <c r="CG827">
        <f t="shared" si="1603"/>
        <v>0</v>
      </c>
      <c r="CH827">
        <f t="shared" si="1603"/>
        <v>0</v>
      </c>
      <c r="CI827">
        <f t="shared" si="1603"/>
        <v>0</v>
      </c>
      <c r="CJ827">
        <f t="shared" si="1603"/>
        <v>0</v>
      </c>
      <c r="CK827">
        <f t="shared" si="1603"/>
        <v>0</v>
      </c>
      <c r="CL827">
        <f t="shared" si="1603"/>
        <v>0</v>
      </c>
      <c r="CM827">
        <f t="shared" si="1604"/>
        <v>0</v>
      </c>
      <c r="CN827">
        <f t="shared" si="1604"/>
        <v>0</v>
      </c>
      <c r="CO827">
        <f t="shared" si="1604"/>
        <v>0</v>
      </c>
      <c r="CP827">
        <f t="shared" si="1604"/>
        <v>0</v>
      </c>
      <c r="CQ827">
        <f t="shared" si="1604"/>
        <v>0</v>
      </c>
      <c r="CR827">
        <f t="shared" si="1604"/>
        <v>0</v>
      </c>
      <c r="CS827">
        <f t="shared" si="1604"/>
        <v>0</v>
      </c>
      <c r="CT827">
        <f t="shared" si="1604"/>
        <v>0</v>
      </c>
      <c r="CU827">
        <f t="shared" si="1604"/>
        <v>0</v>
      </c>
      <c r="CV827">
        <f t="shared" si="1604"/>
        <v>0</v>
      </c>
      <c r="CW827">
        <f t="shared" si="1605"/>
        <v>0</v>
      </c>
      <c r="CX827">
        <f t="shared" si="1605"/>
        <v>0</v>
      </c>
      <c r="CY827">
        <f t="shared" si="1605"/>
        <v>0</v>
      </c>
      <c r="CZ827">
        <f t="shared" si="1605"/>
        <v>0</v>
      </c>
      <c r="DA827">
        <f t="shared" si="1605"/>
        <v>0</v>
      </c>
      <c r="DB827">
        <f t="shared" si="1605"/>
        <v>0</v>
      </c>
      <c r="DC827">
        <f t="shared" si="1605"/>
        <v>0</v>
      </c>
      <c r="DD827">
        <f t="shared" si="1605"/>
        <v>0</v>
      </c>
      <c r="DE827">
        <f t="shared" si="1605"/>
        <v>0</v>
      </c>
      <c r="DF827">
        <f t="shared" si="1605"/>
        <v>0</v>
      </c>
      <c r="DG827">
        <f t="shared" si="1606"/>
        <v>0</v>
      </c>
      <c r="DH827">
        <f t="shared" si="1606"/>
        <v>0</v>
      </c>
      <c r="DI827">
        <f t="shared" si="1606"/>
        <v>0</v>
      </c>
      <c r="DJ827">
        <f t="shared" si="1606"/>
        <v>0</v>
      </c>
      <c r="DK827">
        <f t="shared" si="1606"/>
        <v>0</v>
      </c>
      <c r="DL827">
        <f t="shared" si="1606"/>
        <v>0</v>
      </c>
      <c r="DM827">
        <f t="shared" si="1606"/>
        <v>0</v>
      </c>
      <c r="DN827">
        <f t="shared" si="1606"/>
        <v>0</v>
      </c>
      <c r="DO827">
        <f t="shared" si="1606"/>
        <v>0</v>
      </c>
      <c r="DP827">
        <f t="shared" si="1606"/>
        <v>0</v>
      </c>
      <c r="DQ827">
        <f t="shared" si="1607"/>
        <v>0</v>
      </c>
      <c r="DR827">
        <f t="shared" si="1607"/>
        <v>0</v>
      </c>
      <c r="DS827">
        <f t="shared" si="1607"/>
        <v>0</v>
      </c>
      <c r="DT827">
        <f t="shared" si="1607"/>
        <v>0</v>
      </c>
      <c r="DU827">
        <f t="shared" si="1607"/>
        <v>0</v>
      </c>
      <c r="DV827">
        <f t="shared" si="1607"/>
        <v>0</v>
      </c>
      <c r="DW827">
        <f t="shared" si="1607"/>
        <v>0</v>
      </c>
      <c r="DX827">
        <f t="shared" si="1607"/>
        <v>0</v>
      </c>
      <c r="DY827">
        <f t="shared" si="1607"/>
        <v>0</v>
      </c>
      <c r="DZ827">
        <f t="shared" si="1607"/>
        <v>0</v>
      </c>
      <c r="EA827">
        <f t="shared" si="1608"/>
        <v>0</v>
      </c>
      <c r="EB827">
        <f t="shared" si="1608"/>
        <v>0</v>
      </c>
      <c r="EC827">
        <f t="shared" si="1608"/>
        <v>0</v>
      </c>
      <c r="ED827">
        <f t="shared" si="1608"/>
        <v>0</v>
      </c>
      <c r="EE827">
        <f t="shared" si="1608"/>
        <v>0</v>
      </c>
      <c r="EF827">
        <f t="shared" si="1608"/>
        <v>0</v>
      </c>
    </row>
    <row r="828" spans="1:136" ht="15.5">
      <c r="A828" s="90"/>
      <c r="B828" s="53"/>
      <c r="C828" s="94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18"/>
      <c r="AW828" s="18"/>
      <c r="AX828" s="18"/>
      <c r="AY828" s="18"/>
      <c r="AZ828" s="18"/>
      <c r="BA828" s="18"/>
      <c r="BB828" s="18"/>
      <c r="BC828" s="18"/>
      <c r="BD828" s="18"/>
      <c r="BE828" s="18"/>
      <c r="BF828" s="18"/>
      <c r="BG828" s="18"/>
      <c r="BH828" s="18"/>
      <c r="BI828" s="18"/>
      <c r="BJ828" s="2"/>
      <c r="BK828" s="2"/>
      <c r="BL828" s="22"/>
      <c r="BM828" s="2"/>
      <c r="BN828" s="2"/>
      <c r="BO828" s="2"/>
      <c r="BP828" s="2"/>
      <c r="BQ828" s="2"/>
      <c r="BR828" s="101"/>
    </row>
    <row r="829" spans="1:136" ht="15.5">
      <c r="A829" s="93">
        <v>105</v>
      </c>
      <c r="B829" s="52" t="s">
        <v>109</v>
      </c>
      <c r="C829" s="94">
        <v>4</v>
      </c>
      <c r="D829" s="22">
        <f>D830+D831+D832</f>
        <v>0</v>
      </c>
      <c r="E829" s="22">
        <f t="shared" ref="E829:BO829" si="1609">E830+E831+E832</f>
        <v>0</v>
      </c>
      <c r="F829" s="22">
        <f t="shared" si="1609"/>
        <v>0</v>
      </c>
      <c r="G829" s="22">
        <f t="shared" si="1609"/>
        <v>0</v>
      </c>
      <c r="H829" s="22">
        <f t="shared" si="1609"/>
        <v>0</v>
      </c>
      <c r="I829" s="22">
        <f t="shared" si="1609"/>
        <v>0</v>
      </c>
      <c r="J829" s="22">
        <f t="shared" si="1609"/>
        <v>0</v>
      </c>
      <c r="K829" s="22">
        <f t="shared" si="1609"/>
        <v>0</v>
      </c>
      <c r="L829" s="22">
        <f t="shared" si="1609"/>
        <v>0</v>
      </c>
      <c r="M829" s="22">
        <f t="shared" si="1609"/>
        <v>0</v>
      </c>
      <c r="N829" s="22">
        <f t="shared" si="1609"/>
        <v>0</v>
      </c>
      <c r="O829" s="22">
        <f t="shared" si="1609"/>
        <v>0</v>
      </c>
      <c r="P829" s="22">
        <f t="shared" si="1609"/>
        <v>0</v>
      </c>
      <c r="Q829" s="22">
        <f t="shared" si="1609"/>
        <v>0</v>
      </c>
      <c r="R829" s="22">
        <f t="shared" si="1609"/>
        <v>0</v>
      </c>
      <c r="S829" s="22">
        <f t="shared" si="1609"/>
        <v>0</v>
      </c>
      <c r="T829" s="22">
        <f t="shared" si="1609"/>
        <v>0</v>
      </c>
      <c r="U829" s="22">
        <f t="shared" si="1609"/>
        <v>0</v>
      </c>
      <c r="V829" s="22">
        <f t="shared" si="1609"/>
        <v>0</v>
      </c>
      <c r="W829" s="22">
        <f t="shared" si="1609"/>
        <v>0</v>
      </c>
      <c r="X829" s="22">
        <f t="shared" si="1609"/>
        <v>0</v>
      </c>
      <c r="Y829" s="22">
        <f t="shared" si="1609"/>
        <v>0</v>
      </c>
      <c r="Z829" s="22">
        <f t="shared" si="1609"/>
        <v>0</v>
      </c>
      <c r="AA829" s="22">
        <f t="shared" si="1609"/>
        <v>0</v>
      </c>
      <c r="AB829" s="22">
        <f t="shared" si="1609"/>
        <v>0</v>
      </c>
      <c r="AC829" s="22">
        <f t="shared" si="1609"/>
        <v>0</v>
      </c>
      <c r="AD829" s="22">
        <f t="shared" si="1609"/>
        <v>1.835</v>
      </c>
      <c r="AE829" s="22">
        <f t="shared" si="1609"/>
        <v>4.5799999999999992</v>
      </c>
      <c r="AF829" s="22">
        <f t="shared" si="1609"/>
        <v>5.6360000000000001</v>
      </c>
      <c r="AG829" s="22">
        <f t="shared" si="1609"/>
        <v>7.9690000000000003</v>
      </c>
      <c r="AH829" s="22">
        <f t="shared" si="1609"/>
        <v>10.427</v>
      </c>
      <c r="AI829" s="22">
        <f t="shared" si="1609"/>
        <v>19.858000000000001</v>
      </c>
      <c r="AJ829" s="22">
        <f t="shared" si="1609"/>
        <v>14.103</v>
      </c>
      <c r="AK829" s="22">
        <f t="shared" si="1609"/>
        <v>9.5779999999999994</v>
      </c>
      <c r="AL829" s="22">
        <f t="shared" si="1609"/>
        <v>7.8330000000000002</v>
      </c>
      <c r="AM829" s="22">
        <f t="shared" si="1609"/>
        <v>10.468</v>
      </c>
      <c r="AN829" s="22">
        <f t="shared" si="1609"/>
        <v>12.181999999999999</v>
      </c>
      <c r="AO829" s="22">
        <f t="shared" si="1609"/>
        <v>10.452999999999999</v>
      </c>
      <c r="AP829" s="22">
        <f t="shared" si="1609"/>
        <v>10.587</v>
      </c>
      <c r="AQ829" s="22">
        <f t="shared" si="1609"/>
        <v>3.3340000000000001</v>
      </c>
      <c r="AR829" s="22">
        <f t="shared" si="1609"/>
        <v>0.42003449999999998</v>
      </c>
      <c r="AS829" s="22">
        <f t="shared" si="1609"/>
        <v>0.6775544</v>
      </c>
      <c r="AT829" s="22">
        <f t="shared" si="1609"/>
        <v>0.9</v>
      </c>
      <c r="AU829" s="22">
        <f t="shared" si="1609"/>
        <v>1.2</v>
      </c>
      <c r="AV829" s="22">
        <f t="shared" si="1609"/>
        <v>1.7</v>
      </c>
      <c r="AW829" s="22">
        <f t="shared" si="1609"/>
        <v>0</v>
      </c>
      <c r="AX829" s="22">
        <f t="shared" si="1609"/>
        <v>0</v>
      </c>
      <c r="AY829" s="22">
        <f t="shared" si="1609"/>
        <v>0</v>
      </c>
      <c r="AZ829" s="22">
        <f t="shared" si="1609"/>
        <v>0</v>
      </c>
      <c r="BA829" s="22">
        <f t="shared" si="1609"/>
        <v>0</v>
      </c>
      <c r="BB829" s="22">
        <f t="shared" si="1609"/>
        <v>0.36802790000000002</v>
      </c>
      <c r="BC829" s="22">
        <f t="shared" si="1609"/>
        <v>0</v>
      </c>
      <c r="BD829" s="22">
        <f t="shared" si="1609"/>
        <v>4.6625300000000003</v>
      </c>
      <c r="BE829" s="22">
        <f t="shared" si="1609"/>
        <v>0</v>
      </c>
      <c r="BF829" s="22">
        <f t="shared" si="1609"/>
        <v>0</v>
      </c>
      <c r="BG829" s="22">
        <f t="shared" si="1609"/>
        <v>0</v>
      </c>
      <c r="BH829" s="22">
        <f t="shared" si="1609"/>
        <v>0</v>
      </c>
      <c r="BI829" s="22">
        <f t="shared" si="1609"/>
        <v>114.7</v>
      </c>
      <c r="BJ829" s="22">
        <f t="shared" si="1609"/>
        <v>0</v>
      </c>
      <c r="BK829" s="22">
        <f t="shared" si="1609"/>
        <v>0</v>
      </c>
      <c r="BL829" s="22">
        <f t="shared" si="1609"/>
        <v>2.0311718999999999</v>
      </c>
      <c r="BM829" s="22">
        <f t="shared" si="1609"/>
        <v>16.1341602</v>
      </c>
      <c r="BN829" s="22">
        <f t="shared" si="1609"/>
        <v>4.2610144999999999</v>
      </c>
      <c r="BO829" s="22">
        <f t="shared" si="1609"/>
        <v>0</v>
      </c>
      <c r="BP829" s="22">
        <f>BP830+BP831+BP832</f>
        <v>0</v>
      </c>
      <c r="BQ829" s="22">
        <f>BQ830+BQ831+BQ832</f>
        <v>0</v>
      </c>
      <c r="BR829" s="101"/>
      <c r="BS829">
        <f t="shared" ref="BS829:CB830" si="1610">IF($C829&lt;&gt;"",IF(D829&gt;0,1,0),0)</f>
        <v>0</v>
      </c>
      <c r="BT829">
        <f t="shared" si="1610"/>
        <v>0</v>
      </c>
      <c r="BU829">
        <f t="shared" si="1610"/>
        <v>0</v>
      </c>
      <c r="BV829">
        <f t="shared" si="1610"/>
        <v>0</v>
      </c>
      <c r="BW829">
        <f t="shared" si="1610"/>
        <v>0</v>
      </c>
      <c r="BX829">
        <f t="shared" si="1610"/>
        <v>0</v>
      </c>
      <c r="BY829">
        <f t="shared" si="1610"/>
        <v>0</v>
      </c>
      <c r="BZ829">
        <f t="shared" si="1610"/>
        <v>0</v>
      </c>
      <c r="CA829">
        <f t="shared" si="1610"/>
        <v>0</v>
      </c>
      <c r="CB829">
        <f t="shared" si="1610"/>
        <v>0</v>
      </c>
      <c r="CC829">
        <f t="shared" ref="CC829:CL830" si="1611">IF($C829&lt;&gt;"",IF(N829&gt;0,1,0),0)</f>
        <v>0</v>
      </c>
      <c r="CD829">
        <f t="shared" si="1611"/>
        <v>0</v>
      </c>
      <c r="CE829">
        <f t="shared" si="1611"/>
        <v>0</v>
      </c>
      <c r="CF829">
        <f t="shared" si="1611"/>
        <v>0</v>
      </c>
      <c r="CG829">
        <f t="shared" si="1611"/>
        <v>0</v>
      </c>
      <c r="CH829">
        <f t="shared" si="1611"/>
        <v>0</v>
      </c>
      <c r="CI829">
        <f t="shared" si="1611"/>
        <v>0</v>
      </c>
      <c r="CJ829">
        <f t="shared" si="1611"/>
        <v>0</v>
      </c>
      <c r="CK829">
        <f t="shared" si="1611"/>
        <v>0</v>
      </c>
      <c r="CL829">
        <f t="shared" si="1611"/>
        <v>0</v>
      </c>
      <c r="CM829">
        <f t="shared" ref="CM829:CV830" si="1612">IF($C829&lt;&gt;"",IF(X829&gt;0,1,0),0)</f>
        <v>0</v>
      </c>
      <c r="CN829">
        <f t="shared" si="1612"/>
        <v>0</v>
      </c>
      <c r="CO829">
        <f t="shared" si="1612"/>
        <v>0</v>
      </c>
      <c r="CP829">
        <f t="shared" si="1612"/>
        <v>0</v>
      </c>
      <c r="CQ829">
        <f t="shared" si="1612"/>
        <v>0</v>
      </c>
      <c r="CR829">
        <f t="shared" si="1612"/>
        <v>0</v>
      </c>
      <c r="CS829">
        <f t="shared" si="1612"/>
        <v>1</v>
      </c>
      <c r="CT829">
        <f t="shared" si="1612"/>
        <v>1</v>
      </c>
      <c r="CU829">
        <f t="shared" si="1612"/>
        <v>1</v>
      </c>
      <c r="CV829">
        <f t="shared" si="1612"/>
        <v>1</v>
      </c>
      <c r="CW829">
        <f t="shared" ref="CW829:DF830" si="1613">IF($C829&lt;&gt;"",IF(AH829&gt;0,1,0),0)</f>
        <v>1</v>
      </c>
      <c r="CX829">
        <f t="shared" si="1613"/>
        <v>1</v>
      </c>
      <c r="CY829">
        <f t="shared" si="1613"/>
        <v>1</v>
      </c>
      <c r="CZ829">
        <f t="shared" si="1613"/>
        <v>1</v>
      </c>
      <c r="DA829">
        <f t="shared" si="1613"/>
        <v>1</v>
      </c>
      <c r="DB829">
        <f t="shared" si="1613"/>
        <v>1</v>
      </c>
      <c r="DC829">
        <f t="shared" si="1613"/>
        <v>1</v>
      </c>
      <c r="DD829">
        <f t="shared" si="1613"/>
        <v>1</v>
      </c>
      <c r="DE829">
        <f t="shared" si="1613"/>
        <v>1</v>
      </c>
      <c r="DF829">
        <f t="shared" si="1613"/>
        <v>1</v>
      </c>
      <c r="DG829">
        <f t="shared" ref="DG829:DP830" si="1614">IF($C829&lt;&gt;"",IF(AR829&gt;0,1,0),0)</f>
        <v>1</v>
      </c>
      <c r="DH829">
        <f t="shared" si="1614"/>
        <v>1</v>
      </c>
      <c r="DI829">
        <f t="shared" si="1614"/>
        <v>1</v>
      </c>
      <c r="DJ829">
        <f t="shared" si="1614"/>
        <v>1</v>
      </c>
      <c r="DK829">
        <f t="shared" si="1614"/>
        <v>1</v>
      </c>
      <c r="DL829">
        <f t="shared" si="1614"/>
        <v>0</v>
      </c>
      <c r="DM829">
        <f t="shared" si="1614"/>
        <v>0</v>
      </c>
      <c r="DN829">
        <f t="shared" si="1614"/>
        <v>0</v>
      </c>
      <c r="DO829">
        <f t="shared" si="1614"/>
        <v>0</v>
      </c>
      <c r="DP829">
        <f t="shared" si="1614"/>
        <v>0</v>
      </c>
      <c r="DQ829">
        <f t="shared" ref="DQ829:DZ830" si="1615">IF($C829&lt;&gt;"",IF(BB829&gt;0,1,0),0)</f>
        <v>1</v>
      </c>
      <c r="DR829">
        <f t="shared" si="1615"/>
        <v>0</v>
      </c>
      <c r="DS829">
        <f t="shared" si="1615"/>
        <v>1</v>
      </c>
      <c r="DT829">
        <f t="shared" si="1615"/>
        <v>0</v>
      </c>
      <c r="DU829">
        <f t="shared" si="1615"/>
        <v>0</v>
      </c>
      <c r="DV829">
        <f t="shared" si="1615"/>
        <v>0</v>
      </c>
      <c r="DW829">
        <f t="shared" si="1615"/>
        <v>0</v>
      </c>
      <c r="DX829">
        <f t="shared" si="1615"/>
        <v>1</v>
      </c>
      <c r="DY829">
        <f t="shared" si="1615"/>
        <v>0</v>
      </c>
      <c r="DZ829">
        <f t="shared" si="1615"/>
        <v>0</v>
      </c>
      <c r="EA829">
        <f t="shared" ref="EA829:EF830" si="1616">IF($C829&lt;&gt;"",IF(BL829&gt;0,1,0),0)</f>
        <v>1</v>
      </c>
      <c r="EB829">
        <f t="shared" si="1616"/>
        <v>1</v>
      </c>
      <c r="EC829">
        <f t="shared" si="1616"/>
        <v>1</v>
      </c>
      <c r="ED829">
        <f t="shared" si="1616"/>
        <v>0</v>
      </c>
      <c r="EE829">
        <f t="shared" si="1616"/>
        <v>0</v>
      </c>
      <c r="EF829">
        <f t="shared" si="1616"/>
        <v>0</v>
      </c>
    </row>
    <row r="830" spans="1:136" ht="15.5">
      <c r="A830" s="90"/>
      <c r="B830" s="19" t="s">
        <v>205</v>
      </c>
      <c r="C830" s="94"/>
      <c r="D830" s="18">
        <v>0</v>
      </c>
      <c r="E830" s="18">
        <v>0</v>
      </c>
      <c r="F830" s="18">
        <v>0</v>
      </c>
      <c r="G830" s="18">
        <v>0</v>
      </c>
      <c r="H830" s="18">
        <v>0</v>
      </c>
      <c r="I830" s="18">
        <v>0</v>
      </c>
      <c r="J830" s="18">
        <v>0</v>
      </c>
      <c r="K830" s="18">
        <v>0</v>
      </c>
      <c r="L830" s="18">
        <v>0</v>
      </c>
      <c r="M830" s="18">
        <v>0</v>
      </c>
      <c r="N830" s="18">
        <v>0</v>
      </c>
      <c r="O830" s="18">
        <v>0</v>
      </c>
      <c r="P830" s="18">
        <v>0</v>
      </c>
      <c r="Q830" s="18">
        <v>0</v>
      </c>
      <c r="R830" s="18">
        <v>0</v>
      </c>
      <c r="S830" s="18">
        <v>0</v>
      </c>
      <c r="T830" s="18">
        <v>0</v>
      </c>
      <c r="U830" s="18">
        <v>0</v>
      </c>
      <c r="V830" s="18">
        <v>0</v>
      </c>
      <c r="W830" s="18">
        <v>0</v>
      </c>
      <c r="X830" s="18">
        <v>0</v>
      </c>
      <c r="Y830" s="18">
        <v>0</v>
      </c>
      <c r="Z830" s="18">
        <v>0</v>
      </c>
      <c r="AA830" s="18">
        <v>0</v>
      </c>
      <c r="AB830" s="18">
        <v>0</v>
      </c>
      <c r="AC830" s="18">
        <v>0</v>
      </c>
      <c r="AD830" s="18">
        <v>0</v>
      </c>
      <c r="AE830" s="18">
        <v>0</v>
      </c>
      <c r="AF830" s="18">
        <v>0</v>
      </c>
      <c r="AG830" s="18">
        <v>0</v>
      </c>
      <c r="AH830" s="18">
        <v>0</v>
      </c>
      <c r="AI830" s="18">
        <v>0</v>
      </c>
      <c r="AJ830" s="18">
        <v>0</v>
      </c>
      <c r="AK830" s="18">
        <v>0</v>
      </c>
      <c r="AL830" s="18">
        <v>0.23200000000000001</v>
      </c>
      <c r="AM830" s="18">
        <v>0.46400000000000002</v>
      </c>
      <c r="AN830" s="18">
        <v>0.46400000000000002</v>
      </c>
      <c r="AO830" s="18">
        <v>0.46400000000000002</v>
      </c>
      <c r="AP830" s="18">
        <v>0.46400000000000002</v>
      </c>
      <c r="AQ830" s="18">
        <v>0.46400000000000002</v>
      </c>
      <c r="AR830" s="18">
        <v>0</v>
      </c>
      <c r="AS830" s="18">
        <v>0</v>
      </c>
      <c r="AT830" s="18">
        <v>0</v>
      </c>
      <c r="AU830" s="18">
        <v>0</v>
      </c>
      <c r="AV830" s="18">
        <v>0</v>
      </c>
      <c r="AW830" s="18">
        <v>0</v>
      </c>
      <c r="AX830" s="18">
        <v>0</v>
      </c>
      <c r="AY830" s="18">
        <v>0</v>
      </c>
      <c r="AZ830" s="18">
        <v>0</v>
      </c>
      <c r="BA830" s="18">
        <v>0</v>
      </c>
      <c r="BB830" s="18">
        <v>0</v>
      </c>
      <c r="BC830" s="18">
        <v>0</v>
      </c>
      <c r="BD830" s="18">
        <v>0</v>
      </c>
      <c r="BE830" s="25">
        <v>0</v>
      </c>
      <c r="BF830" s="18">
        <v>0</v>
      </c>
      <c r="BG830" s="18">
        <v>0</v>
      </c>
      <c r="BH830" s="18">
        <v>0</v>
      </c>
      <c r="BI830" s="18">
        <v>114.7</v>
      </c>
      <c r="BJ830" s="18">
        <v>0</v>
      </c>
      <c r="BK830" s="18">
        <v>0</v>
      </c>
      <c r="BL830" s="18">
        <v>0</v>
      </c>
      <c r="BM830" s="18">
        <v>1.1619246999999999</v>
      </c>
      <c r="BN830" s="18">
        <v>0</v>
      </c>
      <c r="BO830" s="18">
        <v>0</v>
      </c>
      <c r="BP830" s="18">
        <v>0</v>
      </c>
      <c r="BQ830" s="18">
        <v>0</v>
      </c>
      <c r="BR830" s="101"/>
      <c r="BS830">
        <f t="shared" si="1610"/>
        <v>0</v>
      </c>
      <c r="BT830">
        <f t="shared" si="1610"/>
        <v>0</v>
      </c>
      <c r="BU830">
        <f t="shared" si="1610"/>
        <v>0</v>
      </c>
      <c r="BV830">
        <f t="shared" si="1610"/>
        <v>0</v>
      </c>
      <c r="BW830">
        <f t="shared" si="1610"/>
        <v>0</v>
      </c>
      <c r="BX830">
        <f t="shared" si="1610"/>
        <v>0</v>
      </c>
      <c r="BY830">
        <f t="shared" si="1610"/>
        <v>0</v>
      </c>
      <c r="BZ830">
        <f t="shared" si="1610"/>
        <v>0</v>
      </c>
      <c r="CA830">
        <f t="shared" si="1610"/>
        <v>0</v>
      </c>
      <c r="CB830">
        <f t="shared" si="1610"/>
        <v>0</v>
      </c>
      <c r="CC830">
        <f t="shared" si="1611"/>
        <v>0</v>
      </c>
      <c r="CD830">
        <f t="shared" si="1611"/>
        <v>0</v>
      </c>
      <c r="CE830">
        <f t="shared" si="1611"/>
        <v>0</v>
      </c>
      <c r="CF830">
        <f t="shared" si="1611"/>
        <v>0</v>
      </c>
      <c r="CG830">
        <f t="shared" si="1611"/>
        <v>0</v>
      </c>
      <c r="CH830">
        <f t="shared" si="1611"/>
        <v>0</v>
      </c>
      <c r="CI830">
        <f t="shared" si="1611"/>
        <v>0</v>
      </c>
      <c r="CJ830">
        <f t="shared" si="1611"/>
        <v>0</v>
      </c>
      <c r="CK830">
        <f t="shared" si="1611"/>
        <v>0</v>
      </c>
      <c r="CL830">
        <f t="shared" si="1611"/>
        <v>0</v>
      </c>
      <c r="CM830">
        <f t="shared" si="1612"/>
        <v>0</v>
      </c>
      <c r="CN830">
        <f t="shared" si="1612"/>
        <v>0</v>
      </c>
      <c r="CO830">
        <f t="shared" si="1612"/>
        <v>0</v>
      </c>
      <c r="CP830">
        <f t="shared" si="1612"/>
        <v>0</v>
      </c>
      <c r="CQ830">
        <f t="shared" si="1612"/>
        <v>0</v>
      </c>
      <c r="CR830">
        <f t="shared" si="1612"/>
        <v>0</v>
      </c>
      <c r="CS830">
        <f t="shared" si="1612"/>
        <v>0</v>
      </c>
      <c r="CT830">
        <f t="shared" si="1612"/>
        <v>0</v>
      </c>
      <c r="CU830">
        <f t="shared" si="1612"/>
        <v>0</v>
      </c>
      <c r="CV830">
        <f t="shared" si="1612"/>
        <v>0</v>
      </c>
      <c r="CW830">
        <f t="shared" si="1613"/>
        <v>0</v>
      </c>
      <c r="CX830">
        <f t="shared" si="1613"/>
        <v>0</v>
      </c>
      <c r="CY830">
        <f t="shared" si="1613"/>
        <v>0</v>
      </c>
      <c r="CZ830">
        <f t="shared" si="1613"/>
        <v>0</v>
      </c>
      <c r="DA830">
        <f t="shared" si="1613"/>
        <v>0</v>
      </c>
      <c r="DB830">
        <f t="shared" si="1613"/>
        <v>0</v>
      </c>
      <c r="DC830">
        <f t="shared" si="1613"/>
        <v>0</v>
      </c>
      <c r="DD830">
        <f t="shared" si="1613"/>
        <v>0</v>
      </c>
      <c r="DE830">
        <f t="shared" si="1613"/>
        <v>0</v>
      </c>
      <c r="DF830">
        <f t="shared" si="1613"/>
        <v>0</v>
      </c>
      <c r="DG830">
        <f t="shared" si="1614"/>
        <v>0</v>
      </c>
      <c r="DH830">
        <f t="shared" si="1614"/>
        <v>0</v>
      </c>
      <c r="DI830">
        <f t="shared" si="1614"/>
        <v>0</v>
      </c>
      <c r="DJ830">
        <f t="shared" si="1614"/>
        <v>0</v>
      </c>
      <c r="DK830">
        <f t="shared" si="1614"/>
        <v>0</v>
      </c>
      <c r="DL830">
        <f t="shared" si="1614"/>
        <v>0</v>
      </c>
      <c r="DM830">
        <f t="shared" si="1614"/>
        <v>0</v>
      </c>
      <c r="DN830">
        <f t="shared" si="1614"/>
        <v>0</v>
      </c>
      <c r="DO830">
        <f t="shared" si="1614"/>
        <v>0</v>
      </c>
      <c r="DP830">
        <f t="shared" si="1614"/>
        <v>0</v>
      </c>
      <c r="DQ830">
        <f t="shared" si="1615"/>
        <v>0</v>
      </c>
      <c r="DR830">
        <f t="shared" si="1615"/>
        <v>0</v>
      </c>
      <c r="DS830">
        <f t="shared" si="1615"/>
        <v>0</v>
      </c>
      <c r="DT830">
        <f t="shared" si="1615"/>
        <v>0</v>
      </c>
      <c r="DU830">
        <f t="shared" si="1615"/>
        <v>0</v>
      </c>
      <c r="DV830">
        <f t="shared" si="1615"/>
        <v>0</v>
      </c>
      <c r="DW830">
        <f t="shared" si="1615"/>
        <v>0</v>
      </c>
      <c r="DX830">
        <f t="shared" si="1615"/>
        <v>0</v>
      </c>
      <c r="DY830">
        <f t="shared" si="1615"/>
        <v>0</v>
      </c>
      <c r="DZ830">
        <f t="shared" si="1615"/>
        <v>0</v>
      </c>
      <c r="EA830">
        <f t="shared" si="1616"/>
        <v>0</v>
      </c>
      <c r="EB830">
        <f t="shared" si="1616"/>
        <v>0</v>
      </c>
      <c r="EC830">
        <f t="shared" si="1616"/>
        <v>0</v>
      </c>
      <c r="ED830">
        <f t="shared" si="1616"/>
        <v>0</v>
      </c>
      <c r="EE830">
        <f t="shared" si="1616"/>
        <v>0</v>
      </c>
      <c r="EF830">
        <f t="shared" si="1616"/>
        <v>0</v>
      </c>
    </row>
    <row r="831" spans="1:136" ht="15.5">
      <c r="A831" s="90"/>
      <c r="B831" s="57" t="s">
        <v>3</v>
      </c>
      <c r="C831" s="95"/>
      <c r="D831" s="34">
        <v>0</v>
      </c>
      <c r="E831" s="34">
        <v>0</v>
      </c>
      <c r="F831" s="34">
        <v>0</v>
      </c>
      <c r="G831" s="34">
        <v>0</v>
      </c>
      <c r="H831" s="34">
        <v>0</v>
      </c>
      <c r="I831" s="34">
        <v>0</v>
      </c>
      <c r="J831" s="34">
        <v>0</v>
      </c>
      <c r="K831" s="34">
        <v>0</v>
      </c>
      <c r="L831" s="34">
        <v>0</v>
      </c>
      <c r="M831" s="34">
        <v>0</v>
      </c>
      <c r="N831" s="34">
        <v>0</v>
      </c>
      <c r="O831" s="34">
        <v>0</v>
      </c>
      <c r="P831" s="34">
        <v>0</v>
      </c>
      <c r="Q831" s="34">
        <v>0</v>
      </c>
      <c r="R831" s="34">
        <v>0</v>
      </c>
      <c r="S831" s="34">
        <v>0</v>
      </c>
      <c r="T831" s="34">
        <v>0</v>
      </c>
      <c r="U831" s="34">
        <v>0</v>
      </c>
      <c r="V831" s="34">
        <v>0</v>
      </c>
      <c r="W831" s="34">
        <v>0</v>
      </c>
      <c r="X831" s="34">
        <v>0</v>
      </c>
      <c r="Y831" s="34">
        <v>0</v>
      </c>
      <c r="Z831" s="34">
        <v>0</v>
      </c>
      <c r="AA831" s="34">
        <v>0</v>
      </c>
      <c r="AB831" s="34">
        <v>0</v>
      </c>
      <c r="AC831" s="34">
        <v>0</v>
      </c>
      <c r="AD831" s="34">
        <v>1.835</v>
      </c>
      <c r="AE831" s="34">
        <v>4.3759999999999994</v>
      </c>
      <c r="AF831" s="34">
        <v>5.6360000000000001</v>
      </c>
      <c r="AG831" s="34">
        <v>7.9690000000000003</v>
      </c>
      <c r="AH831" s="34">
        <v>10.427</v>
      </c>
      <c r="AI831" s="34">
        <v>19.672000000000001</v>
      </c>
      <c r="AJ831" s="34">
        <v>13.577</v>
      </c>
      <c r="AK831" s="34">
        <v>8.0289999999999999</v>
      </c>
      <c r="AL831" s="34">
        <v>4.5309999999999997</v>
      </c>
      <c r="AM831" s="34">
        <v>5.109</v>
      </c>
      <c r="AN831" s="34">
        <v>6.0069999999999997</v>
      </c>
      <c r="AO831" s="34">
        <v>5.4399999999999995</v>
      </c>
      <c r="AP831" s="34">
        <v>6.3079999999999998</v>
      </c>
      <c r="AQ831" s="34">
        <v>2.4910000000000001</v>
      </c>
      <c r="AR831" s="34">
        <v>0.3</v>
      </c>
      <c r="AS831" s="34">
        <v>0.6</v>
      </c>
      <c r="AT831" s="34">
        <v>0.9</v>
      </c>
      <c r="AU831" s="34">
        <v>1.2</v>
      </c>
      <c r="AV831" s="34">
        <v>1.7</v>
      </c>
      <c r="AW831" s="34">
        <v>0</v>
      </c>
      <c r="AX831" s="34">
        <v>0</v>
      </c>
      <c r="AY831" s="34">
        <v>0</v>
      </c>
      <c r="AZ831" s="34">
        <v>0</v>
      </c>
      <c r="BA831" s="34">
        <v>0</v>
      </c>
      <c r="BB831" s="34">
        <v>0.36802790000000002</v>
      </c>
      <c r="BC831" s="34">
        <v>0</v>
      </c>
      <c r="BD831" s="34">
        <v>4.6625300000000003</v>
      </c>
      <c r="BE831" s="42">
        <v>0</v>
      </c>
      <c r="BF831" s="34">
        <v>0</v>
      </c>
      <c r="BG831" s="34">
        <v>0</v>
      </c>
      <c r="BH831" s="34">
        <v>0</v>
      </c>
      <c r="BI831" s="34">
        <v>0</v>
      </c>
      <c r="BJ831" s="113">
        <v>0</v>
      </c>
      <c r="BK831" s="113">
        <v>0</v>
      </c>
      <c r="BL831" s="113">
        <v>2.0311718999999999</v>
      </c>
      <c r="BM831" s="113">
        <f>16.1341602-BM830</f>
        <v>14.9722355</v>
      </c>
      <c r="BN831" s="113">
        <v>4.2610144999999999</v>
      </c>
      <c r="BO831" s="113">
        <v>0</v>
      </c>
      <c r="BP831" s="113">
        <v>0</v>
      </c>
      <c r="BQ831" s="113">
        <v>0</v>
      </c>
      <c r="BR831" s="101"/>
      <c r="BS831">
        <f t="shared" ref="BS831:CB832" si="1617">IF($C831&lt;&gt;"",IF(D831&gt;0,1,0),0)</f>
        <v>0</v>
      </c>
      <c r="BT831">
        <f t="shared" si="1617"/>
        <v>0</v>
      </c>
      <c r="BU831">
        <f t="shared" si="1617"/>
        <v>0</v>
      </c>
      <c r="BV831">
        <f t="shared" si="1617"/>
        <v>0</v>
      </c>
      <c r="BW831">
        <f t="shared" si="1617"/>
        <v>0</v>
      </c>
      <c r="BX831">
        <f t="shared" si="1617"/>
        <v>0</v>
      </c>
      <c r="BY831">
        <f t="shared" si="1617"/>
        <v>0</v>
      </c>
      <c r="BZ831">
        <f t="shared" si="1617"/>
        <v>0</v>
      </c>
      <c r="CA831">
        <f t="shared" si="1617"/>
        <v>0</v>
      </c>
      <c r="CB831">
        <f t="shared" si="1617"/>
        <v>0</v>
      </c>
      <c r="CC831">
        <f t="shared" ref="CC831:CL832" si="1618">IF($C831&lt;&gt;"",IF(N831&gt;0,1,0),0)</f>
        <v>0</v>
      </c>
      <c r="CD831">
        <f t="shared" si="1618"/>
        <v>0</v>
      </c>
      <c r="CE831">
        <f t="shared" si="1618"/>
        <v>0</v>
      </c>
      <c r="CF831">
        <f t="shared" si="1618"/>
        <v>0</v>
      </c>
      <c r="CG831">
        <f t="shared" si="1618"/>
        <v>0</v>
      </c>
      <c r="CH831">
        <f t="shared" si="1618"/>
        <v>0</v>
      </c>
      <c r="CI831">
        <f t="shared" si="1618"/>
        <v>0</v>
      </c>
      <c r="CJ831">
        <f t="shared" si="1618"/>
        <v>0</v>
      </c>
      <c r="CK831">
        <f t="shared" si="1618"/>
        <v>0</v>
      </c>
      <c r="CL831">
        <f t="shared" si="1618"/>
        <v>0</v>
      </c>
      <c r="CM831">
        <f t="shared" ref="CM831:CV832" si="1619">IF($C831&lt;&gt;"",IF(X831&gt;0,1,0),0)</f>
        <v>0</v>
      </c>
      <c r="CN831">
        <f t="shared" si="1619"/>
        <v>0</v>
      </c>
      <c r="CO831">
        <f t="shared" si="1619"/>
        <v>0</v>
      </c>
      <c r="CP831">
        <f t="shared" si="1619"/>
        <v>0</v>
      </c>
      <c r="CQ831">
        <f t="shared" si="1619"/>
        <v>0</v>
      </c>
      <c r="CR831">
        <f t="shared" si="1619"/>
        <v>0</v>
      </c>
      <c r="CS831">
        <f t="shared" si="1619"/>
        <v>0</v>
      </c>
      <c r="CT831">
        <f t="shared" si="1619"/>
        <v>0</v>
      </c>
      <c r="CU831">
        <f t="shared" si="1619"/>
        <v>0</v>
      </c>
      <c r="CV831">
        <f t="shared" si="1619"/>
        <v>0</v>
      </c>
      <c r="CW831">
        <f t="shared" ref="CW831:DF832" si="1620">IF($C831&lt;&gt;"",IF(AH831&gt;0,1,0),0)</f>
        <v>0</v>
      </c>
      <c r="CX831">
        <f t="shared" si="1620"/>
        <v>0</v>
      </c>
      <c r="CY831">
        <f t="shared" si="1620"/>
        <v>0</v>
      </c>
      <c r="CZ831">
        <f t="shared" si="1620"/>
        <v>0</v>
      </c>
      <c r="DA831">
        <f t="shared" si="1620"/>
        <v>0</v>
      </c>
      <c r="DB831">
        <f t="shared" si="1620"/>
        <v>0</v>
      </c>
      <c r="DC831">
        <f t="shared" si="1620"/>
        <v>0</v>
      </c>
      <c r="DD831">
        <f t="shared" si="1620"/>
        <v>0</v>
      </c>
      <c r="DE831">
        <f t="shared" si="1620"/>
        <v>0</v>
      </c>
      <c r="DF831">
        <f t="shared" si="1620"/>
        <v>0</v>
      </c>
      <c r="DG831">
        <f t="shared" ref="DG831:DP832" si="1621">IF($C831&lt;&gt;"",IF(AR831&gt;0,1,0),0)</f>
        <v>0</v>
      </c>
      <c r="DH831">
        <f t="shared" si="1621"/>
        <v>0</v>
      </c>
      <c r="DI831">
        <f t="shared" si="1621"/>
        <v>0</v>
      </c>
      <c r="DJ831">
        <f t="shared" si="1621"/>
        <v>0</v>
      </c>
      <c r="DK831">
        <f t="shared" si="1621"/>
        <v>0</v>
      </c>
      <c r="DL831">
        <f t="shared" si="1621"/>
        <v>0</v>
      </c>
      <c r="DM831">
        <f t="shared" si="1621"/>
        <v>0</v>
      </c>
      <c r="DN831">
        <f t="shared" si="1621"/>
        <v>0</v>
      </c>
      <c r="DO831">
        <f t="shared" si="1621"/>
        <v>0</v>
      </c>
      <c r="DP831">
        <f t="shared" si="1621"/>
        <v>0</v>
      </c>
      <c r="DQ831">
        <f t="shared" ref="DQ831:DZ832" si="1622">IF($C831&lt;&gt;"",IF(BB831&gt;0,1,0),0)</f>
        <v>0</v>
      </c>
      <c r="DR831">
        <f t="shared" si="1622"/>
        <v>0</v>
      </c>
      <c r="DS831">
        <f t="shared" si="1622"/>
        <v>0</v>
      </c>
      <c r="DT831">
        <f t="shared" si="1622"/>
        <v>0</v>
      </c>
      <c r="DU831">
        <f t="shared" si="1622"/>
        <v>0</v>
      </c>
      <c r="DV831">
        <f t="shared" si="1622"/>
        <v>0</v>
      </c>
      <c r="DW831">
        <f t="shared" si="1622"/>
        <v>0</v>
      </c>
      <c r="DX831">
        <f t="shared" si="1622"/>
        <v>0</v>
      </c>
      <c r="DY831">
        <f t="shared" si="1622"/>
        <v>0</v>
      </c>
      <c r="DZ831">
        <f t="shared" si="1622"/>
        <v>0</v>
      </c>
      <c r="EA831">
        <f t="shared" ref="EA831:EF831" si="1623">IF($C831&lt;&gt;"",IF(BL829&gt;0,1,0),0)</f>
        <v>0</v>
      </c>
      <c r="EB831">
        <f t="shared" si="1623"/>
        <v>0</v>
      </c>
      <c r="EC831">
        <f t="shared" si="1623"/>
        <v>0</v>
      </c>
      <c r="ED831">
        <f t="shared" si="1623"/>
        <v>0</v>
      </c>
      <c r="EE831">
        <f t="shared" si="1623"/>
        <v>0</v>
      </c>
      <c r="EF831">
        <f t="shared" si="1623"/>
        <v>0</v>
      </c>
    </row>
    <row r="832" spans="1:136" ht="15.5">
      <c r="A832" s="90"/>
      <c r="B832" s="19" t="s">
        <v>208</v>
      </c>
      <c r="C832" s="95"/>
      <c r="D832" s="18">
        <v>0</v>
      </c>
      <c r="E832" s="18">
        <v>0</v>
      </c>
      <c r="F832" s="18">
        <v>0</v>
      </c>
      <c r="G832" s="18">
        <v>0</v>
      </c>
      <c r="H832" s="18">
        <v>0</v>
      </c>
      <c r="I832" s="18">
        <v>0</v>
      </c>
      <c r="J832" s="18">
        <v>0</v>
      </c>
      <c r="K832" s="18">
        <v>0</v>
      </c>
      <c r="L832" s="18">
        <v>0</v>
      </c>
      <c r="M832" s="18">
        <v>0</v>
      </c>
      <c r="N832" s="18">
        <v>0</v>
      </c>
      <c r="O832" s="18">
        <v>0</v>
      </c>
      <c r="P832" s="18">
        <v>0</v>
      </c>
      <c r="Q832" s="18">
        <v>0</v>
      </c>
      <c r="R832" s="18">
        <v>0</v>
      </c>
      <c r="S832" s="18">
        <v>0</v>
      </c>
      <c r="T832" s="18">
        <v>0</v>
      </c>
      <c r="U832" s="18">
        <v>0</v>
      </c>
      <c r="V832" s="18">
        <v>0</v>
      </c>
      <c r="W832" s="18">
        <v>0</v>
      </c>
      <c r="X832" s="18">
        <v>0</v>
      </c>
      <c r="Y832" s="18">
        <v>0</v>
      </c>
      <c r="Z832" s="18">
        <v>0</v>
      </c>
      <c r="AA832" s="18">
        <v>0</v>
      </c>
      <c r="AB832" s="18">
        <v>0</v>
      </c>
      <c r="AC832" s="18">
        <v>0</v>
      </c>
      <c r="AD832" s="18">
        <v>0</v>
      </c>
      <c r="AE832" s="18">
        <v>0.20399999999999999</v>
      </c>
      <c r="AF832" s="18">
        <v>0</v>
      </c>
      <c r="AG832" s="18">
        <v>0</v>
      </c>
      <c r="AH832" s="18">
        <v>0</v>
      </c>
      <c r="AI832" s="18">
        <v>0.186</v>
      </c>
      <c r="AJ832" s="18">
        <v>0.52600000000000002</v>
      </c>
      <c r="AK832" s="18">
        <v>1.5489999999999999</v>
      </c>
      <c r="AL832" s="18">
        <v>3.07</v>
      </c>
      <c r="AM832" s="18">
        <v>4.8950000000000005</v>
      </c>
      <c r="AN832" s="18">
        <v>5.7109999999999994</v>
      </c>
      <c r="AO832" s="18">
        <v>4.5490000000000004</v>
      </c>
      <c r="AP832" s="18">
        <v>3.8149999999999999</v>
      </c>
      <c r="AQ832" s="18">
        <v>0.379</v>
      </c>
      <c r="AR832" s="18">
        <v>0.1200345</v>
      </c>
      <c r="AS832" s="18">
        <v>7.7554399999999996E-2</v>
      </c>
      <c r="AT832" s="18">
        <v>0</v>
      </c>
      <c r="AU832" s="18">
        <v>0</v>
      </c>
      <c r="AV832" s="18">
        <v>0</v>
      </c>
      <c r="AW832" s="18">
        <v>0</v>
      </c>
      <c r="AX832" s="18">
        <v>0</v>
      </c>
      <c r="AY832" s="18">
        <v>0</v>
      </c>
      <c r="AZ832" s="18">
        <v>0</v>
      </c>
      <c r="BA832" s="18">
        <v>0</v>
      </c>
      <c r="BB832" s="18">
        <v>0</v>
      </c>
      <c r="BC832" s="18">
        <v>0</v>
      </c>
      <c r="BD832" s="18">
        <v>0</v>
      </c>
      <c r="BE832" s="25">
        <v>0</v>
      </c>
      <c r="BF832" s="25">
        <v>0</v>
      </c>
      <c r="BG832" s="18">
        <v>0</v>
      </c>
      <c r="BH832" s="18">
        <v>0</v>
      </c>
      <c r="BI832" s="18">
        <v>0</v>
      </c>
      <c r="BJ832" s="113">
        <v>0</v>
      </c>
      <c r="BK832" s="113">
        <v>0</v>
      </c>
      <c r="BL832" s="113">
        <v>0</v>
      </c>
      <c r="BM832" s="113">
        <v>0</v>
      </c>
      <c r="BN832" s="113">
        <v>0</v>
      </c>
      <c r="BO832" s="113">
        <v>0</v>
      </c>
      <c r="BP832" s="113">
        <v>0</v>
      </c>
      <c r="BQ832" s="113">
        <v>0</v>
      </c>
      <c r="BR832" s="101"/>
      <c r="BS832">
        <f t="shared" si="1617"/>
        <v>0</v>
      </c>
      <c r="BT832">
        <f t="shared" si="1617"/>
        <v>0</v>
      </c>
      <c r="BU832">
        <f t="shared" si="1617"/>
        <v>0</v>
      </c>
      <c r="BV832">
        <f t="shared" si="1617"/>
        <v>0</v>
      </c>
      <c r="BW832">
        <f t="shared" si="1617"/>
        <v>0</v>
      </c>
      <c r="BX832">
        <f t="shared" si="1617"/>
        <v>0</v>
      </c>
      <c r="BY832">
        <f t="shared" si="1617"/>
        <v>0</v>
      </c>
      <c r="BZ832">
        <f t="shared" si="1617"/>
        <v>0</v>
      </c>
      <c r="CA832">
        <f t="shared" si="1617"/>
        <v>0</v>
      </c>
      <c r="CB832">
        <f t="shared" si="1617"/>
        <v>0</v>
      </c>
      <c r="CC832">
        <f t="shared" si="1618"/>
        <v>0</v>
      </c>
      <c r="CD832">
        <f t="shared" si="1618"/>
        <v>0</v>
      </c>
      <c r="CE832">
        <f t="shared" si="1618"/>
        <v>0</v>
      </c>
      <c r="CF832">
        <f t="shared" si="1618"/>
        <v>0</v>
      </c>
      <c r="CG832">
        <f t="shared" si="1618"/>
        <v>0</v>
      </c>
      <c r="CH832">
        <f t="shared" si="1618"/>
        <v>0</v>
      </c>
      <c r="CI832">
        <f t="shared" si="1618"/>
        <v>0</v>
      </c>
      <c r="CJ832">
        <f t="shared" si="1618"/>
        <v>0</v>
      </c>
      <c r="CK832">
        <f t="shared" si="1618"/>
        <v>0</v>
      </c>
      <c r="CL832">
        <f t="shared" si="1618"/>
        <v>0</v>
      </c>
      <c r="CM832">
        <f t="shared" si="1619"/>
        <v>0</v>
      </c>
      <c r="CN832">
        <f t="shared" si="1619"/>
        <v>0</v>
      </c>
      <c r="CO832">
        <f t="shared" si="1619"/>
        <v>0</v>
      </c>
      <c r="CP832">
        <f t="shared" si="1619"/>
        <v>0</v>
      </c>
      <c r="CQ832">
        <f t="shared" si="1619"/>
        <v>0</v>
      </c>
      <c r="CR832">
        <f t="shared" si="1619"/>
        <v>0</v>
      </c>
      <c r="CS832">
        <f t="shared" si="1619"/>
        <v>0</v>
      </c>
      <c r="CT832">
        <f t="shared" si="1619"/>
        <v>0</v>
      </c>
      <c r="CU832">
        <f t="shared" si="1619"/>
        <v>0</v>
      </c>
      <c r="CV832">
        <f t="shared" si="1619"/>
        <v>0</v>
      </c>
      <c r="CW832">
        <f t="shared" si="1620"/>
        <v>0</v>
      </c>
      <c r="CX832">
        <f t="shared" si="1620"/>
        <v>0</v>
      </c>
      <c r="CY832">
        <f t="shared" si="1620"/>
        <v>0</v>
      </c>
      <c r="CZ832">
        <f t="shared" si="1620"/>
        <v>0</v>
      </c>
      <c r="DA832">
        <f t="shared" si="1620"/>
        <v>0</v>
      </c>
      <c r="DB832">
        <f t="shared" si="1620"/>
        <v>0</v>
      </c>
      <c r="DC832">
        <f t="shared" si="1620"/>
        <v>0</v>
      </c>
      <c r="DD832">
        <f t="shared" si="1620"/>
        <v>0</v>
      </c>
      <c r="DE832">
        <f t="shared" si="1620"/>
        <v>0</v>
      </c>
      <c r="DF832">
        <f t="shared" si="1620"/>
        <v>0</v>
      </c>
      <c r="DG832">
        <f t="shared" si="1621"/>
        <v>0</v>
      </c>
      <c r="DH832">
        <f t="shared" si="1621"/>
        <v>0</v>
      </c>
      <c r="DI832">
        <f t="shared" si="1621"/>
        <v>0</v>
      </c>
      <c r="DJ832">
        <f t="shared" si="1621"/>
        <v>0</v>
      </c>
      <c r="DK832">
        <f t="shared" si="1621"/>
        <v>0</v>
      </c>
      <c r="DL832">
        <f t="shared" si="1621"/>
        <v>0</v>
      </c>
      <c r="DM832">
        <f t="shared" si="1621"/>
        <v>0</v>
      </c>
      <c r="DN832">
        <f t="shared" si="1621"/>
        <v>0</v>
      </c>
      <c r="DO832">
        <f t="shared" si="1621"/>
        <v>0</v>
      </c>
      <c r="DP832">
        <f t="shared" si="1621"/>
        <v>0</v>
      </c>
      <c r="DQ832">
        <f t="shared" si="1622"/>
        <v>0</v>
      </c>
      <c r="DR832">
        <f t="shared" si="1622"/>
        <v>0</v>
      </c>
      <c r="DS832">
        <f t="shared" si="1622"/>
        <v>0</v>
      </c>
      <c r="DT832">
        <f t="shared" si="1622"/>
        <v>0</v>
      </c>
      <c r="DU832">
        <f t="shared" si="1622"/>
        <v>0</v>
      </c>
      <c r="DV832">
        <f t="shared" si="1622"/>
        <v>0</v>
      </c>
      <c r="DW832">
        <f t="shared" si="1622"/>
        <v>0</v>
      </c>
      <c r="DX832">
        <f t="shared" si="1622"/>
        <v>0</v>
      </c>
      <c r="DY832">
        <f t="shared" si="1622"/>
        <v>0</v>
      </c>
      <c r="DZ832">
        <f t="shared" si="1622"/>
        <v>0</v>
      </c>
      <c r="EA832">
        <f t="shared" ref="EA832:EF832" si="1624">IF($C832&lt;&gt;"",IF(BL831&gt;0,1,0),0)</f>
        <v>0</v>
      </c>
      <c r="EB832">
        <f t="shared" si="1624"/>
        <v>0</v>
      </c>
      <c r="EC832">
        <f t="shared" si="1624"/>
        <v>0</v>
      </c>
      <c r="ED832">
        <f t="shared" si="1624"/>
        <v>0</v>
      </c>
      <c r="EE832">
        <f t="shared" si="1624"/>
        <v>0</v>
      </c>
      <c r="EF832">
        <f t="shared" si="1624"/>
        <v>0</v>
      </c>
    </row>
    <row r="833" spans="1:136" ht="15.5">
      <c r="A833" s="90"/>
      <c r="B833" s="19"/>
      <c r="C833" s="95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18"/>
      <c r="AW833" s="18"/>
      <c r="AX833" s="18"/>
      <c r="AY833" s="18"/>
      <c r="AZ833" s="18"/>
      <c r="BA833" s="18"/>
      <c r="BB833" s="18"/>
      <c r="BC833" s="18"/>
      <c r="BD833" s="18"/>
      <c r="BE833" s="25"/>
      <c r="BF833" s="25"/>
      <c r="BG833" s="18"/>
      <c r="BH833" s="18"/>
      <c r="BI833" s="18"/>
      <c r="BJ833" s="113"/>
      <c r="BK833" s="113"/>
      <c r="BL833" s="113"/>
      <c r="BM833" s="113"/>
      <c r="BN833" s="2"/>
      <c r="BO833" s="2"/>
      <c r="BP833" s="2"/>
      <c r="BQ833" s="2"/>
      <c r="BR833" s="101"/>
    </row>
    <row r="834" spans="1:136" ht="15.5">
      <c r="A834" s="93">
        <v>106</v>
      </c>
      <c r="B834" s="32" t="s">
        <v>234</v>
      </c>
      <c r="C834" s="95">
        <v>3</v>
      </c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22">
        <v>0</v>
      </c>
      <c r="AI834" s="22">
        <v>0</v>
      </c>
      <c r="AJ834" s="22">
        <v>0</v>
      </c>
      <c r="AK834" s="22">
        <v>0</v>
      </c>
      <c r="AL834" s="22">
        <v>0</v>
      </c>
      <c r="AM834" s="22">
        <v>0</v>
      </c>
      <c r="AN834" s="22">
        <v>0</v>
      </c>
      <c r="AO834" s="22">
        <f>AO835</f>
        <v>130</v>
      </c>
      <c r="AP834" s="22">
        <v>0</v>
      </c>
      <c r="AQ834" s="22">
        <v>0</v>
      </c>
      <c r="AR834" s="22">
        <v>0</v>
      </c>
      <c r="AS834" s="22">
        <v>0</v>
      </c>
      <c r="AT834" s="22">
        <v>0</v>
      </c>
      <c r="AU834" s="22">
        <v>0</v>
      </c>
      <c r="AV834" s="22">
        <v>0</v>
      </c>
      <c r="AW834" s="22">
        <v>0</v>
      </c>
      <c r="AX834" s="22">
        <v>0</v>
      </c>
      <c r="AY834" s="22">
        <v>0</v>
      </c>
      <c r="AZ834" s="22">
        <v>0</v>
      </c>
      <c r="BA834" s="22">
        <v>0</v>
      </c>
      <c r="BB834" s="22">
        <f>BB835</f>
        <v>2087.0391061452515</v>
      </c>
      <c r="BC834" s="18"/>
      <c r="BD834" s="18"/>
      <c r="BE834" s="25"/>
      <c r="BF834" s="25"/>
      <c r="BG834" s="18"/>
      <c r="BH834" s="18"/>
      <c r="BI834" s="18"/>
      <c r="BJ834" s="113"/>
      <c r="BK834" s="113"/>
      <c r="BL834" s="113"/>
      <c r="BM834" s="113"/>
      <c r="BN834" s="2"/>
      <c r="BO834" s="2"/>
      <c r="BP834" s="2"/>
      <c r="BQ834" s="2"/>
      <c r="BR834" s="101"/>
      <c r="BS834">
        <f t="shared" ref="BS834:CB836" si="1625">IF($C834&lt;&gt;"",IF(D834&gt;0,1,0),0)</f>
        <v>0</v>
      </c>
      <c r="BT834">
        <f t="shared" si="1625"/>
        <v>0</v>
      </c>
      <c r="BU834">
        <f t="shared" si="1625"/>
        <v>0</v>
      </c>
      <c r="BV834">
        <f t="shared" si="1625"/>
        <v>0</v>
      </c>
      <c r="BW834">
        <f t="shared" si="1625"/>
        <v>0</v>
      </c>
      <c r="BX834">
        <f t="shared" si="1625"/>
        <v>0</v>
      </c>
      <c r="BY834">
        <f t="shared" si="1625"/>
        <v>0</v>
      </c>
      <c r="BZ834">
        <f t="shared" si="1625"/>
        <v>0</v>
      </c>
      <c r="CA834">
        <f t="shared" si="1625"/>
        <v>0</v>
      </c>
      <c r="CB834">
        <f t="shared" si="1625"/>
        <v>0</v>
      </c>
      <c r="CC834">
        <f t="shared" ref="CC834:CL836" si="1626">IF($C834&lt;&gt;"",IF(N834&gt;0,1,0),0)</f>
        <v>0</v>
      </c>
      <c r="CD834">
        <f t="shared" si="1626"/>
        <v>0</v>
      </c>
      <c r="CE834">
        <f t="shared" si="1626"/>
        <v>0</v>
      </c>
      <c r="CF834">
        <f t="shared" si="1626"/>
        <v>0</v>
      </c>
      <c r="CG834">
        <f t="shared" si="1626"/>
        <v>0</v>
      </c>
      <c r="CH834">
        <f t="shared" si="1626"/>
        <v>0</v>
      </c>
      <c r="CI834">
        <f t="shared" si="1626"/>
        <v>0</v>
      </c>
      <c r="CJ834">
        <f t="shared" si="1626"/>
        <v>0</v>
      </c>
      <c r="CK834">
        <f t="shared" si="1626"/>
        <v>0</v>
      </c>
      <c r="CL834">
        <f t="shared" si="1626"/>
        <v>0</v>
      </c>
      <c r="CM834">
        <f t="shared" ref="CM834:CV836" si="1627">IF($C834&lt;&gt;"",IF(X834&gt;0,1,0),0)</f>
        <v>0</v>
      </c>
      <c r="CN834">
        <f t="shared" si="1627"/>
        <v>0</v>
      </c>
      <c r="CO834">
        <f t="shared" si="1627"/>
        <v>0</v>
      </c>
      <c r="CP834">
        <f t="shared" si="1627"/>
        <v>0</v>
      </c>
      <c r="CQ834">
        <f t="shared" si="1627"/>
        <v>0</v>
      </c>
      <c r="CR834">
        <f t="shared" si="1627"/>
        <v>0</v>
      </c>
      <c r="CS834">
        <f t="shared" si="1627"/>
        <v>0</v>
      </c>
      <c r="CT834">
        <f t="shared" si="1627"/>
        <v>0</v>
      </c>
      <c r="CU834">
        <f t="shared" si="1627"/>
        <v>0</v>
      </c>
      <c r="CV834">
        <f t="shared" si="1627"/>
        <v>0</v>
      </c>
      <c r="CW834">
        <f t="shared" ref="CW834:DF836" si="1628">IF($C834&lt;&gt;"",IF(AH834&gt;0,1,0),0)</f>
        <v>0</v>
      </c>
      <c r="CX834">
        <f t="shared" si="1628"/>
        <v>0</v>
      </c>
      <c r="CY834">
        <f t="shared" si="1628"/>
        <v>0</v>
      </c>
      <c r="CZ834">
        <f t="shared" si="1628"/>
        <v>0</v>
      </c>
      <c r="DA834">
        <f t="shared" si="1628"/>
        <v>0</v>
      </c>
      <c r="DB834">
        <f t="shared" si="1628"/>
        <v>0</v>
      </c>
      <c r="DC834">
        <f t="shared" si="1628"/>
        <v>0</v>
      </c>
      <c r="DD834">
        <f t="shared" si="1628"/>
        <v>1</v>
      </c>
      <c r="DE834">
        <f t="shared" si="1628"/>
        <v>0</v>
      </c>
      <c r="DF834">
        <f t="shared" si="1628"/>
        <v>0</v>
      </c>
      <c r="DG834">
        <f t="shared" ref="DG834:DP836" si="1629">IF($C834&lt;&gt;"",IF(AR834&gt;0,1,0),0)</f>
        <v>0</v>
      </c>
      <c r="DH834">
        <f t="shared" si="1629"/>
        <v>0</v>
      </c>
      <c r="DI834">
        <f t="shared" si="1629"/>
        <v>0</v>
      </c>
      <c r="DJ834">
        <f t="shared" si="1629"/>
        <v>0</v>
      </c>
      <c r="DK834">
        <f t="shared" si="1629"/>
        <v>0</v>
      </c>
      <c r="DL834">
        <f t="shared" si="1629"/>
        <v>0</v>
      </c>
      <c r="DM834">
        <f t="shared" si="1629"/>
        <v>0</v>
      </c>
      <c r="DN834">
        <f t="shared" si="1629"/>
        <v>0</v>
      </c>
      <c r="DO834">
        <f t="shared" si="1629"/>
        <v>0</v>
      </c>
      <c r="DP834">
        <f t="shared" si="1629"/>
        <v>0</v>
      </c>
      <c r="DQ834">
        <f t="shared" ref="DQ834:DZ836" si="1630">IF($C834&lt;&gt;"",IF(BB834&gt;0,1,0),0)</f>
        <v>1</v>
      </c>
      <c r="DR834">
        <f t="shared" si="1630"/>
        <v>0</v>
      </c>
      <c r="DS834">
        <f t="shared" si="1630"/>
        <v>0</v>
      </c>
      <c r="DT834">
        <f t="shared" si="1630"/>
        <v>0</v>
      </c>
      <c r="DU834">
        <f t="shared" si="1630"/>
        <v>0</v>
      </c>
      <c r="DV834">
        <f t="shared" si="1630"/>
        <v>0</v>
      </c>
      <c r="DW834">
        <f t="shared" si="1630"/>
        <v>0</v>
      </c>
      <c r="DX834">
        <f t="shared" si="1630"/>
        <v>0</v>
      </c>
      <c r="DY834">
        <f t="shared" si="1630"/>
        <v>0</v>
      </c>
      <c r="DZ834">
        <f t="shared" si="1630"/>
        <v>0</v>
      </c>
      <c r="EA834">
        <f t="shared" ref="EA834:EF836" si="1631">IF($C834&lt;&gt;"",IF(BL834&gt;0,1,0),0)</f>
        <v>0</v>
      </c>
      <c r="EB834">
        <f t="shared" si="1631"/>
        <v>0</v>
      </c>
      <c r="EC834">
        <f t="shared" si="1631"/>
        <v>0</v>
      </c>
      <c r="ED834">
        <f t="shared" si="1631"/>
        <v>0</v>
      </c>
      <c r="EE834">
        <f t="shared" si="1631"/>
        <v>0</v>
      </c>
      <c r="EF834">
        <f t="shared" si="1631"/>
        <v>0</v>
      </c>
    </row>
    <row r="835" spans="1:136" ht="15.5">
      <c r="A835" s="90"/>
      <c r="B835" s="57" t="s">
        <v>3</v>
      </c>
      <c r="C835" s="95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>
        <v>0</v>
      </c>
      <c r="AI835" s="18">
        <v>0</v>
      </c>
      <c r="AJ835" s="18">
        <v>0</v>
      </c>
      <c r="AK835" s="18">
        <v>0</v>
      </c>
      <c r="AL835" s="18">
        <v>0</v>
      </c>
      <c r="AM835" s="18">
        <v>0</v>
      </c>
      <c r="AN835" s="18">
        <v>0</v>
      </c>
      <c r="AO835" s="18">
        <v>130</v>
      </c>
      <c r="AP835" s="18">
        <v>0</v>
      </c>
      <c r="AQ835" s="18">
        <v>0</v>
      </c>
      <c r="AR835" s="18">
        <v>0</v>
      </c>
      <c r="AS835" s="18">
        <v>0</v>
      </c>
      <c r="AT835" s="18">
        <v>0</v>
      </c>
      <c r="AU835" s="18">
        <v>0</v>
      </c>
      <c r="AV835" s="18">
        <v>0</v>
      </c>
      <c r="AW835" s="18">
        <v>0</v>
      </c>
      <c r="AX835" s="18">
        <v>0</v>
      </c>
      <c r="AY835" s="18">
        <v>0</v>
      </c>
      <c r="AZ835" s="18">
        <v>0</v>
      </c>
      <c r="BA835" s="18">
        <v>0</v>
      </c>
      <c r="BB835" s="18">
        <f>3735.8/1.79</f>
        <v>2087.0391061452515</v>
      </c>
      <c r="BC835" s="18"/>
      <c r="BD835" s="18"/>
      <c r="BE835" s="25"/>
      <c r="BF835" s="25"/>
      <c r="BG835" s="18"/>
      <c r="BH835" s="18"/>
      <c r="BI835" s="18"/>
      <c r="BJ835" s="113"/>
      <c r="BK835" s="113"/>
      <c r="BL835" s="113"/>
      <c r="BM835" s="113"/>
      <c r="BN835" s="2"/>
      <c r="BO835" s="2"/>
      <c r="BP835" s="2"/>
      <c r="BQ835" s="2"/>
      <c r="BR835" s="101"/>
      <c r="BS835">
        <f t="shared" si="1625"/>
        <v>0</v>
      </c>
      <c r="BT835">
        <f t="shared" si="1625"/>
        <v>0</v>
      </c>
      <c r="BU835">
        <f t="shared" si="1625"/>
        <v>0</v>
      </c>
      <c r="BV835">
        <f t="shared" si="1625"/>
        <v>0</v>
      </c>
      <c r="BW835">
        <f t="shared" si="1625"/>
        <v>0</v>
      </c>
      <c r="BX835">
        <f t="shared" si="1625"/>
        <v>0</v>
      </c>
      <c r="BY835">
        <f t="shared" si="1625"/>
        <v>0</v>
      </c>
      <c r="BZ835">
        <f t="shared" si="1625"/>
        <v>0</v>
      </c>
      <c r="CA835">
        <f t="shared" si="1625"/>
        <v>0</v>
      </c>
      <c r="CB835">
        <f t="shared" si="1625"/>
        <v>0</v>
      </c>
      <c r="CC835">
        <f t="shared" si="1626"/>
        <v>0</v>
      </c>
      <c r="CD835">
        <f t="shared" si="1626"/>
        <v>0</v>
      </c>
      <c r="CE835">
        <f t="shared" si="1626"/>
        <v>0</v>
      </c>
      <c r="CF835">
        <f t="shared" si="1626"/>
        <v>0</v>
      </c>
      <c r="CG835">
        <f t="shared" si="1626"/>
        <v>0</v>
      </c>
      <c r="CH835">
        <f t="shared" si="1626"/>
        <v>0</v>
      </c>
      <c r="CI835">
        <f t="shared" si="1626"/>
        <v>0</v>
      </c>
      <c r="CJ835">
        <f t="shared" si="1626"/>
        <v>0</v>
      </c>
      <c r="CK835">
        <f t="shared" si="1626"/>
        <v>0</v>
      </c>
      <c r="CL835">
        <f t="shared" si="1626"/>
        <v>0</v>
      </c>
      <c r="CM835">
        <f t="shared" si="1627"/>
        <v>0</v>
      </c>
      <c r="CN835">
        <f t="shared" si="1627"/>
        <v>0</v>
      </c>
      <c r="CO835">
        <f t="shared" si="1627"/>
        <v>0</v>
      </c>
      <c r="CP835">
        <f t="shared" si="1627"/>
        <v>0</v>
      </c>
      <c r="CQ835">
        <f t="shared" si="1627"/>
        <v>0</v>
      </c>
      <c r="CR835">
        <f t="shared" si="1627"/>
        <v>0</v>
      </c>
      <c r="CS835">
        <f t="shared" si="1627"/>
        <v>0</v>
      </c>
      <c r="CT835">
        <f t="shared" si="1627"/>
        <v>0</v>
      </c>
      <c r="CU835">
        <f t="shared" si="1627"/>
        <v>0</v>
      </c>
      <c r="CV835">
        <f t="shared" si="1627"/>
        <v>0</v>
      </c>
      <c r="CW835">
        <f t="shared" si="1628"/>
        <v>0</v>
      </c>
      <c r="CX835">
        <f t="shared" si="1628"/>
        <v>0</v>
      </c>
      <c r="CY835">
        <f t="shared" si="1628"/>
        <v>0</v>
      </c>
      <c r="CZ835">
        <f t="shared" si="1628"/>
        <v>0</v>
      </c>
      <c r="DA835">
        <f t="shared" si="1628"/>
        <v>0</v>
      </c>
      <c r="DB835">
        <f t="shared" si="1628"/>
        <v>0</v>
      </c>
      <c r="DC835">
        <f t="shared" si="1628"/>
        <v>0</v>
      </c>
      <c r="DD835">
        <f t="shared" si="1628"/>
        <v>0</v>
      </c>
      <c r="DE835">
        <f t="shared" si="1628"/>
        <v>0</v>
      </c>
      <c r="DF835">
        <f t="shared" si="1628"/>
        <v>0</v>
      </c>
      <c r="DG835">
        <f t="shared" si="1629"/>
        <v>0</v>
      </c>
      <c r="DH835">
        <f t="shared" si="1629"/>
        <v>0</v>
      </c>
      <c r="DI835">
        <f t="shared" si="1629"/>
        <v>0</v>
      </c>
      <c r="DJ835">
        <f t="shared" si="1629"/>
        <v>0</v>
      </c>
      <c r="DK835">
        <f t="shared" si="1629"/>
        <v>0</v>
      </c>
      <c r="DL835">
        <f t="shared" si="1629"/>
        <v>0</v>
      </c>
      <c r="DM835">
        <f t="shared" si="1629"/>
        <v>0</v>
      </c>
      <c r="DN835">
        <f t="shared" si="1629"/>
        <v>0</v>
      </c>
      <c r="DO835">
        <f t="shared" si="1629"/>
        <v>0</v>
      </c>
      <c r="DP835">
        <f t="shared" si="1629"/>
        <v>0</v>
      </c>
      <c r="DQ835">
        <f t="shared" si="1630"/>
        <v>0</v>
      </c>
      <c r="DR835">
        <f t="shared" si="1630"/>
        <v>0</v>
      </c>
      <c r="DS835">
        <f t="shared" si="1630"/>
        <v>0</v>
      </c>
      <c r="DT835">
        <f t="shared" si="1630"/>
        <v>0</v>
      </c>
      <c r="DU835">
        <f t="shared" si="1630"/>
        <v>0</v>
      </c>
      <c r="DV835">
        <f t="shared" si="1630"/>
        <v>0</v>
      </c>
      <c r="DW835">
        <f t="shared" si="1630"/>
        <v>0</v>
      </c>
      <c r="DX835">
        <f t="shared" si="1630"/>
        <v>0</v>
      </c>
      <c r="DY835">
        <f t="shared" si="1630"/>
        <v>0</v>
      </c>
      <c r="DZ835">
        <f t="shared" si="1630"/>
        <v>0</v>
      </c>
      <c r="EA835">
        <f t="shared" si="1631"/>
        <v>0</v>
      </c>
      <c r="EB835">
        <f t="shared" si="1631"/>
        <v>0</v>
      </c>
      <c r="EC835">
        <f t="shared" si="1631"/>
        <v>0</v>
      </c>
      <c r="ED835">
        <f t="shared" si="1631"/>
        <v>0</v>
      </c>
      <c r="EE835">
        <f t="shared" si="1631"/>
        <v>0</v>
      </c>
      <c r="EF835">
        <f t="shared" si="1631"/>
        <v>0</v>
      </c>
    </row>
    <row r="836" spans="1:136" ht="15.5">
      <c r="A836" s="90"/>
      <c r="B836" s="53" t="s">
        <v>212</v>
      </c>
      <c r="C836" s="95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>
        <v>0</v>
      </c>
      <c r="O836" s="18">
        <v>0</v>
      </c>
      <c r="P836" s="18">
        <v>0</v>
      </c>
      <c r="Q836" s="18">
        <v>0</v>
      </c>
      <c r="R836" s="18">
        <v>0</v>
      </c>
      <c r="S836" s="18">
        <v>0</v>
      </c>
      <c r="T836" s="18">
        <v>0</v>
      </c>
      <c r="U836" s="18">
        <v>0</v>
      </c>
      <c r="V836" s="18">
        <v>0</v>
      </c>
      <c r="W836" s="18">
        <f>75/1.79</f>
        <v>41.899441340782126</v>
      </c>
      <c r="X836" s="18">
        <f>38/1.79</f>
        <v>21.229050279329609</v>
      </c>
      <c r="Y836" s="18">
        <f>48/1.79</f>
        <v>26.815642458100559</v>
      </c>
      <c r="Z836" s="18">
        <f>89/1.79</f>
        <v>49.720670391061454</v>
      </c>
      <c r="AA836" s="18">
        <f>73/1.79</f>
        <v>40.782122905027933</v>
      </c>
      <c r="AB836" s="18">
        <v>0</v>
      </c>
      <c r="AC836" s="18">
        <f>111/1.79</f>
        <v>62.011173184357538</v>
      </c>
      <c r="AD836" s="18">
        <f>84/1.79</f>
        <v>46.927374301675975</v>
      </c>
      <c r="AE836" s="18">
        <f>69/1.79</f>
        <v>38.547486033519554</v>
      </c>
      <c r="AF836" s="18">
        <f>46/1.79</f>
        <v>25.69832402234637</v>
      </c>
      <c r="AG836" s="18">
        <f>2/1.79</f>
        <v>1.1173184357541899</v>
      </c>
      <c r="AH836" s="18">
        <f>42.289/1.79</f>
        <v>23.625139664804468</v>
      </c>
      <c r="AI836" s="18">
        <f>6.835/1.79</f>
        <v>3.8184357541899439</v>
      </c>
      <c r="AJ836" s="18">
        <f>10.75/1.79</f>
        <v>6.005586592178771</v>
      </c>
      <c r="AK836" s="18">
        <f>30.5/1.79</f>
        <v>17.039106145251395</v>
      </c>
      <c r="AL836" s="18">
        <f>57.6/1.79</f>
        <v>32.178770949720672</v>
      </c>
      <c r="AM836" s="18">
        <f>2.25/1.79</f>
        <v>1.2569832402234637</v>
      </c>
      <c r="AN836" s="18">
        <f>17.85/1.79</f>
        <v>9.972067039106145</v>
      </c>
      <c r="AO836" s="18">
        <f>40.3/1.79</f>
        <v>22.513966480446925</v>
      </c>
      <c r="AP836" s="18">
        <f>6.6/1.79</f>
        <v>3.6871508379888267</v>
      </c>
      <c r="AQ836" s="18">
        <f>53.5/1.79</f>
        <v>29.88826815642458</v>
      </c>
      <c r="AR836" s="18">
        <f>69.5/1.79</f>
        <v>38.826815642458101</v>
      </c>
      <c r="AS836" s="18">
        <f>167/1.79</f>
        <v>93.296089385474858</v>
      </c>
      <c r="AT836" s="18">
        <f>160.1/1.79</f>
        <v>89.441340782122907</v>
      </c>
      <c r="AU836" s="147">
        <f>149.7/1.79</f>
        <v>83.63128491620111</v>
      </c>
      <c r="AV836" s="18">
        <f>118.4/1.79</f>
        <v>66.14525139664805</v>
      </c>
      <c r="AW836" s="18">
        <v>41</v>
      </c>
      <c r="AX836" s="18">
        <v>16</v>
      </c>
      <c r="AY836" s="18">
        <v>10</v>
      </c>
      <c r="AZ836" s="18">
        <v>90</v>
      </c>
      <c r="BA836" s="18">
        <f>305.8/1.79</f>
        <v>170.83798882681563</v>
      </c>
      <c r="BB836" s="18">
        <v>0</v>
      </c>
      <c r="BC836" s="18"/>
      <c r="BD836" s="18"/>
      <c r="BE836" s="25"/>
      <c r="BF836" s="25"/>
      <c r="BG836" s="18"/>
      <c r="BH836" s="18"/>
      <c r="BI836" s="18"/>
      <c r="BJ836" s="113"/>
      <c r="BK836" s="113"/>
      <c r="BL836" s="113"/>
      <c r="BM836" s="113"/>
      <c r="BN836" s="2"/>
      <c r="BO836" s="2"/>
      <c r="BP836" s="2"/>
      <c r="BQ836" s="2"/>
      <c r="BR836" s="101"/>
      <c r="BS836">
        <f t="shared" si="1625"/>
        <v>0</v>
      </c>
      <c r="BT836">
        <f t="shared" si="1625"/>
        <v>0</v>
      </c>
      <c r="BU836">
        <f t="shared" si="1625"/>
        <v>0</v>
      </c>
      <c r="BV836">
        <f t="shared" si="1625"/>
        <v>0</v>
      </c>
      <c r="BW836">
        <f t="shared" si="1625"/>
        <v>0</v>
      </c>
      <c r="BX836">
        <f t="shared" si="1625"/>
        <v>0</v>
      </c>
      <c r="BY836">
        <f t="shared" si="1625"/>
        <v>0</v>
      </c>
      <c r="BZ836">
        <f t="shared" si="1625"/>
        <v>0</v>
      </c>
      <c r="CA836">
        <f t="shared" si="1625"/>
        <v>0</v>
      </c>
      <c r="CB836">
        <f t="shared" si="1625"/>
        <v>0</v>
      </c>
      <c r="CC836">
        <f t="shared" si="1626"/>
        <v>0</v>
      </c>
      <c r="CD836">
        <f t="shared" si="1626"/>
        <v>0</v>
      </c>
      <c r="CE836">
        <f t="shared" si="1626"/>
        <v>0</v>
      </c>
      <c r="CF836">
        <f t="shared" si="1626"/>
        <v>0</v>
      </c>
      <c r="CG836">
        <f t="shared" si="1626"/>
        <v>0</v>
      </c>
      <c r="CH836">
        <f t="shared" si="1626"/>
        <v>0</v>
      </c>
      <c r="CI836">
        <f t="shared" si="1626"/>
        <v>0</v>
      </c>
      <c r="CJ836">
        <f t="shared" si="1626"/>
        <v>0</v>
      </c>
      <c r="CK836">
        <f t="shared" si="1626"/>
        <v>0</v>
      </c>
      <c r="CL836">
        <f t="shared" si="1626"/>
        <v>0</v>
      </c>
      <c r="CM836">
        <f t="shared" si="1627"/>
        <v>0</v>
      </c>
      <c r="CN836">
        <f t="shared" si="1627"/>
        <v>0</v>
      </c>
      <c r="CO836">
        <f t="shared" si="1627"/>
        <v>0</v>
      </c>
      <c r="CP836">
        <f t="shared" si="1627"/>
        <v>0</v>
      </c>
      <c r="CQ836">
        <f t="shared" si="1627"/>
        <v>0</v>
      </c>
      <c r="CR836">
        <f t="shared" si="1627"/>
        <v>0</v>
      </c>
      <c r="CS836">
        <f t="shared" si="1627"/>
        <v>0</v>
      </c>
      <c r="CT836">
        <f t="shared" si="1627"/>
        <v>0</v>
      </c>
      <c r="CU836">
        <f t="shared" si="1627"/>
        <v>0</v>
      </c>
      <c r="CV836">
        <f t="shared" si="1627"/>
        <v>0</v>
      </c>
      <c r="CW836">
        <f t="shared" si="1628"/>
        <v>0</v>
      </c>
      <c r="CX836">
        <f t="shared" si="1628"/>
        <v>0</v>
      </c>
      <c r="CY836">
        <f t="shared" si="1628"/>
        <v>0</v>
      </c>
      <c r="CZ836">
        <f t="shared" si="1628"/>
        <v>0</v>
      </c>
      <c r="DA836">
        <f t="shared" si="1628"/>
        <v>0</v>
      </c>
      <c r="DB836">
        <f t="shared" si="1628"/>
        <v>0</v>
      </c>
      <c r="DC836">
        <f t="shared" si="1628"/>
        <v>0</v>
      </c>
      <c r="DD836">
        <f t="shared" si="1628"/>
        <v>0</v>
      </c>
      <c r="DE836">
        <f t="shared" si="1628"/>
        <v>0</v>
      </c>
      <c r="DF836">
        <f t="shared" si="1628"/>
        <v>0</v>
      </c>
      <c r="DG836">
        <f t="shared" si="1629"/>
        <v>0</v>
      </c>
      <c r="DH836">
        <f t="shared" si="1629"/>
        <v>0</v>
      </c>
      <c r="DI836">
        <f t="shared" si="1629"/>
        <v>0</v>
      </c>
      <c r="DJ836">
        <f t="shared" si="1629"/>
        <v>0</v>
      </c>
      <c r="DK836">
        <f t="shared" si="1629"/>
        <v>0</v>
      </c>
      <c r="DL836">
        <f t="shared" si="1629"/>
        <v>0</v>
      </c>
      <c r="DM836">
        <f t="shared" si="1629"/>
        <v>0</v>
      </c>
      <c r="DN836">
        <f t="shared" si="1629"/>
        <v>0</v>
      </c>
      <c r="DO836">
        <f t="shared" si="1629"/>
        <v>0</v>
      </c>
      <c r="DP836">
        <f t="shared" si="1629"/>
        <v>0</v>
      </c>
      <c r="DQ836">
        <f t="shared" si="1630"/>
        <v>0</v>
      </c>
      <c r="DR836">
        <f t="shared" si="1630"/>
        <v>0</v>
      </c>
      <c r="DS836">
        <f t="shared" si="1630"/>
        <v>0</v>
      </c>
      <c r="DT836">
        <f t="shared" si="1630"/>
        <v>0</v>
      </c>
      <c r="DU836">
        <f t="shared" si="1630"/>
        <v>0</v>
      </c>
      <c r="DV836">
        <f t="shared" si="1630"/>
        <v>0</v>
      </c>
      <c r="DW836">
        <f t="shared" si="1630"/>
        <v>0</v>
      </c>
      <c r="DX836">
        <f t="shared" si="1630"/>
        <v>0</v>
      </c>
      <c r="DY836">
        <f t="shared" si="1630"/>
        <v>0</v>
      </c>
      <c r="DZ836">
        <f t="shared" si="1630"/>
        <v>0</v>
      </c>
      <c r="EA836">
        <f t="shared" si="1631"/>
        <v>0</v>
      </c>
      <c r="EB836">
        <f t="shared" si="1631"/>
        <v>0</v>
      </c>
      <c r="EC836">
        <f t="shared" si="1631"/>
        <v>0</v>
      </c>
      <c r="ED836">
        <f t="shared" si="1631"/>
        <v>0</v>
      </c>
      <c r="EE836">
        <f t="shared" si="1631"/>
        <v>0</v>
      </c>
      <c r="EF836">
        <f t="shared" si="1631"/>
        <v>0</v>
      </c>
    </row>
    <row r="837" spans="1:136" ht="15.5">
      <c r="A837" s="90"/>
      <c r="B837" s="32"/>
      <c r="C837" s="95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18"/>
      <c r="AV837" s="20"/>
      <c r="AW837" s="20"/>
      <c r="AX837" s="18"/>
      <c r="AY837" s="18"/>
      <c r="AZ837" s="18"/>
      <c r="BA837" s="18"/>
      <c r="BB837" s="18"/>
      <c r="BC837" s="18"/>
      <c r="BD837" s="18"/>
      <c r="BE837" s="25"/>
      <c r="BF837" s="18"/>
      <c r="BG837" s="18"/>
      <c r="BH837" s="2"/>
      <c r="BI837" s="2"/>
      <c r="BJ837" s="2"/>
      <c r="BK837" s="2"/>
      <c r="BL837" s="22"/>
      <c r="BM837" s="2"/>
      <c r="BN837" s="2"/>
      <c r="BO837" s="2"/>
      <c r="BP837" s="2"/>
      <c r="BQ837" s="2"/>
      <c r="BR837" s="101"/>
    </row>
    <row r="838" spans="1:136" ht="15.5">
      <c r="A838" s="93">
        <v>107</v>
      </c>
      <c r="B838" s="32" t="s">
        <v>110</v>
      </c>
      <c r="C838" s="95">
        <v>3</v>
      </c>
      <c r="D838" s="22">
        <f t="shared" ref="D838:AI838" si="1632">SUM(D839:D849)</f>
        <v>0</v>
      </c>
      <c r="E838" s="22">
        <f t="shared" si="1632"/>
        <v>0</v>
      </c>
      <c r="F838" s="22">
        <f t="shared" si="1632"/>
        <v>0</v>
      </c>
      <c r="G838" s="22">
        <f t="shared" si="1632"/>
        <v>0</v>
      </c>
      <c r="H838" s="22">
        <f t="shared" si="1632"/>
        <v>0</v>
      </c>
      <c r="I838" s="22">
        <f t="shared" si="1632"/>
        <v>0</v>
      </c>
      <c r="J838" s="22">
        <f t="shared" si="1632"/>
        <v>0</v>
      </c>
      <c r="K838" s="22">
        <f t="shared" si="1632"/>
        <v>0</v>
      </c>
      <c r="L838" s="22">
        <f t="shared" si="1632"/>
        <v>0</v>
      </c>
      <c r="M838" s="22">
        <f t="shared" si="1632"/>
        <v>0</v>
      </c>
      <c r="N838" s="22">
        <f t="shared" si="1632"/>
        <v>0</v>
      </c>
      <c r="O838" s="22">
        <f t="shared" si="1632"/>
        <v>0</v>
      </c>
      <c r="P838" s="22">
        <f t="shared" si="1632"/>
        <v>0</v>
      </c>
      <c r="Q838" s="22">
        <f t="shared" si="1632"/>
        <v>0.13</v>
      </c>
      <c r="R838" s="22">
        <f t="shared" si="1632"/>
        <v>0</v>
      </c>
      <c r="S838" s="22">
        <f t="shared" si="1632"/>
        <v>1.1567848000000001</v>
      </c>
      <c r="T838" s="22">
        <f t="shared" si="1632"/>
        <v>4.8751902999999999</v>
      </c>
      <c r="U838" s="22">
        <f t="shared" si="1632"/>
        <v>11.848888000000001</v>
      </c>
      <c r="V838" s="22">
        <f t="shared" si="1632"/>
        <v>93.006981199999984</v>
      </c>
      <c r="W838" s="22">
        <f t="shared" si="1632"/>
        <v>429.05070810000001</v>
      </c>
      <c r="X838" s="22">
        <f t="shared" si="1632"/>
        <v>626.50653590000002</v>
      </c>
      <c r="Y838" s="22">
        <f t="shared" si="1632"/>
        <v>204.39225929999998</v>
      </c>
      <c r="Z838" s="22">
        <f t="shared" si="1632"/>
        <v>111.72633339999999</v>
      </c>
      <c r="AA838" s="22">
        <f t="shared" si="1632"/>
        <v>322.64979929999998</v>
      </c>
      <c r="AB838" s="22">
        <f t="shared" si="1632"/>
        <v>500.15110838355639</v>
      </c>
      <c r="AC838" s="22">
        <f t="shared" si="1632"/>
        <v>714.63252030778472</v>
      </c>
      <c r="AD838" s="22">
        <f t="shared" si="1632"/>
        <v>1070.8589437000001</v>
      </c>
      <c r="AE838" s="22">
        <f t="shared" si="1632"/>
        <v>1758.3529961999998</v>
      </c>
      <c r="AF838" s="22">
        <f t="shared" si="1632"/>
        <v>3945.0445863999998</v>
      </c>
      <c r="AG838" s="22">
        <f t="shared" si="1632"/>
        <v>3849.0201056000005</v>
      </c>
      <c r="AH838" s="22">
        <f t="shared" si="1632"/>
        <v>4200.4459464000001</v>
      </c>
      <c r="AI838" s="22">
        <f t="shared" si="1632"/>
        <v>5117.8877919999995</v>
      </c>
      <c r="AJ838" s="22">
        <f t="shared" ref="AJ838:BO838" si="1633">SUM(AJ839:AJ849)</f>
        <v>4741.0409898999997</v>
      </c>
      <c r="AK838" s="22">
        <f t="shared" si="1633"/>
        <v>5243.0202683999996</v>
      </c>
      <c r="AL838" s="22">
        <f t="shared" si="1633"/>
        <v>6471.9003510999992</v>
      </c>
      <c r="AM838" s="22">
        <f t="shared" si="1633"/>
        <v>8193.2807333000001</v>
      </c>
      <c r="AN838" s="22">
        <f t="shared" si="1633"/>
        <v>4255.5455722999995</v>
      </c>
      <c r="AO838" s="22">
        <f t="shared" si="1633"/>
        <v>2460.1621809584581</v>
      </c>
      <c r="AP838" s="22">
        <f t="shared" si="1633"/>
        <v>2907.1411371407785</v>
      </c>
      <c r="AQ838" s="22">
        <f t="shared" si="1633"/>
        <v>3287.8188684995771</v>
      </c>
      <c r="AR838" s="22">
        <f t="shared" si="1633"/>
        <v>2830.8667078052513</v>
      </c>
      <c r="AS838" s="22">
        <f t="shared" si="1633"/>
        <v>2516.0438542551324</v>
      </c>
      <c r="AT838" s="22">
        <f t="shared" si="1633"/>
        <v>2659.578913297386</v>
      </c>
      <c r="AU838" s="22">
        <f t="shared" si="1633"/>
        <v>2558.7045916000634</v>
      </c>
      <c r="AV838" s="22">
        <f t="shared" si="1633"/>
        <v>2799.9600156340643</v>
      </c>
      <c r="AW838" s="22">
        <f t="shared" si="1633"/>
        <v>2269.5301164401717</v>
      </c>
      <c r="AX838" s="22">
        <f t="shared" si="1633"/>
        <v>3431.6538018465303</v>
      </c>
      <c r="AY838" s="22">
        <f t="shared" si="1633"/>
        <v>3504.7922532446923</v>
      </c>
      <c r="AZ838" s="22">
        <f t="shared" si="1633"/>
        <v>3002.629119345534</v>
      </c>
      <c r="BA838" s="22">
        <f t="shared" si="1633"/>
        <v>979.00963779999995</v>
      </c>
      <c r="BB838" s="22">
        <f t="shared" si="1633"/>
        <v>1183</v>
      </c>
      <c r="BC838" s="22">
        <f t="shared" si="1633"/>
        <v>1183</v>
      </c>
      <c r="BD838" s="22">
        <f t="shared" si="1633"/>
        <v>1183</v>
      </c>
      <c r="BE838" s="22">
        <f t="shared" si="1633"/>
        <v>1183</v>
      </c>
      <c r="BF838" s="22">
        <f t="shared" si="1633"/>
        <v>1183</v>
      </c>
      <c r="BG838" s="22">
        <f t="shared" si="1633"/>
        <v>1183</v>
      </c>
      <c r="BH838" s="22">
        <f t="shared" si="1633"/>
        <v>1183</v>
      </c>
      <c r="BI838" s="22">
        <f t="shared" si="1633"/>
        <v>1220.9349999999999</v>
      </c>
      <c r="BJ838" s="22">
        <f t="shared" si="1633"/>
        <v>1183</v>
      </c>
      <c r="BK838" s="22">
        <f t="shared" si="1633"/>
        <v>1183</v>
      </c>
      <c r="BL838" s="22">
        <f t="shared" si="1633"/>
        <v>1183</v>
      </c>
      <c r="BM838" s="22">
        <f t="shared" si="1633"/>
        <v>1183</v>
      </c>
      <c r="BN838" s="22">
        <f t="shared" si="1633"/>
        <v>1183</v>
      </c>
      <c r="BO838" s="22">
        <f t="shared" si="1633"/>
        <v>1183</v>
      </c>
      <c r="BP838" s="22">
        <f>SUM(BP839:BP849)</f>
        <v>1182.8294183999999</v>
      </c>
      <c r="BQ838" s="22">
        <f>SUM(BQ839:BQ849)</f>
        <v>1183.2280122</v>
      </c>
      <c r="BR838" s="101"/>
      <c r="BS838">
        <f t="shared" ref="BS838:CX838" si="1634">IF($C838&lt;&gt;"",IF(D838&gt;0,1,0),0)</f>
        <v>0</v>
      </c>
      <c r="BT838">
        <f t="shared" si="1634"/>
        <v>0</v>
      </c>
      <c r="BU838">
        <f t="shared" si="1634"/>
        <v>0</v>
      </c>
      <c r="BV838">
        <f t="shared" si="1634"/>
        <v>0</v>
      </c>
      <c r="BW838">
        <f t="shared" si="1634"/>
        <v>0</v>
      </c>
      <c r="BX838">
        <f t="shared" si="1634"/>
        <v>0</v>
      </c>
      <c r="BY838">
        <f t="shared" si="1634"/>
        <v>0</v>
      </c>
      <c r="BZ838">
        <f t="shared" si="1634"/>
        <v>0</v>
      </c>
      <c r="CA838">
        <f t="shared" si="1634"/>
        <v>0</v>
      </c>
      <c r="CB838">
        <f t="shared" si="1634"/>
        <v>0</v>
      </c>
      <c r="CC838">
        <f t="shared" si="1634"/>
        <v>0</v>
      </c>
      <c r="CD838">
        <f t="shared" si="1634"/>
        <v>0</v>
      </c>
      <c r="CE838">
        <f t="shared" si="1634"/>
        <v>0</v>
      </c>
      <c r="CF838">
        <f t="shared" si="1634"/>
        <v>1</v>
      </c>
      <c r="CG838">
        <f t="shared" si="1634"/>
        <v>0</v>
      </c>
      <c r="CH838">
        <f t="shared" si="1634"/>
        <v>1</v>
      </c>
      <c r="CI838">
        <f t="shared" si="1634"/>
        <v>1</v>
      </c>
      <c r="CJ838">
        <f t="shared" si="1634"/>
        <v>1</v>
      </c>
      <c r="CK838">
        <f t="shared" si="1634"/>
        <v>1</v>
      </c>
      <c r="CL838">
        <f t="shared" si="1634"/>
        <v>1</v>
      </c>
      <c r="CM838">
        <f t="shared" si="1634"/>
        <v>1</v>
      </c>
      <c r="CN838">
        <f t="shared" si="1634"/>
        <v>1</v>
      </c>
      <c r="CO838">
        <f t="shared" si="1634"/>
        <v>1</v>
      </c>
      <c r="CP838">
        <f t="shared" si="1634"/>
        <v>1</v>
      </c>
      <c r="CQ838">
        <f t="shared" si="1634"/>
        <v>1</v>
      </c>
      <c r="CR838">
        <f t="shared" si="1634"/>
        <v>1</v>
      </c>
      <c r="CS838">
        <f t="shared" si="1634"/>
        <v>1</v>
      </c>
      <c r="CT838">
        <f t="shared" si="1634"/>
        <v>1</v>
      </c>
      <c r="CU838">
        <f t="shared" si="1634"/>
        <v>1</v>
      </c>
      <c r="CV838">
        <f t="shared" si="1634"/>
        <v>1</v>
      </c>
      <c r="CW838">
        <f t="shared" si="1634"/>
        <v>1</v>
      </c>
      <c r="CX838">
        <f t="shared" si="1634"/>
        <v>1</v>
      </c>
      <c r="CY838">
        <f t="shared" ref="CY838:ED838" si="1635">IF($C838&lt;&gt;"",IF(AJ838&gt;0,1,0),0)</f>
        <v>1</v>
      </c>
      <c r="CZ838">
        <f t="shared" si="1635"/>
        <v>1</v>
      </c>
      <c r="DA838">
        <f t="shared" si="1635"/>
        <v>1</v>
      </c>
      <c r="DB838">
        <f t="shared" si="1635"/>
        <v>1</v>
      </c>
      <c r="DC838">
        <f t="shared" si="1635"/>
        <v>1</v>
      </c>
      <c r="DD838">
        <f t="shared" si="1635"/>
        <v>1</v>
      </c>
      <c r="DE838">
        <f t="shared" si="1635"/>
        <v>1</v>
      </c>
      <c r="DF838">
        <f t="shared" si="1635"/>
        <v>1</v>
      </c>
      <c r="DG838">
        <f t="shared" si="1635"/>
        <v>1</v>
      </c>
      <c r="DH838">
        <f t="shared" si="1635"/>
        <v>1</v>
      </c>
      <c r="DI838">
        <f t="shared" si="1635"/>
        <v>1</v>
      </c>
      <c r="DJ838">
        <f t="shared" si="1635"/>
        <v>1</v>
      </c>
      <c r="DK838">
        <f t="shared" si="1635"/>
        <v>1</v>
      </c>
      <c r="DL838">
        <f t="shared" si="1635"/>
        <v>1</v>
      </c>
      <c r="DM838">
        <f t="shared" si="1635"/>
        <v>1</v>
      </c>
      <c r="DN838">
        <f t="shared" si="1635"/>
        <v>1</v>
      </c>
      <c r="DO838">
        <f t="shared" si="1635"/>
        <v>1</v>
      </c>
      <c r="DP838">
        <f t="shared" si="1635"/>
        <v>1</v>
      </c>
      <c r="DQ838">
        <f t="shared" si="1635"/>
        <v>1</v>
      </c>
      <c r="DR838">
        <f t="shared" si="1635"/>
        <v>1</v>
      </c>
      <c r="DS838">
        <f t="shared" si="1635"/>
        <v>1</v>
      </c>
      <c r="DT838">
        <f t="shared" si="1635"/>
        <v>1</v>
      </c>
      <c r="DU838">
        <f t="shared" si="1635"/>
        <v>1</v>
      </c>
      <c r="DV838">
        <f t="shared" si="1635"/>
        <v>1</v>
      </c>
      <c r="DW838">
        <f t="shared" si="1635"/>
        <v>1</v>
      </c>
      <c r="DX838">
        <f t="shared" si="1635"/>
        <v>1</v>
      </c>
      <c r="DY838">
        <f t="shared" si="1635"/>
        <v>1</v>
      </c>
      <c r="DZ838">
        <f t="shared" si="1635"/>
        <v>1</v>
      </c>
      <c r="EA838">
        <f t="shared" si="1635"/>
        <v>1</v>
      </c>
      <c r="EB838">
        <f t="shared" si="1635"/>
        <v>1</v>
      </c>
      <c r="EC838">
        <f t="shared" si="1635"/>
        <v>1</v>
      </c>
      <c r="ED838">
        <f t="shared" si="1635"/>
        <v>1</v>
      </c>
      <c r="EE838">
        <f t="shared" ref="EE838:EF838" si="1636">IF($C838&lt;&gt;"",IF(BP838&gt;0,1,0),0)</f>
        <v>1</v>
      </c>
      <c r="EF838">
        <f t="shared" si="1636"/>
        <v>1</v>
      </c>
    </row>
    <row r="839" spans="1:136" ht="15.5">
      <c r="A839" s="90"/>
      <c r="B839" s="24" t="s">
        <v>15</v>
      </c>
      <c r="C839" s="95"/>
      <c r="D839" s="18">
        <v>0</v>
      </c>
      <c r="E839" s="18">
        <v>0</v>
      </c>
      <c r="F839" s="18">
        <v>0</v>
      </c>
      <c r="G839" s="18">
        <v>0</v>
      </c>
      <c r="H839" s="18">
        <v>0</v>
      </c>
      <c r="I839" s="18">
        <v>0</v>
      </c>
      <c r="J839" s="18">
        <v>0</v>
      </c>
      <c r="K839" s="18">
        <v>0</v>
      </c>
      <c r="L839" s="18">
        <v>0</v>
      </c>
      <c r="M839" s="18">
        <v>0</v>
      </c>
      <c r="N839" s="18">
        <v>0</v>
      </c>
      <c r="O839" s="18">
        <v>0</v>
      </c>
      <c r="P839" s="18">
        <v>0</v>
      </c>
      <c r="Q839" s="18">
        <v>0</v>
      </c>
      <c r="R839" s="18">
        <v>0</v>
      </c>
      <c r="S839" s="18">
        <v>0</v>
      </c>
      <c r="T839" s="18">
        <v>0</v>
      </c>
      <c r="U839" s="18">
        <v>0</v>
      </c>
      <c r="V839" s="18">
        <v>0</v>
      </c>
      <c r="W839" s="18">
        <v>0</v>
      </c>
      <c r="X839" s="18">
        <v>0</v>
      </c>
      <c r="Y839" s="18">
        <v>0</v>
      </c>
      <c r="Z839" s="18">
        <v>0</v>
      </c>
      <c r="AA839" s="18">
        <v>6.9</v>
      </c>
      <c r="AB839" s="18">
        <v>10.336474683556405</v>
      </c>
      <c r="AC839" s="18">
        <v>12.821119307784803</v>
      </c>
      <c r="AD839" s="18">
        <v>0</v>
      </c>
      <c r="AE839" s="18">
        <v>0</v>
      </c>
      <c r="AF839" s="18">
        <v>0</v>
      </c>
      <c r="AG839" s="18">
        <v>0.46700000000000003</v>
      </c>
      <c r="AH839" s="18">
        <v>0</v>
      </c>
      <c r="AI839" s="18">
        <v>0</v>
      </c>
      <c r="AJ839" s="18">
        <v>0</v>
      </c>
      <c r="AK839" s="18">
        <v>0</v>
      </c>
      <c r="AL839" s="18">
        <v>0</v>
      </c>
      <c r="AM839" s="18">
        <v>0</v>
      </c>
      <c r="AN839" s="18">
        <v>0</v>
      </c>
      <c r="AO839" s="18">
        <v>0</v>
      </c>
      <c r="AP839" s="18">
        <v>0</v>
      </c>
      <c r="AQ839" s="18">
        <v>0</v>
      </c>
      <c r="AR839" s="18">
        <v>0</v>
      </c>
      <c r="AS839" s="18">
        <v>0</v>
      </c>
      <c r="AT839" s="18">
        <v>0</v>
      </c>
      <c r="AU839" s="18">
        <v>0</v>
      </c>
      <c r="AV839" s="18">
        <v>0</v>
      </c>
      <c r="AW839" s="18">
        <v>0</v>
      </c>
      <c r="AX839" s="18">
        <v>0</v>
      </c>
      <c r="AY839" s="18">
        <v>0</v>
      </c>
      <c r="AZ839" s="18">
        <v>0</v>
      </c>
      <c r="BA839" s="18">
        <v>0</v>
      </c>
      <c r="BB839" s="18">
        <v>0</v>
      </c>
      <c r="BC839" s="18">
        <v>0</v>
      </c>
      <c r="BD839" s="18">
        <v>0</v>
      </c>
      <c r="BE839" s="25">
        <v>0</v>
      </c>
      <c r="BF839" s="18">
        <v>0</v>
      </c>
      <c r="BG839" s="18">
        <v>0</v>
      </c>
      <c r="BH839" s="18">
        <v>0</v>
      </c>
      <c r="BI839" s="113">
        <v>0</v>
      </c>
      <c r="BJ839" s="113">
        <v>0</v>
      </c>
      <c r="BK839" s="113">
        <v>0</v>
      </c>
      <c r="BL839" s="113">
        <v>0</v>
      </c>
      <c r="BM839" s="113">
        <v>0</v>
      </c>
      <c r="BN839" s="113">
        <v>0</v>
      </c>
      <c r="BO839" s="113">
        <v>0</v>
      </c>
      <c r="BP839" s="113">
        <v>0</v>
      </c>
      <c r="BQ839" s="113">
        <v>0</v>
      </c>
      <c r="BR839" s="101"/>
      <c r="BS839">
        <f t="shared" ref="BS839:CB843" si="1637">IF($C839&lt;&gt;"",IF(D839&gt;0,1,0),0)</f>
        <v>0</v>
      </c>
      <c r="BT839">
        <f t="shared" si="1637"/>
        <v>0</v>
      </c>
      <c r="BU839">
        <f t="shared" si="1637"/>
        <v>0</v>
      </c>
      <c r="BV839">
        <f t="shared" si="1637"/>
        <v>0</v>
      </c>
      <c r="BW839">
        <f t="shared" si="1637"/>
        <v>0</v>
      </c>
      <c r="BX839">
        <f t="shared" si="1637"/>
        <v>0</v>
      </c>
      <c r="BY839">
        <f t="shared" si="1637"/>
        <v>0</v>
      </c>
      <c r="BZ839">
        <f t="shared" si="1637"/>
        <v>0</v>
      </c>
      <c r="CA839">
        <f t="shared" si="1637"/>
        <v>0</v>
      </c>
      <c r="CB839">
        <f t="shared" si="1637"/>
        <v>0</v>
      </c>
      <c r="CC839">
        <f t="shared" ref="CC839:CL843" si="1638">IF($C839&lt;&gt;"",IF(N839&gt;0,1,0),0)</f>
        <v>0</v>
      </c>
      <c r="CD839">
        <f t="shared" si="1638"/>
        <v>0</v>
      </c>
      <c r="CE839">
        <f t="shared" si="1638"/>
        <v>0</v>
      </c>
      <c r="CF839">
        <f t="shared" si="1638"/>
        <v>0</v>
      </c>
      <c r="CG839">
        <f t="shared" si="1638"/>
        <v>0</v>
      </c>
      <c r="CH839">
        <f t="shared" si="1638"/>
        <v>0</v>
      </c>
      <c r="CI839">
        <f t="shared" si="1638"/>
        <v>0</v>
      </c>
      <c r="CJ839">
        <f t="shared" si="1638"/>
        <v>0</v>
      </c>
      <c r="CK839">
        <f t="shared" si="1638"/>
        <v>0</v>
      </c>
      <c r="CL839">
        <f t="shared" si="1638"/>
        <v>0</v>
      </c>
      <c r="CM839">
        <f t="shared" ref="CM839:CV843" si="1639">IF($C839&lt;&gt;"",IF(X839&gt;0,1,0),0)</f>
        <v>0</v>
      </c>
      <c r="CN839">
        <f t="shared" si="1639"/>
        <v>0</v>
      </c>
      <c r="CO839">
        <f t="shared" si="1639"/>
        <v>0</v>
      </c>
      <c r="CP839">
        <f t="shared" si="1639"/>
        <v>0</v>
      </c>
      <c r="CQ839">
        <f t="shared" si="1639"/>
        <v>0</v>
      </c>
      <c r="CR839">
        <f t="shared" si="1639"/>
        <v>0</v>
      </c>
      <c r="CS839">
        <f t="shared" si="1639"/>
        <v>0</v>
      </c>
      <c r="CT839">
        <f t="shared" si="1639"/>
        <v>0</v>
      </c>
      <c r="CU839">
        <f t="shared" si="1639"/>
        <v>0</v>
      </c>
      <c r="CV839">
        <f t="shared" si="1639"/>
        <v>0</v>
      </c>
      <c r="CW839">
        <f t="shared" ref="CW839:DF843" si="1640">IF($C839&lt;&gt;"",IF(AH839&gt;0,1,0),0)</f>
        <v>0</v>
      </c>
      <c r="CX839">
        <f t="shared" si="1640"/>
        <v>0</v>
      </c>
      <c r="CY839">
        <f t="shared" si="1640"/>
        <v>0</v>
      </c>
      <c r="CZ839">
        <f t="shared" si="1640"/>
        <v>0</v>
      </c>
      <c r="DA839">
        <f t="shared" si="1640"/>
        <v>0</v>
      </c>
      <c r="DB839">
        <f t="shared" si="1640"/>
        <v>0</v>
      </c>
      <c r="DC839">
        <f t="shared" si="1640"/>
        <v>0</v>
      </c>
      <c r="DD839">
        <f t="shared" si="1640"/>
        <v>0</v>
      </c>
      <c r="DE839">
        <f t="shared" si="1640"/>
        <v>0</v>
      </c>
      <c r="DF839">
        <f t="shared" si="1640"/>
        <v>0</v>
      </c>
      <c r="DG839">
        <f t="shared" ref="DG839:DP843" si="1641">IF($C839&lt;&gt;"",IF(AR839&gt;0,1,0),0)</f>
        <v>0</v>
      </c>
      <c r="DH839">
        <f t="shared" si="1641"/>
        <v>0</v>
      </c>
      <c r="DI839">
        <f t="shared" si="1641"/>
        <v>0</v>
      </c>
      <c r="DJ839">
        <f t="shared" si="1641"/>
        <v>0</v>
      </c>
      <c r="DK839">
        <f t="shared" si="1641"/>
        <v>0</v>
      </c>
      <c r="DL839">
        <f t="shared" si="1641"/>
        <v>0</v>
      </c>
      <c r="DM839">
        <f t="shared" si="1641"/>
        <v>0</v>
      </c>
      <c r="DN839">
        <f t="shared" si="1641"/>
        <v>0</v>
      </c>
      <c r="DO839">
        <f t="shared" si="1641"/>
        <v>0</v>
      </c>
      <c r="DP839">
        <f t="shared" si="1641"/>
        <v>0</v>
      </c>
      <c r="DQ839">
        <f t="shared" ref="DQ839:DZ843" si="1642">IF($C839&lt;&gt;"",IF(BB839&gt;0,1,0),0)</f>
        <v>0</v>
      </c>
      <c r="DR839">
        <f t="shared" si="1642"/>
        <v>0</v>
      </c>
      <c r="DS839">
        <f t="shared" si="1642"/>
        <v>0</v>
      </c>
      <c r="DT839">
        <f t="shared" si="1642"/>
        <v>0</v>
      </c>
      <c r="DU839">
        <f t="shared" si="1642"/>
        <v>0</v>
      </c>
      <c r="DV839">
        <f t="shared" si="1642"/>
        <v>0</v>
      </c>
      <c r="DW839">
        <f t="shared" si="1642"/>
        <v>0</v>
      </c>
      <c r="DX839">
        <f t="shared" si="1642"/>
        <v>0</v>
      </c>
      <c r="DY839">
        <f t="shared" si="1642"/>
        <v>0</v>
      </c>
      <c r="DZ839">
        <f t="shared" si="1642"/>
        <v>0</v>
      </c>
      <c r="EA839">
        <f t="shared" ref="EA839:EF841" si="1643">IF($C839&lt;&gt;"",IF(BL838&gt;0,1,0),0)</f>
        <v>0</v>
      </c>
      <c r="EB839">
        <f t="shared" si="1643"/>
        <v>0</v>
      </c>
      <c r="EC839">
        <f t="shared" si="1643"/>
        <v>0</v>
      </c>
      <c r="ED839">
        <f t="shared" si="1643"/>
        <v>0</v>
      </c>
      <c r="EE839">
        <f t="shared" si="1643"/>
        <v>0</v>
      </c>
      <c r="EF839">
        <f t="shared" si="1643"/>
        <v>0</v>
      </c>
    </row>
    <row r="840" spans="1:136" ht="15.5">
      <c r="A840" s="90"/>
      <c r="B840" s="57" t="s">
        <v>184</v>
      </c>
      <c r="C840" s="95"/>
      <c r="D840" s="18">
        <v>0</v>
      </c>
      <c r="E840" s="18">
        <v>0</v>
      </c>
      <c r="F840" s="18">
        <v>0</v>
      </c>
      <c r="G840" s="18">
        <v>0</v>
      </c>
      <c r="H840" s="18">
        <v>0</v>
      </c>
      <c r="I840" s="18">
        <v>0</v>
      </c>
      <c r="J840" s="18">
        <v>0</v>
      </c>
      <c r="K840" s="18">
        <v>0</v>
      </c>
      <c r="L840" s="18">
        <v>0</v>
      </c>
      <c r="M840" s="18">
        <v>0</v>
      </c>
      <c r="N840" s="18">
        <v>0</v>
      </c>
      <c r="O840" s="18">
        <v>0</v>
      </c>
      <c r="P840" s="18">
        <v>0</v>
      </c>
      <c r="Q840" s="18">
        <v>0</v>
      </c>
      <c r="R840" s="18">
        <v>0</v>
      </c>
      <c r="S840" s="18">
        <v>0</v>
      </c>
      <c r="T840" s="18">
        <v>0</v>
      </c>
      <c r="U840" s="18">
        <v>0</v>
      </c>
      <c r="V840" s="18">
        <v>0</v>
      </c>
      <c r="W840" s="18">
        <v>0</v>
      </c>
      <c r="X840" s="18">
        <v>0</v>
      </c>
      <c r="Y840" s="18">
        <v>0</v>
      </c>
      <c r="Z840" s="18">
        <v>0</v>
      </c>
      <c r="AA840" s="18">
        <v>0</v>
      </c>
      <c r="AB840" s="40" t="s">
        <v>16</v>
      </c>
      <c r="AC840" s="18">
        <v>24</v>
      </c>
      <c r="AD840" s="18">
        <v>34</v>
      </c>
      <c r="AE840" s="18">
        <v>51</v>
      </c>
      <c r="AF840" s="18">
        <v>73</v>
      </c>
      <c r="AG840" s="18">
        <v>66</v>
      </c>
      <c r="AH840" s="18">
        <v>190</v>
      </c>
      <c r="AI840" s="18">
        <v>220</v>
      </c>
      <c r="AJ840" s="18">
        <v>0</v>
      </c>
      <c r="AK840" s="18">
        <v>0</v>
      </c>
      <c r="AL840" s="18">
        <v>0</v>
      </c>
      <c r="AM840" s="18">
        <v>0</v>
      </c>
      <c r="AN840" s="18">
        <v>0</v>
      </c>
      <c r="AO840" s="18">
        <v>0</v>
      </c>
      <c r="AP840" s="18">
        <v>0</v>
      </c>
      <c r="AQ840" s="18">
        <v>0</v>
      </c>
      <c r="AR840" s="18">
        <v>0</v>
      </c>
      <c r="AS840" s="18">
        <v>0</v>
      </c>
      <c r="AT840" s="18">
        <v>0</v>
      </c>
      <c r="AU840" s="18">
        <v>0</v>
      </c>
      <c r="AV840" s="18">
        <v>0</v>
      </c>
      <c r="AW840" s="18">
        <v>0</v>
      </c>
      <c r="AX840" s="18">
        <v>0</v>
      </c>
      <c r="AY840" s="18">
        <v>0</v>
      </c>
      <c r="AZ840" s="18">
        <v>0</v>
      </c>
      <c r="BA840" s="18">
        <v>0</v>
      </c>
      <c r="BB840" s="18">
        <v>0</v>
      </c>
      <c r="BC840" s="18">
        <v>0</v>
      </c>
      <c r="BD840" s="18">
        <v>0</v>
      </c>
      <c r="BE840" s="18">
        <v>0</v>
      </c>
      <c r="BF840" s="18">
        <v>0</v>
      </c>
      <c r="BG840" s="18">
        <v>0</v>
      </c>
      <c r="BH840" s="18">
        <v>0</v>
      </c>
      <c r="BI840" s="113">
        <v>0</v>
      </c>
      <c r="BJ840" s="113">
        <v>0</v>
      </c>
      <c r="BK840" s="113">
        <v>0</v>
      </c>
      <c r="BL840" s="113">
        <v>0</v>
      </c>
      <c r="BM840" s="113">
        <v>0</v>
      </c>
      <c r="BN840" s="113">
        <v>0</v>
      </c>
      <c r="BO840" s="113">
        <v>0</v>
      </c>
      <c r="BP840" s="113">
        <v>0</v>
      </c>
      <c r="BQ840" s="113">
        <v>0</v>
      </c>
      <c r="BR840" s="101"/>
      <c r="BS840">
        <f t="shared" si="1637"/>
        <v>0</v>
      </c>
      <c r="BT840">
        <f t="shared" si="1637"/>
        <v>0</v>
      </c>
      <c r="BU840">
        <f t="shared" si="1637"/>
        <v>0</v>
      </c>
      <c r="BV840">
        <f t="shared" si="1637"/>
        <v>0</v>
      </c>
      <c r="BW840">
        <f t="shared" si="1637"/>
        <v>0</v>
      </c>
      <c r="BX840">
        <f t="shared" si="1637"/>
        <v>0</v>
      </c>
      <c r="BY840">
        <f t="shared" si="1637"/>
        <v>0</v>
      </c>
      <c r="BZ840">
        <f t="shared" si="1637"/>
        <v>0</v>
      </c>
      <c r="CA840">
        <f t="shared" si="1637"/>
        <v>0</v>
      </c>
      <c r="CB840">
        <f t="shared" si="1637"/>
        <v>0</v>
      </c>
      <c r="CC840">
        <f t="shared" si="1638"/>
        <v>0</v>
      </c>
      <c r="CD840">
        <f t="shared" si="1638"/>
        <v>0</v>
      </c>
      <c r="CE840">
        <f t="shared" si="1638"/>
        <v>0</v>
      </c>
      <c r="CF840">
        <f t="shared" si="1638"/>
        <v>0</v>
      </c>
      <c r="CG840">
        <f t="shared" si="1638"/>
        <v>0</v>
      </c>
      <c r="CH840">
        <f t="shared" si="1638"/>
        <v>0</v>
      </c>
      <c r="CI840">
        <f t="shared" si="1638"/>
        <v>0</v>
      </c>
      <c r="CJ840">
        <f t="shared" si="1638"/>
        <v>0</v>
      </c>
      <c r="CK840">
        <f t="shared" si="1638"/>
        <v>0</v>
      </c>
      <c r="CL840">
        <f t="shared" si="1638"/>
        <v>0</v>
      </c>
      <c r="CM840">
        <f t="shared" si="1639"/>
        <v>0</v>
      </c>
      <c r="CN840">
        <f t="shared" si="1639"/>
        <v>0</v>
      </c>
      <c r="CO840">
        <f t="shared" si="1639"/>
        <v>0</v>
      </c>
      <c r="CP840">
        <f t="shared" si="1639"/>
        <v>0</v>
      </c>
      <c r="CQ840">
        <f t="shared" si="1639"/>
        <v>0</v>
      </c>
      <c r="CR840">
        <f t="shared" si="1639"/>
        <v>0</v>
      </c>
      <c r="CS840">
        <f t="shared" si="1639"/>
        <v>0</v>
      </c>
      <c r="CT840">
        <f t="shared" si="1639"/>
        <v>0</v>
      </c>
      <c r="CU840">
        <f t="shared" si="1639"/>
        <v>0</v>
      </c>
      <c r="CV840">
        <f t="shared" si="1639"/>
        <v>0</v>
      </c>
      <c r="CW840">
        <f t="shared" si="1640"/>
        <v>0</v>
      </c>
      <c r="CX840">
        <f t="shared" si="1640"/>
        <v>0</v>
      </c>
      <c r="CY840">
        <f t="shared" si="1640"/>
        <v>0</v>
      </c>
      <c r="CZ840">
        <f t="shared" si="1640"/>
        <v>0</v>
      </c>
      <c r="DA840">
        <f t="shared" si="1640"/>
        <v>0</v>
      </c>
      <c r="DB840">
        <f t="shared" si="1640"/>
        <v>0</v>
      </c>
      <c r="DC840">
        <f t="shared" si="1640"/>
        <v>0</v>
      </c>
      <c r="DD840">
        <f t="shared" si="1640"/>
        <v>0</v>
      </c>
      <c r="DE840">
        <f t="shared" si="1640"/>
        <v>0</v>
      </c>
      <c r="DF840">
        <f t="shared" si="1640"/>
        <v>0</v>
      </c>
      <c r="DG840">
        <f t="shared" si="1641"/>
        <v>0</v>
      </c>
      <c r="DH840">
        <f t="shared" si="1641"/>
        <v>0</v>
      </c>
      <c r="DI840">
        <f t="shared" si="1641"/>
        <v>0</v>
      </c>
      <c r="DJ840">
        <f t="shared" si="1641"/>
        <v>0</v>
      </c>
      <c r="DK840">
        <f t="shared" si="1641"/>
        <v>0</v>
      </c>
      <c r="DL840">
        <f t="shared" si="1641"/>
        <v>0</v>
      </c>
      <c r="DM840">
        <f t="shared" si="1641"/>
        <v>0</v>
      </c>
      <c r="DN840">
        <f t="shared" si="1641"/>
        <v>0</v>
      </c>
      <c r="DO840">
        <f t="shared" si="1641"/>
        <v>0</v>
      </c>
      <c r="DP840">
        <f t="shared" si="1641"/>
        <v>0</v>
      </c>
      <c r="DQ840">
        <f t="shared" si="1642"/>
        <v>0</v>
      </c>
      <c r="DR840">
        <f t="shared" si="1642"/>
        <v>0</v>
      </c>
      <c r="DS840">
        <f t="shared" si="1642"/>
        <v>0</v>
      </c>
      <c r="DT840">
        <f t="shared" si="1642"/>
        <v>0</v>
      </c>
      <c r="DU840">
        <f t="shared" si="1642"/>
        <v>0</v>
      </c>
      <c r="DV840">
        <f t="shared" si="1642"/>
        <v>0</v>
      </c>
      <c r="DW840">
        <f t="shared" si="1642"/>
        <v>0</v>
      </c>
      <c r="DX840">
        <f t="shared" si="1642"/>
        <v>0</v>
      </c>
      <c r="DY840">
        <f t="shared" si="1642"/>
        <v>0</v>
      </c>
      <c r="DZ840">
        <f t="shared" si="1642"/>
        <v>0</v>
      </c>
      <c r="EA840">
        <f t="shared" si="1643"/>
        <v>0</v>
      </c>
      <c r="EB840">
        <f t="shared" si="1643"/>
        <v>0</v>
      </c>
      <c r="EC840">
        <f t="shared" si="1643"/>
        <v>0</v>
      </c>
      <c r="ED840">
        <f t="shared" si="1643"/>
        <v>0</v>
      </c>
      <c r="EE840">
        <f t="shared" si="1643"/>
        <v>0</v>
      </c>
      <c r="EF840">
        <f t="shared" si="1643"/>
        <v>0</v>
      </c>
    </row>
    <row r="841" spans="1:136" ht="15.5">
      <c r="A841" s="90"/>
      <c r="B841" s="57" t="s">
        <v>202</v>
      </c>
      <c r="C841" s="95"/>
      <c r="D841" s="18">
        <v>0</v>
      </c>
      <c r="E841" s="18">
        <v>0</v>
      </c>
      <c r="F841" s="18">
        <v>0</v>
      </c>
      <c r="G841" s="18">
        <v>0</v>
      </c>
      <c r="H841" s="18">
        <v>0</v>
      </c>
      <c r="I841" s="18">
        <v>0</v>
      </c>
      <c r="J841" s="18">
        <v>0</v>
      </c>
      <c r="K841" s="18">
        <v>0</v>
      </c>
      <c r="L841" s="18">
        <v>0</v>
      </c>
      <c r="M841" s="18">
        <v>0</v>
      </c>
      <c r="N841" s="18">
        <v>0</v>
      </c>
      <c r="O841" s="18">
        <v>0</v>
      </c>
      <c r="P841" s="18">
        <v>0</v>
      </c>
      <c r="Q841" s="18">
        <v>0</v>
      </c>
      <c r="R841" s="18">
        <v>0</v>
      </c>
      <c r="S841" s="18">
        <v>0</v>
      </c>
      <c r="T841" s="18">
        <v>0</v>
      </c>
      <c r="U841" s="18">
        <v>0</v>
      </c>
      <c r="V841" s="18">
        <v>0</v>
      </c>
      <c r="W841" s="18">
        <v>0</v>
      </c>
      <c r="X841" s="18">
        <v>0</v>
      </c>
      <c r="Y841" s="18">
        <v>0</v>
      </c>
      <c r="Z841" s="18">
        <v>0</v>
      </c>
      <c r="AA841" s="18">
        <v>0</v>
      </c>
      <c r="AB841" s="40">
        <v>0</v>
      </c>
      <c r="AC841" s="18">
        <v>0</v>
      </c>
      <c r="AD841" s="18">
        <v>0</v>
      </c>
      <c r="AE841" s="18">
        <v>0</v>
      </c>
      <c r="AF841" s="18">
        <v>3</v>
      </c>
      <c r="AG841" s="18">
        <v>2</v>
      </c>
      <c r="AH841" s="18">
        <v>5</v>
      </c>
      <c r="AI841" s="18">
        <v>6</v>
      </c>
      <c r="AJ841" s="18">
        <v>0</v>
      </c>
      <c r="AK841" s="18">
        <v>0</v>
      </c>
      <c r="AL841" s="18">
        <v>0</v>
      </c>
      <c r="AM841" s="18">
        <v>0</v>
      </c>
      <c r="AN841" s="18">
        <v>0</v>
      </c>
      <c r="AO841" s="18">
        <v>0</v>
      </c>
      <c r="AP841" s="18">
        <v>0</v>
      </c>
      <c r="AQ841" s="18">
        <v>0</v>
      </c>
      <c r="AR841" s="18">
        <v>0</v>
      </c>
      <c r="AS841" s="18">
        <v>0</v>
      </c>
      <c r="AT841" s="18">
        <v>0</v>
      </c>
      <c r="AU841" s="18">
        <v>0</v>
      </c>
      <c r="AV841" s="18">
        <v>0</v>
      </c>
      <c r="AW841" s="18">
        <v>0</v>
      </c>
      <c r="AX841" s="18">
        <v>0</v>
      </c>
      <c r="AY841" s="18">
        <v>0</v>
      </c>
      <c r="AZ841" s="18">
        <v>0</v>
      </c>
      <c r="BA841" s="18">
        <v>0</v>
      </c>
      <c r="BB841" s="18">
        <v>0</v>
      </c>
      <c r="BC841" s="18">
        <v>0</v>
      </c>
      <c r="BD841" s="18">
        <v>0</v>
      </c>
      <c r="BE841" s="25">
        <v>0</v>
      </c>
      <c r="BF841" s="18">
        <v>0</v>
      </c>
      <c r="BG841" s="18">
        <v>0</v>
      </c>
      <c r="BH841" s="18">
        <v>0</v>
      </c>
      <c r="BI841" s="113">
        <v>0</v>
      </c>
      <c r="BJ841" s="113">
        <v>0</v>
      </c>
      <c r="BK841" s="113">
        <v>0</v>
      </c>
      <c r="BL841" s="113">
        <v>0</v>
      </c>
      <c r="BM841" s="113">
        <v>0</v>
      </c>
      <c r="BN841" s="113">
        <v>0</v>
      </c>
      <c r="BO841" s="113">
        <v>0</v>
      </c>
      <c r="BP841" s="113">
        <v>0</v>
      </c>
      <c r="BQ841" s="113">
        <v>0</v>
      </c>
      <c r="BR841" s="101"/>
      <c r="BS841">
        <f t="shared" si="1637"/>
        <v>0</v>
      </c>
      <c r="BT841">
        <f t="shared" si="1637"/>
        <v>0</v>
      </c>
      <c r="BU841">
        <f t="shared" si="1637"/>
        <v>0</v>
      </c>
      <c r="BV841">
        <f t="shared" si="1637"/>
        <v>0</v>
      </c>
      <c r="BW841">
        <f t="shared" si="1637"/>
        <v>0</v>
      </c>
      <c r="BX841">
        <f t="shared" si="1637"/>
        <v>0</v>
      </c>
      <c r="BY841">
        <f t="shared" si="1637"/>
        <v>0</v>
      </c>
      <c r="BZ841">
        <f t="shared" si="1637"/>
        <v>0</v>
      </c>
      <c r="CA841">
        <f t="shared" si="1637"/>
        <v>0</v>
      </c>
      <c r="CB841">
        <f t="shared" si="1637"/>
        <v>0</v>
      </c>
      <c r="CC841">
        <f t="shared" si="1638"/>
        <v>0</v>
      </c>
      <c r="CD841">
        <f t="shared" si="1638"/>
        <v>0</v>
      </c>
      <c r="CE841">
        <f t="shared" si="1638"/>
        <v>0</v>
      </c>
      <c r="CF841">
        <f t="shared" si="1638"/>
        <v>0</v>
      </c>
      <c r="CG841">
        <f t="shared" si="1638"/>
        <v>0</v>
      </c>
      <c r="CH841">
        <f t="shared" si="1638"/>
        <v>0</v>
      </c>
      <c r="CI841">
        <f t="shared" si="1638"/>
        <v>0</v>
      </c>
      <c r="CJ841">
        <f t="shared" si="1638"/>
        <v>0</v>
      </c>
      <c r="CK841">
        <f t="shared" si="1638"/>
        <v>0</v>
      </c>
      <c r="CL841">
        <f t="shared" si="1638"/>
        <v>0</v>
      </c>
      <c r="CM841">
        <f t="shared" si="1639"/>
        <v>0</v>
      </c>
      <c r="CN841">
        <f t="shared" si="1639"/>
        <v>0</v>
      </c>
      <c r="CO841">
        <f t="shared" si="1639"/>
        <v>0</v>
      </c>
      <c r="CP841">
        <f t="shared" si="1639"/>
        <v>0</v>
      </c>
      <c r="CQ841">
        <f t="shared" si="1639"/>
        <v>0</v>
      </c>
      <c r="CR841">
        <f t="shared" si="1639"/>
        <v>0</v>
      </c>
      <c r="CS841">
        <f t="shared" si="1639"/>
        <v>0</v>
      </c>
      <c r="CT841">
        <f t="shared" si="1639"/>
        <v>0</v>
      </c>
      <c r="CU841">
        <f t="shared" si="1639"/>
        <v>0</v>
      </c>
      <c r="CV841">
        <f t="shared" si="1639"/>
        <v>0</v>
      </c>
      <c r="CW841">
        <f t="shared" si="1640"/>
        <v>0</v>
      </c>
      <c r="CX841">
        <f t="shared" si="1640"/>
        <v>0</v>
      </c>
      <c r="CY841">
        <f t="shared" si="1640"/>
        <v>0</v>
      </c>
      <c r="CZ841">
        <f t="shared" si="1640"/>
        <v>0</v>
      </c>
      <c r="DA841">
        <f t="shared" si="1640"/>
        <v>0</v>
      </c>
      <c r="DB841">
        <f t="shared" si="1640"/>
        <v>0</v>
      </c>
      <c r="DC841">
        <f t="shared" si="1640"/>
        <v>0</v>
      </c>
      <c r="DD841">
        <f t="shared" si="1640"/>
        <v>0</v>
      </c>
      <c r="DE841">
        <f t="shared" si="1640"/>
        <v>0</v>
      </c>
      <c r="DF841">
        <f t="shared" si="1640"/>
        <v>0</v>
      </c>
      <c r="DG841">
        <f t="shared" si="1641"/>
        <v>0</v>
      </c>
      <c r="DH841">
        <f t="shared" si="1641"/>
        <v>0</v>
      </c>
      <c r="DI841">
        <f t="shared" si="1641"/>
        <v>0</v>
      </c>
      <c r="DJ841">
        <f t="shared" si="1641"/>
        <v>0</v>
      </c>
      <c r="DK841">
        <f t="shared" si="1641"/>
        <v>0</v>
      </c>
      <c r="DL841">
        <f t="shared" si="1641"/>
        <v>0</v>
      </c>
      <c r="DM841">
        <f t="shared" si="1641"/>
        <v>0</v>
      </c>
      <c r="DN841">
        <f t="shared" si="1641"/>
        <v>0</v>
      </c>
      <c r="DO841">
        <f t="shared" si="1641"/>
        <v>0</v>
      </c>
      <c r="DP841">
        <f t="shared" si="1641"/>
        <v>0</v>
      </c>
      <c r="DQ841">
        <f t="shared" si="1642"/>
        <v>0</v>
      </c>
      <c r="DR841">
        <f t="shared" si="1642"/>
        <v>0</v>
      </c>
      <c r="DS841">
        <f t="shared" si="1642"/>
        <v>0</v>
      </c>
      <c r="DT841">
        <f t="shared" si="1642"/>
        <v>0</v>
      </c>
      <c r="DU841">
        <f t="shared" si="1642"/>
        <v>0</v>
      </c>
      <c r="DV841">
        <f t="shared" si="1642"/>
        <v>0</v>
      </c>
      <c r="DW841">
        <f t="shared" si="1642"/>
        <v>0</v>
      </c>
      <c r="DX841">
        <f t="shared" si="1642"/>
        <v>0</v>
      </c>
      <c r="DY841">
        <f t="shared" si="1642"/>
        <v>0</v>
      </c>
      <c r="DZ841">
        <f t="shared" si="1642"/>
        <v>0</v>
      </c>
      <c r="EA841">
        <f t="shared" si="1643"/>
        <v>0</v>
      </c>
      <c r="EB841">
        <f t="shared" si="1643"/>
        <v>0</v>
      </c>
      <c r="EC841">
        <f t="shared" si="1643"/>
        <v>0</v>
      </c>
      <c r="ED841">
        <f t="shared" si="1643"/>
        <v>0</v>
      </c>
      <c r="EE841">
        <f t="shared" si="1643"/>
        <v>0</v>
      </c>
      <c r="EF841">
        <f t="shared" si="1643"/>
        <v>0</v>
      </c>
    </row>
    <row r="842" spans="1:136" ht="15.5">
      <c r="A842" s="90"/>
      <c r="B842" s="57" t="s">
        <v>238</v>
      </c>
      <c r="C842" s="95"/>
      <c r="D842" s="18">
        <v>0</v>
      </c>
      <c r="E842" s="18">
        <v>0</v>
      </c>
      <c r="F842" s="18">
        <v>0</v>
      </c>
      <c r="G842" s="18">
        <v>0</v>
      </c>
      <c r="H842" s="18">
        <v>0</v>
      </c>
      <c r="I842" s="18">
        <v>0</v>
      </c>
      <c r="J842" s="18">
        <v>0</v>
      </c>
      <c r="K842" s="18">
        <v>0</v>
      </c>
      <c r="L842" s="18">
        <v>0</v>
      </c>
      <c r="M842" s="18">
        <v>0</v>
      </c>
      <c r="N842" s="18">
        <v>0</v>
      </c>
      <c r="O842" s="18">
        <v>0</v>
      </c>
      <c r="P842" s="18">
        <v>0</v>
      </c>
      <c r="Q842" s="18">
        <v>0</v>
      </c>
      <c r="R842" s="18">
        <v>0</v>
      </c>
      <c r="S842" s="18">
        <v>0</v>
      </c>
      <c r="T842" s="18">
        <v>0</v>
      </c>
      <c r="U842" s="18">
        <v>0</v>
      </c>
      <c r="V842" s="18">
        <v>0</v>
      </c>
      <c r="W842" s="18">
        <v>0</v>
      </c>
      <c r="X842" s="18">
        <v>0</v>
      </c>
      <c r="Y842" s="18">
        <v>0</v>
      </c>
      <c r="Z842" s="18">
        <v>0</v>
      </c>
      <c r="AA842" s="18">
        <v>0</v>
      </c>
      <c r="AB842" s="40">
        <v>0</v>
      </c>
      <c r="AC842" s="18">
        <v>0</v>
      </c>
      <c r="AD842" s="18">
        <v>0</v>
      </c>
      <c r="AE842" s="18">
        <v>0</v>
      </c>
      <c r="AF842" s="71">
        <v>50</v>
      </c>
      <c r="AG842" s="71">
        <v>75</v>
      </c>
      <c r="AH842" s="71">
        <v>100</v>
      </c>
      <c r="AI842" s="18">
        <v>78</v>
      </c>
      <c r="AJ842" s="18">
        <v>0</v>
      </c>
      <c r="AK842" s="18">
        <v>0</v>
      </c>
      <c r="AL842" s="18">
        <v>0</v>
      </c>
      <c r="AM842" s="18">
        <v>0</v>
      </c>
      <c r="AN842" s="18">
        <v>0</v>
      </c>
      <c r="AO842" s="18">
        <v>0</v>
      </c>
      <c r="AP842" s="18">
        <v>0</v>
      </c>
      <c r="AQ842" s="18">
        <v>0</v>
      </c>
      <c r="AR842" s="18">
        <v>0</v>
      </c>
      <c r="AS842" s="18">
        <v>0</v>
      </c>
      <c r="AT842" s="18">
        <v>0</v>
      </c>
      <c r="AU842" s="18">
        <v>0</v>
      </c>
      <c r="AV842" s="18">
        <v>0</v>
      </c>
      <c r="AW842" s="18">
        <v>0</v>
      </c>
      <c r="AX842" s="18">
        <v>0</v>
      </c>
      <c r="AY842" s="18">
        <v>0</v>
      </c>
      <c r="AZ842" s="18">
        <v>0</v>
      </c>
      <c r="BA842" s="18">
        <v>0</v>
      </c>
      <c r="BB842" s="18">
        <v>0</v>
      </c>
      <c r="BC842" s="18">
        <v>0</v>
      </c>
      <c r="BD842" s="18">
        <v>0</v>
      </c>
      <c r="BE842" s="25">
        <v>0</v>
      </c>
      <c r="BF842" s="18">
        <v>0</v>
      </c>
      <c r="BG842" s="18">
        <v>0</v>
      </c>
      <c r="BH842" s="18">
        <v>0</v>
      </c>
      <c r="BI842" s="113">
        <v>0</v>
      </c>
      <c r="BJ842" s="113">
        <v>0</v>
      </c>
      <c r="BK842" s="113">
        <v>0</v>
      </c>
      <c r="BL842" s="113">
        <v>0</v>
      </c>
      <c r="BM842" s="113">
        <v>0</v>
      </c>
      <c r="BN842" s="113">
        <v>0</v>
      </c>
      <c r="BO842" s="113">
        <v>0</v>
      </c>
      <c r="BP842" s="113">
        <v>0</v>
      </c>
      <c r="BQ842" s="113">
        <v>0</v>
      </c>
      <c r="BR842" s="101"/>
      <c r="BS842">
        <f t="shared" si="1637"/>
        <v>0</v>
      </c>
      <c r="BT842">
        <f t="shared" si="1637"/>
        <v>0</v>
      </c>
      <c r="BU842">
        <f t="shared" si="1637"/>
        <v>0</v>
      </c>
      <c r="BV842">
        <f t="shared" si="1637"/>
        <v>0</v>
      </c>
      <c r="BW842">
        <f t="shared" si="1637"/>
        <v>0</v>
      </c>
      <c r="BX842">
        <f t="shared" si="1637"/>
        <v>0</v>
      </c>
      <c r="BY842">
        <f t="shared" si="1637"/>
        <v>0</v>
      </c>
      <c r="BZ842">
        <f t="shared" si="1637"/>
        <v>0</v>
      </c>
      <c r="CA842">
        <f t="shared" si="1637"/>
        <v>0</v>
      </c>
      <c r="CB842">
        <f t="shared" si="1637"/>
        <v>0</v>
      </c>
      <c r="CC842">
        <f t="shared" si="1638"/>
        <v>0</v>
      </c>
      <c r="CD842">
        <f t="shared" si="1638"/>
        <v>0</v>
      </c>
      <c r="CE842">
        <f t="shared" si="1638"/>
        <v>0</v>
      </c>
      <c r="CF842">
        <f t="shared" si="1638"/>
        <v>0</v>
      </c>
      <c r="CG842">
        <f t="shared" si="1638"/>
        <v>0</v>
      </c>
      <c r="CH842">
        <f t="shared" si="1638"/>
        <v>0</v>
      </c>
      <c r="CI842">
        <f t="shared" si="1638"/>
        <v>0</v>
      </c>
      <c r="CJ842">
        <f t="shared" si="1638"/>
        <v>0</v>
      </c>
      <c r="CK842">
        <f t="shared" si="1638"/>
        <v>0</v>
      </c>
      <c r="CL842">
        <f t="shared" si="1638"/>
        <v>0</v>
      </c>
      <c r="CM842">
        <f t="shared" si="1639"/>
        <v>0</v>
      </c>
      <c r="CN842">
        <f t="shared" si="1639"/>
        <v>0</v>
      </c>
      <c r="CO842">
        <f t="shared" si="1639"/>
        <v>0</v>
      </c>
      <c r="CP842">
        <f t="shared" si="1639"/>
        <v>0</v>
      </c>
      <c r="CQ842">
        <f t="shared" si="1639"/>
        <v>0</v>
      </c>
      <c r="CR842">
        <f t="shared" si="1639"/>
        <v>0</v>
      </c>
      <c r="CS842">
        <f t="shared" si="1639"/>
        <v>0</v>
      </c>
      <c r="CT842">
        <f t="shared" si="1639"/>
        <v>0</v>
      </c>
      <c r="CU842">
        <f t="shared" si="1639"/>
        <v>0</v>
      </c>
      <c r="CV842">
        <f t="shared" si="1639"/>
        <v>0</v>
      </c>
      <c r="CW842">
        <f t="shared" si="1640"/>
        <v>0</v>
      </c>
      <c r="CX842">
        <f t="shared" si="1640"/>
        <v>0</v>
      </c>
      <c r="CY842">
        <f t="shared" si="1640"/>
        <v>0</v>
      </c>
      <c r="CZ842">
        <f t="shared" si="1640"/>
        <v>0</v>
      </c>
      <c r="DA842">
        <f t="shared" si="1640"/>
        <v>0</v>
      </c>
      <c r="DB842">
        <f t="shared" si="1640"/>
        <v>0</v>
      </c>
      <c r="DC842">
        <f t="shared" si="1640"/>
        <v>0</v>
      </c>
      <c r="DD842">
        <f t="shared" si="1640"/>
        <v>0</v>
      </c>
      <c r="DE842">
        <f t="shared" si="1640"/>
        <v>0</v>
      </c>
      <c r="DF842">
        <f t="shared" si="1640"/>
        <v>0</v>
      </c>
      <c r="DG842">
        <f t="shared" si="1641"/>
        <v>0</v>
      </c>
      <c r="DH842">
        <f t="shared" si="1641"/>
        <v>0</v>
      </c>
      <c r="DI842">
        <f t="shared" si="1641"/>
        <v>0</v>
      </c>
      <c r="DJ842">
        <f t="shared" si="1641"/>
        <v>0</v>
      </c>
      <c r="DK842">
        <f t="shared" si="1641"/>
        <v>0</v>
      </c>
      <c r="DL842">
        <f t="shared" si="1641"/>
        <v>0</v>
      </c>
      <c r="DM842">
        <f t="shared" si="1641"/>
        <v>0</v>
      </c>
      <c r="DN842">
        <f t="shared" si="1641"/>
        <v>0</v>
      </c>
      <c r="DO842">
        <f t="shared" si="1641"/>
        <v>0</v>
      </c>
      <c r="DP842">
        <f t="shared" si="1641"/>
        <v>0</v>
      </c>
      <c r="DQ842">
        <f t="shared" si="1642"/>
        <v>0</v>
      </c>
      <c r="DR842">
        <f t="shared" si="1642"/>
        <v>0</v>
      </c>
      <c r="DS842">
        <f t="shared" si="1642"/>
        <v>0</v>
      </c>
      <c r="DT842">
        <f t="shared" si="1642"/>
        <v>0</v>
      </c>
      <c r="DU842">
        <f t="shared" si="1642"/>
        <v>0</v>
      </c>
      <c r="DV842">
        <f t="shared" si="1642"/>
        <v>0</v>
      </c>
      <c r="DW842">
        <f t="shared" si="1642"/>
        <v>0</v>
      </c>
      <c r="DX842">
        <f t="shared" si="1642"/>
        <v>0</v>
      </c>
      <c r="DY842">
        <f t="shared" si="1642"/>
        <v>0</v>
      </c>
      <c r="DZ842">
        <f t="shared" si="1642"/>
        <v>0</v>
      </c>
      <c r="EA842">
        <f t="shared" ref="EA842:EF842" si="1644">IF($C842&lt;&gt;"",IF(BL842&gt;0,1,0),0)</f>
        <v>0</v>
      </c>
      <c r="EB842">
        <f t="shared" si="1644"/>
        <v>0</v>
      </c>
      <c r="EC842">
        <f t="shared" si="1644"/>
        <v>0</v>
      </c>
      <c r="ED842">
        <f t="shared" si="1644"/>
        <v>0</v>
      </c>
      <c r="EE842">
        <f t="shared" si="1644"/>
        <v>0</v>
      </c>
      <c r="EF842">
        <f t="shared" si="1644"/>
        <v>0</v>
      </c>
    </row>
    <row r="843" spans="1:136" ht="15.5">
      <c r="A843" s="90"/>
      <c r="B843" s="19" t="s">
        <v>2</v>
      </c>
      <c r="C843" s="95"/>
      <c r="D843" s="18">
        <v>0</v>
      </c>
      <c r="E843" s="18">
        <v>0</v>
      </c>
      <c r="F843" s="18">
        <v>0</v>
      </c>
      <c r="G843" s="18">
        <v>0</v>
      </c>
      <c r="H843" s="18">
        <v>0</v>
      </c>
      <c r="I843" s="18">
        <v>0</v>
      </c>
      <c r="J843" s="18">
        <v>0</v>
      </c>
      <c r="K843" s="18">
        <v>0</v>
      </c>
      <c r="L843" s="18">
        <v>0</v>
      </c>
      <c r="M843" s="18">
        <v>0</v>
      </c>
      <c r="N843" s="18">
        <v>0</v>
      </c>
      <c r="O843" s="18">
        <v>0</v>
      </c>
      <c r="P843" s="18">
        <v>0</v>
      </c>
      <c r="Q843" s="18">
        <v>0</v>
      </c>
      <c r="R843" s="18">
        <v>0</v>
      </c>
      <c r="S843" s="18">
        <v>0</v>
      </c>
      <c r="T843" s="18">
        <v>0</v>
      </c>
      <c r="U843" s="18">
        <v>0</v>
      </c>
      <c r="V843" s="18">
        <v>0</v>
      </c>
      <c r="W843" s="18">
        <v>0</v>
      </c>
      <c r="X843" s="18">
        <v>0</v>
      </c>
      <c r="Y843" s="18">
        <v>0</v>
      </c>
      <c r="Z843" s="18">
        <v>0</v>
      </c>
      <c r="AA843" s="18">
        <v>0</v>
      </c>
      <c r="AB843" s="18">
        <v>0</v>
      </c>
      <c r="AC843" s="18">
        <v>0</v>
      </c>
      <c r="AD843" s="18">
        <v>0</v>
      </c>
      <c r="AE843" s="18">
        <v>0</v>
      </c>
      <c r="AF843" s="18">
        <v>0</v>
      </c>
      <c r="AG843" s="18">
        <v>0</v>
      </c>
      <c r="AH843" s="18">
        <v>0</v>
      </c>
      <c r="AI843" s="18">
        <v>722</v>
      </c>
      <c r="AJ843" s="18">
        <v>0</v>
      </c>
      <c r="AK843" s="18">
        <v>0</v>
      </c>
      <c r="AL843" s="40" t="s">
        <v>16</v>
      </c>
      <c r="AM843" s="18">
        <v>848</v>
      </c>
      <c r="AN843" s="40" t="s">
        <v>16</v>
      </c>
      <c r="AO843" s="40" t="s">
        <v>16</v>
      </c>
      <c r="AP843" s="18">
        <v>213</v>
      </c>
      <c r="AQ843" s="18">
        <v>448</v>
      </c>
      <c r="AR843" s="40" t="s">
        <v>16</v>
      </c>
      <c r="AS843" s="40" t="s">
        <v>16</v>
      </c>
      <c r="AT843" s="18">
        <v>580</v>
      </c>
      <c r="AU843" s="40" t="s">
        <v>16</v>
      </c>
      <c r="AV843" s="18">
        <v>1579</v>
      </c>
      <c r="AW843" s="18">
        <v>0</v>
      </c>
      <c r="AX843" s="18">
        <v>0</v>
      </c>
      <c r="AY843" s="18">
        <v>0</v>
      </c>
      <c r="AZ843" s="18">
        <v>0</v>
      </c>
      <c r="BA843" s="18">
        <v>0</v>
      </c>
      <c r="BB843" s="18">
        <v>0</v>
      </c>
      <c r="BC843" s="18">
        <v>0</v>
      </c>
      <c r="BD843" s="18">
        <v>0</v>
      </c>
      <c r="BE843" s="18">
        <v>0</v>
      </c>
      <c r="BF843" s="18">
        <v>0</v>
      </c>
      <c r="BG843" s="18">
        <v>0</v>
      </c>
      <c r="BH843" s="18">
        <v>0</v>
      </c>
      <c r="BI843" s="18">
        <v>0</v>
      </c>
      <c r="BJ843" s="18">
        <v>0</v>
      </c>
      <c r="BK843" s="18">
        <v>0</v>
      </c>
      <c r="BL843" s="18">
        <v>0</v>
      </c>
      <c r="BM843" s="18">
        <v>0</v>
      </c>
      <c r="BN843" s="113">
        <v>0</v>
      </c>
      <c r="BO843" s="113">
        <v>0</v>
      </c>
      <c r="BP843" s="113">
        <v>0</v>
      </c>
      <c r="BQ843" s="113">
        <v>0</v>
      </c>
      <c r="BR843" s="101"/>
      <c r="BS843">
        <f t="shared" si="1637"/>
        <v>0</v>
      </c>
      <c r="BT843">
        <f t="shared" si="1637"/>
        <v>0</v>
      </c>
      <c r="BU843">
        <f t="shared" si="1637"/>
        <v>0</v>
      </c>
      <c r="BV843">
        <f t="shared" si="1637"/>
        <v>0</v>
      </c>
      <c r="BW843">
        <f t="shared" si="1637"/>
        <v>0</v>
      </c>
      <c r="BX843">
        <f t="shared" si="1637"/>
        <v>0</v>
      </c>
      <c r="BY843">
        <f t="shared" si="1637"/>
        <v>0</v>
      </c>
      <c r="BZ843">
        <f t="shared" si="1637"/>
        <v>0</v>
      </c>
      <c r="CA843">
        <f t="shared" si="1637"/>
        <v>0</v>
      </c>
      <c r="CB843">
        <f t="shared" si="1637"/>
        <v>0</v>
      </c>
      <c r="CC843">
        <f t="shared" si="1638"/>
        <v>0</v>
      </c>
      <c r="CD843">
        <f t="shared" si="1638"/>
        <v>0</v>
      </c>
      <c r="CE843">
        <f t="shared" si="1638"/>
        <v>0</v>
      </c>
      <c r="CF843">
        <f t="shared" si="1638"/>
        <v>0</v>
      </c>
      <c r="CG843">
        <f t="shared" si="1638"/>
        <v>0</v>
      </c>
      <c r="CH843">
        <f t="shared" si="1638"/>
        <v>0</v>
      </c>
      <c r="CI843">
        <f t="shared" si="1638"/>
        <v>0</v>
      </c>
      <c r="CJ843">
        <f t="shared" si="1638"/>
        <v>0</v>
      </c>
      <c r="CK843">
        <f t="shared" si="1638"/>
        <v>0</v>
      </c>
      <c r="CL843">
        <f t="shared" si="1638"/>
        <v>0</v>
      </c>
      <c r="CM843">
        <f t="shared" si="1639"/>
        <v>0</v>
      </c>
      <c r="CN843">
        <f t="shared" si="1639"/>
        <v>0</v>
      </c>
      <c r="CO843">
        <f t="shared" si="1639"/>
        <v>0</v>
      </c>
      <c r="CP843">
        <f t="shared" si="1639"/>
        <v>0</v>
      </c>
      <c r="CQ843">
        <f t="shared" si="1639"/>
        <v>0</v>
      </c>
      <c r="CR843">
        <f t="shared" si="1639"/>
        <v>0</v>
      </c>
      <c r="CS843">
        <f t="shared" si="1639"/>
        <v>0</v>
      </c>
      <c r="CT843">
        <f t="shared" si="1639"/>
        <v>0</v>
      </c>
      <c r="CU843">
        <f t="shared" si="1639"/>
        <v>0</v>
      </c>
      <c r="CV843">
        <f t="shared" si="1639"/>
        <v>0</v>
      </c>
      <c r="CW843">
        <f t="shared" si="1640"/>
        <v>0</v>
      </c>
      <c r="CX843">
        <f t="shared" si="1640"/>
        <v>0</v>
      </c>
      <c r="CY843">
        <f t="shared" si="1640"/>
        <v>0</v>
      </c>
      <c r="CZ843">
        <f t="shared" si="1640"/>
        <v>0</v>
      </c>
      <c r="DA843">
        <f t="shared" si="1640"/>
        <v>0</v>
      </c>
      <c r="DB843">
        <f t="shared" si="1640"/>
        <v>0</v>
      </c>
      <c r="DC843">
        <f t="shared" si="1640"/>
        <v>0</v>
      </c>
      <c r="DD843">
        <f t="shared" si="1640"/>
        <v>0</v>
      </c>
      <c r="DE843">
        <f t="shared" si="1640"/>
        <v>0</v>
      </c>
      <c r="DF843">
        <f t="shared" si="1640"/>
        <v>0</v>
      </c>
      <c r="DG843">
        <f t="shared" si="1641"/>
        <v>0</v>
      </c>
      <c r="DH843">
        <f t="shared" si="1641"/>
        <v>0</v>
      </c>
      <c r="DI843">
        <f t="shared" si="1641"/>
        <v>0</v>
      </c>
      <c r="DJ843">
        <f t="shared" si="1641"/>
        <v>0</v>
      </c>
      <c r="DK843">
        <f t="shared" si="1641"/>
        <v>0</v>
      </c>
      <c r="DL843">
        <f t="shared" si="1641"/>
        <v>0</v>
      </c>
      <c r="DM843">
        <f t="shared" si="1641"/>
        <v>0</v>
      </c>
      <c r="DN843">
        <f t="shared" si="1641"/>
        <v>0</v>
      </c>
      <c r="DO843">
        <f t="shared" si="1641"/>
        <v>0</v>
      </c>
      <c r="DP843">
        <f t="shared" si="1641"/>
        <v>0</v>
      </c>
      <c r="DQ843">
        <f t="shared" si="1642"/>
        <v>0</v>
      </c>
      <c r="DR843">
        <f t="shared" si="1642"/>
        <v>0</v>
      </c>
      <c r="DS843">
        <f t="shared" si="1642"/>
        <v>0</v>
      </c>
      <c r="DT843">
        <f t="shared" si="1642"/>
        <v>0</v>
      </c>
      <c r="DU843">
        <f t="shared" si="1642"/>
        <v>0</v>
      </c>
      <c r="DV843">
        <f t="shared" si="1642"/>
        <v>0</v>
      </c>
      <c r="DW843">
        <f t="shared" si="1642"/>
        <v>0</v>
      </c>
      <c r="DX843">
        <f t="shared" si="1642"/>
        <v>0</v>
      </c>
      <c r="DY843">
        <f t="shared" si="1642"/>
        <v>0</v>
      </c>
      <c r="DZ843">
        <f t="shared" si="1642"/>
        <v>0</v>
      </c>
      <c r="EA843">
        <f t="shared" ref="EA843:EF843" si="1645">IF($C843&lt;&gt;"",IF(BL841&gt;0,1,0),0)</f>
        <v>0</v>
      </c>
      <c r="EB843">
        <f t="shared" si="1645"/>
        <v>0</v>
      </c>
      <c r="EC843">
        <f t="shared" si="1645"/>
        <v>0</v>
      </c>
      <c r="ED843">
        <f t="shared" si="1645"/>
        <v>0</v>
      </c>
      <c r="EE843">
        <f t="shared" si="1645"/>
        <v>0</v>
      </c>
      <c r="EF843">
        <f t="shared" si="1645"/>
        <v>0</v>
      </c>
    </row>
    <row r="844" spans="1:136" ht="15.5">
      <c r="A844" s="90"/>
      <c r="B844" s="19" t="s">
        <v>205</v>
      </c>
      <c r="C844" s="95"/>
      <c r="D844" s="18">
        <v>0</v>
      </c>
      <c r="E844" s="18">
        <v>0</v>
      </c>
      <c r="F844" s="18">
        <v>0</v>
      </c>
      <c r="G844" s="18">
        <v>0</v>
      </c>
      <c r="H844" s="18">
        <v>0</v>
      </c>
      <c r="I844" s="18">
        <v>0</v>
      </c>
      <c r="J844" s="18">
        <v>0</v>
      </c>
      <c r="K844" s="18">
        <v>0</v>
      </c>
      <c r="L844" s="18">
        <v>0</v>
      </c>
      <c r="M844" s="18">
        <v>0</v>
      </c>
      <c r="N844" s="18">
        <v>0</v>
      </c>
      <c r="O844" s="18">
        <v>0</v>
      </c>
      <c r="P844" s="18">
        <v>0</v>
      </c>
      <c r="Q844" s="18">
        <v>0</v>
      </c>
      <c r="R844" s="18">
        <v>0</v>
      </c>
      <c r="S844" s="18">
        <v>0</v>
      </c>
      <c r="T844" s="18">
        <v>0</v>
      </c>
      <c r="U844" s="18">
        <v>0</v>
      </c>
      <c r="V844" s="18">
        <v>0</v>
      </c>
      <c r="W844" s="18">
        <v>0</v>
      </c>
      <c r="X844" s="18">
        <v>0</v>
      </c>
      <c r="Y844" s="18">
        <v>0</v>
      </c>
      <c r="Z844" s="18">
        <v>0</v>
      </c>
      <c r="AA844" s="18">
        <v>0</v>
      </c>
      <c r="AB844" s="18">
        <v>0</v>
      </c>
      <c r="AC844" s="18">
        <v>0</v>
      </c>
      <c r="AD844" s="18">
        <v>0</v>
      </c>
      <c r="AE844" s="18">
        <v>0</v>
      </c>
      <c r="AF844" s="18">
        <v>0</v>
      </c>
      <c r="AG844" s="18">
        <v>0</v>
      </c>
      <c r="AH844" s="18">
        <v>0</v>
      </c>
      <c r="AI844" s="18">
        <v>0</v>
      </c>
      <c r="AJ844" s="18">
        <v>0.71399999999999997</v>
      </c>
      <c r="AK844" s="18">
        <v>1.4279999999999999</v>
      </c>
      <c r="AL844" s="18">
        <v>0</v>
      </c>
      <c r="AM844" s="18">
        <v>0</v>
      </c>
      <c r="AN844" s="71">
        <v>0.97699999999999998</v>
      </c>
      <c r="AO844" s="71">
        <v>1.4415811000000001</v>
      </c>
      <c r="AP844" s="18">
        <v>2.5057071</v>
      </c>
      <c r="AQ844" s="18">
        <v>2.5310697999999996</v>
      </c>
      <c r="AR844" s="18">
        <v>3.3363137999999997</v>
      </c>
      <c r="AS844" s="71">
        <v>4.1194664999999997</v>
      </c>
      <c r="AT844" s="18">
        <v>10.958217599999999</v>
      </c>
      <c r="AU844" s="71">
        <v>12.622142500000001</v>
      </c>
      <c r="AV844" s="18">
        <v>14.285901599999999</v>
      </c>
      <c r="AW844" s="18">
        <v>14.510744300000001</v>
      </c>
      <c r="AX844" s="18">
        <v>17.0904247</v>
      </c>
      <c r="AY844" s="18">
        <v>17.595616700000001</v>
      </c>
      <c r="AZ844" s="18">
        <v>18.133766699999999</v>
      </c>
      <c r="BA844" s="18">
        <v>18.141605999999999</v>
      </c>
      <c r="BB844" s="18">
        <v>18.401113300000002</v>
      </c>
      <c r="BC844" s="18">
        <v>18.842196000000001</v>
      </c>
      <c r="BD844" s="18">
        <v>18.858495300000001</v>
      </c>
      <c r="BE844" s="25">
        <v>19.137298100000002</v>
      </c>
      <c r="BF844" s="18">
        <v>19.111885899999997</v>
      </c>
      <c r="BG844" s="18">
        <v>18.575823</v>
      </c>
      <c r="BH844" s="18">
        <v>17.9951288</v>
      </c>
      <c r="BI844" s="18">
        <v>18.5487948</v>
      </c>
      <c r="BJ844" s="18">
        <v>18.111310399999997</v>
      </c>
      <c r="BK844" s="18">
        <v>17.9513368</v>
      </c>
      <c r="BL844" s="18">
        <v>18.517341200000001</v>
      </c>
      <c r="BM844" s="18">
        <v>18.7432199</v>
      </c>
      <c r="BN844" s="113">
        <v>17.952507899999997</v>
      </c>
      <c r="BO844" s="113">
        <v>17.771987800000002</v>
      </c>
      <c r="BP844" s="113">
        <v>17.6014062</v>
      </c>
      <c r="BQ844" s="113">
        <v>18</v>
      </c>
      <c r="BR844" s="101"/>
      <c r="BS844">
        <f t="shared" ref="BS844:CB850" si="1646">IF($C844&lt;&gt;"",IF(D844&gt;0,1,0),0)</f>
        <v>0</v>
      </c>
      <c r="BT844">
        <f t="shared" si="1646"/>
        <v>0</v>
      </c>
      <c r="BU844">
        <f t="shared" si="1646"/>
        <v>0</v>
      </c>
      <c r="BV844">
        <f t="shared" si="1646"/>
        <v>0</v>
      </c>
      <c r="BW844">
        <f t="shared" si="1646"/>
        <v>0</v>
      </c>
      <c r="BX844">
        <f t="shared" si="1646"/>
        <v>0</v>
      </c>
      <c r="BY844">
        <f t="shared" si="1646"/>
        <v>0</v>
      </c>
      <c r="BZ844">
        <f t="shared" si="1646"/>
        <v>0</v>
      </c>
      <c r="CA844">
        <f t="shared" si="1646"/>
        <v>0</v>
      </c>
      <c r="CB844">
        <f t="shared" si="1646"/>
        <v>0</v>
      </c>
      <c r="CC844">
        <f t="shared" ref="CC844:CI850" si="1647">IF($C844&lt;&gt;"",IF(N844&gt;0,1,0),0)</f>
        <v>0</v>
      </c>
      <c r="CD844">
        <f t="shared" si="1647"/>
        <v>0</v>
      </c>
      <c r="CE844">
        <f t="shared" si="1647"/>
        <v>0</v>
      </c>
      <c r="CF844">
        <f t="shared" si="1647"/>
        <v>0</v>
      </c>
      <c r="CG844">
        <f t="shared" si="1647"/>
        <v>0</v>
      </c>
      <c r="CH844">
        <f t="shared" si="1647"/>
        <v>0</v>
      </c>
      <c r="CI844">
        <f t="shared" si="1647"/>
        <v>0</v>
      </c>
    </row>
    <row r="845" spans="1:136" ht="15.5">
      <c r="A845" s="90"/>
      <c r="B845" s="57" t="s">
        <v>3</v>
      </c>
      <c r="C845" s="95"/>
      <c r="D845" s="34">
        <v>0</v>
      </c>
      <c r="E845" s="34">
        <v>0</v>
      </c>
      <c r="F845" s="34">
        <v>0</v>
      </c>
      <c r="G845" s="34">
        <v>0</v>
      </c>
      <c r="H845" s="34">
        <v>0</v>
      </c>
      <c r="I845" s="34">
        <v>0</v>
      </c>
      <c r="J845" s="34">
        <v>0</v>
      </c>
      <c r="K845" s="34">
        <v>0</v>
      </c>
      <c r="L845" s="34">
        <v>0</v>
      </c>
      <c r="M845" s="34">
        <v>0</v>
      </c>
      <c r="N845" s="34">
        <v>0</v>
      </c>
      <c r="O845" s="34">
        <v>0</v>
      </c>
      <c r="P845" s="34">
        <v>0</v>
      </c>
      <c r="Q845" s="34">
        <v>0.13</v>
      </c>
      <c r="R845" s="34">
        <v>0</v>
      </c>
      <c r="S845" s="34">
        <v>0.11478480000000001</v>
      </c>
      <c r="T845" s="34">
        <v>0.15619029999999998</v>
      </c>
      <c r="U845" s="34">
        <v>0.50688800000000001</v>
      </c>
      <c r="V845" s="34">
        <v>9.8596848999999995</v>
      </c>
      <c r="W845" s="34">
        <v>9.3353751000000003</v>
      </c>
      <c r="X845" s="34">
        <v>17.572343399999998</v>
      </c>
      <c r="Y845" s="34">
        <v>16.7487593</v>
      </c>
      <c r="Z845" s="34">
        <v>48.436412900000001</v>
      </c>
      <c r="AA845" s="34">
        <v>180.22131039999999</v>
      </c>
      <c r="AB845" s="34">
        <v>331.76533760000001</v>
      </c>
      <c r="AC845" s="34">
        <f>554.8544581-AC840</f>
        <v>530.85445809999999</v>
      </c>
      <c r="AD845" s="34">
        <f>759.2363212-AD840</f>
        <v>725.23632120000002</v>
      </c>
      <c r="AE845" s="34">
        <f>1092.5149347-AE840</f>
        <v>1041.5149346999999</v>
      </c>
      <c r="AF845" s="34">
        <f>2601.6225958-AF841-AF840-AF842</f>
        <v>2475.6225958</v>
      </c>
      <c r="AG845" s="34">
        <f>2601.6225958-AG841-AG840-AG842</f>
        <v>2458.6225958</v>
      </c>
      <c r="AH845" s="34">
        <f>2601.6225958-AH841-AH840-AH842</f>
        <v>2306.6225958</v>
      </c>
      <c r="AI845" s="34">
        <f>2630-AI841-AI840-AI842</f>
        <v>2326</v>
      </c>
      <c r="AJ845" s="34">
        <f>2949.0666576-AJ844</f>
        <v>2948.3526575999999</v>
      </c>
      <c r="AK845" s="34">
        <f>3475.7334739-AK844</f>
        <v>3474.3054738999999</v>
      </c>
      <c r="AL845" s="34">
        <v>4595.0102308999994</v>
      </c>
      <c r="AM845" s="34">
        <v>5092</v>
      </c>
      <c r="AN845" s="34">
        <f>2613.2161421-AN844</f>
        <v>2612.2391421000002</v>
      </c>
      <c r="AO845" s="34">
        <f>1621.3666244-AO844</f>
        <v>1619.9250433000002</v>
      </c>
      <c r="AP845" s="34">
        <f>1752-AP844</f>
        <v>1749.4942928999999</v>
      </c>
      <c r="AQ845" s="34">
        <f>1188-AQ844</f>
        <v>1185.4689301999999</v>
      </c>
      <c r="AR845" s="34">
        <f>1772.302404-AR8395</f>
        <v>1772.302404</v>
      </c>
      <c r="AS845" s="34">
        <f>1401.4055804-AS844</f>
        <v>1397.2861138999999</v>
      </c>
      <c r="AT845" s="34">
        <f>1371.0389948-AT843</f>
        <v>791.03899479999995</v>
      </c>
      <c r="AU845" s="34">
        <f>1334.5765528-AU844</f>
        <v>1321.9544102999998</v>
      </c>
      <c r="AV845" s="40" t="s">
        <v>16</v>
      </c>
      <c r="AW845" s="34">
        <f>980.4792687-AW844</f>
        <v>965.96852439999998</v>
      </c>
      <c r="AX845" s="34">
        <f>2130.1297596-AX844</f>
        <v>2113.0393349000001</v>
      </c>
      <c r="AY845" s="34">
        <f>2211.7087289-AY844</f>
        <v>2194.1131122000002</v>
      </c>
      <c r="AZ845" s="34">
        <f>957.9735179-AZ844</f>
        <v>939.83975120000002</v>
      </c>
      <c r="BA845" s="34">
        <f>979.0096378-BA844</f>
        <v>960.86803179999993</v>
      </c>
      <c r="BB845" s="113">
        <f t="shared" ref="BB845:BO845" si="1648">1183-BB844</f>
        <v>1164.5988867000001</v>
      </c>
      <c r="BC845" s="113">
        <f t="shared" si="1648"/>
        <v>1164.1578039999999</v>
      </c>
      <c r="BD845" s="113">
        <f t="shared" si="1648"/>
        <v>1164.1415047</v>
      </c>
      <c r="BE845" s="113">
        <f t="shared" si="1648"/>
        <v>1163.8627019</v>
      </c>
      <c r="BF845" s="113">
        <f t="shared" si="1648"/>
        <v>1163.8881140999999</v>
      </c>
      <c r="BG845" s="113">
        <f t="shared" si="1648"/>
        <v>1164.4241770000001</v>
      </c>
      <c r="BH845" s="113">
        <f t="shared" si="1648"/>
        <v>1165.0048712</v>
      </c>
      <c r="BI845" s="113">
        <f t="shared" si="1648"/>
        <v>1164.4512052</v>
      </c>
      <c r="BJ845" s="113">
        <f t="shared" si="1648"/>
        <v>1164.8886895999999</v>
      </c>
      <c r="BK845" s="113">
        <f t="shared" si="1648"/>
        <v>1165.0486632</v>
      </c>
      <c r="BL845" s="113">
        <f t="shared" si="1648"/>
        <v>1164.4826588000001</v>
      </c>
      <c r="BM845" s="113">
        <f t="shared" si="1648"/>
        <v>1164.2567801</v>
      </c>
      <c r="BN845" s="113">
        <f t="shared" si="1648"/>
        <v>1165.0474921</v>
      </c>
      <c r="BO845" s="113">
        <f t="shared" si="1648"/>
        <v>1165.2280122</v>
      </c>
      <c r="BP845" s="113">
        <v>1165.2280122</v>
      </c>
      <c r="BQ845" s="113">
        <v>1165.2280122</v>
      </c>
      <c r="BR845" s="101"/>
      <c r="BS845">
        <f t="shared" si="1646"/>
        <v>0</v>
      </c>
      <c r="BT845">
        <f t="shared" si="1646"/>
        <v>0</v>
      </c>
      <c r="BU845">
        <f t="shared" si="1646"/>
        <v>0</v>
      </c>
      <c r="BV845">
        <f t="shared" si="1646"/>
        <v>0</v>
      </c>
      <c r="BW845">
        <f t="shared" si="1646"/>
        <v>0</v>
      </c>
      <c r="BX845">
        <f t="shared" si="1646"/>
        <v>0</v>
      </c>
      <c r="BY845">
        <f t="shared" si="1646"/>
        <v>0</v>
      </c>
      <c r="BZ845">
        <f t="shared" si="1646"/>
        <v>0</v>
      </c>
      <c r="CA845">
        <f t="shared" si="1646"/>
        <v>0</v>
      </c>
      <c r="CB845">
        <f t="shared" si="1646"/>
        <v>0</v>
      </c>
      <c r="CC845">
        <f t="shared" si="1647"/>
        <v>0</v>
      </c>
      <c r="CD845">
        <f t="shared" si="1647"/>
        <v>0</v>
      </c>
      <c r="CE845">
        <f t="shared" si="1647"/>
        <v>0</v>
      </c>
      <c r="CF845">
        <f t="shared" si="1647"/>
        <v>0</v>
      </c>
      <c r="CG845">
        <f t="shared" si="1647"/>
        <v>0</v>
      </c>
      <c r="CH845">
        <f t="shared" si="1647"/>
        <v>0</v>
      </c>
      <c r="CI845">
        <f t="shared" si="1647"/>
        <v>0</v>
      </c>
      <c r="CJ845">
        <f t="shared" ref="CJ845:CS850" si="1649">IF($C845&lt;&gt;"",IF(U845&gt;0,1,0),0)</f>
        <v>0</v>
      </c>
      <c r="CK845">
        <f t="shared" si="1649"/>
        <v>0</v>
      </c>
      <c r="CL845">
        <f t="shared" si="1649"/>
        <v>0</v>
      </c>
      <c r="CM845">
        <f t="shared" si="1649"/>
        <v>0</v>
      </c>
      <c r="CN845">
        <f t="shared" si="1649"/>
        <v>0</v>
      </c>
      <c r="CO845">
        <f t="shared" si="1649"/>
        <v>0</v>
      </c>
      <c r="CP845">
        <f t="shared" si="1649"/>
        <v>0</v>
      </c>
      <c r="CQ845">
        <f t="shared" si="1649"/>
        <v>0</v>
      </c>
      <c r="CR845">
        <f t="shared" si="1649"/>
        <v>0</v>
      </c>
      <c r="CS845">
        <f t="shared" si="1649"/>
        <v>0</v>
      </c>
      <c r="CT845">
        <f t="shared" ref="CT845:DC850" si="1650">IF($C845&lt;&gt;"",IF(AE845&gt;0,1,0),0)</f>
        <v>0</v>
      </c>
      <c r="CU845">
        <f t="shared" si="1650"/>
        <v>0</v>
      </c>
      <c r="CV845">
        <f t="shared" si="1650"/>
        <v>0</v>
      </c>
      <c r="CW845">
        <f t="shared" si="1650"/>
        <v>0</v>
      </c>
      <c r="CX845">
        <f t="shared" si="1650"/>
        <v>0</v>
      </c>
      <c r="CY845">
        <f t="shared" si="1650"/>
        <v>0</v>
      </c>
      <c r="CZ845">
        <f t="shared" si="1650"/>
        <v>0</v>
      </c>
      <c r="DA845">
        <f t="shared" si="1650"/>
        <v>0</v>
      </c>
      <c r="DB845">
        <f t="shared" si="1650"/>
        <v>0</v>
      </c>
      <c r="DC845">
        <f t="shared" si="1650"/>
        <v>0</v>
      </c>
      <c r="DD845">
        <f t="shared" ref="DD845:DM850" si="1651">IF($C845&lt;&gt;"",IF(AO845&gt;0,1,0),0)</f>
        <v>0</v>
      </c>
      <c r="DE845">
        <f t="shared" si="1651"/>
        <v>0</v>
      </c>
      <c r="DF845">
        <f t="shared" si="1651"/>
        <v>0</v>
      </c>
      <c r="DG845">
        <f t="shared" si="1651"/>
        <v>0</v>
      </c>
      <c r="DH845">
        <f t="shared" si="1651"/>
        <v>0</v>
      </c>
      <c r="DI845">
        <f t="shared" si="1651"/>
        <v>0</v>
      </c>
      <c r="DJ845">
        <f t="shared" si="1651"/>
        <v>0</v>
      </c>
      <c r="DK845">
        <f t="shared" si="1651"/>
        <v>0</v>
      </c>
      <c r="DL845">
        <f t="shared" si="1651"/>
        <v>0</v>
      </c>
      <c r="DM845">
        <f t="shared" si="1651"/>
        <v>0</v>
      </c>
      <c r="DN845">
        <f t="shared" ref="DN845:DW850" si="1652">IF($C845&lt;&gt;"",IF(AY845&gt;0,1,0),0)</f>
        <v>0</v>
      </c>
      <c r="DO845">
        <f t="shared" si="1652"/>
        <v>0</v>
      </c>
      <c r="DP845">
        <f t="shared" si="1652"/>
        <v>0</v>
      </c>
      <c r="DQ845">
        <f t="shared" si="1652"/>
        <v>0</v>
      </c>
      <c r="DR845">
        <f t="shared" si="1652"/>
        <v>0</v>
      </c>
      <c r="DS845">
        <f t="shared" si="1652"/>
        <v>0</v>
      </c>
      <c r="DT845">
        <f t="shared" si="1652"/>
        <v>0</v>
      </c>
      <c r="DU845">
        <f t="shared" si="1652"/>
        <v>0</v>
      </c>
      <c r="DV845">
        <f t="shared" si="1652"/>
        <v>0</v>
      </c>
      <c r="DW845">
        <f t="shared" si="1652"/>
        <v>0</v>
      </c>
      <c r="DX845">
        <f t="shared" ref="DX845:DZ850" si="1653">IF($C845&lt;&gt;"",IF(BI845&gt;0,1,0),0)</f>
        <v>0</v>
      </c>
      <c r="DY845">
        <f t="shared" si="1653"/>
        <v>0</v>
      </c>
      <c r="DZ845">
        <f t="shared" si="1653"/>
        <v>0</v>
      </c>
      <c r="EA845">
        <f t="shared" ref="EA845:EF845" si="1654">IF($C845&lt;&gt;"",IF(BL843&gt;0,1,0),0)</f>
        <v>0</v>
      </c>
      <c r="EB845">
        <f t="shared" si="1654"/>
        <v>0</v>
      </c>
      <c r="EC845">
        <f t="shared" si="1654"/>
        <v>0</v>
      </c>
      <c r="ED845">
        <f t="shared" si="1654"/>
        <v>0</v>
      </c>
      <c r="EE845">
        <f t="shared" si="1654"/>
        <v>0</v>
      </c>
      <c r="EF845">
        <f t="shared" si="1654"/>
        <v>0</v>
      </c>
    </row>
    <row r="846" spans="1:136" ht="15.5">
      <c r="A846" s="90"/>
      <c r="B846" s="19" t="s">
        <v>18</v>
      </c>
      <c r="C846" s="95"/>
      <c r="D846" s="18">
        <v>0</v>
      </c>
      <c r="E846" s="18">
        <v>0</v>
      </c>
      <c r="F846" s="18">
        <v>0</v>
      </c>
      <c r="G846" s="18">
        <v>0</v>
      </c>
      <c r="H846" s="18">
        <v>0</v>
      </c>
      <c r="I846" s="18">
        <v>0</v>
      </c>
      <c r="J846" s="18">
        <v>0</v>
      </c>
      <c r="K846" s="18">
        <v>0</v>
      </c>
      <c r="L846" s="18">
        <v>0</v>
      </c>
      <c r="M846" s="18">
        <v>0</v>
      </c>
      <c r="N846" s="18">
        <v>0</v>
      </c>
      <c r="O846" s="18">
        <v>0</v>
      </c>
      <c r="P846" s="18">
        <v>0</v>
      </c>
      <c r="Q846" s="18">
        <v>0</v>
      </c>
      <c r="R846" s="18">
        <v>0</v>
      </c>
      <c r="S846" s="18">
        <v>0</v>
      </c>
      <c r="T846" s="18">
        <v>0</v>
      </c>
      <c r="U846" s="18">
        <v>0</v>
      </c>
      <c r="V846" s="18">
        <v>32</v>
      </c>
      <c r="W846" s="18">
        <v>252</v>
      </c>
      <c r="X846" s="18">
        <v>582</v>
      </c>
      <c r="Y846" s="18">
        <v>180</v>
      </c>
      <c r="Z846" s="18">
        <v>55</v>
      </c>
      <c r="AA846" s="18">
        <v>72.5</v>
      </c>
      <c r="AB846" s="18">
        <v>145</v>
      </c>
      <c r="AC846" s="18">
        <v>120</v>
      </c>
      <c r="AD846" s="40" t="s">
        <v>16</v>
      </c>
      <c r="AE846" s="40" t="s">
        <v>16</v>
      </c>
      <c r="AF846" s="40" t="s">
        <v>16</v>
      </c>
      <c r="AG846" s="40" t="s">
        <v>16</v>
      </c>
      <c r="AH846" s="40" t="s">
        <v>16</v>
      </c>
      <c r="AI846" s="40" t="s">
        <v>16</v>
      </c>
      <c r="AJ846" s="40" t="s">
        <v>16</v>
      </c>
      <c r="AK846" s="40" t="s">
        <v>16</v>
      </c>
      <c r="AL846" s="40" t="s">
        <v>16</v>
      </c>
      <c r="AM846" s="18">
        <v>1822</v>
      </c>
      <c r="AN846" s="18">
        <v>657</v>
      </c>
      <c r="AO846" s="18">
        <v>747.098129958458</v>
      </c>
      <c r="AP846" s="18">
        <v>845.2859593407785</v>
      </c>
      <c r="AQ846" s="18">
        <v>898.11633179957721</v>
      </c>
      <c r="AR846" s="18">
        <v>953.35048620525129</v>
      </c>
      <c r="AS846" s="18">
        <v>1022.4683964551321</v>
      </c>
      <c r="AT846" s="18">
        <v>1067.9682400973854</v>
      </c>
      <c r="AU846" s="18">
        <v>1097.3373667000635</v>
      </c>
      <c r="AV846" s="18">
        <v>1119.2841140340647</v>
      </c>
      <c r="AW846" s="18">
        <v>1155.6608477401717</v>
      </c>
      <c r="AX846" s="18">
        <v>1216.3330422465306</v>
      </c>
      <c r="AY846" s="18">
        <v>1291.1375243446923</v>
      </c>
      <c r="AZ846" s="18">
        <v>1371</v>
      </c>
      <c r="BA846" s="18">
        <v>0</v>
      </c>
      <c r="BB846" s="18">
        <v>0</v>
      </c>
      <c r="BC846" s="18">
        <v>0</v>
      </c>
      <c r="BD846" s="18">
        <v>0</v>
      </c>
      <c r="BE846" s="18">
        <v>0</v>
      </c>
      <c r="BF846" s="18">
        <v>0</v>
      </c>
      <c r="BG846" s="18">
        <v>0</v>
      </c>
      <c r="BH846" s="18">
        <v>0</v>
      </c>
      <c r="BI846" s="113">
        <v>0</v>
      </c>
      <c r="BJ846" s="113">
        <v>0</v>
      </c>
      <c r="BK846" s="113">
        <v>0</v>
      </c>
      <c r="BL846" s="113">
        <v>0</v>
      </c>
      <c r="BM846" s="18">
        <v>0</v>
      </c>
      <c r="BN846" s="113">
        <v>0</v>
      </c>
      <c r="BO846" s="113">
        <v>0</v>
      </c>
      <c r="BP846" s="113">
        <v>0</v>
      </c>
      <c r="BQ846" s="113">
        <v>0</v>
      </c>
      <c r="BR846" s="101"/>
      <c r="BS846">
        <f t="shared" si="1646"/>
        <v>0</v>
      </c>
      <c r="BT846">
        <f t="shared" si="1646"/>
        <v>0</v>
      </c>
      <c r="BU846">
        <f t="shared" si="1646"/>
        <v>0</v>
      </c>
      <c r="BV846">
        <f t="shared" si="1646"/>
        <v>0</v>
      </c>
      <c r="BW846">
        <f t="shared" si="1646"/>
        <v>0</v>
      </c>
      <c r="BX846">
        <f t="shared" si="1646"/>
        <v>0</v>
      </c>
      <c r="BY846">
        <f t="shared" si="1646"/>
        <v>0</v>
      </c>
      <c r="BZ846">
        <f t="shared" si="1646"/>
        <v>0</v>
      </c>
      <c r="CA846">
        <f t="shared" si="1646"/>
        <v>0</v>
      </c>
      <c r="CB846">
        <f t="shared" si="1646"/>
        <v>0</v>
      </c>
      <c r="CC846">
        <f t="shared" si="1647"/>
        <v>0</v>
      </c>
      <c r="CD846">
        <f t="shared" si="1647"/>
        <v>0</v>
      </c>
      <c r="CE846">
        <f t="shared" si="1647"/>
        <v>0</v>
      </c>
      <c r="CF846">
        <f t="shared" si="1647"/>
        <v>0</v>
      </c>
      <c r="CG846">
        <f t="shared" si="1647"/>
        <v>0</v>
      </c>
      <c r="CH846">
        <f t="shared" si="1647"/>
        <v>0</v>
      </c>
      <c r="CI846">
        <f t="shared" si="1647"/>
        <v>0</v>
      </c>
      <c r="CJ846">
        <f t="shared" si="1649"/>
        <v>0</v>
      </c>
      <c r="CK846">
        <f t="shared" si="1649"/>
        <v>0</v>
      </c>
      <c r="CL846">
        <f t="shared" si="1649"/>
        <v>0</v>
      </c>
      <c r="CM846">
        <f t="shared" si="1649"/>
        <v>0</v>
      </c>
      <c r="CN846">
        <f t="shared" si="1649"/>
        <v>0</v>
      </c>
      <c r="CO846">
        <f t="shared" si="1649"/>
        <v>0</v>
      </c>
      <c r="CP846">
        <f t="shared" si="1649"/>
        <v>0</v>
      </c>
      <c r="CQ846">
        <f t="shared" si="1649"/>
        <v>0</v>
      </c>
      <c r="CR846">
        <f t="shared" si="1649"/>
        <v>0</v>
      </c>
      <c r="CS846">
        <f t="shared" si="1649"/>
        <v>0</v>
      </c>
      <c r="CT846">
        <f t="shared" si="1650"/>
        <v>0</v>
      </c>
      <c r="CU846">
        <f t="shared" si="1650"/>
        <v>0</v>
      </c>
      <c r="CV846">
        <f t="shared" si="1650"/>
        <v>0</v>
      </c>
      <c r="CW846">
        <f t="shared" si="1650"/>
        <v>0</v>
      </c>
      <c r="CX846">
        <f t="shared" si="1650"/>
        <v>0</v>
      </c>
      <c r="CY846">
        <f t="shared" si="1650"/>
        <v>0</v>
      </c>
      <c r="CZ846">
        <f t="shared" si="1650"/>
        <v>0</v>
      </c>
      <c r="DA846">
        <f t="shared" si="1650"/>
        <v>0</v>
      </c>
      <c r="DB846">
        <f t="shared" si="1650"/>
        <v>0</v>
      </c>
      <c r="DC846">
        <f t="shared" si="1650"/>
        <v>0</v>
      </c>
      <c r="DD846">
        <f t="shared" si="1651"/>
        <v>0</v>
      </c>
      <c r="DE846">
        <f t="shared" si="1651"/>
        <v>0</v>
      </c>
      <c r="DF846">
        <f t="shared" si="1651"/>
        <v>0</v>
      </c>
      <c r="DG846">
        <f t="shared" si="1651"/>
        <v>0</v>
      </c>
      <c r="DH846">
        <f t="shared" si="1651"/>
        <v>0</v>
      </c>
      <c r="DI846">
        <f t="shared" si="1651"/>
        <v>0</v>
      </c>
      <c r="DJ846">
        <f t="shared" si="1651"/>
        <v>0</v>
      </c>
      <c r="DK846">
        <f t="shared" si="1651"/>
        <v>0</v>
      </c>
      <c r="DL846">
        <f t="shared" si="1651"/>
        <v>0</v>
      </c>
      <c r="DM846">
        <f t="shared" si="1651"/>
        <v>0</v>
      </c>
      <c r="DN846">
        <f t="shared" si="1652"/>
        <v>0</v>
      </c>
      <c r="DO846">
        <f t="shared" si="1652"/>
        <v>0</v>
      </c>
      <c r="DP846">
        <f t="shared" si="1652"/>
        <v>0</v>
      </c>
      <c r="DQ846">
        <f t="shared" si="1652"/>
        <v>0</v>
      </c>
      <c r="DR846">
        <f t="shared" si="1652"/>
        <v>0</v>
      </c>
      <c r="DS846">
        <f t="shared" si="1652"/>
        <v>0</v>
      </c>
      <c r="DT846">
        <f t="shared" si="1652"/>
        <v>0</v>
      </c>
      <c r="DU846">
        <f t="shared" si="1652"/>
        <v>0</v>
      </c>
      <c r="DV846">
        <f t="shared" si="1652"/>
        <v>0</v>
      </c>
      <c r="DW846">
        <f t="shared" si="1652"/>
        <v>0</v>
      </c>
      <c r="DX846">
        <f t="shared" si="1653"/>
        <v>0</v>
      </c>
      <c r="DY846">
        <f t="shared" si="1653"/>
        <v>0</v>
      </c>
      <c r="DZ846">
        <f t="shared" si="1653"/>
        <v>0</v>
      </c>
      <c r="EA846">
        <f t="shared" ref="EA846:EF849" si="1655">IF($C846&lt;&gt;"",IF(BL845&gt;0,1,0),0)</f>
        <v>0</v>
      </c>
      <c r="EB846">
        <f t="shared" si="1655"/>
        <v>0</v>
      </c>
      <c r="EC846">
        <f t="shared" si="1655"/>
        <v>0</v>
      </c>
      <c r="ED846">
        <f t="shared" si="1655"/>
        <v>0</v>
      </c>
      <c r="EE846">
        <f t="shared" si="1655"/>
        <v>0</v>
      </c>
      <c r="EF846">
        <f t="shared" si="1655"/>
        <v>0</v>
      </c>
    </row>
    <row r="847" spans="1:136" ht="15.5">
      <c r="A847" s="90"/>
      <c r="B847" s="53" t="s">
        <v>25</v>
      </c>
      <c r="C847" s="95"/>
      <c r="D847" s="71">
        <v>0</v>
      </c>
      <c r="E847" s="71">
        <v>0</v>
      </c>
      <c r="F847" s="71">
        <v>0</v>
      </c>
      <c r="G847" s="71">
        <v>0</v>
      </c>
      <c r="H847" s="71">
        <v>0</v>
      </c>
      <c r="I847" s="71">
        <v>0</v>
      </c>
      <c r="J847" s="71">
        <v>0</v>
      </c>
      <c r="K847" s="71">
        <v>0</v>
      </c>
      <c r="L847" s="71">
        <v>0</v>
      </c>
      <c r="M847" s="71">
        <v>0</v>
      </c>
      <c r="N847" s="71">
        <v>0</v>
      </c>
      <c r="O847" s="71">
        <v>0</v>
      </c>
      <c r="P847" s="71">
        <v>0</v>
      </c>
      <c r="Q847" s="71">
        <v>0</v>
      </c>
      <c r="R847" s="71">
        <v>0</v>
      </c>
      <c r="S847" s="71">
        <v>0</v>
      </c>
      <c r="T847" s="71">
        <v>0</v>
      </c>
      <c r="U847" s="71">
        <v>0</v>
      </c>
      <c r="V847" s="71">
        <v>0</v>
      </c>
      <c r="W847" s="71">
        <v>0</v>
      </c>
      <c r="X847" s="71">
        <v>0</v>
      </c>
      <c r="Y847" s="71">
        <v>0</v>
      </c>
      <c r="Z847" s="71">
        <v>0</v>
      </c>
      <c r="AA847" s="71">
        <v>0</v>
      </c>
      <c r="AB847" s="71">
        <v>0</v>
      </c>
      <c r="AC847" s="71">
        <v>0</v>
      </c>
      <c r="AD847" s="71">
        <v>0</v>
      </c>
      <c r="AE847" s="71">
        <v>0</v>
      </c>
      <c r="AF847" s="71">
        <v>0</v>
      </c>
      <c r="AG847" s="71">
        <v>0</v>
      </c>
      <c r="AH847" s="71">
        <v>0</v>
      </c>
      <c r="AI847" s="71">
        <v>0</v>
      </c>
      <c r="AJ847" s="71">
        <v>0</v>
      </c>
      <c r="AK847" s="71">
        <v>0</v>
      </c>
      <c r="AL847" s="179">
        <v>0</v>
      </c>
      <c r="AM847" s="71">
        <v>0</v>
      </c>
      <c r="AN847" s="179">
        <v>0</v>
      </c>
      <c r="AO847" s="71">
        <v>0</v>
      </c>
      <c r="AP847" s="71">
        <v>0</v>
      </c>
      <c r="AQ847" s="179">
        <v>0</v>
      </c>
      <c r="AR847" s="71">
        <v>0</v>
      </c>
      <c r="AS847" s="71">
        <v>0</v>
      </c>
      <c r="AT847" s="71">
        <v>0</v>
      </c>
      <c r="AU847" s="146">
        <v>40</v>
      </c>
      <c r="AV847" s="71">
        <v>4</v>
      </c>
      <c r="AW847" s="71">
        <v>0</v>
      </c>
      <c r="AX847" s="71">
        <v>0</v>
      </c>
      <c r="AY847" s="71">
        <v>0</v>
      </c>
      <c r="AZ847" s="18">
        <v>295.7</v>
      </c>
      <c r="BA847" s="71">
        <v>0</v>
      </c>
      <c r="BB847" s="71">
        <v>0</v>
      </c>
      <c r="BC847" s="71">
        <v>0</v>
      </c>
      <c r="BD847" s="71">
        <v>0</v>
      </c>
      <c r="BE847" s="71">
        <v>0</v>
      </c>
      <c r="BF847" s="71">
        <v>0</v>
      </c>
      <c r="BG847" s="71">
        <v>0</v>
      </c>
      <c r="BH847" s="71">
        <v>0</v>
      </c>
      <c r="BI847" s="113">
        <v>0</v>
      </c>
      <c r="BJ847" s="113">
        <v>0</v>
      </c>
      <c r="BK847" s="113">
        <v>0</v>
      </c>
      <c r="BL847" s="113">
        <v>0</v>
      </c>
      <c r="BM847" s="18">
        <v>0</v>
      </c>
      <c r="BN847" s="113">
        <v>0</v>
      </c>
      <c r="BO847" s="113">
        <v>0</v>
      </c>
      <c r="BP847" s="113">
        <v>0</v>
      </c>
      <c r="BQ847" s="113">
        <v>0</v>
      </c>
      <c r="BR847" s="101"/>
      <c r="BS847">
        <f t="shared" si="1646"/>
        <v>0</v>
      </c>
      <c r="BT847">
        <f t="shared" si="1646"/>
        <v>0</v>
      </c>
      <c r="BU847">
        <f t="shared" si="1646"/>
        <v>0</v>
      </c>
      <c r="BV847">
        <f t="shared" si="1646"/>
        <v>0</v>
      </c>
      <c r="BW847">
        <f t="shared" si="1646"/>
        <v>0</v>
      </c>
      <c r="BX847">
        <f t="shared" si="1646"/>
        <v>0</v>
      </c>
      <c r="BY847">
        <f t="shared" si="1646"/>
        <v>0</v>
      </c>
      <c r="BZ847">
        <f t="shared" si="1646"/>
        <v>0</v>
      </c>
      <c r="CA847">
        <f t="shared" si="1646"/>
        <v>0</v>
      </c>
      <c r="CB847">
        <f t="shared" si="1646"/>
        <v>0</v>
      </c>
      <c r="CC847">
        <f t="shared" si="1647"/>
        <v>0</v>
      </c>
      <c r="CD847">
        <f t="shared" si="1647"/>
        <v>0</v>
      </c>
      <c r="CE847">
        <f t="shared" si="1647"/>
        <v>0</v>
      </c>
      <c r="CF847">
        <f t="shared" si="1647"/>
        <v>0</v>
      </c>
      <c r="CG847">
        <f t="shared" si="1647"/>
        <v>0</v>
      </c>
      <c r="CH847">
        <f t="shared" si="1647"/>
        <v>0</v>
      </c>
      <c r="CI847">
        <f t="shared" si="1647"/>
        <v>0</v>
      </c>
      <c r="CJ847">
        <f t="shared" si="1649"/>
        <v>0</v>
      </c>
      <c r="CK847">
        <f t="shared" si="1649"/>
        <v>0</v>
      </c>
      <c r="CL847">
        <f t="shared" si="1649"/>
        <v>0</v>
      </c>
      <c r="CM847">
        <f t="shared" si="1649"/>
        <v>0</v>
      </c>
      <c r="CN847">
        <f t="shared" si="1649"/>
        <v>0</v>
      </c>
      <c r="CO847">
        <f t="shared" si="1649"/>
        <v>0</v>
      </c>
      <c r="CP847">
        <f t="shared" si="1649"/>
        <v>0</v>
      </c>
      <c r="CQ847">
        <f t="shared" si="1649"/>
        <v>0</v>
      </c>
      <c r="CR847">
        <f t="shared" si="1649"/>
        <v>0</v>
      </c>
      <c r="CS847">
        <f t="shared" si="1649"/>
        <v>0</v>
      </c>
      <c r="CT847">
        <f t="shared" si="1650"/>
        <v>0</v>
      </c>
      <c r="CU847">
        <f t="shared" si="1650"/>
        <v>0</v>
      </c>
      <c r="CV847">
        <f t="shared" si="1650"/>
        <v>0</v>
      </c>
      <c r="CW847">
        <f t="shared" si="1650"/>
        <v>0</v>
      </c>
      <c r="CX847">
        <f t="shared" si="1650"/>
        <v>0</v>
      </c>
      <c r="CY847">
        <f t="shared" si="1650"/>
        <v>0</v>
      </c>
      <c r="CZ847">
        <f t="shared" si="1650"/>
        <v>0</v>
      </c>
      <c r="DA847">
        <f t="shared" si="1650"/>
        <v>0</v>
      </c>
      <c r="DB847">
        <f t="shared" si="1650"/>
        <v>0</v>
      </c>
      <c r="DC847">
        <f t="shared" si="1650"/>
        <v>0</v>
      </c>
      <c r="DD847">
        <f t="shared" si="1651"/>
        <v>0</v>
      </c>
      <c r="DE847">
        <f t="shared" si="1651"/>
        <v>0</v>
      </c>
      <c r="DF847">
        <f t="shared" si="1651"/>
        <v>0</v>
      </c>
      <c r="DG847">
        <f t="shared" si="1651"/>
        <v>0</v>
      </c>
      <c r="DH847">
        <f t="shared" si="1651"/>
        <v>0</v>
      </c>
      <c r="DI847">
        <f t="shared" si="1651"/>
        <v>0</v>
      </c>
      <c r="DJ847">
        <f t="shared" si="1651"/>
        <v>0</v>
      </c>
      <c r="DK847">
        <f t="shared" si="1651"/>
        <v>0</v>
      </c>
      <c r="DL847">
        <f t="shared" si="1651"/>
        <v>0</v>
      </c>
      <c r="DM847">
        <f t="shared" si="1651"/>
        <v>0</v>
      </c>
      <c r="DN847">
        <f t="shared" si="1652"/>
        <v>0</v>
      </c>
      <c r="DO847">
        <f t="shared" si="1652"/>
        <v>0</v>
      </c>
      <c r="DP847">
        <f t="shared" si="1652"/>
        <v>0</v>
      </c>
      <c r="DQ847">
        <f t="shared" si="1652"/>
        <v>0</v>
      </c>
      <c r="DR847">
        <f t="shared" si="1652"/>
        <v>0</v>
      </c>
      <c r="DS847">
        <f t="shared" si="1652"/>
        <v>0</v>
      </c>
      <c r="DT847">
        <f t="shared" si="1652"/>
        <v>0</v>
      </c>
      <c r="DU847">
        <f t="shared" si="1652"/>
        <v>0</v>
      </c>
      <c r="DV847">
        <f t="shared" si="1652"/>
        <v>0</v>
      </c>
      <c r="DW847">
        <f t="shared" si="1652"/>
        <v>0</v>
      </c>
      <c r="DX847">
        <f t="shared" si="1653"/>
        <v>0</v>
      </c>
      <c r="DY847">
        <f t="shared" si="1653"/>
        <v>0</v>
      </c>
      <c r="DZ847">
        <f t="shared" si="1653"/>
        <v>0</v>
      </c>
      <c r="EA847">
        <f t="shared" si="1655"/>
        <v>0</v>
      </c>
      <c r="EB847">
        <f t="shared" si="1655"/>
        <v>0</v>
      </c>
      <c r="EC847">
        <f t="shared" si="1655"/>
        <v>0</v>
      </c>
      <c r="ED847">
        <f t="shared" si="1655"/>
        <v>0</v>
      </c>
      <c r="EE847">
        <f t="shared" si="1655"/>
        <v>0</v>
      </c>
      <c r="EF847">
        <f t="shared" si="1655"/>
        <v>0</v>
      </c>
    </row>
    <row r="848" spans="1:136" ht="15.5">
      <c r="A848" s="90"/>
      <c r="B848" s="19" t="s">
        <v>208</v>
      </c>
      <c r="C848" s="95"/>
      <c r="D848" s="34">
        <v>0</v>
      </c>
      <c r="E848" s="34">
        <v>0</v>
      </c>
      <c r="F848" s="34">
        <v>0</v>
      </c>
      <c r="G848" s="34">
        <v>0</v>
      </c>
      <c r="H848" s="34">
        <v>0</v>
      </c>
      <c r="I848" s="34">
        <v>0</v>
      </c>
      <c r="J848" s="34">
        <v>0</v>
      </c>
      <c r="K848" s="34">
        <v>0</v>
      </c>
      <c r="L848" s="34">
        <v>0</v>
      </c>
      <c r="M848" s="34">
        <v>0</v>
      </c>
      <c r="N848" s="34">
        <v>0</v>
      </c>
      <c r="O848" s="34">
        <v>0</v>
      </c>
      <c r="P848" s="34">
        <v>0</v>
      </c>
      <c r="Q848" s="34">
        <v>0</v>
      </c>
      <c r="R848" s="34">
        <v>0</v>
      </c>
      <c r="S848" s="34">
        <v>1.042</v>
      </c>
      <c r="T848" s="34">
        <v>4.7190000000000003</v>
      </c>
      <c r="U848" s="34">
        <v>11.342000000000001</v>
      </c>
      <c r="V848" s="34">
        <v>51.147296299999994</v>
      </c>
      <c r="W848" s="18">
        <v>167.71533299999999</v>
      </c>
      <c r="X848" s="18">
        <v>26.934192500000002</v>
      </c>
      <c r="Y848" s="18">
        <v>7.6435000000000004</v>
      </c>
      <c r="Z848" s="18">
        <v>8.2899204999999991</v>
      </c>
      <c r="AA848" s="18">
        <v>63.028488899999999</v>
      </c>
      <c r="AB848" s="18">
        <v>13.049296099999999</v>
      </c>
      <c r="AC848" s="34">
        <v>26.956942899999998</v>
      </c>
      <c r="AD848" s="34">
        <v>311.62262249999998</v>
      </c>
      <c r="AE848" s="34">
        <v>665.83806149999998</v>
      </c>
      <c r="AF848" s="34">
        <v>1008.4219906</v>
      </c>
      <c r="AG848" s="34">
        <v>1246.9305098000002</v>
      </c>
      <c r="AH848" s="34">
        <v>1598.8233505999999</v>
      </c>
      <c r="AI848" s="34">
        <v>1765.887792</v>
      </c>
      <c r="AJ848" s="34">
        <v>1791.9743323</v>
      </c>
      <c r="AK848" s="34">
        <v>1767.2867945</v>
      </c>
      <c r="AL848" s="34">
        <v>1801.8901202</v>
      </c>
      <c r="AM848" s="18">
        <v>431.28073330000007</v>
      </c>
      <c r="AN848" s="18">
        <v>335.32943019999999</v>
      </c>
      <c r="AO848" s="18">
        <v>91.6974266</v>
      </c>
      <c r="AP848" s="18">
        <v>96.855177799999993</v>
      </c>
      <c r="AQ848" s="18">
        <v>103.70253669999998</v>
      </c>
      <c r="AR848" s="18">
        <v>101.87750380000001</v>
      </c>
      <c r="AS848" s="18">
        <v>92.169877400000004</v>
      </c>
      <c r="AT848" s="18">
        <v>84.613460799999999</v>
      </c>
      <c r="AU848" s="18">
        <v>84.790672099999995</v>
      </c>
      <c r="AV848" s="18">
        <v>83.39</v>
      </c>
      <c r="AW848" s="18">
        <v>83.39</v>
      </c>
      <c r="AX848" s="18">
        <v>85.191000000000003</v>
      </c>
      <c r="AY848" s="18">
        <v>1.946</v>
      </c>
      <c r="AZ848" s="34">
        <v>0</v>
      </c>
      <c r="BA848" s="34">
        <v>0</v>
      </c>
      <c r="BB848" s="34">
        <v>0</v>
      </c>
      <c r="BC848" s="34">
        <v>0</v>
      </c>
      <c r="BD848" s="34">
        <v>0</v>
      </c>
      <c r="BE848" s="42">
        <v>0</v>
      </c>
      <c r="BF848" s="34">
        <v>0</v>
      </c>
      <c r="BG848" s="34">
        <v>0</v>
      </c>
      <c r="BH848" s="18">
        <v>0</v>
      </c>
      <c r="BI848" s="113">
        <v>37.935000000000002</v>
      </c>
      <c r="BJ848" s="18">
        <v>0</v>
      </c>
      <c r="BK848" s="113">
        <v>0</v>
      </c>
      <c r="BL848" s="113">
        <v>0</v>
      </c>
      <c r="BM848" s="18">
        <v>0</v>
      </c>
      <c r="BN848" s="113">
        <v>0</v>
      </c>
      <c r="BO848" s="113">
        <v>0</v>
      </c>
      <c r="BP848" s="113">
        <v>0</v>
      </c>
      <c r="BQ848" s="113">
        <v>0</v>
      </c>
      <c r="BR848" s="101"/>
      <c r="BS848">
        <f t="shared" si="1646"/>
        <v>0</v>
      </c>
      <c r="BT848">
        <f t="shared" si="1646"/>
        <v>0</v>
      </c>
      <c r="BU848">
        <f t="shared" si="1646"/>
        <v>0</v>
      </c>
      <c r="BV848">
        <f t="shared" si="1646"/>
        <v>0</v>
      </c>
      <c r="BW848">
        <f t="shared" si="1646"/>
        <v>0</v>
      </c>
      <c r="BX848">
        <f t="shared" si="1646"/>
        <v>0</v>
      </c>
      <c r="BY848">
        <f t="shared" si="1646"/>
        <v>0</v>
      </c>
      <c r="BZ848">
        <f t="shared" si="1646"/>
        <v>0</v>
      </c>
      <c r="CA848">
        <f t="shared" si="1646"/>
        <v>0</v>
      </c>
      <c r="CB848">
        <f t="shared" si="1646"/>
        <v>0</v>
      </c>
      <c r="CC848">
        <f t="shared" si="1647"/>
        <v>0</v>
      </c>
      <c r="CD848">
        <f t="shared" si="1647"/>
        <v>0</v>
      </c>
      <c r="CE848">
        <f t="shared" si="1647"/>
        <v>0</v>
      </c>
      <c r="CF848">
        <f t="shared" si="1647"/>
        <v>0</v>
      </c>
      <c r="CG848">
        <f t="shared" si="1647"/>
        <v>0</v>
      </c>
      <c r="CH848">
        <f t="shared" si="1647"/>
        <v>0</v>
      </c>
      <c r="CI848">
        <f t="shared" si="1647"/>
        <v>0</v>
      </c>
      <c r="CJ848">
        <f t="shared" si="1649"/>
        <v>0</v>
      </c>
      <c r="CK848">
        <f t="shared" si="1649"/>
        <v>0</v>
      </c>
      <c r="CL848">
        <f t="shared" si="1649"/>
        <v>0</v>
      </c>
      <c r="CM848">
        <f t="shared" si="1649"/>
        <v>0</v>
      </c>
      <c r="CN848">
        <f t="shared" si="1649"/>
        <v>0</v>
      </c>
      <c r="CO848">
        <f t="shared" si="1649"/>
        <v>0</v>
      </c>
      <c r="CP848">
        <f t="shared" si="1649"/>
        <v>0</v>
      </c>
      <c r="CQ848">
        <f t="shared" si="1649"/>
        <v>0</v>
      </c>
      <c r="CR848">
        <f t="shared" si="1649"/>
        <v>0</v>
      </c>
      <c r="CS848">
        <f t="shared" si="1649"/>
        <v>0</v>
      </c>
      <c r="CT848">
        <f t="shared" si="1650"/>
        <v>0</v>
      </c>
      <c r="CU848">
        <f t="shared" si="1650"/>
        <v>0</v>
      </c>
      <c r="CV848">
        <f t="shared" si="1650"/>
        <v>0</v>
      </c>
      <c r="CW848">
        <f t="shared" si="1650"/>
        <v>0</v>
      </c>
      <c r="CX848">
        <f t="shared" si="1650"/>
        <v>0</v>
      </c>
      <c r="CY848">
        <f t="shared" si="1650"/>
        <v>0</v>
      </c>
      <c r="CZ848">
        <f t="shared" si="1650"/>
        <v>0</v>
      </c>
      <c r="DA848">
        <f t="shared" si="1650"/>
        <v>0</v>
      </c>
      <c r="DB848">
        <f t="shared" si="1650"/>
        <v>0</v>
      </c>
      <c r="DC848">
        <f t="shared" si="1650"/>
        <v>0</v>
      </c>
      <c r="DD848">
        <f t="shared" si="1651"/>
        <v>0</v>
      </c>
      <c r="DE848">
        <f t="shared" si="1651"/>
        <v>0</v>
      </c>
      <c r="DF848">
        <f t="shared" si="1651"/>
        <v>0</v>
      </c>
      <c r="DG848">
        <f t="shared" si="1651"/>
        <v>0</v>
      </c>
      <c r="DH848">
        <f t="shared" si="1651"/>
        <v>0</v>
      </c>
      <c r="DI848">
        <f t="shared" si="1651"/>
        <v>0</v>
      </c>
      <c r="DJ848">
        <f t="shared" si="1651"/>
        <v>0</v>
      </c>
      <c r="DK848">
        <f t="shared" si="1651"/>
        <v>0</v>
      </c>
      <c r="DL848">
        <f t="shared" si="1651"/>
        <v>0</v>
      </c>
      <c r="DM848">
        <f t="shared" si="1651"/>
        <v>0</v>
      </c>
      <c r="DN848">
        <f t="shared" si="1652"/>
        <v>0</v>
      </c>
      <c r="DO848">
        <f t="shared" si="1652"/>
        <v>0</v>
      </c>
      <c r="DP848">
        <f t="shared" si="1652"/>
        <v>0</v>
      </c>
      <c r="DQ848">
        <f t="shared" si="1652"/>
        <v>0</v>
      </c>
      <c r="DR848">
        <f t="shared" si="1652"/>
        <v>0</v>
      </c>
      <c r="DS848">
        <f t="shared" si="1652"/>
        <v>0</v>
      </c>
      <c r="DT848">
        <f t="shared" si="1652"/>
        <v>0</v>
      </c>
      <c r="DU848">
        <f t="shared" si="1652"/>
        <v>0</v>
      </c>
      <c r="DV848">
        <f t="shared" si="1652"/>
        <v>0</v>
      </c>
      <c r="DW848">
        <f t="shared" si="1652"/>
        <v>0</v>
      </c>
      <c r="DX848">
        <f t="shared" si="1653"/>
        <v>0</v>
      </c>
      <c r="DY848">
        <f t="shared" si="1653"/>
        <v>0</v>
      </c>
      <c r="DZ848">
        <f t="shared" si="1653"/>
        <v>0</v>
      </c>
      <c r="EA848">
        <f t="shared" si="1655"/>
        <v>0</v>
      </c>
      <c r="EB848">
        <f t="shared" si="1655"/>
        <v>0</v>
      </c>
      <c r="EC848">
        <f t="shared" si="1655"/>
        <v>0</v>
      </c>
      <c r="ED848">
        <f t="shared" si="1655"/>
        <v>0</v>
      </c>
      <c r="EE848">
        <f t="shared" si="1655"/>
        <v>0</v>
      </c>
      <c r="EF848">
        <f t="shared" si="1655"/>
        <v>0</v>
      </c>
    </row>
    <row r="849" spans="1:136" ht="15.5">
      <c r="A849" s="90"/>
      <c r="B849" s="53" t="s">
        <v>21</v>
      </c>
      <c r="C849" s="95"/>
      <c r="D849" s="71">
        <v>0</v>
      </c>
      <c r="E849" s="71">
        <v>0</v>
      </c>
      <c r="F849" s="71">
        <v>0</v>
      </c>
      <c r="G849" s="71">
        <v>0</v>
      </c>
      <c r="H849" s="71">
        <v>0</v>
      </c>
      <c r="I849" s="71">
        <v>0</v>
      </c>
      <c r="J849" s="71">
        <v>0</v>
      </c>
      <c r="K849" s="71">
        <v>0</v>
      </c>
      <c r="L849" s="71">
        <v>0</v>
      </c>
      <c r="M849" s="71">
        <v>0</v>
      </c>
      <c r="N849" s="71">
        <v>0</v>
      </c>
      <c r="O849" s="71">
        <v>0</v>
      </c>
      <c r="P849" s="71">
        <v>0</v>
      </c>
      <c r="Q849" s="71">
        <v>0</v>
      </c>
      <c r="R849" s="71">
        <v>0</v>
      </c>
      <c r="S849" s="71">
        <v>0</v>
      </c>
      <c r="T849" s="71">
        <v>0</v>
      </c>
      <c r="U849" s="71">
        <v>0</v>
      </c>
      <c r="V849" s="71">
        <v>0</v>
      </c>
      <c r="W849" s="71">
        <v>0</v>
      </c>
      <c r="X849" s="71">
        <v>0</v>
      </c>
      <c r="Y849" s="71">
        <v>0</v>
      </c>
      <c r="Z849" s="71">
        <v>0</v>
      </c>
      <c r="AA849" s="71">
        <v>0</v>
      </c>
      <c r="AB849" s="71">
        <v>0</v>
      </c>
      <c r="AC849" s="71">
        <v>0</v>
      </c>
      <c r="AD849" s="71">
        <v>0</v>
      </c>
      <c r="AE849" s="71">
        <v>0</v>
      </c>
      <c r="AF849" s="18">
        <v>335</v>
      </c>
      <c r="AG849" s="71">
        <v>0</v>
      </c>
      <c r="AH849" s="71">
        <v>0</v>
      </c>
      <c r="AI849" s="71">
        <v>0</v>
      </c>
      <c r="AJ849" s="71">
        <v>0</v>
      </c>
      <c r="AK849" s="71">
        <v>0</v>
      </c>
      <c r="AL849" s="71">
        <v>75</v>
      </c>
      <c r="AM849" s="71">
        <v>0</v>
      </c>
      <c r="AN849" s="71">
        <v>650</v>
      </c>
      <c r="AO849" s="71">
        <v>0</v>
      </c>
      <c r="AP849" s="71">
        <v>0</v>
      </c>
      <c r="AQ849" s="71">
        <v>650</v>
      </c>
      <c r="AR849" s="71">
        <v>0</v>
      </c>
      <c r="AS849" s="71">
        <v>0</v>
      </c>
      <c r="AT849" s="71">
        <v>125</v>
      </c>
      <c r="AU849" s="179">
        <v>2</v>
      </c>
      <c r="AV849" s="71">
        <v>0</v>
      </c>
      <c r="AW849" s="18">
        <v>50</v>
      </c>
      <c r="AX849" s="71">
        <v>0</v>
      </c>
      <c r="AY849" s="71">
        <v>0</v>
      </c>
      <c r="AZ849" s="71">
        <f>7321/19.37</f>
        <v>377.95560144553428</v>
      </c>
      <c r="BA849" s="71">
        <v>0</v>
      </c>
      <c r="BB849" s="71">
        <v>0</v>
      </c>
      <c r="BC849" s="71">
        <v>0</v>
      </c>
      <c r="BD849" s="71">
        <v>0</v>
      </c>
      <c r="BE849" s="71">
        <v>0</v>
      </c>
      <c r="BF849" s="113">
        <v>0</v>
      </c>
      <c r="BG849" s="71">
        <v>0</v>
      </c>
      <c r="BH849" s="71">
        <v>0</v>
      </c>
      <c r="BI849" s="113">
        <v>0</v>
      </c>
      <c r="BJ849" s="113">
        <v>0</v>
      </c>
      <c r="BK849" s="113">
        <v>0</v>
      </c>
      <c r="BL849" s="113">
        <v>0</v>
      </c>
      <c r="BM849" s="18">
        <v>0</v>
      </c>
      <c r="BN849" s="113">
        <v>0</v>
      </c>
      <c r="BO849" s="113">
        <v>0</v>
      </c>
      <c r="BP849" s="113">
        <v>0</v>
      </c>
      <c r="BQ849" s="113">
        <v>0</v>
      </c>
      <c r="BR849" s="101"/>
      <c r="BS849">
        <f t="shared" si="1646"/>
        <v>0</v>
      </c>
      <c r="BT849">
        <f t="shared" si="1646"/>
        <v>0</v>
      </c>
      <c r="BU849">
        <f t="shared" si="1646"/>
        <v>0</v>
      </c>
      <c r="BV849">
        <f t="shared" si="1646"/>
        <v>0</v>
      </c>
      <c r="BW849">
        <f t="shared" si="1646"/>
        <v>0</v>
      </c>
      <c r="BX849">
        <f t="shared" si="1646"/>
        <v>0</v>
      </c>
      <c r="BY849">
        <f t="shared" si="1646"/>
        <v>0</v>
      </c>
      <c r="BZ849">
        <f t="shared" si="1646"/>
        <v>0</v>
      </c>
      <c r="CA849">
        <f t="shared" si="1646"/>
        <v>0</v>
      </c>
      <c r="CB849">
        <f t="shared" si="1646"/>
        <v>0</v>
      </c>
      <c r="CC849">
        <f t="shared" si="1647"/>
        <v>0</v>
      </c>
      <c r="CD849">
        <f t="shared" si="1647"/>
        <v>0</v>
      </c>
      <c r="CE849">
        <f t="shared" si="1647"/>
        <v>0</v>
      </c>
      <c r="CF849">
        <f t="shared" si="1647"/>
        <v>0</v>
      </c>
      <c r="CG849">
        <f t="shared" si="1647"/>
        <v>0</v>
      </c>
      <c r="CH849">
        <f t="shared" si="1647"/>
        <v>0</v>
      </c>
      <c r="CI849">
        <f t="shared" si="1647"/>
        <v>0</v>
      </c>
      <c r="CJ849">
        <f t="shared" si="1649"/>
        <v>0</v>
      </c>
      <c r="CK849">
        <f t="shared" si="1649"/>
        <v>0</v>
      </c>
      <c r="CL849">
        <f t="shared" si="1649"/>
        <v>0</v>
      </c>
      <c r="CM849">
        <f t="shared" si="1649"/>
        <v>0</v>
      </c>
      <c r="CN849">
        <f t="shared" si="1649"/>
        <v>0</v>
      </c>
      <c r="CO849">
        <f t="shared" si="1649"/>
        <v>0</v>
      </c>
      <c r="CP849">
        <f t="shared" si="1649"/>
        <v>0</v>
      </c>
      <c r="CQ849">
        <f t="shared" si="1649"/>
        <v>0</v>
      </c>
      <c r="CR849">
        <f t="shared" si="1649"/>
        <v>0</v>
      </c>
      <c r="CS849">
        <f t="shared" si="1649"/>
        <v>0</v>
      </c>
      <c r="CT849">
        <f t="shared" si="1650"/>
        <v>0</v>
      </c>
      <c r="CU849">
        <f t="shared" si="1650"/>
        <v>0</v>
      </c>
      <c r="CV849">
        <f t="shared" si="1650"/>
        <v>0</v>
      </c>
      <c r="CW849">
        <f t="shared" si="1650"/>
        <v>0</v>
      </c>
      <c r="CX849">
        <f t="shared" si="1650"/>
        <v>0</v>
      </c>
      <c r="CY849">
        <f t="shared" si="1650"/>
        <v>0</v>
      </c>
      <c r="CZ849">
        <f t="shared" si="1650"/>
        <v>0</v>
      </c>
      <c r="DA849">
        <f t="shared" si="1650"/>
        <v>0</v>
      </c>
      <c r="DB849">
        <f t="shared" si="1650"/>
        <v>0</v>
      </c>
      <c r="DC849">
        <f t="shared" si="1650"/>
        <v>0</v>
      </c>
      <c r="DD849">
        <f t="shared" si="1651"/>
        <v>0</v>
      </c>
      <c r="DE849">
        <f t="shared" si="1651"/>
        <v>0</v>
      </c>
      <c r="DF849">
        <f t="shared" si="1651"/>
        <v>0</v>
      </c>
      <c r="DG849">
        <f t="shared" si="1651"/>
        <v>0</v>
      </c>
      <c r="DH849">
        <f t="shared" si="1651"/>
        <v>0</v>
      </c>
      <c r="DI849">
        <f t="shared" si="1651"/>
        <v>0</v>
      </c>
      <c r="DJ849">
        <f t="shared" si="1651"/>
        <v>0</v>
      </c>
      <c r="DK849">
        <f t="shared" si="1651"/>
        <v>0</v>
      </c>
      <c r="DL849">
        <f t="shared" si="1651"/>
        <v>0</v>
      </c>
      <c r="DM849">
        <f t="shared" si="1651"/>
        <v>0</v>
      </c>
      <c r="DN849">
        <f t="shared" si="1652"/>
        <v>0</v>
      </c>
      <c r="DO849">
        <f t="shared" si="1652"/>
        <v>0</v>
      </c>
      <c r="DP849">
        <f t="shared" si="1652"/>
        <v>0</v>
      </c>
      <c r="DQ849">
        <f t="shared" si="1652"/>
        <v>0</v>
      </c>
      <c r="DR849">
        <f t="shared" si="1652"/>
        <v>0</v>
      </c>
      <c r="DS849">
        <f t="shared" si="1652"/>
        <v>0</v>
      </c>
      <c r="DT849">
        <f t="shared" si="1652"/>
        <v>0</v>
      </c>
      <c r="DU849">
        <f t="shared" si="1652"/>
        <v>0</v>
      </c>
      <c r="DV849">
        <f t="shared" si="1652"/>
        <v>0</v>
      </c>
      <c r="DW849">
        <f t="shared" si="1652"/>
        <v>0</v>
      </c>
      <c r="DX849">
        <f t="shared" si="1653"/>
        <v>0</v>
      </c>
      <c r="DY849">
        <f t="shared" si="1653"/>
        <v>0</v>
      </c>
      <c r="DZ849">
        <f t="shared" si="1653"/>
        <v>0</v>
      </c>
      <c r="EA849">
        <f t="shared" si="1655"/>
        <v>0</v>
      </c>
      <c r="EB849">
        <f t="shared" si="1655"/>
        <v>0</v>
      </c>
      <c r="EC849">
        <f t="shared" si="1655"/>
        <v>0</v>
      </c>
      <c r="ED849">
        <f t="shared" si="1655"/>
        <v>0</v>
      </c>
      <c r="EE849">
        <f t="shared" si="1655"/>
        <v>0</v>
      </c>
      <c r="EF849">
        <f t="shared" si="1655"/>
        <v>0</v>
      </c>
    </row>
    <row r="850" spans="1:136" ht="15.5">
      <c r="A850" s="90"/>
      <c r="B850" s="53" t="s">
        <v>212</v>
      </c>
      <c r="C850" s="95"/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  <c r="AE850" s="71">
        <v>0</v>
      </c>
      <c r="AF850" s="40" t="s">
        <v>16</v>
      </c>
      <c r="AG850" s="71">
        <v>0</v>
      </c>
      <c r="AH850" s="71">
        <v>0</v>
      </c>
      <c r="AI850" s="71">
        <v>0</v>
      </c>
      <c r="AJ850" s="71">
        <v>0</v>
      </c>
      <c r="AK850" s="71">
        <v>0</v>
      </c>
      <c r="AL850" s="71">
        <v>0</v>
      </c>
      <c r="AM850" s="71">
        <v>0</v>
      </c>
      <c r="AN850" s="71">
        <v>0</v>
      </c>
      <c r="AO850" s="71">
        <v>0</v>
      </c>
      <c r="AP850" s="71">
        <v>0</v>
      </c>
      <c r="AQ850" s="71">
        <v>0</v>
      </c>
      <c r="AR850" s="71">
        <v>47.94</v>
      </c>
      <c r="AS850" s="71">
        <v>0</v>
      </c>
      <c r="AT850" s="71">
        <v>0</v>
      </c>
      <c r="AU850" s="71">
        <v>0</v>
      </c>
      <c r="AV850" s="71">
        <v>0</v>
      </c>
      <c r="AW850" s="18">
        <v>0</v>
      </c>
      <c r="AX850" s="71">
        <v>0</v>
      </c>
      <c r="AY850" s="71">
        <v>0</v>
      </c>
      <c r="AZ850" s="71">
        <v>0</v>
      </c>
      <c r="BA850" s="71">
        <v>0</v>
      </c>
      <c r="BB850" s="71">
        <v>0</v>
      </c>
      <c r="BC850" s="71">
        <v>0</v>
      </c>
      <c r="BD850" s="71">
        <v>0</v>
      </c>
      <c r="BE850" s="128">
        <v>0</v>
      </c>
      <c r="BF850" s="113">
        <v>0</v>
      </c>
      <c r="BG850" s="71">
        <v>0</v>
      </c>
      <c r="BH850" s="71">
        <v>0</v>
      </c>
      <c r="BI850" s="113">
        <v>0</v>
      </c>
      <c r="BJ850" s="113">
        <v>0</v>
      </c>
      <c r="BK850" s="113">
        <v>0</v>
      </c>
      <c r="BL850" s="113">
        <v>0</v>
      </c>
      <c r="BM850" s="18">
        <v>0</v>
      </c>
      <c r="BN850" s="113">
        <v>0</v>
      </c>
      <c r="BO850" s="113">
        <v>0</v>
      </c>
      <c r="BP850" s="113">
        <v>0</v>
      </c>
      <c r="BQ850" s="113">
        <v>0</v>
      </c>
      <c r="BR850" s="101"/>
      <c r="BS850">
        <f t="shared" si="1646"/>
        <v>0</v>
      </c>
      <c r="BT850">
        <f t="shared" si="1646"/>
        <v>0</v>
      </c>
      <c r="BU850">
        <f t="shared" si="1646"/>
        <v>0</v>
      </c>
      <c r="BV850">
        <f t="shared" si="1646"/>
        <v>0</v>
      </c>
      <c r="BW850">
        <f t="shared" si="1646"/>
        <v>0</v>
      </c>
      <c r="BX850">
        <f t="shared" si="1646"/>
        <v>0</v>
      </c>
      <c r="BY850">
        <f t="shared" si="1646"/>
        <v>0</v>
      </c>
      <c r="BZ850">
        <f t="shared" si="1646"/>
        <v>0</v>
      </c>
      <c r="CA850">
        <f t="shared" si="1646"/>
        <v>0</v>
      </c>
      <c r="CB850">
        <f t="shared" si="1646"/>
        <v>0</v>
      </c>
      <c r="CC850">
        <f t="shared" si="1647"/>
        <v>0</v>
      </c>
      <c r="CD850">
        <f t="shared" si="1647"/>
        <v>0</v>
      </c>
      <c r="CE850">
        <f t="shared" si="1647"/>
        <v>0</v>
      </c>
      <c r="CF850">
        <f t="shared" si="1647"/>
        <v>0</v>
      </c>
      <c r="CG850">
        <f t="shared" si="1647"/>
        <v>0</v>
      </c>
      <c r="CH850">
        <f t="shared" si="1647"/>
        <v>0</v>
      </c>
      <c r="CI850">
        <f t="shared" si="1647"/>
        <v>0</v>
      </c>
      <c r="CJ850">
        <f t="shared" si="1649"/>
        <v>0</v>
      </c>
      <c r="CK850">
        <f t="shared" si="1649"/>
        <v>0</v>
      </c>
      <c r="CL850">
        <f t="shared" si="1649"/>
        <v>0</v>
      </c>
      <c r="CM850">
        <f t="shared" si="1649"/>
        <v>0</v>
      </c>
      <c r="CN850">
        <f t="shared" si="1649"/>
        <v>0</v>
      </c>
      <c r="CO850">
        <f t="shared" si="1649"/>
        <v>0</v>
      </c>
      <c r="CP850">
        <f t="shared" si="1649"/>
        <v>0</v>
      </c>
      <c r="CQ850">
        <f t="shared" si="1649"/>
        <v>0</v>
      </c>
      <c r="CR850">
        <f t="shared" si="1649"/>
        <v>0</v>
      </c>
      <c r="CS850">
        <f t="shared" si="1649"/>
        <v>0</v>
      </c>
      <c r="CT850">
        <f t="shared" si="1650"/>
        <v>0</v>
      </c>
      <c r="CU850">
        <f t="shared" si="1650"/>
        <v>0</v>
      </c>
      <c r="CV850">
        <f t="shared" si="1650"/>
        <v>0</v>
      </c>
      <c r="CW850">
        <f t="shared" si="1650"/>
        <v>0</v>
      </c>
      <c r="CX850">
        <f t="shared" si="1650"/>
        <v>0</v>
      </c>
      <c r="CY850">
        <f t="shared" si="1650"/>
        <v>0</v>
      </c>
      <c r="CZ850">
        <f t="shared" si="1650"/>
        <v>0</v>
      </c>
      <c r="DA850">
        <f t="shared" si="1650"/>
        <v>0</v>
      </c>
      <c r="DB850">
        <f t="shared" si="1650"/>
        <v>0</v>
      </c>
      <c r="DC850">
        <f t="shared" si="1650"/>
        <v>0</v>
      </c>
      <c r="DD850">
        <f t="shared" si="1651"/>
        <v>0</v>
      </c>
      <c r="DE850">
        <f t="shared" si="1651"/>
        <v>0</v>
      </c>
      <c r="DF850">
        <f t="shared" si="1651"/>
        <v>0</v>
      </c>
      <c r="DG850">
        <f t="shared" si="1651"/>
        <v>0</v>
      </c>
      <c r="DH850">
        <f t="shared" si="1651"/>
        <v>0</v>
      </c>
      <c r="DI850">
        <f t="shared" si="1651"/>
        <v>0</v>
      </c>
      <c r="DJ850">
        <f t="shared" si="1651"/>
        <v>0</v>
      </c>
      <c r="DK850">
        <f t="shared" si="1651"/>
        <v>0</v>
      </c>
      <c r="DL850">
        <f t="shared" si="1651"/>
        <v>0</v>
      </c>
      <c r="DM850">
        <f t="shared" si="1651"/>
        <v>0</v>
      </c>
      <c r="DN850">
        <f t="shared" si="1652"/>
        <v>0</v>
      </c>
      <c r="DO850">
        <f t="shared" si="1652"/>
        <v>0</v>
      </c>
      <c r="DP850">
        <f t="shared" si="1652"/>
        <v>0</v>
      </c>
      <c r="DQ850">
        <f t="shared" si="1652"/>
        <v>0</v>
      </c>
      <c r="DR850">
        <f t="shared" si="1652"/>
        <v>0</v>
      </c>
      <c r="DS850">
        <f t="shared" si="1652"/>
        <v>0</v>
      </c>
      <c r="DT850">
        <f t="shared" si="1652"/>
        <v>0</v>
      </c>
      <c r="DU850">
        <f t="shared" si="1652"/>
        <v>0</v>
      </c>
      <c r="DV850">
        <f t="shared" si="1652"/>
        <v>0</v>
      </c>
      <c r="DW850">
        <f t="shared" si="1652"/>
        <v>0</v>
      </c>
      <c r="DX850">
        <f t="shared" si="1653"/>
        <v>0</v>
      </c>
      <c r="DY850">
        <f t="shared" si="1653"/>
        <v>0</v>
      </c>
      <c r="DZ850">
        <f t="shared" si="1653"/>
        <v>0</v>
      </c>
      <c r="EA850">
        <f t="shared" ref="EA850:EF850" si="1656">IF($C850&lt;&gt;"",IF(BL850&gt;0,1,0),0)</f>
        <v>0</v>
      </c>
      <c r="EB850">
        <f t="shared" si="1656"/>
        <v>0</v>
      </c>
      <c r="EC850">
        <f t="shared" si="1656"/>
        <v>0</v>
      </c>
      <c r="ED850">
        <f t="shared" si="1656"/>
        <v>0</v>
      </c>
      <c r="EE850">
        <f t="shared" si="1656"/>
        <v>0</v>
      </c>
      <c r="EF850">
        <f t="shared" si="1656"/>
        <v>0</v>
      </c>
    </row>
    <row r="851" spans="1:136" ht="15.5">
      <c r="A851" s="90"/>
      <c r="B851" s="37"/>
      <c r="C851" s="95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18"/>
      <c r="AU851" s="18"/>
      <c r="AV851" s="18"/>
      <c r="AW851" s="18"/>
      <c r="AX851" s="18"/>
      <c r="AY851" s="18"/>
      <c r="AZ851" s="18"/>
      <c r="BA851" s="18"/>
      <c r="BB851" s="18"/>
      <c r="BC851" s="18"/>
      <c r="BD851" s="18"/>
      <c r="BE851" s="25"/>
      <c r="BF851" s="71"/>
      <c r="BG851" s="18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101"/>
    </row>
    <row r="852" spans="1:136" ht="15.5">
      <c r="A852" s="93">
        <v>108</v>
      </c>
      <c r="B852" s="108" t="s">
        <v>111</v>
      </c>
      <c r="C852" s="94">
        <v>4</v>
      </c>
      <c r="D852" s="22">
        <f>SUM(D853:D859)</f>
        <v>0</v>
      </c>
      <c r="E852" s="22">
        <f t="shared" ref="E852:J852" si="1657">SUM(E853:E859)</f>
        <v>0</v>
      </c>
      <c r="F852" s="22">
        <f t="shared" si="1657"/>
        <v>0</v>
      </c>
      <c r="G852" s="22">
        <f t="shared" si="1657"/>
        <v>0</v>
      </c>
      <c r="H852" s="22">
        <f t="shared" si="1657"/>
        <v>0</v>
      </c>
      <c r="I852" s="22">
        <f t="shared" si="1657"/>
        <v>0</v>
      </c>
      <c r="J852" s="22">
        <f t="shared" si="1657"/>
        <v>0</v>
      </c>
      <c r="K852" s="22">
        <v>0</v>
      </c>
      <c r="L852" s="22">
        <v>0</v>
      </c>
      <c r="M852" s="22">
        <v>0</v>
      </c>
      <c r="N852" s="22">
        <v>0</v>
      </c>
      <c r="O852" s="22">
        <v>0</v>
      </c>
      <c r="P852" s="22">
        <v>0</v>
      </c>
      <c r="Q852" s="22">
        <v>0</v>
      </c>
      <c r="R852" s="22">
        <f>R856</f>
        <v>0.52655790000000002</v>
      </c>
      <c r="S852" s="22">
        <f>S856</f>
        <v>0.59302130000000008</v>
      </c>
      <c r="T852" s="31">
        <v>0.32915330000000004</v>
      </c>
      <c r="U852" s="31">
        <v>0.23880730000000003</v>
      </c>
      <c r="V852" s="22">
        <f t="shared" ref="V852:AI852" si="1658">SUM(V854:V859)</f>
        <v>0.7943964</v>
      </c>
      <c r="W852" s="22">
        <f t="shared" si="1658"/>
        <v>1.3271230999999999</v>
      </c>
      <c r="X852" s="22">
        <f t="shared" si="1658"/>
        <v>1.5662176000000001</v>
      </c>
      <c r="Y852" s="22">
        <f t="shared" si="1658"/>
        <v>2.567717</v>
      </c>
      <c r="Z852" s="22">
        <f t="shared" si="1658"/>
        <v>1.1728833000000001</v>
      </c>
      <c r="AA852" s="22">
        <f t="shared" si="1658"/>
        <v>35.116332700000001</v>
      </c>
      <c r="AB852" s="22">
        <f t="shared" si="1658"/>
        <v>62.304347300000003</v>
      </c>
      <c r="AC852" s="22">
        <f t="shared" si="1658"/>
        <v>40.467920700000001</v>
      </c>
      <c r="AD852" s="22">
        <f t="shared" si="1658"/>
        <v>78.027420800000002</v>
      </c>
      <c r="AE852" s="22">
        <f t="shared" si="1658"/>
        <v>115.841267119375</v>
      </c>
      <c r="AF852" s="22">
        <f t="shared" si="1658"/>
        <v>187.122550375</v>
      </c>
      <c r="AG852" s="22">
        <f t="shared" si="1658"/>
        <v>446.41446100000002</v>
      </c>
      <c r="AH852" s="22">
        <f t="shared" si="1658"/>
        <v>317.41026349999999</v>
      </c>
      <c r="AI852" s="22">
        <f t="shared" si="1658"/>
        <v>243.81593650000002</v>
      </c>
      <c r="AJ852" s="22">
        <f t="shared" ref="AJ852:BO852" si="1659">SUM(AJ854:AJ859)</f>
        <v>133.5775495</v>
      </c>
      <c r="AK852" s="22">
        <f t="shared" si="1659"/>
        <v>200.0158678</v>
      </c>
      <c r="AL852" s="22">
        <f t="shared" si="1659"/>
        <v>290.10275580000001</v>
      </c>
      <c r="AM852" s="22">
        <f t="shared" si="1659"/>
        <v>131.9440735</v>
      </c>
      <c r="AN852" s="22">
        <f t="shared" si="1659"/>
        <v>171</v>
      </c>
      <c r="AO852" s="22">
        <f t="shared" si="1659"/>
        <v>117.0834345</v>
      </c>
      <c r="AP852" s="22">
        <f t="shared" si="1659"/>
        <v>119.5526193</v>
      </c>
      <c r="AQ852" s="22">
        <f t="shared" si="1659"/>
        <v>151.14257470000001</v>
      </c>
      <c r="AR852" s="22">
        <f t="shared" si="1659"/>
        <v>162.82710209999999</v>
      </c>
      <c r="AS852" s="22">
        <f t="shared" si="1659"/>
        <v>229.5485257</v>
      </c>
      <c r="AT852" s="22">
        <f t="shared" si="1659"/>
        <v>190.05214970000003</v>
      </c>
      <c r="AU852" s="22">
        <f t="shared" si="1659"/>
        <v>81.3856325</v>
      </c>
      <c r="AV852" s="22">
        <f t="shared" si="1659"/>
        <v>585.22988870000006</v>
      </c>
      <c r="AW852" s="22">
        <f t="shared" si="1659"/>
        <v>113.0277876</v>
      </c>
      <c r="AX852" s="22">
        <f t="shared" si="1659"/>
        <v>1407.3991632</v>
      </c>
      <c r="AY852" s="22">
        <f t="shared" si="1659"/>
        <v>90.254480300000012</v>
      </c>
      <c r="AZ852" s="22">
        <f t="shared" si="1659"/>
        <v>113.88835899999999</v>
      </c>
      <c r="BA852" s="22">
        <f t="shared" si="1659"/>
        <v>74.246969899999996</v>
      </c>
      <c r="BB852" s="22">
        <f t="shared" si="1659"/>
        <v>91.327672299999989</v>
      </c>
      <c r="BC852" s="22">
        <f t="shared" si="1659"/>
        <v>96.381088199999994</v>
      </c>
      <c r="BD852" s="22">
        <f t="shared" si="1659"/>
        <v>98.504187799999997</v>
      </c>
      <c r="BE852" s="22">
        <f t="shared" si="1659"/>
        <v>102.36712439999999</v>
      </c>
      <c r="BF852" s="22">
        <f t="shared" si="1659"/>
        <v>108.45397939999999</v>
      </c>
      <c r="BG852" s="22">
        <f t="shared" si="1659"/>
        <v>233.81228909999999</v>
      </c>
      <c r="BH852" s="22">
        <f t="shared" si="1659"/>
        <v>53.560337600000004</v>
      </c>
      <c r="BI852" s="22">
        <f t="shared" si="1659"/>
        <v>885.32376909999994</v>
      </c>
      <c r="BJ852" s="22">
        <f t="shared" si="1659"/>
        <v>283.31531610000002</v>
      </c>
      <c r="BK852" s="22">
        <f t="shared" si="1659"/>
        <v>162.62766880000001</v>
      </c>
      <c r="BL852" s="22">
        <f t="shared" si="1659"/>
        <v>73.973355400000003</v>
      </c>
      <c r="BM852" s="22">
        <f t="shared" si="1659"/>
        <v>81.000854899999993</v>
      </c>
      <c r="BN852" s="22">
        <f t="shared" si="1659"/>
        <v>57.962396599999998</v>
      </c>
      <c r="BO852" s="22">
        <f t="shared" si="1659"/>
        <v>675</v>
      </c>
      <c r="BP852" s="22">
        <f>SUM(BP854:BP859)</f>
        <v>89.731676250238479</v>
      </c>
      <c r="BQ852" s="22">
        <f>SUM(BQ854:BQ859)</f>
        <v>44</v>
      </c>
      <c r="BR852" s="101"/>
      <c r="BS852">
        <f t="shared" ref="BS852:CX852" si="1660">IF($C852&lt;&gt;"",IF(D852&gt;0,1,0),0)</f>
        <v>0</v>
      </c>
      <c r="BT852">
        <f t="shared" si="1660"/>
        <v>0</v>
      </c>
      <c r="BU852">
        <f t="shared" si="1660"/>
        <v>0</v>
      </c>
      <c r="BV852">
        <f t="shared" si="1660"/>
        <v>0</v>
      </c>
      <c r="BW852">
        <f t="shared" si="1660"/>
        <v>0</v>
      </c>
      <c r="BX852">
        <f t="shared" si="1660"/>
        <v>0</v>
      </c>
      <c r="BY852">
        <f t="shared" si="1660"/>
        <v>0</v>
      </c>
      <c r="BZ852">
        <f t="shared" si="1660"/>
        <v>0</v>
      </c>
      <c r="CA852">
        <f t="shared" si="1660"/>
        <v>0</v>
      </c>
      <c r="CB852">
        <f t="shared" si="1660"/>
        <v>0</v>
      </c>
      <c r="CC852">
        <f t="shared" si="1660"/>
        <v>0</v>
      </c>
      <c r="CD852">
        <f t="shared" si="1660"/>
        <v>0</v>
      </c>
      <c r="CE852">
        <f t="shared" si="1660"/>
        <v>0</v>
      </c>
      <c r="CF852">
        <f t="shared" si="1660"/>
        <v>0</v>
      </c>
      <c r="CG852">
        <f t="shared" si="1660"/>
        <v>1</v>
      </c>
      <c r="CH852">
        <f t="shared" si="1660"/>
        <v>1</v>
      </c>
      <c r="CI852">
        <f t="shared" si="1660"/>
        <v>1</v>
      </c>
      <c r="CJ852">
        <f t="shared" si="1660"/>
        <v>1</v>
      </c>
      <c r="CK852">
        <f t="shared" si="1660"/>
        <v>1</v>
      </c>
      <c r="CL852">
        <f t="shared" si="1660"/>
        <v>1</v>
      </c>
      <c r="CM852">
        <f t="shared" si="1660"/>
        <v>1</v>
      </c>
      <c r="CN852">
        <f t="shared" si="1660"/>
        <v>1</v>
      </c>
      <c r="CO852">
        <f t="shared" si="1660"/>
        <v>1</v>
      </c>
      <c r="CP852">
        <f t="shared" si="1660"/>
        <v>1</v>
      </c>
      <c r="CQ852">
        <f t="shared" si="1660"/>
        <v>1</v>
      </c>
      <c r="CR852">
        <f t="shared" si="1660"/>
        <v>1</v>
      </c>
      <c r="CS852">
        <f t="shared" si="1660"/>
        <v>1</v>
      </c>
      <c r="CT852">
        <f t="shared" si="1660"/>
        <v>1</v>
      </c>
      <c r="CU852">
        <f t="shared" si="1660"/>
        <v>1</v>
      </c>
      <c r="CV852">
        <f t="shared" si="1660"/>
        <v>1</v>
      </c>
      <c r="CW852">
        <f t="shared" si="1660"/>
        <v>1</v>
      </c>
      <c r="CX852">
        <f t="shared" si="1660"/>
        <v>1</v>
      </c>
      <c r="CY852">
        <f t="shared" ref="CY852:ED852" si="1661">IF($C852&lt;&gt;"",IF(AJ852&gt;0,1,0),0)</f>
        <v>1</v>
      </c>
      <c r="CZ852">
        <f t="shared" si="1661"/>
        <v>1</v>
      </c>
      <c r="DA852">
        <f t="shared" si="1661"/>
        <v>1</v>
      </c>
      <c r="DB852">
        <f t="shared" si="1661"/>
        <v>1</v>
      </c>
      <c r="DC852">
        <f t="shared" si="1661"/>
        <v>1</v>
      </c>
      <c r="DD852">
        <f t="shared" si="1661"/>
        <v>1</v>
      </c>
      <c r="DE852">
        <f t="shared" si="1661"/>
        <v>1</v>
      </c>
      <c r="DF852">
        <f t="shared" si="1661"/>
        <v>1</v>
      </c>
      <c r="DG852">
        <f t="shared" si="1661"/>
        <v>1</v>
      </c>
      <c r="DH852">
        <f t="shared" si="1661"/>
        <v>1</v>
      </c>
      <c r="DI852">
        <f t="shared" si="1661"/>
        <v>1</v>
      </c>
      <c r="DJ852">
        <f t="shared" si="1661"/>
        <v>1</v>
      </c>
      <c r="DK852">
        <f t="shared" si="1661"/>
        <v>1</v>
      </c>
      <c r="DL852">
        <f t="shared" si="1661"/>
        <v>1</v>
      </c>
      <c r="DM852">
        <f t="shared" si="1661"/>
        <v>1</v>
      </c>
      <c r="DN852">
        <f t="shared" si="1661"/>
        <v>1</v>
      </c>
      <c r="DO852">
        <f t="shared" si="1661"/>
        <v>1</v>
      </c>
      <c r="DP852">
        <f t="shared" si="1661"/>
        <v>1</v>
      </c>
      <c r="DQ852">
        <f t="shared" si="1661"/>
        <v>1</v>
      </c>
      <c r="DR852">
        <f t="shared" si="1661"/>
        <v>1</v>
      </c>
      <c r="DS852">
        <f t="shared" si="1661"/>
        <v>1</v>
      </c>
      <c r="DT852">
        <f t="shared" si="1661"/>
        <v>1</v>
      </c>
      <c r="DU852">
        <f t="shared" si="1661"/>
        <v>1</v>
      </c>
      <c r="DV852">
        <f t="shared" si="1661"/>
        <v>1</v>
      </c>
      <c r="DW852">
        <f t="shared" si="1661"/>
        <v>1</v>
      </c>
      <c r="DX852">
        <f t="shared" si="1661"/>
        <v>1</v>
      </c>
      <c r="DY852">
        <f t="shared" si="1661"/>
        <v>1</v>
      </c>
      <c r="DZ852">
        <f t="shared" si="1661"/>
        <v>1</v>
      </c>
      <c r="EA852">
        <f t="shared" si="1661"/>
        <v>1</v>
      </c>
      <c r="EB852">
        <f t="shared" si="1661"/>
        <v>1</v>
      </c>
      <c r="EC852">
        <f t="shared" si="1661"/>
        <v>1</v>
      </c>
      <c r="ED852">
        <f t="shared" si="1661"/>
        <v>1</v>
      </c>
      <c r="EE852">
        <f t="shared" ref="EE852:EF852" si="1662">IF($C852&lt;&gt;"",IF(BP852&gt;0,1,0),0)</f>
        <v>1</v>
      </c>
      <c r="EF852">
        <f t="shared" si="1662"/>
        <v>1</v>
      </c>
    </row>
    <row r="853" spans="1:136" ht="15.5">
      <c r="A853" s="90"/>
      <c r="B853" s="105" t="s">
        <v>202</v>
      </c>
      <c r="C853" s="94"/>
      <c r="D853" s="18">
        <v>0</v>
      </c>
      <c r="E853" s="18">
        <v>0</v>
      </c>
      <c r="F853" s="18">
        <v>0</v>
      </c>
      <c r="G853" s="18">
        <v>0</v>
      </c>
      <c r="H853" s="18">
        <v>0</v>
      </c>
      <c r="I853" s="18">
        <v>0</v>
      </c>
      <c r="J853" s="18">
        <v>0</v>
      </c>
      <c r="K853" s="18">
        <v>0</v>
      </c>
      <c r="L853" s="18">
        <v>0</v>
      </c>
      <c r="M853" s="18">
        <v>0</v>
      </c>
      <c r="N853" s="18">
        <v>0</v>
      </c>
      <c r="O853" s="18">
        <v>0</v>
      </c>
      <c r="P853" s="18">
        <v>0</v>
      </c>
      <c r="Q853" s="18">
        <v>0</v>
      </c>
      <c r="R853" s="18">
        <v>0</v>
      </c>
      <c r="S853" s="18">
        <v>0</v>
      </c>
      <c r="T853" s="18">
        <v>0</v>
      </c>
      <c r="U853" s="18">
        <v>0</v>
      </c>
      <c r="V853" s="18">
        <v>0</v>
      </c>
      <c r="W853" s="18">
        <v>0</v>
      </c>
      <c r="X853" s="18">
        <v>0</v>
      </c>
      <c r="Y853" s="18">
        <v>0</v>
      </c>
      <c r="Z853" s="18">
        <v>0</v>
      </c>
      <c r="AA853" s="18">
        <v>0</v>
      </c>
      <c r="AB853" s="18">
        <v>0</v>
      </c>
      <c r="AC853" s="18">
        <v>0</v>
      </c>
      <c r="AD853" s="18">
        <v>0</v>
      </c>
      <c r="AE853" s="18">
        <v>0</v>
      </c>
      <c r="AF853" s="18">
        <v>0</v>
      </c>
      <c r="AG853" s="18">
        <v>0</v>
      </c>
      <c r="AH853" s="18">
        <v>0</v>
      </c>
      <c r="AI853" s="18">
        <v>0</v>
      </c>
      <c r="AJ853" s="18">
        <v>0</v>
      </c>
      <c r="AK853" s="18">
        <v>0</v>
      </c>
      <c r="AL853" s="18">
        <v>0</v>
      </c>
      <c r="AM853" s="18">
        <v>0</v>
      </c>
      <c r="AN853" s="18">
        <v>0</v>
      </c>
      <c r="AO853" s="18">
        <v>0</v>
      </c>
      <c r="AP853" s="18">
        <v>0</v>
      </c>
      <c r="AQ853" s="18">
        <v>0</v>
      </c>
      <c r="AR853" s="18">
        <v>0</v>
      </c>
      <c r="AS853" s="18">
        <v>0</v>
      </c>
      <c r="AT853" s="18">
        <v>0</v>
      </c>
      <c r="AU853" s="18">
        <v>0</v>
      </c>
      <c r="AV853" s="18">
        <v>0</v>
      </c>
      <c r="AW853" s="18">
        <v>0</v>
      </c>
      <c r="AX853" s="18">
        <v>0</v>
      </c>
      <c r="AY853" s="18">
        <v>0</v>
      </c>
      <c r="AZ853" s="18">
        <v>0</v>
      </c>
      <c r="BA853" s="18">
        <v>0</v>
      </c>
      <c r="BB853" s="18">
        <v>0</v>
      </c>
      <c r="BC853" s="18">
        <v>0</v>
      </c>
      <c r="BD853" s="18">
        <v>0</v>
      </c>
      <c r="BE853" s="18">
        <v>0</v>
      </c>
      <c r="BF853" s="18">
        <v>0</v>
      </c>
      <c r="BG853" s="18">
        <v>0</v>
      </c>
      <c r="BH853" s="18">
        <v>0</v>
      </c>
      <c r="BI853" s="18">
        <v>0</v>
      </c>
      <c r="BJ853" s="18">
        <v>0</v>
      </c>
      <c r="BK853" s="18">
        <v>0</v>
      </c>
      <c r="BL853" s="18">
        <v>0</v>
      </c>
      <c r="BM853" s="18">
        <v>0</v>
      </c>
      <c r="BN853" s="18">
        <v>0</v>
      </c>
      <c r="BO853" s="18">
        <v>0</v>
      </c>
      <c r="BP853" s="18">
        <v>0</v>
      </c>
      <c r="BQ853" s="113">
        <v>6</v>
      </c>
      <c r="BR853" s="101"/>
    </row>
    <row r="854" spans="1:136" ht="15.5">
      <c r="A854" s="90"/>
      <c r="B854" s="19" t="s">
        <v>2</v>
      </c>
      <c r="C854" s="95"/>
      <c r="D854" s="18">
        <v>0</v>
      </c>
      <c r="E854" s="18">
        <v>0</v>
      </c>
      <c r="F854" s="18">
        <v>0</v>
      </c>
      <c r="G854" s="18">
        <v>0</v>
      </c>
      <c r="H854" s="18">
        <v>0</v>
      </c>
      <c r="I854" s="18">
        <v>0</v>
      </c>
      <c r="J854" s="18">
        <v>0</v>
      </c>
      <c r="K854" s="18">
        <v>0</v>
      </c>
      <c r="L854" s="18">
        <v>0</v>
      </c>
      <c r="M854" s="18">
        <v>0</v>
      </c>
      <c r="N854" s="18">
        <v>0</v>
      </c>
      <c r="O854" s="18">
        <v>0</v>
      </c>
      <c r="P854" s="18">
        <v>0</v>
      </c>
      <c r="Q854" s="18">
        <v>0</v>
      </c>
      <c r="R854" s="18">
        <v>0</v>
      </c>
      <c r="S854" s="18">
        <v>0</v>
      </c>
      <c r="T854" s="18">
        <v>0</v>
      </c>
      <c r="U854" s="18">
        <v>0</v>
      </c>
      <c r="V854" s="18">
        <v>0</v>
      </c>
      <c r="W854" s="18">
        <v>0</v>
      </c>
      <c r="X854" s="18">
        <v>0</v>
      </c>
      <c r="Y854" s="18">
        <v>0</v>
      </c>
      <c r="Z854" s="18">
        <v>0</v>
      </c>
      <c r="AA854" s="18">
        <v>30</v>
      </c>
      <c r="AB854" s="18">
        <v>32</v>
      </c>
      <c r="AC854" s="18">
        <v>32</v>
      </c>
      <c r="AD854" s="18">
        <v>26</v>
      </c>
      <c r="AE854" s="40" t="s">
        <v>16</v>
      </c>
      <c r="AF854" s="18">
        <v>81</v>
      </c>
      <c r="AG854" s="40" t="s">
        <v>16</v>
      </c>
      <c r="AH854" s="18">
        <v>151</v>
      </c>
      <c r="AI854" s="40" t="s">
        <v>16</v>
      </c>
      <c r="AJ854" s="40" t="s">
        <v>16</v>
      </c>
      <c r="AK854" s="40" t="s">
        <v>16</v>
      </c>
      <c r="AL854" s="18">
        <v>160</v>
      </c>
      <c r="AM854" s="40" t="s">
        <v>16</v>
      </c>
      <c r="AN854" s="18">
        <v>128</v>
      </c>
      <c r="AO854" s="40" t="s">
        <v>16</v>
      </c>
      <c r="AP854" s="40" t="s">
        <v>16</v>
      </c>
      <c r="AQ854" s="40" t="s">
        <v>16</v>
      </c>
      <c r="AR854" s="40" t="s">
        <v>16</v>
      </c>
      <c r="AS854" s="18">
        <v>115</v>
      </c>
      <c r="AT854" s="40" t="s">
        <v>16</v>
      </c>
      <c r="AU854" s="40" t="s">
        <v>16</v>
      </c>
      <c r="AV854" s="18">
        <v>250</v>
      </c>
      <c r="AW854" s="40" t="s">
        <v>16</v>
      </c>
      <c r="AX854" s="40" t="s">
        <v>16</v>
      </c>
      <c r="AY854" s="22"/>
      <c r="AZ854" s="22"/>
      <c r="BA854" s="18">
        <v>0</v>
      </c>
      <c r="BB854" s="18">
        <v>0</v>
      </c>
      <c r="BC854" s="18">
        <v>0</v>
      </c>
      <c r="BD854" s="18">
        <v>0</v>
      </c>
      <c r="BE854" s="18">
        <v>0</v>
      </c>
      <c r="BF854" s="18">
        <v>0</v>
      </c>
      <c r="BG854" s="18">
        <v>0</v>
      </c>
      <c r="BH854" s="18">
        <v>0</v>
      </c>
      <c r="BI854" s="18">
        <v>0</v>
      </c>
      <c r="BJ854" s="18">
        <v>0</v>
      </c>
      <c r="BK854" s="18">
        <v>0</v>
      </c>
      <c r="BL854" s="18">
        <v>0</v>
      </c>
      <c r="BM854" s="18">
        <v>0</v>
      </c>
      <c r="BN854" s="18">
        <v>0</v>
      </c>
      <c r="BO854" s="18">
        <v>0</v>
      </c>
      <c r="BP854" s="113">
        <f>(8.7*1000)/629</f>
        <v>13.831478537360891</v>
      </c>
      <c r="BQ854" s="113">
        <v>11</v>
      </c>
      <c r="BR854" s="101"/>
      <c r="BS854">
        <f t="shared" ref="BS854:CB857" si="1663">IF($C854&lt;&gt;"",IF(D854&gt;0,1,0),0)</f>
        <v>0</v>
      </c>
      <c r="BT854">
        <f t="shared" si="1663"/>
        <v>0</v>
      </c>
      <c r="BU854">
        <f t="shared" si="1663"/>
        <v>0</v>
      </c>
      <c r="BV854">
        <f t="shared" si="1663"/>
        <v>0</v>
      </c>
      <c r="BW854">
        <f t="shared" si="1663"/>
        <v>0</v>
      </c>
      <c r="BX854">
        <f t="shared" si="1663"/>
        <v>0</v>
      </c>
      <c r="BY854">
        <f t="shared" si="1663"/>
        <v>0</v>
      </c>
      <c r="BZ854">
        <f t="shared" si="1663"/>
        <v>0</v>
      </c>
      <c r="CA854">
        <f t="shared" si="1663"/>
        <v>0</v>
      </c>
      <c r="CB854">
        <f t="shared" si="1663"/>
        <v>0</v>
      </c>
      <c r="CC854">
        <f t="shared" ref="CC854:CL857" si="1664">IF($C854&lt;&gt;"",IF(N854&gt;0,1,0),0)</f>
        <v>0</v>
      </c>
      <c r="CD854">
        <f t="shared" si="1664"/>
        <v>0</v>
      </c>
      <c r="CE854">
        <f t="shared" si="1664"/>
        <v>0</v>
      </c>
      <c r="CF854">
        <f t="shared" si="1664"/>
        <v>0</v>
      </c>
      <c r="CG854">
        <f t="shared" si="1664"/>
        <v>0</v>
      </c>
      <c r="CH854">
        <f t="shared" si="1664"/>
        <v>0</v>
      </c>
      <c r="CI854">
        <f t="shared" si="1664"/>
        <v>0</v>
      </c>
      <c r="CJ854">
        <f t="shared" si="1664"/>
        <v>0</v>
      </c>
      <c r="CK854">
        <f t="shared" si="1664"/>
        <v>0</v>
      </c>
      <c r="CL854">
        <f t="shared" si="1664"/>
        <v>0</v>
      </c>
      <c r="CM854">
        <f t="shared" ref="CM854:CV857" si="1665">IF($C854&lt;&gt;"",IF(X854&gt;0,1,0),0)</f>
        <v>0</v>
      </c>
      <c r="CN854">
        <f t="shared" si="1665"/>
        <v>0</v>
      </c>
      <c r="CO854">
        <f t="shared" si="1665"/>
        <v>0</v>
      </c>
      <c r="CP854">
        <f t="shared" si="1665"/>
        <v>0</v>
      </c>
      <c r="CQ854">
        <f t="shared" si="1665"/>
        <v>0</v>
      </c>
      <c r="CR854">
        <f t="shared" si="1665"/>
        <v>0</v>
      </c>
      <c r="CS854">
        <f t="shared" si="1665"/>
        <v>0</v>
      </c>
      <c r="CT854">
        <f t="shared" si="1665"/>
        <v>0</v>
      </c>
      <c r="CU854">
        <f t="shared" si="1665"/>
        <v>0</v>
      </c>
      <c r="CV854">
        <f t="shared" si="1665"/>
        <v>0</v>
      </c>
      <c r="CW854">
        <f t="shared" ref="CW854:DF857" si="1666">IF($C854&lt;&gt;"",IF(AH854&gt;0,1,0),0)</f>
        <v>0</v>
      </c>
      <c r="CX854">
        <f t="shared" si="1666"/>
        <v>0</v>
      </c>
      <c r="CY854">
        <f t="shared" si="1666"/>
        <v>0</v>
      </c>
      <c r="CZ854">
        <f t="shared" si="1666"/>
        <v>0</v>
      </c>
      <c r="DA854">
        <f t="shared" si="1666"/>
        <v>0</v>
      </c>
      <c r="DB854">
        <f t="shared" si="1666"/>
        <v>0</v>
      </c>
      <c r="DC854">
        <f t="shared" si="1666"/>
        <v>0</v>
      </c>
      <c r="DD854">
        <f t="shared" si="1666"/>
        <v>0</v>
      </c>
      <c r="DE854">
        <f t="shared" si="1666"/>
        <v>0</v>
      </c>
      <c r="DF854">
        <f t="shared" si="1666"/>
        <v>0</v>
      </c>
      <c r="DG854">
        <f t="shared" ref="DG854:DP857" si="1667">IF($C854&lt;&gt;"",IF(AR854&gt;0,1,0),0)</f>
        <v>0</v>
      </c>
      <c r="DH854">
        <f t="shared" si="1667"/>
        <v>0</v>
      </c>
      <c r="DI854">
        <f t="shared" si="1667"/>
        <v>0</v>
      </c>
      <c r="DJ854">
        <f t="shared" si="1667"/>
        <v>0</v>
      </c>
      <c r="DK854">
        <f t="shared" si="1667"/>
        <v>0</v>
      </c>
      <c r="DL854">
        <f t="shared" si="1667"/>
        <v>0</v>
      </c>
      <c r="DM854">
        <f t="shared" si="1667"/>
        <v>0</v>
      </c>
      <c r="DN854">
        <f t="shared" si="1667"/>
        <v>0</v>
      </c>
      <c r="DO854">
        <f t="shared" si="1667"/>
        <v>0</v>
      </c>
      <c r="DP854">
        <f t="shared" si="1667"/>
        <v>0</v>
      </c>
      <c r="DQ854">
        <f t="shared" ref="DQ854:DZ857" si="1668">IF($C854&lt;&gt;"",IF(BB854&gt;0,1,0),0)</f>
        <v>0</v>
      </c>
      <c r="DR854">
        <f t="shared" si="1668"/>
        <v>0</v>
      </c>
      <c r="DS854">
        <f t="shared" si="1668"/>
        <v>0</v>
      </c>
      <c r="DT854">
        <f t="shared" si="1668"/>
        <v>0</v>
      </c>
      <c r="DU854">
        <f t="shared" si="1668"/>
        <v>0</v>
      </c>
      <c r="DV854">
        <f t="shared" si="1668"/>
        <v>0</v>
      </c>
      <c r="DW854">
        <f t="shared" si="1668"/>
        <v>0</v>
      </c>
      <c r="DX854">
        <f t="shared" si="1668"/>
        <v>0</v>
      </c>
      <c r="DY854">
        <f t="shared" si="1668"/>
        <v>0</v>
      </c>
      <c r="DZ854">
        <f t="shared" si="1668"/>
        <v>0</v>
      </c>
      <c r="EA854">
        <f t="shared" ref="EA854:EF857" si="1669">IF($C854&lt;&gt;"",IF(BL854&gt;0,1,0),0)</f>
        <v>0</v>
      </c>
      <c r="EB854">
        <f t="shared" si="1669"/>
        <v>0</v>
      </c>
      <c r="EC854">
        <f t="shared" si="1669"/>
        <v>0</v>
      </c>
      <c r="ED854">
        <f t="shared" si="1669"/>
        <v>0</v>
      </c>
      <c r="EE854">
        <f t="shared" si="1669"/>
        <v>0</v>
      </c>
      <c r="EF854">
        <f t="shared" si="1669"/>
        <v>0</v>
      </c>
    </row>
    <row r="855" spans="1:136" ht="15.5">
      <c r="A855" s="90"/>
      <c r="B855" s="19" t="s">
        <v>205</v>
      </c>
      <c r="C855" s="95"/>
      <c r="D855" s="18">
        <v>0</v>
      </c>
      <c r="E855" s="18">
        <v>0</v>
      </c>
      <c r="F855" s="18">
        <v>0</v>
      </c>
      <c r="G855" s="18">
        <v>0</v>
      </c>
      <c r="H855" s="18">
        <v>0</v>
      </c>
      <c r="I855" s="18">
        <v>0</v>
      </c>
      <c r="J855" s="18">
        <v>0</v>
      </c>
      <c r="K855" s="18">
        <v>0</v>
      </c>
      <c r="L855" s="18">
        <v>0</v>
      </c>
      <c r="M855" s="18">
        <v>0</v>
      </c>
      <c r="N855" s="18">
        <v>0</v>
      </c>
      <c r="O855" s="18">
        <v>0</v>
      </c>
      <c r="P855" s="18">
        <v>0</v>
      </c>
      <c r="Q855" s="18">
        <v>0</v>
      </c>
      <c r="R855" s="18">
        <v>0</v>
      </c>
      <c r="S855" s="18">
        <v>0</v>
      </c>
      <c r="T855" s="18">
        <v>0</v>
      </c>
      <c r="U855" s="18">
        <v>0</v>
      </c>
      <c r="V855" s="18">
        <v>0</v>
      </c>
      <c r="W855" s="18">
        <v>0</v>
      </c>
      <c r="X855" s="18">
        <v>0</v>
      </c>
      <c r="Y855" s="18">
        <v>0</v>
      </c>
      <c r="Z855" s="18">
        <v>0</v>
      </c>
      <c r="AA855" s="18">
        <v>0</v>
      </c>
      <c r="AB855" s="18">
        <v>0</v>
      </c>
      <c r="AC855" s="18">
        <v>0</v>
      </c>
      <c r="AD855" s="18">
        <v>0</v>
      </c>
      <c r="AE855" s="18">
        <v>0</v>
      </c>
      <c r="AF855" s="18">
        <v>0</v>
      </c>
      <c r="AG855" s="18">
        <v>0</v>
      </c>
      <c r="AH855" s="18">
        <v>0</v>
      </c>
      <c r="AI855" s="18">
        <v>0</v>
      </c>
      <c r="AJ855" s="18">
        <v>0.95639609999999997</v>
      </c>
      <c r="AK855" s="18">
        <v>0.82727590000000006</v>
      </c>
      <c r="AL855" s="18">
        <v>1.0467736999999999</v>
      </c>
      <c r="AM855" s="71">
        <v>1.111</v>
      </c>
      <c r="AN855" s="18">
        <v>1.34</v>
      </c>
      <c r="AO855" s="18">
        <v>2.024</v>
      </c>
      <c r="AP855" s="18">
        <v>2.8159999999999998</v>
      </c>
      <c r="AQ855" s="18">
        <v>5.2591020000000004</v>
      </c>
      <c r="AR855" s="71">
        <v>4.4619999999999997</v>
      </c>
      <c r="AS855" s="18">
        <v>11.917438199999999</v>
      </c>
      <c r="AT855" s="18">
        <v>0</v>
      </c>
      <c r="AU855" s="71">
        <v>0.96899999999999997</v>
      </c>
      <c r="AV855" s="18">
        <v>0.94899999999999995</v>
      </c>
      <c r="AW855" s="18">
        <v>9.8733400000000007</v>
      </c>
      <c r="AX855" s="18">
        <v>8.6660000000000004</v>
      </c>
      <c r="AY855" s="71">
        <v>9.3326659999999997</v>
      </c>
      <c r="AZ855" s="18">
        <v>15.4895187</v>
      </c>
      <c r="BA855" s="18">
        <v>12.423541</v>
      </c>
      <c r="BB855" s="18">
        <v>13.981873999999999</v>
      </c>
      <c r="BC855" s="18">
        <v>14.716041000000001</v>
      </c>
      <c r="BD855" s="18">
        <v>15.420208000000001</v>
      </c>
      <c r="BE855" s="25">
        <v>15.761041000000001</v>
      </c>
      <c r="BF855" s="18">
        <v>15.760999999999999</v>
      </c>
      <c r="BG855" s="18">
        <v>0</v>
      </c>
      <c r="BH855" s="40">
        <v>0.1756885</v>
      </c>
      <c r="BI855" s="18">
        <v>800</v>
      </c>
      <c r="BJ855" s="71">
        <v>161</v>
      </c>
      <c r="BK855" s="113">
        <v>13.031773300000001</v>
      </c>
      <c r="BL855" s="113">
        <v>5.0641920000000002</v>
      </c>
      <c r="BM855" s="113">
        <v>10.747454400000001</v>
      </c>
      <c r="BN855" s="113">
        <v>0</v>
      </c>
      <c r="BO855" s="113">
        <v>39.616438600000002</v>
      </c>
      <c r="BP855" s="113">
        <v>27.7284966</v>
      </c>
      <c r="BQ855" s="113">
        <v>11</v>
      </c>
      <c r="BR855" s="101"/>
      <c r="BS855">
        <f t="shared" si="1663"/>
        <v>0</v>
      </c>
      <c r="BT855">
        <f t="shared" si="1663"/>
        <v>0</v>
      </c>
      <c r="BU855">
        <f t="shared" si="1663"/>
        <v>0</v>
      </c>
      <c r="BV855">
        <f t="shared" si="1663"/>
        <v>0</v>
      </c>
      <c r="BW855">
        <f t="shared" si="1663"/>
        <v>0</v>
      </c>
      <c r="BX855">
        <f t="shared" si="1663"/>
        <v>0</v>
      </c>
      <c r="BY855">
        <f t="shared" si="1663"/>
        <v>0</v>
      </c>
      <c r="BZ855">
        <f t="shared" si="1663"/>
        <v>0</v>
      </c>
      <c r="CA855">
        <f t="shared" si="1663"/>
        <v>0</v>
      </c>
      <c r="CB855">
        <f t="shared" si="1663"/>
        <v>0</v>
      </c>
      <c r="CC855">
        <f t="shared" si="1664"/>
        <v>0</v>
      </c>
      <c r="CD855">
        <f t="shared" si="1664"/>
        <v>0</v>
      </c>
      <c r="CE855">
        <f t="shared" si="1664"/>
        <v>0</v>
      </c>
      <c r="CF855">
        <f t="shared" si="1664"/>
        <v>0</v>
      </c>
      <c r="CG855">
        <f t="shared" si="1664"/>
        <v>0</v>
      </c>
      <c r="CH855">
        <f t="shared" si="1664"/>
        <v>0</v>
      </c>
      <c r="CI855">
        <f t="shared" si="1664"/>
        <v>0</v>
      </c>
      <c r="CJ855">
        <f t="shared" si="1664"/>
        <v>0</v>
      </c>
      <c r="CK855">
        <f t="shared" si="1664"/>
        <v>0</v>
      </c>
      <c r="CL855">
        <f t="shared" si="1664"/>
        <v>0</v>
      </c>
      <c r="CM855">
        <f t="shared" si="1665"/>
        <v>0</v>
      </c>
      <c r="CN855">
        <f t="shared" si="1665"/>
        <v>0</v>
      </c>
      <c r="CO855">
        <f t="shared" si="1665"/>
        <v>0</v>
      </c>
      <c r="CP855">
        <f t="shared" si="1665"/>
        <v>0</v>
      </c>
      <c r="CQ855">
        <f t="shared" si="1665"/>
        <v>0</v>
      </c>
      <c r="CR855">
        <f t="shared" si="1665"/>
        <v>0</v>
      </c>
      <c r="CS855">
        <f t="shared" si="1665"/>
        <v>0</v>
      </c>
      <c r="CT855">
        <f t="shared" si="1665"/>
        <v>0</v>
      </c>
      <c r="CU855">
        <f t="shared" si="1665"/>
        <v>0</v>
      </c>
      <c r="CV855">
        <f t="shared" si="1665"/>
        <v>0</v>
      </c>
      <c r="CW855">
        <f t="shared" si="1666"/>
        <v>0</v>
      </c>
      <c r="CX855">
        <f t="shared" si="1666"/>
        <v>0</v>
      </c>
      <c r="CY855">
        <f t="shared" si="1666"/>
        <v>0</v>
      </c>
      <c r="CZ855">
        <f t="shared" si="1666"/>
        <v>0</v>
      </c>
      <c r="DA855">
        <f t="shared" si="1666"/>
        <v>0</v>
      </c>
      <c r="DB855">
        <f t="shared" si="1666"/>
        <v>0</v>
      </c>
      <c r="DC855">
        <f t="shared" si="1666"/>
        <v>0</v>
      </c>
      <c r="DD855">
        <f t="shared" si="1666"/>
        <v>0</v>
      </c>
      <c r="DE855">
        <f t="shared" si="1666"/>
        <v>0</v>
      </c>
      <c r="DF855">
        <f t="shared" si="1666"/>
        <v>0</v>
      </c>
      <c r="DG855">
        <f t="shared" si="1667"/>
        <v>0</v>
      </c>
      <c r="DH855">
        <f t="shared" si="1667"/>
        <v>0</v>
      </c>
      <c r="DI855">
        <f t="shared" si="1667"/>
        <v>0</v>
      </c>
      <c r="DJ855">
        <f t="shared" si="1667"/>
        <v>0</v>
      </c>
      <c r="DK855">
        <f t="shared" si="1667"/>
        <v>0</v>
      </c>
      <c r="DL855">
        <f t="shared" si="1667"/>
        <v>0</v>
      </c>
      <c r="DM855">
        <f t="shared" si="1667"/>
        <v>0</v>
      </c>
      <c r="DN855">
        <f t="shared" si="1667"/>
        <v>0</v>
      </c>
      <c r="DO855">
        <f t="shared" si="1667"/>
        <v>0</v>
      </c>
      <c r="DP855">
        <f t="shared" si="1667"/>
        <v>0</v>
      </c>
      <c r="DQ855">
        <f t="shared" si="1668"/>
        <v>0</v>
      </c>
      <c r="DR855">
        <f t="shared" si="1668"/>
        <v>0</v>
      </c>
      <c r="DS855">
        <f t="shared" si="1668"/>
        <v>0</v>
      </c>
      <c r="DT855">
        <f t="shared" si="1668"/>
        <v>0</v>
      </c>
      <c r="DU855">
        <f t="shared" si="1668"/>
        <v>0</v>
      </c>
      <c r="DV855">
        <f t="shared" si="1668"/>
        <v>0</v>
      </c>
      <c r="DW855">
        <f t="shared" si="1668"/>
        <v>0</v>
      </c>
      <c r="DX855">
        <f t="shared" si="1668"/>
        <v>0</v>
      </c>
      <c r="DY855">
        <f t="shared" si="1668"/>
        <v>0</v>
      </c>
      <c r="DZ855">
        <f t="shared" si="1668"/>
        <v>0</v>
      </c>
      <c r="EA855">
        <f t="shared" si="1669"/>
        <v>0</v>
      </c>
      <c r="EB855">
        <f t="shared" si="1669"/>
        <v>0</v>
      </c>
      <c r="EC855">
        <f t="shared" si="1669"/>
        <v>0</v>
      </c>
      <c r="ED855">
        <f t="shared" si="1669"/>
        <v>0</v>
      </c>
      <c r="EE855">
        <f t="shared" si="1669"/>
        <v>0</v>
      </c>
      <c r="EF855">
        <f t="shared" si="1669"/>
        <v>0</v>
      </c>
    </row>
    <row r="856" spans="1:136" ht="15.5">
      <c r="A856" s="90"/>
      <c r="B856" s="57" t="s">
        <v>3</v>
      </c>
      <c r="C856" s="95"/>
      <c r="D856" s="18">
        <v>0</v>
      </c>
      <c r="E856" s="18">
        <v>0</v>
      </c>
      <c r="F856" s="18">
        <v>0</v>
      </c>
      <c r="G856" s="18">
        <v>0</v>
      </c>
      <c r="H856" s="18">
        <v>0</v>
      </c>
      <c r="I856" s="18">
        <v>0</v>
      </c>
      <c r="J856" s="18">
        <v>0</v>
      </c>
      <c r="K856" s="18">
        <v>0</v>
      </c>
      <c r="L856" s="18">
        <v>0</v>
      </c>
      <c r="M856" s="18">
        <v>0</v>
      </c>
      <c r="N856" s="18">
        <v>0</v>
      </c>
      <c r="O856" s="40">
        <v>0.1204485</v>
      </c>
      <c r="P856" s="18">
        <v>0.25846580000000002</v>
      </c>
      <c r="Q856" s="18">
        <v>0.38425480000000006</v>
      </c>
      <c r="R856" s="18">
        <v>0.52655790000000002</v>
      </c>
      <c r="S856" s="18">
        <v>0.59302130000000008</v>
      </c>
      <c r="T856" s="18">
        <v>0.32915330000000004</v>
      </c>
      <c r="U856" s="18">
        <v>0.23880730000000003</v>
      </c>
      <c r="V856" s="18">
        <v>0.7943964</v>
      </c>
      <c r="W856" s="18">
        <v>1.0736123999999998</v>
      </c>
      <c r="X856" s="18">
        <v>1.5201591000000001</v>
      </c>
      <c r="Y856" s="18">
        <v>1.936453</v>
      </c>
      <c r="Z856" s="18">
        <v>0.59399800000000003</v>
      </c>
      <c r="AA856" s="18">
        <v>2.3891768</v>
      </c>
      <c r="AB856" s="18">
        <v>3.3043472999999999</v>
      </c>
      <c r="AC856" s="18">
        <v>2.9592127000000001</v>
      </c>
      <c r="AD856" s="40" t="s">
        <v>16</v>
      </c>
      <c r="AE856" s="18">
        <v>11.2358935</v>
      </c>
      <c r="AF856" s="40" t="s">
        <v>16</v>
      </c>
      <c r="AG856" s="18">
        <v>302.686599</v>
      </c>
      <c r="AH856" s="40" t="s">
        <v>16</v>
      </c>
      <c r="AI856" s="18">
        <v>126.33544760000001</v>
      </c>
      <c r="AJ856" s="18">
        <f>132.9530935-AJ855</f>
        <v>131.99669739999999</v>
      </c>
      <c r="AK856" s="18">
        <f>198.9523662-AK855</f>
        <v>198.12509030000001</v>
      </c>
      <c r="AL856" s="18">
        <f>129-AL855</f>
        <v>127.9532263</v>
      </c>
      <c r="AM856" s="18">
        <f>131.9440735-AM855</f>
        <v>130.83307350000001</v>
      </c>
      <c r="AN856" s="18">
        <f>43-AN855</f>
        <v>41.66</v>
      </c>
      <c r="AO856" s="18">
        <f>117.0834345-AO855</f>
        <v>115.05943449999999</v>
      </c>
      <c r="AP856" s="18">
        <f>119.5526193-AP855</f>
        <v>116.7366193</v>
      </c>
      <c r="AQ856" s="18">
        <f>151.1425747-AQ855</f>
        <v>145.8834727</v>
      </c>
      <c r="AR856" s="18">
        <f>162.7931021-AR855</f>
        <v>158.33110210000001</v>
      </c>
      <c r="AS856" s="18">
        <f>217.3190875-AS854</f>
        <v>102.31908749999999</v>
      </c>
      <c r="AT856" s="18">
        <v>190.05214970000003</v>
      </c>
      <c r="AU856" s="18">
        <f>81.3856325-AU855</f>
        <v>80.416632500000006</v>
      </c>
      <c r="AV856" s="18">
        <f>335.1118887-AV855</f>
        <v>334.1628887</v>
      </c>
      <c r="AW856" s="18">
        <f>112.9627876-AW855</f>
        <v>103.0894476</v>
      </c>
      <c r="AX856" s="18">
        <f>1407.2901632-AX855</f>
        <v>1398.6241632000001</v>
      </c>
      <c r="AY856" s="18">
        <f>90.1014803-AY855</f>
        <v>80.768814300000003</v>
      </c>
      <c r="AZ856" s="18">
        <f>113.658705-AZ855</f>
        <v>98.169186299999993</v>
      </c>
      <c r="BA856" s="18">
        <f>74.0173159-BA855</f>
        <v>61.5937749</v>
      </c>
      <c r="BB856" s="18">
        <f>90.6649083-BB855</f>
        <v>76.683034299999989</v>
      </c>
      <c r="BC856" s="18">
        <f>96.3810882-BC855</f>
        <v>81.665047199999989</v>
      </c>
      <c r="BD856" s="18">
        <f>98.5041878-BD855</f>
        <v>83.083979799999994</v>
      </c>
      <c r="BE856" s="25">
        <f>102.3671244-BE855</f>
        <v>86.606083399999989</v>
      </c>
      <c r="BF856" s="18">
        <f>108.4539794-BF855</f>
        <v>92.692979399999999</v>
      </c>
      <c r="BG856" s="18">
        <f>50.8122891+183</f>
        <v>233.81228909999999</v>
      </c>
      <c r="BH856" s="18">
        <v>53.384649100000004</v>
      </c>
      <c r="BI856" s="18">
        <v>85.323769099999993</v>
      </c>
      <c r="BJ856" s="18">
        <v>122.31531609999999</v>
      </c>
      <c r="BK856" s="34">
        <f>162.6276688-BK855</f>
        <v>149.59589550000001</v>
      </c>
      <c r="BL856" s="113">
        <f>73.9733554-BL855</f>
        <v>68.909163399999997</v>
      </c>
      <c r="BM856" s="113">
        <f>81.0008549-BM855</f>
        <v>70.253400499999998</v>
      </c>
      <c r="BN856" s="113">
        <v>57.962396599999998</v>
      </c>
      <c r="BO856" s="113">
        <f>178-BO855</f>
        <v>138.38356139999999</v>
      </c>
      <c r="BP856" s="113">
        <f>(12.9*1000)/629</f>
        <v>20.508744038155804</v>
      </c>
      <c r="BQ856" s="113">
        <v>22</v>
      </c>
      <c r="BR856" s="101"/>
      <c r="BS856">
        <f t="shared" si="1663"/>
        <v>0</v>
      </c>
      <c r="BT856">
        <f t="shared" si="1663"/>
        <v>0</v>
      </c>
      <c r="BU856">
        <f t="shared" si="1663"/>
        <v>0</v>
      </c>
      <c r="BV856">
        <f t="shared" si="1663"/>
        <v>0</v>
      </c>
      <c r="BW856">
        <f t="shared" si="1663"/>
        <v>0</v>
      </c>
      <c r="BX856">
        <f t="shared" si="1663"/>
        <v>0</v>
      </c>
      <c r="BY856">
        <f t="shared" si="1663"/>
        <v>0</v>
      </c>
      <c r="BZ856">
        <f t="shared" si="1663"/>
        <v>0</v>
      </c>
      <c r="CA856">
        <f t="shared" si="1663"/>
        <v>0</v>
      </c>
      <c r="CB856">
        <f t="shared" si="1663"/>
        <v>0</v>
      </c>
      <c r="CC856">
        <f t="shared" si="1664"/>
        <v>0</v>
      </c>
      <c r="CD856">
        <f t="shared" si="1664"/>
        <v>0</v>
      </c>
      <c r="CE856">
        <f t="shared" si="1664"/>
        <v>0</v>
      </c>
      <c r="CF856">
        <f t="shared" si="1664"/>
        <v>0</v>
      </c>
      <c r="CG856">
        <f t="shared" si="1664"/>
        <v>0</v>
      </c>
      <c r="CH856">
        <f t="shared" si="1664"/>
        <v>0</v>
      </c>
      <c r="CI856">
        <f t="shared" si="1664"/>
        <v>0</v>
      </c>
      <c r="CJ856">
        <f t="shared" si="1664"/>
        <v>0</v>
      </c>
      <c r="CK856">
        <f t="shared" si="1664"/>
        <v>0</v>
      </c>
      <c r="CL856">
        <f t="shared" si="1664"/>
        <v>0</v>
      </c>
      <c r="CM856">
        <f t="shared" si="1665"/>
        <v>0</v>
      </c>
      <c r="CN856">
        <f t="shared" si="1665"/>
        <v>0</v>
      </c>
      <c r="CO856">
        <f t="shared" si="1665"/>
        <v>0</v>
      </c>
      <c r="CP856">
        <f t="shared" si="1665"/>
        <v>0</v>
      </c>
      <c r="CQ856">
        <f t="shared" si="1665"/>
        <v>0</v>
      </c>
      <c r="CR856">
        <f t="shared" si="1665"/>
        <v>0</v>
      </c>
      <c r="CS856">
        <f t="shared" si="1665"/>
        <v>0</v>
      </c>
      <c r="CT856">
        <f t="shared" si="1665"/>
        <v>0</v>
      </c>
      <c r="CU856">
        <f t="shared" si="1665"/>
        <v>0</v>
      </c>
      <c r="CV856">
        <f t="shared" si="1665"/>
        <v>0</v>
      </c>
      <c r="CW856">
        <f t="shared" si="1666"/>
        <v>0</v>
      </c>
      <c r="CX856">
        <f t="shared" si="1666"/>
        <v>0</v>
      </c>
      <c r="CY856">
        <f t="shared" si="1666"/>
        <v>0</v>
      </c>
      <c r="CZ856">
        <f t="shared" si="1666"/>
        <v>0</v>
      </c>
      <c r="DA856">
        <f t="shared" si="1666"/>
        <v>0</v>
      </c>
      <c r="DB856">
        <f t="shared" si="1666"/>
        <v>0</v>
      </c>
      <c r="DC856">
        <f t="shared" si="1666"/>
        <v>0</v>
      </c>
      <c r="DD856">
        <f t="shared" si="1666"/>
        <v>0</v>
      </c>
      <c r="DE856">
        <f t="shared" si="1666"/>
        <v>0</v>
      </c>
      <c r="DF856">
        <f t="shared" si="1666"/>
        <v>0</v>
      </c>
      <c r="DG856">
        <f t="shared" si="1667"/>
        <v>0</v>
      </c>
      <c r="DH856">
        <f t="shared" si="1667"/>
        <v>0</v>
      </c>
      <c r="DI856">
        <f t="shared" si="1667"/>
        <v>0</v>
      </c>
      <c r="DJ856">
        <f t="shared" si="1667"/>
        <v>0</v>
      </c>
      <c r="DK856">
        <f t="shared" si="1667"/>
        <v>0</v>
      </c>
      <c r="DL856">
        <f t="shared" si="1667"/>
        <v>0</v>
      </c>
      <c r="DM856">
        <f t="shared" si="1667"/>
        <v>0</v>
      </c>
      <c r="DN856">
        <f t="shared" si="1667"/>
        <v>0</v>
      </c>
      <c r="DO856">
        <f t="shared" si="1667"/>
        <v>0</v>
      </c>
      <c r="DP856">
        <f t="shared" si="1667"/>
        <v>0</v>
      </c>
      <c r="DQ856">
        <f t="shared" si="1668"/>
        <v>0</v>
      </c>
      <c r="DR856">
        <f t="shared" si="1668"/>
        <v>0</v>
      </c>
      <c r="DS856">
        <f t="shared" si="1668"/>
        <v>0</v>
      </c>
      <c r="DT856">
        <f t="shared" si="1668"/>
        <v>0</v>
      </c>
      <c r="DU856">
        <f t="shared" si="1668"/>
        <v>0</v>
      </c>
      <c r="DV856">
        <f t="shared" si="1668"/>
        <v>0</v>
      </c>
      <c r="DW856">
        <f t="shared" si="1668"/>
        <v>0</v>
      </c>
      <c r="DX856">
        <f t="shared" si="1668"/>
        <v>0</v>
      </c>
      <c r="DY856">
        <f t="shared" si="1668"/>
        <v>0</v>
      </c>
      <c r="DZ856">
        <f t="shared" si="1668"/>
        <v>0</v>
      </c>
      <c r="EA856">
        <f t="shared" si="1669"/>
        <v>0</v>
      </c>
      <c r="EB856">
        <f t="shared" si="1669"/>
        <v>0</v>
      </c>
      <c r="EC856">
        <f t="shared" si="1669"/>
        <v>0</v>
      </c>
      <c r="ED856">
        <f t="shared" si="1669"/>
        <v>0</v>
      </c>
      <c r="EE856">
        <f t="shared" si="1669"/>
        <v>0</v>
      </c>
      <c r="EF856">
        <f t="shared" si="1669"/>
        <v>0</v>
      </c>
    </row>
    <row r="857" spans="1:136" ht="15.5">
      <c r="A857" s="90"/>
      <c r="B857" s="19" t="s">
        <v>18</v>
      </c>
      <c r="C857" s="95"/>
      <c r="D857" s="18">
        <v>0</v>
      </c>
      <c r="E857" s="18">
        <v>0</v>
      </c>
      <c r="F857" s="18">
        <v>0</v>
      </c>
      <c r="G857" s="18">
        <v>0</v>
      </c>
      <c r="H857" s="18">
        <v>0</v>
      </c>
      <c r="I857" s="18">
        <v>0</v>
      </c>
      <c r="J857" s="18">
        <v>0</v>
      </c>
      <c r="K857" s="18">
        <v>0</v>
      </c>
      <c r="L857" s="18">
        <v>0</v>
      </c>
      <c r="M857" s="18">
        <v>0</v>
      </c>
      <c r="N857" s="18">
        <v>0</v>
      </c>
      <c r="O857" s="18">
        <v>0</v>
      </c>
      <c r="P857" s="18">
        <v>0</v>
      </c>
      <c r="Q857" s="18">
        <v>0</v>
      </c>
      <c r="R857" s="18">
        <v>0</v>
      </c>
      <c r="S857" s="18">
        <v>0</v>
      </c>
      <c r="T857" s="18">
        <v>0</v>
      </c>
      <c r="U857" s="18">
        <v>0</v>
      </c>
      <c r="V857" s="18">
        <v>0</v>
      </c>
      <c r="W857" s="18">
        <v>0</v>
      </c>
      <c r="X857" s="18">
        <v>0</v>
      </c>
      <c r="Y857" s="18">
        <v>0</v>
      </c>
      <c r="Z857" s="18">
        <v>0</v>
      </c>
      <c r="AA857" s="18">
        <v>0</v>
      </c>
      <c r="AB857" s="18">
        <v>27</v>
      </c>
      <c r="AC857" s="18">
        <v>0</v>
      </c>
      <c r="AD857" s="18">
        <v>52</v>
      </c>
      <c r="AE857" s="18">
        <v>104.488357119375</v>
      </c>
      <c r="AF857" s="18">
        <v>106.079550375</v>
      </c>
      <c r="AG857" s="18">
        <v>107.694975</v>
      </c>
      <c r="AH857" s="18">
        <v>109.33499999999999</v>
      </c>
      <c r="AI857" s="18">
        <v>117</v>
      </c>
      <c r="AJ857" s="18">
        <v>0</v>
      </c>
      <c r="AK857" s="18">
        <v>0</v>
      </c>
      <c r="AL857" s="18">
        <v>0</v>
      </c>
      <c r="AM857" s="18">
        <v>0</v>
      </c>
      <c r="AN857" s="18">
        <v>0</v>
      </c>
      <c r="AO857" s="18">
        <v>0</v>
      </c>
      <c r="AP857" s="18">
        <v>0</v>
      </c>
      <c r="AQ857" s="18">
        <v>0</v>
      </c>
      <c r="AR857" s="18">
        <v>0</v>
      </c>
      <c r="AS857" s="18">
        <v>0</v>
      </c>
      <c r="AT857" s="18">
        <v>0</v>
      </c>
      <c r="AU857" s="18">
        <v>0</v>
      </c>
      <c r="AV857" s="18">
        <v>0</v>
      </c>
      <c r="AW857" s="18">
        <v>0</v>
      </c>
      <c r="AX857" s="18">
        <v>0</v>
      </c>
      <c r="AY857" s="18">
        <v>0</v>
      </c>
      <c r="AZ857" s="18">
        <v>0</v>
      </c>
      <c r="BA857" s="18">
        <v>0</v>
      </c>
      <c r="BB857" s="18">
        <v>0</v>
      </c>
      <c r="BC857" s="18">
        <v>0</v>
      </c>
      <c r="BD857" s="18">
        <v>0</v>
      </c>
      <c r="BE857" s="25">
        <v>0</v>
      </c>
      <c r="BF857" s="18">
        <v>0</v>
      </c>
      <c r="BG857" s="18">
        <v>0</v>
      </c>
      <c r="BH857" s="18">
        <v>0</v>
      </c>
      <c r="BI857" s="18">
        <v>0</v>
      </c>
      <c r="BJ857" s="113">
        <v>0</v>
      </c>
      <c r="BK857" s="113">
        <v>0</v>
      </c>
      <c r="BL857" s="113">
        <v>0</v>
      </c>
      <c r="BM857" s="113">
        <v>0</v>
      </c>
      <c r="BN857" s="113">
        <v>0</v>
      </c>
      <c r="BO857" s="18">
        <v>0</v>
      </c>
      <c r="BP857" s="113">
        <v>0</v>
      </c>
      <c r="BQ857" s="113">
        <v>0</v>
      </c>
      <c r="BR857" s="101"/>
      <c r="BS857">
        <f t="shared" si="1663"/>
        <v>0</v>
      </c>
      <c r="BT857">
        <f t="shared" si="1663"/>
        <v>0</v>
      </c>
      <c r="BU857">
        <f t="shared" si="1663"/>
        <v>0</v>
      </c>
      <c r="BV857">
        <f t="shared" si="1663"/>
        <v>0</v>
      </c>
      <c r="BW857">
        <f t="shared" si="1663"/>
        <v>0</v>
      </c>
      <c r="BX857">
        <f t="shared" si="1663"/>
        <v>0</v>
      </c>
      <c r="BY857">
        <f t="shared" si="1663"/>
        <v>0</v>
      </c>
      <c r="BZ857">
        <f t="shared" si="1663"/>
        <v>0</v>
      </c>
      <c r="CA857">
        <f t="shared" si="1663"/>
        <v>0</v>
      </c>
      <c r="CB857">
        <f t="shared" si="1663"/>
        <v>0</v>
      </c>
      <c r="CC857">
        <f t="shared" si="1664"/>
        <v>0</v>
      </c>
      <c r="CD857">
        <f t="shared" si="1664"/>
        <v>0</v>
      </c>
      <c r="CE857">
        <f t="shared" si="1664"/>
        <v>0</v>
      </c>
      <c r="CF857">
        <f t="shared" si="1664"/>
        <v>0</v>
      </c>
      <c r="CG857">
        <f t="shared" si="1664"/>
        <v>0</v>
      </c>
      <c r="CH857">
        <f t="shared" si="1664"/>
        <v>0</v>
      </c>
      <c r="CI857">
        <f t="shared" si="1664"/>
        <v>0</v>
      </c>
      <c r="CJ857">
        <f t="shared" si="1664"/>
        <v>0</v>
      </c>
      <c r="CK857">
        <f t="shared" si="1664"/>
        <v>0</v>
      </c>
      <c r="CL857">
        <f t="shared" si="1664"/>
        <v>0</v>
      </c>
      <c r="CM857">
        <f t="shared" si="1665"/>
        <v>0</v>
      </c>
      <c r="CN857">
        <f t="shared" si="1665"/>
        <v>0</v>
      </c>
      <c r="CO857">
        <f t="shared" si="1665"/>
        <v>0</v>
      </c>
      <c r="CP857">
        <f t="shared" si="1665"/>
        <v>0</v>
      </c>
      <c r="CQ857">
        <f t="shared" si="1665"/>
        <v>0</v>
      </c>
      <c r="CR857">
        <f t="shared" si="1665"/>
        <v>0</v>
      </c>
      <c r="CS857">
        <f t="shared" si="1665"/>
        <v>0</v>
      </c>
      <c r="CT857">
        <f t="shared" si="1665"/>
        <v>0</v>
      </c>
      <c r="CU857">
        <f t="shared" si="1665"/>
        <v>0</v>
      </c>
      <c r="CV857">
        <f t="shared" si="1665"/>
        <v>0</v>
      </c>
      <c r="CW857">
        <f t="shared" si="1666"/>
        <v>0</v>
      </c>
      <c r="CX857">
        <f t="shared" si="1666"/>
        <v>0</v>
      </c>
      <c r="CY857">
        <f t="shared" si="1666"/>
        <v>0</v>
      </c>
      <c r="CZ857">
        <f t="shared" si="1666"/>
        <v>0</v>
      </c>
      <c r="DA857">
        <f t="shared" si="1666"/>
        <v>0</v>
      </c>
      <c r="DB857">
        <f t="shared" si="1666"/>
        <v>0</v>
      </c>
      <c r="DC857">
        <f t="shared" si="1666"/>
        <v>0</v>
      </c>
      <c r="DD857">
        <f t="shared" si="1666"/>
        <v>0</v>
      </c>
      <c r="DE857">
        <f t="shared" si="1666"/>
        <v>0</v>
      </c>
      <c r="DF857">
        <f t="shared" si="1666"/>
        <v>0</v>
      </c>
      <c r="DG857">
        <f t="shared" si="1667"/>
        <v>0</v>
      </c>
      <c r="DH857">
        <f t="shared" si="1667"/>
        <v>0</v>
      </c>
      <c r="DI857">
        <f t="shared" si="1667"/>
        <v>0</v>
      </c>
      <c r="DJ857">
        <f t="shared" si="1667"/>
        <v>0</v>
      </c>
      <c r="DK857">
        <f t="shared" si="1667"/>
        <v>0</v>
      </c>
      <c r="DL857">
        <f t="shared" si="1667"/>
        <v>0</v>
      </c>
      <c r="DM857">
        <f t="shared" si="1667"/>
        <v>0</v>
      </c>
      <c r="DN857">
        <f t="shared" si="1667"/>
        <v>0</v>
      </c>
      <c r="DO857">
        <f t="shared" si="1667"/>
        <v>0</v>
      </c>
      <c r="DP857">
        <f t="shared" si="1667"/>
        <v>0</v>
      </c>
      <c r="DQ857">
        <f t="shared" si="1668"/>
        <v>0</v>
      </c>
      <c r="DR857">
        <f t="shared" si="1668"/>
        <v>0</v>
      </c>
      <c r="DS857">
        <f t="shared" si="1668"/>
        <v>0</v>
      </c>
      <c r="DT857">
        <f t="shared" si="1668"/>
        <v>0</v>
      </c>
      <c r="DU857">
        <f t="shared" si="1668"/>
        <v>0</v>
      </c>
      <c r="DV857">
        <f t="shared" si="1668"/>
        <v>0</v>
      </c>
      <c r="DW857">
        <f t="shared" si="1668"/>
        <v>0</v>
      </c>
      <c r="DX857">
        <f t="shared" si="1668"/>
        <v>0</v>
      </c>
      <c r="DY857">
        <f t="shared" si="1668"/>
        <v>0</v>
      </c>
      <c r="DZ857">
        <f t="shared" si="1668"/>
        <v>0</v>
      </c>
      <c r="EA857">
        <f t="shared" si="1669"/>
        <v>0</v>
      </c>
      <c r="EB857">
        <f t="shared" si="1669"/>
        <v>0</v>
      </c>
      <c r="EC857">
        <f t="shared" si="1669"/>
        <v>0</v>
      </c>
      <c r="ED857">
        <f t="shared" si="1669"/>
        <v>0</v>
      </c>
      <c r="EE857">
        <f t="shared" si="1669"/>
        <v>0</v>
      </c>
      <c r="EF857">
        <f t="shared" si="1669"/>
        <v>0</v>
      </c>
    </row>
    <row r="858" spans="1:136" ht="15.5">
      <c r="A858" s="90"/>
      <c r="B858" s="53" t="s">
        <v>25</v>
      </c>
      <c r="C858" s="95"/>
      <c r="D858" s="113">
        <v>0</v>
      </c>
      <c r="E858" s="113">
        <v>0</v>
      </c>
      <c r="F858" s="113">
        <v>0</v>
      </c>
      <c r="G858" s="113">
        <v>0</v>
      </c>
      <c r="H858" s="113">
        <v>0</v>
      </c>
      <c r="I858" s="113">
        <v>0</v>
      </c>
      <c r="J858" s="113">
        <v>0</v>
      </c>
      <c r="K858" s="113">
        <v>0</v>
      </c>
      <c r="L858" s="113">
        <v>0</v>
      </c>
      <c r="M858" s="113">
        <v>0</v>
      </c>
      <c r="N858" s="113">
        <v>0</v>
      </c>
      <c r="O858" s="113">
        <v>0</v>
      </c>
      <c r="P858" s="113">
        <v>0</v>
      </c>
      <c r="Q858" s="113">
        <v>0</v>
      </c>
      <c r="R858" s="113">
        <v>0</v>
      </c>
      <c r="S858" s="113">
        <v>0</v>
      </c>
      <c r="T858" s="113">
        <v>0</v>
      </c>
      <c r="U858" s="113">
        <v>0</v>
      </c>
      <c r="V858" s="113">
        <v>0</v>
      </c>
      <c r="W858" s="113">
        <v>0</v>
      </c>
      <c r="X858" s="113">
        <v>0</v>
      </c>
      <c r="Y858" s="113">
        <v>0</v>
      </c>
      <c r="Z858" s="113">
        <v>0</v>
      </c>
      <c r="AA858" s="113">
        <v>0</v>
      </c>
      <c r="AB858" s="113">
        <v>0</v>
      </c>
      <c r="AC858" s="113">
        <v>0</v>
      </c>
      <c r="AD858" s="113">
        <v>0</v>
      </c>
      <c r="AE858" s="113">
        <v>0</v>
      </c>
      <c r="AF858" s="113">
        <v>0</v>
      </c>
      <c r="AG858" s="113">
        <v>0</v>
      </c>
      <c r="AH858" s="113">
        <v>0</v>
      </c>
      <c r="AI858" s="113">
        <v>0</v>
      </c>
      <c r="AJ858" s="113">
        <v>0</v>
      </c>
      <c r="AK858" s="113">
        <v>0</v>
      </c>
      <c r="AL858" s="113">
        <v>0</v>
      </c>
      <c r="AM858" s="113">
        <v>0</v>
      </c>
      <c r="AN858" s="113">
        <v>0</v>
      </c>
      <c r="AO858" s="113">
        <v>0</v>
      </c>
      <c r="AP858" s="113">
        <v>0</v>
      </c>
      <c r="AQ858" s="113">
        <v>0</v>
      </c>
      <c r="AR858" s="113">
        <v>0</v>
      </c>
      <c r="AS858" s="113">
        <v>0</v>
      </c>
      <c r="AT858" s="113">
        <v>0</v>
      </c>
      <c r="AU858" s="113">
        <v>0</v>
      </c>
      <c r="AV858" s="113">
        <v>0</v>
      </c>
      <c r="AW858" s="113">
        <v>0</v>
      </c>
      <c r="AX858" s="113">
        <v>0</v>
      </c>
      <c r="AY858" s="113">
        <v>0</v>
      </c>
      <c r="AZ858" s="113">
        <v>0</v>
      </c>
      <c r="BA858" s="113">
        <v>0</v>
      </c>
      <c r="BB858" s="113">
        <v>0</v>
      </c>
      <c r="BC858" s="113">
        <v>0</v>
      </c>
      <c r="BD858" s="113">
        <v>0</v>
      </c>
      <c r="BE858" s="113">
        <v>0</v>
      </c>
      <c r="BF858" s="113">
        <v>0</v>
      </c>
      <c r="BG858" s="113">
        <v>0</v>
      </c>
      <c r="BH858" s="113">
        <v>0</v>
      </c>
      <c r="BI858" s="113">
        <v>0</v>
      </c>
      <c r="BJ858" s="113">
        <v>0</v>
      </c>
      <c r="BK858" s="113">
        <v>0</v>
      </c>
      <c r="BL858" s="113">
        <v>0</v>
      </c>
      <c r="BM858" s="113">
        <v>0</v>
      </c>
      <c r="BN858" s="113">
        <v>0</v>
      </c>
      <c r="BO858" s="18">
        <v>497</v>
      </c>
      <c r="BP858" s="113">
        <v>0</v>
      </c>
      <c r="BQ858" s="113">
        <v>0</v>
      </c>
      <c r="BR858" s="101"/>
      <c r="EA858">
        <f t="shared" ref="EA858:EC860" si="1670">IF($C858&lt;&gt;"",IF(BL858&gt;0,1,0),0)</f>
        <v>0</v>
      </c>
      <c r="EB858">
        <f t="shared" si="1670"/>
        <v>0</v>
      </c>
      <c r="EC858">
        <f t="shared" si="1670"/>
        <v>0</v>
      </c>
    </row>
    <row r="859" spans="1:136" ht="15.5">
      <c r="A859" s="90"/>
      <c r="B859" s="19" t="s">
        <v>208</v>
      </c>
      <c r="C859" s="95"/>
      <c r="D859" s="18">
        <v>0</v>
      </c>
      <c r="E859" s="18">
        <v>0</v>
      </c>
      <c r="F859" s="18">
        <v>0</v>
      </c>
      <c r="G859" s="18">
        <v>0</v>
      </c>
      <c r="H859" s="18">
        <v>0</v>
      </c>
      <c r="I859" s="18">
        <v>0</v>
      </c>
      <c r="J859" s="18">
        <v>0</v>
      </c>
      <c r="K859" s="18">
        <v>0</v>
      </c>
      <c r="L859" s="18">
        <v>0</v>
      </c>
      <c r="M859" s="18">
        <v>0</v>
      </c>
      <c r="N859" s="18">
        <v>0</v>
      </c>
      <c r="O859" s="18">
        <v>0</v>
      </c>
      <c r="P859" s="18">
        <v>0</v>
      </c>
      <c r="Q859" s="18">
        <v>0</v>
      </c>
      <c r="R859" s="18">
        <v>0</v>
      </c>
      <c r="S859" s="18">
        <v>0.17456279999999999</v>
      </c>
      <c r="T859" s="18">
        <v>0.52256059999999993</v>
      </c>
      <c r="U859" s="18">
        <v>0</v>
      </c>
      <c r="V859" s="18">
        <v>0</v>
      </c>
      <c r="W859" s="18">
        <v>0.25351070000000003</v>
      </c>
      <c r="X859" s="18">
        <v>4.6058500000000002E-2</v>
      </c>
      <c r="Y859" s="18">
        <v>0.63126400000000005</v>
      </c>
      <c r="Z859" s="18">
        <v>0.57888530000000005</v>
      </c>
      <c r="AA859" s="18">
        <v>2.7271559000000005</v>
      </c>
      <c r="AB859" s="18">
        <v>0</v>
      </c>
      <c r="AC859" s="18">
        <v>5.5087080000000004</v>
      </c>
      <c r="AD859" s="18">
        <v>2.7420799999999999E-2</v>
      </c>
      <c r="AE859" s="18">
        <v>0.1170165</v>
      </c>
      <c r="AF859" s="18">
        <v>4.2999999999999997E-2</v>
      </c>
      <c r="AG859" s="18">
        <v>36.032887000000002</v>
      </c>
      <c r="AH859" s="18">
        <v>57.075263499999998</v>
      </c>
      <c r="AI859" s="18">
        <v>0.48048889999999994</v>
      </c>
      <c r="AJ859" s="18">
        <v>0.62445600000000001</v>
      </c>
      <c r="AK859" s="18">
        <v>1.0635015999999999</v>
      </c>
      <c r="AL859" s="18">
        <v>1.1027558</v>
      </c>
      <c r="AM859" s="18">
        <v>0</v>
      </c>
      <c r="AN859" s="18">
        <v>0</v>
      </c>
      <c r="AO859" s="18">
        <v>0</v>
      </c>
      <c r="AP859" s="18">
        <v>0</v>
      </c>
      <c r="AQ859" s="18">
        <v>0</v>
      </c>
      <c r="AR859" s="18">
        <v>3.4000000000000002E-2</v>
      </c>
      <c r="AS859" s="18">
        <v>0.312</v>
      </c>
      <c r="AT859" s="18">
        <v>0</v>
      </c>
      <c r="AU859" s="18">
        <v>0</v>
      </c>
      <c r="AV859" s="18">
        <v>0.11799999999999999</v>
      </c>
      <c r="AW859" s="18">
        <v>6.5000000000000002E-2</v>
      </c>
      <c r="AX859" s="18">
        <v>0.109</v>
      </c>
      <c r="AY859" s="18">
        <v>0.153</v>
      </c>
      <c r="AZ859" s="18">
        <v>0.229654</v>
      </c>
      <c r="BA859" s="18">
        <v>0.229654</v>
      </c>
      <c r="BB859" s="18">
        <v>0.66276400000000002</v>
      </c>
      <c r="BC859" s="18">
        <v>0</v>
      </c>
      <c r="BD859" s="18">
        <v>0</v>
      </c>
      <c r="BE859" s="25">
        <v>0</v>
      </c>
      <c r="BF859" s="18">
        <v>0</v>
      </c>
      <c r="BG859" s="18">
        <v>0</v>
      </c>
      <c r="BH859" s="18">
        <v>0</v>
      </c>
      <c r="BI859" s="18">
        <v>0</v>
      </c>
      <c r="BJ859" s="113">
        <v>0</v>
      </c>
      <c r="BK859" s="113">
        <v>0</v>
      </c>
      <c r="BL859" s="113">
        <v>0</v>
      </c>
      <c r="BM859" s="113">
        <v>0</v>
      </c>
      <c r="BN859" s="113">
        <v>0</v>
      </c>
      <c r="BO859" s="18">
        <v>0</v>
      </c>
      <c r="BP859" s="113">
        <f>(17.4*1000)/629</f>
        <v>27.662957074721781</v>
      </c>
      <c r="BQ859" s="113">
        <v>0</v>
      </c>
      <c r="BR859" s="101"/>
      <c r="BS859">
        <f t="shared" ref="BS859:CB860" si="1671">IF($C859&lt;&gt;"",IF(D859&gt;0,1,0),0)</f>
        <v>0</v>
      </c>
      <c r="BT859">
        <f t="shared" si="1671"/>
        <v>0</v>
      </c>
      <c r="BU859">
        <f t="shared" si="1671"/>
        <v>0</v>
      </c>
      <c r="BV859">
        <f t="shared" si="1671"/>
        <v>0</v>
      </c>
      <c r="BW859">
        <f t="shared" si="1671"/>
        <v>0</v>
      </c>
      <c r="BX859">
        <f t="shared" si="1671"/>
        <v>0</v>
      </c>
      <c r="BY859">
        <f t="shared" si="1671"/>
        <v>0</v>
      </c>
      <c r="BZ859">
        <f t="shared" si="1671"/>
        <v>0</v>
      </c>
      <c r="CA859">
        <f t="shared" si="1671"/>
        <v>0</v>
      </c>
      <c r="CB859">
        <f t="shared" si="1671"/>
        <v>0</v>
      </c>
      <c r="CC859">
        <f t="shared" ref="CC859:CL860" si="1672">IF($C859&lt;&gt;"",IF(N859&gt;0,1,0),0)</f>
        <v>0</v>
      </c>
      <c r="CD859">
        <f t="shared" si="1672"/>
        <v>0</v>
      </c>
      <c r="CE859">
        <f t="shared" si="1672"/>
        <v>0</v>
      </c>
      <c r="CF859">
        <f t="shared" si="1672"/>
        <v>0</v>
      </c>
      <c r="CG859">
        <f t="shared" si="1672"/>
        <v>0</v>
      </c>
      <c r="CH859">
        <f t="shared" si="1672"/>
        <v>0</v>
      </c>
      <c r="CI859">
        <f t="shared" si="1672"/>
        <v>0</v>
      </c>
      <c r="CJ859">
        <f t="shared" si="1672"/>
        <v>0</v>
      </c>
      <c r="CK859">
        <f t="shared" si="1672"/>
        <v>0</v>
      </c>
      <c r="CL859">
        <f t="shared" si="1672"/>
        <v>0</v>
      </c>
      <c r="CM859">
        <f t="shared" ref="CM859:CV860" si="1673">IF($C859&lt;&gt;"",IF(X859&gt;0,1,0),0)</f>
        <v>0</v>
      </c>
      <c r="CN859">
        <f t="shared" si="1673"/>
        <v>0</v>
      </c>
      <c r="CO859">
        <f t="shared" si="1673"/>
        <v>0</v>
      </c>
      <c r="CP859">
        <f t="shared" si="1673"/>
        <v>0</v>
      </c>
      <c r="CQ859">
        <f t="shared" si="1673"/>
        <v>0</v>
      </c>
      <c r="CR859">
        <f t="shared" si="1673"/>
        <v>0</v>
      </c>
      <c r="CS859">
        <f t="shared" si="1673"/>
        <v>0</v>
      </c>
      <c r="CT859">
        <f t="shared" si="1673"/>
        <v>0</v>
      </c>
      <c r="CU859">
        <f t="shared" si="1673"/>
        <v>0</v>
      </c>
      <c r="CV859">
        <f t="shared" si="1673"/>
        <v>0</v>
      </c>
      <c r="CW859">
        <f t="shared" ref="CW859:DF860" si="1674">IF($C859&lt;&gt;"",IF(AH859&gt;0,1,0),0)</f>
        <v>0</v>
      </c>
      <c r="CX859">
        <f t="shared" si="1674"/>
        <v>0</v>
      </c>
      <c r="CY859">
        <f t="shared" si="1674"/>
        <v>0</v>
      </c>
      <c r="CZ859">
        <f t="shared" si="1674"/>
        <v>0</v>
      </c>
      <c r="DA859">
        <f t="shared" si="1674"/>
        <v>0</v>
      </c>
      <c r="DB859">
        <f t="shared" si="1674"/>
        <v>0</v>
      </c>
      <c r="DC859">
        <f t="shared" si="1674"/>
        <v>0</v>
      </c>
      <c r="DD859">
        <f t="shared" si="1674"/>
        <v>0</v>
      </c>
      <c r="DE859">
        <f t="shared" si="1674"/>
        <v>0</v>
      </c>
      <c r="DF859">
        <f t="shared" si="1674"/>
        <v>0</v>
      </c>
      <c r="DG859">
        <f t="shared" ref="DG859:DP860" si="1675">IF($C859&lt;&gt;"",IF(AR859&gt;0,1,0),0)</f>
        <v>0</v>
      </c>
      <c r="DH859">
        <f t="shared" si="1675"/>
        <v>0</v>
      </c>
      <c r="DI859">
        <f t="shared" si="1675"/>
        <v>0</v>
      </c>
      <c r="DJ859">
        <f t="shared" si="1675"/>
        <v>0</v>
      </c>
      <c r="DK859">
        <f t="shared" si="1675"/>
        <v>0</v>
      </c>
      <c r="DL859">
        <f t="shared" si="1675"/>
        <v>0</v>
      </c>
      <c r="DM859">
        <f t="shared" si="1675"/>
        <v>0</v>
      </c>
      <c r="DN859">
        <f t="shared" si="1675"/>
        <v>0</v>
      </c>
      <c r="DO859">
        <f t="shared" si="1675"/>
        <v>0</v>
      </c>
      <c r="DP859">
        <f t="shared" si="1675"/>
        <v>0</v>
      </c>
      <c r="DQ859">
        <f t="shared" ref="DQ859:DZ860" si="1676">IF($C859&lt;&gt;"",IF(BB859&gt;0,1,0),0)</f>
        <v>0</v>
      </c>
      <c r="DR859">
        <f t="shared" si="1676"/>
        <v>0</v>
      </c>
      <c r="DS859">
        <f t="shared" si="1676"/>
        <v>0</v>
      </c>
      <c r="DT859">
        <f t="shared" si="1676"/>
        <v>0</v>
      </c>
      <c r="DU859">
        <f t="shared" si="1676"/>
        <v>0</v>
      </c>
      <c r="DV859">
        <f t="shared" si="1676"/>
        <v>0</v>
      </c>
      <c r="DW859">
        <f t="shared" si="1676"/>
        <v>0</v>
      </c>
      <c r="DX859">
        <f t="shared" si="1676"/>
        <v>0</v>
      </c>
      <c r="DY859">
        <f t="shared" si="1676"/>
        <v>0</v>
      </c>
      <c r="DZ859">
        <f t="shared" si="1676"/>
        <v>0</v>
      </c>
      <c r="EA859">
        <f t="shared" si="1670"/>
        <v>0</v>
      </c>
      <c r="EB859">
        <f t="shared" si="1670"/>
        <v>0</v>
      </c>
      <c r="EC859">
        <f t="shared" si="1670"/>
        <v>0</v>
      </c>
      <c r="ED859">
        <f t="shared" ref="ED859:EF860" si="1677">IF($C859&lt;&gt;"",IF(BO859&gt;0,1,0),0)</f>
        <v>0</v>
      </c>
      <c r="EE859">
        <f t="shared" si="1677"/>
        <v>0</v>
      </c>
      <c r="EF859">
        <f t="shared" si="1677"/>
        <v>0</v>
      </c>
    </row>
    <row r="860" spans="1:136" ht="15.5">
      <c r="A860" s="90"/>
      <c r="B860" s="19" t="s">
        <v>212</v>
      </c>
      <c r="C860" s="95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>
        <v>229.87965400526514</v>
      </c>
      <c r="X860" s="18">
        <v>244.69897765997729</v>
      </c>
      <c r="Y860" s="18">
        <v>243.25617340742647</v>
      </c>
      <c r="Z860" s="18">
        <v>195.97103036942366</v>
      </c>
      <c r="AA860" s="18">
        <v>124.586707556663</v>
      </c>
      <c r="AB860" s="18">
        <v>101.33444537114261</v>
      </c>
      <c r="AC860" s="18">
        <v>119.56090464224309</v>
      </c>
      <c r="AD860" s="18">
        <v>140.04647560030983</v>
      </c>
      <c r="AE860" s="18">
        <v>169.28838951310863</v>
      </c>
      <c r="AF860" s="18">
        <v>149.73980191371496</v>
      </c>
      <c r="AG860" s="18">
        <v>120.0626959247649</v>
      </c>
      <c r="AH860" s="18">
        <v>167.48696099316831</v>
      </c>
      <c r="AI860" s="18">
        <v>190.70575307504163</v>
      </c>
      <c r="AJ860" s="18">
        <v>226.68026748271564</v>
      </c>
      <c r="AK860" s="18">
        <v>212.7659574468085</v>
      </c>
      <c r="AL860" s="18">
        <v>108.06916426512967</v>
      </c>
      <c r="AM860" s="18">
        <v>56.50170306551793</v>
      </c>
      <c r="AN860" s="18">
        <v>403.04925723221265</v>
      </c>
      <c r="AO860" s="18">
        <v>330.35714285714289</v>
      </c>
      <c r="AP860" s="18">
        <v>323.89830508474574</v>
      </c>
      <c r="AQ860" s="147">
        <v>370.73170731707319</v>
      </c>
      <c r="AR860" s="147">
        <v>325.28089887640448</v>
      </c>
      <c r="AS860" s="147">
        <v>294.37585733882031</v>
      </c>
      <c r="AT860" s="147">
        <v>260.71942446043164</v>
      </c>
      <c r="AU860" s="147">
        <v>342.10526315789474</v>
      </c>
      <c r="AV860" s="147">
        <v>324.02597402597405</v>
      </c>
      <c r="AW860" s="147">
        <v>248.731884057971</v>
      </c>
      <c r="AX860" s="147">
        <v>256.34095634095632</v>
      </c>
      <c r="AY860" s="147">
        <v>246.59090909090909</v>
      </c>
      <c r="AZ860" s="147">
        <v>200.86580086580088</v>
      </c>
      <c r="BA860" s="147">
        <v>163.01652892561984</v>
      </c>
      <c r="BB860" s="147">
        <v>138.54166666666666</v>
      </c>
      <c r="BC860" s="147">
        <v>118.70941558441558</v>
      </c>
      <c r="BD860" s="147">
        <v>135.29269861691861</v>
      </c>
      <c r="BE860" s="152">
        <v>94.062932081954173</v>
      </c>
      <c r="BF860" s="147">
        <v>190.81626959772359</v>
      </c>
      <c r="BG860" s="147">
        <v>148.3885926269418</v>
      </c>
      <c r="BH860" s="147">
        <v>173.03463879417481</v>
      </c>
      <c r="BI860" s="147">
        <v>98.73953379025987</v>
      </c>
      <c r="BJ860" s="154">
        <v>74.914089347079042</v>
      </c>
      <c r="BK860" s="154">
        <v>0</v>
      </c>
      <c r="BL860" s="154">
        <v>0</v>
      </c>
      <c r="BM860" s="154">
        <v>0</v>
      </c>
      <c r="BN860" s="154">
        <v>168.52678571428572</v>
      </c>
      <c r="BO860" s="113">
        <v>620</v>
      </c>
      <c r="BP860" s="113">
        <v>485</v>
      </c>
      <c r="BQ860" s="113">
        <v>123</v>
      </c>
      <c r="BR860" s="101"/>
      <c r="BS860">
        <f t="shared" si="1671"/>
        <v>0</v>
      </c>
      <c r="BT860">
        <f t="shared" si="1671"/>
        <v>0</v>
      </c>
      <c r="BU860">
        <f t="shared" si="1671"/>
        <v>0</v>
      </c>
      <c r="BV860">
        <f t="shared" si="1671"/>
        <v>0</v>
      </c>
      <c r="BW860">
        <f t="shared" si="1671"/>
        <v>0</v>
      </c>
      <c r="BX860">
        <f t="shared" si="1671"/>
        <v>0</v>
      </c>
      <c r="BY860">
        <f t="shared" si="1671"/>
        <v>0</v>
      </c>
      <c r="BZ860">
        <f t="shared" si="1671"/>
        <v>0</v>
      </c>
      <c r="CA860">
        <f t="shared" si="1671"/>
        <v>0</v>
      </c>
      <c r="CB860">
        <f t="shared" si="1671"/>
        <v>0</v>
      </c>
      <c r="CC860">
        <f t="shared" si="1672"/>
        <v>0</v>
      </c>
      <c r="CD860">
        <f t="shared" si="1672"/>
        <v>0</v>
      </c>
      <c r="CE860">
        <f t="shared" si="1672"/>
        <v>0</v>
      </c>
      <c r="CF860">
        <f t="shared" si="1672"/>
        <v>0</v>
      </c>
      <c r="CG860">
        <f t="shared" si="1672"/>
        <v>0</v>
      </c>
      <c r="CH860">
        <f t="shared" si="1672"/>
        <v>0</v>
      </c>
      <c r="CI860">
        <f t="shared" si="1672"/>
        <v>0</v>
      </c>
      <c r="CJ860">
        <f t="shared" si="1672"/>
        <v>0</v>
      </c>
      <c r="CK860">
        <f t="shared" si="1672"/>
        <v>0</v>
      </c>
      <c r="CL860">
        <f t="shared" si="1672"/>
        <v>0</v>
      </c>
      <c r="CM860">
        <f t="shared" si="1673"/>
        <v>0</v>
      </c>
      <c r="CN860">
        <f t="shared" si="1673"/>
        <v>0</v>
      </c>
      <c r="CO860">
        <f t="shared" si="1673"/>
        <v>0</v>
      </c>
      <c r="CP860">
        <f t="shared" si="1673"/>
        <v>0</v>
      </c>
      <c r="CQ860">
        <f t="shared" si="1673"/>
        <v>0</v>
      </c>
      <c r="CR860">
        <f t="shared" si="1673"/>
        <v>0</v>
      </c>
      <c r="CS860">
        <f t="shared" si="1673"/>
        <v>0</v>
      </c>
      <c r="CT860">
        <f t="shared" si="1673"/>
        <v>0</v>
      </c>
      <c r="CU860">
        <f t="shared" si="1673"/>
        <v>0</v>
      </c>
      <c r="CV860">
        <f t="shared" si="1673"/>
        <v>0</v>
      </c>
      <c r="CW860">
        <f t="shared" si="1674"/>
        <v>0</v>
      </c>
      <c r="CX860">
        <f t="shared" si="1674"/>
        <v>0</v>
      </c>
      <c r="CY860">
        <f t="shared" si="1674"/>
        <v>0</v>
      </c>
      <c r="CZ860">
        <f t="shared" si="1674"/>
        <v>0</v>
      </c>
      <c r="DA860">
        <f t="shared" si="1674"/>
        <v>0</v>
      </c>
      <c r="DB860">
        <f t="shared" si="1674"/>
        <v>0</v>
      </c>
      <c r="DC860">
        <f t="shared" si="1674"/>
        <v>0</v>
      </c>
      <c r="DD860">
        <f t="shared" si="1674"/>
        <v>0</v>
      </c>
      <c r="DE860">
        <f t="shared" si="1674"/>
        <v>0</v>
      </c>
      <c r="DF860">
        <f t="shared" si="1674"/>
        <v>0</v>
      </c>
      <c r="DG860">
        <f t="shared" si="1675"/>
        <v>0</v>
      </c>
      <c r="DH860">
        <f t="shared" si="1675"/>
        <v>0</v>
      </c>
      <c r="DI860">
        <f t="shared" si="1675"/>
        <v>0</v>
      </c>
      <c r="DJ860">
        <f t="shared" si="1675"/>
        <v>0</v>
      </c>
      <c r="DK860">
        <f t="shared" si="1675"/>
        <v>0</v>
      </c>
      <c r="DL860">
        <f t="shared" si="1675"/>
        <v>0</v>
      </c>
      <c r="DM860">
        <f t="shared" si="1675"/>
        <v>0</v>
      </c>
      <c r="DN860">
        <f t="shared" si="1675"/>
        <v>0</v>
      </c>
      <c r="DO860">
        <f t="shared" si="1675"/>
        <v>0</v>
      </c>
      <c r="DP860">
        <f t="shared" si="1675"/>
        <v>0</v>
      </c>
      <c r="DQ860">
        <f t="shared" si="1676"/>
        <v>0</v>
      </c>
      <c r="DR860">
        <f t="shared" si="1676"/>
        <v>0</v>
      </c>
      <c r="DS860">
        <f t="shared" si="1676"/>
        <v>0</v>
      </c>
      <c r="DT860">
        <f t="shared" si="1676"/>
        <v>0</v>
      </c>
      <c r="DU860">
        <f t="shared" si="1676"/>
        <v>0</v>
      </c>
      <c r="DV860">
        <f t="shared" si="1676"/>
        <v>0</v>
      </c>
      <c r="DW860">
        <f t="shared" si="1676"/>
        <v>0</v>
      </c>
      <c r="DX860">
        <f t="shared" si="1676"/>
        <v>0</v>
      </c>
      <c r="DY860">
        <f t="shared" si="1676"/>
        <v>0</v>
      </c>
      <c r="DZ860">
        <f t="shared" si="1676"/>
        <v>0</v>
      </c>
      <c r="EA860">
        <f t="shared" si="1670"/>
        <v>0</v>
      </c>
      <c r="EB860">
        <f t="shared" si="1670"/>
        <v>0</v>
      </c>
      <c r="EC860">
        <f t="shared" si="1670"/>
        <v>0</v>
      </c>
      <c r="ED860">
        <f t="shared" si="1677"/>
        <v>0</v>
      </c>
      <c r="EE860">
        <f t="shared" si="1677"/>
        <v>0</v>
      </c>
      <c r="EF860">
        <f t="shared" si="1677"/>
        <v>0</v>
      </c>
    </row>
    <row r="861" spans="1:136" ht="15.5">
      <c r="A861" s="90"/>
      <c r="B861" s="37"/>
      <c r="C861" s="95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  <c r="AS861" s="18"/>
      <c r="AT861" s="18"/>
      <c r="AU861" s="18"/>
      <c r="AV861" s="18"/>
      <c r="AW861" s="18"/>
      <c r="AX861" s="18"/>
      <c r="AY861" s="18"/>
      <c r="AZ861" s="18"/>
      <c r="BA861" s="147"/>
      <c r="BB861" s="18"/>
      <c r="BC861" s="18"/>
      <c r="BD861" s="18"/>
      <c r="BE861" s="25"/>
      <c r="BF861" s="147"/>
      <c r="BG861" s="18"/>
      <c r="BH861" s="2"/>
      <c r="BI861" s="2"/>
      <c r="BJ861" s="2"/>
      <c r="BK861" s="2"/>
      <c r="BL861" s="22"/>
      <c r="BM861" s="2"/>
      <c r="BN861" s="2"/>
      <c r="BO861" s="2"/>
      <c r="BP861" s="2"/>
      <c r="BQ861" s="2"/>
      <c r="BR861" s="101"/>
    </row>
    <row r="862" spans="1:136" ht="15.5">
      <c r="A862" s="93">
        <v>109</v>
      </c>
      <c r="B862" s="52" t="s">
        <v>112</v>
      </c>
      <c r="C862" s="95">
        <v>3</v>
      </c>
      <c r="D862" s="22">
        <f t="shared" ref="D862:AI862" si="1678">SUM(D863:D869)</f>
        <v>0</v>
      </c>
      <c r="E862" s="22">
        <f t="shared" si="1678"/>
        <v>0</v>
      </c>
      <c r="F862" s="22">
        <f t="shared" si="1678"/>
        <v>0</v>
      </c>
      <c r="G862" s="22">
        <f t="shared" si="1678"/>
        <v>0</v>
      </c>
      <c r="H862" s="22">
        <f t="shared" si="1678"/>
        <v>0</v>
      </c>
      <c r="I862" s="22">
        <f t="shared" si="1678"/>
        <v>0</v>
      </c>
      <c r="J862" s="22">
        <f t="shared" si="1678"/>
        <v>0</v>
      </c>
      <c r="K862" s="22">
        <f t="shared" si="1678"/>
        <v>290</v>
      </c>
      <c r="L862" s="22">
        <f t="shared" si="1678"/>
        <v>0</v>
      </c>
      <c r="M862" s="22">
        <f t="shared" si="1678"/>
        <v>0</v>
      </c>
      <c r="N862" s="22">
        <f t="shared" si="1678"/>
        <v>114.15600000000001</v>
      </c>
      <c r="O862" s="22">
        <f t="shared" si="1678"/>
        <v>0.254</v>
      </c>
      <c r="P862" s="22">
        <f t="shared" si="1678"/>
        <v>9.7279999999999998</v>
      </c>
      <c r="Q862" s="22">
        <f t="shared" si="1678"/>
        <v>7.5009999999999994</v>
      </c>
      <c r="R862" s="22">
        <f t="shared" si="1678"/>
        <v>6.0960000000000001</v>
      </c>
      <c r="S862" s="22">
        <f t="shared" si="1678"/>
        <v>4.03</v>
      </c>
      <c r="T862" s="22">
        <f t="shared" si="1678"/>
        <v>2.64</v>
      </c>
      <c r="U862" s="22">
        <f t="shared" si="1678"/>
        <v>0.32300000000000001</v>
      </c>
      <c r="V862" s="22">
        <f t="shared" si="1678"/>
        <v>0.47099999999999997</v>
      </c>
      <c r="W862" s="22">
        <f t="shared" si="1678"/>
        <v>0.03</v>
      </c>
      <c r="X862" s="22">
        <f t="shared" si="1678"/>
        <v>0.30100000000000005</v>
      </c>
      <c r="Y862" s="22">
        <f t="shared" si="1678"/>
        <v>4.5430000000000001</v>
      </c>
      <c r="Z862" s="22">
        <f t="shared" si="1678"/>
        <v>1747.2135000000001</v>
      </c>
      <c r="AA862" s="22">
        <f t="shared" si="1678"/>
        <v>1953.2139999999999</v>
      </c>
      <c r="AB862" s="22">
        <f t="shared" si="1678"/>
        <v>7051.8419999999996</v>
      </c>
      <c r="AC862" s="22">
        <f t="shared" si="1678"/>
        <v>1190.502</v>
      </c>
      <c r="AD862" s="22">
        <f t="shared" si="1678"/>
        <v>10987</v>
      </c>
      <c r="AE862" s="22">
        <f t="shared" si="1678"/>
        <v>11725.440500000001</v>
      </c>
      <c r="AF862" s="22">
        <f t="shared" si="1678"/>
        <v>13305.807224999997</v>
      </c>
      <c r="AG862" s="22">
        <f t="shared" si="1678"/>
        <v>13221</v>
      </c>
      <c r="AH862" s="22">
        <f t="shared" si="1678"/>
        <v>7802.4660000000003</v>
      </c>
      <c r="AI862" s="22">
        <f t="shared" si="1678"/>
        <v>9127</v>
      </c>
      <c r="AJ862" s="22">
        <f t="shared" ref="AJ862:BO862" si="1679">SUM(AJ863:AJ869)</f>
        <v>18444.175999999999</v>
      </c>
      <c r="AK862" s="22">
        <f t="shared" si="1679"/>
        <v>6334.4759999999997</v>
      </c>
      <c r="AL862" s="22">
        <f t="shared" si="1679"/>
        <v>9647.1530000000002</v>
      </c>
      <c r="AM862" s="22">
        <f t="shared" si="1679"/>
        <v>13164.652999999998</v>
      </c>
      <c r="AN862" s="22">
        <f t="shared" si="1679"/>
        <v>15537.053</v>
      </c>
      <c r="AO862" s="22">
        <f t="shared" si="1679"/>
        <v>15807.482</v>
      </c>
      <c r="AP862" s="22">
        <f t="shared" si="1679"/>
        <v>17877.345000000001</v>
      </c>
      <c r="AQ862" s="22">
        <f t="shared" si="1679"/>
        <v>18328.911999999997</v>
      </c>
      <c r="AR862" s="22">
        <f t="shared" si="1679"/>
        <v>25957.777466899999</v>
      </c>
      <c r="AS862" s="22">
        <f t="shared" si="1679"/>
        <v>26012.771086500001</v>
      </c>
      <c r="AT862" s="22">
        <f t="shared" si="1679"/>
        <v>26303.795320099998</v>
      </c>
      <c r="AU862" s="22">
        <f t="shared" si="1679"/>
        <v>27803.836994000001</v>
      </c>
      <c r="AV862" s="22">
        <f t="shared" si="1679"/>
        <v>29341.5029345</v>
      </c>
      <c r="AW862" s="22">
        <f t="shared" si="1679"/>
        <v>30096</v>
      </c>
      <c r="AX862" s="22">
        <f t="shared" si="1679"/>
        <v>10886.6572839</v>
      </c>
      <c r="AY862" s="22">
        <f t="shared" si="1679"/>
        <v>0</v>
      </c>
      <c r="AZ862" s="22">
        <f t="shared" si="1679"/>
        <v>0</v>
      </c>
      <c r="BA862" s="22">
        <f t="shared" si="1679"/>
        <v>0</v>
      </c>
      <c r="BB862" s="22">
        <f t="shared" si="1679"/>
        <v>0</v>
      </c>
      <c r="BC862" s="22">
        <f t="shared" si="1679"/>
        <v>1.5352999999999999E-3</v>
      </c>
      <c r="BD862" s="22">
        <f t="shared" si="1679"/>
        <v>0</v>
      </c>
      <c r="BE862" s="22">
        <f t="shared" si="1679"/>
        <v>23.519579700000001</v>
      </c>
      <c r="BF862" s="22">
        <f t="shared" si="1679"/>
        <v>0.53687870000000004</v>
      </c>
      <c r="BG862" s="22">
        <f t="shared" si="1679"/>
        <v>0</v>
      </c>
      <c r="BH862" s="22">
        <f t="shared" si="1679"/>
        <v>0</v>
      </c>
      <c r="BI862" s="22">
        <f t="shared" si="1679"/>
        <v>0</v>
      </c>
      <c r="BJ862" s="22">
        <f t="shared" si="1679"/>
        <v>0</v>
      </c>
      <c r="BK862" s="22">
        <f t="shared" si="1679"/>
        <v>0.71299999999999997</v>
      </c>
      <c r="BL862" s="22">
        <f t="shared" si="1679"/>
        <v>5.7611000000000008E-3</v>
      </c>
      <c r="BM862" s="22">
        <f t="shared" si="1679"/>
        <v>0</v>
      </c>
      <c r="BN862" s="22">
        <f t="shared" si="1679"/>
        <v>6.8460000000000001</v>
      </c>
      <c r="BO862" s="22">
        <f t="shared" si="1679"/>
        <v>9</v>
      </c>
      <c r="BP862" s="22">
        <f>SUM(BP863:BP869)</f>
        <v>5</v>
      </c>
      <c r="BQ862" s="22">
        <f>SUM(BQ863:BQ869)</f>
        <v>0</v>
      </c>
      <c r="BR862" s="101"/>
      <c r="BS862">
        <f t="shared" ref="BS862:CX862" si="1680">IF($C862&lt;&gt;"",IF(D862&gt;0,1,0),0)</f>
        <v>0</v>
      </c>
      <c r="BT862">
        <f t="shared" si="1680"/>
        <v>0</v>
      </c>
      <c r="BU862">
        <f t="shared" si="1680"/>
        <v>0</v>
      </c>
      <c r="BV862">
        <f t="shared" si="1680"/>
        <v>0</v>
      </c>
      <c r="BW862">
        <f t="shared" si="1680"/>
        <v>0</v>
      </c>
      <c r="BX862">
        <f t="shared" si="1680"/>
        <v>0</v>
      </c>
      <c r="BY862">
        <f t="shared" si="1680"/>
        <v>0</v>
      </c>
      <c r="BZ862">
        <f t="shared" si="1680"/>
        <v>1</v>
      </c>
      <c r="CA862">
        <f t="shared" si="1680"/>
        <v>0</v>
      </c>
      <c r="CB862">
        <f t="shared" si="1680"/>
        <v>0</v>
      </c>
      <c r="CC862">
        <f t="shared" si="1680"/>
        <v>1</v>
      </c>
      <c r="CD862">
        <f t="shared" si="1680"/>
        <v>1</v>
      </c>
      <c r="CE862">
        <f t="shared" si="1680"/>
        <v>1</v>
      </c>
      <c r="CF862">
        <f t="shared" si="1680"/>
        <v>1</v>
      </c>
      <c r="CG862">
        <f t="shared" si="1680"/>
        <v>1</v>
      </c>
      <c r="CH862">
        <f t="shared" si="1680"/>
        <v>1</v>
      </c>
      <c r="CI862">
        <f t="shared" si="1680"/>
        <v>1</v>
      </c>
      <c r="CJ862">
        <f t="shared" si="1680"/>
        <v>1</v>
      </c>
      <c r="CK862">
        <f t="shared" si="1680"/>
        <v>1</v>
      </c>
      <c r="CL862">
        <f t="shared" si="1680"/>
        <v>1</v>
      </c>
      <c r="CM862">
        <f t="shared" si="1680"/>
        <v>1</v>
      </c>
      <c r="CN862">
        <f t="shared" si="1680"/>
        <v>1</v>
      </c>
      <c r="CO862">
        <f t="shared" si="1680"/>
        <v>1</v>
      </c>
      <c r="CP862">
        <f t="shared" si="1680"/>
        <v>1</v>
      </c>
      <c r="CQ862">
        <f t="shared" si="1680"/>
        <v>1</v>
      </c>
      <c r="CR862">
        <f t="shared" si="1680"/>
        <v>1</v>
      </c>
      <c r="CS862">
        <f t="shared" si="1680"/>
        <v>1</v>
      </c>
      <c r="CT862">
        <f t="shared" si="1680"/>
        <v>1</v>
      </c>
      <c r="CU862">
        <f t="shared" si="1680"/>
        <v>1</v>
      </c>
      <c r="CV862">
        <f t="shared" si="1680"/>
        <v>1</v>
      </c>
      <c r="CW862">
        <f t="shared" si="1680"/>
        <v>1</v>
      </c>
      <c r="CX862">
        <f t="shared" si="1680"/>
        <v>1</v>
      </c>
      <c r="CY862">
        <f t="shared" ref="CY862:ED862" si="1681">IF($C862&lt;&gt;"",IF(AJ862&gt;0,1,0),0)</f>
        <v>1</v>
      </c>
      <c r="CZ862">
        <f t="shared" si="1681"/>
        <v>1</v>
      </c>
      <c r="DA862">
        <f t="shared" si="1681"/>
        <v>1</v>
      </c>
      <c r="DB862">
        <f t="shared" si="1681"/>
        <v>1</v>
      </c>
      <c r="DC862">
        <f t="shared" si="1681"/>
        <v>1</v>
      </c>
      <c r="DD862">
        <f t="shared" si="1681"/>
        <v>1</v>
      </c>
      <c r="DE862">
        <f t="shared" si="1681"/>
        <v>1</v>
      </c>
      <c r="DF862">
        <f t="shared" si="1681"/>
        <v>1</v>
      </c>
      <c r="DG862">
        <f t="shared" si="1681"/>
        <v>1</v>
      </c>
      <c r="DH862">
        <f t="shared" si="1681"/>
        <v>1</v>
      </c>
      <c r="DI862">
        <f t="shared" si="1681"/>
        <v>1</v>
      </c>
      <c r="DJ862">
        <f t="shared" si="1681"/>
        <v>1</v>
      </c>
      <c r="DK862">
        <f t="shared" si="1681"/>
        <v>1</v>
      </c>
      <c r="DL862">
        <f t="shared" si="1681"/>
        <v>1</v>
      </c>
      <c r="DM862">
        <f t="shared" si="1681"/>
        <v>1</v>
      </c>
      <c r="DN862">
        <f t="shared" si="1681"/>
        <v>0</v>
      </c>
      <c r="DO862">
        <f t="shared" si="1681"/>
        <v>0</v>
      </c>
      <c r="DP862">
        <f t="shared" si="1681"/>
        <v>0</v>
      </c>
      <c r="DQ862">
        <f t="shared" si="1681"/>
        <v>0</v>
      </c>
      <c r="DR862">
        <f t="shared" si="1681"/>
        <v>1</v>
      </c>
      <c r="DS862">
        <f t="shared" si="1681"/>
        <v>0</v>
      </c>
      <c r="DT862">
        <f t="shared" si="1681"/>
        <v>1</v>
      </c>
      <c r="DU862">
        <f t="shared" si="1681"/>
        <v>1</v>
      </c>
      <c r="DV862">
        <f t="shared" si="1681"/>
        <v>0</v>
      </c>
      <c r="DW862">
        <f t="shared" si="1681"/>
        <v>0</v>
      </c>
      <c r="DX862">
        <f t="shared" si="1681"/>
        <v>0</v>
      </c>
      <c r="DY862">
        <f t="shared" si="1681"/>
        <v>0</v>
      </c>
      <c r="DZ862">
        <f t="shared" si="1681"/>
        <v>1</v>
      </c>
      <c r="EA862">
        <f t="shared" si="1681"/>
        <v>1</v>
      </c>
      <c r="EB862">
        <f t="shared" si="1681"/>
        <v>0</v>
      </c>
      <c r="EC862">
        <f t="shared" si="1681"/>
        <v>1</v>
      </c>
      <c r="ED862">
        <f t="shared" si="1681"/>
        <v>1</v>
      </c>
      <c r="EE862">
        <f t="shared" ref="EE862:EF862" si="1682">IF($C862&lt;&gt;"",IF(BP862&gt;0,1,0),0)</f>
        <v>1</v>
      </c>
      <c r="EF862">
        <f t="shared" si="1682"/>
        <v>0</v>
      </c>
    </row>
    <row r="863" spans="1:136" ht="15.5">
      <c r="A863" s="90"/>
      <c r="B863" s="19" t="s">
        <v>2</v>
      </c>
      <c r="C863" s="95"/>
      <c r="D863" s="18">
        <v>0</v>
      </c>
      <c r="E863" s="18">
        <v>0</v>
      </c>
      <c r="F863" s="18">
        <v>0</v>
      </c>
      <c r="G863" s="18">
        <v>0</v>
      </c>
      <c r="H863" s="18">
        <v>0</v>
      </c>
      <c r="I863" s="18">
        <v>0</v>
      </c>
      <c r="J863" s="18">
        <v>0</v>
      </c>
      <c r="K863" s="18">
        <v>0</v>
      </c>
      <c r="L863" s="18">
        <v>0</v>
      </c>
      <c r="M863" s="18">
        <v>0</v>
      </c>
      <c r="N863" s="18">
        <v>0</v>
      </c>
      <c r="O863" s="18">
        <v>0</v>
      </c>
      <c r="P863" s="18">
        <v>0</v>
      </c>
      <c r="Q863" s="18">
        <v>0</v>
      </c>
      <c r="R863" s="18">
        <v>0</v>
      </c>
      <c r="S863" s="18">
        <v>0</v>
      </c>
      <c r="T863" s="18">
        <v>0</v>
      </c>
      <c r="U863" s="18">
        <v>0</v>
      </c>
      <c r="V863" s="18">
        <v>0</v>
      </c>
      <c r="W863" s="18">
        <v>0</v>
      </c>
      <c r="X863" s="18">
        <v>0</v>
      </c>
      <c r="Y863" s="18">
        <v>0</v>
      </c>
      <c r="Z863" s="18">
        <v>0</v>
      </c>
      <c r="AA863" s="18">
        <v>0</v>
      </c>
      <c r="AB863" s="18">
        <v>0</v>
      </c>
      <c r="AC863" s="18">
        <v>0</v>
      </c>
      <c r="AD863" s="18">
        <v>6737</v>
      </c>
      <c r="AE863" s="18"/>
      <c r="AF863" s="40" t="s">
        <v>16</v>
      </c>
      <c r="AG863" s="18">
        <v>4900</v>
      </c>
      <c r="AH863" s="40" t="s">
        <v>16</v>
      </c>
      <c r="AI863" s="18">
        <v>3244</v>
      </c>
      <c r="AJ863" s="40"/>
      <c r="AK863" s="40"/>
      <c r="AL863" s="40"/>
      <c r="AM863" s="18">
        <v>10288</v>
      </c>
      <c r="AN863" s="18">
        <v>12713</v>
      </c>
      <c r="AO863" s="40" t="s">
        <v>16</v>
      </c>
      <c r="AP863" s="40" t="s">
        <v>16</v>
      </c>
      <c r="AQ863" s="40" t="s">
        <v>16</v>
      </c>
      <c r="AR863" s="18">
        <v>23400</v>
      </c>
      <c r="AS863" s="18">
        <f>AR863+1400</f>
        <v>24800</v>
      </c>
      <c r="AT863" s="18">
        <f>AS863+1500</f>
        <v>26300</v>
      </c>
      <c r="AU863" s="18">
        <f>AT863+1500</f>
        <v>27800</v>
      </c>
      <c r="AV863" s="18">
        <f>AU863+1500</f>
        <v>29300</v>
      </c>
      <c r="AW863" s="18">
        <v>30066</v>
      </c>
      <c r="AX863" s="40" t="s">
        <v>16</v>
      </c>
      <c r="AY863" s="18">
        <v>0</v>
      </c>
      <c r="AZ863" s="18">
        <v>0</v>
      </c>
      <c r="BA863" s="18">
        <v>0</v>
      </c>
      <c r="BB863" s="18">
        <v>0</v>
      </c>
      <c r="BC863" s="18">
        <v>0</v>
      </c>
      <c r="BD863" s="18">
        <v>0</v>
      </c>
      <c r="BE863" s="18">
        <v>0</v>
      </c>
      <c r="BF863" s="18">
        <v>0</v>
      </c>
      <c r="BG863" s="18">
        <v>0</v>
      </c>
      <c r="BH863" s="18">
        <v>0</v>
      </c>
      <c r="BI863" s="18">
        <v>0</v>
      </c>
      <c r="BJ863" s="113">
        <v>0</v>
      </c>
      <c r="BK863" s="113">
        <v>0</v>
      </c>
      <c r="BL863" s="113">
        <v>0</v>
      </c>
      <c r="BM863" s="113">
        <v>0</v>
      </c>
      <c r="BN863" s="113">
        <v>0</v>
      </c>
      <c r="BO863" s="113">
        <v>0</v>
      </c>
      <c r="BP863" s="113">
        <v>0</v>
      </c>
      <c r="BQ863" s="113">
        <v>0</v>
      </c>
      <c r="BR863" s="101"/>
      <c r="BS863">
        <f t="shared" ref="BS863:CB870" si="1683">IF($C863&lt;&gt;"",IF(D863&gt;0,1,0),0)</f>
        <v>0</v>
      </c>
      <c r="BT863">
        <f t="shared" si="1683"/>
        <v>0</v>
      </c>
      <c r="BU863">
        <f t="shared" si="1683"/>
        <v>0</v>
      </c>
      <c r="BV863">
        <f t="shared" si="1683"/>
        <v>0</v>
      </c>
      <c r="BW863">
        <f t="shared" si="1683"/>
        <v>0</v>
      </c>
      <c r="BX863">
        <f t="shared" si="1683"/>
        <v>0</v>
      </c>
      <c r="BY863">
        <f t="shared" si="1683"/>
        <v>0</v>
      </c>
      <c r="BZ863">
        <f t="shared" si="1683"/>
        <v>0</v>
      </c>
      <c r="CA863">
        <f t="shared" si="1683"/>
        <v>0</v>
      </c>
      <c r="CB863">
        <f t="shared" si="1683"/>
        <v>0</v>
      </c>
      <c r="CC863">
        <f t="shared" ref="CC863:CL870" si="1684">IF($C863&lt;&gt;"",IF(N863&gt;0,1,0),0)</f>
        <v>0</v>
      </c>
      <c r="CD863">
        <f t="shared" si="1684"/>
        <v>0</v>
      </c>
      <c r="CE863">
        <f t="shared" si="1684"/>
        <v>0</v>
      </c>
      <c r="CF863">
        <f t="shared" si="1684"/>
        <v>0</v>
      </c>
      <c r="CG863">
        <f t="shared" si="1684"/>
        <v>0</v>
      </c>
      <c r="CH863">
        <f t="shared" si="1684"/>
        <v>0</v>
      </c>
      <c r="CI863">
        <f t="shared" si="1684"/>
        <v>0</v>
      </c>
      <c r="CJ863">
        <f t="shared" si="1684"/>
        <v>0</v>
      </c>
      <c r="CK863">
        <f t="shared" si="1684"/>
        <v>0</v>
      </c>
      <c r="CL863">
        <f t="shared" si="1684"/>
        <v>0</v>
      </c>
      <c r="CM863">
        <f t="shared" ref="CM863:CV870" si="1685">IF($C863&lt;&gt;"",IF(X863&gt;0,1,0),0)</f>
        <v>0</v>
      </c>
      <c r="CN863">
        <f t="shared" si="1685"/>
        <v>0</v>
      </c>
      <c r="CO863">
        <f t="shared" si="1685"/>
        <v>0</v>
      </c>
      <c r="CP863">
        <f t="shared" si="1685"/>
        <v>0</v>
      </c>
      <c r="CQ863">
        <f t="shared" si="1685"/>
        <v>0</v>
      </c>
      <c r="CR863">
        <f t="shared" si="1685"/>
        <v>0</v>
      </c>
      <c r="CS863">
        <f t="shared" si="1685"/>
        <v>0</v>
      </c>
      <c r="CT863">
        <f t="shared" si="1685"/>
        <v>0</v>
      </c>
      <c r="CU863">
        <f t="shared" si="1685"/>
        <v>0</v>
      </c>
      <c r="CV863">
        <f t="shared" si="1685"/>
        <v>0</v>
      </c>
      <c r="CW863">
        <f t="shared" ref="CW863:DF870" si="1686">IF($C863&lt;&gt;"",IF(AH863&gt;0,1,0),0)</f>
        <v>0</v>
      </c>
      <c r="CX863">
        <f t="shared" si="1686"/>
        <v>0</v>
      </c>
      <c r="CY863">
        <f t="shared" si="1686"/>
        <v>0</v>
      </c>
      <c r="CZ863">
        <f t="shared" si="1686"/>
        <v>0</v>
      </c>
      <c r="DA863">
        <f t="shared" si="1686"/>
        <v>0</v>
      </c>
      <c r="DB863">
        <f t="shared" si="1686"/>
        <v>0</v>
      </c>
      <c r="DC863">
        <f t="shared" si="1686"/>
        <v>0</v>
      </c>
      <c r="DD863">
        <f t="shared" si="1686"/>
        <v>0</v>
      </c>
      <c r="DE863">
        <f t="shared" si="1686"/>
        <v>0</v>
      </c>
      <c r="DF863">
        <f t="shared" si="1686"/>
        <v>0</v>
      </c>
      <c r="DG863">
        <f t="shared" ref="DG863:DP870" si="1687">IF($C863&lt;&gt;"",IF(AR863&gt;0,1,0),0)</f>
        <v>0</v>
      </c>
      <c r="DH863">
        <f t="shared" si="1687"/>
        <v>0</v>
      </c>
      <c r="DI863">
        <f t="shared" si="1687"/>
        <v>0</v>
      </c>
      <c r="DJ863">
        <f t="shared" si="1687"/>
        <v>0</v>
      </c>
      <c r="DK863">
        <f t="shared" si="1687"/>
        <v>0</v>
      </c>
      <c r="DL863">
        <f t="shared" si="1687"/>
        <v>0</v>
      </c>
      <c r="DM863">
        <f t="shared" si="1687"/>
        <v>0</v>
      </c>
      <c r="DN863">
        <f t="shared" si="1687"/>
        <v>0</v>
      </c>
      <c r="DO863">
        <f t="shared" si="1687"/>
        <v>0</v>
      </c>
      <c r="DP863">
        <f t="shared" si="1687"/>
        <v>0</v>
      </c>
      <c r="DQ863">
        <f t="shared" ref="DQ863:DZ870" si="1688">IF($C863&lt;&gt;"",IF(BB863&gt;0,1,0),0)</f>
        <v>0</v>
      </c>
      <c r="DR863">
        <f t="shared" si="1688"/>
        <v>0</v>
      </c>
      <c r="DS863">
        <f t="shared" si="1688"/>
        <v>0</v>
      </c>
      <c r="DT863">
        <f t="shared" si="1688"/>
        <v>0</v>
      </c>
      <c r="DU863">
        <f t="shared" si="1688"/>
        <v>0</v>
      </c>
      <c r="DV863">
        <f t="shared" si="1688"/>
        <v>0</v>
      </c>
      <c r="DW863">
        <f t="shared" si="1688"/>
        <v>0</v>
      </c>
      <c r="DX863">
        <f t="shared" si="1688"/>
        <v>0</v>
      </c>
      <c r="DY863">
        <f t="shared" si="1688"/>
        <v>0</v>
      </c>
      <c r="DZ863">
        <f t="shared" si="1688"/>
        <v>0</v>
      </c>
      <c r="EA863">
        <f t="shared" ref="EA863:EF869" si="1689">IF($C863&lt;&gt;"",IF(BL862&gt;0,1,0),0)</f>
        <v>0</v>
      </c>
      <c r="EB863">
        <f t="shared" si="1689"/>
        <v>0</v>
      </c>
      <c r="EC863">
        <f t="shared" si="1689"/>
        <v>0</v>
      </c>
      <c r="ED863">
        <f t="shared" si="1689"/>
        <v>0</v>
      </c>
      <c r="EE863">
        <f t="shared" si="1689"/>
        <v>0</v>
      </c>
      <c r="EF863">
        <f t="shared" si="1689"/>
        <v>0</v>
      </c>
    </row>
    <row r="864" spans="1:136" ht="15.5">
      <c r="A864" s="90"/>
      <c r="B864" s="19" t="s">
        <v>205</v>
      </c>
      <c r="C864" s="95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40"/>
      <c r="AG864" s="18"/>
      <c r="AH864" s="18"/>
      <c r="AI864" s="18"/>
      <c r="AJ864" s="40"/>
      <c r="AK864" s="40"/>
      <c r="AL864" s="40"/>
      <c r="AM864" s="40"/>
      <c r="AN864" s="40"/>
      <c r="AO864" s="40"/>
      <c r="AP864" s="18">
        <v>0</v>
      </c>
      <c r="AQ864" s="18">
        <v>0</v>
      </c>
      <c r="AR864" s="18">
        <v>0</v>
      </c>
      <c r="AS864" s="18">
        <v>0</v>
      </c>
      <c r="AT864" s="18">
        <v>0</v>
      </c>
      <c r="AU864" s="18">
        <v>0</v>
      </c>
      <c r="AV864" s="18">
        <v>0</v>
      </c>
      <c r="AW864" s="18">
        <v>0</v>
      </c>
      <c r="AX864" s="18">
        <v>0</v>
      </c>
      <c r="AY864" s="18">
        <v>0</v>
      </c>
      <c r="AZ864" s="18">
        <v>0</v>
      </c>
      <c r="BA864" s="18">
        <v>0</v>
      </c>
      <c r="BB864" s="18">
        <v>0</v>
      </c>
      <c r="BC864" s="18">
        <v>0</v>
      </c>
      <c r="BD864" s="18">
        <v>0</v>
      </c>
      <c r="BE864" s="25">
        <v>22.986999999999998</v>
      </c>
      <c r="BF864" s="18">
        <v>0.104</v>
      </c>
      <c r="BG864" s="18">
        <v>0</v>
      </c>
      <c r="BH864" s="18">
        <v>0</v>
      </c>
      <c r="BI864" s="18">
        <v>0</v>
      </c>
      <c r="BJ864" s="34">
        <v>0</v>
      </c>
      <c r="BK864" s="34">
        <v>0</v>
      </c>
      <c r="BL864" s="34">
        <v>0</v>
      </c>
      <c r="BM864" s="34">
        <v>0</v>
      </c>
      <c r="BN864" s="34">
        <v>0</v>
      </c>
      <c r="BO864" s="113">
        <v>0</v>
      </c>
      <c r="BP864" s="113">
        <v>0</v>
      </c>
      <c r="BQ864" s="113">
        <v>0</v>
      </c>
      <c r="BR864" s="101"/>
      <c r="BS864">
        <f t="shared" si="1683"/>
        <v>0</v>
      </c>
      <c r="BT864">
        <f t="shared" si="1683"/>
        <v>0</v>
      </c>
      <c r="BU864">
        <f t="shared" si="1683"/>
        <v>0</v>
      </c>
      <c r="BV864">
        <f t="shared" si="1683"/>
        <v>0</v>
      </c>
      <c r="BW864">
        <f t="shared" si="1683"/>
        <v>0</v>
      </c>
      <c r="BX864">
        <f t="shared" si="1683"/>
        <v>0</v>
      </c>
      <c r="BY864">
        <f t="shared" si="1683"/>
        <v>0</v>
      </c>
      <c r="BZ864">
        <f t="shared" si="1683"/>
        <v>0</v>
      </c>
      <c r="CA864">
        <f t="shared" si="1683"/>
        <v>0</v>
      </c>
      <c r="CB864">
        <f t="shared" si="1683"/>
        <v>0</v>
      </c>
      <c r="CC864">
        <f t="shared" si="1684"/>
        <v>0</v>
      </c>
      <c r="CD864">
        <f t="shared" si="1684"/>
        <v>0</v>
      </c>
      <c r="CE864">
        <f t="shared" si="1684"/>
        <v>0</v>
      </c>
      <c r="CF864">
        <f t="shared" si="1684"/>
        <v>0</v>
      </c>
      <c r="CG864">
        <f t="shared" si="1684"/>
        <v>0</v>
      </c>
      <c r="CH864">
        <f t="shared" si="1684"/>
        <v>0</v>
      </c>
      <c r="CI864">
        <f t="shared" si="1684"/>
        <v>0</v>
      </c>
      <c r="CJ864">
        <f t="shared" si="1684"/>
        <v>0</v>
      </c>
      <c r="CK864">
        <f t="shared" si="1684"/>
        <v>0</v>
      </c>
      <c r="CL864">
        <f t="shared" si="1684"/>
        <v>0</v>
      </c>
      <c r="CM864">
        <f t="shared" si="1685"/>
        <v>0</v>
      </c>
      <c r="CN864">
        <f t="shared" si="1685"/>
        <v>0</v>
      </c>
      <c r="CO864">
        <f t="shared" si="1685"/>
        <v>0</v>
      </c>
      <c r="CP864">
        <f t="shared" si="1685"/>
        <v>0</v>
      </c>
      <c r="CQ864">
        <f t="shared" si="1685"/>
        <v>0</v>
      </c>
      <c r="CR864">
        <f t="shared" si="1685"/>
        <v>0</v>
      </c>
      <c r="CS864">
        <f t="shared" si="1685"/>
        <v>0</v>
      </c>
      <c r="CT864">
        <f t="shared" si="1685"/>
        <v>0</v>
      </c>
      <c r="CU864">
        <f t="shared" si="1685"/>
        <v>0</v>
      </c>
      <c r="CV864">
        <f t="shared" si="1685"/>
        <v>0</v>
      </c>
      <c r="CW864">
        <f t="shared" si="1686"/>
        <v>0</v>
      </c>
      <c r="CX864">
        <f t="shared" si="1686"/>
        <v>0</v>
      </c>
      <c r="CY864">
        <f t="shared" si="1686"/>
        <v>0</v>
      </c>
      <c r="CZ864">
        <f t="shared" si="1686"/>
        <v>0</v>
      </c>
      <c r="DA864">
        <f t="shared" si="1686"/>
        <v>0</v>
      </c>
      <c r="DB864">
        <f t="shared" si="1686"/>
        <v>0</v>
      </c>
      <c r="DC864">
        <f t="shared" si="1686"/>
        <v>0</v>
      </c>
      <c r="DD864">
        <f t="shared" si="1686"/>
        <v>0</v>
      </c>
      <c r="DE864">
        <f t="shared" si="1686"/>
        <v>0</v>
      </c>
      <c r="DF864">
        <f t="shared" si="1686"/>
        <v>0</v>
      </c>
      <c r="DG864">
        <f t="shared" si="1687"/>
        <v>0</v>
      </c>
      <c r="DH864">
        <f t="shared" si="1687"/>
        <v>0</v>
      </c>
      <c r="DI864">
        <f t="shared" si="1687"/>
        <v>0</v>
      </c>
      <c r="DJ864">
        <f t="shared" si="1687"/>
        <v>0</v>
      </c>
      <c r="DK864">
        <f t="shared" si="1687"/>
        <v>0</v>
      </c>
      <c r="DL864">
        <f t="shared" si="1687"/>
        <v>0</v>
      </c>
      <c r="DM864">
        <f t="shared" si="1687"/>
        <v>0</v>
      </c>
      <c r="DN864">
        <f t="shared" si="1687"/>
        <v>0</v>
      </c>
      <c r="DO864">
        <f t="shared" si="1687"/>
        <v>0</v>
      </c>
      <c r="DP864">
        <f t="shared" si="1687"/>
        <v>0</v>
      </c>
      <c r="DQ864">
        <f t="shared" si="1688"/>
        <v>0</v>
      </c>
      <c r="DR864">
        <f t="shared" si="1688"/>
        <v>0</v>
      </c>
      <c r="DS864">
        <f t="shared" si="1688"/>
        <v>0</v>
      </c>
      <c r="DT864">
        <f t="shared" si="1688"/>
        <v>0</v>
      </c>
      <c r="DU864">
        <f t="shared" si="1688"/>
        <v>0</v>
      </c>
      <c r="DV864">
        <f t="shared" si="1688"/>
        <v>0</v>
      </c>
      <c r="DW864">
        <f t="shared" si="1688"/>
        <v>0</v>
      </c>
      <c r="DX864">
        <f t="shared" si="1688"/>
        <v>0</v>
      </c>
      <c r="DY864">
        <f t="shared" si="1688"/>
        <v>0</v>
      </c>
      <c r="DZ864">
        <f t="shared" si="1688"/>
        <v>0</v>
      </c>
      <c r="EA864">
        <f t="shared" si="1689"/>
        <v>0</v>
      </c>
      <c r="EB864">
        <f t="shared" si="1689"/>
        <v>0</v>
      </c>
      <c r="EC864">
        <f t="shared" si="1689"/>
        <v>0</v>
      </c>
      <c r="ED864">
        <f t="shared" si="1689"/>
        <v>0</v>
      </c>
      <c r="EE864">
        <f t="shared" si="1689"/>
        <v>0</v>
      </c>
      <c r="EF864">
        <f t="shared" si="1689"/>
        <v>0</v>
      </c>
    </row>
    <row r="865" spans="1:136" ht="15.5">
      <c r="A865" s="90"/>
      <c r="B865" s="57" t="s">
        <v>3</v>
      </c>
      <c r="C865" s="95"/>
      <c r="D865" s="18">
        <v>0</v>
      </c>
      <c r="E865" s="18">
        <v>0</v>
      </c>
      <c r="F865" s="18">
        <v>0</v>
      </c>
      <c r="G865" s="18">
        <v>0</v>
      </c>
      <c r="H865" s="18">
        <v>0</v>
      </c>
      <c r="I865" s="18">
        <v>0</v>
      </c>
      <c r="J865" s="18">
        <v>0</v>
      </c>
      <c r="K865" s="18">
        <v>0</v>
      </c>
      <c r="L865" s="18">
        <v>0</v>
      </c>
      <c r="M865" s="18">
        <v>0</v>
      </c>
      <c r="N865" s="18">
        <v>0.55899999999999994</v>
      </c>
      <c r="O865" s="18">
        <v>0.254</v>
      </c>
      <c r="P865" s="18">
        <v>2.1240000000000001</v>
      </c>
      <c r="Q865" s="18">
        <v>1.3340000000000001</v>
      </c>
      <c r="R865" s="18">
        <v>0.34300000000000003</v>
      </c>
      <c r="S865" s="18">
        <v>6.9000000000000006E-2</v>
      </c>
      <c r="T865" s="18">
        <v>0</v>
      </c>
      <c r="U865" s="18">
        <v>0.25600000000000001</v>
      </c>
      <c r="V865" s="18">
        <v>0.47099999999999997</v>
      </c>
      <c r="W865" s="18">
        <v>0.03</v>
      </c>
      <c r="X865" s="18">
        <v>0.30100000000000005</v>
      </c>
      <c r="Y865" s="18">
        <v>1.6739999999999999</v>
      </c>
      <c r="Z865" s="18">
        <v>3.581</v>
      </c>
      <c r="AA865" s="18">
        <v>1.4749999999999999</v>
      </c>
      <c r="AB865" s="18">
        <v>6.48</v>
      </c>
      <c r="AC865" s="18">
        <v>13.245000000000001</v>
      </c>
      <c r="AD865" s="18">
        <v>0</v>
      </c>
      <c r="AE865" s="18">
        <v>284.649</v>
      </c>
      <c r="AF865" s="18">
        <v>794.09300000000007</v>
      </c>
      <c r="AG865" s="18">
        <v>2492</v>
      </c>
      <c r="AH865" s="18">
        <v>2183.4929999999999</v>
      </c>
      <c r="AI865" s="40" t="s">
        <v>16</v>
      </c>
      <c r="AJ865" s="18">
        <v>8261.1759999999995</v>
      </c>
      <c r="AK865" s="18">
        <v>4816.24</v>
      </c>
      <c r="AL865" s="18">
        <v>7783.1419999999998</v>
      </c>
      <c r="AM865" s="18">
        <f>10851.139-10288</f>
        <v>563.13899999999921</v>
      </c>
      <c r="AN865" s="18">
        <f>13226.245-12713</f>
        <v>513.2450000000008</v>
      </c>
      <c r="AO865" s="18">
        <v>13830.567000000001</v>
      </c>
      <c r="AP865" s="18">
        <v>15484.710999999999</v>
      </c>
      <c r="AQ865" s="18">
        <v>15645.689999999999</v>
      </c>
      <c r="AR865" s="40" t="s">
        <v>16</v>
      </c>
      <c r="AS865" s="40" t="s">
        <v>16</v>
      </c>
      <c r="AT865" s="40" t="s">
        <v>16</v>
      </c>
      <c r="AU865" s="40" t="s">
        <v>16</v>
      </c>
      <c r="AV865" s="40" t="s">
        <v>16</v>
      </c>
      <c r="AW865" s="40" t="s">
        <v>16</v>
      </c>
      <c r="AX865" s="18">
        <v>10886.6572839</v>
      </c>
      <c r="AY865" s="18">
        <v>0</v>
      </c>
      <c r="AZ865" s="18">
        <v>0</v>
      </c>
      <c r="BA865" s="18">
        <v>0</v>
      </c>
      <c r="BB865" s="18">
        <v>0</v>
      </c>
      <c r="BC865" s="18">
        <v>1.5352999999999999E-3</v>
      </c>
      <c r="BD865" s="18">
        <v>0</v>
      </c>
      <c r="BE865" s="25">
        <f>23.5195797-BE864</f>
        <v>0.53257970000000299</v>
      </c>
      <c r="BF865" s="40">
        <v>0.43287870000000001</v>
      </c>
      <c r="BG865" s="18">
        <v>0</v>
      </c>
      <c r="BH865" s="18">
        <v>0</v>
      </c>
      <c r="BI865" s="18">
        <v>0</v>
      </c>
      <c r="BJ865" s="34">
        <v>0</v>
      </c>
      <c r="BK865" s="34">
        <v>0.71299999999999997</v>
      </c>
      <c r="BL865" s="103">
        <v>5.7611000000000008E-3</v>
      </c>
      <c r="BM865" s="113">
        <v>0</v>
      </c>
      <c r="BN865" s="113">
        <v>6.8460000000000001</v>
      </c>
      <c r="BO865" s="113">
        <v>9</v>
      </c>
      <c r="BP865" s="113">
        <v>5</v>
      </c>
      <c r="BQ865" s="113">
        <v>0</v>
      </c>
      <c r="BR865" s="101"/>
      <c r="BS865">
        <f t="shared" si="1683"/>
        <v>0</v>
      </c>
      <c r="BT865">
        <f t="shared" si="1683"/>
        <v>0</v>
      </c>
      <c r="BU865">
        <f t="shared" si="1683"/>
        <v>0</v>
      </c>
      <c r="BV865">
        <f t="shared" si="1683"/>
        <v>0</v>
      </c>
      <c r="BW865">
        <f t="shared" si="1683"/>
        <v>0</v>
      </c>
      <c r="BX865">
        <f t="shared" si="1683"/>
        <v>0</v>
      </c>
      <c r="BY865">
        <f t="shared" si="1683"/>
        <v>0</v>
      </c>
      <c r="BZ865">
        <f t="shared" si="1683"/>
        <v>0</v>
      </c>
      <c r="CA865">
        <f t="shared" si="1683"/>
        <v>0</v>
      </c>
      <c r="CB865">
        <f t="shared" si="1683"/>
        <v>0</v>
      </c>
      <c r="CC865">
        <f t="shared" si="1684"/>
        <v>0</v>
      </c>
      <c r="CD865">
        <f t="shared" si="1684"/>
        <v>0</v>
      </c>
      <c r="CE865">
        <f t="shared" si="1684"/>
        <v>0</v>
      </c>
      <c r="CF865">
        <f t="shared" si="1684"/>
        <v>0</v>
      </c>
      <c r="CG865">
        <f t="shared" si="1684"/>
        <v>0</v>
      </c>
      <c r="CH865">
        <f t="shared" si="1684"/>
        <v>0</v>
      </c>
      <c r="CI865">
        <f t="shared" si="1684"/>
        <v>0</v>
      </c>
      <c r="CJ865">
        <f t="shared" si="1684"/>
        <v>0</v>
      </c>
      <c r="CK865">
        <f t="shared" si="1684"/>
        <v>0</v>
      </c>
      <c r="CL865">
        <f t="shared" si="1684"/>
        <v>0</v>
      </c>
      <c r="CM865">
        <f t="shared" si="1685"/>
        <v>0</v>
      </c>
      <c r="CN865">
        <f t="shared" si="1685"/>
        <v>0</v>
      </c>
      <c r="CO865">
        <f t="shared" si="1685"/>
        <v>0</v>
      </c>
      <c r="CP865">
        <f t="shared" si="1685"/>
        <v>0</v>
      </c>
      <c r="CQ865">
        <f t="shared" si="1685"/>
        <v>0</v>
      </c>
      <c r="CR865">
        <f t="shared" si="1685"/>
        <v>0</v>
      </c>
      <c r="CS865">
        <f t="shared" si="1685"/>
        <v>0</v>
      </c>
      <c r="CT865">
        <f t="shared" si="1685"/>
        <v>0</v>
      </c>
      <c r="CU865">
        <f t="shared" si="1685"/>
        <v>0</v>
      </c>
      <c r="CV865">
        <f t="shared" si="1685"/>
        <v>0</v>
      </c>
      <c r="CW865">
        <f t="shared" si="1686"/>
        <v>0</v>
      </c>
      <c r="CX865">
        <f t="shared" si="1686"/>
        <v>0</v>
      </c>
      <c r="CY865">
        <f t="shared" si="1686"/>
        <v>0</v>
      </c>
      <c r="CZ865">
        <f t="shared" si="1686"/>
        <v>0</v>
      </c>
      <c r="DA865">
        <f t="shared" si="1686"/>
        <v>0</v>
      </c>
      <c r="DB865">
        <f t="shared" si="1686"/>
        <v>0</v>
      </c>
      <c r="DC865">
        <f t="shared" si="1686"/>
        <v>0</v>
      </c>
      <c r="DD865">
        <f t="shared" si="1686"/>
        <v>0</v>
      </c>
      <c r="DE865">
        <f t="shared" si="1686"/>
        <v>0</v>
      </c>
      <c r="DF865">
        <f t="shared" si="1686"/>
        <v>0</v>
      </c>
      <c r="DG865">
        <f t="shared" si="1687"/>
        <v>0</v>
      </c>
      <c r="DH865">
        <f t="shared" si="1687"/>
        <v>0</v>
      </c>
      <c r="DI865">
        <f t="shared" si="1687"/>
        <v>0</v>
      </c>
      <c r="DJ865">
        <f t="shared" si="1687"/>
        <v>0</v>
      </c>
      <c r="DK865">
        <f t="shared" si="1687"/>
        <v>0</v>
      </c>
      <c r="DL865">
        <f t="shared" si="1687"/>
        <v>0</v>
      </c>
      <c r="DM865">
        <f t="shared" si="1687"/>
        <v>0</v>
      </c>
      <c r="DN865">
        <f t="shared" si="1687"/>
        <v>0</v>
      </c>
      <c r="DO865">
        <f t="shared" si="1687"/>
        <v>0</v>
      </c>
      <c r="DP865">
        <f t="shared" si="1687"/>
        <v>0</v>
      </c>
      <c r="DQ865">
        <f t="shared" si="1688"/>
        <v>0</v>
      </c>
      <c r="DR865">
        <f t="shared" si="1688"/>
        <v>0</v>
      </c>
      <c r="DS865">
        <f t="shared" si="1688"/>
        <v>0</v>
      </c>
      <c r="DT865">
        <f t="shared" si="1688"/>
        <v>0</v>
      </c>
      <c r="DU865">
        <f t="shared" si="1688"/>
        <v>0</v>
      </c>
      <c r="DV865">
        <f t="shared" si="1688"/>
        <v>0</v>
      </c>
      <c r="DW865">
        <f t="shared" si="1688"/>
        <v>0</v>
      </c>
      <c r="DX865">
        <f t="shared" si="1688"/>
        <v>0</v>
      </c>
      <c r="DY865">
        <f t="shared" si="1688"/>
        <v>0</v>
      </c>
      <c r="DZ865">
        <f t="shared" si="1688"/>
        <v>0</v>
      </c>
      <c r="EA865">
        <f t="shared" si="1689"/>
        <v>0</v>
      </c>
      <c r="EB865">
        <f t="shared" si="1689"/>
        <v>0</v>
      </c>
      <c r="EC865">
        <f t="shared" si="1689"/>
        <v>0</v>
      </c>
      <c r="ED865">
        <f t="shared" si="1689"/>
        <v>0</v>
      </c>
      <c r="EE865">
        <f t="shared" si="1689"/>
        <v>0</v>
      </c>
      <c r="EF865">
        <f t="shared" si="1689"/>
        <v>0</v>
      </c>
    </row>
    <row r="866" spans="1:136" ht="15.5">
      <c r="A866" s="90"/>
      <c r="B866" s="19" t="s">
        <v>18</v>
      </c>
      <c r="C866" s="95"/>
      <c r="D866" s="18">
        <v>0</v>
      </c>
      <c r="E866" s="18">
        <v>0</v>
      </c>
      <c r="F866" s="18">
        <v>0</v>
      </c>
      <c r="G866" s="18">
        <v>0</v>
      </c>
      <c r="H866" s="18">
        <v>0</v>
      </c>
      <c r="I866" s="18">
        <v>0</v>
      </c>
      <c r="J866" s="18">
        <v>0</v>
      </c>
      <c r="K866" s="18">
        <v>0</v>
      </c>
      <c r="L866" s="18">
        <v>0</v>
      </c>
      <c r="M866" s="18">
        <v>0</v>
      </c>
      <c r="N866" s="18">
        <v>0</v>
      </c>
      <c r="O866" s="18">
        <v>0</v>
      </c>
      <c r="P866" s="18">
        <v>0</v>
      </c>
      <c r="Q866" s="18">
        <v>0</v>
      </c>
      <c r="R866" s="18">
        <v>0</v>
      </c>
      <c r="S866" s="18">
        <v>0</v>
      </c>
      <c r="T866" s="18">
        <v>0</v>
      </c>
      <c r="U866" s="18">
        <v>0</v>
      </c>
      <c r="V866" s="18">
        <v>0</v>
      </c>
      <c r="W866" s="18">
        <v>0</v>
      </c>
      <c r="X866" s="18">
        <v>0</v>
      </c>
      <c r="Y866" s="18">
        <v>0</v>
      </c>
      <c r="Z866" s="18">
        <v>1725.0525000000002</v>
      </c>
      <c r="AA866" s="18">
        <v>1935</v>
      </c>
      <c r="AB866" s="18">
        <v>925</v>
      </c>
      <c r="AC866" s="18">
        <v>950</v>
      </c>
      <c r="AD866" s="18">
        <v>4250</v>
      </c>
      <c r="AE866" s="18">
        <v>6540.7914999999994</v>
      </c>
      <c r="AF866" s="18">
        <v>7219.7142249999979</v>
      </c>
      <c r="AG866" s="18">
        <v>5829</v>
      </c>
      <c r="AH866" s="18">
        <v>5618.973</v>
      </c>
      <c r="AI866" s="18">
        <v>5883</v>
      </c>
      <c r="AJ866" s="18">
        <v>8983</v>
      </c>
      <c r="AK866" s="18">
        <v>0</v>
      </c>
      <c r="AL866" s="18">
        <v>0</v>
      </c>
      <c r="AM866" s="18">
        <v>0</v>
      </c>
      <c r="AN866" s="18">
        <v>0</v>
      </c>
      <c r="AO866" s="18">
        <v>0</v>
      </c>
      <c r="AP866" s="18">
        <v>0</v>
      </c>
      <c r="AQ866" s="18">
        <v>0</v>
      </c>
      <c r="AR866" s="18">
        <v>0</v>
      </c>
      <c r="AS866" s="18">
        <v>0</v>
      </c>
      <c r="AT866" s="18">
        <v>0</v>
      </c>
      <c r="AU866" s="18">
        <v>0</v>
      </c>
      <c r="AV866" s="18">
        <v>0</v>
      </c>
      <c r="AW866" s="18">
        <v>0</v>
      </c>
      <c r="AX866" s="18">
        <v>0</v>
      </c>
      <c r="AY866" s="18">
        <v>0</v>
      </c>
      <c r="AZ866" s="18">
        <v>0</v>
      </c>
      <c r="BA866" s="18">
        <v>0</v>
      </c>
      <c r="BB866" s="18">
        <v>0</v>
      </c>
      <c r="BC866" s="18">
        <v>0</v>
      </c>
      <c r="BD866" s="18">
        <v>0</v>
      </c>
      <c r="BE866" s="25">
        <v>0</v>
      </c>
      <c r="BF866" s="18">
        <v>0</v>
      </c>
      <c r="BG866" s="18">
        <v>0</v>
      </c>
      <c r="BH866" s="18">
        <v>0</v>
      </c>
      <c r="BI866" s="18">
        <v>0</v>
      </c>
      <c r="BJ866" s="113">
        <v>0</v>
      </c>
      <c r="BK866" s="113">
        <v>0</v>
      </c>
      <c r="BL866" s="113">
        <v>0</v>
      </c>
      <c r="BM866" s="113">
        <v>0</v>
      </c>
      <c r="BN866" s="113">
        <v>0</v>
      </c>
      <c r="BO866" s="113">
        <v>0</v>
      </c>
      <c r="BP866" s="113">
        <v>0</v>
      </c>
      <c r="BQ866" s="113">
        <v>0</v>
      </c>
      <c r="BR866" s="101"/>
      <c r="BS866">
        <f t="shared" si="1683"/>
        <v>0</v>
      </c>
      <c r="BT866">
        <f t="shared" si="1683"/>
        <v>0</v>
      </c>
      <c r="BU866">
        <f t="shared" si="1683"/>
        <v>0</v>
      </c>
      <c r="BV866">
        <f t="shared" si="1683"/>
        <v>0</v>
      </c>
      <c r="BW866">
        <f t="shared" si="1683"/>
        <v>0</v>
      </c>
      <c r="BX866">
        <f t="shared" si="1683"/>
        <v>0</v>
      </c>
      <c r="BY866">
        <f t="shared" si="1683"/>
        <v>0</v>
      </c>
      <c r="BZ866">
        <f t="shared" si="1683"/>
        <v>0</v>
      </c>
      <c r="CA866">
        <f t="shared" si="1683"/>
        <v>0</v>
      </c>
      <c r="CB866">
        <f t="shared" si="1683"/>
        <v>0</v>
      </c>
      <c r="CC866">
        <f t="shared" si="1684"/>
        <v>0</v>
      </c>
      <c r="CD866">
        <f t="shared" si="1684"/>
        <v>0</v>
      </c>
      <c r="CE866">
        <f t="shared" si="1684"/>
        <v>0</v>
      </c>
      <c r="CF866">
        <f t="shared" si="1684"/>
        <v>0</v>
      </c>
      <c r="CG866">
        <f t="shared" si="1684"/>
        <v>0</v>
      </c>
      <c r="CH866">
        <f t="shared" si="1684"/>
        <v>0</v>
      </c>
      <c r="CI866">
        <f t="shared" si="1684"/>
        <v>0</v>
      </c>
      <c r="CJ866">
        <f t="shared" si="1684"/>
        <v>0</v>
      </c>
      <c r="CK866">
        <f t="shared" si="1684"/>
        <v>0</v>
      </c>
      <c r="CL866">
        <f t="shared" si="1684"/>
        <v>0</v>
      </c>
      <c r="CM866">
        <f t="shared" si="1685"/>
        <v>0</v>
      </c>
      <c r="CN866">
        <f t="shared" si="1685"/>
        <v>0</v>
      </c>
      <c r="CO866">
        <f t="shared" si="1685"/>
        <v>0</v>
      </c>
      <c r="CP866">
        <f t="shared" si="1685"/>
        <v>0</v>
      </c>
      <c r="CQ866">
        <f t="shared" si="1685"/>
        <v>0</v>
      </c>
      <c r="CR866">
        <f t="shared" si="1685"/>
        <v>0</v>
      </c>
      <c r="CS866">
        <f t="shared" si="1685"/>
        <v>0</v>
      </c>
      <c r="CT866">
        <f t="shared" si="1685"/>
        <v>0</v>
      </c>
      <c r="CU866">
        <f t="shared" si="1685"/>
        <v>0</v>
      </c>
      <c r="CV866">
        <f t="shared" si="1685"/>
        <v>0</v>
      </c>
      <c r="CW866">
        <f t="shared" si="1686"/>
        <v>0</v>
      </c>
      <c r="CX866">
        <f t="shared" si="1686"/>
        <v>0</v>
      </c>
      <c r="CY866">
        <f t="shared" si="1686"/>
        <v>0</v>
      </c>
      <c r="CZ866">
        <f t="shared" si="1686"/>
        <v>0</v>
      </c>
      <c r="DA866">
        <f t="shared" si="1686"/>
        <v>0</v>
      </c>
      <c r="DB866">
        <f t="shared" si="1686"/>
        <v>0</v>
      </c>
      <c r="DC866">
        <f t="shared" si="1686"/>
        <v>0</v>
      </c>
      <c r="DD866">
        <f t="shared" si="1686"/>
        <v>0</v>
      </c>
      <c r="DE866">
        <f t="shared" si="1686"/>
        <v>0</v>
      </c>
      <c r="DF866">
        <f t="shared" si="1686"/>
        <v>0</v>
      </c>
      <c r="DG866">
        <f t="shared" si="1687"/>
        <v>0</v>
      </c>
      <c r="DH866">
        <f t="shared" si="1687"/>
        <v>0</v>
      </c>
      <c r="DI866">
        <f t="shared" si="1687"/>
        <v>0</v>
      </c>
      <c r="DJ866">
        <f t="shared" si="1687"/>
        <v>0</v>
      </c>
      <c r="DK866">
        <f t="shared" si="1687"/>
        <v>0</v>
      </c>
      <c r="DL866">
        <f t="shared" si="1687"/>
        <v>0</v>
      </c>
      <c r="DM866">
        <f t="shared" si="1687"/>
        <v>0</v>
      </c>
      <c r="DN866">
        <f t="shared" si="1687"/>
        <v>0</v>
      </c>
      <c r="DO866">
        <f t="shared" si="1687"/>
        <v>0</v>
      </c>
      <c r="DP866">
        <f t="shared" si="1687"/>
        <v>0</v>
      </c>
      <c r="DQ866">
        <f t="shared" si="1688"/>
        <v>0</v>
      </c>
      <c r="DR866">
        <f t="shared" si="1688"/>
        <v>0</v>
      </c>
      <c r="DS866">
        <f t="shared" si="1688"/>
        <v>0</v>
      </c>
      <c r="DT866">
        <f t="shared" si="1688"/>
        <v>0</v>
      </c>
      <c r="DU866">
        <f t="shared" si="1688"/>
        <v>0</v>
      </c>
      <c r="DV866">
        <f t="shared" si="1688"/>
        <v>0</v>
      </c>
      <c r="DW866">
        <f t="shared" si="1688"/>
        <v>0</v>
      </c>
      <c r="DX866">
        <f t="shared" si="1688"/>
        <v>0</v>
      </c>
      <c r="DY866">
        <f t="shared" si="1688"/>
        <v>0</v>
      </c>
      <c r="DZ866">
        <f t="shared" si="1688"/>
        <v>0</v>
      </c>
      <c r="EA866">
        <f t="shared" si="1689"/>
        <v>0</v>
      </c>
      <c r="EB866">
        <f t="shared" si="1689"/>
        <v>0</v>
      </c>
      <c r="EC866">
        <f t="shared" si="1689"/>
        <v>0</v>
      </c>
      <c r="ED866">
        <f t="shared" si="1689"/>
        <v>0</v>
      </c>
      <c r="EE866">
        <f t="shared" si="1689"/>
        <v>0</v>
      </c>
      <c r="EF866">
        <f t="shared" si="1689"/>
        <v>0</v>
      </c>
    </row>
    <row r="867" spans="1:136" ht="15.5">
      <c r="A867" s="90"/>
      <c r="B867" s="53" t="s">
        <v>25</v>
      </c>
      <c r="C867" s="95"/>
      <c r="D867" s="18">
        <v>0</v>
      </c>
      <c r="E867" s="18">
        <v>0</v>
      </c>
      <c r="F867" s="18">
        <v>0</v>
      </c>
      <c r="G867" s="18">
        <v>0</v>
      </c>
      <c r="H867" s="18">
        <v>0</v>
      </c>
      <c r="I867" s="18">
        <v>0</v>
      </c>
      <c r="J867" s="18">
        <v>0</v>
      </c>
      <c r="K867" s="18">
        <v>0</v>
      </c>
      <c r="L867" s="18">
        <v>0</v>
      </c>
      <c r="M867" s="18">
        <v>0</v>
      </c>
      <c r="N867" s="18">
        <v>0</v>
      </c>
      <c r="O867" s="18">
        <v>0</v>
      </c>
      <c r="P867" s="18">
        <v>0</v>
      </c>
      <c r="Q867" s="18">
        <v>0</v>
      </c>
      <c r="R867" s="18">
        <v>0</v>
      </c>
      <c r="S867" s="18">
        <v>0</v>
      </c>
      <c r="T867" s="18">
        <v>0</v>
      </c>
      <c r="U867" s="18">
        <v>0</v>
      </c>
      <c r="V867" s="18">
        <v>0</v>
      </c>
      <c r="W867" s="18">
        <v>0</v>
      </c>
      <c r="X867" s="18">
        <v>0</v>
      </c>
      <c r="Y867" s="18">
        <v>0</v>
      </c>
      <c r="Z867" s="18">
        <v>0</v>
      </c>
      <c r="AA867" s="18">
        <v>0</v>
      </c>
      <c r="AB867" s="18">
        <v>0</v>
      </c>
      <c r="AC867" s="18">
        <v>0</v>
      </c>
      <c r="AD867" s="18">
        <v>0</v>
      </c>
      <c r="AE867" s="18">
        <v>4900</v>
      </c>
      <c r="AF867" s="18">
        <v>5292</v>
      </c>
      <c r="AG867" s="18">
        <v>0</v>
      </c>
      <c r="AH867" s="18">
        <v>0</v>
      </c>
      <c r="AI867" s="18">
        <v>0</v>
      </c>
      <c r="AJ867" s="18">
        <v>1200</v>
      </c>
      <c r="AK867" s="18">
        <v>0</v>
      </c>
      <c r="AL867" s="18">
        <v>0</v>
      </c>
      <c r="AM867" s="18">
        <v>0</v>
      </c>
      <c r="AN867" s="18">
        <v>0</v>
      </c>
      <c r="AO867" s="18">
        <v>0</v>
      </c>
      <c r="AP867" s="18">
        <v>0</v>
      </c>
      <c r="AQ867" s="18">
        <v>0</v>
      </c>
      <c r="AR867" s="18">
        <v>0</v>
      </c>
      <c r="AS867" s="18">
        <v>1200</v>
      </c>
      <c r="AT867" s="18">
        <v>0</v>
      </c>
      <c r="AU867" s="18">
        <v>0</v>
      </c>
      <c r="AV867" s="18">
        <v>30</v>
      </c>
      <c r="AW867" s="18">
        <v>30</v>
      </c>
      <c r="AX867" s="18">
        <v>0</v>
      </c>
      <c r="AY867" s="18">
        <v>0</v>
      </c>
      <c r="AZ867" s="18">
        <v>0</v>
      </c>
      <c r="BA867" s="18">
        <v>0</v>
      </c>
      <c r="BB867" s="18">
        <v>0</v>
      </c>
      <c r="BC867" s="18">
        <v>0</v>
      </c>
      <c r="BD867" s="18">
        <v>0</v>
      </c>
      <c r="BE867" s="25">
        <v>0</v>
      </c>
      <c r="BF867" s="18">
        <v>0</v>
      </c>
      <c r="BG867" s="18">
        <v>0</v>
      </c>
      <c r="BH867" s="18">
        <v>0</v>
      </c>
      <c r="BI867" s="18">
        <v>0</v>
      </c>
      <c r="BJ867" s="113">
        <v>0</v>
      </c>
      <c r="BK867" s="113">
        <v>0</v>
      </c>
      <c r="BL867" s="113">
        <v>0</v>
      </c>
      <c r="BM867" s="113">
        <v>0</v>
      </c>
      <c r="BN867" s="113">
        <v>0</v>
      </c>
      <c r="BO867" s="113">
        <v>0</v>
      </c>
      <c r="BP867" s="113">
        <v>0</v>
      </c>
      <c r="BQ867" s="113">
        <v>0</v>
      </c>
      <c r="BR867" s="101"/>
      <c r="BS867">
        <f t="shared" si="1683"/>
        <v>0</v>
      </c>
      <c r="BT867">
        <f t="shared" si="1683"/>
        <v>0</v>
      </c>
      <c r="BU867">
        <f t="shared" si="1683"/>
        <v>0</v>
      </c>
      <c r="BV867">
        <f t="shared" si="1683"/>
        <v>0</v>
      </c>
      <c r="BW867">
        <f t="shared" si="1683"/>
        <v>0</v>
      </c>
      <c r="BX867">
        <f t="shared" si="1683"/>
        <v>0</v>
      </c>
      <c r="BY867">
        <f t="shared" si="1683"/>
        <v>0</v>
      </c>
      <c r="BZ867">
        <f t="shared" si="1683"/>
        <v>0</v>
      </c>
      <c r="CA867">
        <f t="shared" si="1683"/>
        <v>0</v>
      </c>
      <c r="CB867">
        <f t="shared" si="1683"/>
        <v>0</v>
      </c>
      <c r="CC867">
        <f t="shared" si="1684"/>
        <v>0</v>
      </c>
      <c r="CD867">
        <f t="shared" si="1684"/>
        <v>0</v>
      </c>
      <c r="CE867">
        <f t="shared" si="1684"/>
        <v>0</v>
      </c>
      <c r="CF867">
        <f t="shared" si="1684"/>
        <v>0</v>
      </c>
      <c r="CG867">
        <f t="shared" si="1684"/>
        <v>0</v>
      </c>
      <c r="CH867">
        <f t="shared" si="1684"/>
        <v>0</v>
      </c>
      <c r="CI867">
        <f t="shared" si="1684"/>
        <v>0</v>
      </c>
      <c r="CJ867">
        <f t="shared" si="1684"/>
        <v>0</v>
      </c>
      <c r="CK867">
        <f t="shared" si="1684"/>
        <v>0</v>
      </c>
      <c r="CL867">
        <f t="shared" si="1684"/>
        <v>0</v>
      </c>
      <c r="CM867">
        <f t="shared" si="1685"/>
        <v>0</v>
      </c>
      <c r="CN867">
        <f t="shared" si="1685"/>
        <v>0</v>
      </c>
      <c r="CO867">
        <f t="shared" si="1685"/>
        <v>0</v>
      </c>
      <c r="CP867">
        <f t="shared" si="1685"/>
        <v>0</v>
      </c>
      <c r="CQ867">
        <f t="shared" si="1685"/>
        <v>0</v>
      </c>
      <c r="CR867">
        <f t="shared" si="1685"/>
        <v>0</v>
      </c>
      <c r="CS867">
        <f t="shared" si="1685"/>
        <v>0</v>
      </c>
      <c r="CT867">
        <f t="shared" si="1685"/>
        <v>0</v>
      </c>
      <c r="CU867">
        <f t="shared" si="1685"/>
        <v>0</v>
      </c>
      <c r="CV867">
        <f t="shared" si="1685"/>
        <v>0</v>
      </c>
      <c r="CW867">
        <f t="shared" si="1686"/>
        <v>0</v>
      </c>
      <c r="CX867">
        <f t="shared" si="1686"/>
        <v>0</v>
      </c>
      <c r="CY867">
        <f t="shared" si="1686"/>
        <v>0</v>
      </c>
      <c r="CZ867">
        <f t="shared" si="1686"/>
        <v>0</v>
      </c>
      <c r="DA867">
        <f t="shared" si="1686"/>
        <v>0</v>
      </c>
      <c r="DB867">
        <f t="shared" si="1686"/>
        <v>0</v>
      </c>
      <c r="DC867">
        <f t="shared" si="1686"/>
        <v>0</v>
      </c>
      <c r="DD867">
        <f t="shared" si="1686"/>
        <v>0</v>
      </c>
      <c r="DE867">
        <f t="shared" si="1686"/>
        <v>0</v>
      </c>
      <c r="DF867">
        <f t="shared" si="1686"/>
        <v>0</v>
      </c>
      <c r="DG867">
        <f t="shared" si="1687"/>
        <v>0</v>
      </c>
      <c r="DH867">
        <f t="shared" si="1687"/>
        <v>0</v>
      </c>
      <c r="DI867">
        <f t="shared" si="1687"/>
        <v>0</v>
      </c>
      <c r="DJ867">
        <f t="shared" si="1687"/>
        <v>0</v>
      </c>
      <c r="DK867">
        <f t="shared" si="1687"/>
        <v>0</v>
      </c>
      <c r="DL867">
        <f t="shared" si="1687"/>
        <v>0</v>
      </c>
      <c r="DM867">
        <f t="shared" si="1687"/>
        <v>0</v>
      </c>
      <c r="DN867">
        <f t="shared" si="1687"/>
        <v>0</v>
      </c>
      <c r="DO867">
        <f t="shared" si="1687"/>
        <v>0</v>
      </c>
      <c r="DP867">
        <f t="shared" si="1687"/>
        <v>0</v>
      </c>
      <c r="DQ867">
        <f t="shared" si="1688"/>
        <v>0</v>
      </c>
      <c r="DR867">
        <f t="shared" si="1688"/>
        <v>0</v>
      </c>
      <c r="DS867">
        <f t="shared" si="1688"/>
        <v>0</v>
      </c>
      <c r="DT867">
        <f t="shared" si="1688"/>
        <v>0</v>
      </c>
      <c r="DU867">
        <f t="shared" si="1688"/>
        <v>0</v>
      </c>
      <c r="DV867">
        <f t="shared" si="1688"/>
        <v>0</v>
      </c>
      <c r="DW867">
        <f t="shared" si="1688"/>
        <v>0</v>
      </c>
      <c r="DX867">
        <f t="shared" si="1688"/>
        <v>0</v>
      </c>
      <c r="DY867">
        <f t="shared" si="1688"/>
        <v>0</v>
      </c>
      <c r="DZ867">
        <f t="shared" si="1688"/>
        <v>0</v>
      </c>
      <c r="EA867">
        <f t="shared" si="1689"/>
        <v>0</v>
      </c>
      <c r="EB867">
        <f t="shared" si="1689"/>
        <v>0</v>
      </c>
      <c r="EC867">
        <f t="shared" si="1689"/>
        <v>0</v>
      </c>
      <c r="ED867">
        <f t="shared" si="1689"/>
        <v>0</v>
      </c>
      <c r="EE867">
        <f t="shared" si="1689"/>
        <v>0</v>
      </c>
      <c r="EF867">
        <f t="shared" si="1689"/>
        <v>0</v>
      </c>
    </row>
    <row r="868" spans="1:136" ht="15.5">
      <c r="A868" s="90"/>
      <c r="B868" s="57" t="s">
        <v>208</v>
      </c>
      <c r="C868" s="95"/>
      <c r="D868" s="18">
        <v>0</v>
      </c>
      <c r="E868" s="18">
        <v>0</v>
      </c>
      <c r="F868" s="18">
        <v>0</v>
      </c>
      <c r="G868" s="18">
        <v>0</v>
      </c>
      <c r="H868" s="18">
        <v>0</v>
      </c>
      <c r="I868" s="18">
        <v>0</v>
      </c>
      <c r="J868" s="18">
        <v>0</v>
      </c>
      <c r="K868" s="18">
        <v>0</v>
      </c>
      <c r="L868" s="18">
        <v>0</v>
      </c>
      <c r="M868" s="18">
        <v>0</v>
      </c>
      <c r="N868" s="18">
        <v>1.597</v>
      </c>
      <c r="O868" s="18">
        <v>0</v>
      </c>
      <c r="P868" s="18">
        <v>7.6039999999999992</v>
      </c>
      <c r="Q868" s="18">
        <v>6.1669999999999998</v>
      </c>
      <c r="R868" s="18">
        <v>5.7530000000000001</v>
      </c>
      <c r="S868" s="18">
        <v>3.9609999999999999</v>
      </c>
      <c r="T868" s="18">
        <v>2.64</v>
      </c>
      <c r="U868" s="18">
        <v>6.7000000000000004E-2</v>
      </c>
      <c r="V868" s="18">
        <v>0</v>
      </c>
      <c r="W868" s="18">
        <v>0</v>
      </c>
      <c r="X868" s="18">
        <v>0</v>
      </c>
      <c r="Y868" s="18">
        <v>2.8690000000000002</v>
      </c>
      <c r="Z868" s="18">
        <v>18.580000000000002</v>
      </c>
      <c r="AA868" s="18">
        <v>16.739000000000001</v>
      </c>
      <c r="AB868" s="18">
        <v>75.361999999999995</v>
      </c>
      <c r="AC868" s="40">
        <v>227.25700000000001</v>
      </c>
      <c r="AD868" s="40" t="s">
        <v>16</v>
      </c>
      <c r="AE868" s="40" t="s">
        <v>16</v>
      </c>
      <c r="AF868" s="40" t="s">
        <v>16</v>
      </c>
      <c r="AG868" s="40" t="s">
        <v>16</v>
      </c>
      <c r="AH868" s="40" t="s">
        <v>16</v>
      </c>
      <c r="AI868" s="40" t="s">
        <v>16</v>
      </c>
      <c r="AJ868" s="40" t="s">
        <v>16</v>
      </c>
      <c r="AK868" s="18">
        <v>1518.2359999999999</v>
      </c>
      <c r="AL868" s="18">
        <v>1864.011</v>
      </c>
      <c r="AM868" s="18">
        <v>2063.5140000000001</v>
      </c>
      <c r="AN868" s="18">
        <v>2060.808</v>
      </c>
      <c r="AO868" s="18">
        <v>1976.915</v>
      </c>
      <c r="AP868" s="18">
        <v>2392.634</v>
      </c>
      <c r="AQ868" s="18">
        <v>2683.2219999999998</v>
      </c>
      <c r="AR868" s="18">
        <v>2557.7774669</v>
      </c>
      <c r="AS868" s="18">
        <v>12.771086499999999</v>
      </c>
      <c r="AT868" s="18">
        <v>3.7953201000000001</v>
      </c>
      <c r="AU868" s="18">
        <v>3.8369939999999998</v>
      </c>
      <c r="AV868" s="18">
        <v>11.5029345</v>
      </c>
      <c r="AW868" s="18">
        <v>0</v>
      </c>
      <c r="AX868" s="18">
        <v>0</v>
      </c>
      <c r="AY868" s="18">
        <v>0</v>
      </c>
      <c r="AZ868" s="18">
        <v>0</v>
      </c>
      <c r="BA868" s="18">
        <v>0</v>
      </c>
      <c r="BB868" s="18">
        <v>0</v>
      </c>
      <c r="BC868" s="18">
        <v>0</v>
      </c>
      <c r="BD868" s="18">
        <v>0</v>
      </c>
      <c r="BE868" s="25">
        <v>0</v>
      </c>
      <c r="BF868" s="18">
        <v>0</v>
      </c>
      <c r="BG868" s="18">
        <v>0</v>
      </c>
      <c r="BH868" s="18">
        <v>0</v>
      </c>
      <c r="BI868" s="18">
        <v>0</v>
      </c>
      <c r="BJ868" s="113">
        <v>0</v>
      </c>
      <c r="BK868" s="113">
        <v>0</v>
      </c>
      <c r="BL868" s="113">
        <v>0</v>
      </c>
      <c r="BM868" s="113">
        <v>0</v>
      </c>
      <c r="BN868" s="113">
        <v>0</v>
      </c>
      <c r="BO868" s="113">
        <v>0</v>
      </c>
      <c r="BP868" s="113">
        <v>0</v>
      </c>
      <c r="BQ868" s="113">
        <v>0</v>
      </c>
      <c r="BR868" s="101"/>
      <c r="BS868">
        <f t="shared" si="1683"/>
        <v>0</v>
      </c>
      <c r="BT868">
        <f t="shared" si="1683"/>
        <v>0</v>
      </c>
      <c r="BU868">
        <f t="shared" si="1683"/>
        <v>0</v>
      </c>
      <c r="BV868">
        <f t="shared" si="1683"/>
        <v>0</v>
      </c>
      <c r="BW868">
        <f t="shared" si="1683"/>
        <v>0</v>
      </c>
      <c r="BX868">
        <f t="shared" si="1683"/>
        <v>0</v>
      </c>
      <c r="BY868">
        <f t="shared" si="1683"/>
        <v>0</v>
      </c>
      <c r="BZ868">
        <f t="shared" si="1683"/>
        <v>0</v>
      </c>
      <c r="CA868">
        <f t="shared" si="1683"/>
        <v>0</v>
      </c>
      <c r="CB868">
        <f t="shared" si="1683"/>
        <v>0</v>
      </c>
      <c r="CC868">
        <f t="shared" si="1684"/>
        <v>0</v>
      </c>
      <c r="CD868">
        <f t="shared" si="1684"/>
        <v>0</v>
      </c>
      <c r="CE868">
        <f t="shared" si="1684"/>
        <v>0</v>
      </c>
      <c r="CF868">
        <f t="shared" si="1684"/>
        <v>0</v>
      </c>
      <c r="CG868">
        <f t="shared" si="1684"/>
        <v>0</v>
      </c>
      <c r="CH868">
        <f t="shared" si="1684"/>
        <v>0</v>
      </c>
      <c r="CI868">
        <f t="shared" si="1684"/>
        <v>0</v>
      </c>
      <c r="CJ868">
        <f t="shared" si="1684"/>
        <v>0</v>
      </c>
      <c r="CK868">
        <f t="shared" si="1684"/>
        <v>0</v>
      </c>
      <c r="CL868">
        <f t="shared" si="1684"/>
        <v>0</v>
      </c>
      <c r="CM868">
        <f t="shared" si="1685"/>
        <v>0</v>
      </c>
      <c r="CN868">
        <f t="shared" si="1685"/>
        <v>0</v>
      </c>
      <c r="CO868">
        <f t="shared" si="1685"/>
        <v>0</v>
      </c>
      <c r="CP868">
        <f t="shared" si="1685"/>
        <v>0</v>
      </c>
      <c r="CQ868">
        <f t="shared" si="1685"/>
        <v>0</v>
      </c>
      <c r="CR868">
        <f t="shared" si="1685"/>
        <v>0</v>
      </c>
      <c r="CS868">
        <f t="shared" si="1685"/>
        <v>0</v>
      </c>
      <c r="CT868">
        <f t="shared" si="1685"/>
        <v>0</v>
      </c>
      <c r="CU868">
        <f t="shared" si="1685"/>
        <v>0</v>
      </c>
      <c r="CV868">
        <f t="shared" si="1685"/>
        <v>0</v>
      </c>
      <c r="CW868">
        <f t="shared" si="1686"/>
        <v>0</v>
      </c>
      <c r="CX868">
        <f t="shared" si="1686"/>
        <v>0</v>
      </c>
      <c r="CY868">
        <f t="shared" si="1686"/>
        <v>0</v>
      </c>
      <c r="CZ868">
        <f t="shared" si="1686"/>
        <v>0</v>
      </c>
      <c r="DA868">
        <f t="shared" si="1686"/>
        <v>0</v>
      </c>
      <c r="DB868">
        <f t="shared" si="1686"/>
        <v>0</v>
      </c>
      <c r="DC868">
        <f t="shared" si="1686"/>
        <v>0</v>
      </c>
      <c r="DD868">
        <f t="shared" si="1686"/>
        <v>0</v>
      </c>
      <c r="DE868">
        <f t="shared" si="1686"/>
        <v>0</v>
      </c>
      <c r="DF868">
        <f t="shared" si="1686"/>
        <v>0</v>
      </c>
      <c r="DG868">
        <f t="shared" si="1687"/>
        <v>0</v>
      </c>
      <c r="DH868">
        <f t="shared" si="1687"/>
        <v>0</v>
      </c>
      <c r="DI868">
        <f t="shared" si="1687"/>
        <v>0</v>
      </c>
      <c r="DJ868">
        <f t="shared" si="1687"/>
        <v>0</v>
      </c>
      <c r="DK868">
        <f t="shared" si="1687"/>
        <v>0</v>
      </c>
      <c r="DL868">
        <f t="shared" si="1687"/>
        <v>0</v>
      </c>
      <c r="DM868">
        <f t="shared" si="1687"/>
        <v>0</v>
      </c>
      <c r="DN868">
        <f t="shared" si="1687"/>
        <v>0</v>
      </c>
      <c r="DO868">
        <f t="shared" si="1687"/>
        <v>0</v>
      </c>
      <c r="DP868">
        <f t="shared" si="1687"/>
        <v>0</v>
      </c>
      <c r="DQ868">
        <f t="shared" si="1688"/>
        <v>0</v>
      </c>
      <c r="DR868">
        <f t="shared" si="1688"/>
        <v>0</v>
      </c>
      <c r="DS868">
        <f t="shared" si="1688"/>
        <v>0</v>
      </c>
      <c r="DT868">
        <f t="shared" si="1688"/>
        <v>0</v>
      </c>
      <c r="DU868">
        <f t="shared" si="1688"/>
        <v>0</v>
      </c>
      <c r="DV868">
        <f t="shared" si="1688"/>
        <v>0</v>
      </c>
      <c r="DW868">
        <f t="shared" si="1688"/>
        <v>0</v>
      </c>
      <c r="DX868">
        <f t="shared" si="1688"/>
        <v>0</v>
      </c>
      <c r="DY868">
        <f t="shared" si="1688"/>
        <v>0</v>
      </c>
      <c r="DZ868">
        <f t="shared" si="1688"/>
        <v>0</v>
      </c>
      <c r="EA868">
        <f t="shared" si="1689"/>
        <v>0</v>
      </c>
      <c r="EB868">
        <f t="shared" si="1689"/>
        <v>0</v>
      </c>
      <c r="EC868">
        <f t="shared" si="1689"/>
        <v>0</v>
      </c>
      <c r="ED868">
        <f t="shared" si="1689"/>
        <v>0</v>
      </c>
      <c r="EE868">
        <f t="shared" si="1689"/>
        <v>0</v>
      </c>
      <c r="EF868">
        <f t="shared" si="1689"/>
        <v>0</v>
      </c>
    </row>
    <row r="869" spans="1:136" ht="15.5">
      <c r="A869" s="90"/>
      <c r="B869" s="53" t="s">
        <v>21</v>
      </c>
      <c r="C869" s="95"/>
      <c r="D869" s="18">
        <v>0</v>
      </c>
      <c r="E869" s="18">
        <v>0</v>
      </c>
      <c r="F869" s="18">
        <v>0</v>
      </c>
      <c r="G869" s="18">
        <v>0</v>
      </c>
      <c r="H869" s="18">
        <v>0</v>
      </c>
      <c r="I869" s="18">
        <v>0</v>
      </c>
      <c r="J869" s="18">
        <v>0</v>
      </c>
      <c r="K869" s="18">
        <v>290</v>
      </c>
      <c r="L869" s="18">
        <v>0</v>
      </c>
      <c r="M869" s="18">
        <v>0</v>
      </c>
      <c r="N869" s="18">
        <v>112</v>
      </c>
      <c r="O869" s="18">
        <v>0</v>
      </c>
      <c r="P869" s="18">
        <v>0</v>
      </c>
      <c r="Q869" s="18">
        <v>0</v>
      </c>
      <c r="R869" s="18">
        <v>0</v>
      </c>
      <c r="S869" s="18">
        <v>0</v>
      </c>
      <c r="T869" s="18">
        <v>0</v>
      </c>
      <c r="U869" s="18">
        <v>0</v>
      </c>
      <c r="V869" s="18">
        <v>0</v>
      </c>
      <c r="W869" s="18">
        <v>0</v>
      </c>
      <c r="X869" s="18">
        <v>0</v>
      </c>
      <c r="Y869" s="18">
        <v>0</v>
      </c>
      <c r="Z869" s="18">
        <v>0</v>
      </c>
      <c r="AA869" s="18">
        <v>0</v>
      </c>
      <c r="AB869" s="18">
        <v>6045</v>
      </c>
      <c r="AC869" s="18">
        <v>0</v>
      </c>
      <c r="AD869" s="18">
        <v>0</v>
      </c>
      <c r="AE869" s="18">
        <v>0</v>
      </c>
      <c r="AF869" s="18">
        <v>0</v>
      </c>
      <c r="AG869" s="18">
        <v>0</v>
      </c>
      <c r="AH869" s="18">
        <v>0</v>
      </c>
      <c r="AI869" s="18">
        <v>0</v>
      </c>
      <c r="AJ869" s="18">
        <v>0</v>
      </c>
      <c r="AK869" s="18">
        <v>0</v>
      </c>
      <c r="AL869" s="18">
        <v>0</v>
      </c>
      <c r="AM869" s="18">
        <v>250</v>
      </c>
      <c r="AN869" s="18">
        <v>250</v>
      </c>
      <c r="AO869" s="18">
        <v>0</v>
      </c>
      <c r="AP869" s="18">
        <v>0</v>
      </c>
      <c r="AQ869" s="18">
        <v>0</v>
      </c>
      <c r="AR869" s="18">
        <v>0</v>
      </c>
      <c r="AS869" s="18">
        <v>0</v>
      </c>
      <c r="AT869" s="18">
        <v>0</v>
      </c>
      <c r="AU869" s="18">
        <v>0</v>
      </c>
      <c r="AV869" s="18">
        <v>0</v>
      </c>
      <c r="AW869" s="18">
        <v>0</v>
      </c>
      <c r="AX869" s="18">
        <v>0</v>
      </c>
      <c r="AY869" s="18">
        <v>0</v>
      </c>
      <c r="AZ869" s="18">
        <v>0</v>
      </c>
      <c r="BA869" s="18">
        <v>0</v>
      </c>
      <c r="BB869" s="18">
        <v>0</v>
      </c>
      <c r="BC869" s="18">
        <v>0</v>
      </c>
      <c r="BD869" s="18">
        <v>0</v>
      </c>
      <c r="BE869" s="18">
        <v>0</v>
      </c>
      <c r="BF869" s="18">
        <v>0</v>
      </c>
      <c r="BG869" s="18">
        <v>0</v>
      </c>
      <c r="BH869" s="18">
        <v>0</v>
      </c>
      <c r="BI869" s="18">
        <v>0</v>
      </c>
      <c r="BJ869" s="113">
        <v>0</v>
      </c>
      <c r="BK869" s="113">
        <v>0</v>
      </c>
      <c r="BL869" s="113">
        <v>0</v>
      </c>
      <c r="BM869" s="113">
        <v>0</v>
      </c>
      <c r="BN869" s="113">
        <v>0</v>
      </c>
      <c r="BO869" s="113">
        <v>0</v>
      </c>
      <c r="BP869" s="113">
        <v>0</v>
      </c>
      <c r="BQ869" s="113">
        <v>0</v>
      </c>
      <c r="BR869" s="101"/>
      <c r="BS869">
        <f t="shared" si="1683"/>
        <v>0</v>
      </c>
      <c r="BT869">
        <f t="shared" si="1683"/>
        <v>0</v>
      </c>
      <c r="BU869">
        <f t="shared" si="1683"/>
        <v>0</v>
      </c>
      <c r="BV869">
        <f t="shared" si="1683"/>
        <v>0</v>
      </c>
      <c r="BW869">
        <f t="shared" si="1683"/>
        <v>0</v>
      </c>
      <c r="BX869">
        <f t="shared" si="1683"/>
        <v>0</v>
      </c>
      <c r="BY869">
        <f t="shared" si="1683"/>
        <v>0</v>
      </c>
      <c r="BZ869">
        <f t="shared" si="1683"/>
        <v>0</v>
      </c>
      <c r="CA869">
        <f t="shared" si="1683"/>
        <v>0</v>
      </c>
      <c r="CB869">
        <f t="shared" si="1683"/>
        <v>0</v>
      </c>
      <c r="CC869">
        <f t="shared" si="1684"/>
        <v>0</v>
      </c>
      <c r="CD869">
        <f t="shared" si="1684"/>
        <v>0</v>
      </c>
      <c r="CE869">
        <f t="shared" si="1684"/>
        <v>0</v>
      </c>
      <c r="CF869">
        <f t="shared" si="1684"/>
        <v>0</v>
      </c>
      <c r="CG869">
        <f t="shared" si="1684"/>
        <v>0</v>
      </c>
      <c r="CH869">
        <f t="shared" si="1684"/>
        <v>0</v>
      </c>
      <c r="CI869">
        <f t="shared" si="1684"/>
        <v>0</v>
      </c>
      <c r="CJ869">
        <f t="shared" si="1684"/>
        <v>0</v>
      </c>
      <c r="CK869">
        <f t="shared" si="1684"/>
        <v>0</v>
      </c>
      <c r="CL869">
        <f t="shared" si="1684"/>
        <v>0</v>
      </c>
      <c r="CM869">
        <f t="shared" si="1685"/>
        <v>0</v>
      </c>
      <c r="CN869">
        <f t="shared" si="1685"/>
        <v>0</v>
      </c>
      <c r="CO869">
        <f t="shared" si="1685"/>
        <v>0</v>
      </c>
      <c r="CP869">
        <f t="shared" si="1685"/>
        <v>0</v>
      </c>
      <c r="CQ869">
        <f t="shared" si="1685"/>
        <v>0</v>
      </c>
      <c r="CR869">
        <f t="shared" si="1685"/>
        <v>0</v>
      </c>
      <c r="CS869">
        <f t="shared" si="1685"/>
        <v>0</v>
      </c>
      <c r="CT869">
        <f t="shared" si="1685"/>
        <v>0</v>
      </c>
      <c r="CU869">
        <f t="shared" si="1685"/>
        <v>0</v>
      </c>
      <c r="CV869">
        <f t="shared" si="1685"/>
        <v>0</v>
      </c>
      <c r="CW869">
        <f t="shared" si="1686"/>
        <v>0</v>
      </c>
      <c r="CX869">
        <f t="shared" si="1686"/>
        <v>0</v>
      </c>
      <c r="CY869">
        <f t="shared" si="1686"/>
        <v>0</v>
      </c>
      <c r="CZ869">
        <f t="shared" si="1686"/>
        <v>0</v>
      </c>
      <c r="DA869">
        <f t="shared" si="1686"/>
        <v>0</v>
      </c>
      <c r="DB869">
        <f t="shared" si="1686"/>
        <v>0</v>
      </c>
      <c r="DC869">
        <f t="shared" si="1686"/>
        <v>0</v>
      </c>
      <c r="DD869">
        <f t="shared" si="1686"/>
        <v>0</v>
      </c>
      <c r="DE869">
        <f t="shared" si="1686"/>
        <v>0</v>
      </c>
      <c r="DF869">
        <f t="shared" si="1686"/>
        <v>0</v>
      </c>
      <c r="DG869">
        <f t="shared" si="1687"/>
        <v>0</v>
      </c>
      <c r="DH869">
        <f t="shared" si="1687"/>
        <v>0</v>
      </c>
      <c r="DI869">
        <f t="shared" si="1687"/>
        <v>0</v>
      </c>
      <c r="DJ869">
        <f t="shared" si="1687"/>
        <v>0</v>
      </c>
      <c r="DK869">
        <f t="shared" si="1687"/>
        <v>0</v>
      </c>
      <c r="DL869">
        <f t="shared" si="1687"/>
        <v>0</v>
      </c>
      <c r="DM869">
        <f t="shared" si="1687"/>
        <v>0</v>
      </c>
      <c r="DN869">
        <f t="shared" si="1687"/>
        <v>0</v>
      </c>
      <c r="DO869">
        <f t="shared" si="1687"/>
        <v>0</v>
      </c>
      <c r="DP869">
        <f t="shared" si="1687"/>
        <v>0</v>
      </c>
      <c r="DQ869">
        <f t="shared" si="1688"/>
        <v>0</v>
      </c>
      <c r="DR869">
        <f t="shared" si="1688"/>
        <v>0</v>
      </c>
      <c r="DS869">
        <f t="shared" si="1688"/>
        <v>0</v>
      </c>
      <c r="DT869">
        <f t="shared" si="1688"/>
        <v>0</v>
      </c>
      <c r="DU869">
        <f t="shared" si="1688"/>
        <v>0</v>
      </c>
      <c r="DV869">
        <f t="shared" si="1688"/>
        <v>0</v>
      </c>
      <c r="DW869">
        <f t="shared" si="1688"/>
        <v>0</v>
      </c>
      <c r="DX869">
        <f t="shared" si="1688"/>
        <v>0</v>
      </c>
      <c r="DY869">
        <f t="shared" si="1688"/>
        <v>0</v>
      </c>
      <c r="DZ869">
        <f t="shared" si="1688"/>
        <v>0</v>
      </c>
      <c r="EA869">
        <f t="shared" si="1689"/>
        <v>0</v>
      </c>
      <c r="EB869">
        <f t="shared" si="1689"/>
        <v>0</v>
      </c>
      <c r="EC869">
        <f t="shared" si="1689"/>
        <v>0</v>
      </c>
      <c r="ED869">
        <f t="shared" si="1689"/>
        <v>0</v>
      </c>
      <c r="EE869">
        <f t="shared" si="1689"/>
        <v>0</v>
      </c>
      <c r="EF869">
        <f t="shared" si="1689"/>
        <v>0</v>
      </c>
    </row>
    <row r="870" spans="1:136" ht="15.5">
      <c r="A870" s="90"/>
      <c r="B870" s="19" t="s">
        <v>212</v>
      </c>
      <c r="C870" s="95"/>
      <c r="D870" s="18"/>
      <c r="E870" s="18"/>
      <c r="F870" s="18"/>
      <c r="G870" s="18"/>
      <c r="H870" s="18"/>
      <c r="I870" s="18"/>
      <c r="J870" s="18"/>
      <c r="K870" s="40" t="s">
        <v>16</v>
      </c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40" t="s">
        <v>16</v>
      </c>
      <c r="AC870" s="18"/>
      <c r="AD870" s="18"/>
      <c r="AE870" s="18"/>
      <c r="AF870" s="18"/>
      <c r="AG870" s="18"/>
      <c r="AH870" s="18">
        <v>0</v>
      </c>
      <c r="AI870" s="18">
        <v>0</v>
      </c>
      <c r="AJ870" s="18">
        <v>147.28</v>
      </c>
      <c r="AK870" s="18">
        <v>812.97142857142853</v>
      </c>
      <c r="AL870" s="18">
        <v>761</v>
      </c>
      <c r="AM870" s="18">
        <v>326.7</v>
      </c>
      <c r="AN870" s="18">
        <v>305.08571428571429</v>
      </c>
      <c r="AO870" s="18">
        <v>2305.8823529411766</v>
      </c>
      <c r="AP870" s="34">
        <v>2423.5294117647059</v>
      </c>
      <c r="AQ870" s="34">
        <v>1757.5757575757575</v>
      </c>
      <c r="AR870" s="34">
        <v>1200</v>
      </c>
      <c r="AS870" s="34">
        <v>525.42372881355936</v>
      </c>
      <c r="AT870" s="34">
        <v>476.92307692307691</v>
      </c>
      <c r="AU870" s="34">
        <v>436.61971830985914</v>
      </c>
      <c r="AV870" s="34">
        <v>446.97570470766345</v>
      </c>
      <c r="AW870" s="34">
        <v>281.82907066863947</v>
      </c>
      <c r="AX870" s="34">
        <v>309.31023816888342</v>
      </c>
      <c r="AY870" s="34">
        <v>330.38737920211452</v>
      </c>
      <c r="AZ870" s="175">
        <v>363.24010170722846</v>
      </c>
      <c r="BA870" s="175">
        <v>651.55069064373208</v>
      </c>
      <c r="BB870" s="175">
        <v>1294.3308309603933</v>
      </c>
      <c r="BC870" s="175">
        <v>2456.2480810561869</v>
      </c>
      <c r="BD870" s="146">
        <v>5023.2324500816276</v>
      </c>
      <c r="BE870" s="148">
        <v>7001.1668611435234</v>
      </c>
      <c r="BF870" s="146">
        <v>9907.1371716635713</v>
      </c>
      <c r="BG870" s="146">
        <v>7228.0294231513744</v>
      </c>
      <c r="BH870" s="142">
        <v>4100.9533014101835</v>
      </c>
      <c r="BI870" s="113">
        <v>5007.8549182812894</v>
      </c>
      <c r="BJ870" s="113">
        <v>4088.4829142133935</v>
      </c>
      <c r="BK870" s="113">
        <v>2514.9201943095072</v>
      </c>
      <c r="BL870" s="18">
        <v>990.20397777872017</v>
      </c>
      <c r="BM870" s="113">
        <v>712.99946464204015</v>
      </c>
      <c r="BN870" s="113">
        <v>0</v>
      </c>
      <c r="BO870" s="113">
        <v>0</v>
      </c>
      <c r="BP870" s="113">
        <v>0</v>
      </c>
      <c r="BQ870" s="113">
        <v>0</v>
      </c>
      <c r="BR870" s="101"/>
      <c r="BS870">
        <f t="shared" si="1683"/>
        <v>0</v>
      </c>
      <c r="BT870">
        <f t="shared" si="1683"/>
        <v>0</v>
      </c>
      <c r="BU870">
        <f t="shared" si="1683"/>
        <v>0</v>
      </c>
      <c r="BV870">
        <f t="shared" si="1683"/>
        <v>0</v>
      </c>
      <c r="BW870">
        <f t="shared" si="1683"/>
        <v>0</v>
      </c>
      <c r="BX870">
        <f t="shared" si="1683"/>
        <v>0</v>
      </c>
      <c r="BY870">
        <f t="shared" si="1683"/>
        <v>0</v>
      </c>
      <c r="BZ870">
        <f t="shared" si="1683"/>
        <v>0</v>
      </c>
      <c r="CA870">
        <f t="shared" si="1683"/>
        <v>0</v>
      </c>
      <c r="CB870">
        <f t="shared" si="1683"/>
        <v>0</v>
      </c>
      <c r="CC870">
        <f t="shared" si="1684"/>
        <v>0</v>
      </c>
      <c r="CD870">
        <f t="shared" si="1684"/>
        <v>0</v>
      </c>
      <c r="CE870">
        <f t="shared" si="1684"/>
        <v>0</v>
      </c>
      <c r="CF870">
        <f t="shared" si="1684"/>
        <v>0</v>
      </c>
      <c r="CG870">
        <f t="shared" si="1684"/>
        <v>0</v>
      </c>
      <c r="CH870">
        <f t="shared" si="1684"/>
        <v>0</v>
      </c>
      <c r="CI870">
        <f t="shared" si="1684"/>
        <v>0</v>
      </c>
      <c r="CJ870">
        <f t="shared" si="1684"/>
        <v>0</v>
      </c>
      <c r="CK870">
        <f t="shared" si="1684"/>
        <v>0</v>
      </c>
      <c r="CL870">
        <f t="shared" si="1684"/>
        <v>0</v>
      </c>
      <c r="CM870">
        <f t="shared" si="1685"/>
        <v>0</v>
      </c>
      <c r="CN870">
        <f t="shared" si="1685"/>
        <v>0</v>
      </c>
      <c r="CO870">
        <f t="shared" si="1685"/>
        <v>0</v>
      </c>
      <c r="CP870">
        <f t="shared" si="1685"/>
        <v>0</v>
      </c>
      <c r="CQ870">
        <f t="shared" si="1685"/>
        <v>0</v>
      </c>
      <c r="CR870">
        <f t="shared" si="1685"/>
        <v>0</v>
      </c>
      <c r="CS870">
        <f t="shared" si="1685"/>
        <v>0</v>
      </c>
      <c r="CT870">
        <f t="shared" si="1685"/>
        <v>0</v>
      </c>
      <c r="CU870">
        <f t="shared" si="1685"/>
        <v>0</v>
      </c>
      <c r="CV870">
        <f t="shared" si="1685"/>
        <v>0</v>
      </c>
      <c r="CW870">
        <f t="shared" si="1686"/>
        <v>0</v>
      </c>
      <c r="CX870">
        <f t="shared" si="1686"/>
        <v>0</v>
      </c>
      <c r="CY870">
        <f t="shared" si="1686"/>
        <v>0</v>
      </c>
      <c r="CZ870">
        <f t="shared" si="1686"/>
        <v>0</v>
      </c>
      <c r="DA870">
        <f t="shared" si="1686"/>
        <v>0</v>
      </c>
      <c r="DB870">
        <f t="shared" si="1686"/>
        <v>0</v>
      </c>
      <c r="DC870">
        <f t="shared" si="1686"/>
        <v>0</v>
      </c>
      <c r="DD870">
        <f t="shared" si="1686"/>
        <v>0</v>
      </c>
      <c r="DE870">
        <f t="shared" si="1686"/>
        <v>0</v>
      </c>
      <c r="DF870">
        <f t="shared" si="1686"/>
        <v>0</v>
      </c>
      <c r="DG870">
        <f t="shared" si="1687"/>
        <v>0</v>
      </c>
      <c r="DH870">
        <f t="shared" si="1687"/>
        <v>0</v>
      </c>
      <c r="DI870">
        <f t="shared" si="1687"/>
        <v>0</v>
      </c>
      <c r="DJ870">
        <f t="shared" si="1687"/>
        <v>0</v>
      </c>
      <c r="DK870">
        <f t="shared" si="1687"/>
        <v>0</v>
      </c>
      <c r="DL870">
        <f t="shared" si="1687"/>
        <v>0</v>
      </c>
      <c r="DM870">
        <f t="shared" si="1687"/>
        <v>0</v>
      </c>
      <c r="DN870">
        <f t="shared" si="1687"/>
        <v>0</v>
      </c>
      <c r="DO870">
        <f t="shared" si="1687"/>
        <v>0</v>
      </c>
      <c r="DP870">
        <f t="shared" si="1687"/>
        <v>0</v>
      </c>
      <c r="DQ870">
        <f t="shared" si="1688"/>
        <v>0</v>
      </c>
      <c r="DR870">
        <f t="shared" si="1688"/>
        <v>0</v>
      </c>
      <c r="DS870">
        <f t="shared" si="1688"/>
        <v>0</v>
      </c>
      <c r="DT870">
        <f t="shared" si="1688"/>
        <v>0</v>
      </c>
      <c r="DU870">
        <f t="shared" si="1688"/>
        <v>0</v>
      </c>
      <c r="DV870">
        <f t="shared" si="1688"/>
        <v>0</v>
      </c>
      <c r="DW870">
        <f t="shared" si="1688"/>
        <v>0</v>
      </c>
      <c r="DX870">
        <f t="shared" si="1688"/>
        <v>0</v>
      </c>
      <c r="DY870">
        <f t="shared" si="1688"/>
        <v>0</v>
      </c>
      <c r="DZ870">
        <f t="shared" si="1688"/>
        <v>0</v>
      </c>
      <c r="EA870">
        <f t="shared" ref="EA870:EF870" si="1690">IF($C870&lt;&gt;"",IF(BL870&gt;0,1,0),0)</f>
        <v>0</v>
      </c>
      <c r="EB870">
        <f t="shared" si="1690"/>
        <v>0</v>
      </c>
      <c r="EC870">
        <f t="shared" si="1690"/>
        <v>0</v>
      </c>
      <c r="ED870">
        <f t="shared" si="1690"/>
        <v>0</v>
      </c>
      <c r="EE870">
        <f t="shared" si="1690"/>
        <v>0</v>
      </c>
      <c r="EF870">
        <f t="shared" si="1690"/>
        <v>0</v>
      </c>
    </row>
    <row r="871" spans="1:136" ht="15.5">
      <c r="A871" s="90"/>
      <c r="B871" s="37"/>
      <c r="C871" s="95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34"/>
      <c r="AR871" s="34"/>
      <c r="AS871" s="34"/>
      <c r="AT871" s="34"/>
      <c r="AU871" s="34"/>
      <c r="AV871" s="34"/>
      <c r="AW871" s="34"/>
      <c r="AX871" s="34"/>
      <c r="AY871" s="34"/>
      <c r="AZ871" s="34"/>
      <c r="BA871" s="34"/>
      <c r="BB871" s="34"/>
      <c r="BC871" s="34"/>
      <c r="BD871" s="34"/>
      <c r="BE871" s="42"/>
      <c r="BF871" s="34"/>
      <c r="BG871" s="34"/>
      <c r="BH871" s="113"/>
      <c r="BI871" s="113"/>
      <c r="BJ871" s="113"/>
      <c r="BK871" s="113"/>
      <c r="BL871" s="18"/>
      <c r="BM871" s="113"/>
      <c r="BN871" s="2"/>
      <c r="BO871" s="2"/>
      <c r="BP871" s="2"/>
      <c r="BQ871" s="2"/>
      <c r="BR871" s="101"/>
      <c r="DF871">
        <f t="shared" ref="DF871:DF881" si="1691">IF($C871&lt;&gt;"",IF(AQ871&gt;0,1,0),0)</f>
        <v>0</v>
      </c>
    </row>
    <row r="872" spans="1:136" ht="15.5">
      <c r="A872" s="93">
        <v>110</v>
      </c>
      <c r="B872" s="32" t="s">
        <v>113</v>
      </c>
      <c r="C872" s="95">
        <v>3</v>
      </c>
      <c r="D872" s="22">
        <f>SUM(D873:D880)</f>
        <v>15</v>
      </c>
      <c r="E872" s="22">
        <f t="shared" ref="E872:BQ872" si="1692">SUM(E873:E880)</f>
        <v>0</v>
      </c>
      <c r="F872" s="22">
        <f t="shared" si="1692"/>
        <v>0</v>
      </c>
      <c r="G872" s="22">
        <f t="shared" si="1692"/>
        <v>0</v>
      </c>
      <c r="H872" s="22">
        <f t="shared" si="1692"/>
        <v>0</v>
      </c>
      <c r="I872" s="22">
        <f t="shared" si="1692"/>
        <v>0</v>
      </c>
      <c r="J872" s="22">
        <f t="shared" si="1692"/>
        <v>0</v>
      </c>
      <c r="K872" s="22">
        <f t="shared" si="1692"/>
        <v>0</v>
      </c>
      <c r="L872" s="22">
        <f t="shared" si="1692"/>
        <v>0</v>
      </c>
      <c r="M872" s="22">
        <f t="shared" si="1692"/>
        <v>0</v>
      </c>
      <c r="N872" s="22">
        <f t="shared" si="1692"/>
        <v>0</v>
      </c>
      <c r="O872" s="22">
        <f t="shared" si="1692"/>
        <v>0</v>
      </c>
      <c r="P872" s="22">
        <f t="shared" si="1692"/>
        <v>234</v>
      </c>
      <c r="Q872" s="22">
        <f t="shared" si="1692"/>
        <v>107</v>
      </c>
      <c r="R872" s="22">
        <f t="shared" si="1692"/>
        <v>650</v>
      </c>
      <c r="S872" s="22">
        <f t="shared" si="1692"/>
        <v>182</v>
      </c>
      <c r="T872" s="22">
        <f t="shared" si="1692"/>
        <v>186</v>
      </c>
      <c r="U872" s="22">
        <f t="shared" si="1692"/>
        <v>228</v>
      </c>
      <c r="V872" s="22">
        <f t="shared" si="1692"/>
        <v>312</v>
      </c>
      <c r="W872" s="22">
        <f t="shared" si="1692"/>
        <v>80</v>
      </c>
      <c r="X872" s="22">
        <f t="shared" si="1692"/>
        <v>195</v>
      </c>
      <c r="Y872" s="22">
        <f t="shared" si="1692"/>
        <v>260</v>
      </c>
      <c r="Z872" s="22">
        <f t="shared" si="1692"/>
        <v>35</v>
      </c>
      <c r="AA872" s="22">
        <f t="shared" si="1692"/>
        <v>28</v>
      </c>
      <c r="AB872" s="22">
        <f t="shared" si="1692"/>
        <v>25</v>
      </c>
      <c r="AC872" s="22">
        <f t="shared" si="1692"/>
        <v>0</v>
      </c>
      <c r="AD872" s="22">
        <f t="shared" si="1692"/>
        <v>0</v>
      </c>
      <c r="AE872" s="22">
        <f t="shared" si="1692"/>
        <v>0</v>
      </c>
      <c r="AF872" s="22">
        <f t="shared" si="1692"/>
        <v>0</v>
      </c>
      <c r="AG872" s="22">
        <f t="shared" si="1692"/>
        <v>19.723999999999997</v>
      </c>
      <c r="AH872" s="22">
        <f t="shared" si="1692"/>
        <v>16.074999999999999</v>
      </c>
      <c r="AI872" s="22">
        <f t="shared" si="1692"/>
        <v>10.134</v>
      </c>
      <c r="AJ872" s="22">
        <f t="shared" si="1692"/>
        <v>4.6036613213988877E-3</v>
      </c>
      <c r="AK872" s="22">
        <f t="shared" si="1692"/>
        <v>4.7514343233003107E-3</v>
      </c>
      <c r="AL872" s="22">
        <f t="shared" si="1692"/>
        <v>5.0544866974999983E-3</v>
      </c>
      <c r="AM872" s="22">
        <f t="shared" si="1692"/>
        <v>4.5145559999999994E-3</v>
      </c>
      <c r="AN872" s="22">
        <f t="shared" si="1692"/>
        <v>5.2450800000000001E-3</v>
      </c>
      <c r="AO872" s="22">
        <f t="shared" si="1692"/>
        <v>2.7916199999999999E-3</v>
      </c>
      <c r="AP872" s="22">
        <f t="shared" si="1692"/>
        <v>2496.6364021999998</v>
      </c>
      <c r="AQ872" s="22">
        <f t="shared" si="1692"/>
        <v>5622</v>
      </c>
      <c r="AR872" s="22">
        <f t="shared" si="1692"/>
        <v>1007.8872269</v>
      </c>
      <c r="AS872" s="22">
        <f t="shared" si="1692"/>
        <v>14797.7823455</v>
      </c>
      <c r="AT872" s="22">
        <f t="shared" si="1692"/>
        <v>941.76086739999994</v>
      </c>
      <c r="AU872" s="22">
        <f t="shared" si="1692"/>
        <v>745.96743209999988</v>
      </c>
      <c r="AV872" s="22">
        <f t="shared" si="1692"/>
        <v>481.83252850000002</v>
      </c>
      <c r="AW872" s="22">
        <f t="shared" si="1692"/>
        <v>9.9999999999999995E-7</v>
      </c>
      <c r="AX872" s="22">
        <f t="shared" si="1692"/>
        <v>0</v>
      </c>
      <c r="AY872" s="22">
        <f t="shared" si="1692"/>
        <v>1.3</v>
      </c>
      <c r="AZ872" s="22">
        <f t="shared" si="1692"/>
        <v>4.8099999999999996</v>
      </c>
      <c r="BA872" s="22">
        <f t="shared" si="1692"/>
        <v>0</v>
      </c>
      <c r="BB872" s="22">
        <f t="shared" si="1692"/>
        <v>0</v>
      </c>
      <c r="BC872" s="22">
        <f t="shared" si="1692"/>
        <v>0</v>
      </c>
      <c r="BD872" s="22">
        <f t="shared" si="1692"/>
        <v>0</v>
      </c>
      <c r="BE872" s="22">
        <f t="shared" si="1692"/>
        <v>0</v>
      </c>
      <c r="BF872" s="22">
        <f t="shared" si="1692"/>
        <v>0</v>
      </c>
      <c r="BG872" s="22">
        <f t="shared" si="1692"/>
        <v>0</v>
      </c>
      <c r="BH872" s="22">
        <f t="shared" si="1692"/>
        <v>0</v>
      </c>
      <c r="BI872" s="22">
        <f t="shared" si="1692"/>
        <v>0</v>
      </c>
      <c r="BJ872" s="22">
        <f t="shared" si="1692"/>
        <v>0</v>
      </c>
      <c r="BK872" s="22">
        <f t="shared" si="1692"/>
        <v>0</v>
      </c>
      <c r="BL872" s="22">
        <f t="shared" si="1692"/>
        <v>1656.5550014999999</v>
      </c>
      <c r="BM872" s="22">
        <f t="shared" si="1692"/>
        <v>6153.7294643999994</v>
      </c>
      <c r="BN872" s="22">
        <f t="shared" si="1692"/>
        <v>346</v>
      </c>
      <c r="BO872" s="22">
        <f t="shared" si="1692"/>
        <v>0</v>
      </c>
      <c r="BP872" s="22">
        <f t="shared" si="1692"/>
        <v>18400</v>
      </c>
      <c r="BQ872" s="22">
        <f t="shared" si="1692"/>
        <v>0</v>
      </c>
      <c r="BR872" s="101"/>
      <c r="BS872">
        <f t="shared" ref="BS872:BS881" si="1693">IF($C872&lt;&gt;"",IF(D872&gt;0,1,0),0)</f>
        <v>1</v>
      </c>
      <c r="BT872">
        <f t="shared" ref="BT872:BT881" si="1694">IF($C872&lt;&gt;"",IF(E872&gt;0,1,0),0)</f>
        <v>0</v>
      </c>
      <c r="BU872">
        <f t="shared" ref="BU872:BU881" si="1695">IF($C872&lt;&gt;"",IF(F872&gt;0,1,0),0)</f>
        <v>0</v>
      </c>
      <c r="BV872">
        <f t="shared" ref="BV872:BV881" si="1696">IF($C872&lt;&gt;"",IF(G872&gt;0,1,0),0)</f>
        <v>0</v>
      </c>
      <c r="BW872">
        <f t="shared" ref="BW872:BW881" si="1697">IF($C872&lt;&gt;"",IF(H872&gt;0,1,0),0)</f>
        <v>0</v>
      </c>
      <c r="BX872">
        <f t="shared" ref="BX872:BX881" si="1698">IF($C872&lt;&gt;"",IF(I872&gt;0,1,0),0)</f>
        <v>0</v>
      </c>
      <c r="BY872">
        <f t="shared" ref="BY872:BY881" si="1699">IF($C872&lt;&gt;"",IF(J872&gt;0,1,0),0)</f>
        <v>0</v>
      </c>
      <c r="BZ872">
        <f t="shared" ref="BZ872:BZ881" si="1700">IF($C872&lt;&gt;"",IF(K872&gt;0,1,0),0)</f>
        <v>0</v>
      </c>
      <c r="CA872">
        <f t="shared" ref="CA872:CA881" si="1701">IF($C872&lt;&gt;"",IF(L872&gt;0,1,0),0)</f>
        <v>0</v>
      </c>
      <c r="CB872">
        <f t="shared" ref="CB872:CB881" si="1702">IF($C872&lt;&gt;"",IF(M872&gt;0,1,0),0)</f>
        <v>0</v>
      </c>
      <c r="CC872">
        <f t="shared" ref="CC872:CC881" si="1703">IF($C872&lt;&gt;"",IF(N872&gt;0,1,0),0)</f>
        <v>0</v>
      </c>
      <c r="CD872">
        <f t="shared" ref="CD872:CD881" si="1704">IF($C872&lt;&gt;"",IF(O872&gt;0,1,0),0)</f>
        <v>0</v>
      </c>
      <c r="CE872">
        <f t="shared" ref="CE872:CE881" si="1705">IF($C872&lt;&gt;"",IF(P872&gt;0,1,0),0)</f>
        <v>1</v>
      </c>
      <c r="CF872">
        <f t="shared" ref="CF872:CF881" si="1706">IF($C872&lt;&gt;"",IF(Q872&gt;0,1,0),0)</f>
        <v>1</v>
      </c>
      <c r="CG872">
        <f t="shared" ref="CG872:CG881" si="1707">IF($C872&lt;&gt;"",IF(R872&gt;0,1,0),0)</f>
        <v>1</v>
      </c>
      <c r="CH872">
        <f t="shared" ref="CH872:CH881" si="1708">IF($C872&lt;&gt;"",IF(S872&gt;0,1,0),0)</f>
        <v>1</v>
      </c>
      <c r="CI872">
        <f t="shared" ref="CI872:CI881" si="1709">IF($C872&lt;&gt;"",IF(T872&gt;0,1,0),0)</f>
        <v>1</v>
      </c>
      <c r="CJ872">
        <f t="shared" ref="CJ872:CJ881" si="1710">IF($C872&lt;&gt;"",IF(U872&gt;0,1,0),0)</f>
        <v>1</v>
      </c>
      <c r="CK872">
        <f t="shared" ref="CK872:CK881" si="1711">IF($C872&lt;&gt;"",IF(V872&gt;0,1,0),0)</f>
        <v>1</v>
      </c>
      <c r="CL872">
        <f t="shared" ref="CL872:CL881" si="1712">IF($C872&lt;&gt;"",IF(W872&gt;0,1,0),0)</f>
        <v>1</v>
      </c>
      <c r="CM872">
        <f t="shared" ref="CM872:CM881" si="1713">IF($C872&lt;&gt;"",IF(X872&gt;0,1,0),0)</f>
        <v>1</v>
      </c>
      <c r="CN872">
        <f t="shared" ref="CN872:CN881" si="1714">IF($C872&lt;&gt;"",IF(Y872&gt;0,1,0),0)</f>
        <v>1</v>
      </c>
      <c r="CO872">
        <f t="shared" ref="CO872:CO881" si="1715">IF($C872&lt;&gt;"",IF(Z872&gt;0,1,0),0)</f>
        <v>1</v>
      </c>
      <c r="CP872">
        <f t="shared" ref="CP872:CP881" si="1716">IF($C872&lt;&gt;"",IF(AA872&gt;0,1,0),0)</f>
        <v>1</v>
      </c>
      <c r="CQ872">
        <f t="shared" ref="CQ872:CQ881" si="1717">IF($C872&lt;&gt;"",IF(AB872&gt;0,1,0),0)</f>
        <v>1</v>
      </c>
      <c r="CR872">
        <f t="shared" ref="CR872:CR881" si="1718">IF($C872&lt;&gt;"",IF(AC872&gt;0,1,0),0)</f>
        <v>0</v>
      </c>
      <c r="CS872">
        <f t="shared" ref="CS872:CS881" si="1719">IF($C872&lt;&gt;"",IF(AD872&gt;0,1,0),0)</f>
        <v>0</v>
      </c>
      <c r="CT872">
        <f t="shared" ref="CT872:CT881" si="1720">IF($C872&lt;&gt;"",IF(AE872&gt;0,1,0),0)</f>
        <v>0</v>
      </c>
      <c r="CU872">
        <f t="shared" ref="CU872:CU881" si="1721">IF($C872&lt;&gt;"",IF(AF872&gt;0,1,0),0)</f>
        <v>0</v>
      </c>
      <c r="CV872">
        <f t="shared" ref="CV872:CV881" si="1722">IF($C872&lt;&gt;"",IF(AG872&gt;0,1,0),0)</f>
        <v>1</v>
      </c>
      <c r="CW872">
        <f t="shared" ref="CW872:CW881" si="1723">IF($C872&lt;&gt;"",IF(AH872&gt;0,1,0),0)</f>
        <v>1</v>
      </c>
      <c r="CX872">
        <f t="shared" ref="CX872:CX881" si="1724">IF($C872&lt;&gt;"",IF(AI872&gt;0,1,0),0)</f>
        <v>1</v>
      </c>
      <c r="CY872">
        <f t="shared" ref="CY872:CY881" si="1725">IF($C872&lt;&gt;"",IF(AJ872&gt;0,1,0),0)</f>
        <v>1</v>
      </c>
      <c r="CZ872">
        <f t="shared" ref="CZ872:CZ881" si="1726">IF($C872&lt;&gt;"",IF(AK872&gt;0,1,0),0)</f>
        <v>1</v>
      </c>
      <c r="DA872">
        <f t="shared" ref="DA872:DA881" si="1727">IF($C872&lt;&gt;"",IF(AL872&gt;0,1,0),0)</f>
        <v>1</v>
      </c>
      <c r="DB872">
        <f t="shared" ref="DB872:DB881" si="1728">IF($C872&lt;&gt;"",IF(AM872&gt;0,1,0),0)</f>
        <v>1</v>
      </c>
      <c r="DC872">
        <f t="shared" ref="DC872:DC881" si="1729">IF($C872&lt;&gt;"",IF(AN872&gt;0,1,0),0)</f>
        <v>1</v>
      </c>
      <c r="DD872">
        <f t="shared" ref="DD872:DD881" si="1730">IF($C872&lt;&gt;"",IF(AO872&gt;0,1,0),0)</f>
        <v>1</v>
      </c>
      <c r="DE872">
        <f t="shared" ref="DE872:DE881" si="1731">IF($C872&lt;&gt;"",IF(AP872&gt;0,1,0),0)</f>
        <v>1</v>
      </c>
      <c r="DF872">
        <f t="shared" si="1691"/>
        <v>1</v>
      </c>
      <c r="DG872">
        <f t="shared" ref="DG872:EF872" si="1732">IF($C872&lt;&gt;"",IF(AR872&gt;0,1,0),0)</f>
        <v>1</v>
      </c>
      <c r="DH872">
        <f t="shared" si="1732"/>
        <v>1</v>
      </c>
      <c r="DI872">
        <f t="shared" si="1732"/>
        <v>1</v>
      </c>
      <c r="DJ872">
        <f t="shared" si="1732"/>
        <v>1</v>
      </c>
      <c r="DK872">
        <f t="shared" si="1732"/>
        <v>1</v>
      </c>
      <c r="DL872">
        <f t="shared" si="1732"/>
        <v>1</v>
      </c>
      <c r="DM872">
        <f t="shared" si="1732"/>
        <v>0</v>
      </c>
      <c r="DN872">
        <f t="shared" si="1732"/>
        <v>1</v>
      </c>
      <c r="DO872">
        <f t="shared" si="1732"/>
        <v>1</v>
      </c>
      <c r="DP872">
        <f t="shared" si="1732"/>
        <v>0</v>
      </c>
      <c r="DQ872">
        <f t="shared" si="1732"/>
        <v>0</v>
      </c>
      <c r="DR872">
        <f t="shared" si="1732"/>
        <v>0</v>
      </c>
      <c r="DS872">
        <f t="shared" si="1732"/>
        <v>0</v>
      </c>
      <c r="DT872">
        <f t="shared" si="1732"/>
        <v>0</v>
      </c>
      <c r="DU872">
        <f t="shared" si="1732"/>
        <v>0</v>
      </c>
      <c r="DV872">
        <f t="shared" si="1732"/>
        <v>0</v>
      </c>
      <c r="DW872">
        <f t="shared" si="1732"/>
        <v>0</v>
      </c>
      <c r="DX872">
        <f t="shared" si="1732"/>
        <v>0</v>
      </c>
      <c r="DY872">
        <f t="shared" si="1732"/>
        <v>0</v>
      </c>
      <c r="DZ872">
        <f t="shared" si="1732"/>
        <v>0</v>
      </c>
      <c r="EA872">
        <f t="shared" si="1732"/>
        <v>1</v>
      </c>
      <c r="EB872">
        <f t="shared" si="1732"/>
        <v>1</v>
      </c>
      <c r="EC872">
        <f t="shared" si="1732"/>
        <v>1</v>
      </c>
      <c r="ED872">
        <f t="shared" si="1732"/>
        <v>0</v>
      </c>
      <c r="EE872">
        <f t="shared" si="1732"/>
        <v>1</v>
      </c>
      <c r="EF872">
        <f t="shared" si="1732"/>
        <v>0</v>
      </c>
    </row>
    <row r="873" spans="1:136" ht="15.5">
      <c r="A873" s="90"/>
      <c r="B873" s="24" t="s">
        <v>15</v>
      </c>
      <c r="C873" s="95"/>
      <c r="D873" s="18">
        <v>0</v>
      </c>
      <c r="E873" s="18">
        <v>0</v>
      </c>
      <c r="F873" s="18">
        <v>0</v>
      </c>
      <c r="G873" s="18">
        <v>0</v>
      </c>
      <c r="H873" s="18">
        <v>0</v>
      </c>
      <c r="I873" s="18">
        <v>0</v>
      </c>
      <c r="J873" s="18">
        <v>0</v>
      </c>
      <c r="K873" s="18">
        <v>0</v>
      </c>
      <c r="L873" s="18">
        <v>0</v>
      </c>
      <c r="M873" s="18">
        <v>0</v>
      </c>
      <c r="N873" s="18">
        <v>0</v>
      </c>
      <c r="O873" s="18">
        <v>0</v>
      </c>
      <c r="P873" s="18">
        <v>0</v>
      </c>
      <c r="Q873" s="18">
        <v>0</v>
      </c>
      <c r="R873" s="18">
        <v>0</v>
      </c>
      <c r="S873" s="18">
        <v>0</v>
      </c>
      <c r="T873" s="60">
        <v>0</v>
      </c>
      <c r="U873" s="60">
        <v>0</v>
      </c>
      <c r="V873" s="60">
        <v>32</v>
      </c>
      <c r="W873" s="60">
        <v>0</v>
      </c>
      <c r="X873" s="60">
        <v>34</v>
      </c>
      <c r="Y873" s="18">
        <v>0</v>
      </c>
      <c r="Z873" s="60">
        <v>0</v>
      </c>
      <c r="AA873" s="60">
        <v>0</v>
      </c>
      <c r="AB873" s="60">
        <v>0</v>
      </c>
      <c r="AC873" s="60">
        <v>0</v>
      </c>
      <c r="AD873" s="60">
        <v>0</v>
      </c>
      <c r="AE873" s="60">
        <v>0</v>
      </c>
      <c r="AF873" s="60">
        <v>0</v>
      </c>
      <c r="AG873" s="60">
        <v>0</v>
      </c>
      <c r="AH873" s="60">
        <v>0</v>
      </c>
      <c r="AI873" s="60">
        <v>0</v>
      </c>
      <c r="AJ873" s="60">
        <v>0</v>
      </c>
      <c r="AK873" s="60">
        <v>0</v>
      </c>
      <c r="AL873" s="60">
        <v>0</v>
      </c>
      <c r="AM873" s="60">
        <v>0</v>
      </c>
      <c r="AN873" s="60">
        <v>0</v>
      </c>
      <c r="AO873" s="60">
        <v>0</v>
      </c>
      <c r="AP873" s="60">
        <v>0</v>
      </c>
      <c r="AQ873" s="18">
        <v>0</v>
      </c>
      <c r="AR873" s="18">
        <v>0</v>
      </c>
      <c r="AS873" s="18">
        <v>0</v>
      </c>
      <c r="AT873" s="60">
        <v>0</v>
      </c>
      <c r="AU873" s="60">
        <v>0</v>
      </c>
      <c r="AV873" s="60">
        <v>0</v>
      </c>
      <c r="AW873" s="60">
        <v>0</v>
      </c>
      <c r="AX873" s="60">
        <v>0</v>
      </c>
      <c r="AY873" s="60">
        <v>0</v>
      </c>
      <c r="AZ873" s="60">
        <v>0</v>
      </c>
      <c r="BA873" s="60">
        <v>0</v>
      </c>
      <c r="BB873" s="60">
        <v>0</v>
      </c>
      <c r="BC873" s="60">
        <v>0</v>
      </c>
      <c r="BD873" s="60">
        <v>0</v>
      </c>
      <c r="BE873" s="60">
        <v>0</v>
      </c>
      <c r="BF873" s="60">
        <v>0</v>
      </c>
      <c r="BG873" s="60">
        <v>0</v>
      </c>
      <c r="BH873" s="60">
        <v>0</v>
      </c>
      <c r="BI873" s="60">
        <v>0</v>
      </c>
      <c r="BJ873" s="113">
        <v>0</v>
      </c>
      <c r="BK873" s="113">
        <v>0</v>
      </c>
      <c r="BL873" s="113">
        <v>0</v>
      </c>
      <c r="BM873" s="113">
        <v>0</v>
      </c>
      <c r="BN873" s="113">
        <v>0</v>
      </c>
      <c r="BO873" s="113">
        <v>0</v>
      </c>
      <c r="BP873" s="113">
        <v>0</v>
      </c>
      <c r="BQ873" s="113">
        <v>0</v>
      </c>
      <c r="BR873" s="101"/>
      <c r="BS873">
        <f t="shared" si="1693"/>
        <v>0</v>
      </c>
      <c r="BT873">
        <f t="shared" si="1694"/>
        <v>0</v>
      </c>
      <c r="BU873">
        <f t="shared" si="1695"/>
        <v>0</v>
      </c>
      <c r="BV873">
        <f t="shared" si="1696"/>
        <v>0</v>
      </c>
      <c r="BW873">
        <f t="shared" si="1697"/>
        <v>0</v>
      </c>
      <c r="BX873">
        <f t="shared" si="1698"/>
        <v>0</v>
      </c>
      <c r="BY873">
        <f t="shared" si="1699"/>
        <v>0</v>
      </c>
      <c r="BZ873">
        <f t="shared" si="1700"/>
        <v>0</v>
      </c>
      <c r="CA873">
        <f t="shared" si="1701"/>
        <v>0</v>
      </c>
      <c r="CB873">
        <f t="shared" si="1702"/>
        <v>0</v>
      </c>
      <c r="CC873">
        <f t="shared" si="1703"/>
        <v>0</v>
      </c>
      <c r="CD873">
        <f t="shared" si="1704"/>
        <v>0</v>
      </c>
      <c r="CE873">
        <f t="shared" si="1705"/>
        <v>0</v>
      </c>
      <c r="CF873">
        <f t="shared" si="1706"/>
        <v>0</v>
      </c>
      <c r="CG873">
        <f t="shared" si="1707"/>
        <v>0</v>
      </c>
      <c r="CH873">
        <f t="shared" si="1708"/>
        <v>0</v>
      </c>
      <c r="CI873">
        <f t="shared" si="1709"/>
        <v>0</v>
      </c>
      <c r="CJ873">
        <f t="shared" si="1710"/>
        <v>0</v>
      </c>
      <c r="CK873">
        <f t="shared" si="1711"/>
        <v>0</v>
      </c>
      <c r="CL873">
        <f t="shared" si="1712"/>
        <v>0</v>
      </c>
      <c r="CM873">
        <f t="shared" si="1713"/>
        <v>0</v>
      </c>
      <c r="CN873">
        <f t="shared" si="1714"/>
        <v>0</v>
      </c>
      <c r="CO873">
        <f t="shared" si="1715"/>
        <v>0</v>
      </c>
      <c r="CP873">
        <f t="shared" si="1716"/>
        <v>0</v>
      </c>
      <c r="CQ873">
        <f t="shared" si="1717"/>
        <v>0</v>
      </c>
      <c r="CR873">
        <f t="shared" si="1718"/>
        <v>0</v>
      </c>
      <c r="CS873">
        <f t="shared" si="1719"/>
        <v>0</v>
      </c>
      <c r="CT873">
        <f t="shared" si="1720"/>
        <v>0</v>
      </c>
      <c r="CU873">
        <f t="shared" si="1721"/>
        <v>0</v>
      </c>
      <c r="CV873">
        <f t="shared" si="1722"/>
        <v>0</v>
      </c>
      <c r="CW873">
        <f t="shared" si="1723"/>
        <v>0</v>
      </c>
      <c r="CX873">
        <f t="shared" si="1724"/>
        <v>0</v>
      </c>
      <c r="CY873">
        <f t="shared" si="1725"/>
        <v>0</v>
      </c>
      <c r="CZ873">
        <f t="shared" si="1726"/>
        <v>0</v>
      </c>
      <c r="DA873">
        <f t="shared" si="1727"/>
        <v>0</v>
      </c>
      <c r="DB873">
        <f t="shared" si="1728"/>
        <v>0</v>
      </c>
      <c r="DC873">
        <f t="shared" si="1729"/>
        <v>0</v>
      </c>
      <c r="DD873">
        <f t="shared" si="1730"/>
        <v>0</v>
      </c>
      <c r="DE873">
        <f t="shared" si="1731"/>
        <v>0</v>
      </c>
      <c r="DF873">
        <f t="shared" si="1691"/>
        <v>0</v>
      </c>
      <c r="DG873">
        <f t="shared" ref="DG873:DG881" si="1733">IF($C873&lt;&gt;"",IF(AR873&gt;0,1,0),0)</f>
        <v>0</v>
      </c>
      <c r="DH873">
        <f t="shared" ref="DH873:DH881" si="1734">IF($C873&lt;&gt;"",IF(AS873&gt;0,1,0),0)</f>
        <v>0</v>
      </c>
      <c r="DI873">
        <f t="shared" ref="DI873:DI881" si="1735">IF($C873&lt;&gt;"",IF(AT873&gt;0,1,0),0)</f>
        <v>0</v>
      </c>
      <c r="DJ873">
        <f t="shared" ref="DJ873:DJ881" si="1736">IF($C873&lt;&gt;"",IF(AU873&gt;0,1,0),0)</f>
        <v>0</v>
      </c>
      <c r="DK873">
        <f t="shared" ref="DK873:DK881" si="1737">IF($C873&lt;&gt;"",IF(AV873&gt;0,1,0),0)</f>
        <v>0</v>
      </c>
      <c r="DL873">
        <f t="shared" ref="DL873:DL881" si="1738">IF($C873&lt;&gt;"",IF(AW873&gt;0,1,0),0)</f>
        <v>0</v>
      </c>
      <c r="DM873">
        <f t="shared" ref="DM873:DM881" si="1739">IF($C873&lt;&gt;"",IF(AX873&gt;0,1,0),0)</f>
        <v>0</v>
      </c>
      <c r="DN873">
        <f t="shared" ref="DN873:DN881" si="1740">IF($C873&lt;&gt;"",IF(AY873&gt;0,1,0),0)</f>
        <v>0</v>
      </c>
      <c r="DO873">
        <f t="shared" ref="DO873:DO881" si="1741">IF($C873&lt;&gt;"",IF(AZ873&gt;0,1,0),0)</f>
        <v>0</v>
      </c>
      <c r="DP873">
        <f t="shared" ref="DP873:DP881" si="1742">IF($C873&lt;&gt;"",IF(BA873&gt;0,1,0),0)</f>
        <v>0</v>
      </c>
      <c r="DQ873">
        <f t="shared" ref="DQ873:DQ881" si="1743">IF($C873&lt;&gt;"",IF(BB873&gt;0,1,0),0)</f>
        <v>0</v>
      </c>
      <c r="DR873">
        <f t="shared" ref="DR873:DR881" si="1744">IF($C873&lt;&gt;"",IF(BC873&gt;0,1,0),0)</f>
        <v>0</v>
      </c>
      <c r="DS873">
        <f t="shared" ref="DS873:DS881" si="1745">IF($C873&lt;&gt;"",IF(BD873&gt;0,1,0),0)</f>
        <v>0</v>
      </c>
      <c r="DT873">
        <f t="shared" ref="DT873:DT881" si="1746">IF($C873&lt;&gt;"",IF(BE873&gt;0,1,0),0)</f>
        <v>0</v>
      </c>
      <c r="DU873">
        <f t="shared" ref="DU873:DU881" si="1747">IF($C873&lt;&gt;"",IF(BF873&gt;0,1,0),0)</f>
        <v>0</v>
      </c>
      <c r="DV873">
        <f t="shared" ref="DV873:DV881" si="1748">IF($C873&lt;&gt;"",IF(BG873&gt;0,1,0),0)</f>
        <v>0</v>
      </c>
      <c r="DW873">
        <f t="shared" ref="DW873:DW881" si="1749">IF($C873&lt;&gt;"",IF(BH873&gt;0,1,0),0)</f>
        <v>0</v>
      </c>
      <c r="DX873">
        <f t="shared" ref="DX873:DX881" si="1750">IF($C873&lt;&gt;"",IF(BI873&gt;0,1,0),0)</f>
        <v>0</v>
      </c>
      <c r="DY873">
        <f t="shared" ref="DY873:DY881" si="1751">IF($C873&lt;&gt;"",IF(BJ873&gt;0,1,0),0)</f>
        <v>0</v>
      </c>
      <c r="DZ873">
        <f t="shared" ref="DZ873:DZ881" si="1752">IF($C873&lt;&gt;"",IF(BK873&gt;0,1,0),0)</f>
        <v>0</v>
      </c>
      <c r="EA873">
        <f t="shared" ref="EA873:EF879" si="1753">IF($C873&lt;&gt;"",IF(BL872&gt;0,1,0),0)</f>
        <v>0</v>
      </c>
      <c r="EB873">
        <f t="shared" si="1753"/>
        <v>0</v>
      </c>
      <c r="EC873">
        <f t="shared" si="1753"/>
        <v>0</v>
      </c>
      <c r="ED873">
        <f t="shared" si="1753"/>
        <v>0</v>
      </c>
      <c r="EE873">
        <f t="shared" si="1753"/>
        <v>0</v>
      </c>
      <c r="EF873">
        <f t="shared" si="1753"/>
        <v>0</v>
      </c>
    </row>
    <row r="874" spans="1:136" ht="15.5">
      <c r="A874" s="90"/>
      <c r="B874" s="19" t="s">
        <v>2</v>
      </c>
      <c r="C874" s="95"/>
      <c r="D874" s="18">
        <v>0</v>
      </c>
      <c r="E874" s="18">
        <v>0</v>
      </c>
      <c r="F874" s="18">
        <v>0</v>
      </c>
      <c r="G874" s="18">
        <v>0</v>
      </c>
      <c r="H874" s="18">
        <v>0</v>
      </c>
      <c r="I874" s="18">
        <v>0</v>
      </c>
      <c r="J874" s="18">
        <v>0</v>
      </c>
      <c r="K874" s="18">
        <v>0</v>
      </c>
      <c r="L874" s="18">
        <v>0</v>
      </c>
      <c r="M874" s="18">
        <v>0</v>
      </c>
      <c r="N874" s="18">
        <v>0</v>
      </c>
      <c r="O874" s="18">
        <v>0</v>
      </c>
      <c r="P874" s="34">
        <v>234</v>
      </c>
      <c r="Q874" s="34">
        <v>0</v>
      </c>
      <c r="R874" s="34">
        <v>650</v>
      </c>
      <c r="S874" s="18">
        <v>0</v>
      </c>
      <c r="T874" s="60">
        <v>0</v>
      </c>
      <c r="U874" s="60">
        <v>0</v>
      </c>
      <c r="V874" s="60">
        <v>0</v>
      </c>
      <c r="W874" s="60">
        <v>0</v>
      </c>
      <c r="X874" s="60">
        <v>0</v>
      </c>
      <c r="Y874" s="18">
        <v>260</v>
      </c>
      <c r="Z874" s="60">
        <v>0</v>
      </c>
      <c r="AA874" s="60">
        <v>0</v>
      </c>
      <c r="AB874" s="60">
        <v>0</v>
      </c>
      <c r="AC874" s="60">
        <v>0</v>
      </c>
      <c r="AD874" s="60">
        <v>0</v>
      </c>
      <c r="AE874" s="60">
        <v>0</v>
      </c>
      <c r="AF874" s="60">
        <v>0</v>
      </c>
      <c r="AG874" s="60">
        <v>0</v>
      </c>
      <c r="AH874" s="60">
        <v>0</v>
      </c>
      <c r="AI874" s="60">
        <v>0</v>
      </c>
      <c r="AJ874" s="60">
        <v>0</v>
      </c>
      <c r="AK874" s="60">
        <v>0</v>
      </c>
      <c r="AL874" s="60">
        <v>0</v>
      </c>
      <c r="AM874" s="60">
        <v>0</v>
      </c>
      <c r="AN874" s="60">
        <v>0</v>
      </c>
      <c r="AO874" s="60">
        <v>0</v>
      </c>
      <c r="AP874" s="60">
        <v>0</v>
      </c>
      <c r="AQ874" s="18">
        <v>3254</v>
      </c>
      <c r="AR874" s="18">
        <v>0</v>
      </c>
      <c r="AS874" s="18">
        <v>14252</v>
      </c>
      <c r="AT874" s="40" t="s">
        <v>16</v>
      </c>
      <c r="AU874" s="18">
        <v>0</v>
      </c>
      <c r="AV874" s="18">
        <v>0</v>
      </c>
      <c r="AW874" s="60">
        <v>0</v>
      </c>
      <c r="AX874" s="60">
        <v>0</v>
      </c>
      <c r="AY874" s="60">
        <v>0</v>
      </c>
      <c r="AZ874" s="60">
        <v>0</v>
      </c>
      <c r="BA874" s="60">
        <v>0</v>
      </c>
      <c r="BB874" s="60">
        <v>0</v>
      </c>
      <c r="BC874" s="60">
        <v>0</v>
      </c>
      <c r="BD874" s="60">
        <v>0</v>
      </c>
      <c r="BE874" s="60">
        <v>0</v>
      </c>
      <c r="BF874" s="60">
        <v>0</v>
      </c>
      <c r="BG874" s="60">
        <v>0</v>
      </c>
      <c r="BH874" s="60">
        <v>0</v>
      </c>
      <c r="BI874" s="60">
        <v>0</v>
      </c>
      <c r="BJ874" s="113">
        <v>0</v>
      </c>
      <c r="BK874" s="113">
        <v>0</v>
      </c>
      <c r="BL874" s="113">
        <v>0</v>
      </c>
      <c r="BM874" s="113">
        <v>0</v>
      </c>
      <c r="BN874" s="113">
        <v>0</v>
      </c>
      <c r="BO874" s="113">
        <v>0</v>
      </c>
      <c r="BP874" s="113">
        <v>0</v>
      </c>
      <c r="BQ874" s="113">
        <v>0</v>
      </c>
      <c r="BR874" s="101"/>
      <c r="BS874">
        <f t="shared" si="1693"/>
        <v>0</v>
      </c>
      <c r="BT874">
        <f t="shared" si="1694"/>
        <v>0</v>
      </c>
      <c r="BU874">
        <f t="shared" si="1695"/>
        <v>0</v>
      </c>
      <c r="BV874">
        <f t="shared" si="1696"/>
        <v>0</v>
      </c>
      <c r="BW874">
        <f t="shared" si="1697"/>
        <v>0</v>
      </c>
      <c r="BX874">
        <f t="shared" si="1698"/>
        <v>0</v>
      </c>
      <c r="BY874">
        <f t="shared" si="1699"/>
        <v>0</v>
      </c>
      <c r="BZ874">
        <f t="shared" si="1700"/>
        <v>0</v>
      </c>
      <c r="CA874">
        <f t="shared" si="1701"/>
        <v>0</v>
      </c>
      <c r="CB874">
        <f t="shared" si="1702"/>
        <v>0</v>
      </c>
      <c r="CC874">
        <f t="shared" si="1703"/>
        <v>0</v>
      </c>
      <c r="CD874">
        <f t="shared" si="1704"/>
        <v>0</v>
      </c>
      <c r="CE874">
        <f t="shared" si="1705"/>
        <v>0</v>
      </c>
      <c r="CF874">
        <f t="shared" si="1706"/>
        <v>0</v>
      </c>
      <c r="CG874">
        <f t="shared" si="1707"/>
        <v>0</v>
      </c>
      <c r="CH874">
        <f t="shared" si="1708"/>
        <v>0</v>
      </c>
      <c r="CI874">
        <f t="shared" si="1709"/>
        <v>0</v>
      </c>
      <c r="CJ874">
        <f t="shared" si="1710"/>
        <v>0</v>
      </c>
      <c r="CK874">
        <f t="shared" si="1711"/>
        <v>0</v>
      </c>
      <c r="CL874">
        <f t="shared" si="1712"/>
        <v>0</v>
      </c>
      <c r="CM874">
        <f t="shared" si="1713"/>
        <v>0</v>
      </c>
      <c r="CN874">
        <f t="shared" si="1714"/>
        <v>0</v>
      </c>
      <c r="CO874">
        <f t="shared" si="1715"/>
        <v>0</v>
      </c>
      <c r="CP874">
        <f t="shared" si="1716"/>
        <v>0</v>
      </c>
      <c r="CQ874">
        <f t="shared" si="1717"/>
        <v>0</v>
      </c>
      <c r="CR874">
        <f t="shared" si="1718"/>
        <v>0</v>
      </c>
      <c r="CS874">
        <f t="shared" si="1719"/>
        <v>0</v>
      </c>
      <c r="CT874">
        <f t="shared" si="1720"/>
        <v>0</v>
      </c>
      <c r="CU874">
        <f t="shared" si="1721"/>
        <v>0</v>
      </c>
      <c r="CV874">
        <f t="shared" si="1722"/>
        <v>0</v>
      </c>
      <c r="CW874">
        <f t="shared" si="1723"/>
        <v>0</v>
      </c>
      <c r="CX874">
        <f t="shared" si="1724"/>
        <v>0</v>
      </c>
      <c r="CY874">
        <f t="shared" si="1725"/>
        <v>0</v>
      </c>
      <c r="CZ874">
        <f t="shared" si="1726"/>
        <v>0</v>
      </c>
      <c r="DA874">
        <f t="shared" si="1727"/>
        <v>0</v>
      </c>
      <c r="DB874">
        <f t="shared" si="1728"/>
        <v>0</v>
      </c>
      <c r="DC874">
        <f t="shared" si="1729"/>
        <v>0</v>
      </c>
      <c r="DD874">
        <f t="shared" si="1730"/>
        <v>0</v>
      </c>
      <c r="DE874">
        <f t="shared" si="1731"/>
        <v>0</v>
      </c>
      <c r="DF874">
        <f t="shared" si="1691"/>
        <v>0</v>
      </c>
      <c r="DG874">
        <f t="shared" si="1733"/>
        <v>0</v>
      </c>
      <c r="DH874">
        <f t="shared" si="1734"/>
        <v>0</v>
      </c>
      <c r="DI874">
        <f t="shared" si="1735"/>
        <v>0</v>
      </c>
      <c r="DJ874">
        <f t="shared" si="1736"/>
        <v>0</v>
      </c>
      <c r="DK874">
        <f t="shared" si="1737"/>
        <v>0</v>
      </c>
      <c r="DL874">
        <f t="shared" si="1738"/>
        <v>0</v>
      </c>
      <c r="DM874">
        <f t="shared" si="1739"/>
        <v>0</v>
      </c>
      <c r="DN874">
        <f t="shared" si="1740"/>
        <v>0</v>
      </c>
      <c r="DO874">
        <f t="shared" si="1741"/>
        <v>0</v>
      </c>
      <c r="DP874">
        <f t="shared" si="1742"/>
        <v>0</v>
      </c>
      <c r="DQ874">
        <f t="shared" si="1743"/>
        <v>0</v>
      </c>
      <c r="DR874">
        <f t="shared" si="1744"/>
        <v>0</v>
      </c>
      <c r="DS874">
        <f t="shared" si="1745"/>
        <v>0</v>
      </c>
      <c r="DT874">
        <f t="shared" si="1746"/>
        <v>0</v>
      </c>
      <c r="DU874">
        <f t="shared" si="1747"/>
        <v>0</v>
      </c>
      <c r="DV874">
        <f t="shared" si="1748"/>
        <v>0</v>
      </c>
      <c r="DW874">
        <f t="shared" si="1749"/>
        <v>0</v>
      </c>
      <c r="DX874">
        <f t="shared" si="1750"/>
        <v>0</v>
      </c>
      <c r="DY874">
        <f t="shared" si="1751"/>
        <v>0</v>
      </c>
      <c r="DZ874">
        <f t="shared" si="1752"/>
        <v>0</v>
      </c>
      <c r="EA874">
        <f t="shared" si="1753"/>
        <v>0</v>
      </c>
      <c r="EB874">
        <f t="shared" si="1753"/>
        <v>0</v>
      </c>
      <c r="EC874">
        <f t="shared" si="1753"/>
        <v>0</v>
      </c>
      <c r="ED874">
        <f t="shared" si="1753"/>
        <v>0</v>
      </c>
      <c r="EE874">
        <f t="shared" si="1753"/>
        <v>0</v>
      </c>
      <c r="EF874">
        <f t="shared" si="1753"/>
        <v>0</v>
      </c>
    </row>
    <row r="875" spans="1:136" ht="15.5">
      <c r="A875" s="90"/>
      <c r="B875" s="19" t="s">
        <v>205</v>
      </c>
      <c r="C875" s="95"/>
      <c r="D875" s="18">
        <v>0</v>
      </c>
      <c r="E875" s="18">
        <v>0</v>
      </c>
      <c r="F875" s="18">
        <v>0</v>
      </c>
      <c r="G875" s="18">
        <v>0</v>
      </c>
      <c r="H875" s="18">
        <v>0</v>
      </c>
      <c r="I875" s="18">
        <v>0</v>
      </c>
      <c r="J875" s="18">
        <v>0</v>
      </c>
      <c r="K875" s="18">
        <v>0</v>
      </c>
      <c r="L875" s="18">
        <v>0</v>
      </c>
      <c r="M875" s="18">
        <v>0</v>
      </c>
      <c r="N875" s="18">
        <v>0</v>
      </c>
      <c r="O875" s="18">
        <v>0</v>
      </c>
      <c r="P875" s="34">
        <v>0</v>
      </c>
      <c r="Q875" s="34">
        <v>0</v>
      </c>
      <c r="R875" s="34">
        <v>0</v>
      </c>
      <c r="S875" s="18">
        <v>0</v>
      </c>
      <c r="T875" s="60">
        <v>0</v>
      </c>
      <c r="U875" s="60">
        <v>0</v>
      </c>
      <c r="V875" s="60">
        <v>0</v>
      </c>
      <c r="W875" s="60">
        <v>0</v>
      </c>
      <c r="X875" s="60">
        <v>0</v>
      </c>
      <c r="Y875" s="18">
        <v>0</v>
      </c>
      <c r="Z875" s="60">
        <v>0</v>
      </c>
      <c r="AA875" s="60">
        <v>0</v>
      </c>
      <c r="AB875" s="60">
        <v>0</v>
      </c>
      <c r="AC875" s="60">
        <v>0</v>
      </c>
      <c r="AD875" s="60">
        <v>0</v>
      </c>
      <c r="AE875" s="60">
        <v>0</v>
      </c>
      <c r="AF875" s="60">
        <v>0</v>
      </c>
      <c r="AG875" s="60">
        <v>0</v>
      </c>
      <c r="AH875" s="60">
        <v>0</v>
      </c>
      <c r="AI875" s="60">
        <v>0</v>
      </c>
      <c r="AJ875" s="60">
        <v>0</v>
      </c>
      <c r="AK875" s="60">
        <v>0</v>
      </c>
      <c r="AL875" s="60">
        <v>0</v>
      </c>
      <c r="AM875" s="60">
        <v>0</v>
      </c>
      <c r="AN875" s="60">
        <v>0</v>
      </c>
      <c r="AO875" s="60">
        <v>0</v>
      </c>
      <c r="AP875" s="60">
        <v>35.705493700000005</v>
      </c>
      <c r="AQ875" s="18">
        <v>0</v>
      </c>
      <c r="AR875" s="18">
        <v>53.621901299999998</v>
      </c>
      <c r="AS875" s="60">
        <v>388.06022039999999</v>
      </c>
      <c r="AT875" s="18">
        <v>500</v>
      </c>
      <c r="AU875" s="60">
        <v>0</v>
      </c>
      <c r="AV875" s="60">
        <v>0</v>
      </c>
      <c r="AW875" s="60">
        <v>0</v>
      </c>
      <c r="AX875" s="60">
        <v>0</v>
      </c>
      <c r="AY875" s="60">
        <v>0</v>
      </c>
      <c r="AZ875" s="60">
        <v>0</v>
      </c>
      <c r="BA875" s="60">
        <v>0</v>
      </c>
      <c r="BB875" s="60">
        <v>0</v>
      </c>
      <c r="BC875" s="60">
        <v>0</v>
      </c>
      <c r="BD875" s="60">
        <v>0</v>
      </c>
      <c r="BE875" s="61">
        <v>0</v>
      </c>
      <c r="BF875" s="60">
        <v>0</v>
      </c>
      <c r="BG875" s="60">
        <v>0</v>
      </c>
      <c r="BH875" s="60">
        <v>0</v>
      </c>
      <c r="BI875" s="60">
        <v>0</v>
      </c>
      <c r="BJ875" s="113">
        <v>0</v>
      </c>
      <c r="BK875" s="113">
        <v>0</v>
      </c>
      <c r="BL875" s="113">
        <v>700</v>
      </c>
      <c r="BM875" s="113">
        <v>4000</v>
      </c>
      <c r="BN875" s="113">
        <v>0</v>
      </c>
      <c r="BO875" s="113">
        <v>0</v>
      </c>
      <c r="BP875" s="154">
        <v>15400</v>
      </c>
      <c r="BQ875" s="113">
        <v>0</v>
      </c>
      <c r="BR875" s="101"/>
      <c r="BS875">
        <f t="shared" si="1693"/>
        <v>0</v>
      </c>
      <c r="BT875">
        <f t="shared" si="1694"/>
        <v>0</v>
      </c>
      <c r="BU875">
        <f t="shared" si="1695"/>
        <v>0</v>
      </c>
      <c r="BV875">
        <f t="shared" si="1696"/>
        <v>0</v>
      </c>
      <c r="BW875">
        <f t="shared" si="1697"/>
        <v>0</v>
      </c>
      <c r="BX875">
        <f t="shared" si="1698"/>
        <v>0</v>
      </c>
      <c r="BY875">
        <f t="shared" si="1699"/>
        <v>0</v>
      </c>
      <c r="BZ875">
        <f t="shared" si="1700"/>
        <v>0</v>
      </c>
      <c r="CA875">
        <f t="shared" si="1701"/>
        <v>0</v>
      </c>
      <c r="CB875">
        <f t="shared" si="1702"/>
        <v>0</v>
      </c>
      <c r="CC875">
        <f t="shared" si="1703"/>
        <v>0</v>
      </c>
      <c r="CD875">
        <f t="shared" si="1704"/>
        <v>0</v>
      </c>
      <c r="CE875">
        <f t="shared" si="1705"/>
        <v>0</v>
      </c>
      <c r="CF875">
        <f t="shared" si="1706"/>
        <v>0</v>
      </c>
      <c r="CG875">
        <f t="shared" si="1707"/>
        <v>0</v>
      </c>
      <c r="CH875">
        <f t="shared" si="1708"/>
        <v>0</v>
      </c>
      <c r="CI875">
        <f t="shared" si="1709"/>
        <v>0</v>
      </c>
      <c r="CJ875">
        <f t="shared" si="1710"/>
        <v>0</v>
      </c>
      <c r="CK875">
        <f t="shared" si="1711"/>
        <v>0</v>
      </c>
      <c r="CL875">
        <f t="shared" si="1712"/>
        <v>0</v>
      </c>
      <c r="CM875">
        <f t="shared" si="1713"/>
        <v>0</v>
      </c>
      <c r="CN875">
        <f t="shared" si="1714"/>
        <v>0</v>
      </c>
      <c r="CO875">
        <f t="shared" si="1715"/>
        <v>0</v>
      </c>
      <c r="CP875">
        <f t="shared" si="1716"/>
        <v>0</v>
      </c>
      <c r="CQ875">
        <f t="shared" si="1717"/>
        <v>0</v>
      </c>
      <c r="CR875">
        <f t="shared" si="1718"/>
        <v>0</v>
      </c>
      <c r="CS875">
        <f t="shared" si="1719"/>
        <v>0</v>
      </c>
      <c r="CT875">
        <f t="shared" si="1720"/>
        <v>0</v>
      </c>
      <c r="CU875">
        <f t="shared" si="1721"/>
        <v>0</v>
      </c>
      <c r="CV875">
        <f t="shared" si="1722"/>
        <v>0</v>
      </c>
      <c r="CW875">
        <f t="shared" si="1723"/>
        <v>0</v>
      </c>
      <c r="CX875">
        <f t="shared" si="1724"/>
        <v>0</v>
      </c>
      <c r="CY875">
        <f t="shared" si="1725"/>
        <v>0</v>
      </c>
      <c r="CZ875">
        <f t="shared" si="1726"/>
        <v>0</v>
      </c>
      <c r="DA875">
        <f t="shared" si="1727"/>
        <v>0</v>
      </c>
      <c r="DB875">
        <f t="shared" si="1728"/>
        <v>0</v>
      </c>
      <c r="DC875">
        <f t="shared" si="1729"/>
        <v>0</v>
      </c>
      <c r="DD875">
        <f t="shared" si="1730"/>
        <v>0</v>
      </c>
      <c r="DE875">
        <f t="shared" si="1731"/>
        <v>0</v>
      </c>
      <c r="DF875">
        <f t="shared" si="1691"/>
        <v>0</v>
      </c>
      <c r="DG875">
        <f t="shared" si="1733"/>
        <v>0</v>
      </c>
      <c r="DH875">
        <f t="shared" si="1734"/>
        <v>0</v>
      </c>
      <c r="DI875">
        <f t="shared" si="1735"/>
        <v>0</v>
      </c>
      <c r="DJ875">
        <f t="shared" si="1736"/>
        <v>0</v>
      </c>
      <c r="DK875">
        <f t="shared" si="1737"/>
        <v>0</v>
      </c>
      <c r="DL875">
        <f t="shared" si="1738"/>
        <v>0</v>
      </c>
      <c r="DM875">
        <f t="shared" si="1739"/>
        <v>0</v>
      </c>
      <c r="DN875">
        <f t="shared" si="1740"/>
        <v>0</v>
      </c>
      <c r="DO875">
        <f t="shared" si="1741"/>
        <v>0</v>
      </c>
      <c r="DP875">
        <f t="shared" si="1742"/>
        <v>0</v>
      </c>
      <c r="DQ875">
        <f t="shared" si="1743"/>
        <v>0</v>
      </c>
      <c r="DR875">
        <f t="shared" si="1744"/>
        <v>0</v>
      </c>
      <c r="DS875">
        <f t="shared" si="1745"/>
        <v>0</v>
      </c>
      <c r="DT875">
        <f t="shared" si="1746"/>
        <v>0</v>
      </c>
      <c r="DU875">
        <f t="shared" si="1747"/>
        <v>0</v>
      </c>
      <c r="DV875">
        <f t="shared" si="1748"/>
        <v>0</v>
      </c>
      <c r="DW875">
        <f t="shared" si="1749"/>
        <v>0</v>
      </c>
      <c r="DX875">
        <f t="shared" si="1750"/>
        <v>0</v>
      </c>
      <c r="DY875">
        <f t="shared" si="1751"/>
        <v>0</v>
      </c>
      <c r="DZ875">
        <f t="shared" si="1752"/>
        <v>0</v>
      </c>
      <c r="EA875">
        <f t="shared" si="1753"/>
        <v>0</v>
      </c>
      <c r="EB875">
        <f t="shared" si="1753"/>
        <v>0</v>
      </c>
      <c r="EC875">
        <f t="shared" si="1753"/>
        <v>0</v>
      </c>
      <c r="ED875">
        <f t="shared" si="1753"/>
        <v>0</v>
      </c>
      <c r="EE875">
        <f t="shared" si="1753"/>
        <v>0</v>
      </c>
      <c r="EF875">
        <f t="shared" si="1753"/>
        <v>0</v>
      </c>
    </row>
    <row r="876" spans="1:136" ht="15.5">
      <c r="A876" s="90"/>
      <c r="B876" s="57" t="s">
        <v>3</v>
      </c>
      <c r="C876" s="95"/>
      <c r="D876" s="18">
        <v>15</v>
      </c>
      <c r="E876" s="18">
        <v>0</v>
      </c>
      <c r="F876" s="18">
        <v>0</v>
      </c>
      <c r="G876" s="18">
        <v>0</v>
      </c>
      <c r="H876" s="18">
        <v>0</v>
      </c>
      <c r="I876" s="18">
        <v>0</v>
      </c>
      <c r="J876" s="18">
        <v>0</v>
      </c>
      <c r="K876" s="18">
        <v>0</v>
      </c>
      <c r="L876" s="18">
        <v>0</v>
      </c>
      <c r="M876" s="18">
        <v>0</v>
      </c>
      <c r="N876" s="18">
        <v>0</v>
      </c>
      <c r="O876" s="18">
        <v>0</v>
      </c>
      <c r="P876" s="18">
        <v>0</v>
      </c>
      <c r="Q876" s="18">
        <v>107</v>
      </c>
      <c r="R876" s="40" t="s">
        <v>16</v>
      </c>
      <c r="S876" s="18">
        <v>182</v>
      </c>
      <c r="T876" s="18">
        <v>186</v>
      </c>
      <c r="U876" s="18">
        <v>228</v>
      </c>
      <c r="V876" s="18">
        <f>137+143</f>
        <v>280</v>
      </c>
      <c r="W876" s="18">
        <v>80</v>
      </c>
      <c r="X876" s="18">
        <v>161</v>
      </c>
      <c r="Y876" s="18">
        <v>0</v>
      </c>
      <c r="Z876" s="18">
        <v>35</v>
      </c>
      <c r="AA876" s="18">
        <v>28</v>
      </c>
      <c r="AB876" s="18">
        <v>25</v>
      </c>
      <c r="AC876" s="18">
        <v>0</v>
      </c>
      <c r="AD876" s="18">
        <v>0</v>
      </c>
      <c r="AE876" s="18">
        <v>0</v>
      </c>
      <c r="AF876" s="18">
        <v>0</v>
      </c>
      <c r="AG876" s="18">
        <v>19.599999999999998</v>
      </c>
      <c r="AH876" s="18">
        <v>15.74</v>
      </c>
      <c r="AI876" s="18">
        <v>10.040000000000001</v>
      </c>
      <c r="AJ876" s="18">
        <v>0</v>
      </c>
      <c r="AK876" s="18">
        <v>0</v>
      </c>
      <c r="AL876" s="18">
        <v>0</v>
      </c>
      <c r="AM876" s="18">
        <v>0</v>
      </c>
      <c r="AN876" s="18">
        <v>0</v>
      </c>
      <c r="AO876" s="18">
        <v>0</v>
      </c>
      <c r="AP876" s="18">
        <f>642-AP875</f>
        <v>606.29450629999997</v>
      </c>
      <c r="AQ876" s="40" t="s">
        <v>16</v>
      </c>
      <c r="AR876" s="18">
        <f>833-AR875</f>
        <v>779.37809870000001</v>
      </c>
      <c r="AS876" s="40" t="s">
        <v>16</v>
      </c>
      <c r="AT876" s="18">
        <v>441.47867489999999</v>
      </c>
      <c r="AU876" s="34">
        <v>745.96743209999988</v>
      </c>
      <c r="AV876" s="34">
        <v>481.83252850000002</v>
      </c>
      <c r="AW876" s="18">
        <v>9.9999999999999995E-7</v>
      </c>
      <c r="AX876" s="18">
        <v>0</v>
      </c>
      <c r="AY876" s="18">
        <v>1.3</v>
      </c>
      <c r="AZ876" s="18">
        <v>4.8099999999999996</v>
      </c>
      <c r="BA876" s="18">
        <v>0</v>
      </c>
      <c r="BB876" s="18">
        <v>0</v>
      </c>
      <c r="BC876" s="18">
        <v>0</v>
      </c>
      <c r="BD876" s="18">
        <v>0</v>
      </c>
      <c r="BE876" s="25">
        <v>0</v>
      </c>
      <c r="BF876" s="60">
        <v>0</v>
      </c>
      <c r="BG876" s="60">
        <v>0</v>
      </c>
      <c r="BH876" s="60">
        <v>0</v>
      </c>
      <c r="BI876" s="60">
        <v>0</v>
      </c>
      <c r="BJ876" s="113">
        <v>0</v>
      </c>
      <c r="BK876" s="113">
        <v>0</v>
      </c>
      <c r="BL876" s="113">
        <f>1656.5550015-BL875</f>
        <v>956.55500149999989</v>
      </c>
      <c r="BM876" s="113">
        <v>2153.7294643999999</v>
      </c>
      <c r="BN876" s="113">
        <v>346</v>
      </c>
      <c r="BO876" s="113">
        <v>0</v>
      </c>
      <c r="BP876" s="113">
        <v>3000</v>
      </c>
      <c r="BQ876" s="113">
        <v>0</v>
      </c>
      <c r="BR876" s="101"/>
      <c r="BS876">
        <f t="shared" si="1693"/>
        <v>0</v>
      </c>
      <c r="BT876">
        <f t="shared" si="1694"/>
        <v>0</v>
      </c>
      <c r="BU876">
        <f t="shared" si="1695"/>
        <v>0</v>
      </c>
      <c r="BV876">
        <f t="shared" si="1696"/>
        <v>0</v>
      </c>
      <c r="BW876">
        <f t="shared" si="1697"/>
        <v>0</v>
      </c>
      <c r="BX876">
        <f t="shared" si="1698"/>
        <v>0</v>
      </c>
      <c r="BY876">
        <f t="shared" si="1699"/>
        <v>0</v>
      </c>
      <c r="BZ876">
        <f t="shared" si="1700"/>
        <v>0</v>
      </c>
      <c r="CA876">
        <f t="shared" si="1701"/>
        <v>0</v>
      </c>
      <c r="CB876">
        <f t="shared" si="1702"/>
        <v>0</v>
      </c>
      <c r="CC876">
        <f t="shared" si="1703"/>
        <v>0</v>
      </c>
      <c r="CD876">
        <f t="shared" si="1704"/>
        <v>0</v>
      </c>
      <c r="CE876">
        <f t="shared" si="1705"/>
        <v>0</v>
      </c>
      <c r="CF876">
        <f t="shared" si="1706"/>
        <v>0</v>
      </c>
      <c r="CG876">
        <f t="shared" si="1707"/>
        <v>0</v>
      </c>
      <c r="CH876">
        <f t="shared" si="1708"/>
        <v>0</v>
      </c>
      <c r="CI876">
        <f t="shared" si="1709"/>
        <v>0</v>
      </c>
      <c r="CJ876">
        <f t="shared" si="1710"/>
        <v>0</v>
      </c>
      <c r="CK876">
        <f t="shared" si="1711"/>
        <v>0</v>
      </c>
      <c r="CL876">
        <f t="shared" si="1712"/>
        <v>0</v>
      </c>
      <c r="CM876">
        <f t="shared" si="1713"/>
        <v>0</v>
      </c>
      <c r="CN876">
        <f t="shared" si="1714"/>
        <v>0</v>
      </c>
      <c r="CO876">
        <f t="shared" si="1715"/>
        <v>0</v>
      </c>
      <c r="CP876">
        <f t="shared" si="1716"/>
        <v>0</v>
      </c>
      <c r="CQ876">
        <f t="shared" si="1717"/>
        <v>0</v>
      </c>
      <c r="CR876">
        <f t="shared" si="1718"/>
        <v>0</v>
      </c>
      <c r="CS876">
        <f t="shared" si="1719"/>
        <v>0</v>
      </c>
      <c r="CT876">
        <f t="shared" si="1720"/>
        <v>0</v>
      </c>
      <c r="CU876">
        <f t="shared" si="1721"/>
        <v>0</v>
      </c>
      <c r="CV876">
        <f t="shared" si="1722"/>
        <v>0</v>
      </c>
      <c r="CW876">
        <f t="shared" si="1723"/>
        <v>0</v>
      </c>
      <c r="CX876">
        <f t="shared" si="1724"/>
        <v>0</v>
      </c>
      <c r="CY876">
        <f t="shared" si="1725"/>
        <v>0</v>
      </c>
      <c r="CZ876">
        <f t="shared" si="1726"/>
        <v>0</v>
      </c>
      <c r="DA876">
        <f t="shared" si="1727"/>
        <v>0</v>
      </c>
      <c r="DB876">
        <f t="shared" si="1728"/>
        <v>0</v>
      </c>
      <c r="DC876">
        <f t="shared" si="1729"/>
        <v>0</v>
      </c>
      <c r="DD876">
        <f t="shared" si="1730"/>
        <v>0</v>
      </c>
      <c r="DE876">
        <f t="shared" si="1731"/>
        <v>0</v>
      </c>
      <c r="DF876">
        <f t="shared" si="1691"/>
        <v>0</v>
      </c>
      <c r="DG876">
        <f t="shared" si="1733"/>
        <v>0</v>
      </c>
      <c r="DH876">
        <f t="shared" si="1734"/>
        <v>0</v>
      </c>
      <c r="DI876">
        <f t="shared" si="1735"/>
        <v>0</v>
      </c>
      <c r="DJ876">
        <f t="shared" si="1736"/>
        <v>0</v>
      </c>
      <c r="DK876">
        <f t="shared" si="1737"/>
        <v>0</v>
      </c>
      <c r="DL876">
        <f t="shared" si="1738"/>
        <v>0</v>
      </c>
      <c r="DM876">
        <f t="shared" si="1739"/>
        <v>0</v>
      </c>
      <c r="DN876">
        <f t="shared" si="1740"/>
        <v>0</v>
      </c>
      <c r="DO876">
        <f t="shared" si="1741"/>
        <v>0</v>
      </c>
      <c r="DP876">
        <f t="shared" si="1742"/>
        <v>0</v>
      </c>
      <c r="DQ876">
        <f t="shared" si="1743"/>
        <v>0</v>
      </c>
      <c r="DR876">
        <f t="shared" si="1744"/>
        <v>0</v>
      </c>
      <c r="DS876">
        <f t="shared" si="1745"/>
        <v>0</v>
      </c>
      <c r="DT876">
        <f t="shared" si="1746"/>
        <v>0</v>
      </c>
      <c r="DU876">
        <f t="shared" si="1747"/>
        <v>0</v>
      </c>
      <c r="DV876">
        <f t="shared" si="1748"/>
        <v>0</v>
      </c>
      <c r="DW876">
        <f t="shared" si="1749"/>
        <v>0</v>
      </c>
      <c r="DX876">
        <f t="shared" si="1750"/>
        <v>0</v>
      </c>
      <c r="DY876">
        <f t="shared" si="1751"/>
        <v>0</v>
      </c>
      <c r="DZ876">
        <f t="shared" si="1752"/>
        <v>0</v>
      </c>
      <c r="EA876">
        <f t="shared" si="1753"/>
        <v>0</v>
      </c>
      <c r="EB876">
        <f t="shared" si="1753"/>
        <v>0</v>
      </c>
      <c r="EC876">
        <f t="shared" si="1753"/>
        <v>0</v>
      </c>
      <c r="ED876">
        <f t="shared" si="1753"/>
        <v>0</v>
      </c>
      <c r="EE876">
        <f t="shared" si="1753"/>
        <v>0</v>
      </c>
      <c r="EF876">
        <f t="shared" si="1753"/>
        <v>0</v>
      </c>
    </row>
    <row r="877" spans="1:136" ht="15.5">
      <c r="A877" s="90"/>
      <c r="B877" s="19" t="s">
        <v>18</v>
      </c>
      <c r="C877" s="95"/>
      <c r="D877" s="18">
        <v>0</v>
      </c>
      <c r="E877" s="18">
        <v>0</v>
      </c>
      <c r="F877" s="18">
        <v>0</v>
      </c>
      <c r="G877" s="18">
        <v>0</v>
      </c>
      <c r="H877" s="18">
        <v>0</v>
      </c>
      <c r="I877" s="18">
        <v>0</v>
      </c>
      <c r="J877" s="18">
        <v>0</v>
      </c>
      <c r="K877" s="18">
        <v>0</v>
      </c>
      <c r="L877" s="18">
        <v>0</v>
      </c>
      <c r="M877" s="18">
        <v>0</v>
      </c>
      <c r="N877" s="18">
        <v>0</v>
      </c>
      <c r="O877" s="18">
        <v>0</v>
      </c>
      <c r="P877" s="18">
        <v>0</v>
      </c>
      <c r="Q877" s="18">
        <v>0</v>
      </c>
      <c r="R877" s="18">
        <v>0</v>
      </c>
      <c r="S877" s="18">
        <v>0</v>
      </c>
      <c r="T877" s="18">
        <v>0</v>
      </c>
      <c r="U877" s="18">
        <v>0</v>
      </c>
      <c r="V877" s="18">
        <v>0</v>
      </c>
      <c r="W877" s="18">
        <v>0</v>
      </c>
      <c r="X877" s="18">
        <v>0</v>
      </c>
      <c r="Y877" s="18">
        <v>0</v>
      </c>
      <c r="Z877" s="18">
        <v>0</v>
      </c>
      <c r="AA877" s="18">
        <v>0</v>
      </c>
      <c r="AB877" s="18">
        <v>0</v>
      </c>
      <c r="AC877" s="18">
        <v>0</v>
      </c>
      <c r="AD877" s="18">
        <v>0</v>
      </c>
      <c r="AE877" s="18">
        <v>0</v>
      </c>
      <c r="AF877" s="18">
        <v>0</v>
      </c>
      <c r="AG877" s="18">
        <v>0</v>
      </c>
      <c r="AH877" s="18">
        <v>0</v>
      </c>
      <c r="AI877" s="18">
        <v>0</v>
      </c>
      <c r="AJ877" s="18">
        <v>0</v>
      </c>
      <c r="AK877" s="18">
        <v>0</v>
      </c>
      <c r="AL877" s="18">
        <v>0</v>
      </c>
      <c r="AM877" s="18">
        <v>0</v>
      </c>
      <c r="AN877" s="18">
        <v>0</v>
      </c>
      <c r="AO877" s="18">
        <v>0</v>
      </c>
      <c r="AP877" s="18">
        <v>988</v>
      </c>
      <c r="AQ877" s="18">
        <v>1056</v>
      </c>
      <c r="AR877" s="18">
        <v>0</v>
      </c>
      <c r="AS877" s="18">
        <v>0</v>
      </c>
      <c r="AT877" s="18">
        <v>0</v>
      </c>
      <c r="AU877" s="18">
        <v>0</v>
      </c>
      <c r="AV877" s="18">
        <v>0</v>
      </c>
      <c r="AW877" s="18">
        <v>0</v>
      </c>
      <c r="AX877" s="18">
        <v>0</v>
      </c>
      <c r="AY877" s="18">
        <v>0</v>
      </c>
      <c r="AZ877" s="18">
        <v>0</v>
      </c>
      <c r="BA877" s="18">
        <v>0</v>
      </c>
      <c r="BB877" s="18">
        <v>0</v>
      </c>
      <c r="BC877" s="18">
        <v>0</v>
      </c>
      <c r="BD877" s="18">
        <v>0</v>
      </c>
      <c r="BE877" s="25">
        <v>0</v>
      </c>
      <c r="BF877" s="18">
        <v>0</v>
      </c>
      <c r="BG877" s="18">
        <v>0</v>
      </c>
      <c r="BH877" s="18">
        <v>0</v>
      </c>
      <c r="BI877" s="18">
        <v>0</v>
      </c>
      <c r="BJ877" s="113">
        <v>0</v>
      </c>
      <c r="BK877" s="113">
        <v>0</v>
      </c>
      <c r="BL877" s="113">
        <v>0</v>
      </c>
      <c r="BM877" s="113">
        <v>0</v>
      </c>
      <c r="BN877" s="113">
        <v>0</v>
      </c>
      <c r="BO877" s="113">
        <v>0</v>
      </c>
      <c r="BP877" s="113">
        <v>0</v>
      </c>
      <c r="BQ877" s="113">
        <v>0</v>
      </c>
      <c r="BR877" s="101"/>
      <c r="BS877">
        <f t="shared" si="1693"/>
        <v>0</v>
      </c>
      <c r="BT877">
        <f t="shared" si="1694"/>
        <v>0</v>
      </c>
      <c r="BU877">
        <f t="shared" si="1695"/>
        <v>0</v>
      </c>
      <c r="BV877">
        <f t="shared" si="1696"/>
        <v>0</v>
      </c>
      <c r="BW877">
        <f t="shared" si="1697"/>
        <v>0</v>
      </c>
      <c r="BX877">
        <f t="shared" si="1698"/>
        <v>0</v>
      </c>
      <c r="BY877">
        <f t="shared" si="1699"/>
        <v>0</v>
      </c>
      <c r="BZ877">
        <f t="shared" si="1700"/>
        <v>0</v>
      </c>
      <c r="CA877">
        <f t="shared" si="1701"/>
        <v>0</v>
      </c>
      <c r="CB877">
        <f t="shared" si="1702"/>
        <v>0</v>
      </c>
      <c r="CC877">
        <f t="shared" si="1703"/>
        <v>0</v>
      </c>
      <c r="CD877">
        <f t="shared" si="1704"/>
        <v>0</v>
      </c>
      <c r="CE877">
        <f t="shared" si="1705"/>
        <v>0</v>
      </c>
      <c r="CF877">
        <f t="shared" si="1706"/>
        <v>0</v>
      </c>
      <c r="CG877">
        <f t="shared" si="1707"/>
        <v>0</v>
      </c>
      <c r="CH877">
        <f t="shared" si="1708"/>
        <v>0</v>
      </c>
      <c r="CI877">
        <f t="shared" si="1709"/>
        <v>0</v>
      </c>
      <c r="CJ877">
        <f t="shared" si="1710"/>
        <v>0</v>
      </c>
      <c r="CK877">
        <f t="shared" si="1711"/>
        <v>0</v>
      </c>
      <c r="CL877">
        <f t="shared" si="1712"/>
        <v>0</v>
      </c>
      <c r="CM877">
        <f t="shared" si="1713"/>
        <v>0</v>
      </c>
      <c r="CN877">
        <f t="shared" si="1714"/>
        <v>0</v>
      </c>
      <c r="CO877">
        <f t="shared" si="1715"/>
        <v>0</v>
      </c>
      <c r="CP877">
        <f t="shared" si="1716"/>
        <v>0</v>
      </c>
      <c r="CQ877">
        <f t="shared" si="1717"/>
        <v>0</v>
      </c>
      <c r="CR877">
        <f t="shared" si="1718"/>
        <v>0</v>
      </c>
      <c r="CS877">
        <f t="shared" si="1719"/>
        <v>0</v>
      </c>
      <c r="CT877">
        <f t="shared" si="1720"/>
        <v>0</v>
      </c>
      <c r="CU877">
        <f t="shared" si="1721"/>
        <v>0</v>
      </c>
      <c r="CV877">
        <f t="shared" si="1722"/>
        <v>0</v>
      </c>
      <c r="CW877">
        <f t="shared" si="1723"/>
        <v>0</v>
      </c>
      <c r="CX877">
        <f t="shared" si="1724"/>
        <v>0</v>
      </c>
      <c r="CY877">
        <f t="shared" si="1725"/>
        <v>0</v>
      </c>
      <c r="CZ877">
        <f t="shared" si="1726"/>
        <v>0</v>
      </c>
      <c r="DA877">
        <f t="shared" si="1727"/>
        <v>0</v>
      </c>
      <c r="DB877">
        <f t="shared" si="1728"/>
        <v>0</v>
      </c>
      <c r="DC877">
        <f t="shared" si="1729"/>
        <v>0</v>
      </c>
      <c r="DD877">
        <f t="shared" si="1730"/>
        <v>0</v>
      </c>
      <c r="DE877">
        <f t="shared" si="1731"/>
        <v>0</v>
      </c>
      <c r="DF877">
        <f t="shared" si="1691"/>
        <v>0</v>
      </c>
      <c r="DG877">
        <f t="shared" si="1733"/>
        <v>0</v>
      </c>
      <c r="DH877">
        <f t="shared" si="1734"/>
        <v>0</v>
      </c>
      <c r="DI877">
        <f t="shared" si="1735"/>
        <v>0</v>
      </c>
      <c r="DJ877">
        <f t="shared" si="1736"/>
        <v>0</v>
      </c>
      <c r="DK877">
        <f t="shared" si="1737"/>
        <v>0</v>
      </c>
      <c r="DL877">
        <f t="shared" si="1738"/>
        <v>0</v>
      </c>
      <c r="DM877">
        <f t="shared" si="1739"/>
        <v>0</v>
      </c>
      <c r="DN877">
        <f t="shared" si="1740"/>
        <v>0</v>
      </c>
      <c r="DO877">
        <f t="shared" si="1741"/>
        <v>0</v>
      </c>
      <c r="DP877">
        <f t="shared" si="1742"/>
        <v>0</v>
      </c>
      <c r="DQ877">
        <f t="shared" si="1743"/>
        <v>0</v>
      </c>
      <c r="DR877">
        <f t="shared" si="1744"/>
        <v>0</v>
      </c>
      <c r="DS877">
        <f t="shared" si="1745"/>
        <v>0</v>
      </c>
      <c r="DT877">
        <f t="shared" si="1746"/>
        <v>0</v>
      </c>
      <c r="DU877">
        <f t="shared" si="1747"/>
        <v>0</v>
      </c>
      <c r="DV877">
        <f t="shared" si="1748"/>
        <v>0</v>
      </c>
      <c r="DW877">
        <f t="shared" si="1749"/>
        <v>0</v>
      </c>
      <c r="DX877">
        <f t="shared" si="1750"/>
        <v>0</v>
      </c>
      <c r="DY877">
        <f t="shared" si="1751"/>
        <v>0</v>
      </c>
      <c r="DZ877">
        <f t="shared" si="1752"/>
        <v>0</v>
      </c>
      <c r="EA877">
        <f t="shared" si="1753"/>
        <v>0</v>
      </c>
      <c r="EB877">
        <f t="shared" si="1753"/>
        <v>0</v>
      </c>
      <c r="EC877">
        <f t="shared" si="1753"/>
        <v>0</v>
      </c>
      <c r="ED877">
        <f t="shared" si="1753"/>
        <v>0</v>
      </c>
      <c r="EE877">
        <f t="shared" si="1753"/>
        <v>0</v>
      </c>
      <c r="EF877">
        <f t="shared" si="1753"/>
        <v>0</v>
      </c>
    </row>
    <row r="878" spans="1:136" ht="15.5">
      <c r="A878" s="90"/>
      <c r="B878" s="53" t="s">
        <v>25</v>
      </c>
      <c r="C878" s="95"/>
      <c r="D878" s="18">
        <v>0</v>
      </c>
      <c r="E878" s="18">
        <v>0</v>
      </c>
      <c r="F878" s="18">
        <v>0</v>
      </c>
      <c r="G878" s="18">
        <v>0</v>
      </c>
      <c r="H878" s="18">
        <v>0</v>
      </c>
      <c r="I878" s="18">
        <v>0</v>
      </c>
      <c r="J878" s="18">
        <v>0</v>
      </c>
      <c r="K878" s="18">
        <v>0</v>
      </c>
      <c r="L878" s="18">
        <v>0</v>
      </c>
      <c r="M878" s="18">
        <v>0</v>
      </c>
      <c r="N878" s="18">
        <v>0</v>
      </c>
      <c r="O878" s="18">
        <v>0</v>
      </c>
      <c r="P878" s="18">
        <v>0</v>
      </c>
      <c r="Q878" s="18">
        <v>0</v>
      </c>
      <c r="R878" s="18">
        <v>0</v>
      </c>
      <c r="S878" s="18">
        <v>0</v>
      </c>
      <c r="T878" s="18">
        <v>0</v>
      </c>
      <c r="U878" s="18">
        <v>0</v>
      </c>
      <c r="V878" s="18">
        <v>0</v>
      </c>
      <c r="W878" s="18">
        <v>0</v>
      </c>
      <c r="X878" s="18">
        <v>0</v>
      </c>
      <c r="Y878" s="18">
        <v>0</v>
      </c>
      <c r="Z878" s="18">
        <v>0</v>
      </c>
      <c r="AA878" s="18">
        <v>0</v>
      </c>
      <c r="AB878" s="18">
        <v>0</v>
      </c>
      <c r="AC878" s="18">
        <v>0</v>
      </c>
      <c r="AD878" s="18">
        <v>0</v>
      </c>
      <c r="AE878" s="18">
        <v>0</v>
      </c>
      <c r="AF878" s="18">
        <v>0</v>
      </c>
      <c r="AG878" s="18">
        <v>0</v>
      </c>
      <c r="AH878" s="18">
        <v>0</v>
      </c>
      <c r="AI878" s="18">
        <v>0</v>
      </c>
      <c r="AJ878" s="18">
        <v>0</v>
      </c>
      <c r="AK878" s="18">
        <v>0</v>
      </c>
      <c r="AL878" s="18">
        <v>0</v>
      </c>
      <c r="AM878" s="18">
        <v>0</v>
      </c>
      <c r="AN878" s="18">
        <v>0</v>
      </c>
      <c r="AO878" s="18">
        <v>0</v>
      </c>
      <c r="AP878" s="18">
        <v>0</v>
      </c>
      <c r="AQ878" s="18">
        <v>610</v>
      </c>
      <c r="AR878" s="18">
        <v>0</v>
      </c>
      <c r="AS878" s="18">
        <v>0</v>
      </c>
      <c r="AT878" s="18">
        <v>0</v>
      </c>
      <c r="AU878" s="18">
        <v>0</v>
      </c>
      <c r="AV878" s="18">
        <v>0</v>
      </c>
      <c r="AW878" s="18">
        <v>0</v>
      </c>
      <c r="AX878" s="18">
        <v>0</v>
      </c>
      <c r="AY878" s="18">
        <v>0</v>
      </c>
      <c r="AZ878" s="18">
        <v>0</v>
      </c>
      <c r="BA878" s="18">
        <v>0</v>
      </c>
      <c r="BB878" s="18">
        <v>0</v>
      </c>
      <c r="BC878" s="18">
        <v>0</v>
      </c>
      <c r="BD878" s="18">
        <v>0</v>
      </c>
      <c r="BE878" s="25">
        <v>0</v>
      </c>
      <c r="BF878" s="18">
        <v>0</v>
      </c>
      <c r="BG878" s="18">
        <v>0</v>
      </c>
      <c r="BH878" s="18">
        <v>0</v>
      </c>
      <c r="BI878" s="18">
        <v>0</v>
      </c>
      <c r="BJ878" s="113">
        <v>0</v>
      </c>
      <c r="BK878" s="113">
        <v>0</v>
      </c>
      <c r="BL878" s="113">
        <v>0</v>
      </c>
      <c r="BM878" s="113">
        <v>0</v>
      </c>
      <c r="BN878" s="113">
        <v>0</v>
      </c>
      <c r="BO878" s="113">
        <v>0</v>
      </c>
      <c r="BP878" s="113">
        <v>0</v>
      </c>
      <c r="BQ878" s="113">
        <v>0</v>
      </c>
      <c r="BR878" s="101"/>
      <c r="BS878">
        <f t="shared" si="1693"/>
        <v>0</v>
      </c>
      <c r="BT878">
        <f t="shared" si="1694"/>
        <v>0</v>
      </c>
      <c r="BU878">
        <f t="shared" si="1695"/>
        <v>0</v>
      </c>
      <c r="BV878">
        <f t="shared" si="1696"/>
        <v>0</v>
      </c>
      <c r="BW878">
        <f t="shared" si="1697"/>
        <v>0</v>
      </c>
      <c r="BX878">
        <f t="shared" si="1698"/>
        <v>0</v>
      </c>
      <c r="BY878">
        <f t="shared" si="1699"/>
        <v>0</v>
      </c>
      <c r="BZ878">
        <f t="shared" si="1700"/>
        <v>0</v>
      </c>
      <c r="CA878">
        <f t="shared" si="1701"/>
        <v>0</v>
      </c>
      <c r="CB878">
        <f t="shared" si="1702"/>
        <v>0</v>
      </c>
      <c r="CC878">
        <f t="shared" si="1703"/>
        <v>0</v>
      </c>
      <c r="CD878">
        <f t="shared" si="1704"/>
        <v>0</v>
      </c>
      <c r="CE878">
        <f t="shared" si="1705"/>
        <v>0</v>
      </c>
      <c r="CF878">
        <f t="shared" si="1706"/>
        <v>0</v>
      </c>
      <c r="CG878">
        <f t="shared" si="1707"/>
        <v>0</v>
      </c>
      <c r="CH878">
        <f t="shared" si="1708"/>
        <v>0</v>
      </c>
      <c r="CI878">
        <f t="shared" si="1709"/>
        <v>0</v>
      </c>
      <c r="CJ878">
        <f t="shared" si="1710"/>
        <v>0</v>
      </c>
      <c r="CK878">
        <f t="shared" si="1711"/>
        <v>0</v>
      </c>
      <c r="CL878">
        <f t="shared" si="1712"/>
        <v>0</v>
      </c>
      <c r="CM878">
        <f t="shared" si="1713"/>
        <v>0</v>
      </c>
      <c r="CN878">
        <f t="shared" si="1714"/>
        <v>0</v>
      </c>
      <c r="CO878">
        <f t="shared" si="1715"/>
        <v>0</v>
      </c>
      <c r="CP878">
        <f t="shared" si="1716"/>
        <v>0</v>
      </c>
      <c r="CQ878">
        <f t="shared" si="1717"/>
        <v>0</v>
      </c>
      <c r="CR878">
        <f t="shared" si="1718"/>
        <v>0</v>
      </c>
      <c r="CS878">
        <f t="shared" si="1719"/>
        <v>0</v>
      </c>
      <c r="CT878">
        <f t="shared" si="1720"/>
        <v>0</v>
      </c>
      <c r="CU878">
        <f t="shared" si="1721"/>
        <v>0</v>
      </c>
      <c r="CV878">
        <f t="shared" si="1722"/>
        <v>0</v>
      </c>
      <c r="CW878">
        <f t="shared" si="1723"/>
        <v>0</v>
      </c>
      <c r="CX878">
        <f t="shared" si="1724"/>
        <v>0</v>
      </c>
      <c r="CY878">
        <f t="shared" si="1725"/>
        <v>0</v>
      </c>
      <c r="CZ878">
        <f t="shared" si="1726"/>
        <v>0</v>
      </c>
      <c r="DA878">
        <f t="shared" si="1727"/>
        <v>0</v>
      </c>
      <c r="DB878">
        <f t="shared" si="1728"/>
        <v>0</v>
      </c>
      <c r="DC878">
        <f t="shared" si="1729"/>
        <v>0</v>
      </c>
      <c r="DD878">
        <f t="shared" si="1730"/>
        <v>0</v>
      </c>
      <c r="DE878">
        <f t="shared" si="1731"/>
        <v>0</v>
      </c>
      <c r="DF878">
        <f t="shared" si="1691"/>
        <v>0</v>
      </c>
      <c r="DG878">
        <f t="shared" si="1733"/>
        <v>0</v>
      </c>
      <c r="DH878">
        <f t="shared" si="1734"/>
        <v>0</v>
      </c>
      <c r="DI878">
        <f t="shared" si="1735"/>
        <v>0</v>
      </c>
      <c r="DJ878">
        <f t="shared" si="1736"/>
        <v>0</v>
      </c>
      <c r="DK878">
        <f t="shared" si="1737"/>
        <v>0</v>
      </c>
      <c r="DL878">
        <f t="shared" si="1738"/>
        <v>0</v>
      </c>
      <c r="DM878">
        <f t="shared" si="1739"/>
        <v>0</v>
      </c>
      <c r="DN878">
        <f t="shared" si="1740"/>
        <v>0</v>
      </c>
      <c r="DO878">
        <f t="shared" si="1741"/>
        <v>0</v>
      </c>
      <c r="DP878">
        <f t="shared" si="1742"/>
        <v>0</v>
      </c>
      <c r="DQ878">
        <f t="shared" si="1743"/>
        <v>0</v>
      </c>
      <c r="DR878">
        <f t="shared" si="1744"/>
        <v>0</v>
      </c>
      <c r="DS878">
        <f t="shared" si="1745"/>
        <v>0</v>
      </c>
      <c r="DT878">
        <f t="shared" si="1746"/>
        <v>0</v>
      </c>
      <c r="DU878">
        <f t="shared" si="1747"/>
        <v>0</v>
      </c>
      <c r="DV878">
        <f t="shared" si="1748"/>
        <v>0</v>
      </c>
      <c r="DW878">
        <f t="shared" si="1749"/>
        <v>0</v>
      </c>
      <c r="DX878">
        <f t="shared" si="1750"/>
        <v>0</v>
      </c>
      <c r="DY878">
        <f t="shared" si="1751"/>
        <v>0</v>
      </c>
      <c r="DZ878">
        <f t="shared" si="1752"/>
        <v>0</v>
      </c>
      <c r="EA878">
        <f t="shared" si="1753"/>
        <v>0</v>
      </c>
      <c r="EB878">
        <f t="shared" si="1753"/>
        <v>0</v>
      </c>
      <c r="EC878">
        <f t="shared" si="1753"/>
        <v>0</v>
      </c>
      <c r="ED878">
        <f t="shared" si="1753"/>
        <v>0</v>
      </c>
      <c r="EE878">
        <f t="shared" si="1753"/>
        <v>0</v>
      </c>
      <c r="EF878">
        <f t="shared" si="1753"/>
        <v>0</v>
      </c>
    </row>
    <row r="879" spans="1:136" ht="15.5">
      <c r="A879" s="90"/>
      <c r="B879" s="57" t="s">
        <v>208</v>
      </c>
      <c r="C879" s="95"/>
      <c r="D879" s="34">
        <v>0</v>
      </c>
      <c r="E879" s="34">
        <v>0</v>
      </c>
      <c r="F879" s="34">
        <v>0</v>
      </c>
      <c r="G879" s="34">
        <v>0</v>
      </c>
      <c r="H879" s="34">
        <v>0</v>
      </c>
      <c r="I879" s="34">
        <v>0</v>
      </c>
      <c r="J879" s="34">
        <v>0</v>
      </c>
      <c r="K879" s="34">
        <v>0</v>
      </c>
      <c r="L879" s="34">
        <v>0</v>
      </c>
      <c r="M879" s="34">
        <v>0</v>
      </c>
      <c r="N879" s="34">
        <v>0</v>
      </c>
      <c r="O879" s="34">
        <v>0</v>
      </c>
      <c r="P879" s="34">
        <v>0</v>
      </c>
      <c r="Q879" s="34">
        <v>0</v>
      </c>
      <c r="R879" s="34">
        <v>0</v>
      </c>
      <c r="S879" s="34">
        <v>0</v>
      </c>
      <c r="T879" s="34">
        <v>0</v>
      </c>
      <c r="U879" s="34">
        <v>0</v>
      </c>
      <c r="V879" s="34">
        <v>0</v>
      </c>
      <c r="W879" s="34">
        <v>0</v>
      </c>
      <c r="X879" s="34">
        <v>0</v>
      </c>
      <c r="Y879" s="149">
        <v>0</v>
      </c>
      <c r="Z879" s="149">
        <v>0</v>
      </c>
      <c r="AA879" s="149">
        <v>0</v>
      </c>
      <c r="AB879" s="149">
        <v>0</v>
      </c>
      <c r="AC879" s="149">
        <v>0</v>
      </c>
      <c r="AD879" s="149">
        <v>0</v>
      </c>
      <c r="AE879" s="149">
        <v>0</v>
      </c>
      <c r="AF879" s="236">
        <v>0</v>
      </c>
      <c r="AG879" s="236">
        <v>0.124</v>
      </c>
      <c r="AH879" s="236">
        <v>0.33500000000000002</v>
      </c>
      <c r="AI879" s="237">
        <v>9.4E-2</v>
      </c>
      <c r="AJ879" s="238">
        <f t="shared" ref="AJ879:AO879" si="1754">SUM(AJ884+AJ886+AJ888+AJ891)/1000000</f>
        <v>4.6036613213988877E-3</v>
      </c>
      <c r="AK879" s="238">
        <f t="shared" si="1754"/>
        <v>4.7514343233003107E-3</v>
      </c>
      <c r="AL879" s="239">
        <f t="shared" si="1754"/>
        <v>5.0544866974999983E-3</v>
      </c>
      <c r="AM879" s="238">
        <f t="shared" si="1754"/>
        <v>4.5145559999999994E-3</v>
      </c>
      <c r="AN879" s="238">
        <f t="shared" si="1754"/>
        <v>5.2450800000000001E-3</v>
      </c>
      <c r="AO879" s="201">
        <f t="shared" si="1754"/>
        <v>2.7916199999999999E-3</v>
      </c>
      <c r="AP879" s="149">
        <v>164.63640219999999</v>
      </c>
      <c r="AQ879" s="185" t="s">
        <v>16</v>
      </c>
      <c r="AR879" s="149">
        <v>95.887226900000002</v>
      </c>
      <c r="AS879" s="149">
        <v>157.7221251</v>
      </c>
      <c r="AT879" s="149">
        <v>0.28219250000000001</v>
      </c>
      <c r="AU879" s="149">
        <v>0</v>
      </c>
      <c r="AV879" s="149">
        <v>0</v>
      </c>
      <c r="AW879" s="149">
        <v>0</v>
      </c>
      <c r="AX879" s="149">
        <v>0</v>
      </c>
      <c r="AY879" s="149">
        <v>0</v>
      </c>
      <c r="AZ879" s="149">
        <v>0</v>
      </c>
      <c r="BA879" s="149">
        <v>0</v>
      </c>
      <c r="BB879" s="149">
        <v>0</v>
      </c>
      <c r="BC879" s="34">
        <v>0</v>
      </c>
      <c r="BD879" s="34">
        <v>0</v>
      </c>
      <c r="BE879" s="42">
        <v>0</v>
      </c>
      <c r="BF879" s="34">
        <v>0</v>
      </c>
      <c r="BG879" s="34">
        <v>0</v>
      </c>
      <c r="BH879" s="113">
        <v>0</v>
      </c>
      <c r="BI879" s="113">
        <v>0</v>
      </c>
      <c r="BJ879" s="113">
        <v>0</v>
      </c>
      <c r="BK879" s="113">
        <v>0</v>
      </c>
      <c r="BL879" s="113">
        <v>0</v>
      </c>
      <c r="BM879" s="113">
        <v>0</v>
      </c>
      <c r="BN879" s="113">
        <v>0</v>
      </c>
      <c r="BO879" s="113">
        <v>0</v>
      </c>
      <c r="BP879" s="113">
        <v>0</v>
      </c>
      <c r="BQ879" s="113">
        <v>0</v>
      </c>
      <c r="BR879" s="101"/>
      <c r="BS879">
        <f t="shared" si="1693"/>
        <v>0</v>
      </c>
      <c r="BT879">
        <f t="shared" si="1694"/>
        <v>0</v>
      </c>
      <c r="BU879">
        <f t="shared" si="1695"/>
        <v>0</v>
      </c>
      <c r="BV879">
        <f t="shared" si="1696"/>
        <v>0</v>
      </c>
      <c r="BW879">
        <f t="shared" si="1697"/>
        <v>0</v>
      </c>
      <c r="BX879">
        <f t="shared" si="1698"/>
        <v>0</v>
      </c>
      <c r="BY879">
        <f t="shared" si="1699"/>
        <v>0</v>
      </c>
      <c r="BZ879">
        <f t="shared" si="1700"/>
        <v>0</v>
      </c>
      <c r="CA879">
        <f t="shared" si="1701"/>
        <v>0</v>
      </c>
      <c r="CB879">
        <f t="shared" si="1702"/>
        <v>0</v>
      </c>
      <c r="CC879">
        <f t="shared" si="1703"/>
        <v>0</v>
      </c>
      <c r="CD879">
        <f t="shared" si="1704"/>
        <v>0</v>
      </c>
      <c r="CE879">
        <f t="shared" si="1705"/>
        <v>0</v>
      </c>
      <c r="CF879">
        <f t="shared" si="1706"/>
        <v>0</v>
      </c>
      <c r="CG879">
        <f t="shared" si="1707"/>
        <v>0</v>
      </c>
      <c r="CH879">
        <f t="shared" si="1708"/>
        <v>0</v>
      </c>
      <c r="CI879">
        <f t="shared" si="1709"/>
        <v>0</v>
      </c>
      <c r="CJ879">
        <f t="shared" si="1710"/>
        <v>0</v>
      </c>
      <c r="CK879">
        <f t="shared" si="1711"/>
        <v>0</v>
      </c>
      <c r="CL879">
        <f t="shared" si="1712"/>
        <v>0</v>
      </c>
      <c r="CM879">
        <f t="shared" si="1713"/>
        <v>0</v>
      </c>
      <c r="CN879">
        <f t="shared" si="1714"/>
        <v>0</v>
      </c>
      <c r="CO879">
        <f t="shared" si="1715"/>
        <v>0</v>
      </c>
      <c r="CP879">
        <f t="shared" si="1716"/>
        <v>0</v>
      </c>
      <c r="CQ879">
        <f t="shared" si="1717"/>
        <v>0</v>
      </c>
      <c r="CR879">
        <f t="shared" si="1718"/>
        <v>0</v>
      </c>
      <c r="CS879">
        <f t="shared" si="1719"/>
        <v>0</v>
      </c>
      <c r="CT879">
        <f t="shared" si="1720"/>
        <v>0</v>
      </c>
      <c r="CU879">
        <f t="shared" si="1721"/>
        <v>0</v>
      </c>
      <c r="CV879">
        <f t="shared" si="1722"/>
        <v>0</v>
      </c>
      <c r="CW879">
        <f t="shared" si="1723"/>
        <v>0</v>
      </c>
      <c r="CX879">
        <f t="shared" si="1724"/>
        <v>0</v>
      </c>
      <c r="CY879">
        <f t="shared" si="1725"/>
        <v>0</v>
      </c>
      <c r="CZ879">
        <f t="shared" si="1726"/>
        <v>0</v>
      </c>
      <c r="DA879">
        <f t="shared" si="1727"/>
        <v>0</v>
      </c>
      <c r="DB879">
        <f t="shared" si="1728"/>
        <v>0</v>
      </c>
      <c r="DC879">
        <f t="shared" si="1729"/>
        <v>0</v>
      </c>
      <c r="DD879">
        <f t="shared" si="1730"/>
        <v>0</v>
      </c>
      <c r="DE879">
        <f t="shared" si="1731"/>
        <v>0</v>
      </c>
      <c r="DF879">
        <f t="shared" si="1691"/>
        <v>0</v>
      </c>
      <c r="DG879">
        <f t="shared" si="1733"/>
        <v>0</v>
      </c>
      <c r="DH879">
        <f t="shared" si="1734"/>
        <v>0</v>
      </c>
      <c r="DI879">
        <f t="shared" si="1735"/>
        <v>0</v>
      </c>
      <c r="DJ879">
        <f t="shared" si="1736"/>
        <v>0</v>
      </c>
      <c r="DK879">
        <f t="shared" si="1737"/>
        <v>0</v>
      </c>
      <c r="DL879">
        <f t="shared" si="1738"/>
        <v>0</v>
      </c>
      <c r="DM879">
        <f t="shared" si="1739"/>
        <v>0</v>
      </c>
      <c r="DN879">
        <f t="shared" si="1740"/>
        <v>0</v>
      </c>
      <c r="DO879">
        <f t="shared" si="1741"/>
        <v>0</v>
      </c>
      <c r="DP879">
        <f t="shared" si="1742"/>
        <v>0</v>
      </c>
      <c r="DQ879">
        <f t="shared" si="1743"/>
        <v>0</v>
      </c>
      <c r="DR879">
        <f t="shared" si="1744"/>
        <v>0</v>
      </c>
      <c r="DS879">
        <f t="shared" si="1745"/>
        <v>0</v>
      </c>
      <c r="DT879">
        <f t="shared" si="1746"/>
        <v>0</v>
      </c>
      <c r="DU879">
        <f t="shared" si="1747"/>
        <v>0</v>
      </c>
      <c r="DV879">
        <f t="shared" si="1748"/>
        <v>0</v>
      </c>
      <c r="DW879">
        <f t="shared" si="1749"/>
        <v>0</v>
      </c>
      <c r="DX879">
        <f t="shared" si="1750"/>
        <v>0</v>
      </c>
      <c r="DY879">
        <f t="shared" si="1751"/>
        <v>0</v>
      </c>
      <c r="DZ879">
        <f t="shared" si="1752"/>
        <v>0</v>
      </c>
      <c r="EA879">
        <f t="shared" si="1753"/>
        <v>0</v>
      </c>
      <c r="EB879">
        <f t="shared" si="1753"/>
        <v>0</v>
      </c>
      <c r="EC879">
        <f t="shared" si="1753"/>
        <v>0</v>
      </c>
      <c r="ED879">
        <f t="shared" si="1753"/>
        <v>0</v>
      </c>
      <c r="EE879">
        <f t="shared" si="1753"/>
        <v>0</v>
      </c>
      <c r="EF879">
        <f t="shared" si="1753"/>
        <v>0</v>
      </c>
    </row>
    <row r="880" spans="1:136" ht="15.5">
      <c r="A880" s="90"/>
      <c r="B880" s="57" t="s">
        <v>21</v>
      </c>
      <c r="C880" s="95"/>
      <c r="D880" s="34">
        <v>0</v>
      </c>
      <c r="E880" s="34">
        <v>0</v>
      </c>
      <c r="F880" s="34">
        <v>0</v>
      </c>
      <c r="G880" s="34">
        <v>0</v>
      </c>
      <c r="H880" s="34">
        <v>0</v>
      </c>
      <c r="I880" s="34">
        <v>0</v>
      </c>
      <c r="J880" s="34">
        <v>0</v>
      </c>
      <c r="K880" s="34">
        <v>0</v>
      </c>
      <c r="L880" s="34">
        <v>0</v>
      </c>
      <c r="M880" s="34">
        <v>0</v>
      </c>
      <c r="N880" s="34">
        <v>0</v>
      </c>
      <c r="O880" s="34">
        <v>0</v>
      </c>
      <c r="P880" s="34">
        <v>0</v>
      </c>
      <c r="Q880" s="34">
        <v>0</v>
      </c>
      <c r="R880" s="34">
        <v>0</v>
      </c>
      <c r="S880" s="34">
        <v>0</v>
      </c>
      <c r="T880" s="34">
        <v>0</v>
      </c>
      <c r="U880" s="34">
        <v>0</v>
      </c>
      <c r="V880" s="34">
        <v>0</v>
      </c>
      <c r="W880" s="34">
        <v>0</v>
      </c>
      <c r="X880" s="34">
        <v>0</v>
      </c>
      <c r="Y880" s="34">
        <v>0</v>
      </c>
      <c r="Z880" s="34">
        <v>0</v>
      </c>
      <c r="AA880" s="34">
        <v>0</v>
      </c>
      <c r="AB880" s="34">
        <v>0</v>
      </c>
      <c r="AC880" s="34">
        <v>0</v>
      </c>
      <c r="AD880" s="34">
        <v>0</v>
      </c>
      <c r="AE880" s="34">
        <v>0</v>
      </c>
      <c r="AF880" s="34">
        <v>0</v>
      </c>
      <c r="AG880" s="34">
        <v>0</v>
      </c>
      <c r="AH880" s="34">
        <v>0</v>
      </c>
      <c r="AI880" s="34">
        <v>0</v>
      </c>
      <c r="AJ880" s="34">
        <v>0</v>
      </c>
      <c r="AK880" s="34">
        <v>0</v>
      </c>
      <c r="AL880" s="34">
        <v>0</v>
      </c>
      <c r="AM880" s="34">
        <v>0</v>
      </c>
      <c r="AN880" s="34">
        <v>0</v>
      </c>
      <c r="AO880" s="34">
        <v>0</v>
      </c>
      <c r="AP880" s="34">
        <f>79+623</f>
        <v>702</v>
      </c>
      <c r="AQ880" s="18">
        <f>79+623</f>
        <v>702</v>
      </c>
      <c r="AR880" s="34">
        <v>79</v>
      </c>
      <c r="AS880" s="34">
        <v>0</v>
      </c>
      <c r="AT880" s="34">
        <v>0</v>
      </c>
      <c r="AU880" s="34">
        <v>0</v>
      </c>
      <c r="AV880" s="34">
        <v>0</v>
      </c>
      <c r="AW880" s="34">
        <v>0</v>
      </c>
      <c r="AX880" s="34">
        <v>0</v>
      </c>
      <c r="AY880" s="34">
        <v>0</v>
      </c>
      <c r="AZ880" s="34">
        <v>0</v>
      </c>
      <c r="BA880" s="34">
        <v>0</v>
      </c>
      <c r="BB880" s="34">
        <v>0</v>
      </c>
      <c r="BC880" s="34">
        <v>0</v>
      </c>
      <c r="BD880" s="34">
        <v>0</v>
      </c>
      <c r="BE880" s="42">
        <v>0</v>
      </c>
      <c r="BF880" s="34">
        <v>0</v>
      </c>
      <c r="BG880" s="34">
        <v>0</v>
      </c>
      <c r="BH880" s="113">
        <v>0</v>
      </c>
      <c r="BI880" s="113">
        <v>0</v>
      </c>
      <c r="BJ880" s="113">
        <v>0</v>
      </c>
      <c r="BK880" s="113">
        <v>0</v>
      </c>
      <c r="BL880" s="113">
        <v>0</v>
      </c>
      <c r="BM880" s="113">
        <v>0</v>
      </c>
      <c r="BN880" s="113">
        <v>0</v>
      </c>
      <c r="BO880" s="113">
        <v>0</v>
      </c>
      <c r="BP880" s="113">
        <v>0</v>
      </c>
      <c r="BQ880" s="113">
        <v>0</v>
      </c>
      <c r="BR880" s="101"/>
      <c r="BS880">
        <f t="shared" si="1693"/>
        <v>0</v>
      </c>
      <c r="BT880">
        <f t="shared" si="1694"/>
        <v>0</v>
      </c>
      <c r="BU880">
        <f t="shared" si="1695"/>
        <v>0</v>
      </c>
      <c r="BV880">
        <f t="shared" si="1696"/>
        <v>0</v>
      </c>
      <c r="BW880">
        <f t="shared" si="1697"/>
        <v>0</v>
      </c>
      <c r="BX880">
        <f t="shared" si="1698"/>
        <v>0</v>
      </c>
      <c r="BY880">
        <f t="shared" si="1699"/>
        <v>0</v>
      </c>
      <c r="BZ880">
        <f t="shared" si="1700"/>
        <v>0</v>
      </c>
      <c r="CA880">
        <f t="shared" si="1701"/>
        <v>0</v>
      </c>
      <c r="CB880">
        <f t="shared" si="1702"/>
        <v>0</v>
      </c>
      <c r="CC880">
        <f t="shared" si="1703"/>
        <v>0</v>
      </c>
      <c r="CD880">
        <f t="shared" si="1704"/>
        <v>0</v>
      </c>
      <c r="CE880">
        <f t="shared" si="1705"/>
        <v>0</v>
      </c>
      <c r="CF880">
        <f t="shared" si="1706"/>
        <v>0</v>
      </c>
      <c r="CG880">
        <f t="shared" si="1707"/>
        <v>0</v>
      </c>
      <c r="CH880">
        <f t="shared" si="1708"/>
        <v>0</v>
      </c>
      <c r="CI880">
        <f t="shared" si="1709"/>
        <v>0</v>
      </c>
      <c r="CJ880">
        <f t="shared" si="1710"/>
        <v>0</v>
      </c>
      <c r="CK880">
        <f t="shared" si="1711"/>
        <v>0</v>
      </c>
      <c r="CL880">
        <f t="shared" si="1712"/>
        <v>0</v>
      </c>
      <c r="CM880">
        <f t="shared" si="1713"/>
        <v>0</v>
      </c>
      <c r="CN880">
        <f t="shared" si="1714"/>
        <v>0</v>
      </c>
      <c r="CO880">
        <f t="shared" si="1715"/>
        <v>0</v>
      </c>
      <c r="CP880">
        <f t="shared" si="1716"/>
        <v>0</v>
      </c>
      <c r="CQ880">
        <f t="shared" si="1717"/>
        <v>0</v>
      </c>
      <c r="CR880">
        <f t="shared" si="1718"/>
        <v>0</v>
      </c>
      <c r="CS880">
        <f t="shared" si="1719"/>
        <v>0</v>
      </c>
      <c r="CT880">
        <f t="shared" si="1720"/>
        <v>0</v>
      </c>
      <c r="CU880">
        <f t="shared" si="1721"/>
        <v>0</v>
      </c>
      <c r="CV880">
        <f t="shared" si="1722"/>
        <v>0</v>
      </c>
      <c r="CW880">
        <f t="shared" si="1723"/>
        <v>0</v>
      </c>
      <c r="CX880">
        <f t="shared" si="1724"/>
        <v>0</v>
      </c>
      <c r="CY880">
        <f t="shared" si="1725"/>
        <v>0</v>
      </c>
      <c r="CZ880">
        <f t="shared" si="1726"/>
        <v>0</v>
      </c>
      <c r="DA880">
        <f t="shared" si="1727"/>
        <v>0</v>
      </c>
      <c r="DB880">
        <f t="shared" si="1728"/>
        <v>0</v>
      </c>
      <c r="DC880">
        <f t="shared" si="1729"/>
        <v>0</v>
      </c>
      <c r="DD880">
        <f t="shared" si="1730"/>
        <v>0</v>
      </c>
      <c r="DE880">
        <f t="shared" si="1731"/>
        <v>0</v>
      </c>
      <c r="DF880">
        <f t="shared" si="1691"/>
        <v>0</v>
      </c>
      <c r="DG880">
        <f t="shared" si="1733"/>
        <v>0</v>
      </c>
      <c r="DH880">
        <f t="shared" si="1734"/>
        <v>0</v>
      </c>
      <c r="DI880">
        <f t="shared" si="1735"/>
        <v>0</v>
      </c>
      <c r="DJ880">
        <f t="shared" si="1736"/>
        <v>0</v>
      </c>
      <c r="DK880">
        <f t="shared" si="1737"/>
        <v>0</v>
      </c>
      <c r="DL880">
        <f t="shared" si="1738"/>
        <v>0</v>
      </c>
      <c r="DM880">
        <f t="shared" si="1739"/>
        <v>0</v>
      </c>
      <c r="DN880">
        <f t="shared" si="1740"/>
        <v>0</v>
      </c>
      <c r="DO880">
        <f t="shared" si="1741"/>
        <v>0</v>
      </c>
      <c r="DP880">
        <f t="shared" si="1742"/>
        <v>0</v>
      </c>
      <c r="DQ880">
        <f t="shared" si="1743"/>
        <v>0</v>
      </c>
      <c r="DR880">
        <f t="shared" si="1744"/>
        <v>0</v>
      </c>
      <c r="DS880">
        <f t="shared" si="1745"/>
        <v>0</v>
      </c>
      <c r="DT880">
        <f t="shared" si="1746"/>
        <v>0</v>
      </c>
      <c r="DU880">
        <f t="shared" si="1747"/>
        <v>0</v>
      </c>
      <c r="DV880">
        <f t="shared" si="1748"/>
        <v>0</v>
      </c>
      <c r="DW880">
        <f t="shared" si="1749"/>
        <v>0</v>
      </c>
      <c r="DX880">
        <f t="shared" si="1750"/>
        <v>0</v>
      </c>
      <c r="DY880">
        <f t="shared" si="1751"/>
        <v>0</v>
      </c>
      <c r="DZ880">
        <f t="shared" si="1752"/>
        <v>0</v>
      </c>
      <c r="EA880">
        <f t="shared" ref="EA880:EF881" si="1755">IF($C880&lt;&gt;"",IF(BL880&gt;0,1,0),0)</f>
        <v>0</v>
      </c>
      <c r="EB880">
        <f t="shared" si="1755"/>
        <v>0</v>
      </c>
      <c r="EC880">
        <f t="shared" si="1755"/>
        <v>0</v>
      </c>
      <c r="ED880">
        <f t="shared" si="1755"/>
        <v>0</v>
      </c>
      <c r="EE880">
        <f t="shared" si="1755"/>
        <v>0</v>
      </c>
      <c r="EF880">
        <f t="shared" si="1755"/>
        <v>0</v>
      </c>
    </row>
    <row r="881" spans="1:136" ht="15.5">
      <c r="A881" s="90"/>
      <c r="B881" s="57" t="s">
        <v>212</v>
      </c>
      <c r="C881" s="95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34">
        <v>0</v>
      </c>
      <c r="Z881" s="34">
        <v>0</v>
      </c>
      <c r="AA881" s="34">
        <v>0</v>
      </c>
      <c r="AB881" s="34">
        <v>0</v>
      </c>
      <c r="AC881" s="34">
        <v>0</v>
      </c>
      <c r="AD881" s="34">
        <v>0</v>
      </c>
      <c r="AE881" s="34">
        <v>0</v>
      </c>
      <c r="AF881" s="34">
        <v>0</v>
      </c>
      <c r="AG881" s="34">
        <v>0</v>
      </c>
      <c r="AH881" s="34">
        <v>0</v>
      </c>
      <c r="AI881" s="34">
        <v>0</v>
      </c>
      <c r="AJ881" s="34">
        <v>0</v>
      </c>
      <c r="AK881" s="34">
        <v>0</v>
      </c>
      <c r="AL881" s="34">
        <v>0</v>
      </c>
      <c r="AM881" s="34">
        <v>0</v>
      </c>
      <c r="AN881" s="34">
        <v>0</v>
      </c>
      <c r="AO881" s="34">
        <v>0</v>
      </c>
      <c r="AP881" s="34">
        <v>702</v>
      </c>
      <c r="AQ881" s="18">
        <v>702</v>
      </c>
      <c r="AR881" s="34">
        <v>79</v>
      </c>
      <c r="AS881" s="34">
        <v>0</v>
      </c>
      <c r="AT881" s="34">
        <v>0</v>
      </c>
      <c r="AU881" s="34">
        <v>0</v>
      </c>
      <c r="AV881" s="34">
        <v>0</v>
      </c>
      <c r="AW881" s="34">
        <v>0</v>
      </c>
      <c r="AX881" s="34">
        <v>0</v>
      </c>
      <c r="AY881" s="34">
        <v>0</v>
      </c>
      <c r="AZ881" s="34">
        <v>0</v>
      </c>
      <c r="BA881" s="18">
        <v>1073.4000000000001</v>
      </c>
      <c r="BB881" s="34">
        <v>1263.396</v>
      </c>
      <c r="BC881" s="34">
        <v>16107.9128569816</v>
      </c>
      <c r="BD881" s="34">
        <v>16687.179487179488</v>
      </c>
      <c r="BE881" s="42">
        <v>20634.383113218195</v>
      </c>
      <c r="BF881" s="34">
        <v>6525.679758308157</v>
      </c>
      <c r="BG881" s="34">
        <v>6759.3665507918113</v>
      </c>
      <c r="BH881" s="113">
        <v>6682.5775656324586</v>
      </c>
      <c r="BI881" s="113">
        <v>6864.9885583524028</v>
      </c>
      <c r="BJ881" s="113">
        <v>8664.2599277978334</v>
      </c>
      <c r="BK881" s="113">
        <v>11021.069692058347</v>
      </c>
      <c r="BL881" s="113">
        <v>13522.012578616352</v>
      </c>
      <c r="BM881" s="113">
        <v>12954.545454545454</v>
      </c>
      <c r="BN881" s="113">
        <v>9914.1914191419146</v>
      </c>
      <c r="BO881" s="113">
        <v>9111</v>
      </c>
      <c r="BP881" s="251">
        <f>(80000+4877000)/278</f>
        <v>17830.935251798561</v>
      </c>
      <c r="BQ881" s="113">
        <f>314000/278</f>
        <v>1129.4964028776978</v>
      </c>
      <c r="BR881" s="101"/>
      <c r="BS881">
        <f t="shared" si="1693"/>
        <v>0</v>
      </c>
      <c r="BT881">
        <f t="shared" si="1694"/>
        <v>0</v>
      </c>
      <c r="BU881">
        <f t="shared" si="1695"/>
        <v>0</v>
      </c>
      <c r="BV881">
        <f t="shared" si="1696"/>
        <v>0</v>
      </c>
      <c r="BW881">
        <f t="shared" si="1697"/>
        <v>0</v>
      </c>
      <c r="BX881">
        <f t="shared" si="1698"/>
        <v>0</v>
      </c>
      <c r="BY881">
        <f t="shared" si="1699"/>
        <v>0</v>
      </c>
      <c r="BZ881">
        <f t="shared" si="1700"/>
        <v>0</v>
      </c>
      <c r="CA881">
        <f t="shared" si="1701"/>
        <v>0</v>
      </c>
      <c r="CB881">
        <f t="shared" si="1702"/>
        <v>0</v>
      </c>
      <c r="CC881">
        <f t="shared" si="1703"/>
        <v>0</v>
      </c>
      <c r="CD881">
        <f t="shared" si="1704"/>
        <v>0</v>
      </c>
      <c r="CE881">
        <f t="shared" si="1705"/>
        <v>0</v>
      </c>
      <c r="CF881">
        <f t="shared" si="1706"/>
        <v>0</v>
      </c>
      <c r="CG881">
        <f t="shared" si="1707"/>
        <v>0</v>
      </c>
      <c r="CH881">
        <f t="shared" si="1708"/>
        <v>0</v>
      </c>
      <c r="CI881">
        <f t="shared" si="1709"/>
        <v>0</v>
      </c>
      <c r="CJ881">
        <f t="shared" si="1710"/>
        <v>0</v>
      </c>
      <c r="CK881">
        <f t="shared" si="1711"/>
        <v>0</v>
      </c>
      <c r="CL881">
        <f t="shared" si="1712"/>
        <v>0</v>
      </c>
      <c r="CM881">
        <f t="shared" si="1713"/>
        <v>0</v>
      </c>
      <c r="CN881">
        <f t="shared" si="1714"/>
        <v>0</v>
      </c>
      <c r="CO881">
        <f t="shared" si="1715"/>
        <v>0</v>
      </c>
      <c r="CP881">
        <f t="shared" si="1716"/>
        <v>0</v>
      </c>
      <c r="CQ881">
        <f t="shared" si="1717"/>
        <v>0</v>
      </c>
      <c r="CR881">
        <f t="shared" si="1718"/>
        <v>0</v>
      </c>
      <c r="CS881">
        <f t="shared" si="1719"/>
        <v>0</v>
      </c>
      <c r="CT881">
        <f t="shared" si="1720"/>
        <v>0</v>
      </c>
      <c r="CU881">
        <f t="shared" si="1721"/>
        <v>0</v>
      </c>
      <c r="CV881">
        <f t="shared" si="1722"/>
        <v>0</v>
      </c>
      <c r="CW881">
        <f t="shared" si="1723"/>
        <v>0</v>
      </c>
      <c r="CX881">
        <f t="shared" si="1724"/>
        <v>0</v>
      </c>
      <c r="CY881">
        <f t="shared" si="1725"/>
        <v>0</v>
      </c>
      <c r="CZ881">
        <f t="shared" si="1726"/>
        <v>0</v>
      </c>
      <c r="DA881">
        <f t="shared" si="1727"/>
        <v>0</v>
      </c>
      <c r="DB881">
        <f t="shared" si="1728"/>
        <v>0</v>
      </c>
      <c r="DC881">
        <f t="shared" si="1729"/>
        <v>0</v>
      </c>
      <c r="DD881">
        <f t="shared" si="1730"/>
        <v>0</v>
      </c>
      <c r="DE881">
        <f t="shared" si="1731"/>
        <v>0</v>
      </c>
      <c r="DF881">
        <f t="shared" si="1691"/>
        <v>0</v>
      </c>
      <c r="DG881">
        <f t="shared" si="1733"/>
        <v>0</v>
      </c>
      <c r="DH881">
        <f t="shared" si="1734"/>
        <v>0</v>
      </c>
      <c r="DI881">
        <f t="shared" si="1735"/>
        <v>0</v>
      </c>
      <c r="DJ881">
        <f t="shared" si="1736"/>
        <v>0</v>
      </c>
      <c r="DK881">
        <f t="shared" si="1737"/>
        <v>0</v>
      </c>
      <c r="DL881">
        <f t="shared" si="1738"/>
        <v>0</v>
      </c>
      <c r="DM881">
        <f t="shared" si="1739"/>
        <v>0</v>
      </c>
      <c r="DN881">
        <f t="shared" si="1740"/>
        <v>0</v>
      </c>
      <c r="DO881">
        <f t="shared" si="1741"/>
        <v>0</v>
      </c>
      <c r="DP881">
        <f t="shared" si="1742"/>
        <v>0</v>
      </c>
      <c r="DQ881">
        <f t="shared" si="1743"/>
        <v>0</v>
      </c>
      <c r="DR881">
        <f t="shared" si="1744"/>
        <v>0</v>
      </c>
      <c r="DS881">
        <f t="shared" si="1745"/>
        <v>0</v>
      </c>
      <c r="DT881">
        <f t="shared" si="1746"/>
        <v>0</v>
      </c>
      <c r="DU881">
        <f t="shared" si="1747"/>
        <v>0</v>
      </c>
      <c r="DV881">
        <f t="shared" si="1748"/>
        <v>0</v>
      </c>
      <c r="DW881">
        <f t="shared" si="1749"/>
        <v>0</v>
      </c>
      <c r="DX881">
        <f t="shared" si="1750"/>
        <v>0</v>
      </c>
      <c r="DY881">
        <f t="shared" si="1751"/>
        <v>0</v>
      </c>
      <c r="DZ881">
        <f t="shared" si="1752"/>
        <v>0</v>
      </c>
      <c r="EA881">
        <f t="shared" si="1755"/>
        <v>0</v>
      </c>
      <c r="EB881">
        <f t="shared" si="1755"/>
        <v>0</v>
      </c>
      <c r="EC881">
        <f t="shared" si="1755"/>
        <v>0</v>
      </c>
      <c r="ED881">
        <f t="shared" si="1755"/>
        <v>0</v>
      </c>
      <c r="EE881">
        <f t="shared" si="1755"/>
        <v>0</v>
      </c>
      <c r="EF881">
        <f t="shared" si="1755"/>
        <v>0</v>
      </c>
    </row>
    <row r="882" spans="1:136" ht="15.5">
      <c r="A882" s="90"/>
      <c r="B882" s="57"/>
      <c r="C882" s="95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149"/>
      <c r="AH882" s="34"/>
      <c r="AI882" s="34"/>
      <c r="AJ882" s="34"/>
      <c r="AK882" s="34"/>
      <c r="AL882" s="34"/>
      <c r="AM882" s="34"/>
      <c r="AN882" s="34"/>
      <c r="AO882" s="34"/>
      <c r="AP882" s="34"/>
      <c r="AQ882" s="40"/>
      <c r="AR882" s="34"/>
      <c r="AS882" s="34"/>
      <c r="AT882" s="34"/>
      <c r="AU882" s="34"/>
      <c r="AV882" s="34"/>
      <c r="AW882" s="34"/>
      <c r="AX882" s="34"/>
      <c r="AY882" s="34"/>
      <c r="AZ882" s="34"/>
      <c r="BA882" s="34"/>
      <c r="BB882" s="34"/>
      <c r="BC882" s="34"/>
      <c r="BD882" s="34"/>
      <c r="BE882" s="42"/>
      <c r="BF882" s="34"/>
      <c r="BG882" s="34"/>
      <c r="BH882" s="113"/>
      <c r="BI882" s="113"/>
      <c r="BJ882" s="113"/>
      <c r="BK882" s="113"/>
      <c r="BL882" s="2"/>
      <c r="BM882" s="2"/>
      <c r="BN882" s="2"/>
      <c r="BO882" s="2"/>
      <c r="BP882" s="2"/>
      <c r="BQ882" s="2"/>
      <c r="BR882" s="101"/>
    </row>
    <row r="883" spans="1:136" ht="15.5">
      <c r="A883" s="93">
        <v>111</v>
      </c>
      <c r="B883" s="54" t="s">
        <v>218</v>
      </c>
      <c r="C883" s="95">
        <v>4</v>
      </c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34"/>
      <c r="AH883" s="34"/>
      <c r="AI883" s="34"/>
      <c r="AJ883" s="34"/>
      <c r="AK883" s="34"/>
      <c r="AL883" s="34"/>
      <c r="AM883" s="34"/>
      <c r="AN883" s="34"/>
      <c r="AO883" s="34"/>
      <c r="AP883" s="34"/>
      <c r="AQ883" s="40"/>
      <c r="AR883" s="34"/>
      <c r="AS883" s="34"/>
      <c r="AT883" s="34"/>
      <c r="AU883" s="34"/>
      <c r="AV883" s="34"/>
      <c r="AW883" s="34"/>
      <c r="AX883" s="34"/>
      <c r="AY883" s="34"/>
      <c r="AZ883" s="34"/>
      <c r="BA883" s="34"/>
      <c r="BB883" s="34"/>
      <c r="BC883" s="34"/>
      <c r="BD883" s="34"/>
      <c r="BE883" s="42"/>
      <c r="BF883" s="34"/>
      <c r="BG883" s="34"/>
      <c r="BH883" s="113"/>
      <c r="BI883" s="113"/>
      <c r="BJ883" s="113"/>
      <c r="BK883" s="113"/>
      <c r="BL883" s="2"/>
      <c r="BM883" s="2"/>
      <c r="BN883" s="2"/>
      <c r="BO883" s="2"/>
      <c r="BP883" s="2"/>
      <c r="BQ883" s="2"/>
      <c r="BR883" s="101"/>
    </row>
    <row r="884" spans="1:136" ht="15.5">
      <c r="A884" s="90"/>
      <c r="B884" s="57" t="s">
        <v>212</v>
      </c>
      <c r="C884" s="95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34"/>
      <c r="AH884" s="34">
        <v>0</v>
      </c>
      <c r="AI884" s="34">
        <v>3</v>
      </c>
      <c r="AJ884" s="34">
        <v>0</v>
      </c>
      <c r="AK884" s="34">
        <v>1</v>
      </c>
      <c r="AL884" s="34">
        <v>1</v>
      </c>
      <c r="AM884" s="34">
        <v>1</v>
      </c>
      <c r="AN884" s="34">
        <v>5</v>
      </c>
      <c r="AO884" s="34">
        <v>4</v>
      </c>
      <c r="AP884" s="34">
        <v>8</v>
      </c>
      <c r="AQ884" s="18">
        <v>18</v>
      </c>
      <c r="AR884" s="34">
        <v>20</v>
      </c>
      <c r="AS884" s="34">
        <v>14</v>
      </c>
      <c r="AT884" s="34">
        <v>30</v>
      </c>
      <c r="AU884" s="34">
        <v>7.36</v>
      </c>
      <c r="AV884" s="34">
        <v>5.47</v>
      </c>
      <c r="AW884" s="34">
        <v>12.87</v>
      </c>
      <c r="AX884" s="34">
        <v>8.75</v>
      </c>
      <c r="AY884" s="34">
        <v>11.2315</v>
      </c>
      <c r="AZ884" s="34">
        <v>18.829000000000001</v>
      </c>
      <c r="BA884" s="34">
        <v>29.427499999999998</v>
      </c>
      <c r="BB884" s="34">
        <v>24.554900000000004</v>
      </c>
      <c r="BC884" s="34">
        <v>16.231180000000002</v>
      </c>
      <c r="BD884" s="34">
        <v>21.628800000000002</v>
      </c>
      <c r="BE884" s="42">
        <v>18.181799999999999</v>
      </c>
      <c r="BF884" s="34">
        <v>15.5343</v>
      </c>
      <c r="BG884" s="34">
        <v>22.971</v>
      </c>
      <c r="BH884" s="113">
        <v>12.267899999999999</v>
      </c>
      <c r="BI884" s="113">
        <v>14.141400000000001</v>
      </c>
      <c r="BJ884" s="113">
        <v>14.946</v>
      </c>
      <c r="BK884" s="113">
        <v>16.744000000000003</v>
      </c>
      <c r="BL884" s="113">
        <v>14.421199999999999</v>
      </c>
      <c r="BM884" s="113">
        <v>12.9816</v>
      </c>
      <c r="BN884" s="113">
        <v>15.3811</v>
      </c>
      <c r="BO884" s="113">
        <v>13.167000000000002</v>
      </c>
      <c r="BP884" s="113">
        <v>13.167000000000002</v>
      </c>
      <c r="BQ884" s="113">
        <v>0</v>
      </c>
      <c r="BR884" s="101"/>
      <c r="BS884">
        <f t="shared" ref="BS884:CX884" si="1756">IF($C884&lt;&gt;"",IF(D884&gt;0,1,0),0)</f>
        <v>0</v>
      </c>
      <c r="BT884">
        <f t="shared" si="1756"/>
        <v>0</v>
      </c>
      <c r="BU884">
        <f t="shared" si="1756"/>
        <v>0</v>
      </c>
      <c r="BV884">
        <f t="shared" si="1756"/>
        <v>0</v>
      </c>
      <c r="BW884">
        <f t="shared" si="1756"/>
        <v>0</v>
      </c>
      <c r="BX884">
        <f t="shared" si="1756"/>
        <v>0</v>
      </c>
      <c r="BY884">
        <f t="shared" si="1756"/>
        <v>0</v>
      </c>
      <c r="BZ884">
        <f t="shared" si="1756"/>
        <v>0</v>
      </c>
      <c r="CA884">
        <f t="shared" si="1756"/>
        <v>0</v>
      </c>
      <c r="CB884">
        <f t="shared" si="1756"/>
        <v>0</v>
      </c>
      <c r="CC884">
        <f t="shared" si="1756"/>
        <v>0</v>
      </c>
      <c r="CD884">
        <f t="shared" si="1756"/>
        <v>0</v>
      </c>
      <c r="CE884">
        <f t="shared" si="1756"/>
        <v>0</v>
      </c>
      <c r="CF884">
        <f t="shared" si="1756"/>
        <v>0</v>
      </c>
      <c r="CG884">
        <f t="shared" si="1756"/>
        <v>0</v>
      </c>
      <c r="CH884">
        <f t="shared" si="1756"/>
        <v>0</v>
      </c>
      <c r="CI884">
        <f t="shared" si="1756"/>
        <v>0</v>
      </c>
      <c r="CJ884">
        <f t="shared" si="1756"/>
        <v>0</v>
      </c>
      <c r="CK884">
        <f t="shared" si="1756"/>
        <v>0</v>
      </c>
      <c r="CL884">
        <f t="shared" si="1756"/>
        <v>0</v>
      </c>
      <c r="CM884">
        <f t="shared" si="1756"/>
        <v>0</v>
      </c>
      <c r="CN884">
        <f t="shared" si="1756"/>
        <v>0</v>
      </c>
      <c r="CO884">
        <f t="shared" si="1756"/>
        <v>0</v>
      </c>
      <c r="CP884">
        <f t="shared" si="1756"/>
        <v>0</v>
      </c>
      <c r="CQ884">
        <f t="shared" si="1756"/>
        <v>0</v>
      </c>
      <c r="CR884">
        <f t="shared" si="1756"/>
        <v>0</v>
      </c>
      <c r="CS884">
        <f t="shared" si="1756"/>
        <v>0</v>
      </c>
      <c r="CT884">
        <f t="shared" si="1756"/>
        <v>0</v>
      </c>
      <c r="CU884">
        <f t="shared" si="1756"/>
        <v>0</v>
      </c>
      <c r="CV884">
        <f t="shared" si="1756"/>
        <v>0</v>
      </c>
      <c r="CW884">
        <f t="shared" si="1756"/>
        <v>0</v>
      </c>
      <c r="CX884">
        <f t="shared" si="1756"/>
        <v>0</v>
      </c>
      <c r="CY884">
        <f t="shared" ref="CY884:ED884" si="1757">IF($C884&lt;&gt;"",IF(AJ884&gt;0,1,0),0)</f>
        <v>0</v>
      </c>
      <c r="CZ884">
        <f t="shared" si="1757"/>
        <v>0</v>
      </c>
      <c r="DA884">
        <f t="shared" si="1757"/>
        <v>0</v>
      </c>
      <c r="DB884">
        <f t="shared" si="1757"/>
        <v>0</v>
      </c>
      <c r="DC884">
        <f t="shared" si="1757"/>
        <v>0</v>
      </c>
      <c r="DD884">
        <f t="shared" si="1757"/>
        <v>0</v>
      </c>
      <c r="DE884">
        <f t="shared" si="1757"/>
        <v>0</v>
      </c>
      <c r="DF884">
        <f t="shared" si="1757"/>
        <v>0</v>
      </c>
      <c r="DG884">
        <f t="shared" si="1757"/>
        <v>0</v>
      </c>
      <c r="DH884">
        <f t="shared" si="1757"/>
        <v>0</v>
      </c>
      <c r="DI884">
        <f t="shared" si="1757"/>
        <v>0</v>
      </c>
      <c r="DJ884">
        <f t="shared" si="1757"/>
        <v>0</v>
      </c>
      <c r="DK884">
        <f t="shared" si="1757"/>
        <v>0</v>
      </c>
      <c r="DL884">
        <f t="shared" si="1757"/>
        <v>0</v>
      </c>
      <c r="DM884">
        <f t="shared" si="1757"/>
        <v>0</v>
      </c>
      <c r="DN884">
        <f t="shared" si="1757"/>
        <v>0</v>
      </c>
      <c r="DO884">
        <f t="shared" si="1757"/>
        <v>0</v>
      </c>
      <c r="DP884">
        <f t="shared" si="1757"/>
        <v>0</v>
      </c>
      <c r="DQ884">
        <f t="shared" si="1757"/>
        <v>0</v>
      </c>
      <c r="DR884">
        <f t="shared" si="1757"/>
        <v>0</v>
      </c>
      <c r="DS884">
        <f t="shared" si="1757"/>
        <v>0</v>
      </c>
      <c r="DT884">
        <f t="shared" si="1757"/>
        <v>0</v>
      </c>
      <c r="DU884">
        <f t="shared" si="1757"/>
        <v>0</v>
      </c>
      <c r="DV884">
        <f t="shared" si="1757"/>
        <v>0</v>
      </c>
      <c r="DW884">
        <f t="shared" si="1757"/>
        <v>0</v>
      </c>
      <c r="DX884">
        <f t="shared" si="1757"/>
        <v>0</v>
      </c>
      <c r="DY884">
        <f t="shared" si="1757"/>
        <v>0</v>
      </c>
      <c r="DZ884">
        <f t="shared" si="1757"/>
        <v>0</v>
      </c>
      <c r="EA884">
        <f t="shared" si="1757"/>
        <v>0</v>
      </c>
      <c r="EB884">
        <f t="shared" si="1757"/>
        <v>0</v>
      </c>
      <c r="EC884">
        <f t="shared" si="1757"/>
        <v>0</v>
      </c>
      <c r="ED884">
        <f t="shared" si="1757"/>
        <v>0</v>
      </c>
      <c r="EE884">
        <f t="shared" ref="EE884:EF884" si="1758">IF($C884&lt;&gt;"",IF(BP884&gt;0,1,0),0)</f>
        <v>0</v>
      </c>
      <c r="EF884">
        <f t="shared" si="1758"/>
        <v>0</v>
      </c>
    </row>
    <row r="885" spans="1:136" ht="15.5">
      <c r="A885" s="90"/>
      <c r="B885" s="37"/>
      <c r="C885" s="95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  <c r="AW885" s="9"/>
      <c r="AX885" s="9"/>
      <c r="AY885" s="9"/>
      <c r="AZ885" s="9"/>
      <c r="BA885" s="9"/>
      <c r="BB885" s="9"/>
      <c r="BC885" s="9"/>
      <c r="BD885" s="9"/>
      <c r="BE885" s="8"/>
      <c r="BF885" s="34"/>
      <c r="BG885" s="9"/>
      <c r="BH885" s="2"/>
      <c r="BI885" s="2"/>
      <c r="BJ885" s="2"/>
      <c r="BK885" s="2"/>
      <c r="BL885" s="4"/>
      <c r="BM885" s="2"/>
      <c r="BN885" s="2"/>
      <c r="BO885" s="2"/>
      <c r="BP885" s="2"/>
      <c r="BQ885" s="2"/>
      <c r="BR885" s="101"/>
    </row>
    <row r="886" spans="1:136" ht="15.5">
      <c r="A886" s="93">
        <v>112</v>
      </c>
      <c r="B886" s="52" t="s">
        <v>114</v>
      </c>
      <c r="C886" s="95">
        <v>2</v>
      </c>
      <c r="D886" s="22">
        <f t="shared" ref="D886:AI886" si="1759">SUM(D887:D894)</f>
        <v>0</v>
      </c>
      <c r="E886" s="22">
        <f t="shared" si="1759"/>
        <v>0</v>
      </c>
      <c r="F886" s="22">
        <f t="shared" si="1759"/>
        <v>0</v>
      </c>
      <c r="G886" s="22">
        <f t="shared" si="1759"/>
        <v>0</v>
      </c>
      <c r="H886" s="22">
        <f t="shared" si="1759"/>
        <v>0</v>
      </c>
      <c r="I886" s="22">
        <f t="shared" si="1759"/>
        <v>0</v>
      </c>
      <c r="J886" s="22">
        <f t="shared" si="1759"/>
        <v>0</v>
      </c>
      <c r="K886" s="22">
        <f t="shared" si="1759"/>
        <v>0</v>
      </c>
      <c r="L886" s="22">
        <f t="shared" si="1759"/>
        <v>0</v>
      </c>
      <c r="M886" s="22">
        <f t="shared" si="1759"/>
        <v>0</v>
      </c>
      <c r="N886" s="22">
        <f t="shared" si="1759"/>
        <v>15</v>
      </c>
      <c r="O886" s="22">
        <f t="shared" si="1759"/>
        <v>0</v>
      </c>
      <c r="P886" s="22">
        <f t="shared" si="1759"/>
        <v>0</v>
      </c>
      <c r="Q886" s="22">
        <f t="shared" si="1759"/>
        <v>0</v>
      </c>
      <c r="R886" s="22">
        <f t="shared" si="1759"/>
        <v>0</v>
      </c>
      <c r="S886" s="22">
        <f t="shared" si="1759"/>
        <v>0</v>
      </c>
      <c r="T886" s="22">
        <f t="shared" si="1759"/>
        <v>0</v>
      </c>
      <c r="U886" s="22">
        <f t="shared" si="1759"/>
        <v>0</v>
      </c>
      <c r="V886" s="22">
        <f t="shared" si="1759"/>
        <v>0</v>
      </c>
      <c r="W886" s="22">
        <f t="shared" si="1759"/>
        <v>0</v>
      </c>
      <c r="X886" s="22">
        <f t="shared" si="1759"/>
        <v>0.8</v>
      </c>
      <c r="Y886" s="22">
        <f t="shared" si="1759"/>
        <v>0.1</v>
      </c>
      <c r="Z886" s="22">
        <f t="shared" si="1759"/>
        <v>1.5</v>
      </c>
      <c r="AA886" s="22">
        <f t="shared" si="1759"/>
        <v>218.7</v>
      </c>
      <c r="AB886" s="22">
        <f t="shared" si="1759"/>
        <v>218.25</v>
      </c>
      <c r="AC886" s="22">
        <f t="shared" si="1759"/>
        <v>603.20000000000005</v>
      </c>
      <c r="AD886" s="22">
        <f t="shared" si="1759"/>
        <v>662.7</v>
      </c>
      <c r="AE886" s="22">
        <f t="shared" si="1759"/>
        <v>3072.9050805206721</v>
      </c>
      <c r="AF886" s="22">
        <f t="shared" si="1759"/>
        <v>3531.8638015474303</v>
      </c>
      <c r="AG886" s="22">
        <f t="shared" si="1759"/>
        <v>3860.923057684487</v>
      </c>
      <c r="AH886" s="22">
        <f t="shared" si="1759"/>
        <v>4898.9014577119679</v>
      </c>
      <c r="AI886" s="22">
        <f t="shared" si="1759"/>
        <v>4988.9679546919288</v>
      </c>
      <c r="AJ886" s="22">
        <f t="shared" ref="AJ886:BI886" si="1760">SUM(AJ887:AJ894)</f>
        <v>4424.7013213988876</v>
      </c>
      <c r="AK886" s="22">
        <f t="shared" si="1760"/>
        <v>4406.0843233003106</v>
      </c>
      <c r="AL886" s="22">
        <f t="shared" si="1760"/>
        <v>4663.9666974999991</v>
      </c>
      <c r="AM886" s="22">
        <f t="shared" si="1760"/>
        <v>4084.5159999999996</v>
      </c>
      <c r="AN886" s="22">
        <f t="shared" si="1760"/>
        <v>4588.04</v>
      </c>
      <c r="AO886" s="22">
        <f t="shared" si="1760"/>
        <v>1499.91</v>
      </c>
      <c r="AP886" s="22">
        <f t="shared" si="1760"/>
        <v>265.76</v>
      </c>
      <c r="AQ886" s="22">
        <f t="shared" si="1760"/>
        <v>160.16</v>
      </c>
      <c r="AR886" s="22">
        <f t="shared" si="1760"/>
        <v>598.4</v>
      </c>
      <c r="AS886" s="22">
        <f t="shared" si="1760"/>
        <v>365.55</v>
      </c>
      <c r="AT886" s="22">
        <f t="shared" si="1760"/>
        <v>534.21</v>
      </c>
      <c r="AU886" s="22">
        <f t="shared" si="1760"/>
        <v>176.35999999999999</v>
      </c>
      <c r="AV886" s="22">
        <f t="shared" si="1760"/>
        <v>16.309999999999999</v>
      </c>
      <c r="AW886" s="22">
        <f t="shared" si="1760"/>
        <v>0</v>
      </c>
      <c r="AX886" s="22">
        <f t="shared" si="1760"/>
        <v>202.93</v>
      </c>
      <c r="AY886" s="22">
        <f t="shared" si="1760"/>
        <v>0.01</v>
      </c>
      <c r="AZ886" s="22">
        <f t="shared" si="1760"/>
        <v>28</v>
      </c>
      <c r="BA886" s="22">
        <f t="shared" si="1760"/>
        <v>0</v>
      </c>
      <c r="BB886" s="22">
        <f t="shared" si="1760"/>
        <v>0</v>
      </c>
      <c r="BC886" s="22">
        <f t="shared" si="1760"/>
        <v>0</v>
      </c>
      <c r="BD886" s="22">
        <f t="shared" si="1760"/>
        <v>0</v>
      </c>
      <c r="BE886" s="22">
        <f t="shared" si="1760"/>
        <v>0</v>
      </c>
      <c r="BF886" s="22">
        <f t="shared" si="1760"/>
        <v>0</v>
      </c>
      <c r="BG886" s="22">
        <f t="shared" si="1760"/>
        <v>0</v>
      </c>
      <c r="BH886" s="22">
        <f t="shared" si="1760"/>
        <v>0</v>
      </c>
      <c r="BI886" s="22">
        <f t="shared" si="1760"/>
        <v>0</v>
      </c>
      <c r="BJ886" s="4">
        <v>0</v>
      </c>
      <c r="BK886" s="4">
        <v>0</v>
      </c>
      <c r="BL886" s="4">
        <v>0</v>
      </c>
      <c r="BM886" s="4">
        <v>0</v>
      </c>
      <c r="BN886" s="4">
        <v>0</v>
      </c>
      <c r="BO886" s="4">
        <v>0</v>
      </c>
      <c r="BP886" s="4">
        <v>0</v>
      </c>
      <c r="BQ886" s="4">
        <v>0</v>
      </c>
      <c r="BR886" s="101"/>
      <c r="BS886">
        <f t="shared" ref="BS886:CX886" si="1761">IF($C886&lt;&gt;"",IF(D886&gt;0,1,0),0)</f>
        <v>0</v>
      </c>
      <c r="BT886">
        <f t="shared" si="1761"/>
        <v>0</v>
      </c>
      <c r="BU886">
        <f t="shared" si="1761"/>
        <v>0</v>
      </c>
      <c r="BV886">
        <f t="shared" si="1761"/>
        <v>0</v>
      </c>
      <c r="BW886">
        <f t="shared" si="1761"/>
        <v>0</v>
      </c>
      <c r="BX886">
        <f t="shared" si="1761"/>
        <v>0</v>
      </c>
      <c r="BY886">
        <f t="shared" si="1761"/>
        <v>0</v>
      </c>
      <c r="BZ886">
        <f t="shared" si="1761"/>
        <v>0</v>
      </c>
      <c r="CA886">
        <f t="shared" si="1761"/>
        <v>0</v>
      </c>
      <c r="CB886">
        <f t="shared" si="1761"/>
        <v>0</v>
      </c>
      <c r="CC886">
        <f t="shared" si="1761"/>
        <v>1</v>
      </c>
      <c r="CD886">
        <f t="shared" si="1761"/>
        <v>0</v>
      </c>
      <c r="CE886">
        <f t="shared" si="1761"/>
        <v>0</v>
      </c>
      <c r="CF886">
        <f t="shared" si="1761"/>
        <v>0</v>
      </c>
      <c r="CG886">
        <f t="shared" si="1761"/>
        <v>0</v>
      </c>
      <c r="CH886">
        <f t="shared" si="1761"/>
        <v>0</v>
      </c>
      <c r="CI886">
        <f t="shared" si="1761"/>
        <v>0</v>
      </c>
      <c r="CJ886">
        <f t="shared" si="1761"/>
        <v>0</v>
      </c>
      <c r="CK886">
        <f t="shared" si="1761"/>
        <v>0</v>
      </c>
      <c r="CL886">
        <f t="shared" si="1761"/>
        <v>0</v>
      </c>
      <c r="CM886">
        <f t="shared" si="1761"/>
        <v>1</v>
      </c>
      <c r="CN886">
        <f t="shared" si="1761"/>
        <v>1</v>
      </c>
      <c r="CO886">
        <f t="shared" si="1761"/>
        <v>1</v>
      </c>
      <c r="CP886">
        <f t="shared" si="1761"/>
        <v>1</v>
      </c>
      <c r="CQ886">
        <f t="shared" si="1761"/>
        <v>1</v>
      </c>
      <c r="CR886">
        <f t="shared" si="1761"/>
        <v>1</v>
      </c>
      <c r="CS886">
        <f t="shared" si="1761"/>
        <v>1</v>
      </c>
      <c r="CT886">
        <f t="shared" si="1761"/>
        <v>1</v>
      </c>
      <c r="CU886">
        <f t="shared" si="1761"/>
        <v>1</v>
      </c>
      <c r="CV886">
        <f t="shared" si="1761"/>
        <v>1</v>
      </c>
      <c r="CW886">
        <f t="shared" si="1761"/>
        <v>1</v>
      </c>
      <c r="CX886">
        <f t="shared" si="1761"/>
        <v>1</v>
      </c>
      <c r="CY886">
        <f t="shared" ref="CY886:ED886" si="1762">IF($C886&lt;&gt;"",IF(AJ886&gt;0,1,0),0)</f>
        <v>1</v>
      </c>
      <c r="CZ886">
        <f t="shared" si="1762"/>
        <v>1</v>
      </c>
      <c r="DA886">
        <f t="shared" si="1762"/>
        <v>1</v>
      </c>
      <c r="DB886">
        <f t="shared" si="1762"/>
        <v>1</v>
      </c>
      <c r="DC886">
        <f t="shared" si="1762"/>
        <v>1</v>
      </c>
      <c r="DD886">
        <f t="shared" si="1762"/>
        <v>1</v>
      </c>
      <c r="DE886">
        <f t="shared" si="1762"/>
        <v>1</v>
      </c>
      <c r="DF886">
        <f t="shared" si="1762"/>
        <v>1</v>
      </c>
      <c r="DG886">
        <f t="shared" si="1762"/>
        <v>1</v>
      </c>
      <c r="DH886">
        <f t="shared" si="1762"/>
        <v>1</v>
      </c>
      <c r="DI886">
        <f t="shared" si="1762"/>
        <v>1</v>
      </c>
      <c r="DJ886">
        <f t="shared" si="1762"/>
        <v>1</v>
      </c>
      <c r="DK886">
        <f t="shared" si="1762"/>
        <v>1</v>
      </c>
      <c r="DL886">
        <f t="shared" si="1762"/>
        <v>0</v>
      </c>
      <c r="DM886">
        <f t="shared" si="1762"/>
        <v>1</v>
      </c>
      <c r="DN886">
        <f t="shared" si="1762"/>
        <v>1</v>
      </c>
      <c r="DO886">
        <f t="shared" si="1762"/>
        <v>1</v>
      </c>
      <c r="DP886">
        <f t="shared" si="1762"/>
        <v>0</v>
      </c>
      <c r="DQ886">
        <f t="shared" si="1762"/>
        <v>0</v>
      </c>
      <c r="DR886">
        <f t="shared" si="1762"/>
        <v>0</v>
      </c>
      <c r="DS886">
        <f t="shared" si="1762"/>
        <v>0</v>
      </c>
      <c r="DT886">
        <f t="shared" si="1762"/>
        <v>0</v>
      </c>
      <c r="DU886">
        <f t="shared" si="1762"/>
        <v>0</v>
      </c>
      <c r="DV886">
        <f t="shared" si="1762"/>
        <v>0</v>
      </c>
      <c r="DW886">
        <f t="shared" si="1762"/>
        <v>0</v>
      </c>
      <c r="DX886">
        <f t="shared" si="1762"/>
        <v>0</v>
      </c>
      <c r="DY886">
        <f t="shared" si="1762"/>
        <v>0</v>
      </c>
      <c r="DZ886">
        <f t="shared" si="1762"/>
        <v>0</v>
      </c>
      <c r="EA886">
        <f t="shared" si="1762"/>
        <v>0</v>
      </c>
      <c r="EB886">
        <f t="shared" si="1762"/>
        <v>0</v>
      </c>
      <c r="EC886">
        <f t="shared" si="1762"/>
        <v>0</v>
      </c>
      <c r="ED886">
        <f t="shared" si="1762"/>
        <v>0</v>
      </c>
      <c r="EE886">
        <f t="shared" ref="EE886:EF886" si="1763">IF($C886&lt;&gt;"",IF(BP886&gt;0,1,0),0)</f>
        <v>0</v>
      </c>
      <c r="EF886">
        <f t="shared" si="1763"/>
        <v>0</v>
      </c>
    </row>
    <row r="887" spans="1:136" ht="15.5">
      <c r="A887" s="90"/>
      <c r="B887" s="24" t="s">
        <v>15</v>
      </c>
      <c r="C887" s="95"/>
      <c r="D887" s="18">
        <v>0</v>
      </c>
      <c r="E887" s="18">
        <v>0</v>
      </c>
      <c r="F887" s="18">
        <v>0</v>
      </c>
      <c r="G887" s="18">
        <v>0</v>
      </c>
      <c r="H887" s="18">
        <v>0</v>
      </c>
      <c r="I887" s="18">
        <v>0</v>
      </c>
      <c r="J887" s="18">
        <v>0</v>
      </c>
      <c r="K887" s="18">
        <v>0</v>
      </c>
      <c r="L887" s="18">
        <v>0</v>
      </c>
      <c r="M887" s="18">
        <v>0</v>
      </c>
      <c r="N887" s="18">
        <v>0</v>
      </c>
      <c r="O887" s="18">
        <v>0</v>
      </c>
      <c r="P887" s="18">
        <v>0</v>
      </c>
      <c r="Q887" s="18">
        <v>0</v>
      </c>
      <c r="R887" s="18">
        <v>0</v>
      </c>
      <c r="S887" s="18">
        <v>0</v>
      </c>
      <c r="T887" s="18">
        <v>0</v>
      </c>
      <c r="U887" s="18">
        <v>0</v>
      </c>
      <c r="V887" s="18">
        <v>0</v>
      </c>
      <c r="W887" s="18">
        <v>0</v>
      </c>
      <c r="X887" s="18">
        <v>0</v>
      </c>
      <c r="Y887" s="18">
        <v>0</v>
      </c>
      <c r="Z887" s="18">
        <v>0</v>
      </c>
      <c r="AA887" s="18">
        <v>0</v>
      </c>
      <c r="AB887" s="18">
        <v>0</v>
      </c>
      <c r="AC887" s="18">
        <v>0</v>
      </c>
      <c r="AD887" s="18">
        <v>0</v>
      </c>
      <c r="AE887" s="18">
        <v>0</v>
      </c>
      <c r="AF887" s="18">
        <v>353.447719914488</v>
      </c>
      <c r="AG887" s="18">
        <v>372.15815508097143</v>
      </c>
      <c r="AH887" s="18">
        <v>363.77187661179943</v>
      </c>
      <c r="AI887" s="18">
        <v>339.76124843421167</v>
      </c>
      <c r="AJ887" s="18">
        <v>351.03307214430185</v>
      </c>
      <c r="AK887" s="18">
        <v>0</v>
      </c>
      <c r="AL887" s="18">
        <v>0</v>
      </c>
      <c r="AM887" s="18">
        <v>0</v>
      </c>
      <c r="AN887" s="18">
        <v>0</v>
      </c>
      <c r="AO887" s="18">
        <v>0</v>
      </c>
      <c r="AP887" s="18">
        <v>0</v>
      </c>
      <c r="AQ887" s="18">
        <v>0</v>
      </c>
      <c r="AR887" s="18">
        <v>0</v>
      </c>
      <c r="AS887" s="18">
        <v>0</v>
      </c>
      <c r="AT887" s="18">
        <v>0</v>
      </c>
      <c r="AU887" s="18">
        <v>0</v>
      </c>
      <c r="AV887" s="18">
        <v>0</v>
      </c>
      <c r="AW887" s="18">
        <v>0</v>
      </c>
      <c r="AX887" s="18">
        <v>0</v>
      </c>
      <c r="AY887" s="18">
        <v>0</v>
      </c>
      <c r="AZ887" s="18">
        <v>0</v>
      </c>
      <c r="BA887" s="18">
        <v>0</v>
      </c>
      <c r="BB887" s="18">
        <v>0</v>
      </c>
      <c r="BC887" s="18">
        <v>0</v>
      </c>
      <c r="BD887" s="18">
        <v>0</v>
      </c>
      <c r="BE887" s="25">
        <v>0</v>
      </c>
      <c r="BF887" s="18">
        <v>0</v>
      </c>
      <c r="BG887" s="18">
        <v>0</v>
      </c>
      <c r="BH887" s="18">
        <v>0</v>
      </c>
      <c r="BI887" s="18">
        <v>0</v>
      </c>
      <c r="BJ887" s="113">
        <v>0</v>
      </c>
      <c r="BK887" s="113">
        <v>0</v>
      </c>
      <c r="BL887" s="113">
        <v>0</v>
      </c>
      <c r="BM887" s="113">
        <v>0</v>
      </c>
      <c r="BN887" s="113">
        <v>0</v>
      </c>
      <c r="BO887" s="113">
        <v>0</v>
      </c>
      <c r="BP887" s="113">
        <v>0</v>
      </c>
      <c r="BQ887" s="113">
        <v>0</v>
      </c>
      <c r="BR887" s="101"/>
      <c r="BS887">
        <f t="shared" ref="BS887:BS895" si="1764">IF($C887&lt;&gt;"",IF(D887&gt;0,1,0),0)</f>
        <v>0</v>
      </c>
      <c r="BT887">
        <f t="shared" ref="BT887:BT895" si="1765">IF($C887&lt;&gt;"",IF(E887&gt;0,1,0),0)</f>
        <v>0</v>
      </c>
      <c r="BU887">
        <f t="shared" ref="BU887:BU895" si="1766">IF($C887&lt;&gt;"",IF(F887&gt;0,1,0),0)</f>
        <v>0</v>
      </c>
      <c r="BV887">
        <f t="shared" ref="BV887:BV895" si="1767">IF($C887&lt;&gt;"",IF(G887&gt;0,1,0),0)</f>
        <v>0</v>
      </c>
      <c r="BW887">
        <f t="shared" ref="BW887:BW895" si="1768">IF($C887&lt;&gt;"",IF(H887&gt;0,1,0),0)</f>
        <v>0</v>
      </c>
      <c r="BX887">
        <f t="shared" ref="BX887:BX895" si="1769">IF($C887&lt;&gt;"",IF(I887&gt;0,1,0),0)</f>
        <v>0</v>
      </c>
      <c r="BY887">
        <f t="shared" ref="BY887:BY895" si="1770">IF($C887&lt;&gt;"",IF(J887&gt;0,1,0),0)</f>
        <v>0</v>
      </c>
      <c r="BZ887">
        <f t="shared" ref="BZ887:BZ895" si="1771">IF($C887&lt;&gt;"",IF(K887&gt;0,1,0),0)</f>
        <v>0</v>
      </c>
      <c r="CA887">
        <f t="shared" ref="CA887:CA895" si="1772">IF($C887&lt;&gt;"",IF(L887&gt;0,1,0),0)</f>
        <v>0</v>
      </c>
      <c r="CB887">
        <f t="shared" ref="CB887:CB895" si="1773">IF($C887&lt;&gt;"",IF(M887&gt;0,1,0),0)</f>
        <v>0</v>
      </c>
      <c r="CC887">
        <f t="shared" ref="CC887:CC895" si="1774">IF($C887&lt;&gt;"",IF(N887&gt;0,1,0),0)</f>
        <v>0</v>
      </c>
      <c r="CD887">
        <f t="shared" ref="CD887:CD895" si="1775">IF($C887&lt;&gt;"",IF(O887&gt;0,1,0),0)</f>
        <v>0</v>
      </c>
      <c r="CE887">
        <f t="shared" ref="CE887:CE895" si="1776">IF($C887&lt;&gt;"",IF(P887&gt;0,1,0),0)</f>
        <v>0</v>
      </c>
      <c r="CF887">
        <f t="shared" ref="CF887:CF895" si="1777">IF($C887&lt;&gt;"",IF(Q887&gt;0,1,0),0)</f>
        <v>0</v>
      </c>
      <c r="CG887">
        <f t="shared" ref="CG887:CG895" si="1778">IF($C887&lt;&gt;"",IF(R887&gt;0,1,0),0)</f>
        <v>0</v>
      </c>
      <c r="CH887">
        <f t="shared" ref="CH887:CH895" si="1779">IF($C887&lt;&gt;"",IF(S887&gt;0,1,0),0)</f>
        <v>0</v>
      </c>
      <c r="CI887">
        <f t="shared" ref="CI887:CI895" si="1780">IF($C887&lt;&gt;"",IF(T887&gt;0,1,0),0)</f>
        <v>0</v>
      </c>
      <c r="CJ887">
        <f t="shared" ref="CJ887:CJ895" si="1781">IF($C887&lt;&gt;"",IF(U887&gt;0,1,0),0)</f>
        <v>0</v>
      </c>
      <c r="CK887">
        <f t="shared" ref="CK887:CK895" si="1782">IF($C887&lt;&gt;"",IF(V887&gt;0,1,0),0)</f>
        <v>0</v>
      </c>
      <c r="CL887">
        <f t="shared" ref="CL887:CL895" si="1783">IF($C887&lt;&gt;"",IF(W887&gt;0,1,0),0)</f>
        <v>0</v>
      </c>
      <c r="CM887">
        <f t="shared" ref="CM887:CM895" si="1784">IF($C887&lt;&gt;"",IF(X887&gt;0,1,0),0)</f>
        <v>0</v>
      </c>
      <c r="CN887">
        <f t="shared" ref="CN887:CN895" si="1785">IF($C887&lt;&gt;"",IF(Y887&gt;0,1,0),0)</f>
        <v>0</v>
      </c>
      <c r="CO887">
        <f t="shared" ref="CO887:CO895" si="1786">IF($C887&lt;&gt;"",IF(Z887&gt;0,1,0),0)</f>
        <v>0</v>
      </c>
      <c r="CP887">
        <f t="shared" ref="CP887:CP895" si="1787">IF($C887&lt;&gt;"",IF(AA887&gt;0,1,0),0)</f>
        <v>0</v>
      </c>
      <c r="CQ887">
        <f t="shared" ref="CQ887:CQ895" si="1788">IF($C887&lt;&gt;"",IF(AB887&gt;0,1,0),0)</f>
        <v>0</v>
      </c>
      <c r="CR887">
        <f t="shared" ref="CR887:CR895" si="1789">IF($C887&lt;&gt;"",IF(AC887&gt;0,1,0),0)</f>
        <v>0</v>
      </c>
      <c r="CS887">
        <f t="shared" ref="CS887:CS895" si="1790">IF($C887&lt;&gt;"",IF(AD887&gt;0,1,0),0)</f>
        <v>0</v>
      </c>
      <c r="CT887">
        <f t="shared" ref="CT887:CT895" si="1791">IF($C887&lt;&gt;"",IF(AE887&gt;0,1,0),0)</f>
        <v>0</v>
      </c>
      <c r="CU887">
        <f t="shared" ref="CU887:CU895" si="1792">IF($C887&lt;&gt;"",IF(AF887&gt;0,1,0),0)</f>
        <v>0</v>
      </c>
      <c r="CV887">
        <f t="shared" ref="CV887:CV895" si="1793">IF($C887&lt;&gt;"",IF(AG887&gt;0,1,0),0)</f>
        <v>0</v>
      </c>
      <c r="CW887">
        <f t="shared" ref="CW887:CW895" si="1794">IF($C887&lt;&gt;"",IF(AH887&gt;0,1,0),0)</f>
        <v>0</v>
      </c>
      <c r="CX887">
        <f t="shared" ref="CX887:CX895" si="1795">IF($C887&lt;&gt;"",IF(AI887&gt;0,1,0),0)</f>
        <v>0</v>
      </c>
      <c r="CY887">
        <f t="shared" ref="CY887:CY895" si="1796">IF($C887&lt;&gt;"",IF(AJ887&gt;0,1,0),0)</f>
        <v>0</v>
      </c>
      <c r="CZ887">
        <f t="shared" ref="CZ887:CZ895" si="1797">IF($C887&lt;&gt;"",IF(AK887&gt;0,1,0),0)</f>
        <v>0</v>
      </c>
      <c r="DA887">
        <f t="shared" ref="DA887:DA895" si="1798">IF($C887&lt;&gt;"",IF(AL887&gt;0,1,0),0)</f>
        <v>0</v>
      </c>
      <c r="DB887">
        <f t="shared" ref="DB887:DB895" si="1799">IF($C887&lt;&gt;"",IF(AM887&gt;0,1,0),0)</f>
        <v>0</v>
      </c>
      <c r="DC887">
        <f t="shared" ref="DC887:DC895" si="1800">IF($C887&lt;&gt;"",IF(AN887&gt;0,1,0),0)</f>
        <v>0</v>
      </c>
      <c r="DD887">
        <f t="shared" ref="DD887:DD895" si="1801">IF($C887&lt;&gt;"",IF(AO887&gt;0,1,0),0)</f>
        <v>0</v>
      </c>
      <c r="DE887">
        <f t="shared" ref="DE887:DE895" si="1802">IF($C887&lt;&gt;"",IF(AP887&gt;0,1,0),0)</f>
        <v>0</v>
      </c>
      <c r="DF887">
        <f t="shared" ref="DF887:DF895" si="1803">IF($C887&lt;&gt;"",IF(AQ887&gt;0,1,0),0)</f>
        <v>0</v>
      </c>
      <c r="DG887">
        <f t="shared" ref="DG887:DG895" si="1804">IF($C887&lt;&gt;"",IF(AR887&gt;0,1,0),0)</f>
        <v>0</v>
      </c>
      <c r="DH887">
        <f t="shared" ref="DH887:DH895" si="1805">IF($C887&lt;&gt;"",IF(AS887&gt;0,1,0),0)</f>
        <v>0</v>
      </c>
      <c r="DI887">
        <f t="shared" ref="DI887:DI895" si="1806">IF($C887&lt;&gt;"",IF(AT887&gt;0,1,0),0)</f>
        <v>0</v>
      </c>
      <c r="DJ887">
        <f t="shared" ref="DJ887:DJ895" si="1807">IF($C887&lt;&gt;"",IF(AU887&gt;0,1,0),0)</f>
        <v>0</v>
      </c>
      <c r="DK887">
        <f t="shared" ref="DK887:DK895" si="1808">IF($C887&lt;&gt;"",IF(AV887&gt;0,1,0),0)</f>
        <v>0</v>
      </c>
      <c r="DL887">
        <f t="shared" ref="DL887:DL895" si="1809">IF($C887&lt;&gt;"",IF(AW887&gt;0,1,0),0)</f>
        <v>0</v>
      </c>
      <c r="DM887">
        <f t="shared" ref="DM887:DM895" si="1810">IF($C887&lt;&gt;"",IF(AX887&gt;0,1,0),0)</f>
        <v>0</v>
      </c>
      <c r="DN887">
        <f t="shared" ref="DN887:DN895" si="1811">IF($C887&lt;&gt;"",IF(AY887&gt;0,1,0),0)</f>
        <v>0</v>
      </c>
      <c r="DO887">
        <f t="shared" ref="DO887:DO895" si="1812">IF($C887&lt;&gt;"",IF(AZ887&gt;0,1,0),0)</f>
        <v>0</v>
      </c>
      <c r="DP887">
        <f t="shared" ref="DP887:DP895" si="1813">IF($C887&lt;&gt;"",IF(BA887&gt;0,1,0),0)</f>
        <v>0</v>
      </c>
      <c r="DQ887">
        <f t="shared" ref="DQ887:DQ895" si="1814">IF($C887&lt;&gt;"",IF(BB887&gt;0,1,0),0)</f>
        <v>0</v>
      </c>
      <c r="DR887">
        <f t="shared" ref="DR887:DR895" si="1815">IF($C887&lt;&gt;"",IF(BC887&gt;0,1,0),0)</f>
        <v>0</v>
      </c>
      <c r="DS887">
        <f t="shared" ref="DS887:DS895" si="1816">IF($C887&lt;&gt;"",IF(BD887&gt;0,1,0),0)</f>
        <v>0</v>
      </c>
      <c r="DT887">
        <f t="shared" ref="DT887:DT895" si="1817">IF($C887&lt;&gt;"",IF(BE887&gt;0,1,0),0)</f>
        <v>0</v>
      </c>
      <c r="DU887">
        <f t="shared" ref="DU887:DU895" si="1818">IF($C887&lt;&gt;"",IF(BF887&gt;0,1,0),0)</f>
        <v>0</v>
      </c>
      <c r="DV887">
        <f t="shared" ref="DV887:DV895" si="1819">IF($C887&lt;&gt;"",IF(BG887&gt;0,1,0),0)</f>
        <v>0</v>
      </c>
      <c r="DW887">
        <f t="shared" ref="DW887:DW895" si="1820">IF($C887&lt;&gt;"",IF(BH887&gt;0,1,0),0)</f>
        <v>0</v>
      </c>
      <c r="DX887">
        <f t="shared" ref="DX887:DX895" si="1821">IF($C887&lt;&gt;"",IF(BI887&gt;0,1,0),0)</f>
        <v>0</v>
      </c>
      <c r="DY887">
        <f t="shared" ref="DY887:DY895" si="1822">IF($C887&lt;&gt;"",IF(BJ887&gt;0,1,0),0)</f>
        <v>0</v>
      </c>
      <c r="DZ887">
        <f t="shared" ref="DZ887:DZ895" si="1823">IF($C887&lt;&gt;"",IF(BK887&gt;0,1,0),0)</f>
        <v>0</v>
      </c>
      <c r="EA887">
        <f t="shared" ref="EA887:EF888" si="1824">IF($C887&lt;&gt;"",IF(BL886&gt;0,1,0),0)</f>
        <v>0</v>
      </c>
      <c r="EB887">
        <f t="shared" si="1824"/>
        <v>0</v>
      </c>
      <c r="EC887">
        <f t="shared" si="1824"/>
        <v>0</v>
      </c>
      <c r="ED887">
        <f t="shared" si="1824"/>
        <v>0</v>
      </c>
      <c r="EE887">
        <f t="shared" si="1824"/>
        <v>0</v>
      </c>
      <c r="EF887">
        <f t="shared" si="1824"/>
        <v>0</v>
      </c>
    </row>
    <row r="888" spans="1:136" ht="15.5">
      <c r="A888" s="90"/>
      <c r="B888" s="57" t="s">
        <v>184</v>
      </c>
      <c r="C888" s="95"/>
      <c r="D888" s="18">
        <v>0</v>
      </c>
      <c r="E888" s="18">
        <v>0</v>
      </c>
      <c r="F888" s="18">
        <v>0</v>
      </c>
      <c r="G888" s="18">
        <v>0</v>
      </c>
      <c r="H888" s="18">
        <v>0</v>
      </c>
      <c r="I888" s="18">
        <v>0</v>
      </c>
      <c r="J888" s="18">
        <v>0</v>
      </c>
      <c r="K888" s="18">
        <v>0</v>
      </c>
      <c r="L888" s="18">
        <v>0</v>
      </c>
      <c r="M888" s="18">
        <v>0</v>
      </c>
      <c r="N888" s="18">
        <v>0</v>
      </c>
      <c r="O888" s="18">
        <v>0</v>
      </c>
      <c r="P888" s="18">
        <v>0</v>
      </c>
      <c r="Q888" s="18">
        <v>0</v>
      </c>
      <c r="R888" s="18">
        <v>0</v>
      </c>
      <c r="S888" s="18">
        <v>0</v>
      </c>
      <c r="T888" s="18">
        <v>0</v>
      </c>
      <c r="U888" s="18">
        <v>0</v>
      </c>
      <c r="V888" s="18">
        <v>0</v>
      </c>
      <c r="W888" s="18">
        <v>0</v>
      </c>
      <c r="X888" s="18">
        <v>0</v>
      </c>
      <c r="Y888" s="18">
        <v>0</v>
      </c>
      <c r="Z888" s="18">
        <v>0</v>
      </c>
      <c r="AA888" s="18">
        <v>0</v>
      </c>
      <c r="AB888" s="18">
        <v>0</v>
      </c>
      <c r="AC888" s="18">
        <v>0</v>
      </c>
      <c r="AD888" s="18">
        <v>0</v>
      </c>
      <c r="AE888" s="18">
        <v>0</v>
      </c>
      <c r="AF888" s="18">
        <v>63</v>
      </c>
      <c r="AG888" s="18">
        <v>74</v>
      </c>
      <c r="AH888" s="18">
        <v>203</v>
      </c>
      <c r="AI888" s="18">
        <v>201</v>
      </c>
      <c r="AJ888" s="18">
        <v>0</v>
      </c>
      <c r="AK888" s="18">
        <v>0</v>
      </c>
      <c r="AL888" s="18">
        <v>0</v>
      </c>
      <c r="AM888" s="18">
        <v>0</v>
      </c>
      <c r="AN888" s="18">
        <v>0</v>
      </c>
      <c r="AO888" s="18">
        <v>0</v>
      </c>
      <c r="AP888" s="18">
        <v>0</v>
      </c>
      <c r="AQ888" s="18">
        <v>0</v>
      </c>
      <c r="AR888" s="18">
        <v>0</v>
      </c>
      <c r="AS888" s="18">
        <v>0</v>
      </c>
      <c r="AT888" s="18">
        <v>0</v>
      </c>
      <c r="AU888" s="18">
        <v>0</v>
      </c>
      <c r="AV888" s="18">
        <v>0</v>
      </c>
      <c r="AW888" s="18">
        <v>0</v>
      </c>
      <c r="AX888" s="18">
        <v>0</v>
      </c>
      <c r="AY888" s="18">
        <v>0</v>
      </c>
      <c r="AZ888" s="18">
        <v>0</v>
      </c>
      <c r="BA888" s="18">
        <v>0</v>
      </c>
      <c r="BB888" s="18">
        <v>0</v>
      </c>
      <c r="BC888" s="18">
        <v>0</v>
      </c>
      <c r="BD888" s="18">
        <v>0</v>
      </c>
      <c r="BE888" s="18">
        <v>0</v>
      </c>
      <c r="BF888" s="18">
        <v>0</v>
      </c>
      <c r="BG888" s="18">
        <v>0</v>
      </c>
      <c r="BH888" s="18">
        <v>0</v>
      </c>
      <c r="BI888" s="18">
        <v>0</v>
      </c>
      <c r="BJ888" s="113">
        <v>0</v>
      </c>
      <c r="BK888" s="113">
        <v>0</v>
      </c>
      <c r="BL888" s="113">
        <v>0</v>
      </c>
      <c r="BM888" s="113">
        <v>0</v>
      </c>
      <c r="BN888" s="113">
        <v>0</v>
      </c>
      <c r="BO888" s="113">
        <v>0</v>
      </c>
      <c r="BP888" s="113">
        <v>0</v>
      </c>
      <c r="BQ888" s="113">
        <v>0</v>
      </c>
      <c r="BR888" s="101"/>
      <c r="BS888">
        <f t="shared" si="1764"/>
        <v>0</v>
      </c>
      <c r="BT888">
        <f t="shared" si="1765"/>
        <v>0</v>
      </c>
      <c r="BU888">
        <f t="shared" si="1766"/>
        <v>0</v>
      </c>
      <c r="BV888">
        <f t="shared" si="1767"/>
        <v>0</v>
      </c>
      <c r="BW888">
        <f t="shared" si="1768"/>
        <v>0</v>
      </c>
      <c r="BX888">
        <f t="shared" si="1769"/>
        <v>0</v>
      </c>
      <c r="BY888">
        <f t="shared" si="1770"/>
        <v>0</v>
      </c>
      <c r="BZ888">
        <f t="shared" si="1771"/>
        <v>0</v>
      </c>
      <c r="CA888">
        <f t="shared" si="1772"/>
        <v>0</v>
      </c>
      <c r="CB888">
        <f t="shared" si="1773"/>
        <v>0</v>
      </c>
      <c r="CC888">
        <f t="shared" si="1774"/>
        <v>0</v>
      </c>
      <c r="CD888">
        <f t="shared" si="1775"/>
        <v>0</v>
      </c>
      <c r="CE888">
        <f t="shared" si="1776"/>
        <v>0</v>
      </c>
      <c r="CF888">
        <f t="shared" si="1777"/>
        <v>0</v>
      </c>
      <c r="CG888">
        <f t="shared" si="1778"/>
        <v>0</v>
      </c>
      <c r="CH888">
        <f t="shared" si="1779"/>
        <v>0</v>
      </c>
      <c r="CI888">
        <f t="shared" si="1780"/>
        <v>0</v>
      </c>
      <c r="CJ888">
        <f t="shared" si="1781"/>
        <v>0</v>
      </c>
      <c r="CK888">
        <f t="shared" si="1782"/>
        <v>0</v>
      </c>
      <c r="CL888">
        <f t="shared" si="1783"/>
        <v>0</v>
      </c>
      <c r="CM888">
        <f t="shared" si="1784"/>
        <v>0</v>
      </c>
      <c r="CN888">
        <f t="shared" si="1785"/>
        <v>0</v>
      </c>
      <c r="CO888">
        <f t="shared" si="1786"/>
        <v>0</v>
      </c>
      <c r="CP888">
        <f t="shared" si="1787"/>
        <v>0</v>
      </c>
      <c r="CQ888">
        <f t="shared" si="1788"/>
        <v>0</v>
      </c>
      <c r="CR888">
        <f t="shared" si="1789"/>
        <v>0</v>
      </c>
      <c r="CS888">
        <f t="shared" si="1790"/>
        <v>0</v>
      </c>
      <c r="CT888">
        <f t="shared" si="1791"/>
        <v>0</v>
      </c>
      <c r="CU888">
        <f t="shared" si="1792"/>
        <v>0</v>
      </c>
      <c r="CV888">
        <f t="shared" si="1793"/>
        <v>0</v>
      </c>
      <c r="CW888">
        <f t="shared" si="1794"/>
        <v>0</v>
      </c>
      <c r="CX888">
        <f t="shared" si="1795"/>
        <v>0</v>
      </c>
      <c r="CY888">
        <f t="shared" si="1796"/>
        <v>0</v>
      </c>
      <c r="CZ888">
        <f t="shared" si="1797"/>
        <v>0</v>
      </c>
      <c r="DA888">
        <f t="shared" si="1798"/>
        <v>0</v>
      </c>
      <c r="DB888">
        <f t="shared" si="1799"/>
        <v>0</v>
      </c>
      <c r="DC888">
        <f t="shared" si="1800"/>
        <v>0</v>
      </c>
      <c r="DD888">
        <f t="shared" si="1801"/>
        <v>0</v>
      </c>
      <c r="DE888">
        <f t="shared" si="1802"/>
        <v>0</v>
      </c>
      <c r="DF888">
        <f t="shared" si="1803"/>
        <v>0</v>
      </c>
      <c r="DG888">
        <f t="shared" si="1804"/>
        <v>0</v>
      </c>
      <c r="DH888">
        <f t="shared" si="1805"/>
        <v>0</v>
      </c>
      <c r="DI888">
        <f t="shared" si="1806"/>
        <v>0</v>
      </c>
      <c r="DJ888">
        <f t="shared" si="1807"/>
        <v>0</v>
      </c>
      <c r="DK888">
        <f t="shared" si="1808"/>
        <v>0</v>
      </c>
      <c r="DL888">
        <f t="shared" si="1809"/>
        <v>0</v>
      </c>
      <c r="DM888">
        <f t="shared" si="1810"/>
        <v>0</v>
      </c>
      <c r="DN888">
        <f t="shared" si="1811"/>
        <v>0</v>
      </c>
      <c r="DO888">
        <f t="shared" si="1812"/>
        <v>0</v>
      </c>
      <c r="DP888">
        <f t="shared" si="1813"/>
        <v>0</v>
      </c>
      <c r="DQ888">
        <f t="shared" si="1814"/>
        <v>0</v>
      </c>
      <c r="DR888">
        <f t="shared" si="1815"/>
        <v>0</v>
      </c>
      <c r="DS888">
        <f t="shared" si="1816"/>
        <v>0</v>
      </c>
      <c r="DT888">
        <f t="shared" si="1817"/>
        <v>0</v>
      </c>
      <c r="DU888">
        <f t="shared" si="1818"/>
        <v>0</v>
      </c>
      <c r="DV888">
        <f t="shared" si="1819"/>
        <v>0</v>
      </c>
      <c r="DW888">
        <f t="shared" si="1820"/>
        <v>0</v>
      </c>
      <c r="DX888">
        <f t="shared" si="1821"/>
        <v>0</v>
      </c>
      <c r="DY888">
        <f t="shared" si="1822"/>
        <v>0</v>
      </c>
      <c r="DZ888">
        <f t="shared" si="1823"/>
        <v>0</v>
      </c>
      <c r="EA888">
        <f t="shared" si="1824"/>
        <v>0</v>
      </c>
      <c r="EB888">
        <f t="shared" si="1824"/>
        <v>0</v>
      </c>
      <c r="EC888">
        <f t="shared" si="1824"/>
        <v>0</v>
      </c>
      <c r="ED888">
        <f t="shared" si="1824"/>
        <v>0</v>
      </c>
      <c r="EE888">
        <f t="shared" si="1824"/>
        <v>0</v>
      </c>
      <c r="EF888">
        <f t="shared" si="1824"/>
        <v>0</v>
      </c>
    </row>
    <row r="889" spans="1:136" ht="15.5">
      <c r="A889" s="90"/>
      <c r="B889" s="57" t="s">
        <v>238</v>
      </c>
      <c r="C889" s="95"/>
      <c r="D889" s="18">
        <v>0</v>
      </c>
      <c r="E889" s="18">
        <v>0</v>
      </c>
      <c r="F889" s="18">
        <v>0</v>
      </c>
      <c r="G889" s="18">
        <v>0</v>
      </c>
      <c r="H889" s="18">
        <v>0</v>
      </c>
      <c r="I889" s="18">
        <v>0</v>
      </c>
      <c r="J889" s="18">
        <v>0</v>
      </c>
      <c r="K889" s="18">
        <v>0</v>
      </c>
      <c r="L889" s="18">
        <v>0</v>
      </c>
      <c r="M889" s="18">
        <v>0</v>
      </c>
      <c r="N889" s="18">
        <v>0</v>
      </c>
      <c r="O889" s="18">
        <v>0</v>
      </c>
      <c r="P889" s="18">
        <v>0</v>
      </c>
      <c r="Q889" s="18">
        <v>0</v>
      </c>
      <c r="R889" s="18">
        <v>0</v>
      </c>
      <c r="S889" s="18">
        <v>0</v>
      </c>
      <c r="T889" s="60">
        <v>0</v>
      </c>
      <c r="U889" s="60">
        <v>0</v>
      </c>
      <c r="V889" s="60">
        <v>0</v>
      </c>
      <c r="W889" s="60">
        <v>0</v>
      </c>
      <c r="X889" s="60">
        <v>0</v>
      </c>
      <c r="Y889" s="60">
        <v>0</v>
      </c>
      <c r="Z889" s="60">
        <v>0</v>
      </c>
      <c r="AA889" s="60">
        <v>0</v>
      </c>
      <c r="AB889" s="60">
        <v>0</v>
      </c>
      <c r="AC889" s="18">
        <v>0</v>
      </c>
      <c r="AD889" s="60">
        <v>0</v>
      </c>
      <c r="AE889" s="60">
        <v>0</v>
      </c>
      <c r="AF889" s="71">
        <v>55</v>
      </c>
      <c r="AG889" s="71">
        <v>180</v>
      </c>
      <c r="AH889" s="71">
        <v>250</v>
      </c>
      <c r="AI889" s="18">
        <v>320</v>
      </c>
      <c r="AJ889" s="18">
        <v>0</v>
      </c>
      <c r="AK889" s="18">
        <v>0</v>
      </c>
      <c r="AL889" s="18">
        <v>0</v>
      </c>
      <c r="AM889" s="18">
        <v>0</v>
      </c>
      <c r="AN889" s="18">
        <v>0</v>
      </c>
      <c r="AO889" s="18">
        <v>0</v>
      </c>
      <c r="AP889" s="18">
        <v>0</v>
      </c>
      <c r="AQ889" s="18">
        <v>0</v>
      </c>
      <c r="AR889" s="18">
        <v>0</v>
      </c>
      <c r="AS889" s="18">
        <v>0</v>
      </c>
      <c r="AT889" s="18">
        <v>0</v>
      </c>
      <c r="AU889" s="18">
        <v>0</v>
      </c>
      <c r="AV889" s="18">
        <v>0</v>
      </c>
      <c r="AW889" s="18">
        <v>0</v>
      </c>
      <c r="AX889" s="18">
        <v>0</v>
      </c>
      <c r="AY889" s="18">
        <v>0</v>
      </c>
      <c r="AZ889" s="18">
        <v>0</v>
      </c>
      <c r="BA889" s="18">
        <v>0</v>
      </c>
      <c r="BB889" s="18">
        <v>0</v>
      </c>
      <c r="BC889" s="18">
        <v>0</v>
      </c>
      <c r="BD889" s="18">
        <v>0</v>
      </c>
      <c r="BE889" s="18">
        <v>0</v>
      </c>
      <c r="BF889" s="18">
        <v>0</v>
      </c>
      <c r="BG889" s="18">
        <v>0</v>
      </c>
      <c r="BH889" s="18">
        <v>0</v>
      </c>
      <c r="BI889" s="18">
        <v>0</v>
      </c>
      <c r="BJ889" s="113">
        <v>0</v>
      </c>
      <c r="BK889" s="113">
        <v>0</v>
      </c>
      <c r="BL889" s="113">
        <v>0</v>
      </c>
      <c r="BM889" s="113">
        <v>0</v>
      </c>
      <c r="BN889" s="113">
        <v>0</v>
      </c>
      <c r="BO889" s="113">
        <v>0</v>
      </c>
      <c r="BP889" s="113">
        <v>0</v>
      </c>
      <c r="BQ889" s="113">
        <v>0</v>
      </c>
      <c r="BR889" s="101"/>
      <c r="BS889">
        <f t="shared" si="1764"/>
        <v>0</v>
      </c>
      <c r="BT889">
        <f t="shared" si="1765"/>
        <v>0</v>
      </c>
      <c r="BU889">
        <f t="shared" si="1766"/>
        <v>0</v>
      </c>
      <c r="BV889">
        <f t="shared" si="1767"/>
        <v>0</v>
      </c>
      <c r="BW889">
        <f t="shared" si="1768"/>
        <v>0</v>
      </c>
      <c r="BX889">
        <f t="shared" si="1769"/>
        <v>0</v>
      </c>
      <c r="BY889">
        <f t="shared" si="1770"/>
        <v>0</v>
      </c>
      <c r="BZ889">
        <f t="shared" si="1771"/>
        <v>0</v>
      </c>
      <c r="CA889">
        <f t="shared" si="1772"/>
        <v>0</v>
      </c>
      <c r="CB889">
        <f t="shared" si="1773"/>
        <v>0</v>
      </c>
      <c r="CC889">
        <f t="shared" si="1774"/>
        <v>0</v>
      </c>
      <c r="CD889">
        <f t="shared" si="1775"/>
        <v>0</v>
      </c>
      <c r="CE889">
        <f t="shared" si="1776"/>
        <v>0</v>
      </c>
      <c r="CF889">
        <f t="shared" si="1777"/>
        <v>0</v>
      </c>
      <c r="CG889">
        <f t="shared" si="1778"/>
        <v>0</v>
      </c>
      <c r="CH889">
        <f t="shared" si="1779"/>
        <v>0</v>
      </c>
      <c r="CI889">
        <f t="shared" si="1780"/>
        <v>0</v>
      </c>
      <c r="CJ889">
        <f t="shared" si="1781"/>
        <v>0</v>
      </c>
      <c r="CK889">
        <f t="shared" si="1782"/>
        <v>0</v>
      </c>
      <c r="CL889">
        <f t="shared" si="1783"/>
        <v>0</v>
      </c>
      <c r="CM889">
        <f t="shared" si="1784"/>
        <v>0</v>
      </c>
      <c r="CN889">
        <f t="shared" si="1785"/>
        <v>0</v>
      </c>
      <c r="CO889">
        <f t="shared" si="1786"/>
        <v>0</v>
      </c>
      <c r="CP889">
        <f t="shared" si="1787"/>
        <v>0</v>
      </c>
      <c r="CQ889">
        <f t="shared" si="1788"/>
        <v>0</v>
      </c>
      <c r="CR889">
        <f t="shared" si="1789"/>
        <v>0</v>
      </c>
      <c r="CS889">
        <f t="shared" si="1790"/>
        <v>0</v>
      </c>
      <c r="CT889">
        <f t="shared" si="1791"/>
        <v>0</v>
      </c>
      <c r="CU889">
        <f t="shared" si="1792"/>
        <v>0</v>
      </c>
      <c r="CV889">
        <f t="shared" si="1793"/>
        <v>0</v>
      </c>
      <c r="CW889">
        <f t="shared" si="1794"/>
        <v>0</v>
      </c>
      <c r="CX889">
        <f t="shared" si="1795"/>
        <v>0</v>
      </c>
      <c r="CY889">
        <f t="shared" si="1796"/>
        <v>0</v>
      </c>
      <c r="CZ889">
        <f t="shared" si="1797"/>
        <v>0</v>
      </c>
      <c r="DA889">
        <f t="shared" si="1798"/>
        <v>0</v>
      </c>
      <c r="DB889">
        <f t="shared" si="1799"/>
        <v>0</v>
      </c>
      <c r="DC889">
        <f t="shared" si="1800"/>
        <v>0</v>
      </c>
      <c r="DD889">
        <f t="shared" si="1801"/>
        <v>0</v>
      </c>
      <c r="DE889">
        <f t="shared" si="1802"/>
        <v>0</v>
      </c>
      <c r="DF889">
        <f t="shared" si="1803"/>
        <v>0</v>
      </c>
      <c r="DG889">
        <f t="shared" si="1804"/>
        <v>0</v>
      </c>
      <c r="DH889">
        <f t="shared" si="1805"/>
        <v>0</v>
      </c>
      <c r="DI889">
        <f t="shared" si="1806"/>
        <v>0</v>
      </c>
      <c r="DJ889">
        <f t="shared" si="1807"/>
        <v>0</v>
      </c>
      <c r="DK889">
        <f t="shared" si="1808"/>
        <v>0</v>
      </c>
      <c r="DL889">
        <f t="shared" si="1809"/>
        <v>0</v>
      </c>
      <c r="DM889">
        <f t="shared" si="1810"/>
        <v>0</v>
      </c>
      <c r="DN889">
        <f t="shared" si="1811"/>
        <v>0</v>
      </c>
      <c r="DO889">
        <f t="shared" si="1812"/>
        <v>0</v>
      </c>
      <c r="DP889">
        <f t="shared" si="1813"/>
        <v>0</v>
      </c>
      <c r="DQ889">
        <f t="shared" si="1814"/>
        <v>0</v>
      </c>
      <c r="DR889">
        <f t="shared" si="1815"/>
        <v>0</v>
      </c>
      <c r="DS889">
        <f t="shared" si="1816"/>
        <v>0</v>
      </c>
      <c r="DT889">
        <f t="shared" si="1817"/>
        <v>0</v>
      </c>
      <c r="DU889">
        <f t="shared" si="1818"/>
        <v>0</v>
      </c>
      <c r="DV889">
        <f t="shared" si="1819"/>
        <v>0</v>
      </c>
      <c r="DW889">
        <f t="shared" si="1820"/>
        <v>0</v>
      </c>
      <c r="DX889">
        <f t="shared" si="1821"/>
        <v>0</v>
      </c>
      <c r="DY889">
        <f t="shared" si="1822"/>
        <v>0</v>
      </c>
      <c r="DZ889">
        <f t="shared" si="1823"/>
        <v>0</v>
      </c>
      <c r="EA889">
        <f t="shared" ref="EA889:EF889" si="1825">IF($C889&lt;&gt;"",IF(BL889&gt;0,1,0),0)</f>
        <v>0</v>
      </c>
      <c r="EB889">
        <f t="shared" si="1825"/>
        <v>0</v>
      </c>
      <c r="EC889">
        <f t="shared" si="1825"/>
        <v>0</v>
      </c>
      <c r="ED889">
        <f t="shared" si="1825"/>
        <v>0</v>
      </c>
      <c r="EE889">
        <f t="shared" si="1825"/>
        <v>0</v>
      </c>
      <c r="EF889">
        <f t="shared" si="1825"/>
        <v>0</v>
      </c>
    </row>
    <row r="890" spans="1:136" ht="15.5">
      <c r="A890" s="90"/>
      <c r="B890" s="19" t="s">
        <v>2</v>
      </c>
      <c r="C890" s="95"/>
      <c r="D890" s="18">
        <v>0</v>
      </c>
      <c r="E890" s="18">
        <v>0</v>
      </c>
      <c r="F890" s="18">
        <v>0</v>
      </c>
      <c r="G890" s="18">
        <v>0</v>
      </c>
      <c r="H890" s="18">
        <v>0</v>
      </c>
      <c r="I890" s="18">
        <v>0</v>
      </c>
      <c r="J890" s="18">
        <v>0</v>
      </c>
      <c r="K890" s="18">
        <v>0</v>
      </c>
      <c r="L890" s="18">
        <v>0</v>
      </c>
      <c r="M890" s="18">
        <v>0</v>
      </c>
      <c r="N890" s="18">
        <v>0</v>
      </c>
      <c r="O890" s="18">
        <v>0</v>
      </c>
      <c r="P890" s="18">
        <v>0</v>
      </c>
      <c r="Q890" s="18">
        <v>0</v>
      </c>
      <c r="R890" s="18">
        <v>0</v>
      </c>
      <c r="S890" s="18">
        <v>0</v>
      </c>
      <c r="T890" s="60">
        <v>0</v>
      </c>
      <c r="U890" s="60">
        <v>0</v>
      </c>
      <c r="V890" s="60">
        <v>0</v>
      </c>
      <c r="W890" s="60">
        <v>0</v>
      </c>
      <c r="X890" s="60">
        <v>0</v>
      </c>
      <c r="Y890" s="60">
        <v>0</v>
      </c>
      <c r="Z890" s="60">
        <v>0</v>
      </c>
      <c r="AA890" s="60">
        <v>0</v>
      </c>
      <c r="AB890" s="60">
        <v>0</v>
      </c>
      <c r="AC890" s="18">
        <v>19</v>
      </c>
      <c r="AD890" s="60">
        <v>0</v>
      </c>
      <c r="AE890" s="60">
        <v>0</v>
      </c>
      <c r="AF890" s="60">
        <v>0</v>
      </c>
      <c r="AG890" s="40" t="s">
        <v>16</v>
      </c>
      <c r="AH890" s="18">
        <v>185</v>
      </c>
      <c r="AI890" s="40" t="s">
        <v>16</v>
      </c>
      <c r="AJ890" s="18"/>
      <c r="AK890" s="18"/>
      <c r="AL890" s="18"/>
      <c r="AM890" s="18"/>
      <c r="AN890" s="18">
        <v>0</v>
      </c>
      <c r="AO890" s="18">
        <v>0</v>
      </c>
      <c r="AP890" s="18">
        <v>0</v>
      </c>
      <c r="AQ890" s="18">
        <v>0</v>
      </c>
      <c r="AR890" s="18">
        <v>0</v>
      </c>
      <c r="AS890" s="18">
        <v>0</v>
      </c>
      <c r="AT890" s="18">
        <v>0</v>
      </c>
      <c r="AU890" s="18">
        <v>0</v>
      </c>
      <c r="AV890" s="18">
        <v>0</v>
      </c>
      <c r="AW890" s="18">
        <v>0</v>
      </c>
      <c r="AX890" s="18">
        <v>0</v>
      </c>
      <c r="AY890" s="18">
        <v>0</v>
      </c>
      <c r="AZ890" s="18">
        <v>0</v>
      </c>
      <c r="BA890" s="18">
        <v>0</v>
      </c>
      <c r="BB890" s="18">
        <v>0</v>
      </c>
      <c r="BC890" s="18">
        <v>0</v>
      </c>
      <c r="BD890" s="18">
        <v>0</v>
      </c>
      <c r="BE890" s="18">
        <v>0</v>
      </c>
      <c r="BF890" s="18">
        <v>0</v>
      </c>
      <c r="BG890" s="18">
        <v>0</v>
      </c>
      <c r="BH890" s="18">
        <v>0</v>
      </c>
      <c r="BI890" s="18">
        <v>0</v>
      </c>
      <c r="BJ890" s="113">
        <v>0</v>
      </c>
      <c r="BK890" s="113">
        <v>0</v>
      </c>
      <c r="BL890" s="113">
        <v>0</v>
      </c>
      <c r="BM890" s="113">
        <v>0</v>
      </c>
      <c r="BN890" s="113">
        <v>0</v>
      </c>
      <c r="BO890" s="113">
        <v>0</v>
      </c>
      <c r="BP890" s="113">
        <v>0</v>
      </c>
      <c r="BQ890" s="113">
        <v>0</v>
      </c>
      <c r="BR890" s="101"/>
      <c r="BS890">
        <f t="shared" si="1764"/>
        <v>0</v>
      </c>
      <c r="BT890">
        <f t="shared" si="1765"/>
        <v>0</v>
      </c>
      <c r="BU890">
        <f t="shared" si="1766"/>
        <v>0</v>
      </c>
      <c r="BV890">
        <f t="shared" si="1767"/>
        <v>0</v>
      </c>
      <c r="BW890">
        <f t="shared" si="1768"/>
        <v>0</v>
      </c>
      <c r="BX890">
        <f t="shared" si="1769"/>
        <v>0</v>
      </c>
      <c r="BY890">
        <f t="shared" si="1770"/>
        <v>0</v>
      </c>
      <c r="BZ890">
        <f t="shared" si="1771"/>
        <v>0</v>
      </c>
      <c r="CA890">
        <f t="shared" si="1772"/>
        <v>0</v>
      </c>
      <c r="CB890">
        <f t="shared" si="1773"/>
        <v>0</v>
      </c>
      <c r="CC890">
        <f t="shared" si="1774"/>
        <v>0</v>
      </c>
      <c r="CD890">
        <f t="shared" si="1775"/>
        <v>0</v>
      </c>
      <c r="CE890">
        <f t="shared" si="1776"/>
        <v>0</v>
      </c>
      <c r="CF890">
        <f t="shared" si="1777"/>
        <v>0</v>
      </c>
      <c r="CG890">
        <f t="shared" si="1778"/>
        <v>0</v>
      </c>
      <c r="CH890">
        <f t="shared" si="1779"/>
        <v>0</v>
      </c>
      <c r="CI890">
        <f t="shared" si="1780"/>
        <v>0</v>
      </c>
      <c r="CJ890">
        <f t="shared" si="1781"/>
        <v>0</v>
      </c>
      <c r="CK890">
        <f t="shared" si="1782"/>
        <v>0</v>
      </c>
      <c r="CL890">
        <f t="shared" si="1783"/>
        <v>0</v>
      </c>
      <c r="CM890">
        <f t="shared" si="1784"/>
        <v>0</v>
      </c>
      <c r="CN890">
        <f t="shared" si="1785"/>
        <v>0</v>
      </c>
      <c r="CO890">
        <f t="shared" si="1786"/>
        <v>0</v>
      </c>
      <c r="CP890">
        <f t="shared" si="1787"/>
        <v>0</v>
      </c>
      <c r="CQ890">
        <f t="shared" si="1788"/>
        <v>0</v>
      </c>
      <c r="CR890">
        <f t="shared" si="1789"/>
        <v>0</v>
      </c>
      <c r="CS890">
        <f t="shared" si="1790"/>
        <v>0</v>
      </c>
      <c r="CT890">
        <f t="shared" si="1791"/>
        <v>0</v>
      </c>
      <c r="CU890">
        <f t="shared" si="1792"/>
        <v>0</v>
      </c>
      <c r="CV890">
        <f t="shared" si="1793"/>
        <v>0</v>
      </c>
      <c r="CW890">
        <f t="shared" si="1794"/>
        <v>0</v>
      </c>
      <c r="CX890">
        <f t="shared" si="1795"/>
        <v>0</v>
      </c>
      <c r="CY890">
        <f t="shared" si="1796"/>
        <v>0</v>
      </c>
      <c r="CZ890">
        <f t="shared" si="1797"/>
        <v>0</v>
      </c>
      <c r="DA890">
        <f t="shared" si="1798"/>
        <v>0</v>
      </c>
      <c r="DB890">
        <f t="shared" si="1799"/>
        <v>0</v>
      </c>
      <c r="DC890">
        <f t="shared" si="1800"/>
        <v>0</v>
      </c>
      <c r="DD890">
        <f t="shared" si="1801"/>
        <v>0</v>
      </c>
      <c r="DE890">
        <f t="shared" si="1802"/>
        <v>0</v>
      </c>
      <c r="DF890">
        <f t="shared" si="1803"/>
        <v>0</v>
      </c>
      <c r="DG890">
        <f t="shared" si="1804"/>
        <v>0</v>
      </c>
      <c r="DH890">
        <f t="shared" si="1805"/>
        <v>0</v>
      </c>
      <c r="DI890">
        <f t="shared" si="1806"/>
        <v>0</v>
      </c>
      <c r="DJ890">
        <f t="shared" si="1807"/>
        <v>0</v>
      </c>
      <c r="DK890">
        <f t="shared" si="1808"/>
        <v>0</v>
      </c>
      <c r="DL890">
        <f t="shared" si="1809"/>
        <v>0</v>
      </c>
      <c r="DM890">
        <f t="shared" si="1810"/>
        <v>0</v>
      </c>
      <c r="DN890">
        <f t="shared" si="1811"/>
        <v>0</v>
      </c>
      <c r="DO890">
        <f t="shared" si="1812"/>
        <v>0</v>
      </c>
      <c r="DP890">
        <f t="shared" si="1813"/>
        <v>0</v>
      </c>
      <c r="DQ890">
        <f t="shared" si="1814"/>
        <v>0</v>
      </c>
      <c r="DR890">
        <f t="shared" si="1815"/>
        <v>0</v>
      </c>
      <c r="DS890">
        <f t="shared" si="1816"/>
        <v>0</v>
      </c>
      <c r="DT890">
        <f t="shared" si="1817"/>
        <v>0</v>
      </c>
      <c r="DU890">
        <f t="shared" si="1818"/>
        <v>0</v>
      </c>
      <c r="DV890">
        <f t="shared" si="1819"/>
        <v>0</v>
      </c>
      <c r="DW890">
        <f t="shared" si="1820"/>
        <v>0</v>
      </c>
      <c r="DX890">
        <f t="shared" si="1821"/>
        <v>0</v>
      </c>
      <c r="DY890">
        <f t="shared" si="1822"/>
        <v>0</v>
      </c>
      <c r="DZ890">
        <f t="shared" si="1823"/>
        <v>0</v>
      </c>
      <c r="EA890">
        <f t="shared" ref="EA890:EF890" si="1826">IF($C890&lt;&gt;"",IF(BL888&gt;0,1,0),0)</f>
        <v>0</v>
      </c>
      <c r="EB890">
        <f t="shared" si="1826"/>
        <v>0</v>
      </c>
      <c r="EC890">
        <f t="shared" si="1826"/>
        <v>0</v>
      </c>
      <c r="ED890">
        <f t="shared" si="1826"/>
        <v>0</v>
      </c>
      <c r="EE890">
        <f t="shared" si="1826"/>
        <v>0</v>
      </c>
      <c r="EF890">
        <f t="shared" si="1826"/>
        <v>0</v>
      </c>
    </row>
    <row r="891" spans="1:136" ht="15.5">
      <c r="A891" s="90"/>
      <c r="B891" s="57" t="s">
        <v>3</v>
      </c>
      <c r="C891" s="95"/>
      <c r="D891" s="18">
        <v>0</v>
      </c>
      <c r="E891" s="18">
        <v>0</v>
      </c>
      <c r="F891" s="18">
        <v>0</v>
      </c>
      <c r="G891" s="18">
        <v>0</v>
      </c>
      <c r="H891" s="18">
        <v>0</v>
      </c>
      <c r="I891" s="18">
        <v>0</v>
      </c>
      <c r="J891" s="18">
        <v>0</v>
      </c>
      <c r="K891" s="18">
        <v>0</v>
      </c>
      <c r="L891" s="18">
        <v>0</v>
      </c>
      <c r="M891" s="18">
        <v>0</v>
      </c>
      <c r="N891" s="18">
        <v>0</v>
      </c>
      <c r="O891" s="18">
        <v>0</v>
      </c>
      <c r="P891" s="18">
        <v>0</v>
      </c>
      <c r="Q891" s="18">
        <v>0</v>
      </c>
      <c r="R891" s="18">
        <v>0</v>
      </c>
      <c r="S891" s="18">
        <v>0</v>
      </c>
      <c r="T891" s="18">
        <v>0</v>
      </c>
      <c r="U891" s="18">
        <v>0</v>
      </c>
      <c r="V891" s="18">
        <v>0</v>
      </c>
      <c r="W891" s="18">
        <v>0</v>
      </c>
      <c r="X891" s="18">
        <v>0</v>
      </c>
      <c r="Y891" s="18">
        <v>0</v>
      </c>
      <c r="Z891" s="18">
        <v>0</v>
      </c>
      <c r="AA891" s="18">
        <v>0</v>
      </c>
      <c r="AB891" s="18">
        <v>0.05</v>
      </c>
      <c r="AC891" s="18">
        <v>2.2000000000000002</v>
      </c>
      <c r="AD891" s="18">
        <v>0.5</v>
      </c>
      <c r="AE891" s="18">
        <v>23.27</v>
      </c>
      <c r="AF891" s="18">
        <f>241-AF889-AF888</f>
        <v>123</v>
      </c>
      <c r="AG891" s="40" t="s">
        <v>16</v>
      </c>
      <c r="AH891" s="18">
        <f>634-AH889</f>
        <v>384</v>
      </c>
      <c r="AI891" s="18">
        <f>718-AI889</f>
        <v>398</v>
      </c>
      <c r="AJ891" s="18">
        <v>178.95999999999998</v>
      </c>
      <c r="AK891" s="18">
        <v>344.35</v>
      </c>
      <c r="AL891" s="18">
        <v>389.52</v>
      </c>
      <c r="AM891" s="18">
        <v>429.03999999999996</v>
      </c>
      <c r="AN891" s="18">
        <v>652.04</v>
      </c>
      <c r="AO891" s="18">
        <v>1287.71</v>
      </c>
      <c r="AP891" s="18">
        <v>111.96000000000001</v>
      </c>
      <c r="AQ891" s="18">
        <v>158.26</v>
      </c>
      <c r="AR891" s="18">
        <v>596.5</v>
      </c>
      <c r="AS891" s="18">
        <v>363.95</v>
      </c>
      <c r="AT891" s="18">
        <v>534.21</v>
      </c>
      <c r="AU891" s="18">
        <v>176.35999999999999</v>
      </c>
      <c r="AV891" s="18">
        <v>16.309999999999999</v>
      </c>
      <c r="AW891" s="18">
        <v>0</v>
      </c>
      <c r="AX891" s="18">
        <v>202.93</v>
      </c>
      <c r="AY891" s="18">
        <v>0.01</v>
      </c>
      <c r="AZ891" s="18">
        <v>28</v>
      </c>
      <c r="BA891" s="18">
        <v>0</v>
      </c>
      <c r="BB891" s="18">
        <v>0</v>
      </c>
      <c r="BC891" s="18">
        <v>0</v>
      </c>
      <c r="BD891" s="18">
        <v>0</v>
      </c>
      <c r="BE891" s="25">
        <v>0</v>
      </c>
      <c r="BF891" s="18">
        <v>0</v>
      </c>
      <c r="BG891" s="18">
        <v>0</v>
      </c>
      <c r="BH891" s="18">
        <v>0</v>
      </c>
      <c r="BI891" s="18">
        <v>0</v>
      </c>
      <c r="BJ891" s="113">
        <v>0</v>
      </c>
      <c r="BK891" s="113">
        <v>0</v>
      </c>
      <c r="BL891" s="113">
        <v>0</v>
      </c>
      <c r="BM891" s="113">
        <v>0</v>
      </c>
      <c r="BN891" s="113">
        <v>0</v>
      </c>
      <c r="BO891" s="113">
        <v>0</v>
      </c>
      <c r="BP891" s="113">
        <v>0</v>
      </c>
      <c r="BQ891" s="113">
        <v>0</v>
      </c>
      <c r="BR891" s="101"/>
      <c r="BS891">
        <f t="shared" si="1764"/>
        <v>0</v>
      </c>
      <c r="BT891">
        <f t="shared" si="1765"/>
        <v>0</v>
      </c>
      <c r="BU891">
        <f t="shared" si="1766"/>
        <v>0</v>
      </c>
      <c r="BV891">
        <f t="shared" si="1767"/>
        <v>0</v>
      </c>
      <c r="BW891">
        <f t="shared" si="1768"/>
        <v>0</v>
      </c>
      <c r="BX891">
        <f t="shared" si="1769"/>
        <v>0</v>
      </c>
      <c r="BY891">
        <f t="shared" si="1770"/>
        <v>0</v>
      </c>
      <c r="BZ891">
        <f t="shared" si="1771"/>
        <v>0</v>
      </c>
      <c r="CA891">
        <f t="shared" si="1772"/>
        <v>0</v>
      </c>
      <c r="CB891">
        <f t="shared" si="1773"/>
        <v>0</v>
      </c>
      <c r="CC891">
        <f t="shared" si="1774"/>
        <v>0</v>
      </c>
      <c r="CD891">
        <f t="shared" si="1775"/>
        <v>0</v>
      </c>
      <c r="CE891">
        <f t="shared" si="1776"/>
        <v>0</v>
      </c>
      <c r="CF891">
        <f t="shared" si="1777"/>
        <v>0</v>
      </c>
      <c r="CG891">
        <f t="shared" si="1778"/>
        <v>0</v>
      </c>
      <c r="CH891">
        <f t="shared" si="1779"/>
        <v>0</v>
      </c>
      <c r="CI891">
        <f t="shared" si="1780"/>
        <v>0</v>
      </c>
      <c r="CJ891">
        <f t="shared" si="1781"/>
        <v>0</v>
      </c>
      <c r="CK891">
        <f t="shared" si="1782"/>
        <v>0</v>
      </c>
      <c r="CL891">
        <f t="shared" si="1783"/>
        <v>0</v>
      </c>
      <c r="CM891">
        <f t="shared" si="1784"/>
        <v>0</v>
      </c>
      <c r="CN891">
        <f t="shared" si="1785"/>
        <v>0</v>
      </c>
      <c r="CO891">
        <f t="shared" si="1786"/>
        <v>0</v>
      </c>
      <c r="CP891">
        <f t="shared" si="1787"/>
        <v>0</v>
      </c>
      <c r="CQ891">
        <f t="shared" si="1788"/>
        <v>0</v>
      </c>
      <c r="CR891">
        <f t="shared" si="1789"/>
        <v>0</v>
      </c>
      <c r="CS891">
        <f t="shared" si="1790"/>
        <v>0</v>
      </c>
      <c r="CT891">
        <f t="shared" si="1791"/>
        <v>0</v>
      </c>
      <c r="CU891">
        <f t="shared" si="1792"/>
        <v>0</v>
      </c>
      <c r="CV891">
        <f t="shared" si="1793"/>
        <v>0</v>
      </c>
      <c r="CW891">
        <f t="shared" si="1794"/>
        <v>0</v>
      </c>
      <c r="CX891">
        <f t="shared" si="1795"/>
        <v>0</v>
      </c>
      <c r="CY891">
        <f t="shared" si="1796"/>
        <v>0</v>
      </c>
      <c r="CZ891">
        <f t="shared" si="1797"/>
        <v>0</v>
      </c>
      <c r="DA891">
        <f t="shared" si="1798"/>
        <v>0</v>
      </c>
      <c r="DB891">
        <f t="shared" si="1799"/>
        <v>0</v>
      </c>
      <c r="DC891">
        <f t="shared" si="1800"/>
        <v>0</v>
      </c>
      <c r="DD891">
        <f t="shared" si="1801"/>
        <v>0</v>
      </c>
      <c r="DE891">
        <f t="shared" si="1802"/>
        <v>0</v>
      </c>
      <c r="DF891">
        <f t="shared" si="1803"/>
        <v>0</v>
      </c>
      <c r="DG891">
        <f t="shared" si="1804"/>
        <v>0</v>
      </c>
      <c r="DH891">
        <f t="shared" si="1805"/>
        <v>0</v>
      </c>
      <c r="DI891">
        <f t="shared" si="1806"/>
        <v>0</v>
      </c>
      <c r="DJ891">
        <f t="shared" si="1807"/>
        <v>0</v>
      </c>
      <c r="DK891">
        <f t="shared" si="1808"/>
        <v>0</v>
      </c>
      <c r="DL891">
        <f t="shared" si="1809"/>
        <v>0</v>
      </c>
      <c r="DM891">
        <f t="shared" si="1810"/>
        <v>0</v>
      </c>
      <c r="DN891">
        <f t="shared" si="1811"/>
        <v>0</v>
      </c>
      <c r="DO891">
        <f t="shared" si="1812"/>
        <v>0</v>
      </c>
      <c r="DP891">
        <f t="shared" si="1813"/>
        <v>0</v>
      </c>
      <c r="DQ891">
        <f t="shared" si="1814"/>
        <v>0</v>
      </c>
      <c r="DR891">
        <f t="shared" si="1815"/>
        <v>0</v>
      </c>
      <c r="DS891">
        <f t="shared" si="1816"/>
        <v>0</v>
      </c>
      <c r="DT891">
        <f t="shared" si="1817"/>
        <v>0</v>
      </c>
      <c r="DU891">
        <f t="shared" si="1818"/>
        <v>0</v>
      </c>
      <c r="DV891">
        <f t="shared" si="1819"/>
        <v>0</v>
      </c>
      <c r="DW891">
        <f t="shared" si="1820"/>
        <v>0</v>
      </c>
      <c r="DX891">
        <f t="shared" si="1821"/>
        <v>0</v>
      </c>
      <c r="DY891">
        <f t="shared" si="1822"/>
        <v>0</v>
      </c>
      <c r="DZ891">
        <f t="shared" si="1823"/>
        <v>0</v>
      </c>
      <c r="EA891">
        <f t="shared" ref="EA891:EF894" si="1827">IF($C891&lt;&gt;"",IF(BL890&gt;0,1,0),0)</f>
        <v>0</v>
      </c>
      <c r="EB891">
        <f t="shared" si="1827"/>
        <v>0</v>
      </c>
      <c r="EC891">
        <f t="shared" si="1827"/>
        <v>0</v>
      </c>
      <c r="ED891">
        <f t="shared" si="1827"/>
        <v>0</v>
      </c>
      <c r="EE891">
        <f t="shared" si="1827"/>
        <v>0</v>
      </c>
      <c r="EF891">
        <f t="shared" si="1827"/>
        <v>0</v>
      </c>
    </row>
    <row r="892" spans="1:136" ht="15.5">
      <c r="A892" s="90"/>
      <c r="B892" s="19" t="s">
        <v>18</v>
      </c>
      <c r="C892" s="95"/>
      <c r="D892" s="18">
        <v>0</v>
      </c>
      <c r="E892" s="18">
        <v>0</v>
      </c>
      <c r="F892" s="18">
        <v>0</v>
      </c>
      <c r="G892" s="18">
        <v>0</v>
      </c>
      <c r="H892" s="18">
        <v>0</v>
      </c>
      <c r="I892" s="18">
        <v>0</v>
      </c>
      <c r="J892" s="18">
        <v>0</v>
      </c>
      <c r="K892" s="18">
        <v>0</v>
      </c>
      <c r="L892" s="18">
        <v>0</v>
      </c>
      <c r="M892" s="18">
        <v>0</v>
      </c>
      <c r="N892" s="18">
        <v>15</v>
      </c>
      <c r="O892" s="18">
        <v>0</v>
      </c>
      <c r="P892" s="18">
        <v>0</v>
      </c>
      <c r="Q892" s="18">
        <v>0</v>
      </c>
      <c r="R892" s="18">
        <v>0</v>
      </c>
      <c r="S892" s="18">
        <v>0</v>
      </c>
      <c r="T892" s="18">
        <v>0</v>
      </c>
      <c r="U892" s="18">
        <v>0</v>
      </c>
      <c r="V892" s="18">
        <v>0</v>
      </c>
      <c r="W892" s="18">
        <v>0</v>
      </c>
      <c r="X892" s="18">
        <v>0</v>
      </c>
      <c r="Y892" s="18">
        <v>0</v>
      </c>
      <c r="Z892" s="18">
        <v>0</v>
      </c>
      <c r="AA892" s="18">
        <v>217</v>
      </c>
      <c r="AB892" s="18">
        <v>217</v>
      </c>
      <c r="AC892" s="18">
        <v>579</v>
      </c>
      <c r="AD892" s="18">
        <v>650</v>
      </c>
      <c r="AE892" s="18">
        <v>2749.6350805206721</v>
      </c>
      <c r="AF892" s="18">
        <v>2614.4160816329422</v>
      </c>
      <c r="AG892" s="18">
        <v>2888.7649026035156</v>
      </c>
      <c r="AH892" s="18">
        <v>3144.1295811001683</v>
      </c>
      <c r="AI892" s="18">
        <v>3338.2067062577175</v>
      </c>
      <c r="AJ892" s="18">
        <v>3479.7082492545856</v>
      </c>
      <c r="AK892" s="18">
        <v>3623.7343233003112</v>
      </c>
      <c r="AL892" s="18">
        <v>3822.4466974999991</v>
      </c>
      <c r="AM892" s="18">
        <v>3655.4759999999997</v>
      </c>
      <c r="AN892" s="18">
        <v>3936</v>
      </c>
      <c r="AO892" s="18">
        <v>0</v>
      </c>
      <c r="AP892" s="18">
        <v>0</v>
      </c>
      <c r="AQ892" s="18">
        <v>0</v>
      </c>
      <c r="AR892" s="18">
        <v>0</v>
      </c>
      <c r="AS892" s="18">
        <v>0</v>
      </c>
      <c r="AT892" s="18">
        <v>0</v>
      </c>
      <c r="AU892" s="18">
        <v>0</v>
      </c>
      <c r="AV892" s="18">
        <v>0</v>
      </c>
      <c r="AW892" s="18">
        <v>0</v>
      </c>
      <c r="AX892" s="18">
        <v>0</v>
      </c>
      <c r="AY892" s="18">
        <v>0</v>
      </c>
      <c r="AZ892" s="18">
        <v>0</v>
      </c>
      <c r="BA892" s="18">
        <v>0</v>
      </c>
      <c r="BB892" s="18">
        <v>0</v>
      </c>
      <c r="BC892" s="18">
        <v>0</v>
      </c>
      <c r="BD892" s="18">
        <v>0</v>
      </c>
      <c r="BE892" s="25">
        <v>0</v>
      </c>
      <c r="BF892" s="18">
        <v>0</v>
      </c>
      <c r="BG892" s="18">
        <v>0</v>
      </c>
      <c r="BH892" s="18">
        <v>0</v>
      </c>
      <c r="BI892" s="18">
        <v>0</v>
      </c>
      <c r="BJ892" s="113">
        <v>0</v>
      </c>
      <c r="BK892" s="113">
        <v>0</v>
      </c>
      <c r="BL892" s="113">
        <v>0</v>
      </c>
      <c r="BM892" s="113">
        <v>0</v>
      </c>
      <c r="BN892" s="113">
        <v>0</v>
      </c>
      <c r="BO892" s="113">
        <v>0</v>
      </c>
      <c r="BP892" s="113">
        <v>0</v>
      </c>
      <c r="BQ892" s="113">
        <v>0</v>
      </c>
      <c r="BR892" s="101"/>
      <c r="BS892">
        <f t="shared" si="1764"/>
        <v>0</v>
      </c>
      <c r="BT892">
        <f t="shared" si="1765"/>
        <v>0</v>
      </c>
      <c r="BU892">
        <f t="shared" si="1766"/>
        <v>0</v>
      </c>
      <c r="BV892">
        <f t="shared" si="1767"/>
        <v>0</v>
      </c>
      <c r="BW892">
        <f t="shared" si="1768"/>
        <v>0</v>
      </c>
      <c r="BX892">
        <f t="shared" si="1769"/>
        <v>0</v>
      </c>
      <c r="BY892">
        <f t="shared" si="1770"/>
        <v>0</v>
      </c>
      <c r="BZ892">
        <f t="shared" si="1771"/>
        <v>0</v>
      </c>
      <c r="CA892">
        <f t="shared" si="1772"/>
        <v>0</v>
      </c>
      <c r="CB892">
        <f t="shared" si="1773"/>
        <v>0</v>
      </c>
      <c r="CC892">
        <f t="shared" si="1774"/>
        <v>0</v>
      </c>
      <c r="CD892">
        <f t="shared" si="1775"/>
        <v>0</v>
      </c>
      <c r="CE892">
        <f t="shared" si="1776"/>
        <v>0</v>
      </c>
      <c r="CF892">
        <f t="shared" si="1777"/>
        <v>0</v>
      </c>
      <c r="CG892">
        <f t="shared" si="1778"/>
        <v>0</v>
      </c>
      <c r="CH892">
        <f t="shared" si="1779"/>
        <v>0</v>
      </c>
      <c r="CI892">
        <f t="shared" si="1780"/>
        <v>0</v>
      </c>
      <c r="CJ892">
        <f t="shared" si="1781"/>
        <v>0</v>
      </c>
      <c r="CK892">
        <f t="shared" si="1782"/>
        <v>0</v>
      </c>
      <c r="CL892">
        <f t="shared" si="1783"/>
        <v>0</v>
      </c>
      <c r="CM892">
        <f t="shared" si="1784"/>
        <v>0</v>
      </c>
      <c r="CN892">
        <f t="shared" si="1785"/>
        <v>0</v>
      </c>
      <c r="CO892">
        <f t="shared" si="1786"/>
        <v>0</v>
      </c>
      <c r="CP892">
        <f t="shared" si="1787"/>
        <v>0</v>
      </c>
      <c r="CQ892">
        <f t="shared" si="1788"/>
        <v>0</v>
      </c>
      <c r="CR892">
        <f t="shared" si="1789"/>
        <v>0</v>
      </c>
      <c r="CS892">
        <f t="shared" si="1790"/>
        <v>0</v>
      </c>
      <c r="CT892">
        <f t="shared" si="1791"/>
        <v>0</v>
      </c>
      <c r="CU892">
        <f t="shared" si="1792"/>
        <v>0</v>
      </c>
      <c r="CV892">
        <f t="shared" si="1793"/>
        <v>0</v>
      </c>
      <c r="CW892">
        <f t="shared" si="1794"/>
        <v>0</v>
      </c>
      <c r="CX892">
        <f t="shared" si="1795"/>
        <v>0</v>
      </c>
      <c r="CY892">
        <f t="shared" si="1796"/>
        <v>0</v>
      </c>
      <c r="CZ892">
        <f t="shared" si="1797"/>
        <v>0</v>
      </c>
      <c r="DA892">
        <f t="shared" si="1798"/>
        <v>0</v>
      </c>
      <c r="DB892">
        <f t="shared" si="1799"/>
        <v>0</v>
      </c>
      <c r="DC892">
        <f t="shared" si="1800"/>
        <v>0</v>
      </c>
      <c r="DD892">
        <f t="shared" si="1801"/>
        <v>0</v>
      </c>
      <c r="DE892">
        <f t="shared" si="1802"/>
        <v>0</v>
      </c>
      <c r="DF892">
        <f t="shared" si="1803"/>
        <v>0</v>
      </c>
      <c r="DG892">
        <f t="shared" si="1804"/>
        <v>0</v>
      </c>
      <c r="DH892">
        <f t="shared" si="1805"/>
        <v>0</v>
      </c>
      <c r="DI892">
        <f t="shared" si="1806"/>
        <v>0</v>
      </c>
      <c r="DJ892">
        <f t="shared" si="1807"/>
        <v>0</v>
      </c>
      <c r="DK892">
        <f t="shared" si="1808"/>
        <v>0</v>
      </c>
      <c r="DL892">
        <f t="shared" si="1809"/>
        <v>0</v>
      </c>
      <c r="DM892">
        <f t="shared" si="1810"/>
        <v>0</v>
      </c>
      <c r="DN892">
        <f t="shared" si="1811"/>
        <v>0</v>
      </c>
      <c r="DO892">
        <f t="shared" si="1812"/>
        <v>0</v>
      </c>
      <c r="DP892">
        <f t="shared" si="1813"/>
        <v>0</v>
      </c>
      <c r="DQ892">
        <f t="shared" si="1814"/>
        <v>0</v>
      </c>
      <c r="DR892">
        <f t="shared" si="1815"/>
        <v>0</v>
      </c>
      <c r="DS892">
        <f t="shared" si="1816"/>
        <v>0</v>
      </c>
      <c r="DT892">
        <f t="shared" si="1817"/>
        <v>0</v>
      </c>
      <c r="DU892">
        <f t="shared" si="1818"/>
        <v>0</v>
      </c>
      <c r="DV892">
        <f t="shared" si="1819"/>
        <v>0</v>
      </c>
      <c r="DW892">
        <f t="shared" si="1820"/>
        <v>0</v>
      </c>
      <c r="DX892">
        <f t="shared" si="1821"/>
        <v>0</v>
      </c>
      <c r="DY892">
        <f t="shared" si="1822"/>
        <v>0</v>
      </c>
      <c r="DZ892">
        <f t="shared" si="1823"/>
        <v>0</v>
      </c>
      <c r="EA892">
        <f t="shared" si="1827"/>
        <v>0</v>
      </c>
      <c r="EB892">
        <f t="shared" si="1827"/>
        <v>0</v>
      </c>
      <c r="EC892">
        <f t="shared" si="1827"/>
        <v>0</v>
      </c>
      <c r="ED892">
        <f t="shared" si="1827"/>
        <v>0</v>
      </c>
      <c r="EE892">
        <f t="shared" si="1827"/>
        <v>0</v>
      </c>
      <c r="EF892">
        <f t="shared" si="1827"/>
        <v>0</v>
      </c>
    </row>
    <row r="893" spans="1:136" ht="15.5">
      <c r="A893" s="90"/>
      <c r="B893" s="53" t="s">
        <v>25</v>
      </c>
      <c r="C893" s="95"/>
      <c r="D893" s="34">
        <v>0</v>
      </c>
      <c r="E893" s="34">
        <v>0</v>
      </c>
      <c r="F893" s="34">
        <v>0</v>
      </c>
      <c r="G893" s="34">
        <v>0</v>
      </c>
      <c r="H893" s="34">
        <v>0</v>
      </c>
      <c r="I893" s="34">
        <v>0</v>
      </c>
      <c r="J893" s="34">
        <v>0</v>
      </c>
      <c r="K893" s="34">
        <v>0</v>
      </c>
      <c r="L893" s="34">
        <v>0</v>
      </c>
      <c r="M893" s="34">
        <v>0</v>
      </c>
      <c r="N893" s="34">
        <v>0</v>
      </c>
      <c r="O893" s="34">
        <v>0</v>
      </c>
      <c r="P893" s="34">
        <v>0</v>
      </c>
      <c r="Q893" s="34">
        <v>0</v>
      </c>
      <c r="R893" s="34">
        <v>0</v>
      </c>
      <c r="S893" s="34">
        <v>0</v>
      </c>
      <c r="T893" s="34">
        <v>0</v>
      </c>
      <c r="U893" s="34">
        <v>0</v>
      </c>
      <c r="V893" s="34">
        <v>0</v>
      </c>
      <c r="W893" s="34">
        <v>0</v>
      </c>
      <c r="X893" s="34">
        <v>0</v>
      </c>
      <c r="Y893" s="34">
        <v>0</v>
      </c>
      <c r="Z893" s="34">
        <v>0</v>
      </c>
      <c r="AA893" s="34">
        <v>0</v>
      </c>
      <c r="AB893" s="34">
        <v>0</v>
      </c>
      <c r="AC893" s="34">
        <v>0</v>
      </c>
      <c r="AD893" s="34">
        <v>0</v>
      </c>
      <c r="AE893" s="34">
        <v>300</v>
      </c>
      <c r="AF893" s="34">
        <v>323</v>
      </c>
      <c r="AG893" s="34">
        <v>346</v>
      </c>
      <c r="AH893" s="34">
        <v>369</v>
      </c>
      <c r="AI893" s="34">
        <v>392</v>
      </c>
      <c r="AJ893" s="34">
        <v>415</v>
      </c>
      <c r="AK893" s="34">
        <v>438</v>
      </c>
      <c r="AL893" s="34">
        <v>452</v>
      </c>
      <c r="AM893" s="34">
        <v>0</v>
      </c>
      <c r="AN893" s="34">
        <v>0</v>
      </c>
      <c r="AO893" s="34">
        <v>0</v>
      </c>
      <c r="AP893" s="34">
        <v>26</v>
      </c>
      <c r="AQ893" s="34">
        <v>0</v>
      </c>
      <c r="AR893" s="34">
        <v>0</v>
      </c>
      <c r="AS893" s="34">
        <v>0</v>
      </c>
      <c r="AT893" s="34">
        <v>0</v>
      </c>
      <c r="AU893" s="34">
        <v>0</v>
      </c>
      <c r="AV893" s="34">
        <v>0</v>
      </c>
      <c r="AW893" s="34">
        <v>0</v>
      </c>
      <c r="AX893" s="34">
        <v>0</v>
      </c>
      <c r="AY893" s="34">
        <v>0</v>
      </c>
      <c r="AZ893" s="34">
        <v>0</v>
      </c>
      <c r="BA893" s="34">
        <v>0</v>
      </c>
      <c r="BB893" s="34">
        <v>0</v>
      </c>
      <c r="BC893" s="34">
        <v>0</v>
      </c>
      <c r="BD893" s="34">
        <v>0</v>
      </c>
      <c r="BE893" s="42">
        <v>0</v>
      </c>
      <c r="BF893" s="34">
        <v>0</v>
      </c>
      <c r="BG893" s="34">
        <v>0</v>
      </c>
      <c r="BH893" s="34">
        <v>0</v>
      </c>
      <c r="BI893" s="34">
        <v>0</v>
      </c>
      <c r="BJ893" s="113">
        <v>0</v>
      </c>
      <c r="BK893" s="113">
        <v>0</v>
      </c>
      <c r="BL893" s="113">
        <v>0</v>
      </c>
      <c r="BM893" s="113">
        <v>0</v>
      </c>
      <c r="BN893" s="113">
        <v>0</v>
      </c>
      <c r="BO893" s="113">
        <v>0</v>
      </c>
      <c r="BP893" s="113">
        <v>0</v>
      </c>
      <c r="BQ893" s="113">
        <v>0</v>
      </c>
      <c r="BR893" s="101"/>
      <c r="BS893">
        <f t="shared" si="1764"/>
        <v>0</v>
      </c>
      <c r="BT893">
        <f t="shared" si="1765"/>
        <v>0</v>
      </c>
      <c r="BU893">
        <f t="shared" si="1766"/>
        <v>0</v>
      </c>
      <c r="BV893">
        <f t="shared" si="1767"/>
        <v>0</v>
      </c>
      <c r="BW893">
        <f t="shared" si="1768"/>
        <v>0</v>
      </c>
      <c r="BX893">
        <f t="shared" si="1769"/>
        <v>0</v>
      </c>
      <c r="BY893">
        <f t="shared" si="1770"/>
        <v>0</v>
      </c>
      <c r="BZ893">
        <f t="shared" si="1771"/>
        <v>0</v>
      </c>
      <c r="CA893">
        <f t="shared" si="1772"/>
        <v>0</v>
      </c>
      <c r="CB893">
        <f t="shared" si="1773"/>
        <v>0</v>
      </c>
      <c r="CC893">
        <f t="shared" si="1774"/>
        <v>0</v>
      </c>
      <c r="CD893">
        <f t="shared" si="1775"/>
        <v>0</v>
      </c>
      <c r="CE893">
        <f t="shared" si="1776"/>
        <v>0</v>
      </c>
      <c r="CF893">
        <f t="shared" si="1777"/>
        <v>0</v>
      </c>
      <c r="CG893">
        <f t="shared" si="1778"/>
        <v>0</v>
      </c>
      <c r="CH893">
        <f t="shared" si="1779"/>
        <v>0</v>
      </c>
      <c r="CI893">
        <f t="shared" si="1780"/>
        <v>0</v>
      </c>
      <c r="CJ893">
        <f t="shared" si="1781"/>
        <v>0</v>
      </c>
      <c r="CK893">
        <f t="shared" si="1782"/>
        <v>0</v>
      </c>
      <c r="CL893">
        <f t="shared" si="1783"/>
        <v>0</v>
      </c>
      <c r="CM893">
        <f t="shared" si="1784"/>
        <v>0</v>
      </c>
      <c r="CN893">
        <f t="shared" si="1785"/>
        <v>0</v>
      </c>
      <c r="CO893">
        <f t="shared" si="1786"/>
        <v>0</v>
      </c>
      <c r="CP893">
        <f t="shared" si="1787"/>
        <v>0</v>
      </c>
      <c r="CQ893">
        <f t="shared" si="1788"/>
        <v>0</v>
      </c>
      <c r="CR893">
        <f t="shared" si="1789"/>
        <v>0</v>
      </c>
      <c r="CS893">
        <f t="shared" si="1790"/>
        <v>0</v>
      </c>
      <c r="CT893">
        <f t="shared" si="1791"/>
        <v>0</v>
      </c>
      <c r="CU893">
        <f t="shared" si="1792"/>
        <v>0</v>
      </c>
      <c r="CV893">
        <f t="shared" si="1793"/>
        <v>0</v>
      </c>
      <c r="CW893">
        <f t="shared" si="1794"/>
        <v>0</v>
      </c>
      <c r="CX893">
        <f t="shared" si="1795"/>
        <v>0</v>
      </c>
      <c r="CY893">
        <f t="shared" si="1796"/>
        <v>0</v>
      </c>
      <c r="CZ893">
        <f t="shared" si="1797"/>
        <v>0</v>
      </c>
      <c r="DA893">
        <f t="shared" si="1798"/>
        <v>0</v>
      </c>
      <c r="DB893">
        <f t="shared" si="1799"/>
        <v>0</v>
      </c>
      <c r="DC893">
        <f t="shared" si="1800"/>
        <v>0</v>
      </c>
      <c r="DD893">
        <f t="shared" si="1801"/>
        <v>0</v>
      </c>
      <c r="DE893">
        <f t="shared" si="1802"/>
        <v>0</v>
      </c>
      <c r="DF893">
        <f t="shared" si="1803"/>
        <v>0</v>
      </c>
      <c r="DG893">
        <f t="shared" si="1804"/>
        <v>0</v>
      </c>
      <c r="DH893">
        <f t="shared" si="1805"/>
        <v>0</v>
      </c>
      <c r="DI893">
        <f t="shared" si="1806"/>
        <v>0</v>
      </c>
      <c r="DJ893">
        <f t="shared" si="1807"/>
        <v>0</v>
      </c>
      <c r="DK893">
        <f t="shared" si="1808"/>
        <v>0</v>
      </c>
      <c r="DL893">
        <f t="shared" si="1809"/>
        <v>0</v>
      </c>
      <c r="DM893">
        <f t="shared" si="1810"/>
        <v>0</v>
      </c>
      <c r="DN893">
        <f t="shared" si="1811"/>
        <v>0</v>
      </c>
      <c r="DO893">
        <f t="shared" si="1812"/>
        <v>0</v>
      </c>
      <c r="DP893">
        <f t="shared" si="1813"/>
        <v>0</v>
      </c>
      <c r="DQ893">
        <f t="shared" si="1814"/>
        <v>0</v>
      </c>
      <c r="DR893">
        <f t="shared" si="1815"/>
        <v>0</v>
      </c>
      <c r="DS893">
        <f t="shared" si="1816"/>
        <v>0</v>
      </c>
      <c r="DT893">
        <f t="shared" si="1817"/>
        <v>0</v>
      </c>
      <c r="DU893">
        <f t="shared" si="1818"/>
        <v>0</v>
      </c>
      <c r="DV893">
        <f t="shared" si="1819"/>
        <v>0</v>
      </c>
      <c r="DW893">
        <f t="shared" si="1820"/>
        <v>0</v>
      </c>
      <c r="DX893">
        <f t="shared" si="1821"/>
        <v>0</v>
      </c>
      <c r="DY893">
        <f t="shared" si="1822"/>
        <v>0</v>
      </c>
      <c r="DZ893">
        <f t="shared" si="1823"/>
        <v>0</v>
      </c>
      <c r="EA893">
        <f t="shared" si="1827"/>
        <v>0</v>
      </c>
      <c r="EB893">
        <f t="shared" si="1827"/>
        <v>0</v>
      </c>
      <c r="EC893">
        <f t="shared" si="1827"/>
        <v>0</v>
      </c>
      <c r="ED893">
        <f t="shared" si="1827"/>
        <v>0</v>
      </c>
      <c r="EE893">
        <f t="shared" si="1827"/>
        <v>0</v>
      </c>
      <c r="EF893">
        <f t="shared" si="1827"/>
        <v>0</v>
      </c>
    </row>
    <row r="894" spans="1:136" ht="15.5">
      <c r="A894" s="90"/>
      <c r="B894" s="57" t="s">
        <v>208</v>
      </c>
      <c r="C894" s="95"/>
      <c r="D894" s="18">
        <v>0</v>
      </c>
      <c r="E894" s="18">
        <v>0</v>
      </c>
      <c r="F894" s="18">
        <v>0</v>
      </c>
      <c r="G894" s="18">
        <v>0</v>
      </c>
      <c r="H894" s="18">
        <v>0</v>
      </c>
      <c r="I894" s="18">
        <v>0</v>
      </c>
      <c r="J894" s="18">
        <v>0</v>
      </c>
      <c r="K894" s="18">
        <v>0</v>
      </c>
      <c r="L894" s="18">
        <v>0</v>
      </c>
      <c r="M894" s="18">
        <v>0</v>
      </c>
      <c r="N894" s="18">
        <v>0</v>
      </c>
      <c r="O894" s="18">
        <v>0</v>
      </c>
      <c r="P894" s="18">
        <v>0</v>
      </c>
      <c r="Q894" s="18">
        <v>0</v>
      </c>
      <c r="R894" s="18">
        <v>0</v>
      </c>
      <c r="S894" s="18">
        <v>0</v>
      </c>
      <c r="T894" s="18">
        <v>0</v>
      </c>
      <c r="U894" s="18">
        <v>0</v>
      </c>
      <c r="V894" s="18">
        <v>0</v>
      </c>
      <c r="W894" s="18">
        <v>0</v>
      </c>
      <c r="X894" s="18">
        <v>0.8</v>
      </c>
      <c r="Y894" s="18">
        <v>0.1</v>
      </c>
      <c r="Z894" s="18">
        <v>1.5</v>
      </c>
      <c r="AA894" s="18">
        <v>1.7</v>
      </c>
      <c r="AB894" s="18">
        <v>1.2</v>
      </c>
      <c r="AC894" s="18">
        <v>3</v>
      </c>
      <c r="AD894" s="18">
        <v>12.200000000000001</v>
      </c>
      <c r="AE894" s="40" t="s">
        <v>16</v>
      </c>
      <c r="AF894" s="40" t="s">
        <v>16</v>
      </c>
      <c r="AG894" s="40" t="s">
        <v>16</v>
      </c>
      <c r="AH894" s="40" t="s">
        <v>16</v>
      </c>
      <c r="AI894" s="40" t="s">
        <v>16</v>
      </c>
      <c r="AJ894" s="40" t="s">
        <v>16</v>
      </c>
      <c r="AK894" s="40" t="s">
        <v>16</v>
      </c>
      <c r="AL894" s="40" t="s">
        <v>16</v>
      </c>
      <c r="AM894" s="40" t="s">
        <v>16</v>
      </c>
      <c r="AN894" s="40" t="s">
        <v>16</v>
      </c>
      <c r="AO894" s="18">
        <v>212.2</v>
      </c>
      <c r="AP894" s="18">
        <v>127.8</v>
      </c>
      <c r="AQ894" s="18">
        <v>1.9</v>
      </c>
      <c r="AR894" s="18">
        <v>1.9</v>
      </c>
      <c r="AS894" s="18">
        <v>1.6</v>
      </c>
      <c r="AT894" s="18">
        <v>0</v>
      </c>
      <c r="AU894" s="18">
        <v>0</v>
      </c>
      <c r="AV894" s="18">
        <v>0</v>
      </c>
      <c r="AW894" s="18">
        <v>0</v>
      </c>
      <c r="AX894" s="18">
        <v>0</v>
      </c>
      <c r="AY894" s="18">
        <v>0</v>
      </c>
      <c r="AZ894" s="18">
        <v>0</v>
      </c>
      <c r="BA894" s="18">
        <v>0</v>
      </c>
      <c r="BB894" s="18">
        <v>0</v>
      </c>
      <c r="BC894" s="18">
        <v>0</v>
      </c>
      <c r="BD894" s="18">
        <v>0</v>
      </c>
      <c r="BE894" s="25">
        <v>0</v>
      </c>
      <c r="BF894" s="18">
        <v>0</v>
      </c>
      <c r="BG894" s="18">
        <v>0</v>
      </c>
      <c r="BH894" s="18">
        <v>0</v>
      </c>
      <c r="BI894" s="18">
        <v>0</v>
      </c>
      <c r="BJ894" s="113">
        <v>0</v>
      </c>
      <c r="BK894" s="113">
        <v>0</v>
      </c>
      <c r="BL894" s="113">
        <v>0</v>
      </c>
      <c r="BM894" s="113">
        <v>0</v>
      </c>
      <c r="BN894" s="113">
        <v>0</v>
      </c>
      <c r="BO894" s="113">
        <v>0</v>
      </c>
      <c r="BP894" s="113">
        <v>0</v>
      </c>
      <c r="BQ894" s="113">
        <v>0</v>
      </c>
      <c r="BR894" s="101"/>
      <c r="BS894">
        <f t="shared" si="1764"/>
        <v>0</v>
      </c>
      <c r="BT894">
        <f t="shared" si="1765"/>
        <v>0</v>
      </c>
      <c r="BU894">
        <f t="shared" si="1766"/>
        <v>0</v>
      </c>
      <c r="BV894">
        <f t="shared" si="1767"/>
        <v>0</v>
      </c>
      <c r="BW894">
        <f t="shared" si="1768"/>
        <v>0</v>
      </c>
      <c r="BX894">
        <f t="shared" si="1769"/>
        <v>0</v>
      </c>
      <c r="BY894">
        <f t="shared" si="1770"/>
        <v>0</v>
      </c>
      <c r="BZ894">
        <f t="shared" si="1771"/>
        <v>0</v>
      </c>
      <c r="CA894">
        <f t="shared" si="1772"/>
        <v>0</v>
      </c>
      <c r="CB894">
        <f t="shared" si="1773"/>
        <v>0</v>
      </c>
      <c r="CC894">
        <f t="shared" si="1774"/>
        <v>0</v>
      </c>
      <c r="CD894">
        <f t="shared" si="1775"/>
        <v>0</v>
      </c>
      <c r="CE894">
        <f t="shared" si="1776"/>
        <v>0</v>
      </c>
      <c r="CF894">
        <f t="shared" si="1777"/>
        <v>0</v>
      </c>
      <c r="CG894">
        <f t="shared" si="1778"/>
        <v>0</v>
      </c>
      <c r="CH894">
        <f t="shared" si="1779"/>
        <v>0</v>
      </c>
      <c r="CI894">
        <f t="shared" si="1780"/>
        <v>0</v>
      </c>
      <c r="CJ894">
        <f t="shared" si="1781"/>
        <v>0</v>
      </c>
      <c r="CK894">
        <f t="shared" si="1782"/>
        <v>0</v>
      </c>
      <c r="CL894">
        <f t="shared" si="1783"/>
        <v>0</v>
      </c>
      <c r="CM894">
        <f t="shared" si="1784"/>
        <v>0</v>
      </c>
      <c r="CN894">
        <f t="shared" si="1785"/>
        <v>0</v>
      </c>
      <c r="CO894">
        <f t="shared" si="1786"/>
        <v>0</v>
      </c>
      <c r="CP894">
        <f t="shared" si="1787"/>
        <v>0</v>
      </c>
      <c r="CQ894">
        <f t="shared" si="1788"/>
        <v>0</v>
      </c>
      <c r="CR894">
        <f t="shared" si="1789"/>
        <v>0</v>
      </c>
      <c r="CS894">
        <f t="shared" si="1790"/>
        <v>0</v>
      </c>
      <c r="CT894">
        <f t="shared" si="1791"/>
        <v>0</v>
      </c>
      <c r="CU894">
        <f t="shared" si="1792"/>
        <v>0</v>
      </c>
      <c r="CV894">
        <f t="shared" si="1793"/>
        <v>0</v>
      </c>
      <c r="CW894">
        <f t="shared" si="1794"/>
        <v>0</v>
      </c>
      <c r="CX894">
        <f t="shared" si="1795"/>
        <v>0</v>
      </c>
      <c r="CY894">
        <f t="shared" si="1796"/>
        <v>0</v>
      </c>
      <c r="CZ894">
        <f t="shared" si="1797"/>
        <v>0</v>
      </c>
      <c r="DA894">
        <f t="shared" si="1798"/>
        <v>0</v>
      </c>
      <c r="DB894">
        <f t="shared" si="1799"/>
        <v>0</v>
      </c>
      <c r="DC894">
        <f t="shared" si="1800"/>
        <v>0</v>
      </c>
      <c r="DD894">
        <f t="shared" si="1801"/>
        <v>0</v>
      </c>
      <c r="DE894">
        <f t="shared" si="1802"/>
        <v>0</v>
      </c>
      <c r="DF894">
        <f t="shared" si="1803"/>
        <v>0</v>
      </c>
      <c r="DG894">
        <f t="shared" si="1804"/>
        <v>0</v>
      </c>
      <c r="DH894">
        <f t="shared" si="1805"/>
        <v>0</v>
      </c>
      <c r="DI894">
        <f t="shared" si="1806"/>
        <v>0</v>
      </c>
      <c r="DJ894">
        <f t="shared" si="1807"/>
        <v>0</v>
      </c>
      <c r="DK894">
        <f t="shared" si="1808"/>
        <v>0</v>
      </c>
      <c r="DL894">
        <f t="shared" si="1809"/>
        <v>0</v>
      </c>
      <c r="DM894">
        <f t="shared" si="1810"/>
        <v>0</v>
      </c>
      <c r="DN894">
        <f t="shared" si="1811"/>
        <v>0</v>
      </c>
      <c r="DO894">
        <f t="shared" si="1812"/>
        <v>0</v>
      </c>
      <c r="DP894">
        <f t="shared" si="1813"/>
        <v>0</v>
      </c>
      <c r="DQ894">
        <f t="shared" si="1814"/>
        <v>0</v>
      </c>
      <c r="DR894">
        <f t="shared" si="1815"/>
        <v>0</v>
      </c>
      <c r="DS894">
        <f t="shared" si="1816"/>
        <v>0</v>
      </c>
      <c r="DT894">
        <f t="shared" si="1817"/>
        <v>0</v>
      </c>
      <c r="DU894">
        <f t="shared" si="1818"/>
        <v>0</v>
      </c>
      <c r="DV894">
        <f t="shared" si="1819"/>
        <v>0</v>
      </c>
      <c r="DW894">
        <f t="shared" si="1820"/>
        <v>0</v>
      </c>
      <c r="DX894">
        <f t="shared" si="1821"/>
        <v>0</v>
      </c>
      <c r="DY894">
        <f t="shared" si="1822"/>
        <v>0</v>
      </c>
      <c r="DZ894">
        <f t="shared" si="1823"/>
        <v>0</v>
      </c>
      <c r="EA894">
        <f t="shared" si="1827"/>
        <v>0</v>
      </c>
      <c r="EB894">
        <f t="shared" si="1827"/>
        <v>0</v>
      </c>
      <c r="EC894">
        <f t="shared" si="1827"/>
        <v>0</v>
      </c>
      <c r="ED894">
        <f t="shared" si="1827"/>
        <v>0</v>
      </c>
      <c r="EE894">
        <f t="shared" si="1827"/>
        <v>0</v>
      </c>
      <c r="EF894">
        <f t="shared" si="1827"/>
        <v>0</v>
      </c>
    </row>
    <row r="895" spans="1:136" ht="15.5">
      <c r="A895" s="90"/>
      <c r="B895" s="57" t="s">
        <v>212</v>
      </c>
      <c r="C895" s="95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>
        <v>0</v>
      </c>
      <c r="Y895" s="18">
        <v>0</v>
      </c>
      <c r="Z895" s="18">
        <v>0</v>
      </c>
      <c r="AA895" s="18">
        <v>0</v>
      </c>
      <c r="AB895" s="18">
        <v>0</v>
      </c>
      <c r="AC895" s="18">
        <v>0</v>
      </c>
      <c r="AD895" s="18">
        <v>0</v>
      </c>
      <c r="AE895" s="18">
        <v>0</v>
      </c>
      <c r="AF895" s="18">
        <v>107.9</v>
      </c>
      <c r="AG895" s="18">
        <f>AF895+34</f>
        <v>141.9</v>
      </c>
      <c r="AH895" s="18">
        <v>141.9</v>
      </c>
      <c r="AI895" s="18">
        <v>141.9</v>
      </c>
      <c r="AJ895" s="18">
        <f>141.9-55</f>
        <v>86.9</v>
      </c>
      <c r="AK895" s="18">
        <v>86.9</v>
      </c>
      <c r="AL895" s="18">
        <v>35</v>
      </c>
      <c r="AM895" s="18">
        <v>0</v>
      </c>
      <c r="AN895" s="18">
        <v>0</v>
      </c>
      <c r="AO895" s="18">
        <v>0</v>
      </c>
      <c r="AP895" s="18">
        <v>0</v>
      </c>
      <c r="AQ895" s="18">
        <v>0</v>
      </c>
      <c r="AR895" s="18">
        <v>0</v>
      </c>
      <c r="AS895" s="18">
        <v>0</v>
      </c>
      <c r="AT895" s="18">
        <v>51</v>
      </c>
      <c r="AU895" s="18">
        <v>0</v>
      </c>
      <c r="AV895" s="18">
        <f>0.002*13793</f>
        <v>27.586000000000002</v>
      </c>
      <c r="AW895" s="18">
        <v>173</v>
      </c>
      <c r="AX895" s="18">
        <v>0</v>
      </c>
      <c r="AY895" s="18">
        <v>0</v>
      </c>
      <c r="AZ895" s="18">
        <v>0</v>
      </c>
      <c r="BA895" s="18">
        <v>0</v>
      </c>
      <c r="BB895" s="18">
        <v>0</v>
      </c>
      <c r="BC895" s="18">
        <v>0</v>
      </c>
      <c r="BD895" s="18">
        <v>0</v>
      </c>
      <c r="BE895" s="25">
        <v>0</v>
      </c>
      <c r="BF895" s="18">
        <v>0</v>
      </c>
      <c r="BG895" s="18">
        <f>BH895-216</f>
        <v>301</v>
      </c>
      <c r="BH895" s="18">
        <f>BI895-174</f>
        <v>517</v>
      </c>
      <c r="BI895" s="18">
        <f>BJ895-311</f>
        <v>691</v>
      </c>
      <c r="BJ895" s="113">
        <f>BK895-519</f>
        <v>1002</v>
      </c>
      <c r="BK895" s="113">
        <v>1521</v>
      </c>
      <c r="BL895" s="113">
        <v>1727</v>
      </c>
      <c r="BM895" s="113">
        <v>0</v>
      </c>
      <c r="BN895" s="113">
        <v>0</v>
      </c>
      <c r="BO895" s="113">
        <v>0</v>
      </c>
      <c r="BP895" s="113">
        <v>904</v>
      </c>
      <c r="BQ895" s="113">
        <v>0</v>
      </c>
      <c r="BR895" s="101"/>
      <c r="BS895">
        <f t="shared" si="1764"/>
        <v>0</v>
      </c>
      <c r="BT895">
        <f t="shared" si="1765"/>
        <v>0</v>
      </c>
      <c r="BU895">
        <f t="shared" si="1766"/>
        <v>0</v>
      </c>
      <c r="BV895">
        <f t="shared" si="1767"/>
        <v>0</v>
      </c>
      <c r="BW895">
        <f t="shared" si="1768"/>
        <v>0</v>
      </c>
      <c r="BX895">
        <f t="shared" si="1769"/>
        <v>0</v>
      </c>
      <c r="BY895">
        <f t="shared" si="1770"/>
        <v>0</v>
      </c>
      <c r="BZ895">
        <f t="shared" si="1771"/>
        <v>0</v>
      </c>
      <c r="CA895">
        <f t="shared" si="1772"/>
        <v>0</v>
      </c>
      <c r="CB895">
        <f t="shared" si="1773"/>
        <v>0</v>
      </c>
      <c r="CC895">
        <f t="shared" si="1774"/>
        <v>0</v>
      </c>
      <c r="CD895">
        <f t="shared" si="1775"/>
        <v>0</v>
      </c>
      <c r="CE895">
        <f t="shared" si="1776"/>
        <v>0</v>
      </c>
      <c r="CF895">
        <f t="shared" si="1777"/>
        <v>0</v>
      </c>
      <c r="CG895">
        <f t="shared" si="1778"/>
        <v>0</v>
      </c>
      <c r="CH895">
        <f t="shared" si="1779"/>
        <v>0</v>
      </c>
      <c r="CI895">
        <f t="shared" si="1780"/>
        <v>0</v>
      </c>
      <c r="CJ895">
        <f t="shared" si="1781"/>
        <v>0</v>
      </c>
      <c r="CK895">
        <f t="shared" si="1782"/>
        <v>0</v>
      </c>
      <c r="CL895">
        <f t="shared" si="1783"/>
        <v>0</v>
      </c>
      <c r="CM895">
        <f t="shared" si="1784"/>
        <v>0</v>
      </c>
      <c r="CN895">
        <f t="shared" si="1785"/>
        <v>0</v>
      </c>
      <c r="CO895">
        <f t="shared" si="1786"/>
        <v>0</v>
      </c>
      <c r="CP895">
        <f t="shared" si="1787"/>
        <v>0</v>
      </c>
      <c r="CQ895">
        <f t="shared" si="1788"/>
        <v>0</v>
      </c>
      <c r="CR895">
        <f t="shared" si="1789"/>
        <v>0</v>
      </c>
      <c r="CS895">
        <f t="shared" si="1790"/>
        <v>0</v>
      </c>
      <c r="CT895">
        <f t="shared" si="1791"/>
        <v>0</v>
      </c>
      <c r="CU895">
        <f t="shared" si="1792"/>
        <v>0</v>
      </c>
      <c r="CV895">
        <f t="shared" si="1793"/>
        <v>0</v>
      </c>
      <c r="CW895">
        <f t="shared" si="1794"/>
        <v>0</v>
      </c>
      <c r="CX895">
        <f t="shared" si="1795"/>
        <v>0</v>
      </c>
      <c r="CY895">
        <f t="shared" si="1796"/>
        <v>0</v>
      </c>
      <c r="CZ895">
        <f t="shared" si="1797"/>
        <v>0</v>
      </c>
      <c r="DA895">
        <f t="shared" si="1798"/>
        <v>0</v>
      </c>
      <c r="DB895">
        <f t="shared" si="1799"/>
        <v>0</v>
      </c>
      <c r="DC895">
        <f t="shared" si="1800"/>
        <v>0</v>
      </c>
      <c r="DD895">
        <f t="shared" si="1801"/>
        <v>0</v>
      </c>
      <c r="DE895">
        <f t="shared" si="1802"/>
        <v>0</v>
      </c>
      <c r="DF895">
        <f t="shared" si="1803"/>
        <v>0</v>
      </c>
      <c r="DG895">
        <f t="shared" si="1804"/>
        <v>0</v>
      </c>
      <c r="DH895">
        <f t="shared" si="1805"/>
        <v>0</v>
      </c>
      <c r="DI895">
        <f t="shared" si="1806"/>
        <v>0</v>
      </c>
      <c r="DJ895">
        <f t="shared" si="1807"/>
        <v>0</v>
      </c>
      <c r="DK895">
        <f t="shared" si="1808"/>
        <v>0</v>
      </c>
      <c r="DL895">
        <f t="shared" si="1809"/>
        <v>0</v>
      </c>
      <c r="DM895">
        <f t="shared" si="1810"/>
        <v>0</v>
      </c>
      <c r="DN895">
        <f t="shared" si="1811"/>
        <v>0</v>
      </c>
      <c r="DO895">
        <f t="shared" si="1812"/>
        <v>0</v>
      </c>
      <c r="DP895">
        <f t="shared" si="1813"/>
        <v>0</v>
      </c>
      <c r="DQ895">
        <f t="shared" si="1814"/>
        <v>0</v>
      </c>
      <c r="DR895">
        <f t="shared" si="1815"/>
        <v>0</v>
      </c>
      <c r="DS895">
        <f t="shared" si="1816"/>
        <v>0</v>
      </c>
      <c r="DT895">
        <f t="shared" si="1817"/>
        <v>0</v>
      </c>
      <c r="DU895">
        <f t="shared" si="1818"/>
        <v>0</v>
      </c>
      <c r="DV895">
        <f t="shared" si="1819"/>
        <v>0</v>
      </c>
      <c r="DW895">
        <f t="shared" si="1820"/>
        <v>0</v>
      </c>
      <c r="DX895">
        <f t="shared" si="1821"/>
        <v>0</v>
      </c>
      <c r="DY895">
        <f t="shared" si="1822"/>
        <v>0</v>
      </c>
      <c r="DZ895">
        <f t="shared" si="1823"/>
        <v>0</v>
      </c>
      <c r="EA895">
        <f t="shared" ref="EA895:EF895" si="1828">IF($C895&lt;&gt;"",IF(BL895&gt;0,1,0),0)</f>
        <v>0</v>
      </c>
      <c r="EB895">
        <f t="shared" si="1828"/>
        <v>0</v>
      </c>
      <c r="EC895">
        <f t="shared" si="1828"/>
        <v>0</v>
      </c>
      <c r="ED895">
        <f t="shared" si="1828"/>
        <v>0</v>
      </c>
      <c r="EE895">
        <f t="shared" si="1828"/>
        <v>0</v>
      </c>
      <c r="EF895">
        <f t="shared" si="1828"/>
        <v>0</v>
      </c>
    </row>
    <row r="896" spans="1:136" ht="15.5">
      <c r="A896" s="90"/>
      <c r="B896" s="37"/>
      <c r="C896" s="95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  <c r="AS896" s="18"/>
      <c r="AT896" s="18"/>
      <c r="AU896" s="18"/>
      <c r="AV896" s="18"/>
      <c r="AW896" s="18"/>
      <c r="AX896" s="18"/>
      <c r="AY896" s="18"/>
      <c r="AZ896" s="18"/>
      <c r="BA896" s="18"/>
      <c r="BB896" s="18"/>
      <c r="BC896" s="18"/>
      <c r="BD896" s="18"/>
      <c r="BE896" s="25"/>
      <c r="BF896" s="18"/>
      <c r="BG896" s="18"/>
      <c r="BH896" s="2"/>
      <c r="BI896" s="2"/>
      <c r="BJ896" s="2"/>
      <c r="BK896" s="2"/>
      <c r="BL896" s="22"/>
      <c r="BM896" s="2"/>
      <c r="BN896" s="2"/>
      <c r="BO896" s="2"/>
      <c r="BP896" s="2"/>
      <c r="BQ896" s="2"/>
      <c r="BR896" s="101"/>
    </row>
    <row r="897" spans="1:136" ht="15.5">
      <c r="A897" s="93">
        <v>113</v>
      </c>
      <c r="B897" s="80" t="s">
        <v>171</v>
      </c>
      <c r="C897" s="95">
        <v>4</v>
      </c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22">
        <f t="shared" ref="S897:AX897" si="1829">SUM(S898:S901)</f>
        <v>0</v>
      </c>
      <c r="T897" s="22">
        <f t="shared" si="1829"/>
        <v>0</v>
      </c>
      <c r="U897" s="22">
        <f t="shared" si="1829"/>
        <v>0</v>
      </c>
      <c r="V897" s="22">
        <f t="shared" si="1829"/>
        <v>0</v>
      </c>
      <c r="W897" s="22">
        <f t="shared" si="1829"/>
        <v>0</v>
      </c>
      <c r="X897" s="22">
        <f t="shared" si="1829"/>
        <v>0</v>
      </c>
      <c r="Y897" s="22">
        <f t="shared" si="1829"/>
        <v>0</v>
      </c>
      <c r="Z897" s="22">
        <f t="shared" si="1829"/>
        <v>0</v>
      </c>
      <c r="AA897" s="22">
        <f t="shared" si="1829"/>
        <v>0</v>
      </c>
      <c r="AB897" s="22">
        <f t="shared" si="1829"/>
        <v>0</v>
      </c>
      <c r="AC897" s="22">
        <f t="shared" si="1829"/>
        <v>0</v>
      </c>
      <c r="AD897" s="22">
        <f t="shared" si="1829"/>
        <v>0</v>
      </c>
      <c r="AE897" s="22">
        <f t="shared" si="1829"/>
        <v>0</v>
      </c>
      <c r="AF897" s="22">
        <f t="shared" si="1829"/>
        <v>0</v>
      </c>
      <c r="AG897" s="22">
        <f t="shared" si="1829"/>
        <v>0</v>
      </c>
      <c r="AH897" s="22">
        <f t="shared" si="1829"/>
        <v>0</v>
      </c>
      <c r="AI897" s="22">
        <f t="shared" si="1829"/>
        <v>0</v>
      </c>
      <c r="AJ897" s="22">
        <f t="shared" si="1829"/>
        <v>0</v>
      </c>
      <c r="AK897" s="22">
        <f t="shared" si="1829"/>
        <v>0</v>
      </c>
      <c r="AL897" s="22">
        <f t="shared" si="1829"/>
        <v>0</v>
      </c>
      <c r="AM897" s="22">
        <f t="shared" si="1829"/>
        <v>0</v>
      </c>
      <c r="AN897" s="22">
        <f t="shared" si="1829"/>
        <v>9.4480000000000004</v>
      </c>
      <c r="AO897" s="22">
        <f t="shared" si="1829"/>
        <v>0</v>
      </c>
      <c r="AP897" s="22">
        <f t="shared" si="1829"/>
        <v>0.21099999999999999</v>
      </c>
      <c r="AQ897" s="22">
        <f t="shared" si="1829"/>
        <v>0</v>
      </c>
      <c r="AR897" s="22">
        <f t="shared" si="1829"/>
        <v>0</v>
      </c>
      <c r="AS897" s="22">
        <f t="shared" si="1829"/>
        <v>0</v>
      </c>
      <c r="AT897" s="22">
        <f t="shared" si="1829"/>
        <v>1.1180000000000001</v>
      </c>
      <c r="AU897" s="22">
        <f t="shared" si="1829"/>
        <v>0</v>
      </c>
      <c r="AV897" s="22">
        <f t="shared" si="1829"/>
        <v>0</v>
      </c>
      <c r="AW897" s="22">
        <f t="shared" si="1829"/>
        <v>0</v>
      </c>
      <c r="AX897" s="22">
        <f t="shared" si="1829"/>
        <v>0</v>
      </c>
      <c r="AY897" s="22">
        <f t="shared" ref="AY897:BQ897" si="1830">SUM(AY898:AY901)</f>
        <v>0</v>
      </c>
      <c r="AZ897" s="22">
        <f t="shared" si="1830"/>
        <v>12</v>
      </c>
      <c r="BA897" s="22">
        <f t="shared" si="1830"/>
        <v>0</v>
      </c>
      <c r="BB897" s="22">
        <f t="shared" si="1830"/>
        <v>0</v>
      </c>
      <c r="BC897" s="22">
        <f t="shared" si="1830"/>
        <v>0</v>
      </c>
      <c r="BD897" s="22">
        <f t="shared" si="1830"/>
        <v>0</v>
      </c>
      <c r="BE897" s="22">
        <f t="shared" si="1830"/>
        <v>0.45765330000000004</v>
      </c>
      <c r="BF897" s="22">
        <f t="shared" si="1830"/>
        <v>0.73860749999999997</v>
      </c>
      <c r="BG897" s="22">
        <f t="shared" si="1830"/>
        <v>1.8130941</v>
      </c>
      <c r="BH897" s="22">
        <f t="shared" si="1830"/>
        <v>2.8493583</v>
      </c>
      <c r="BI897" s="22">
        <f t="shared" si="1830"/>
        <v>4.4428260999999996</v>
      </c>
      <c r="BJ897" s="22">
        <f t="shared" si="1830"/>
        <v>5.1456132999999999</v>
      </c>
      <c r="BK897" s="22">
        <f t="shared" si="1830"/>
        <v>6.5997640999999998</v>
      </c>
      <c r="BL897" s="22">
        <f t="shared" si="1830"/>
        <v>14.452549099999999</v>
      </c>
      <c r="BM897" s="22">
        <f t="shared" si="1830"/>
        <v>54.251747100000003</v>
      </c>
      <c r="BN897" s="22">
        <f t="shared" si="1830"/>
        <v>1.3438304999999999</v>
      </c>
      <c r="BO897" s="22">
        <f t="shared" si="1830"/>
        <v>9.3000000000000007</v>
      </c>
      <c r="BP897" s="22">
        <f t="shared" si="1830"/>
        <v>18.5</v>
      </c>
      <c r="BQ897" s="22">
        <f t="shared" si="1830"/>
        <v>0</v>
      </c>
      <c r="BR897" s="101"/>
      <c r="BS897">
        <f t="shared" ref="BS897:CB902" si="1831">IF($C897&lt;&gt;"",IF(D897&gt;0,1,0),0)</f>
        <v>0</v>
      </c>
      <c r="BT897">
        <f t="shared" si="1831"/>
        <v>0</v>
      </c>
      <c r="BU897">
        <f t="shared" si="1831"/>
        <v>0</v>
      </c>
      <c r="BV897">
        <f t="shared" si="1831"/>
        <v>0</v>
      </c>
      <c r="BW897">
        <f t="shared" si="1831"/>
        <v>0</v>
      </c>
      <c r="BX897">
        <f t="shared" si="1831"/>
        <v>0</v>
      </c>
      <c r="BY897">
        <f t="shared" si="1831"/>
        <v>0</v>
      </c>
      <c r="BZ897">
        <f t="shared" si="1831"/>
        <v>0</v>
      </c>
      <c r="CA897">
        <f t="shared" si="1831"/>
        <v>0</v>
      </c>
      <c r="CB897">
        <f t="shared" si="1831"/>
        <v>0</v>
      </c>
      <c r="CC897">
        <f t="shared" ref="CC897:CL902" si="1832">IF($C897&lt;&gt;"",IF(N897&gt;0,1,0),0)</f>
        <v>0</v>
      </c>
      <c r="CD897">
        <f t="shared" si="1832"/>
        <v>0</v>
      </c>
      <c r="CE897">
        <f t="shared" si="1832"/>
        <v>0</v>
      </c>
      <c r="CF897">
        <f t="shared" si="1832"/>
        <v>0</v>
      </c>
      <c r="CG897">
        <f t="shared" si="1832"/>
        <v>0</v>
      </c>
      <c r="CH897">
        <f t="shared" si="1832"/>
        <v>0</v>
      </c>
      <c r="CI897">
        <f t="shared" si="1832"/>
        <v>0</v>
      </c>
      <c r="CJ897">
        <f t="shared" si="1832"/>
        <v>0</v>
      </c>
      <c r="CK897">
        <f t="shared" si="1832"/>
        <v>0</v>
      </c>
      <c r="CL897">
        <f t="shared" si="1832"/>
        <v>0</v>
      </c>
      <c r="CM897">
        <f t="shared" ref="CM897:CV902" si="1833">IF($C897&lt;&gt;"",IF(X897&gt;0,1,0),0)</f>
        <v>0</v>
      </c>
      <c r="CN897">
        <f t="shared" si="1833"/>
        <v>0</v>
      </c>
      <c r="CO897">
        <f t="shared" si="1833"/>
        <v>0</v>
      </c>
      <c r="CP897">
        <f t="shared" si="1833"/>
        <v>0</v>
      </c>
      <c r="CQ897">
        <f t="shared" si="1833"/>
        <v>0</v>
      </c>
      <c r="CR897">
        <f t="shared" si="1833"/>
        <v>0</v>
      </c>
      <c r="CS897">
        <f t="shared" si="1833"/>
        <v>0</v>
      </c>
      <c r="CT897">
        <f t="shared" si="1833"/>
        <v>0</v>
      </c>
      <c r="CU897">
        <f t="shared" si="1833"/>
        <v>0</v>
      </c>
      <c r="CV897">
        <f t="shared" si="1833"/>
        <v>0</v>
      </c>
      <c r="CW897">
        <f t="shared" ref="CW897:DB902" si="1834">IF($C897&lt;&gt;"",IF(AH897&gt;0,1,0),0)</f>
        <v>0</v>
      </c>
      <c r="CX897">
        <f t="shared" si="1834"/>
        <v>0</v>
      </c>
      <c r="CY897">
        <f t="shared" si="1834"/>
        <v>0</v>
      </c>
      <c r="CZ897">
        <f t="shared" si="1834"/>
        <v>0</v>
      </c>
      <c r="DA897">
        <f t="shared" si="1834"/>
        <v>0</v>
      </c>
      <c r="DB897">
        <f t="shared" si="1834"/>
        <v>0</v>
      </c>
      <c r="DC897">
        <v>1</v>
      </c>
      <c r="DD897">
        <f t="shared" ref="DD897:DM902" si="1835">IF($C897&lt;&gt;"",IF(AO897&gt;0,1,0),0)</f>
        <v>0</v>
      </c>
      <c r="DE897">
        <f t="shared" si="1835"/>
        <v>1</v>
      </c>
      <c r="DF897">
        <f t="shared" si="1835"/>
        <v>0</v>
      </c>
      <c r="DG897">
        <f t="shared" si="1835"/>
        <v>0</v>
      </c>
      <c r="DH897">
        <f t="shared" si="1835"/>
        <v>0</v>
      </c>
      <c r="DI897">
        <f t="shared" si="1835"/>
        <v>1</v>
      </c>
      <c r="DJ897">
        <f t="shared" si="1835"/>
        <v>0</v>
      </c>
      <c r="DK897">
        <f t="shared" si="1835"/>
        <v>0</v>
      </c>
      <c r="DL897">
        <f t="shared" si="1835"/>
        <v>0</v>
      </c>
      <c r="DM897">
        <f t="shared" si="1835"/>
        <v>0</v>
      </c>
      <c r="DN897">
        <f t="shared" ref="DN897:DW902" si="1836">IF($C897&lt;&gt;"",IF(AY897&gt;0,1,0),0)</f>
        <v>0</v>
      </c>
      <c r="DO897">
        <f t="shared" si="1836"/>
        <v>1</v>
      </c>
      <c r="DP897">
        <f t="shared" si="1836"/>
        <v>0</v>
      </c>
      <c r="DQ897">
        <f t="shared" si="1836"/>
        <v>0</v>
      </c>
      <c r="DR897">
        <f t="shared" si="1836"/>
        <v>0</v>
      </c>
      <c r="DS897">
        <f t="shared" si="1836"/>
        <v>0</v>
      </c>
      <c r="DT897">
        <f t="shared" si="1836"/>
        <v>1</v>
      </c>
      <c r="DU897">
        <f t="shared" si="1836"/>
        <v>1</v>
      </c>
      <c r="DV897">
        <f t="shared" si="1836"/>
        <v>1</v>
      </c>
      <c r="DW897">
        <f t="shared" si="1836"/>
        <v>1</v>
      </c>
      <c r="DX897">
        <f t="shared" ref="DX897:EF902" si="1837">IF($C897&lt;&gt;"",IF(BI897&gt;0,1,0),0)</f>
        <v>1</v>
      </c>
      <c r="DY897">
        <f t="shared" si="1837"/>
        <v>1</v>
      </c>
      <c r="DZ897">
        <f t="shared" si="1837"/>
        <v>1</v>
      </c>
      <c r="EA897">
        <f t="shared" si="1837"/>
        <v>1</v>
      </c>
      <c r="EB897">
        <f t="shared" si="1837"/>
        <v>1</v>
      </c>
      <c r="EC897">
        <f t="shared" si="1837"/>
        <v>1</v>
      </c>
      <c r="ED897">
        <f t="shared" si="1837"/>
        <v>1</v>
      </c>
      <c r="EE897">
        <f t="shared" si="1837"/>
        <v>1</v>
      </c>
      <c r="EF897">
        <f t="shared" si="1837"/>
        <v>0</v>
      </c>
    </row>
    <row r="898" spans="1:136" ht="15.5">
      <c r="A898" s="90"/>
      <c r="B898" s="19" t="s">
        <v>2</v>
      </c>
      <c r="C898" s="95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>
        <v>0</v>
      </c>
      <c r="T898" s="18">
        <v>0</v>
      </c>
      <c r="U898" s="18">
        <v>0</v>
      </c>
      <c r="V898" s="18">
        <v>0</v>
      </c>
      <c r="W898" s="18">
        <v>0</v>
      </c>
      <c r="X898" s="18">
        <v>0</v>
      </c>
      <c r="Y898" s="18">
        <v>0</v>
      </c>
      <c r="Z898" s="18">
        <v>0</v>
      </c>
      <c r="AA898" s="18">
        <v>0</v>
      </c>
      <c r="AB898" s="18">
        <v>0</v>
      </c>
      <c r="AC898" s="18">
        <v>0</v>
      </c>
      <c r="AD898" s="18">
        <v>0</v>
      </c>
      <c r="AE898" s="18">
        <v>0</v>
      </c>
      <c r="AF898" s="18">
        <v>0</v>
      </c>
      <c r="AG898" s="18">
        <v>0</v>
      </c>
      <c r="AH898" s="18">
        <v>0</v>
      </c>
      <c r="AI898" s="18">
        <v>0</v>
      </c>
      <c r="AJ898" s="18">
        <v>0</v>
      </c>
      <c r="AK898" s="18">
        <v>0</v>
      </c>
      <c r="AL898" s="18">
        <v>0</v>
      </c>
      <c r="AM898" s="18">
        <v>0</v>
      </c>
      <c r="AN898" s="18">
        <v>0</v>
      </c>
      <c r="AO898" s="18">
        <v>0</v>
      </c>
      <c r="AP898" s="18">
        <v>0</v>
      </c>
      <c r="AQ898" s="18">
        <v>0</v>
      </c>
      <c r="AR898" s="18">
        <v>0</v>
      </c>
      <c r="AS898" s="18">
        <v>0</v>
      </c>
      <c r="AT898" s="18">
        <v>0</v>
      </c>
      <c r="AU898" s="18">
        <v>0</v>
      </c>
      <c r="AV898" s="18">
        <v>0</v>
      </c>
      <c r="AW898" s="18">
        <v>0</v>
      </c>
      <c r="AX898" s="18">
        <v>0</v>
      </c>
      <c r="AY898" s="18">
        <v>0</v>
      </c>
      <c r="AZ898" s="18">
        <v>0</v>
      </c>
      <c r="BA898" s="18">
        <v>0</v>
      </c>
      <c r="BB898" s="18">
        <v>0</v>
      </c>
      <c r="BC898" s="18">
        <v>0</v>
      </c>
      <c r="BD898" s="18">
        <v>0</v>
      </c>
      <c r="BE898" s="25">
        <v>0</v>
      </c>
      <c r="BF898" s="18">
        <v>0</v>
      </c>
      <c r="BG898" s="18">
        <v>0</v>
      </c>
      <c r="BH898" s="18">
        <v>0</v>
      </c>
      <c r="BI898" s="18">
        <v>0</v>
      </c>
      <c r="BJ898" s="18">
        <v>0</v>
      </c>
      <c r="BK898" s="18">
        <v>0</v>
      </c>
      <c r="BL898" s="103">
        <v>0.1</v>
      </c>
      <c r="BM898" s="113">
        <v>8</v>
      </c>
      <c r="BN898" s="113">
        <v>0</v>
      </c>
      <c r="BO898" s="113">
        <v>0</v>
      </c>
      <c r="BP898" s="113">
        <v>0</v>
      </c>
      <c r="BQ898" s="113">
        <v>0</v>
      </c>
      <c r="BR898" s="101"/>
      <c r="BS898">
        <f t="shared" si="1831"/>
        <v>0</v>
      </c>
      <c r="BT898">
        <f t="shared" si="1831"/>
        <v>0</v>
      </c>
      <c r="BU898">
        <f t="shared" si="1831"/>
        <v>0</v>
      </c>
      <c r="BV898">
        <f t="shared" si="1831"/>
        <v>0</v>
      </c>
      <c r="BW898">
        <f t="shared" si="1831"/>
        <v>0</v>
      </c>
      <c r="BX898">
        <f t="shared" si="1831"/>
        <v>0</v>
      </c>
      <c r="BY898">
        <f t="shared" si="1831"/>
        <v>0</v>
      </c>
      <c r="BZ898">
        <f t="shared" si="1831"/>
        <v>0</v>
      </c>
      <c r="CA898">
        <f t="shared" si="1831"/>
        <v>0</v>
      </c>
      <c r="CB898">
        <f t="shared" si="1831"/>
        <v>0</v>
      </c>
      <c r="CC898">
        <f t="shared" si="1832"/>
        <v>0</v>
      </c>
      <c r="CD898">
        <f t="shared" si="1832"/>
        <v>0</v>
      </c>
      <c r="CE898">
        <f t="shared" si="1832"/>
        <v>0</v>
      </c>
      <c r="CF898">
        <f t="shared" si="1832"/>
        <v>0</v>
      </c>
      <c r="CG898">
        <f t="shared" si="1832"/>
        <v>0</v>
      </c>
      <c r="CH898">
        <f t="shared" si="1832"/>
        <v>0</v>
      </c>
      <c r="CI898">
        <f t="shared" si="1832"/>
        <v>0</v>
      </c>
      <c r="CJ898">
        <f t="shared" si="1832"/>
        <v>0</v>
      </c>
      <c r="CK898">
        <f t="shared" si="1832"/>
        <v>0</v>
      </c>
      <c r="CL898">
        <f t="shared" si="1832"/>
        <v>0</v>
      </c>
      <c r="CM898">
        <f t="shared" si="1833"/>
        <v>0</v>
      </c>
      <c r="CN898">
        <f t="shared" si="1833"/>
        <v>0</v>
      </c>
      <c r="CO898">
        <f t="shared" si="1833"/>
        <v>0</v>
      </c>
      <c r="CP898">
        <f t="shared" si="1833"/>
        <v>0</v>
      </c>
      <c r="CQ898">
        <f t="shared" si="1833"/>
        <v>0</v>
      </c>
      <c r="CR898">
        <f t="shared" si="1833"/>
        <v>0</v>
      </c>
      <c r="CS898">
        <f t="shared" si="1833"/>
        <v>0</v>
      </c>
      <c r="CT898">
        <f t="shared" si="1833"/>
        <v>0</v>
      </c>
      <c r="CU898">
        <f t="shared" si="1833"/>
        <v>0</v>
      </c>
      <c r="CV898">
        <f t="shared" si="1833"/>
        <v>0</v>
      </c>
      <c r="CW898">
        <f t="shared" si="1834"/>
        <v>0</v>
      </c>
      <c r="CX898">
        <f t="shared" si="1834"/>
        <v>0</v>
      </c>
      <c r="CY898">
        <f t="shared" si="1834"/>
        <v>0</v>
      </c>
      <c r="CZ898">
        <f t="shared" si="1834"/>
        <v>0</v>
      </c>
      <c r="DA898">
        <f t="shared" si="1834"/>
        <v>0</v>
      </c>
      <c r="DB898">
        <f t="shared" si="1834"/>
        <v>0</v>
      </c>
      <c r="DC898">
        <f>IF($C898&lt;&gt;"",IF(AN898&gt;0,1,0),0)</f>
        <v>0</v>
      </c>
      <c r="DD898">
        <f t="shared" si="1835"/>
        <v>0</v>
      </c>
      <c r="DE898">
        <f t="shared" si="1835"/>
        <v>0</v>
      </c>
      <c r="DF898">
        <f t="shared" si="1835"/>
        <v>0</v>
      </c>
      <c r="DG898">
        <f t="shared" si="1835"/>
        <v>0</v>
      </c>
      <c r="DH898">
        <f t="shared" si="1835"/>
        <v>0</v>
      </c>
      <c r="DI898">
        <f t="shared" si="1835"/>
        <v>0</v>
      </c>
      <c r="DJ898">
        <f t="shared" si="1835"/>
        <v>0</v>
      </c>
      <c r="DK898">
        <f t="shared" si="1835"/>
        <v>0</v>
      </c>
      <c r="DL898">
        <f t="shared" si="1835"/>
        <v>0</v>
      </c>
      <c r="DM898">
        <f t="shared" si="1835"/>
        <v>0</v>
      </c>
      <c r="DN898">
        <f t="shared" si="1836"/>
        <v>0</v>
      </c>
      <c r="DO898">
        <f t="shared" si="1836"/>
        <v>0</v>
      </c>
      <c r="DP898">
        <f t="shared" si="1836"/>
        <v>0</v>
      </c>
      <c r="DQ898">
        <f t="shared" si="1836"/>
        <v>0</v>
      </c>
      <c r="DR898">
        <f t="shared" si="1836"/>
        <v>0</v>
      </c>
      <c r="DS898">
        <f t="shared" si="1836"/>
        <v>0</v>
      </c>
      <c r="DT898">
        <f t="shared" si="1836"/>
        <v>0</v>
      </c>
      <c r="DU898">
        <f t="shared" si="1836"/>
        <v>0</v>
      </c>
      <c r="DV898">
        <f t="shared" si="1836"/>
        <v>0</v>
      </c>
      <c r="DW898">
        <f t="shared" si="1836"/>
        <v>0</v>
      </c>
      <c r="DX898">
        <f t="shared" si="1837"/>
        <v>0</v>
      </c>
      <c r="DY898">
        <f t="shared" si="1837"/>
        <v>0</v>
      </c>
      <c r="DZ898">
        <f t="shared" si="1837"/>
        <v>0</v>
      </c>
      <c r="EA898">
        <f t="shared" si="1837"/>
        <v>0</v>
      </c>
      <c r="EB898">
        <f t="shared" si="1837"/>
        <v>0</v>
      </c>
      <c r="EC898">
        <f t="shared" si="1837"/>
        <v>0</v>
      </c>
      <c r="ED898">
        <f t="shared" si="1837"/>
        <v>0</v>
      </c>
      <c r="EE898">
        <f t="shared" si="1837"/>
        <v>0</v>
      </c>
      <c r="EF898">
        <f t="shared" si="1837"/>
        <v>0</v>
      </c>
    </row>
    <row r="899" spans="1:136" ht="15.5">
      <c r="A899" s="90"/>
      <c r="B899" s="105" t="s">
        <v>205</v>
      </c>
      <c r="C899" s="95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>
        <v>0</v>
      </c>
      <c r="T899" s="18">
        <v>0</v>
      </c>
      <c r="U899" s="18">
        <v>0</v>
      </c>
      <c r="V899" s="18">
        <v>0</v>
      </c>
      <c r="W899" s="18">
        <v>0</v>
      </c>
      <c r="X899" s="18">
        <v>0</v>
      </c>
      <c r="Y899" s="18">
        <v>0</v>
      </c>
      <c r="Z899" s="18">
        <v>0</v>
      </c>
      <c r="AA899" s="18">
        <v>0</v>
      </c>
      <c r="AB899" s="18">
        <v>0</v>
      </c>
      <c r="AC899" s="18">
        <v>0</v>
      </c>
      <c r="AD899" s="18">
        <v>0</v>
      </c>
      <c r="AE899" s="18">
        <v>0</v>
      </c>
      <c r="AF899" s="18">
        <v>0</v>
      </c>
      <c r="AG899" s="18">
        <v>0</v>
      </c>
      <c r="AH899" s="18">
        <v>0</v>
      </c>
      <c r="AI899" s="18">
        <v>0</v>
      </c>
      <c r="AJ899" s="18">
        <v>0</v>
      </c>
      <c r="AK899" s="18">
        <v>0</v>
      </c>
      <c r="AL899" s="18">
        <v>0</v>
      </c>
      <c r="AM899" s="18">
        <v>0</v>
      </c>
      <c r="AN899" s="18">
        <v>0</v>
      </c>
      <c r="AO899" s="18">
        <v>0</v>
      </c>
      <c r="AP899" s="18">
        <v>0</v>
      </c>
      <c r="AQ899" s="18">
        <v>0</v>
      </c>
      <c r="AR899" s="18">
        <v>0</v>
      </c>
      <c r="AS899" s="18">
        <v>0</v>
      </c>
      <c r="AT899" s="18">
        <v>0</v>
      </c>
      <c r="AU899" s="18">
        <v>0</v>
      </c>
      <c r="AV899" s="18">
        <v>0</v>
      </c>
      <c r="AW899" s="18">
        <v>0</v>
      </c>
      <c r="AX899" s="18">
        <v>0</v>
      </c>
      <c r="AY899" s="18">
        <v>0</v>
      </c>
      <c r="AZ899" s="18">
        <v>12</v>
      </c>
      <c r="BA899" s="18">
        <v>0</v>
      </c>
      <c r="BB899" s="18">
        <v>0</v>
      </c>
      <c r="BC899" s="18">
        <v>0</v>
      </c>
      <c r="BD899" s="18">
        <v>0</v>
      </c>
      <c r="BE899" s="18">
        <v>0</v>
      </c>
      <c r="BF899" s="18">
        <v>0.65370159999999999</v>
      </c>
      <c r="BG899" s="18">
        <v>1.8130941</v>
      </c>
      <c r="BH899" s="18">
        <v>2.8113039</v>
      </c>
      <c r="BI899" s="18">
        <v>4.1937465999999999</v>
      </c>
      <c r="BJ899" s="18">
        <v>5.1186132999999998</v>
      </c>
      <c r="BK899" s="18">
        <v>6.1323886999999999</v>
      </c>
      <c r="BL899" s="113">
        <v>7.4581094999999999</v>
      </c>
      <c r="BM899" s="113">
        <v>36.122892700000001</v>
      </c>
      <c r="BN899" s="113">
        <v>1.3438304999999999</v>
      </c>
      <c r="BO899" s="113">
        <v>9.3000000000000007</v>
      </c>
      <c r="BP899" s="113">
        <v>10</v>
      </c>
      <c r="BQ899" s="113">
        <v>0</v>
      </c>
      <c r="BR899" s="101"/>
      <c r="BS899">
        <f t="shared" si="1831"/>
        <v>0</v>
      </c>
      <c r="BT899">
        <f t="shared" si="1831"/>
        <v>0</v>
      </c>
      <c r="BU899">
        <f t="shared" si="1831"/>
        <v>0</v>
      </c>
      <c r="BV899">
        <f t="shared" si="1831"/>
        <v>0</v>
      </c>
      <c r="BW899">
        <f t="shared" si="1831"/>
        <v>0</v>
      </c>
      <c r="BX899">
        <f t="shared" si="1831"/>
        <v>0</v>
      </c>
      <c r="BY899">
        <f t="shared" si="1831"/>
        <v>0</v>
      </c>
      <c r="BZ899">
        <f t="shared" si="1831"/>
        <v>0</v>
      </c>
      <c r="CA899">
        <f t="shared" si="1831"/>
        <v>0</v>
      </c>
      <c r="CB899">
        <f t="shared" si="1831"/>
        <v>0</v>
      </c>
      <c r="CC899">
        <f t="shared" si="1832"/>
        <v>0</v>
      </c>
      <c r="CD899">
        <f t="shared" si="1832"/>
        <v>0</v>
      </c>
      <c r="CE899">
        <f t="shared" si="1832"/>
        <v>0</v>
      </c>
      <c r="CF899">
        <f t="shared" si="1832"/>
        <v>0</v>
      </c>
      <c r="CG899">
        <f t="shared" si="1832"/>
        <v>0</v>
      </c>
      <c r="CH899">
        <f t="shared" si="1832"/>
        <v>0</v>
      </c>
      <c r="CI899">
        <f t="shared" si="1832"/>
        <v>0</v>
      </c>
      <c r="CJ899">
        <f t="shared" si="1832"/>
        <v>0</v>
      </c>
      <c r="CK899">
        <f t="shared" si="1832"/>
        <v>0</v>
      </c>
      <c r="CL899">
        <f t="shared" si="1832"/>
        <v>0</v>
      </c>
      <c r="CM899">
        <f t="shared" si="1833"/>
        <v>0</v>
      </c>
      <c r="CN899">
        <f t="shared" si="1833"/>
        <v>0</v>
      </c>
      <c r="CO899">
        <f t="shared" si="1833"/>
        <v>0</v>
      </c>
      <c r="CP899">
        <f t="shared" si="1833"/>
        <v>0</v>
      </c>
      <c r="CQ899">
        <f t="shared" si="1833"/>
        <v>0</v>
      </c>
      <c r="CR899">
        <f t="shared" si="1833"/>
        <v>0</v>
      </c>
      <c r="CS899">
        <f t="shared" si="1833"/>
        <v>0</v>
      </c>
      <c r="CT899">
        <f t="shared" si="1833"/>
        <v>0</v>
      </c>
      <c r="CU899">
        <f t="shared" si="1833"/>
        <v>0</v>
      </c>
      <c r="CV899">
        <f t="shared" si="1833"/>
        <v>0</v>
      </c>
      <c r="CW899">
        <f t="shared" si="1834"/>
        <v>0</v>
      </c>
      <c r="CX899">
        <f t="shared" si="1834"/>
        <v>0</v>
      </c>
      <c r="CY899">
        <f t="shared" si="1834"/>
        <v>0</v>
      </c>
      <c r="CZ899">
        <f t="shared" si="1834"/>
        <v>0</v>
      </c>
      <c r="DA899">
        <f t="shared" si="1834"/>
        <v>0</v>
      </c>
      <c r="DB899">
        <f t="shared" si="1834"/>
        <v>0</v>
      </c>
      <c r="DC899">
        <f>IF($C899&lt;&gt;"",IF(AN899&gt;0,1,0),0)</f>
        <v>0</v>
      </c>
      <c r="DD899">
        <f t="shared" si="1835"/>
        <v>0</v>
      </c>
      <c r="DE899">
        <f t="shared" si="1835"/>
        <v>0</v>
      </c>
      <c r="DF899">
        <f t="shared" si="1835"/>
        <v>0</v>
      </c>
      <c r="DG899">
        <f t="shared" si="1835"/>
        <v>0</v>
      </c>
      <c r="DH899">
        <f t="shared" si="1835"/>
        <v>0</v>
      </c>
      <c r="DI899">
        <f t="shared" si="1835"/>
        <v>0</v>
      </c>
      <c r="DJ899">
        <f t="shared" si="1835"/>
        <v>0</v>
      </c>
      <c r="DK899">
        <f t="shared" si="1835"/>
        <v>0</v>
      </c>
      <c r="DL899">
        <f t="shared" si="1835"/>
        <v>0</v>
      </c>
      <c r="DM899">
        <f t="shared" si="1835"/>
        <v>0</v>
      </c>
      <c r="DN899">
        <f t="shared" si="1836"/>
        <v>0</v>
      </c>
      <c r="DO899">
        <f t="shared" si="1836"/>
        <v>0</v>
      </c>
      <c r="DP899">
        <f t="shared" si="1836"/>
        <v>0</v>
      </c>
      <c r="DQ899">
        <f t="shared" si="1836"/>
        <v>0</v>
      </c>
      <c r="DR899">
        <f t="shared" si="1836"/>
        <v>0</v>
      </c>
      <c r="DS899">
        <f t="shared" si="1836"/>
        <v>0</v>
      </c>
      <c r="DT899">
        <f t="shared" si="1836"/>
        <v>0</v>
      </c>
      <c r="DU899">
        <f t="shared" si="1836"/>
        <v>0</v>
      </c>
      <c r="DV899">
        <f t="shared" si="1836"/>
        <v>0</v>
      </c>
      <c r="DW899">
        <f t="shared" si="1836"/>
        <v>0</v>
      </c>
      <c r="DX899">
        <f t="shared" si="1837"/>
        <v>0</v>
      </c>
      <c r="DY899">
        <f t="shared" si="1837"/>
        <v>0</v>
      </c>
      <c r="DZ899">
        <f t="shared" si="1837"/>
        <v>0</v>
      </c>
      <c r="EA899">
        <f t="shared" si="1837"/>
        <v>0</v>
      </c>
      <c r="EB899">
        <f t="shared" si="1837"/>
        <v>0</v>
      </c>
      <c r="EC899">
        <f t="shared" si="1837"/>
        <v>0</v>
      </c>
      <c r="ED899">
        <f t="shared" si="1837"/>
        <v>0</v>
      </c>
      <c r="EE899">
        <f t="shared" si="1837"/>
        <v>0</v>
      </c>
      <c r="EF899">
        <f t="shared" si="1837"/>
        <v>0</v>
      </c>
    </row>
    <row r="900" spans="1:136" ht="15.5">
      <c r="A900" s="90"/>
      <c r="B900" s="57" t="s">
        <v>3</v>
      </c>
      <c r="C900" s="95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>
        <v>0</v>
      </c>
      <c r="T900" s="18">
        <v>0</v>
      </c>
      <c r="U900" s="18">
        <v>0</v>
      </c>
      <c r="V900" s="18">
        <v>0</v>
      </c>
      <c r="W900" s="18">
        <v>0</v>
      </c>
      <c r="X900" s="18">
        <v>0</v>
      </c>
      <c r="Y900" s="18">
        <v>0</v>
      </c>
      <c r="Z900" s="18">
        <v>0</v>
      </c>
      <c r="AA900" s="18">
        <v>0</v>
      </c>
      <c r="AB900" s="18">
        <v>0</v>
      </c>
      <c r="AC900" s="18">
        <v>0</v>
      </c>
      <c r="AD900" s="18">
        <v>0</v>
      </c>
      <c r="AE900" s="18">
        <v>0</v>
      </c>
      <c r="AF900" s="18">
        <v>0</v>
      </c>
      <c r="AG900" s="18">
        <v>0</v>
      </c>
      <c r="AH900" s="18">
        <v>0</v>
      </c>
      <c r="AI900" s="18">
        <v>0</v>
      </c>
      <c r="AJ900" s="18">
        <v>0</v>
      </c>
      <c r="AK900" s="18">
        <v>0</v>
      </c>
      <c r="AL900" s="18">
        <v>0</v>
      </c>
      <c r="AM900" s="18">
        <v>0</v>
      </c>
      <c r="AN900" s="18">
        <v>9.4480000000000004</v>
      </c>
      <c r="AO900" s="18">
        <v>0</v>
      </c>
      <c r="AP900" s="18">
        <v>0.21099999999999999</v>
      </c>
      <c r="AQ900" s="18">
        <v>0</v>
      </c>
      <c r="AR900" s="18">
        <v>0</v>
      </c>
      <c r="AS900" s="18">
        <v>0</v>
      </c>
      <c r="AT900" s="18">
        <v>1.1180000000000001</v>
      </c>
      <c r="AU900" s="18">
        <v>0</v>
      </c>
      <c r="AV900" s="18">
        <v>0</v>
      </c>
      <c r="AW900" s="18">
        <v>0</v>
      </c>
      <c r="AX900" s="18">
        <v>0</v>
      </c>
      <c r="AY900" s="18">
        <v>0</v>
      </c>
      <c r="AZ900" s="18">
        <v>0</v>
      </c>
      <c r="BA900" s="18">
        <v>0</v>
      </c>
      <c r="BB900" s="18">
        <v>0</v>
      </c>
      <c r="BC900" s="18">
        <v>0</v>
      </c>
      <c r="BD900" s="18">
        <v>0</v>
      </c>
      <c r="BE900" s="25">
        <v>0.29709340000000001</v>
      </c>
      <c r="BF900" s="18">
        <f>0.7386075-BF899</f>
        <v>8.4905899999999979E-2</v>
      </c>
      <c r="BG900" s="18">
        <f>1.8130941-BG899</f>
        <v>0</v>
      </c>
      <c r="BH900" s="18">
        <f>2.8493583-BH899</f>
        <v>3.8054400000000044E-2</v>
      </c>
      <c r="BI900" s="18">
        <f>4.4428261-BI899</f>
        <v>0.24907949999999968</v>
      </c>
      <c r="BJ900" s="18">
        <f>5.1456133-BJ899</f>
        <v>2.7000000000000135E-2</v>
      </c>
      <c r="BK900" s="34">
        <f>6.5997641-BK899</f>
        <v>0.46737539999999989</v>
      </c>
      <c r="BL900" s="113">
        <f>14.3525491-BL899</f>
        <v>6.8944395999999992</v>
      </c>
      <c r="BM900" s="113">
        <f>46.2517471-BM899</f>
        <v>10.128854400000002</v>
      </c>
      <c r="BN900" s="113">
        <f>1.3438305-BN899</f>
        <v>0</v>
      </c>
      <c r="BO900" s="113">
        <v>0</v>
      </c>
      <c r="BP900" s="113">
        <v>0</v>
      </c>
      <c r="BQ900" s="113">
        <v>0</v>
      </c>
      <c r="BR900" s="101"/>
      <c r="BS900">
        <f t="shared" si="1831"/>
        <v>0</v>
      </c>
      <c r="BT900">
        <f t="shared" si="1831"/>
        <v>0</v>
      </c>
      <c r="BU900">
        <f t="shared" si="1831"/>
        <v>0</v>
      </c>
      <c r="BV900">
        <f t="shared" si="1831"/>
        <v>0</v>
      </c>
      <c r="BW900">
        <f t="shared" si="1831"/>
        <v>0</v>
      </c>
      <c r="BX900">
        <f t="shared" si="1831"/>
        <v>0</v>
      </c>
      <c r="BY900">
        <f t="shared" si="1831"/>
        <v>0</v>
      </c>
      <c r="BZ900">
        <f t="shared" si="1831"/>
        <v>0</v>
      </c>
      <c r="CA900">
        <f t="shared" si="1831"/>
        <v>0</v>
      </c>
      <c r="CB900">
        <f t="shared" si="1831"/>
        <v>0</v>
      </c>
      <c r="CC900">
        <f t="shared" si="1832"/>
        <v>0</v>
      </c>
      <c r="CD900">
        <f t="shared" si="1832"/>
        <v>0</v>
      </c>
      <c r="CE900">
        <f t="shared" si="1832"/>
        <v>0</v>
      </c>
      <c r="CF900">
        <f t="shared" si="1832"/>
        <v>0</v>
      </c>
      <c r="CG900">
        <f t="shared" si="1832"/>
        <v>0</v>
      </c>
      <c r="CH900">
        <f t="shared" si="1832"/>
        <v>0</v>
      </c>
      <c r="CI900">
        <f t="shared" si="1832"/>
        <v>0</v>
      </c>
      <c r="CJ900">
        <f t="shared" si="1832"/>
        <v>0</v>
      </c>
      <c r="CK900">
        <f t="shared" si="1832"/>
        <v>0</v>
      </c>
      <c r="CL900">
        <f t="shared" si="1832"/>
        <v>0</v>
      </c>
      <c r="CM900">
        <f t="shared" si="1833"/>
        <v>0</v>
      </c>
      <c r="CN900">
        <f t="shared" si="1833"/>
        <v>0</v>
      </c>
      <c r="CO900">
        <f t="shared" si="1833"/>
        <v>0</v>
      </c>
      <c r="CP900">
        <f t="shared" si="1833"/>
        <v>0</v>
      </c>
      <c r="CQ900">
        <f t="shared" si="1833"/>
        <v>0</v>
      </c>
      <c r="CR900">
        <f t="shared" si="1833"/>
        <v>0</v>
      </c>
      <c r="CS900">
        <f t="shared" si="1833"/>
        <v>0</v>
      </c>
      <c r="CT900">
        <f t="shared" si="1833"/>
        <v>0</v>
      </c>
      <c r="CU900">
        <f t="shared" si="1833"/>
        <v>0</v>
      </c>
      <c r="CV900">
        <f t="shared" si="1833"/>
        <v>0</v>
      </c>
      <c r="CW900">
        <f t="shared" si="1834"/>
        <v>0</v>
      </c>
      <c r="CX900">
        <f t="shared" si="1834"/>
        <v>0</v>
      </c>
      <c r="CY900">
        <f t="shared" si="1834"/>
        <v>0</v>
      </c>
      <c r="CZ900">
        <f t="shared" si="1834"/>
        <v>0</v>
      </c>
      <c r="DA900">
        <f t="shared" si="1834"/>
        <v>0</v>
      </c>
      <c r="DB900">
        <f t="shared" si="1834"/>
        <v>0</v>
      </c>
      <c r="DC900">
        <f>IF($C900&lt;&gt;"",IF(AN900&gt;0,1,0),0)</f>
        <v>0</v>
      </c>
      <c r="DD900">
        <f t="shared" si="1835"/>
        <v>0</v>
      </c>
      <c r="DE900">
        <f t="shared" si="1835"/>
        <v>0</v>
      </c>
      <c r="DF900">
        <f t="shared" si="1835"/>
        <v>0</v>
      </c>
      <c r="DG900">
        <f t="shared" si="1835"/>
        <v>0</v>
      </c>
      <c r="DH900">
        <f t="shared" si="1835"/>
        <v>0</v>
      </c>
      <c r="DI900">
        <f t="shared" si="1835"/>
        <v>0</v>
      </c>
      <c r="DJ900">
        <f t="shared" si="1835"/>
        <v>0</v>
      </c>
      <c r="DK900">
        <f t="shared" si="1835"/>
        <v>0</v>
      </c>
      <c r="DL900">
        <f t="shared" si="1835"/>
        <v>0</v>
      </c>
      <c r="DM900">
        <f t="shared" si="1835"/>
        <v>0</v>
      </c>
      <c r="DN900">
        <f t="shared" si="1836"/>
        <v>0</v>
      </c>
      <c r="DO900">
        <f t="shared" si="1836"/>
        <v>0</v>
      </c>
      <c r="DP900">
        <f t="shared" si="1836"/>
        <v>0</v>
      </c>
      <c r="DQ900">
        <f t="shared" si="1836"/>
        <v>0</v>
      </c>
      <c r="DR900">
        <f t="shared" si="1836"/>
        <v>0</v>
      </c>
      <c r="DS900">
        <f t="shared" si="1836"/>
        <v>0</v>
      </c>
      <c r="DT900">
        <f t="shared" si="1836"/>
        <v>0</v>
      </c>
      <c r="DU900">
        <f t="shared" si="1836"/>
        <v>0</v>
      </c>
      <c r="DV900">
        <f t="shared" si="1836"/>
        <v>0</v>
      </c>
      <c r="DW900">
        <f t="shared" si="1836"/>
        <v>0</v>
      </c>
      <c r="DX900">
        <f t="shared" si="1837"/>
        <v>0</v>
      </c>
      <c r="DY900">
        <f t="shared" si="1837"/>
        <v>0</v>
      </c>
      <c r="DZ900">
        <f t="shared" si="1837"/>
        <v>0</v>
      </c>
      <c r="EA900">
        <f t="shared" si="1837"/>
        <v>0</v>
      </c>
      <c r="EB900">
        <f t="shared" si="1837"/>
        <v>0</v>
      </c>
      <c r="EC900">
        <f t="shared" si="1837"/>
        <v>0</v>
      </c>
      <c r="ED900">
        <f t="shared" si="1837"/>
        <v>0</v>
      </c>
      <c r="EE900">
        <f t="shared" si="1837"/>
        <v>0</v>
      </c>
      <c r="EF900">
        <f t="shared" si="1837"/>
        <v>0</v>
      </c>
    </row>
    <row r="901" spans="1:136" ht="15.5">
      <c r="A901" s="90"/>
      <c r="B901" s="57" t="s">
        <v>208</v>
      </c>
      <c r="C901" s="95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>
        <v>0</v>
      </c>
      <c r="T901" s="18">
        <v>0</v>
      </c>
      <c r="U901" s="18">
        <v>0</v>
      </c>
      <c r="V901" s="18">
        <v>0</v>
      </c>
      <c r="W901" s="18">
        <v>0</v>
      </c>
      <c r="X901" s="18">
        <v>0</v>
      </c>
      <c r="Y901" s="18">
        <v>0</v>
      </c>
      <c r="Z901" s="18">
        <v>0</v>
      </c>
      <c r="AA901" s="18">
        <v>0</v>
      </c>
      <c r="AB901" s="18">
        <v>0</v>
      </c>
      <c r="AC901" s="18">
        <v>0</v>
      </c>
      <c r="AD901" s="18">
        <v>0</v>
      </c>
      <c r="AE901" s="18">
        <v>0</v>
      </c>
      <c r="AF901" s="18">
        <v>0</v>
      </c>
      <c r="AG901" s="18">
        <v>0</v>
      </c>
      <c r="AH901" s="18">
        <v>0</v>
      </c>
      <c r="AI901" s="18">
        <v>0</v>
      </c>
      <c r="AJ901" s="18">
        <v>0</v>
      </c>
      <c r="AK901" s="18">
        <v>0</v>
      </c>
      <c r="AL901" s="18">
        <v>0</v>
      </c>
      <c r="AM901" s="18">
        <v>0</v>
      </c>
      <c r="AN901" s="18">
        <v>0</v>
      </c>
      <c r="AO901" s="18">
        <v>0</v>
      </c>
      <c r="AP901" s="18">
        <v>0</v>
      </c>
      <c r="AQ901" s="18">
        <v>0</v>
      </c>
      <c r="AR901" s="18">
        <v>0</v>
      </c>
      <c r="AS901" s="18">
        <v>0</v>
      </c>
      <c r="AT901" s="18">
        <v>0</v>
      </c>
      <c r="AU901" s="18">
        <v>0</v>
      </c>
      <c r="AV901" s="18">
        <v>0</v>
      </c>
      <c r="AW901" s="18">
        <v>0</v>
      </c>
      <c r="AX901" s="18">
        <v>0</v>
      </c>
      <c r="AY901" s="18">
        <v>0</v>
      </c>
      <c r="AZ901" s="18">
        <v>0</v>
      </c>
      <c r="BA901" s="18">
        <v>0</v>
      </c>
      <c r="BB901" s="18">
        <v>0</v>
      </c>
      <c r="BC901" s="18">
        <v>0</v>
      </c>
      <c r="BD901" s="18">
        <v>0</v>
      </c>
      <c r="BE901" s="25">
        <v>0.16055990000000001</v>
      </c>
      <c r="BF901" s="18">
        <v>0</v>
      </c>
      <c r="BG901" s="18">
        <v>0</v>
      </c>
      <c r="BH901" s="18">
        <v>0</v>
      </c>
      <c r="BI901" s="18">
        <v>0</v>
      </c>
      <c r="BJ901" s="18">
        <v>0</v>
      </c>
      <c r="BK901" s="34">
        <v>0</v>
      </c>
      <c r="BL901" s="113">
        <v>0</v>
      </c>
      <c r="BM901" s="113">
        <v>0</v>
      </c>
      <c r="BN901" s="113">
        <v>0</v>
      </c>
      <c r="BO901" s="113">
        <v>0</v>
      </c>
      <c r="BP901" s="113">
        <v>8.5</v>
      </c>
      <c r="BQ901" s="113">
        <v>0</v>
      </c>
      <c r="BR901" s="101"/>
      <c r="BS901">
        <f t="shared" si="1831"/>
        <v>0</v>
      </c>
      <c r="BT901">
        <f t="shared" si="1831"/>
        <v>0</v>
      </c>
      <c r="BU901">
        <f t="shared" si="1831"/>
        <v>0</v>
      </c>
      <c r="BV901">
        <f t="shared" si="1831"/>
        <v>0</v>
      </c>
      <c r="BW901">
        <f t="shared" si="1831"/>
        <v>0</v>
      </c>
      <c r="BX901">
        <f t="shared" si="1831"/>
        <v>0</v>
      </c>
      <c r="BY901">
        <f t="shared" si="1831"/>
        <v>0</v>
      </c>
      <c r="BZ901">
        <f t="shared" si="1831"/>
        <v>0</v>
      </c>
      <c r="CA901">
        <f t="shared" si="1831"/>
        <v>0</v>
      </c>
      <c r="CB901">
        <f t="shared" si="1831"/>
        <v>0</v>
      </c>
      <c r="CC901">
        <f t="shared" si="1832"/>
        <v>0</v>
      </c>
      <c r="CD901">
        <f t="shared" si="1832"/>
        <v>0</v>
      </c>
      <c r="CE901">
        <f t="shared" si="1832"/>
        <v>0</v>
      </c>
      <c r="CF901">
        <f t="shared" si="1832"/>
        <v>0</v>
      </c>
      <c r="CG901">
        <f t="shared" si="1832"/>
        <v>0</v>
      </c>
      <c r="CH901">
        <f t="shared" si="1832"/>
        <v>0</v>
      </c>
      <c r="CI901">
        <f t="shared" si="1832"/>
        <v>0</v>
      </c>
      <c r="CJ901">
        <f t="shared" si="1832"/>
        <v>0</v>
      </c>
      <c r="CK901">
        <f t="shared" si="1832"/>
        <v>0</v>
      </c>
      <c r="CL901">
        <f t="shared" si="1832"/>
        <v>0</v>
      </c>
      <c r="CM901">
        <f t="shared" si="1833"/>
        <v>0</v>
      </c>
      <c r="CN901">
        <f t="shared" si="1833"/>
        <v>0</v>
      </c>
      <c r="CO901">
        <f t="shared" si="1833"/>
        <v>0</v>
      </c>
      <c r="CP901">
        <f t="shared" si="1833"/>
        <v>0</v>
      </c>
      <c r="CQ901">
        <f t="shared" si="1833"/>
        <v>0</v>
      </c>
      <c r="CR901">
        <f t="shared" si="1833"/>
        <v>0</v>
      </c>
      <c r="CS901">
        <f t="shared" si="1833"/>
        <v>0</v>
      </c>
      <c r="CT901">
        <f t="shared" si="1833"/>
        <v>0</v>
      </c>
      <c r="CU901">
        <f t="shared" si="1833"/>
        <v>0</v>
      </c>
      <c r="CV901">
        <f t="shared" si="1833"/>
        <v>0</v>
      </c>
      <c r="CW901">
        <f t="shared" si="1834"/>
        <v>0</v>
      </c>
      <c r="CX901">
        <f t="shared" si="1834"/>
        <v>0</v>
      </c>
      <c r="CY901">
        <f t="shared" si="1834"/>
        <v>0</v>
      </c>
      <c r="CZ901">
        <f t="shared" si="1834"/>
        <v>0</v>
      </c>
      <c r="DA901">
        <f t="shared" si="1834"/>
        <v>0</v>
      </c>
      <c r="DB901">
        <f t="shared" si="1834"/>
        <v>0</v>
      </c>
      <c r="DC901">
        <f>IF($C901&lt;&gt;"",IF(AN901&gt;0,1,0),0)</f>
        <v>0</v>
      </c>
      <c r="DD901">
        <f t="shared" si="1835"/>
        <v>0</v>
      </c>
      <c r="DE901">
        <f t="shared" si="1835"/>
        <v>0</v>
      </c>
      <c r="DF901">
        <f t="shared" si="1835"/>
        <v>0</v>
      </c>
      <c r="DG901">
        <f t="shared" si="1835"/>
        <v>0</v>
      </c>
      <c r="DH901">
        <f t="shared" si="1835"/>
        <v>0</v>
      </c>
      <c r="DI901">
        <f t="shared" si="1835"/>
        <v>0</v>
      </c>
      <c r="DJ901">
        <f t="shared" si="1835"/>
        <v>0</v>
      </c>
      <c r="DK901">
        <f t="shared" si="1835"/>
        <v>0</v>
      </c>
      <c r="DL901">
        <f t="shared" si="1835"/>
        <v>0</v>
      </c>
      <c r="DM901">
        <f t="shared" si="1835"/>
        <v>0</v>
      </c>
      <c r="DN901">
        <f t="shared" si="1836"/>
        <v>0</v>
      </c>
      <c r="DO901">
        <f t="shared" si="1836"/>
        <v>0</v>
      </c>
      <c r="DP901">
        <f t="shared" si="1836"/>
        <v>0</v>
      </c>
      <c r="DQ901">
        <f t="shared" si="1836"/>
        <v>0</v>
      </c>
      <c r="DR901">
        <f t="shared" si="1836"/>
        <v>0</v>
      </c>
      <c r="DS901">
        <f t="shared" si="1836"/>
        <v>0</v>
      </c>
      <c r="DT901">
        <f t="shared" si="1836"/>
        <v>0</v>
      </c>
      <c r="DU901">
        <f t="shared" si="1836"/>
        <v>0</v>
      </c>
      <c r="DV901">
        <f t="shared" si="1836"/>
        <v>0</v>
      </c>
      <c r="DW901">
        <f t="shared" si="1836"/>
        <v>0</v>
      </c>
      <c r="DX901">
        <f t="shared" si="1837"/>
        <v>0</v>
      </c>
      <c r="DY901">
        <f t="shared" si="1837"/>
        <v>0</v>
      </c>
      <c r="DZ901">
        <f t="shared" si="1837"/>
        <v>0</v>
      </c>
      <c r="EA901">
        <f t="shared" si="1837"/>
        <v>0</v>
      </c>
      <c r="EB901">
        <f t="shared" si="1837"/>
        <v>0</v>
      </c>
      <c r="EC901">
        <f t="shared" si="1837"/>
        <v>0</v>
      </c>
      <c r="ED901">
        <f t="shared" si="1837"/>
        <v>0</v>
      </c>
      <c r="EE901">
        <f t="shared" si="1837"/>
        <v>0</v>
      </c>
      <c r="EF901">
        <f t="shared" si="1837"/>
        <v>0</v>
      </c>
    </row>
    <row r="902" spans="1:136" ht="15.5">
      <c r="A902" s="90"/>
      <c r="B902" s="57" t="s">
        <v>212</v>
      </c>
      <c r="C902" s="95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>
        <v>0</v>
      </c>
      <c r="Y902" s="18">
        <v>0</v>
      </c>
      <c r="Z902" s="18">
        <v>0</v>
      </c>
      <c r="AA902" s="18">
        <v>0</v>
      </c>
      <c r="AB902" s="18">
        <v>0</v>
      </c>
      <c r="AC902" s="18">
        <v>0</v>
      </c>
      <c r="AD902" s="18">
        <v>0</v>
      </c>
      <c r="AE902" s="18">
        <v>0</v>
      </c>
      <c r="AF902" s="18">
        <f>4/0.867</f>
        <v>4.6136101499423301</v>
      </c>
      <c r="AG902" s="18">
        <f>9/0.86</f>
        <v>10.465116279069768</v>
      </c>
      <c r="AH902" s="18">
        <v>0</v>
      </c>
      <c r="AI902" s="18">
        <v>0</v>
      </c>
      <c r="AJ902" s="18">
        <v>0</v>
      </c>
      <c r="AK902" s="18">
        <v>0</v>
      </c>
      <c r="AL902" s="18">
        <v>118.69436201780417</v>
      </c>
      <c r="AM902" s="18">
        <v>118.37400000000001</v>
      </c>
      <c r="AN902" s="18">
        <v>129.09104715620018</v>
      </c>
      <c r="AO902" s="18">
        <v>345.44</v>
      </c>
      <c r="AP902" s="18">
        <v>306.76328502415464</v>
      </c>
      <c r="AQ902" s="18">
        <v>191.065</v>
      </c>
      <c r="AR902" s="18">
        <v>84.63000000000001</v>
      </c>
      <c r="AS902" s="18">
        <v>77.7</v>
      </c>
      <c r="AT902" s="18">
        <v>32.592799999999997</v>
      </c>
      <c r="AU902" s="18">
        <v>34.799999999999997</v>
      </c>
      <c r="AV902" s="18">
        <v>62.699999999999996</v>
      </c>
      <c r="AW902" s="18">
        <v>35.207000000000001</v>
      </c>
      <c r="AX902" s="18">
        <v>469.44819999999999</v>
      </c>
      <c r="AY902" s="18">
        <v>652.15320000000008</v>
      </c>
      <c r="AZ902" s="18">
        <v>700.94159999999988</v>
      </c>
      <c r="BA902" s="18">
        <v>750.84100000000001</v>
      </c>
      <c r="BB902" s="18">
        <v>719.31653999999992</v>
      </c>
      <c r="BC902" s="18">
        <v>985.10338500000012</v>
      </c>
      <c r="BD902" s="18">
        <v>1093.6499999999999</v>
      </c>
      <c r="BE902" s="25">
        <v>993.26499999999999</v>
      </c>
      <c r="BF902" s="25">
        <v>1092</v>
      </c>
      <c r="BG902" s="25">
        <v>672</v>
      </c>
      <c r="BH902" s="18">
        <v>651</v>
      </c>
      <c r="BI902" s="18">
        <v>729.3</v>
      </c>
      <c r="BJ902" s="18">
        <v>1450</v>
      </c>
      <c r="BK902" s="34">
        <v>1579.4800000000002</v>
      </c>
      <c r="BL902" s="113">
        <v>1565.19</v>
      </c>
      <c r="BM902" s="113">
        <v>1452.0600000000002</v>
      </c>
      <c r="BN902" s="113">
        <v>1380.0600000000002</v>
      </c>
      <c r="BO902" s="113">
        <v>963.95663956639567</v>
      </c>
      <c r="BP902" s="113">
        <v>964</v>
      </c>
      <c r="BQ902" s="113">
        <v>553</v>
      </c>
      <c r="BR902" s="101"/>
      <c r="BS902">
        <f t="shared" si="1831"/>
        <v>0</v>
      </c>
      <c r="BT902">
        <f t="shared" si="1831"/>
        <v>0</v>
      </c>
      <c r="BU902">
        <f t="shared" si="1831"/>
        <v>0</v>
      </c>
      <c r="BV902">
        <f t="shared" si="1831"/>
        <v>0</v>
      </c>
      <c r="BW902">
        <f t="shared" si="1831"/>
        <v>0</v>
      </c>
      <c r="BX902">
        <f t="shared" si="1831"/>
        <v>0</v>
      </c>
      <c r="BY902">
        <f t="shared" si="1831"/>
        <v>0</v>
      </c>
      <c r="BZ902">
        <f t="shared" si="1831"/>
        <v>0</v>
      </c>
      <c r="CA902">
        <f t="shared" si="1831"/>
        <v>0</v>
      </c>
      <c r="CB902">
        <f t="shared" si="1831"/>
        <v>0</v>
      </c>
      <c r="CC902">
        <f t="shared" si="1832"/>
        <v>0</v>
      </c>
      <c r="CD902">
        <f t="shared" si="1832"/>
        <v>0</v>
      </c>
      <c r="CE902">
        <f t="shared" si="1832"/>
        <v>0</v>
      </c>
      <c r="CF902">
        <f t="shared" si="1832"/>
        <v>0</v>
      </c>
      <c r="CG902">
        <f t="shared" si="1832"/>
        <v>0</v>
      </c>
      <c r="CH902">
        <f t="shared" si="1832"/>
        <v>0</v>
      </c>
      <c r="CI902">
        <f t="shared" si="1832"/>
        <v>0</v>
      </c>
      <c r="CJ902">
        <f t="shared" si="1832"/>
        <v>0</v>
      </c>
      <c r="CK902">
        <f t="shared" si="1832"/>
        <v>0</v>
      </c>
      <c r="CL902">
        <f t="shared" si="1832"/>
        <v>0</v>
      </c>
      <c r="CM902">
        <f t="shared" si="1833"/>
        <v>0</v>
      </c>
      <c r="CN902">
        <f t="shared" si="1833"/>
        <v>0</v>
      </c>
      <c r="CO902">
        <f t="shared" si="1833"/>
        <v>0</v>
      </c>
      <c r="CP902">
        <f t="shared" si="1833"/>
        <v>0</v>
      </c>
      <c r="CQ902">
        <f t="shared" si="1833"/>
        <v>0</v>
      </c>
      <c r="CR902">
        <f t="shared" si="1833"/>
        <v>0</v>
      </c>
      <c r="CS902">
        <f t="shared" si="1833"/>
        <v>0</v>
      </c>
      <c r="CT902">
        <f t="shared" si="1833"/>
        <v>0</v>
      </c>
      <c r="CU902">
        <f t="shared" si="1833"/>
        <v>0</v>
      </c>
      <c r="CV902">
        <f t="shared" si="1833"/>
        <v>0</v>
      </c>
      <c r="CW902">
        <f t="shared" si="1834"/>
        <v>0</v>
      </c>
      <c r="CX902">
        <f t="shared" si="1834"/>
        <v>0</v>
      </c>
      <c r="CY902">
        <f t="shared" si="1834"/>
        <v>0</v>
      </c>
      <c r="CZ902">
        <f t="shared" si="1834"/>
        <v>0</v>
      </c>
      <c r="DA902">
        <f t="shared" si="1834"/>
        <v>0</v>
      </c>
      <c r="DB902">
        <f t="shared" si="1834"/>
        <v>0</v>
      </c>
      <c r="DC902">
        <f>IF($C902&lt;&gt;"",IF(AN902&gt;0,1,0),0)</f>
        <v>0</v>
      </c>
      <c r="DD902">
        <f t="shared" si="1835"/>
        <v>0</v>
      </c>
      <c r="DE902">
        <f t="shared" si="1835"/>
        <v>0</v>
      </c>
      <c r="DF902">
        <f t="shared" si="1835"/>
        <v>0</v>
      </c>
      <c r="DG902">
        <f t="shared" si="1835"/>
        <v>0</v>
      </c>
      <c r="DH902">
        <f t="shared" si="1835"/>
        <v>0</v>
      </c>
      <c r="DI902">
        <f t="shared" si="1835"/>
        <v>0</v>
      </c>
      <c r="DJ902">
        <f t="shared" si="1835"/>
        <v>0</v>
      </c>
      <c r="DK902">
        <f t="shared" si="1835"/>
        <v>0</v>
      </c>
      <c r="DL902">
        <f t="shared" si="1835"/>
        <v>0</v>
      </c>
      <c r="DM902">
        <f t="shared" si="1835"/>
        <v>0</v>
      </c>
      <c r="DN902">
        <f t="shared" si="1836"/>
        <v>0</v>
      </c>
      <c r="DO902">
        <f t="shared" si="1836"/>
        <v>0</v>
      </c>
      <c r="DP902">
        <f t="shared" si="1836"/>
        <v>0</v>
      </c>
      <c r="DQ902">
        <f t="shared" si="1836"/>
        <v>0</v>
      </c>
      <c r="DR902">
        <f t="shared" si="1836"/>
        <v>0</v>
      </c>
      <c r="DS902">
        <f t="shared" si="1836"/>
        <v>0</v>
      </c>
      <c r="DT902">
        <f t="shared" si="1836"/>
        <v>0</v>
      </c>
      <c r="DU902">
        <f t="shared" si="1836"/>
        <v>0</v>
      </c>
      <c r="DV902">
        <f t="shared" si="1836"/>
        <v>0</v>
      </c>
      <c r="DW902">
        <f t="shared" si="1836"/>
        <v>0</v>
      </c>
      <c r="DX902">
        <f t="shared" si="1837"/>
        <v>0</v>
      </c>
      <c r="DY902">
        <f t="shared" si="1837"/>
        <v>0</v>
      </c>
      <c r="DZ902">
        <f t="shared" si="1837"/>
        <v>0</v>
      </c>
      <c r="EA902">
        <f t="shared" si="1837"/>
        <v>0</v>
      </c>
      <c r="EB902">
        <f t="shared" si="1837"/>
        <v>0</v>
      </c>
      <c r="EC902">
        <f t="shared" si="1837"/>
        <v>0</v>
      </c>
      <c r="ED902">
        <f t="shared" si="1837"/>
        <v>0</v>
      </c>
      <c r="EE902">
        <f t="shared" si="1837"/>
        <v>0</v>
      </c>
      <c r="EF902">
        <f t="shared" si="1837"/>
        <v>0</v>
      </c>
    </row>
    <row r="903" spans="1:136" ht="15.5">
      <c r="A903" s="90"/>
      <c r="B903" s="57"/>
      <c r="C903" s="95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  <c r="AS903" s="18"/>
      <c r="AT903" s="18"/>
      <c r="AU903" s="18"/>
      <c r="AV903" s="18"/>
      <c r="AW903" s="18"/>
      <c r="AX903" s="18"/>
      <c r="AY903" s="18"/>
      <c r="AZ903" s="18"/>
      <c r="BA903" s="18"/>
      <c r="BB903" s="18"/>
      <c r="BC903" s="18"/>
      <c r="BD903" s="18"/>
      <c r="BE903" s="25"/>
      <c r="BF903" s="25"/>
      <c r="BG903" s="25"/>
      <c r="BH903" s="18"/>
      <c r="BI903" s="18"/>
      <c r="BJ903" s="18"/>
      <c r="BK903" s="34"/>
      <c r="BL903" s="113"/>
      <c r="BM903" s="113"/>
      <c r="BN903" s="2"/>
      <c r="BO903" s="2"/>
      <c r="BP903" s="2"/>
      <c r="BQ903" s="2"/>
      <c r="BR903" s="101"/>
    </row>
    <row r="904" spans="1:136" ht="15.5">
      <c r="A904" s="93">
        <v>114</v>
      </c>
      <c r="B904" s="52" t="s">
        <v>115</v>
      </c>
      <c r="C904" s="95">
        <v>3</v>
      </c>
      <c r="D904" s="22">
        <f t="shared" ref="D904:AI904" si="1838">SUM(D905:D912)</f>
        <v>0</v>
      </c>
      <c r="E904" s="22">
        <f t="shared" si="1838"/>
        <v>0</v>
      </c>
      <c r="F904" s="22">
        <f t="shared" si="1838"/>
        <v>0</v>
      </c>
      <c r="G904" s="22">
        <f t="shared" si="1838"/>
        <v>0</v>
      </c>
      <c r="H904" s="22">
        <f t="shared" si="1838"/>
        <v>0</v>
      </c>
      <c r="I904" s="22">
        <f t="shared" si="1838"/>
        <v>0</v>
      </c>
      <c r="J904" s="22">
        <f t="shared" si="1838"/>
        <v>0</v>
      </c>
      <c r="K904" s="22">
        <f t="shared" si="1838"/>
        <v>0</v>
      </c>
      <c r="L904" s="22">
        <f t="shared" si="1838"/>
        <v>0</v>
      </c>
      <c r="M904" s="22">
        <f t="shared" si="1838"/>
        <v>0</v>
      </c>
      <c r="N904" s="22">
        <f t="shared" si="1838"/>
        <v>1.532</v>
      </c>
      <c r="O904" s="22">
        <f t="shared" si="1838"/>
        <v>1.6040000000000001</v>
      </c>
      <c r="P904" s="22">
        <f t="shared" si="1838"/>
        <v>1.9149999999999998</v>
      </c>
      <c r="Q904" s="22">
        <f t="shared" si="1838"/>
        <v>1.7589999999999999</v>
      </c>
      <c r="R904" s="22">
        <f t="shared" si="1838"/>
        <v>1.716</v>
      </c>
      <c r="S904" s="22">
        <f t="shared" si="1838"/>
        <v>1.6950000000000001</v>
      </c>
      <c r="T904" s="22">
        <f t="shared" si="1838"/>
        <v>1.7969999999999999</v>
      </c>
      <c r="U904" s="22">
        <f t="shared" si="1838"/>
        <v>2.2729999999999997</v>
      </c>
      <c r="V904" s="22">
        <f t="shared" si="1838"/>
        <v>4.7350000000000003</v>
      </c>
      <c r="W904" s="22">
        <f t="shared" si="1838"/>
        <v>3.34</v>
      </c>
      <c r="X904" s="22">
        <f t="shared" si="1838"/>
        <v>1.8460000000000001</v>
      </c>
      <c r="Y904" s="22">
        <f t="shared" si="1838"/>
        <v>1.3169999999999999</v>
      </c>
      <c r="Z904" s="22">
        <f t="shared" si="1838"/>
        <v>6.6319999999999997</v>
      </c>
      <c r="AA904" s="22">
        <f t="shared" si="1838"/>
        <v>15.975000000000001</v>
      </c>
      <c r="AB904" s="22">
        <f t="shared" si="1838"/>
        <v>26.921999999999997</v>
      </c>
      <c r="AC904" s="22">
        <f t="shared" si="1838"/>
        <v>64.277999999999992</v>
      </c>
      <c r="AD904" s="22">
        <f t="shared" si="1838"/>
        <v>468.64200000000005</v>
      </c>
      <c r="AE904" s="22">
        <f t="shared" si="1838"/>
        <v>482.50487525000005</v>
      </c>
      <c r="AF904" s="22">
        <f t="shared" si="1838"/>
        <v>512.82162605318752</v>
      </c>
      <c r="AG904" s="22">
        <f t="shared" si="1838"/>
        <v>1110.4520185019931</v>
      </c>
      <c r="AH904" s="22">
        <f t="shared" si="1838"/>
        <v>1130.4030796810489</v>
      </c>
      <c r="AI904" s="22">
        <f t="shared" si="1838"/>
        <v>489.976</v>
      </c>
      <c r="AJ904" s="22">
        <f t="shared" ref="AJ904:BO904" si="1839">SUM(AJ905:AJ912)</f>
        <v>346.26400000000001</v>
      </c>
      <c r="AK904" s="22">
        <f t="shared" si="1839"/>
        <v>125.661</v>
      </c>
      <c r="AL904" s="22">
        <f t="shared" si="1839"/>
        <v>105.476</v>
      </c>
      <c r="AM904" s="22">
        <f t="shared" si="1839"/>
        <v>67.348000000000013</v>
      </c>
      <c r="AN904" s="22">
        <f t="shared" si="1839"/>
        <v>63.25</v>
      </c>
      <c r="AO904" s="22">
        <f t="shared" si="1839"/>
        <v>71.566999999999993</v>
      </c>
      <c r="AP904" s="22">
        <f t="shared" si="1839"/>
        <v>77.274999999999991</v>
      </c>
      <c r="AQ904" s="22">
        <f t="shared" si="1839"/>
        <v>65.588999999999999</v>
      </c>
      <c r="AR904" s="22">
        <f t="shared" si="1839"/>
        <v>66.2347915</v>
      </c>
      <c r="AS904" s="22">
        <f t="shared" si="1839"/>
        <v>51.550162199999995</v>
      </c>
      <c r="AT904" s="22">
        <f t="shared" si="1839"/>
        <v>203.53342379999998</v>
      </c>
      <c r="AU904" s="22">
        <f t="shared" si="1839"/>
        <v>359.9838249</v>
      </c>
      <c r="AV904" s="22">
        <f t="shared" si="1839"/>
        <v>285.18605330000003</v>
      </c>
      <c r="AW904" s="22">
        <f t="shared" si="1839"/>
        <v>145.60156130000001</v>
      </c>
      <c r="AX904" s="22">
        <f t="shared" si="1839"/>
        <v>7.8481033</v>
      </c>
      <c r="AY904" s="22">
        <f t="shared" si="1839"/>
        <v>7.8542497000000004</v>
      </c>
      <c r="AZ904" s="22">
        <f t="shared" si="1839"/>
        <v>8.7134777000000003</v>
      </c>
      <c r="BA904" s="22">
        <f t="shared" si="1839"/>
        <v>7.1783442000000006</v>
      </c>
      <c r="BB904" s="22">
        <f t="shared" si="1839"/>
        <v>7.2346982000000004</v>
      </c>
      <c r="BC904" s="22">
        <f t="shared" si="1839"/>
        <v>7.1571752000000002</v>
      </c>
      <c r="BD904" s="22">
        <f t="shared" si="1839"/>
        <v>7.1612285</v>
      </c>
      <c r="BE904" s="22">
        <f t="shared" si="1839"/>
        <v>7.1538032000000005</v>
      </c>
      <c r="BF904" s="22">
        <f t="shared" si="1839"/>
        <v>4.0756500000000001E-2</v>
      </c>
      <c r="BG904" s="22">
        <f t="shared" si="1839"/>
        <v>3.17787E-2</v>
      </c>
      <c r="BH904" s="22">
        <f t="shared" si="1839"/>
        <v>3.7780099999999997E-2</v>
      </c>
      <c r="BI904" s="22">
        <f t="shared" si="1839"/>
        <v>0.59498040000000008</v>
      </c>
      <c r="BJ904" s="22">
        <f t="shared" si="1839"/>
        <v>3.5961099999999996E-2</v>
      </c>
      <c r="BK904" s="22">
        <f t="shared" si="1839"/>
        <v>3.6861400000000002E-2</v>
      </c>
      <c r="BL904" s="22">
        <f t="shared" si="1839"/>
        <v>3.5203699999999997E-2</v>
      </c>
      <c r="BM904" s="22">
        <f t="shared" si="1839"/>
        <v>3.2504699999999997E-2</v>
      </c>
      <c r="BN904" s="22">
        <f t="shared" si="1839"/>
        <v>3.04233E-2</v>
      </c>
      <c r="BO904" s="22">
        <f t="shared" si="1839"/>
        <v>3.04233E-2</v>
      </c>
      <c r="BP904" s="22">
        <f>SUM(BP905:BP912)</f>
        <v>3.04233E-2</v>
      </c>
      <c r="BQ904" s="22">
        <f>SUM(BQ905:BQ912)</f>
        <v>3.04233E-2</v>
      </c>
      <c r="BR904" s="101"/>
      <c r="BS904">
        <f t="shared" ref="BS904:CB906" si="1840">IF($C904&lt;&gt;"",IF(D904&gt;0,1,0),0)</f>
        <v>0</v>
      </c>
      <c r="BT904">
        <f t="shared" si="1840"/>
        <v>0</v>
      </c>
      <c r="BU904">
        <f t="shared" si="1840"/>
        <v>0</v>
      </c>
      <c r="BV904">
        <f t="shared" si="1840"/>
        <v>0</v>
      </c>
      <c r="BW904">
        <f t="shared" si="1840"/>
        <v>0</v>
      </c>
      <c r="BX904">
        <f t="shared" si="1840"/>
        <v>0</v>
      </c>
      <c r="BY904">
        <f t="shared" si="1840"/>
        <v>0</v>
      </c>
      <c r="BZ904">
        <f t="shared" si="1840"/>
        <v>0</v>
      </c>
      <c r="CA904">
        <f t="shared" si="1840"/>
        <v>0</v>
      </c>
      <c r="CB904">
        <f t="shared" si="1840"/>
        <v>0</v>
      </c>
      <c r="CC904">
        <f t="shared" ref="CC904:CL906" si="1841">IF($C904&lt;&gt;"",IF(N904&gt;0,1,0),0)</f>
        <v>1</v>
      </c>
      <c r="CD904">
        <f t="shared" si="1841"/>
        <v>1</v>
      </c>
      <c r="CE904">
        <f t="shared" si="1841"/>
        <v>1</v>
      </c>
      <c r="CF904">
        <f t="shared" si="1841"/>
        <v>1</v>
      </c>
      <c r="CG904">
        <f t="shared" si="1841"/>
        <v>1</v>
      </c>
      <c r="CH904">
        <f t="shared" si="1841"/>
        <v>1</v>
      </c>
      <c r="CI904">
        <f t="shared" si="1841"/>
        <v>1</v>
      </c>
      <c r="CJ904">
        <f t="shared" si="1841"/>
        <v>1</v>
      </c>
      <c r="CK904">
        <f t="shared" si="1841"/>
        <v>1</v>
      </c>
      <c r="CL904">
        <f t="shared" si="1841"/>
        <v>1</v>
      </c>
      <c r="CM904">
        <f t="shared" ref="CM904:CV906" si="1842">IF($C904&lt;&gt;"",IF(X904&gt;0,1,0),0)</f>
        <v>1</v>
      </c>
      <c r="CN904">
        <f t="shared" si="1842"/>
        <v>1</v>
      </c>
      <c r="CO904">
        <f t="shared" si="1842"/>
        <v>1</v>
      </c>
      <c r="CP904">
        <f t="shared" si="1842"/>
        <v>1</v>
      </c>
      <c r="CQ904">
        <f t="shared" si="1842"/>
        <v>1</v>
      </c>
      <c r="CR904">
        <f t="shared" si="1842"/>
        <v>1</v>
      </c>
      <c r="CS904">
        <f t="shared" si="1842"/>
        <v>1</v>
      </c>
      <c r="CT904">
        <f t="shared" si="1842"/>
        <v>1</v>
      </c>
      <c r="CU904">
        <f t="shared" si="1842"/>
        <v>1</v>
      </c>
      <c r="CV904">
        <f t="shared" si="1842"/>
        <v>1</v>
      </c>
      <c r="CW904">
        <f t="shared" ref="CW904:DF906" si="1843">IF($C904&lt;&gt;"",IF(AH904&gt;0,1,0),0)</f>
        <v>1</v>
      </c>
      <c r="CX904">
        <f t="shared" si="1843"/>
        <v>1</v>
      </c>
      <c r="CY904">
        <f t="shared" si="1843"/>
        <v>1</v>
      </c>
      <c r="CZ904">
        <f t="shared" si="1843"/>
        <v>1</v>
      </c>
      <c r="DA904">
        <f t="shared" si="1843"/>
        <v>1</v>
      </c>
      <c r="DB904">
        <f t="shared" si="1843"/>
        <v>1</v>
      </c>
      <c r="DC904">
        <f t="shared" si="1843"/>
        <v>1</v>
      </c>
      <c r="DD904">
        <f t="shared" si="1843"/>
        <v>1</v>
      </c>
      <c r="DE904">
        <f t="shared" si="1843"/>
        <v>1</v>
      </c>
      <c r="DF904">
        <f t="shared" si="1843"/>
        <v>1</v>
      </c>
      <c r="DG904">
        <f t="shared" ref="DG904:DP906" si="1844">IF($C904&lt;&gt;"",IF(AR904&gt;0,1,0),0)</f>
        <v>1</v>
      </c>
      <c r="DH904">
        <f t="shared" si="1844"/>
        <v>1</v>
      </c>
      <c r="DI904">
        <f t="shared" si="1844"/>
        <v>1</v>
      </c>
      <c r="DJ904">
        <f t="shared" si="1844"/>
        <v>1</v>
      </c>
      <c r="DK904">
        <f t="shared" si="1844"/>
        <v>1</v>
      </c>
      <c r="DL904">
        <f t="shared" si="1844"/>
        <v>1</v>
      </c>
      <c r="DM904">
        <f t="shared" si="1844"/>
        <v>1</v>
      </c>
      <c r="DN904">
        <f t="shared" si="1844"/>
        <v>1</v>
      </c>
      <c r="DO904">
        <f t="shared" si="1844"/>
        <v>1</v>
      </c>
      <c r="DP904">
        <f t="shared" si="1844"/>
        <v>1</v>
      </c>
      <c r="DQ904">
        <f t="shared" ref="DQ904:DZ906" si="1845">IF($C904&lt;&gt;"",IF(BB904&gt;0,1,0),0)</f>
        <v>1</v>
      </c>
      <c r="DR904">
        <f t="shared" si="1845"/>
        <v>1</v>
      </c>
      <c r="DS904">
        <f t="shared" si="1845"/>
        <v>1</v>
      </c>
      <c r="DT904">
        <f t="shared" si="1845"/>
        <v>1</v>
      </c>
      <c r="DU904">
        <f t="shared" si="1845"/>
        <v>1</v>
      </c>
      <c r="DV904">
        <f t="shared" si="1845"/>
        <v>1</v>
      </c>
      <c r="DW904">
        <f t="shared" si="1845"/>
        <v>1</v>
      </c>
      <c r="DX904">
        <f t="shared" si="1845"/>
        <v>1</v>
      </c>
      <c r="DY904">
        <f t="shared" si="1845"/>
        <v>1</v>
      </c>
      <c r="DZ904">
        <f t="shared" si="1845"/>
        <v>1</v>
      </c>
      <c r="EA904">
        <f t="shared" ref="EA904:EF906" si="1846">IF($C904&lt;&gt;"",IF(BL904&gt;0,1,0),0)</f>
        <v>1</v>
      </c>
      <c r="EB904">
        <f t="shared" si="1846"/>
        <v>1</v>
      </c>
      <c r="EC904">
        <f t="shared" si="1846"/>
        <v>1</v>
      </c>
      <c r="ED904">
        <f t="shared" si="1846"/>
        <v>1</v>
      </c>
      <c r="EE904">
        <f t="shared" si="1846"/>
        <v>1</v>
      </c>
      <c r="EF904">
        <f t="shared" si="1846"/>
        <v>1</v>
      </c>
    </row>
    <row r="905" spans="1:136" ht="15.5">
      <c r="A905" s="90"/>
      <c r="B905" s="57" t="s">
        <v>184</v>
      </c>
      <c r="C905" s="95"/>
      <c r="D905" s="18">
        <v>0</v>
      </c>
      <c r="E905" s="18">
        <v>0</v>
      </c>
      <c r="F905" s="18">
        <v>0</v>
      </c>
      <c r="G905" s="18">
        <v>0</v>
      </c>
      <c r="H905" s="18">
        <v>0</v>
      </c>
      <c r="I905" s="18">
        <v>0</v>
      </c>
      <c r="J905" s="18">
        <v>0</v>
      </c>
      <c r="K905" s="18">
        <v>0</v>
      </c>
      <c r="L905" s="18">
        <v>0</v>
      </c>
      <c r="M905" s="18">
        <v>0</v>
      </c>
      <c r="N905" s="18">
        <v>0</v>
      </c>
      <c r="O905" s="18">
        <v>0</v>
      </c>
      <c r="P905" s="18">
        <v>0</v>
      </c>
      <c r="Q905" s="18">
        <v>0</v>
      </c>
      <c r="R905" s="18">
        <v>0</v>
      </c>
      <c r="S905" s="18">
        <v>0</v>
      </c>
      <c r="T905" s="18">
        <v>0</v>
      </c>
      <c r="U905" s="18">
        <v>0</v>
      </c>
      <c r="V905" s="18">
        <v>0</v>
      </c>
      <c r="W905" s="18">
        <v>0</v>
      </c>
      <c r="X905" s="18">
        <v>0</v>
      </c>
      <c r="Y905" s="18">
        <v>0</v>
      </c>
      <c r="Z905" s="18">
        <v>0</v>
      </c>
      <c r="AA905" s="18">
        <v>0</v>
      </c>
      <c r="AB905" s="18">
        <v>0</v>
      </c>
      <c r="AC905" s="18">
        <v>0</v>
      </c>
      <c r="AD905" s="18">
        <v>0</v>
      </c>
      <c r="AE905" s="18">
        <v>0</v>
      </c>
      <c r="AF905" s="18">
        <v>0</v>
      </c>
      <c r="AG905" s="18">
        <v>0</v>
      </c>
      <c r="AH905" s="18">
        <v>0</v>
      </c>
      <c r="AI905" s="18">
        <v>0</v>
      </c>
      <c r="AJ905" s="18">
        <v>0</v>
      </c>
      <c r="AK905" s="18">
        <v>0</v>
      </c>
      <c r="AL905" s="18">
        <v>0</v>
      </c>
      <c r="AM905" s="18">
        <v>0</v>
      </c>
      <c r="AN905" s="18">
        <v>0</v>
      </c>
      <c r="AO905" s="18">
        <v>0</v>
      </c>
      <c r="AP905" s="18">
        <v>0</v>
      </c>
      <c r="AQ905" s="18">
        <v>0</v>
      </c>
      <c r="AR905" s="18">
        <v>0</v>
      </c>
      <c r="AS905" s="18">
        <v>0</v>
      </c>
      <c r="AT905" s="18">
        <v>11.2</v>
      </c>
      <c r="AU905" s="18">
        <v>0</v>
      </c>
      <c r="AV905" s="18">
        <v>0</v>
      </c>
      <c r="AW905" s="18">
        <v>0</v>
      </c>
      <c r="AX905" s="18">
        <v>0</v>
      </c>
      <c r="AY905" s="18">
        <v>0</v>
      </c>
      <c r="AZ905" s="18">
        <v>0</v>
      </c>
      <c r="BA905" s="18">
        <v>0</v>
      </c>
      <c r="BB905" s="18">
        <v>0</v>
      </c>
      <c r="BC905" s="18">
        <v>0</v>
      </c>
      <c r="BD905" s="18">
        <v>0</v>
      </c>
      <c r="BE905" s="18">
        <v>0</v>
      </c>
      <c r="BF905" s="18">
        <v>0</v>
      </c>
      <c r="BG905" s="18">
        <v>0</v>
      </c>
      <c r="BH905" s="18">
        <v>0</v>
      </c>
      <c r="BI905" s="18">
        <v>0</v>
      </c>
      <c r="BJ905" s="18">
        <v>0</v>
      </c>
      <c r="BK905" s="18">
        <v>0</v>
      </c>
      <c r="BL905" s="18">
        <v>0</v>
      </c>
      <c r="BM905" s="18">
        <v>0</v>
      </c>
      <c r="BN905" s="18">
        <v>0</v>
      </c>
      <c r="BO905" s="18">
        <v>0</v>
      </c>
      <c r="BP905" s="18">
        <v>0</v>
      </c>
      <c r="BQ905" s="113">
        <v>0</v>
      </c>
      <c r="BR905" s="101"/>
      <c r="BS905">
        <f t="shared" si="1840"/>
        <v>0</v>
      </c>
      <c r="BT905">
        <f t="shared" si="1840"/>
        <v>0</v>
      </c>
      <c r="BU905">
        <f t="shared" si="1840"/>
        <v>0</v>
      </c>
      <c r="BV905">
        <f t="shared" si="1840"/>
        <v>0</v>
      </c>
      <c r="BW905">
        <f t="shared" si="1840"/>
        <v>0</v>
      </c>
      <c r="BX905">
        <f t="shared" si="1840"/>
        <v>0</v>
      </c>
      <c r="BY905">
        <f t="shared" si="1840"/>
        <v>0</v>
      </c>
      <c r="BZ905">
        <f t="shared" si="1840"/>
        <v>0</v>
      </c>
      <c r="CA905">
        <f t="shared" si="1840"/>
        <v>0</v>
      </c>
      <c r="CB905">
        <f t="shared" si="1840"/>
        <v>0</v>
      </c>
      <c r="CC905">
        <f t="shared" si="1841"/>
        <v>0</v>
      </c>
      <c r="CD905">
        <f t="shared" si="1841"/>
        <v>0</v>
      </c>
      <c r="CE905">
        <f t="shared" si="1841"/>
        <v>0</v>
      </c>
      <c r="CF905">
        <f t="shared" si="1841"/>
        <v>0</v>
      </c>
      <c r="CG905">
        <f t="shared" si="1841"/>
        <v>0</v>
      </c>
      <c r="CH905">
        <f t="shared" si="1841"/>
        <v>0</v>
      </c>
      <c r="CI905">
        <f t="shared" si="1841"/>
        <v>0</v>
      </c>
      <c r="CJ905">
        <f t="shared" si="1841"/>
        <v>0</v>
      </c>
      <c r="CK905">
        <f t="shared" si="1841"/>
        <v>0</v>
      </c>
      <c r="CL905">
        <f t="shared" si="1841"/>
        <v>0</v>
      </c>
      <c r="CM905">
        <f t="shared" si="1842"/>
        <v>0</v>
      </c>
      <c r="CN905">
        <f t="shared" si="1842"/>
        <v>0</v>
      </c>
      <c r="CO905">
        <f t="shared" si="1842"/>
        <v>0</v>
      </c>
      <c r="CP905">
        <f t="shared" si="1842"/>
        <v>0</v>
      </c>
      <c r="CQ905">
        <f t="shared" si="1842"/>
        <v>0</v>
      </c>
      <c r="CR905">
        <f t="shared" si="1842"/>
        <v>0</v>
      </c>
      <c r="CS905">
        <f t="shared" si="1842"/>
        <v>0</v>
      </c>
      <c r="CT905">
        <f t="shared" si="1842"/>
        <v>0</v>
      </c>
      <c r="CU905">
        <f t="shared" si="1842"/>
        <v>0</v>
      </c>
      <c r="CV905">
        <f t="shared" si="1842"/>
        <v>0</v>
      </c>
      <c r="CW905">
        <f t="shared" si="1843"/>
        <v>0</v>
      </c>
      <c r="CX905">
        <f t="shared" si="1843"/>
        <v>0</v>
      </c>
      <c r="CY905">
        <f t="shared" si="1843"/>
        <v>0</v>
      </c>
      <c r="CZ905">
        <f t="shared" si="1843"/>
        <v>0</v>
      </c>
      <c r="DA905">
        <f t="shared" si="1843"/>
        <v>0</v>
      </c>
      <c r="DB905">
        <f t="shared" si="1843"/>
        <v>0</v>
      </c>
      <c r="DC905">
        <f t="shared" si="1843"/>
        <v>0</v>
      </c>
      <c r="DD905">
        <f t="shared" si="1843"/>
        <v>0</v>
      </c>
      <c r="DE905">
        <f t="shared" si="1843"/>
        <v>0</v>
      </c>
      <c r="DF905">
        <f t="shared" si="1843"/>
        <v>0</v>
      </c>
      <c r="DG905">
        <f t="shared" si="1844"/>
        <v>0</v>
      </c>
      <c r="DH905">
        <f t="shared" si="1844"/>
        <v>0</v>
      </c>
      <c r="DI905">
        <f t="shared" si="1844"/>
        <v>0</v>
      </c>
      <c r="DJ905">
        <f t="shared" si="1844"/>
        <v>0</v>
      </c>
      <c r="DK905">
        <f t="shared" si="1844"/>
        <v>0</v>
      </c>
      <c r="DL905">
        <f t="shared" si="1844"/>
        <v>0</v>
      </c>
      <c r="DM905">
        <f t="shared" si="1844"/>
        <v>0</v>
      </c>
      <c r="DN905">
        <f t="shared" si="1844"/>
        <v>0</v>
      </c>
      <c r="DO905">
        <f t="shared" si="1844"/>
        <v>0</v>
      </c>
      <c r="DP905">
        <f t="shared" si="1844"/>
        <v>0</v>
      </c>
      <c r="DQ905">
        <f t="shared" si="1845"/>
        <v>0</v>
      </c>
      <c r="DR905">
        <f t="shared" si="1845"/>
        <v>0</v>
      </c>
      <c r="DS905">
        <f t="shared" si="1845"/>
        <v>0</v>
      </c>
      <c r="DT905">
        <f t="shared" si="1845"/>
        <v>0</v>
      </c>
      <c r="DU905">
        <f t="shared" si="1845"/>
        <v>0</v>
      </c>
      <c r="DV905">
        <f t="shared" si="1845"/>
        <v>0</v>
      </c>
      <c r="DW905">
        <f t="shared" si="1845"/>
        <v>0</v>
      </c>
      <c r="DX905">
        <f t="shared" si="1845"/>
        <v>0</v>
      </c>
      <c r="DY905">
        <f t="shared" si="1845"/>
        <v>0</v>
      </c>
      <c r="DZ905">
        <f t="shared" si="1845"/>
        <v>0</v>
      </c>
      <c r="EA905">
        <f t="shared" si="1846"/>
        <v>0</v>
      </c>
      <c r="EB905">
        <f t="shared" si="1846"/>
        <v>0</v>
      </c>
      <c r="EC905">
        <f t="shared" si="1846"/>
        <v>0</v>
      </c>
      <c r="ED905">
        <f t="shared" si="1846"/>
        <v>0</v>
      </c>
      <c r="EE905">
        <f t="shared" si="1846"/>
        <v>0</v>
      </c>
      <c r="EF905">
        <f t="shared" si="1846"/>
        <v>0</v>
      </c>
    </row>
    <row r="906" spans="1:136" ht="15.5">
      <c r="A906" s="90"/>
      <c r="B906" s="57" t="s">
        <v>238</v>
      </c>
      <c r="C906" s="95"/>
      <c r="D906" s="18">
        <v>0</v>
      </c>
      <c r="E906" s="18">
        <v>0</v>
      </c>
      <c r="F906" s="18">
        <v>0</v>
      </c>
      <c r="G906" s="18">
        <v>0</v>
      </c>
      <c r="H906" s="18">
        <v>0</v>
      </c>
      <c r="I906" s="18">
        <v>0</v>
      </c>
      <c r="J906" s="18">
        <v>0</v>
      </c>
      <c r="K906" s="18">
        <v>0</v>
      </c>
      <c r="L906" s="18">
        <v>0</v>
      </c>
      <c r="M906" s="18">
        <v>0</v>
      </c>
      <c r="N906" s="18">
        <v>0</v>
      </c>
      <c r="O906" s="18">
        <v>0</v>
      </c>
      <c r="P906" s="18">
        <v>0</v>
      </c>
      <c r="Q906" s="18">
        <v>0</v>
      </c>
      <c r="R906" s="18">
        <v>0</v>
      </c>
      <c r="S906" s="18">
        <v>0</v>
      </c>
      <c r="T906" s="18">
        <v>0</v>
      </c>
      <c r="U906" s="18">
        <v>0</v>
      </c>
      <c r="V906" s="18">
        <v>0</v>
      </c>
      <c r="W906" s="18">
        <v>0</v>
      </c>
      <c r="X906" s="18">
        <v>0</v>
      </c>
      <c r="Y906" s="18">
        <v>0</v>
      </c>
      <c r="Z906" s="18">
        <v>0</v>
      </c>
      <c r="AA906" s="18">
        <v>0</v>
      </c>
      <c r="AB906" s="18">
        <v>0</v>
      </c>
      <c r="AC906" s="18">
        <v>0</v>
      </c>
      <c r="AD906" s="18">
        <v>0</v>
      </c>
      <c r="AE906" s="18">
        <v>0</v>
      </c>
      <c r="AF906" s="18">
        <v>0</v>
      </c>
      <c r="AG906" s="18">
        <v>0</v>
      </c>
      <c r="AH906" s="18">
        <v>0</v>
      </c>
      <c r="AI906" s="18">
        <v>0</v>
      </c>
      <c r="AJ906" s="18">
        <v>0</v>
      </c>
      <c r="AK906" s="18">
        <v>0</v>
      </c>
      <c r="AL906" s="18">
        <v>0</v>
      </c>
      <c r="AM906" s="18">
        <v>0</v>
      </c>
      <c r="AN906" s="18">
        <v>0</v>
      </c>
      <c r="AO906" s="18">
        <v>0</v>
      </c>
      <c r="AP906" s="18">
        <v>0</v>
      </c>
      <c r="AQ906" s="18">
        <v>0</v>
      </c>
      <c r="AR906" s="18">
        <v>0</v>
      </c>
      <c r="AS906" s="18">
        <v>0</v>
      </c>
      <c r="AT906" s="18">
        <v>10.1</v>
      </c>
      <c r="AU906" s="18">
        <v>0</v>
      </c>
      <c r="AV906" s="18">
        <v>0</v>
      </c>
      <c r="AW906" s="18">
        <v>0</v>
      </c>
      <c r="AX906" s="18">
        <v>0</v>
      </c>
      <c r="AY906" s="18">
        <v>0</v>
      </c>
      <c r="AZ906" s="18">
        <v>0</v>
      </c>
      <c r="BA906" s="18">
        <v>0</v>
      </c>
      <c r="BB906" s="18">
        <v>0</v>
      </c>
      <c r="BC906" s="18">
        <v>0</v>
      </c>
      <c r="BD906" s="18">
        <v>0</v>
      </c>
      <c r="BE906" s="18">
        <v>0</v>
      </c>
      <c r="BF906" s="18">
        <v>0</v>
      </c>
      <c r="BG906" s="18">
        <v>0</v>
      </c>
      <c r="BH906" s="18">
        <v>0</v>
      </c>
      <c r="BI906" s="18">
        <v>0</v>
      </c>
      <c r="BJ906" s="18">
        <v>0</v>
      </c>
      <c r="BK906" s="18">
        <v>0</v>
      </c>
      <c r="BL906" s="18">
        <v>0</v>
      </c>
      <c r="BM906" s="18">
        <v>0</v>
      </c>
      <c r="BN906" s="18">
        <v>0</v>
      </c>
      <c r="BO906" s="18">
        <v>0</v>
      </c>
      <c r="BP906" s="18">
        <v>0</v>
      </c>
      <c r="BQ906" s="113">
        <v>0</v>
      </c>
      <c r="BR906" s="101"/>
      <c r="BS906">
        <f t="shared" si="1840"/>
        <v>0</v>
      </c>
      <c r="BT906">
        <f t="shared" si="1840"/>
        <v>0</v>
      </c>
      <c r="BU906">
        <f t="shared" si="1840"/>
        <v>0</v>
      </c>
      <c r="BV906">
        <f t="shared" si="1840"/>
        <v>0</v>
      </c>
      <c r="BW906">
        <f t="shared" si="1840"/>
        <v>0</v>
      </c>
      <c r="BX906">
        <f t="shared" si="1840"/>
        <v>0</v>
      </c>
      <c r="BY906">
        <f t="shared" si="1840"/>
        <v>0</v>
      </c>
      <c r="BZ906">
        <f t="shared" si="1840"/>
        <v>0</v>
      </c>
      <c r="CA906">
        <f t="shared" si="1840"/>
        <v>0</v>
      </c>
      <c r="CB906">
        <f t="shared" si="1840"/>
        <v>0</v>
      </c>
      <c r="CC906">
        <f t="shared" si="1841"/>
        <v>0</v>
      </c>
      <c r="CD906">
        <f t="shared" si="1841"/>
        <v>0</v>
      </c>
      <c r="CE906">
        <f t="shared" si="1841"/>
        <v>0</v>
      </c>
      <c r="CF906">
        <f t="shared" si="1841"/>
        <v>0</v>
      </c>
      <c r="CG906">
        <f t="shared" si="1841"/>
        <v>0</v>
      </c>
      <c r="CH906">
        <f t="shared" si="1841"/>
        <v>0</v>
      </c>
      <c r="CI906">
        <f t="shared" si="1841"/>
        <v>0</v>
      </c>
      <c r="CJ906">
        <f t="shared" si="1841"/>
        <v>0</v>
      </c>
      <c r="CK906">
        <f t="shared" si="1841"/>
        <v>0</v>
      </c>
      <c r="CL906">
        <f t="shared" si="1841"/>
        <v>0</v>
      </c>
      <c r="CM906">
        <f t="shared" si="1842"/>
        <v>0</v>
      </c>
      <c r="CN906">
        <f t="shared" si="1842"/>
        <v>0</v>
      </c>
      <c r="CO906">
        <f t="shared" si="1842"/>
        <v>0</v>
      </c>
      <c r="CP906">
        <f t="shared" si="1842"/>
        <v>0</v>
      </c>
      <c r="CQ906">
        <f t="shared" si="1842"/>
        <v>0</v>
      </c>
      <c r="CR906">
        <f t="shared" si="1842"/>
        <v>0</v>
      </c>
      <c r="CS906">
        <f t="shared" si="1842"/>
        <v>0</v>
      </c>
      <c r="CT906">
        <f t="shared" si="1842"/>
        <v>0</v>
      </c>
      <c r="CU906">
        <f t="shared" si="1842"/>
        <v>0</v>
      </c>
      <c r="CV906">
        <f t="shared" si="1842"/>
        <v>0</v>
      </c>
      <c r="CW906">
        <f t="shared" si="1843"/>
        <v>0</v>
      </c>
      <c r="CX906">
        <f t="shared" si="1843"/>
        <v>0</v>
      </c>
      <c r="CY906">
        <f t="shared" si="1843"/>
        <v>0</v>
      </c>
      <c r="CZ906">
        <f t="shared" si="1843"/>
        <v>0</v>
      </c>
      <c r="DA906">
        <f t="shared" si="1843"/>
        <v>0</v>
      </c>
      <c r="DB906">
        <f t="shared" si="1843"/>
        <v>0</v>
      </c>
      <c r="DC906">
        <f t="shared" si="1843"/>
        <v>0</v>
      </c>
      <c r="DD906">
        <f t="shared" si="1843"/>
        <v>0</v>
      </c>
      <c r="DE906">
        <f t="shared" si="1843"/>
        <v>0</v>
      </c>
      <c r="DF906">
        <f t="shared" si="1843"/>
        <v>0</v>
      </c>
      <c r="DG906">
        <f t="shared" si="1844"/>
        <v>0</v>
      </c>
      <c r="DH906">
        <f t="shared" si="1844"/>
        <v>0</v>
      </c>
      <c r="DI906">
        <f t="shared" si="1844"/>
        <v>0</v>
      </c>
      <c r="DJ906">
        <f t="shared" si="1844"/>
        <v>0</v>
      </c>
      <c r="DK906">
        <f t="shared" si="1844"/>
        <v>0</v>
      </c>
      <c r="DL906">
        <f t="shared" si="1844"/>
        <v>0</v>
      </c>
      <c r="DM906">
        <f t="shared" si="1844"/>
        <v>0</v>
      </c>
      <c r="DN906">
        <f t="shared" si="1844"/>
        <v>0</v>
      </c>
      <c r="DO906">
        <f t="shared" si="1844"/>
        <v>0</v>
      </c>
      <c r="DP906">
        <f t="shared" si="1844"/>
        <v>0</v>
      </c>
      <c r="DQ906">
        <f t="shared" si="1845"/>
        <v>0</v>
      </c>
      <c r="DR906">
        <f t="shared" si="1845"/>
        <v>0</v>
      </c>
      <c r="DS906">
        <f t="shared" si="1845"/>
        <v>0</v>
      </c>
      <c r="DT906">
        <f t="shared" si="1845"/>
        <v>0</v>
      </c>
      <c r="DU906">
        <f t="shared" si="1845"/>
        <v>0</v>
      </c>
      <c r="DV906">
        <f t="shared" si="1845"/>
        <v>0</v>
      </c>
      <c r="DW906">
        <f t="shared" si="1845"/>
        <v>0</v>
      </c>
      <c r="DX906">
        <f t="shared" si="1845"/>
        <v>0</v>
      </c>
      <c r="DY906">
        <f t="shared" si="1845"/>
        <v>0</v>
      </c>
      <c r="DZ906">
        <f t="shared" si="1845"/>
        <v>0</v>
      </c>
      <c r="EA906">
        <f t="shared" si="1846"/>
        <v>0</v>
      </c>
      <c r="EB906">
        <f t="shared" si="1846"/>
        <v>0</v>
      </c>
      <c r="EC906">
        <f t="shared" si="1846"/>
        <v>0</v>
      </c>
      <c r="ED906">
        <f t="shared" si="1846"/>
        <v>0</v>
      </c>
      <c r="EE906">
        <f t="shared" si="1846"/>
        <v>0</v>
      </c>
      <c r="EF906">
        <f t="shared" si="1846"/>
        <v>0</v>
      </c>
    </row>
    <row r="907" spans="1:136" ht="15.5">
      <c r="A907" s="90"/>
      <c r="B907" s="105" t="s">
        <v>205</v>
      </c>
      <c r="C907" s="95"/>
      <c r="D907" s="18">
        <v>0</v>
      </c>
      <c r="E907" s="18">
        <v>0</v>
      </c>
      <c r="F907" s="18">
        <v>0</v>
      </c>
      <c r="G907" s="18">
        <v>0</v>
      </c>
      <c r="H907" s="18">
        <v>0</v>
      </c>
      <c r="I907" s="18">
        <v>0</v>
      </c>
      <c r="J907" s="18">
        <v>0</v>
      </c>
      <c r="K907" s="18">
        <v>0</v>
      </c>
      <c r="L907" s="18">
        <v>0</v>
      </c>
      <c r="M907" s="18">
        <v>0</v>
      </c>
      <c r="N907" s="18">
        <v>0</v>
      </c>
      <c r="O907" s="18">
        <v>0</v>
      </c>
      <c r="P907" s="18">
        <v>0</v>
      </c>
      <c r="Q907" s="18">
        <v>0</v>
      </c>
      <c r="R907" s="18">
        <v>0</v>
      </c>
      <c r="S907" s="18">
        <v>0</v>
      </c>
      <c r="T907" s="18">
        <v>0</v>
      </c>
      <c r="U907" s="18">
        <v>0</v>
      </c>
      <c r="V907" s="18">
        <v>0</v>
      </c>
      <c r="W907" s="18">
        <v>0</v>
      </c>
      <c r="X907" s="18">
        <v>0</v>
      </c>
      <c r="Y907" s="18">
        <v>0</v>
      </c>
      <c r="Z907" s="18">
        <v>0</v>
      </c>
      <c r="AA907" s="18">
        <v>0</v>
      </c>
      <c r="AB907" s="18">
        <v>0</v>
      </c>
      <c r="AC907" s="18">
        <v>0</v>
      </c>
      <c r="AD907" s="18">
        <v>0</v>
      </c>
      <c r="AE907" s="18">
        <v>0</v>
      </c>
      <c r="AF907" s="18">
        <v>0</v>
      </c>
      <c r="AG907" s="18">
        <v>0</v>
      </c>
      <c r="AH907" s="18">
        <v>2E-3</v>
      </c>
      <c r="AI907" s="18">
        <v>0</v>
      </c>
      <c r="AJ907" s="18">
        <v>0.19600000000000001</v>
      </c>
      <c r="AK907" s="18">
        <v>0.19400000000000001</v>
      </c>
      <c r="AL907" s="18">
        <v>0</v>
      </c>
      <c r="AM907" s="18">
        <v>0</v>
      </c>
      <c r="AN907" s="18">
        <v>0.49199999999999999</v>
      </c>
      <c r="AO907" s="18">
        <v>1.087</v>
      </c>
      <c r="AP907" s="18">
        <v>1.5880000000000001</v>
      </c>
      <c r="AQ907" s="18">
        <v>2E-3</v>
      </c>
      <c r="AR907" s="18">
        <v>2.5089999999999999</v>
      </c>
      <c r="AS907" s="18">
        <v>8.0000000000000002E-3</v>
      </c>
      <c r="AT907" s="18">
        <v>8.0000000000000002E-3</v>
      </c>
      <c r="AU907" s="18">
        <v>0.56100000000000005</v>
      </c>
      <c r="AV907" s="18">
        <v>0</v>
      </c>
      <c r="AW907" s="18">
        <v>0</v>
      </c>
      <c r="AX907" s="18">
        <v>0</v>
      </c>
      <c r="AY907" s="18">
        <v>0</v>
      </c>
      <c r="AZ907" s="18">
        <v>0</v>
      </c>
      <c r="BA907" s="18">
        <v>0</v>
      </c>
      <c r="BB907" s="18">
        <v>0</v>
      </c>
      <c r="BC907" s="18">
        <v>0</v>
      </c>
      <c r="BD907" s="18">
        <v>0</v>
      </c>
      <c r="BE907" s="25">
        <v>0</v>
      </c>
      <c r="BF907" s="18">
        <v>0</v>
      </c>
      <c r="BG907" s="18">
        <v>0</v>
      </c>
      <c r="BH907" s="18">
        <v>0</v>
      </c>
      <c r="BI907" s="18">
        <v>0</v>
      </c>
      <c r="BJ907" s="18">
        <v>0</v>
      </c>
      <c r="BK907" s="18">
        <v>0</v>
      </c>
      <c r="BL907" s="18">
        <v>0</v>
      </c>
      <c r="BM907" s="18">
        <v>0</v>
      </c>
      <c r="BN907" s="18">
        <v>0</v>
      </c>
      <c r="BO907" s="18">
        <v>0</v>
      </c>
      <c r="BP907" s="18">
        <v>0</v>
      </c>
      <c r="BQ907" s="113">
        <v>0</v>
      </c>
      <c r="BR907" s="101"/>
    </row>
    <row r="908" spans="1:136" ht="15.5">
      <c r="A908" s="90"/>
      <c r="B908" s="57" t="s">
        <v>3</v>
      </c>
      <c r="C908" s="95"/>
      <c r="D908" s="18">
        <v>0</v>
      </c>
      <c r="E908" s="18">
        <v>0</v>
      </c>
      <c r="F908" s="18">
        <v>0</v>
      </c>
      <c r="G908" s="18">
        <v>0</v>
      </c>
      <c r="H908" s="18">
        <v>0</v>
      </c>
      <c r="I908" s="18">
        <v>0</v>
      </c>
      <c r="J908" s="18">
        <v>0</v>
      </c>
      <c r="K908" s="18">
        <v>0</v>
      </c>
      <c r="L908" s="18">
        <v>0</v>
      </c>
      <c r="M908" s="18">
        <v>0</v>
      </c>
      <c r="N908" s="18">
        <v>0</v>
      </c>
      <c r="O908" s="18">
        <v>0</v>
      </c>
      <c r="P908" s="18">
        <v>0</v>
      </c>
      <c r="Q908" s="18">
        <v>0</v>
      </c>
      <c r="R908" s="18">
        <v>0</v>
      </c>
      <c r="S908" s="18">
        <v>0</v>
      </c>
      <c r="T908" s="18">
        <v>0</v>
      </c>
      <c r="U908" s="18">
        <v>0</v>
      </c>
      <c r="V908" s="18">
        <v>0.59299999999999997</v>
      </c>
      <c r="W908" s="18">
        <v>0.42100000000000004</v>
      </c>
      <c r="X908" s="18">
        <v>0.43100000000000005</v>
      </c>
      <c r="Y908" s="18">
        <v>0.42399999999999999</v>
      </c>
      <c r="Z908" s="18">
        <v>0.85499999999999998</v>
      </c>
      <c r="AA908" s="18">
        <v>1.0979999999999999</v>
      </c>
      <c r="AB908" s="18">
        <v>1.5920000000000001</v>
      </c>
      <c r="AC908" s="18">
        <v>21.047000000000001</v>
      </c>
      <c r="AD908" s="18">
        <v>50.863</v>
      </c>
      <c r="AE908" s="18">
        <v>31.407999999999998</v>
      </c>
      <c r="AF908" s="18">
        <v>22.140999999999998</v>
      </c>
      <c r="AG908" s="18">
        <v>570.82600000000002</v>
      </c>
      <c r="AH908" s="18">
        <v>541.80399999999997</v>
      </c>
      <c r="AI908" s="18">
        <v>167.976</v>
      </c>
      <c r="AJ908" s="18">
        <v>68.067999999999998</v>
      </c>
      <c r="AK908" s="18">
        <v>50.466999999999999</v>
      </c>
      <c r="AL908" s="18">
        <v>35.156999999999996</v>
      </c>
      <c r="AM908" s="18">
        <v>20.054000000000002</v>
      </c>
      <c r="AN908" s="18">
        <v>19.806000000000001</v>
      </c>
      <c r="AO908" s="18">
        <f>30.148-AO907</f>
        <v>29.061</v>
      </c>
      <c r="AP908" s="18">
        <f>36.074-AP907</f>
        <v>34.485999999999997</v>
      </c>
      <c r="AQ908" s="18">
        <v>33.326999999999998</v>
      </c>
      <c r="AR908" s="18">
        <f>35.0309775-AR907</f>
        <v>32.521977499999998</v>
      </c>
      <c r="AS908" s="18">
        <v>19.772557899999999</v>
      </c>
      <c r="AT908" s="18">
        <v>13</v>
      </c>
      <c r="AU908" s="18">
        <f>57.1497209-AU907</f>
        <v>56.588720899999998</v>
      </c>
      <c r="AV908" s="18">
        <v>1.5672131999999999</v>
      </c>
      <c r="AW908" s="18">
        <v>0.46400000000000002</v>
      </c>
      <c r="AX908" s="18">
        <v>0.71299999999999997</v>
      </c>
      <c r="AY908" s="18">
        <v>0.71299999999999997</v>
      </c>
      <c r="AZ908" s="18">
        <v>1.5509999999999999</v>
      </c>
      <c r="BA908" s="18">
        <v>0</v>
      </c>
      <c r="BB908" s="18">
        <v>0</v>
      </c>
      <c r="BC908" s="18">
        <v>0</v>
      </c>
      <c r="BD908" s="18">
        <v>0</v>
      </c>
      <c r="BE908" s="25">
        <v>0</v>
      </c>
      <c r="BF908" s="18">
        <v>0</v>
      </c>
      <c r="BG908" s="18">
        <v>0</v>
      </c>
      <c r="BH908" s="18">
        <v>0</v>
      </c>
      <c r="BI908" s="18">
        <v>0.55300000000000005</v>
      </c>
      <c r="BJ908" s="113">
        <v>0</v>
      </c>
      <c r="BK908" s="113">
        <v>0</v>
      </c>
      <c r="BL908" s="113">
        <v>0</v>
      </c>
      <c r="BM908" s="113">
        <v>0</v>
      </c>
      <c r="BN908" s="113">
        <v>0</v>
      </c>
      <c r="BO908" s="113">
        <v>0</v>
      </c>
      <c r="BP908" s="113">
        <v>0</v>
      </c>
      <c r="BQ908" s="113">
        <v>0</v>
      </c>
      <c r="BR908" s="101"/>
      <c r="BS908">
        <f t="shared" ref="BS908:CB913" si="1847">IF($C908&lt;&gt;"",IF(D908&gt;0,1,0),0)</f>
        <v>0</v>
      </c>
      <c r="BT908">
        <f t="shared" si="1847"/>
        <v>0</v>
      </c>
      <c r="BU908">
        <f t="shared" si="1847"/>
        <v>0</v>
      </c>
      <c r="BV908">
        <f t="shared" si="1847"/>
        <v>0</v>
      </c>
      <c r="BW908">
        <f t="shared" si="1847"/>
        <v>0</v>
      </c>
      <c r="BX908">
        <f t="shared" si="1847"/>
        <v>0</v>
      </c>
      <c r="BY908">
        <f t="shared" si="1847"/>
        <v>0</v>
      </c>
      <c r="BZ908">
        <f t="shared" si="1847"/>
        <v>0</v>
      </c>
      <c r="CA908">
        <f t="shared" si="1847"/>
        <v>0</v>
      </c>
      <c r="CB908">
        <f t="shared" si="1847"/>
        <v>0</v>
      </c>
      <c r="CC908">
        <f t="shared" ref="CC908:CL913" si="1848">IF($C908&lt;&gt;"",IF(N908&gt;0,1,0),0)</f>
        <v>0</v>
      </c>
      <c r="CD908">
        <f t="shared" si="1848"/>
        <v>0</v>
      </c>
      <c r="CE908">
        <f t="shared" si="1848"/>
        <v>0</v>
      </c>
      <c r="CF908">
        <f t="shared" si="1848"/>
        <v>0</v>
      </c>
      <c r="CG908">
        <f t="shared" si="1848"/>
        <v>0</v>
      </c>
      <c r="CH908">
        <f t="shared" si="1848"/>
        <v>0</v>
      </c>
      <c r="CI908">
        <f t="shared" si="1848"/>
        <v>0</v>
      </c>
      <c r="CJ908">
        <f t="shared" si="1848"/>
        <v>0</v>
      </c>
      <c r="CK908">
        <f t="shared" si="1848"/>
        <v>0</v>
      </c>
      <c r="CL908">
        <f t="shared" si="1848"/>
        <v>0</v>
      </c>
      <c r="CM908">
        <f t="shared" ref="CM908:CV913" si="1849">IF($C908&lt;&gt;"",IF(X908&gt;0,1,0),0)</f>
        <v>0</v>
      </c>
      <c r="CN908">
        <f t="shared" si="1849"/>
        <v>0</v>
      </c>
      <c r="CO908">
        <f t="shared" si="1849"/>
        <v>0</v>
      </c>
      <c r="CP908">
        <f t="shared" si="1849"/>
        <v>0</v>
      </c>
      <c r="CQ908">
        <f t="shared" si="1849"/>
        <v>0</v>
      </c>
      <c r="CR908">
        <f t="shared" si="1849"/>
        <v>0</v>
      </c>
      <c r="CS908">
        <f t="shared" si="1849"/>
        <v>0</v>
      </c>
      <c r="CT908">
        <f t="shared" si="1849"/>
        <v>0</v>
      </c>
      <c r="CU908">
        <f t="shared" si="1849"/>
        <v>0</v>
      </c>
      <c r="CV908">
        <f t="shared" si="1849"/>
        <v>0</v>
      </c>
      <c r="CW908">
        <f t="shared" ref="CW908:DF913" si="1850">IF($C908&lt;&gt;"",IF(AH908&gt;0,1,0),0)</f>
        <v>0</v>
      </c>
      <c r="CX908">
        <f t="shared" si="1850"/>
        <v>0</v>
      </c>
      <c r="CY908">
        <f t="shared" si="1850"/>
        <v>0</v>
      </c>
      <c r="CZ908">
        <f t="shared" si="1850"/>
        <v>0</v>
      </c>
      <c r="DA908">
        <f t="shared" si="1850"/>
        <v>0</v>
      </c>
      <c r="DB908">
        <f t="shared" si="1850"/>
        <v>0</v>
      </c>
      <c r="DC908">
        <f t="shared" si="1850"/>
        <v>0</v>
      </c>
      <c r="DD908">
        <f t="shared" si="1850"/>
        <v>0</v>
      </c>
      <c r="DE908">
        <f t="shared" si="1850"/>
        <v>0</v>
      </c>
      <c r="DF908">
        <f t="shared" si="1850"/>
        <v>0</v>
      </c>
      <c r="DG908">
        <f t="shared" ref="DG908:DP913" si="1851">IF($C908&lt;&gt;"",IF(AR908&gt;0,1,0),0)</f>
        <v>0</v>
      </c>
      <c r="DH908">
        <f t="shared" si="1851"/>
        <v>0</v>
      </c>
      <c r="DI908">
        <f t="shared" si="1851"/>
        <v>0</v>
      </c>
      <c r="DJ908">
        <f t="shared" si="1851"/>
        <v>0</v>
      </c>
      <c r="DK908">
        <f t="shared" si="1851"/>
        <v>0</v>
      </c>
      <c r="DL908">
        <f t="shared" si="1851"/>
        <v>0</v>
      </c>
      <c r="DM908">
        <f t="shared" si="1851"/>
        <v>0</v>
      </c>
      <c r="DN908">
        <f t="shared" si="1851"/>
        <v>0</v>
      </c>
      <c r="DO908">
        <f t="shared" si="1851"/>
        <v>0</v>
      </c>
      <c r="DP908">
        <f t="shared" si="1851"/>
        <v>0</v>
      </c>
      <c r="DQ908">
        <f t="shared" ref="DQ908:DZ913" si="1852">IF($C908&lt;&gt;"",IF(BB908&gt;0,1,0),0)</f>
        <v>0</v>
      </c>
      <c r="DR908">
        <f t="shared" si="1852"/>
        <v>0</v>
      </c>
      <c r="DS908">
        <f t="shared" si="1852"/>
        <v>0</v>
      </c>
      <c r="DT908">
        <f t="shared" si="1852"/>
        <v>0</v>
      </c>
      <c r="DU908">
        <f t="shared" si="1852"/>
        <v>0</v>
      </c>
      <c r="DV908">
        <f t="shared" si="1852"/>
        <v>0</v>
      </c>
      <c r="DW908">
        <f t="shared" si="1852"/>
        <v>0</v>
      </c>
      <c r="DX908">
        <f t="shared" si="1852"/>
        <v>0</v>
      </c>
      <c r="DY908">
        <f t="shared" si="1852"/>
        <v>0</v>
      </c>
      <c r="DZ908">
        <f t="shared" si="1852"/>
        <v>0</v>
      </c>
      <c r="EA908">
        <f t="shared" ref="EA908:EF908" si="1853">IF($C908&lt;&gt;"",IF(BL904&gt;0,1,0),0)</f>
        <v>0</v>
      </c>
      <c r="EB908">
        <f t="shared" si="1853"/>
        <v>0</v>
      </c>
      <c r="EC908">
        <f t="shared" si="1853"/>
        <v>0</v>
      </c>
      <c r="ED908">
        <f t="shared" si="1853"/>
        <v>0</v>
      </c>
      <c r="EE908">
        <f t="shared" si="1853"/>
        <v>0</v>
      </c>
      <c r="EF908">
        <f t="shared" si="1853"/>
        <v>0</v>
      </c>
    </row>
    <row r="909" spans="1:136" ht="15.5">
      <c r="A909" s="90"/>
      <c r="B909" s="19" t="s">
        <v>18</v>
      </c>
      <c r="C909" s="95"/>
      <c r="D909" s="34">
        <v>0</v>
      </c>
      <c r="E909" s="34">
        <v>0</v>
      </c>
      <c r="F909" s="34">
        <v>0</v>
      </c>
      <c r="G909" s="34">
        <v>0</v>
      </c>
      <c r="H909" s="34">
        <v>0</v>
      </c>
      <c r="I909" s="34">
        <v>0</v>
      </c>
      <c r="J909" s="34">
        <v>0</v>
      </c>
      <c r="K909" s="34">
        <v>0</v>
      </c>
      <c r="L909" s="34">
        <v>0</v>
      </c>
      <c r="M909" s="34">
        <v>0</v>
      </c>
      <c r="N909" s="34">
        <v>0</v>
      </c>
      <c r="O909" s="34">
        <v>0</v>
      </c>
      <c r="P909" s="34">
        <v>0</v>
      </c>
      <c r="Q909" s="34">
        <v>0</v>
      </c>
      <c r="R909" s="34">
        <v>0</v>
      </c>
      <c r="S909" s="34">
        <v>0</v>
      </c>
      <c r="T909" s="34">
        <v>0</v>
      </c>
      <c r="U909" s="34">
        <v>0</v>
      </c>
      <c r="V909" s="34">
        <v>0</v>
      </c>
      <c r="W909" s="34">
        <v>0</v>
      </c>
      <c r="X909" s="34">
        <v>0</v>
      </c>
      <c r="Y909" s="34">
        <v>0</v>
      </c>
      <c r="Z909" s="34">
        <v>0</v>
      </c>
      <c r="AA909" s="34">
        <v>0</v>
      </c>
      <c r="AB909" s="34">
        <v>0</v>
      </c>
      <c r="AC909" s="34">
        <v>0</v>
      </c>
      <c r="AD909" s="34">
        <v>417.77900000000005</v>
      </c>
      <c r="AE909" s="34">
        <v>451.09687525000004</v>
      </c>
      <c r="AF909" s="34">
        <v>490.68062605318755</v>
      </c>
      <c r="AG909" s="34">
        <v>539.62601850199303</v>
      </c>
      <c r="AH909" s="34">
        <v>588.59707968104897</v>
      </c>
      <c r="AI909" s="34">
        <v>278</v>
      </c>
      <c r="AJ909" s="34">
        <v>278</v>
      </c>
      <c r="AK909" s="34">
        <v>20</v>
      </c>
      <c r="AL909" s="34">
        <v>0</v>
      </c>
      <c r="AM909" s="34">
        <v>0</v>
      </c>
      <c r="AN909" s="34">
        <v>0</v>
      </c>
      <c r="AO909" s="34">
        <v>0</v>
      </c>
      <c r="AP909" s="34">
        <v>0</v>
      </c>
      <c r="AQ909" s="34">
        <v>0</v>
      </c>
      <c r="AR909" s="34">
        <v>0</v>
      </c>
      <c r="AS909" s="34">
        <v>0</v>
      </c>
      <c r="AT909" s="34">
        <v>0</v>
      </c>
      <c r="AU909" s="34">
        <v>0</v>
      </c>
      <c r="AV909" s="34">
        <v>0</v>
      </c>
      <c r="AW909" s="34">
        <v>0</v>
      </c>
      <c r="AX909" s="34">
        <v>0</v>
      </c>
      <c r="AY909" s="34">
        <v>0</v>
      </c>
      <c r="AZ909" s="34">
        <v>0</v>
      </c>
      <c r="BA909" s="34">
        <v>0</v>
      </c>
      <c r="BB909" s="34">
        <v>0</v>
      </c>
      <c r="BC909" s="34">
        <v>0</v>
      </c>
      <c r="BD909" s="34">
        <v>0</v>
      </c>
      <c r="BE909" s="42">
        <v>0</v>
      </c>
      <c r="BF909" s="34">
        <v>0</v>
      </c>
      <c r="BG909" s="34">
        <v>0</v>
      </c>
      <c r="BH909" s="34">
        <v>0</v>
      </c>
      <c r="BI909" s="34">
        <v>0</v>
      </c>
      <c r="BJ909" s="113">
        <v>0</v>
      </c>
      <c r="BK909" s="113">
        <v>0</v>
      </c>
      <c r="BL909" s="113">
        <v>0</v>
      </c>
      <c r="BM909" s="113">
        <v>0</v>
      </c>
      <c r="BN909" s="113">
        <v>0</v>
      </c>
      <c r="BO909" s="113">
        <v>0</v>
      </c>
      <c r="BP909" s="113">
        <v>0</v>
      </c>
      <c r="BQ909" s="113">
        <v>0</v>
      </c>
      <c r="BR909" s="101"/>
      <c r="BS909">
        <f t="shared" si="1847"/>
        <v>0</v>
      </c>
      <c r="BT909">
        <f t="shared" si="1847"/>
        <v>0</v>
      </c>
      <c r="BU909">
        <f t="shared" si="1847"/>
        <v>0</v>
      </c>
      <c r="BV909">
        <f t="shared" si="1847"/>
        <v>0</v>
      </c>
      <c r="BW909">
        <f t="shared" si="1847"/>
        <v>0</v>
      </c>
      <c r="BX909">
        <f t="shared" si="1847"/>
        <v>0</v>
      </c>
      <c r="BY909">
        <f t="shared" si="1847"/>
        <v>0</v>
      </c>
      <c r="BZ909">
        <f t="shared" si="1847"/>
        <v>0</v>
      </c>
      <c r="CA909">
        <f t="shared" si="1847"/>
        <v>0</v>
      </c>
      <c r="CB909">
        <f t="shared" si="1847"/>
        <v>0</v>
      </c>
      <c r="CC909">
        <f t="shared" si="1848"/>
        <v>0</v>
      </c>
      <c r="CD909">
        <f t="shared" si="1848"/>
        <v>0</v>
      </c>
      <c r="CE909">
        <f t="shared" si="1848"/>
        <v>0</v>
      </c>
      <c r="CF909">
        <f t="shared" si="1848"/>
        <v>0</v>
      </c>
      <c r="CG909">
        <f t="shared" si="1848"/>
        <v>0</v>
      </c>
      <c r="CH909">
        <f t="shared" si="1848"/>
        <v>0</v>
      </c>
      <c r="CI909">
        <f t="shared" si="1848"/>
        <v>0</v>
      </c>
      <c r="CJ909">
        <f t="shared" si="1848"/>
        <v>0</v>
      </c>
      <c r="CK909">
        <f t="shared" si="1848"/>
        <v>0</v>
      </c>
      <c r="CL909">
        <f t="shared" si="1848"/>
        <v>0</v>
      </c>
      <c r="CM909">
        <f t="shared" si="1849"/>
        <v>0</v>
      </c>
      <c r="CN909">
        <f t="shared" si="1849"/>
        <v>0</v>
      </c>
      <c r="CO909">
        <f t="shared" si="1849"/>
        <v>0</v>
      </c>
      <c r="CP909">
        <f t="shared" si="1849"/>
        <v>0</v>
      </c>
      <c r="CQ909">
        <f t="shared" si="1849"/>
        <v>0</v>
      </c>
      <c r="CR909">
        <f t="shared" si="1849"/>
        <v>0</v>
      </c>
      <c r="CS909">
        <f t="shared" si="1849"/>
        <v>0</v>
      </c>
      <c r="CT909">
        <f t="shared" si="1849"/>
        <v>0</v>
      </c>
      <c r="CU909">
        <f t="shared" si="1849"/>
        <v>0</v>
      </c>
      <c r="CV909">
        <f t="shared" si="1849"/>
        <v>0</v>
      </c>
      <c r="CW909">
        <f t="shared" si="1850"/>
        <v>0</v>
      </c>
      <c r="CX909">
        <f t="shared" si="1850"/>
        <v>0</v>
      </c>
      <c r="CY909">
        <f t="shared" si="1850"/>
        <v>0</v>
      </c>
      <c r="CZ909">
        <f t="shared" si="1850"/>
        <v>0</v>
      </c>
      <c r="DA909">
        <f t="shared" si="1850"/>
        <v>0</v>
      </c>
      <c r="DB909">
        <f t="shared" si="1850"/>
        <v>0</v>
      </c>
      <c r="DC909">
        <f t="shared" si="1850"/>
        <v>0</v>
      </c>
      <c r="DD909">
        <f t="shared" si="1850"/>
        <v>0</v>
      </c>
      <c r="DE909">
        <f t="shared" si="1850"/>
        <v>0</v>
      </c>
      <c r="DF909">
        <f t="shared" si="1850"/>
        <v>0</v>
      </c>
      <c r="DG909">
        <f t="shared" si="1851"/>
        <v>0</v>
      </c>
      <c r="DH909">
        <f t="shared" si="1851"/>
        <v>0</v>
      </c>
      <c r="DI909">
        <f t="shared" si="1851"/>
        <v>0</v>
      </c>
      <c r="DJ909">
        <f t="shared" si="1851"/>
        <v>0</v>
      </c>
      <c r="DK909">
        <f t="shared" si="1851"/>
        <v>0</v>
      </c>
      <c r="DL909">
        <f t="shared" si="1851"/>
        <v>0</v>
      </c>
      <c r="DM909">
        <f t="shared" si="1851"/>
        <v>0</v>
      </c>
      <c r="DN909">
        <f t="shared" si="1851"/>
        <v>0</v>
      </c>
      <c r="DO909">
        <f t="shared" si="1851"/>
        <v>0</v>
      </c>
      <c r="DP909">
        <f t="shared" si="1851"/>
        <v>0</v>
      </c>
      <c r="DQ909">
        <f t="shared" si="1852"/>
        <v>0</v>
      </c>
      <c r="DR909">
        <f t="shared" si="1852"/>
        <v>0</v>
      </c>
      <c r="DS909">
        <f t="shared" si="1852"/>
        <v>0</v>
      </c>
      <c r="DT909">
        <f t="shared" si="1852"/>
        <v>0</v>
      </c>
      <c r="DU909">
        <f t="shared" si="1852"/>
        <v>0</v>
      </c>
      <c r="DV909">
        <f t="shared" si="1852"/>
        <v>0</v>
      </c>
      <c r="DW909">
        <f t="shared" si="1852"/>
        <v>0</v>
      </c>
      <c r="DX909">
        <f t="shared" si="1852"/>
        <v>0</v>
      </c>
      <c r="DY909">
        <f t="shared" si="1852"/>
        <v>0</v>
      </c>
      <c r="DZ909">
        <f t="shared" si="1852"/>
        <v>0</v>
      </c>
      <c r="EA909">
        <f t="shared" ref="EA909:EF911" si="1854">IF($C909&lt;&gt;"",IF(BL908&gt;0,1,0),0)</f>
        <v>0</v>
      </c>
      <c r="EB909">
        <f t="shared" si="1854"/>
        <v>0</v>
      </c>
      <c r="EC909">
        <f t="shared" si="1854"/>
        <v>0</v>
      </c>
      <c r="ED909">
        <f t="shared" si="1854"/>
        <v>0</v>
      </c>
      <c r="EE909">
        <f t="shared" si="1854"/>
        <v>0</v>
      </c>
      <c r="EF909">
        <f t="shared" si="1854"/>
        <v>0</v>
      </c>
    </row>
    <row r="910" spans="1:136" ht="15.5">
      <c r="A910" s="90"/>
      <c r="B910" s="53" t="s">
        <v>25</v>
      </c>
      <c r="C910" s="95"/>
      <c r="D910" s="18">
        <v>0</v>
      </c>
      <c r="E910" s="18">
        <v>0</v>
      </c>
      <c r="F910" s="18">
        <v>0</v>
      </c>
      <c r="G910" s="18">
        <v>0</v>
      </c>
      <c r="H910" s="18">
        <v>0</v>
      </c>
      <c r="I910" s="18">
        <v>0</v>
      </c>
      <c r="J910" s="18">
        <v>0</v>
      </c>
      <c r="K910" s="18">
        <v>0</v>
      </c>
      <c r="L910" s="18">
        <v>0</v>
      </c>
      <c r="M910" s="18">
        <v>0</v>
      </c>
      <c r="N910" s="18">
        <v>0</v>
      </c>
      <c r="O910" s="18">
        <v>0</v>
      </c>
      <c r="P910" s="18">
        <v>0</v>
      </c>
      <c r="Q910" s="18">
        <v>0</v>
      </c>
      <c r="R910" s="18">
        <v>0</v>
      </c>
      <c r="S910" s="18">
        <v>0</v>
      </c>
      <c r="T910" s="18">
        <v>0</v>
      </c>
      <c r="U910" s="18">
        <v>0</v>
      </c>
      <c r="V910" s="18">
        <v>0</v>
      </c>
      <c r="W910" s="18">
        <v>0</v>
      </c>
      <c r="X910" s="18">
        <v>0</v>
      </c>
      <c r="Y910" s="18">
        <v>0</v>
      </c>
      <c r="Z910" s="18">
        <v>0</v>
      </c>
      <c r="AA910" s="18">
        <v>0</v>
      </c>
      <c r="AB910" s="18">
        <v>0</v>
      </c>
      <c r="AC910" s="18">
        <v>0</v>
      </c>
      <c r="AD910" s="18">
        <v>0</v>
      </c>
      <c r="AE910" s="18">
        <v>0</v>
      </c>
      <c r="AF910" s="18">
        <v>0</v>
      </c>
      <c r="AG910" s="18">
        <v>0</v>
      </c>
      <c r="AH910" s="18">
        <v>0</v>
      </c>
      <c r="AI910" s="18">
        <v>0</v>
      </c>
      <c r="AJ910" s="18">
        <v>0</v>
      </c>
      <c r="AK910" s="18">
        <v>0</v>
      </c>
      <c r="AL910" s="18">
        <v>0</v>
      </c>
      <c r="AM910" s="18">
        <v>0</v>
      </c>
      <c r="AN910" s="18">
        <v>0</v>
      </c>
      <c r="AO910" s="18">
        <v>0</v>
      </c>
      <c r="AP910" s="18">
        <v>0</v>
      </c>
      <c r="AQ910" s="18">
        <v>0</v>
      </c>
      <c r="AR910" s="18">
        <v>0</v>
      </c>
      <c r="AS910" s="18">
        <v>0</v>
      </c>
      <c r="AT910" s="18">
        <v>22</v>
      </c>
      <c r="AU910" s="18">
        <v>138</v>
      </c>
      <c r="AV910" s="18">
        <v>138</v>
      </c>
      <c r="AW910" s="18">
        <v>0</v>
      </c>
      <c r="AX910" s="18">
        <v>0</v>
      </c>
      <c r="AY910" s="18">
        <v>0</v>
      </c>
      <c r="AZ910" s="18">
        <v>0</v>
      </c>
      <c r="BA910" s="18">
        <v>0</v>
      </c>
      <c r="BB910" s="18">
        <v>0</v>
      </c>
      <c r="BC910" s="18">
        <v>0</v>
      </c>
      <c r="BD910" s="18">
        <v>0</v>
      </c>
      <c r="BE910" s="25">
        <v>0</v>
      </c>
      <c r="BF910" s="18">
        <v>0</v>
      </c>
      <c r="BG910" s="18">
        <v>0</v>
      </c>
      <c r="BH910" s="18">
        <v>0</v>
      </c>
      <c r="BI910" s="18">
        <v>0</v>
      </c>
      <c r="BJ910" s="113">
        <v>0</v>
      </c>
      <c r="BK910" s="113">
        <v>0</v>
      </c>
      <c r="BL910" s="113">
        <v>0</v>
      </c>
      <c r="BM910" s="113">
        <v>0</v>
      </c>
      <c r="BN910" s="113">
        <v>0</v>
      </c>
      <c r="BO910" s="113">
        <v>0</v>
      </c>
      <c r="BP910" s="113">
        <v>0</v>
      </c>
      <c r="BQ910" s="113">
        <v>0</v>
      </c>
      <c r="BR910" s="101"/>
      <c r="BS910">
        <f t="shared" si="1847"/>
        <v>0</v>
      </c>
      <c r="BT910">
        <f t="shared" si="1847"/>
        <v>0</v>
      </c>
      <c r="BU910">
        <f t="shared" si="1847"/>
        <v>0</v>
      </c>
      <c r="BV910">
        <f t="shared" si="1847"/>
        <v>0</v>
      </c>
      <c r="BW910">
        <f t="shared" si="1847"/>
        <v>0</v>
      </c>
      <c r="BX910">
        <f t="shared" si="1847"/>
        <v>0</v>
      </c>
      <c r="BY910">
        <f t="shared" si="1847"/>
        <v>0</v>
      </c>
      <c r="BZ910">
        <f t="shared" si="1847"/>
        <v>0</v>
      </c>
      <c r="CA910">
        <f t="shared" si="1847"/>
        <v>0</v>
      </c>
      <c r="CB910">
        <f t="shared" si="1847"/>
        <v>0</v>
      </c>
      <c r="CC910">
        <f t="shared" si="1848"/>
        <v>0</v>
      </c>
      <c r="CD910">
        <f t="shared" si="1848"/>
        <v>0</v>
      </c>
      <c r="CE910">
        <f t="shared" si="1848"/>
        <v>0</v>
      </c>
      <c r="CF910">
        <f t="shared" si="1848"/>
        <v>0</v>
      </c>
      <c r="CG910">
        <f t="shared" si="1848"/>
        <v>0</v>
      </c>
      <c r="CH910">
        <f t="shared" si="1848"/>
        <v>0</v>
      </c>
      <c r="CI910">
        <f t="shared" si="1848"/>
        <v>0</v>
      </c>
      <c r="CJ910">
        <f t="shared" si="1848"/>
        <v>0</v>
      </c>
      <c r="CK910">
        <f t="shared" si="1848"/>
        <v>0</v>
      </c>
      <c r="CL910">
        <f t="shared" si="1848"/>
        <v>0</v>
      </c>
      <c r="CM910">
        <f t="shared" si="1849"/>
        <v>0</v>
      </c>
      <c r="CN910">
        <f t="shared" si="1849"/>
        <v>0</v>
      </c>
      <c r="CO910">
        <f t="shared" si="1849"/>
        <v>0</v>
      </c>
      <c r="CP910">
        <f t="shared" si="1849"/>
        <v>0</v>
      </c>
      <c r="CQ910">
        <f t="shared" si="1849"/>
        <v>0</v>
      </c>
      <c r="CR910">
        <f t="shared" si="1849"/>
        <v>0</v>
      </c>
      <c r="CS910">
        <f t="shared" si="1849"/>
        <v>0</v>
      </c>
      <c r="CT910">
        <f t="shared" si="1849"/>
        <v>0</v>
      </c>
      <c r="CU910">
        <f t="shared" si="1849"/>
        <v>0</v>
      </c>
      <c r="CV910">
        <f t="shared" si="1849"/>
        <v>0</v>
      </c>
      <c r="CW910">
        <f t="shared" si="1850"/>
        <v>0</v>
      </c>
      <c r="CX910">
        <f t="shared" si="1850"/>
        <v>0</v>
      </c>
      <c r="CY910">
        <f t="shared" si="1850"/>
        <v>0</v>
      </c>
      <c r="CZ910">
        <f t="shared" si="1850"/>
        <v>0</v>
      </c>
      <c r="DA910">
        <f t="shared" si="1850"/>
        <v>0</v>
      </c>
      <c r="DB910">
        <f t="shared" si="1850"/>
        <v>0</v>
      </c>
      <c r="DC910">
        <f t="shared" si="1850"/>
        <v>0</v>
      </c>
      <c r="DD910">
        <f t="shared" si="1850"/>
        <v>0</v>
      </c>
      <c r="DE910">
        <f t="shared" si="1850"/>
        <v>0</v>
      </c>
      <c r="DF910">
        <f t="shared" si="1850"/>
        <v>0</v>
      </c>
      <c r="DG910">
        <f t="shared" si="1851"/>
        <v>0</v>
      </c>
      <c r="DH910">
        <f t="shared" si="1851"/>
        <v>0</v>
      </c>
      <c r="DI910">
        <f t="shared" si="1851"/>
        <v>0</v>
      </c>
      <c r="DJ910">
        <f t="shared" si="1851"/>
        <v>0</v>
      </c>
      <c r="DK910">
        <f t="shared" si="1851"/>
        <v>0</v>
      </c>
      <c r="DL910">
        <f t="shared" si="1851"/>
        <v>0</v>
      </c>
      <c r="DM910">
        <f t="shared" si="1851"/>
        <v>0</v>
      </c>
      <c r="DN910">
        <f t="shared" si="1851"/>
        <v>0</v>
      </c>
      <c r="DO910">
        <f t="shared" si="1851"/>
        <v>0</v>
      </c>
      <c r="DP910">
        <f t="shared" si="1851"/>
        <v>0</v>
      </c>
      <c r="DQ910">
        <f t="shared" si="1852"/>
        <v>0</v>
      </c>
      <c r="DR910">
        <f t="shared" si="1852"/>
        <v>0</v>
      </c>
      <c r="DS910">
        <f t="shared" si="1852"/>
        <v>0</v>
      </c>
      <c r="DT910">
        <f t="shared" si="1852"/>
        <v>0</v>
      </c>
      <c r="DU910">
        <f t="shared" si="1852"/>
        <v>0</v>
      </c>
      <c r="DV910">
        <f t="shared" si="1852"/>
        <v>0</v>
      </c>
      <c r="DW910">
        <f t="shared" si="1852"/>
        <v>0</v>
      </c>
      <c r="DX910">
        <f t="shared" si="1852"/>
        <v>0</v>
      </c>
      <c r="DY910">
        <f t="shared" si="1852"/>
        <v>0</v>
      </c>
      <c r="DZ910">
        <f t="shared" si="1852"/>
        <v>0</v>
      </c>
      <c r="EA910">
        <f t="shared" si="1854"/>
        <v>0</v>
      </c>
      <c r="EB910">
        <f t="shared" si="1854"/>
        <v>0</v>
      </c>
      <c r="EC910">
        <f t="shared" si="1854"/>
        <v>0</v>
      </c>
      <c r="ED910">
        <f t="shared" si="1854"/>
        <v>0</v>
      </c>
      <c r="EE910">
        <f t="shared" si="1854"/>
        <v>0</v>
      </c>
      <c r="EF910">
        <f t="shared" si="1854"/>
        <v>0</v>
      </c>
    </row>
    <row r="911" spans="1:136" ht="15.5">
      <c r="A911" s="90"/>
      <c r="B911" s="57" t="s">
        <v>208</v>
      </c>
      <c r="C911" s="95"/>
      <c r="D911" s="18">
        <v>0</v>
      </c>
      <c r="E911" s="18">
        <v>0</v>
      </c>
      <c r="F911" s="18">
        <v>0</v>
      </c>
      <c r="G911" s="18">
        <v>0</v>
      </c>
      <c r="H911" s="18">
        <v>0</v>
      </c>
      <c r="I911" s="18">
        <v>0</v>
      </c>
      <c r="J911" s="18">
        <v>0</v>
      </c>
      <c r="K911" s="18">
        <v>0</v>
      </c>
      <c r="L911" s="18">
        <v>0</v>
      </c>
      <c r="M911" s="18">
        <v>0</v>
      </c>
      <c r="N911" s="18">
        <v>1.532</v>
      </c>
      <c r="O911" s="18">
        <v>1.6040000000000001</v>
      </c>
      <c r="P911" s="18">
        <v>1.9149999999999998</v>
      </c>
      <c r="Q911" s="18">
        <v>1.7589999999999999</v>
      </c>
      <c r="R911" s="18">
        <v>1.716</v>
      </c>
      <c r="S911" s="18">
        <v>1.6950000000000001</v>
      </c>
      <c r="T911" s="18">
        <v>1.7969999999999999</v>
      </c>
      <c r="U911" s="18">
        <v>2.2729999999999997</v>
      </c>
      <c r="V911" s="18">
        <v>4.1420000000000003</v>
      </c>
      <c r="W911" s="18">
        <v>2.919</v>
      </c>
      <c r="X911" s="18">
        <v>1.415</v>
      </c>
      <c r="Y911" s="18">
        <v>0.89300000000000002</v>
      </c>
      <c r="Z911" s="18">
        <v>5.7770000000000001</v>
      </c>
      <c r="AA911" s="18">
        <v>14.877000000000001</v>
      </c>
      <c r="AB911" s="18">
        <v>25.33</v>
      </c>
      <c r="AC911" s="18">
        <v>43.230999999999995</v>
      </c>
      <c r="AD911" s="40" t="s">
        <v>16</v>
      </c>
      <c r="AE911" s="40" t="s">
        <v>16</v>
      </c>
      <c r="AF911" s="40" t="s">
        <v>16</v>
      </c>
      <c r="AG911" s="40" t="s">
        <v>16</v>
      </c>
      <c r="AH911" s="40" t="s">
        <v>16</v>
      </c>
      <c r="AI911" s="18">
        <v>44</v>
      </c>
      <c r="AJ911" s="40" t="s">
        <v>16</v>
      </c>
      <c r="AK911" s="18">
        <v>55</v>
      </c>
      <c r="AL911" s="18">
        <v>70.319000000000003</v>
      </c>
      <c r="AM911" s="18">
        <v>47.294000000000004</v>
      </c>
      <c r="AN911" s="18">
        <v>42.951999999999998</v>
      </c>
      <c r="AO911" s="18">
        <v>41.418999999999997</v>
      </c>
      <c r="AP911" s="18">
        <v>41.200999999999993</v>
      </c>
      <c r="AQ911" s="18">
        <v>32.26</v>
      </c>
      <c r="AR911" s="18">
        <v>31.203814000000001</v>
      </c>
      <c r="AS911" s="18">
        <v>31.769604299999997</v>
      </c>
      <c r="AT911" s="18">
        <v>32.025423799999999</v>
      </c>
      <c r="AU911" s="18">
        <v>26.834104</v>
      </c>
      <c r="AV911" s="18">
        <v>7.6188400999999999</v>
      </c>
      <c r="AW911" s="18">
        <v>7.1375613000000007</v>
      </c>
      <c r="AX911" s="18">
        <v>7.1351032999999999</v>
      </c>
      <c r="AY911" s="18">
        <v>7.1412497000000004</v>
      </c>
      <c r="AZ911" s="18">
        <v>7.1624777000000002</v>
      </c>
      <c r="BA911" s="18">
        <v>7.1783442000000006</v>
      </c>
      <c r="BB911" s="18">
        <v>7.2346982000000004</v>
      </c>
      <c r="BC911" s="18">
        <v>7.1571752000000002</v>
      </c>
      <c r="BD911" s="25">
        <v>7.1612285</v>
      </c>
      <c r="BE911" s="25">
        <v>7.1538032000000005</v>
      </c>
      <c r="BF911" s="34">
        <v>4.0756500000000001E-2</v>
      </c>
      <c r="BG911" s="34">
        <v>3.17787E-2</v>
      </c>
      <c r="BH911" s="34">
        <v>3.7780099999999997E-2</v>
      </c>
      <c r="BI911" s="34">
        <v>4.1980400000000001E-2</v>
      </c>
      <c r="BJ911" s="103">
        <v>3.5961099999999996E-2</v>
      </c>
      <c r="BK911" s="103">
        <v>3.6861400000000002E-2</v>
      </c>
      <c r="BL911" s="103">
        <v>3.5203699999999997E-2</v>
      </c>
      <c r="BM911" s="103">
        <v>3.2504699999999997E-2</v>
      </c>
      <c r="BN911" s="103">
        <v>3.04233E-2</v>
      </c>
      <c r="BO911" s="103">
        <v>3.04233E-2</v>
      </c>
      <c r="BP911" s="103">
        <v>3.04233E-2</v>
      </c>
      <c r="BQ911" s="103">
        <v>3.04233E-2</v>
      </c>
      <c r="BR911" s="101"/>
      <c r="BS911">
        <f t="shared" si="1847"/>
        <v>0</v>
      </c>
      <c r="BT911">
        <f t="shared" si="1847"/>
        <v>0</v>
      </c>
      <c r="BU911">
        <f t="shared" si="1847"/>
        <v>0</v>
      </c>
      <c r="BV911">
        <f t="shared" si="1847"/>
        <v>0</v>
      </c>
      <c r="BW911">
        <f t="shared" si="1847"/>
        <v>0</v>
      </c>
      <c r="BX911">
        <f t="shared" si="1847"/>
        <v>0</v>
      </c>
      <c r="BY911">
        <f t="shared" si="1847"/>
        <v>0</v>
      </c>
      <c r="BZ911">
        <f t="shared" si="1847"/>
        <v>0</v>
      </c>
      <c r="CA911">
        <f t="shared" si="1847"/>
        <v>0</v>
      </c>
      <c r="CB911">
        <f t="shared" si="1847"/>
        <v>0</v>
      </c>
      <c r="CC911">
        <f t="shared" si="1848"/>
        <v>0</v>
      </c>
      <c r="CD911">
        <f t="shared" si="1848"/>
        <v>0</v>
      </c>
      <c r="CE911">
        <f t="shared" si="1848"/>
        <v>0</v>
      </c>
      <c r="CF911">
        <f t="shared" si="1848"/>
        <v>0</v>
      </c>
      <c r="CG911">
        <f t="shared" si="1848"/>
        <v>0</v>
      </c>
      <c r="CH911">
        <f t="shared" si="1848"/>
        <v>0</v>
      </c>
      <c r="CI911">
        <f t="shared" si="1848"/>
        <v>0</v>
      </c>
      <c r="CJ911">
        <f t="shared" si="1848"/>
        <v>0</v>
      </c>
      <c r="CK911">
        <f t="shared" si="1848"/>
        <v>0</v>
      </c>
      <c r="CL911">
        <f t="shared" si="1848"/>
        <v>0</v>
      </c>
      <c r="CM911">
        <f t="shared" si="1849"/>
        <v>0</v>
      </c>
      <c r="CN911">
        <f t="shared" si="1849"/>
        <v>0</v>
      </c>
      <c r="CO911">
        <f t="shared" si="1849"/>
        <v>0</v>
      </c>
      <c r="CP911">
        <f t="shared" si="1849"/>
        <v>0</v>
      </c>
      <c r="CQ911">
        <f t="shared" si="1849"/>
        <v>0</v>
      </c>
      <c r="CR911">
        <f t="shared" si="1849"/>
        <v>0</v>
      </c>
      <c r="CS911">
        <f t="shared" si="1849"/>
        <v>0</v>
      </c>
      <c r="CT911">
        <f t="shared" si="1849"/>
        <v>0</v>
      </c>
      <c r="CU911">
        <f t="shared" si="1849"/>
        <v>0</v>
      </c>
      <c r="CV911">
        <f t="shared" si="1849"/>
        <v>0</v>
      </c>
      <c r="CW911">
        <f t="shared" si="1850"/>
        <v>0</v>
      </c>
      <c r="CX911">
        <f t="shared" si="1850"/>
        <v>0</v>
      </c>
      <c r="CY911">
        <f t="shared" si="1850"/>
        <v>0</v>
      </c>
      <c r="CZ911">
        <f t="shared" si="1850"/>
        <v>0</v>
      </c>
      <c r="DA911">
        <f t="shared" si="1850"/>
        <v>0</v>
      </c>
      <c r="DB911">
        <f t="shared" si="1850"/>
        <v>0</v>
      </c>
      <c r="DC911">
        <f t="shared" si="1850"/>
        <v>0</v>
      </c>
      <c r="DD911">
        <f t="shared" si="1850"/>
        <v>0</v>
      </c>
      <c r="DE911">
        <f t="shared" si="1850"/>
        <v>0</v>
      </c>
      <c r="DF911">
        <f t="shared" si="1850"/>
        <v>0</v>
      </c>
      <c r="DG911">
        <f t="shared" si="1851"/>
        <v>0</v>
      </c>
      <c r="DH911">
        <f t="shared" si="1851"/>
        <v>0</v>
      </c>
      <c r="DI911">
        <f t="shared" si="1851"/>
        <v>0</v>
      </c>
      <c r="DJ911">
        <f t="shared" si="1851"/>
        <v>0</v>
      </c>
      <c r="DK911">
        <f t="shared" si="1851"/>
        <v>0</v>
      </c>
      <c r="DL911">
        <f t="shared" si="1851"/>
        <v>0</v>
      </c>
      <c r="DM911">
        <f t="shared" si="1851"/>
        <v>0</v>
      </c>
      <c r="DN911">
        <f t="shared" si="1851"/>
        <v>0</v>
      </c>
      <c r="DO911">
        <f t="shared" si="1851"/>
        <v>0</v>
      </c>
      <c r="DP911">
        <f t="shared" si="1851"/>
        <v>0</v>
      </c>
      <c r="DQ911">
        <f t="shared" si="1852"/>
        <v>0</v>
      </c>
      <c r="DR911">
        <f t="shared" si="1852"/>
        <v>0</v>
      </c>
      <c r="DS911">
        <f t="shared" si="1852"/>
        <v>0</v>
      </c>
      <c r="DT911">
        <f t="shared" si="1852"/>
        <v>0</v>
      </c>
      <c r="DU911">
        <f t="shared" si="1852"/>
        <v>0</v>
      </c>
      <c r="DV911">
        <f t="shared" si="1852"/>
        <v>0</v>
      </c>
      <c r="DW911">
        <f t="shared" si="1852"/>
        <v>0</v>
      </c>
      <c r="DX911">
        <f t="shared" si="1852"/>
        <v>0</v>
      </c>
      <c r="DY911">
        <f t="shared" si="1852"/>
        <v>0</v>
      </c>
      <c r="DZ911">
        <f t="shared" si="1852"/>
        <v>0</v>
      </c>
      <c r="EA911">
        <f t="shared" si="1854"/>
        <v>0</v>
      </c>
      <c r="EB911">
        <f t="shared" si="1854"/>
        <v>0</v>
      </c>
      <c r="EC911">
        <f t="shared" si="1854"/>
        <v>0</v>
      </c>
      <c r="ED911">
        <f t="shared" si="1854"/>
        <v>0</v>
      </c>
      <c r="EE911">
        <f t="shared" si="1854"/>
        <v>0</v>
      </c>
      <c r="EF911">
        <f t="shared" si="1854"/>
        <v>0</v>
      </c>
    </row>
    <row r="912" spans="1:136" ht="15.5">
      <c r="A912" s="90"/>
      <c r="B912" s="105" t="s">
        <v>21</v>
      </c>
      <c r="C912" s="95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40"/>
      <c r="AE912" s="40"/>
      <c r="AF912" s="40"/>
      <c r="AG912" s="40"/>
      <c r="AH912" s="18">
        <v>0</v>
      </c>
      <c r="AI912" s="18">
        <v>0</v>
      </c>
      <c r="AJ912" s="18">
        <v>0</v>
      </c>
      <c r="AK912" s="18">
        <v>0</v>
      </c>
      <c r="AL912" s="18">
        <v>0</v>
      </c>
      <c r="AM912" s="18">
        <v>0</v>
      </c>
      <c r="AN912" s="18">
        <v>0</v>
      </c>
      <c r="AO912" s="18">
        <v>0</v>
      </c>
      <c r="AP912" s="18">
        <v>0</v>
      </c>
      <c r="AQ912" s="18">
        <v>0</v>
      </c>
      <c r="AR912" s="18">
        <v>0</v>
      </c>
      <c r="AS912" s="18">
        <v>0</v>
      </c>
      <c r="AT912" s="18">
        <f>-22.8+138</f>
        <v>115.2</v>
      </c>
      <c r="AU912" s="18">
        <v>138</v>
      </c>
      <c r="AV912" s="18">
        <v>138</v>
      </c>
      <c r="AW912" s="18">
        <v>138</v>
      </c>
      <c r="AX912" s="18">
        <v>0</v>
      </c>
      <c r="AY912" s="18">
        <v>0</v>
      </c>
      <c r="AZ912" s="18">
        <v>0</v>
      </c>
      <c r="BA912" s="18">
        <v>0</v>
      </c>
      <c r="BB912" s="18">
        <v>0</v>
      </c>
      <c r="BC912" s="18">
        <v>0</v>
      </c>
      <c r="BD912" s="25">
        <v>0</v>
      </c>
      <c r="BE912" s="25">
        <v>0</v>
      </c>
      <c r="BF912" s="34">
        <v>0</v>
      </c>
      <c r="BG912" s="34">
        <v>0</v>
      </c>
      <c r="BH912" s="34">
        <v>0</v>
      </c>
      <c r="BI912" s="34">
        <v>0</v>
      </c>
      <c r="BJ912" s="113">
        <v>0</v>
      </c>
      <c r="BK912" s="113">
        <v>0</v>
      </c>
      <c r="BL912" s="113">
        <v>0</v>
      </c>
      <c r="BM912" s="113">
        <v>0</v>
      </c>
      <c r="BN912" s="113">
        <v>0</v>
      </c>
      <c r="BO912" s="113">
        <v>0</v>
      </c>
      <c r="BP912" s="113">
        <v>0</v>
      </c>
      <c r="BQ912" s="113">
        <v>0</v>
      </c>
      <c r="BR912" s="101"/>
      <c r="BS912">
        <f t="shared" si="1847"/>
        <v>0</v>
      </c>
      <c r="BT912">
        <f t="shared" si="1847"/>
        <v>0</v>
      </c>
      <c r="BU912">
        <f t="shared" si="1847"/>
        <v>0</v>
      </c>
      <c r="BV912">
        <f t="shared" si="1847"/>
        <v>0</v>
      </c>
      <c r="BW912">
        <f t="shared" si="1847"/>
        <v>0</v>
      </c>
      <c r="BX912">
        <f t="shared" si="1847"/>
        <v>0</v>
      </c>
      <c r="BY912">
        <f t="shared" si="1847"/>
        <v>0</v>
      </c>
      <c r="BZ912">
        <f t="shared" si="1847"/>
        <v>0</v>
      </c>
      <c r="CA912">
        <f t="shared" si="1847"/>
        <v>0</v>
      </c>
      <c r="CB912">
        <f t="shared" si="1847"/>
        <v>0</v>
      </c>
      <c r="CC912">
        <f t="shared" si="1848"/>
        <v>0</v>
      </c>
      <c r="CD912">
        <f t="shared" si="1848"/>
        <v>0</v>
      </c>
      <c r="CE912">
        <f t="shared" si="1848"/>
        <v>0</v>
      </c>
      <c r="CF912">
        <f t="shared" si="1848"/>
        <v>0</v>
      </c>
      <c r="CG912">
        <f t="shared" si="1848"/>
        <v>0</v>
      </c>
      <c r="CH912">
        <f t="shared" si="1848"/>
        <v>0</v>
      </c>
      <c r="CI912">
        <f t="shared" si="1848"/>
        <v>0</v>
      </c>
      <c r="CJ912">
        <f t="shared" si="1848"/>
        <v>0</v>
      </c>
      <c r="CK912">
        <f t="shared" si="1848"/>
        <v>0</v>
      </c>
      <c r="CL912">
        <f t="shared" si="1848"/>
        <v>0</v>
      </c>
      <c r="CM912">
        <f t="shared" si="1849"/>
        <v>0</v>
      </c>
      <c r="CN912">
        <f t="shared" si="1849"/>
        <v>0</v>
      </c>
      <c r="CO912">
        <f t="shared" si="1849"/>
        <v>0</v>
      </c>
      <c r="CP912">
        <f t="shared" si="1849"/>
        <v>0</v>
      </c>
      <c r="CQ912">
        <f t="shared" si="1849"/>
        <v>0</v>
      </c>
      <c r="CR912">
        <f t="shared" si="1849"/>
        <v>0</v>
      </c>
      <c r="CS912">
        <f t="shared" si="1849"/>
        <v>0</v>
      </c>
      <c r="CT912">
        <f t="shared" si="1849"/>
        <v>0</v>
      </c>
      <c r="CU912">
        <f t="shared" si="1849"/>
        <v>0</v>
      </c>
      <c r="CV912">
        <f t="shared" si="1849"/>
        <v>0</v>
      </c>
      <c r="CW912">
        <f t="shared" si="1850"/>
        <v>0</v>
      </c>
      <c r="CX912">
        <f t="shared" si="1850"/>
        <v>0</v>
      </c>
      <c r="CY912">
        <f t="shared" si="1850"/>
        <v>0</v>
      </c>
      <c r="CZ912">
        <f t="shared" si="1850"/>
        <v>0</v>
      </c>
      <c r="DA912">
        <f t="shared" si="1850"/>
        <v>0</v>
      </c>
      <c r="DB912">
        <f t="shared" si="1850"/>
        <v>0</v>
      </c>
      <c r="DC912">
        <f t="shared" si="1850"/>
        <v>0</v>
      </c>
      <c r="DD912">
        <f t="shared" si="1850"/>
        <v>0</v>
      </c>
      <c r="DE912">
        <f t="shared" si="1850"/>
        <v>0</v>
      </c>
      <c r="DF912">
        <f t="shared" si="1850"/>
        <v>0</v>
      </c>
      <c r="DG912">
        <f t="shared" si="1851"/>
        <v>0</v>
      </c>
      <c r="DH912">
        <f t="shared" si="1851"/>
        <v>0</v>
      </c>
      <c r="DI912">
        <f t="shared" si="1851"/>
        <v>0</v>
      </c>
      <c r="DJ912">
        <f t="shared" si="1851"/>
        <v>0</v>
      </c>
      <c r="DK912">
        <f t="shared" si="1851"/>
        <v>0</v>
      </c>
      <c r="DL912">
        <f t="shared" si="1851"/>
        <v>0</v>
      </c>
      <c r="DM912">
        <f t="shared" si="1851"/>
        <v>0</v>
      </c>
      <c r="DN912">
        <f t="shared" si="1851"/>
        <v>0</v>
      </c>
      <c r="DO912">
        <f t="shared" si="1851"/>
        <v>0</v>
      </c>
      <c r="DP912">
        <f t="shared" si="1851"/>
        <v>0</v>
      </c>
      <c r="DQ912">
        <f t="shared" si="1852"/>
        <v>0</v>
      </c>
      <c r="DR912">
        <f t="shared" si="1852"/>
        <v>0</v>
      </c>
      <c r="DS912">
        <f t="shared" si="1852"/>
        <v>0</v>
      </c>
      <c r="DT912">
        <f t="shared" si="1852"/>
        <v>0</v>
      </c>
      <c r="DU912">
        <f t="shared" si="1852"/>
        <v>0</v>
      </c>
      <c r="DV912">
        <f t="shared" si="1852"/>
        <v>0</v>
      </c>
      <c r="DW912">
        <f t="shared" si="1852"/>
        <v>0</v>
      </c>
      <c r="DX912">
        <f t="shared" si="1852"/>
        <v>0</v>
      </c>
      <c r="DY912">
        <f t="shared" si="1852"/>
        <v>0</v>
      </c>
      <c r="DZ912">
        <f t="shared" si="1852"/>
        <v>0</v>
      </c>
      <c r="EA912">
        <f t="shared" ref="EA912:EF913" si="1855">IF($C912&lt;&gt;"",IF(BL912&gt;0,1,0),0)</f>
        <v>0</v>
      </c>
      <c r="EB912">
        <f t="shared" si="1855"/>
        <v>0</v>
      </c>
      <c r="EC912">
        <f t="shared" si="1855"/>
        <v>0</v>
      </c>
      <c r="ED912">
        <f t="shared" si="1855"/>
        <v>0</v>
      </c>
      <c r="EE912">
        <f t="shared" si="1855"/>
        <v>0</v>
      </c>
      <c r="EF912">
        <f t="shared" si="1855"/>
        <v>0</v>
      </c>
    </row>
    <row r="913" spans="1:136" ht="15.5">
      <c r="A913" s="90"/>
      <c r="B913" s="57" t="s">
        <v>212</v>
      </c>
      <c r="C913" s="95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40"/>
      <c r="AE913" s="40"/>
      <c r="AF913" s="40"/>
      <c r="AG913" s="40"/>
      <c r="AH913" s="18">
        <v>101.52727272727273</v>
      </c>
      <c r="AI913" s="18">
        <v>128.86153846153846</v>
      </c>
      <c r="AJ913" s="18">
        <v>148.90666666666667</v>
      </c>
      <c r="AK913" s="18">
        <v>125.37844036697248</v>
      </c>
      <c r="AL913" s="18">
        <v>4.8083989501312336</v>
      </c>
      <c r="AM913" s="18">
        <v>89.230769230769226</v>
      </c>
      <c r="AN913" s="18">
        <v>17.967914438502675</v>
      </c>
      <c r="AO913" s="18">
        <v>10.771349862258953</v>
      </c>
      <c r="AP913" s="18">
        <v>19.295671313279531</v>
      </c>
      <c r="AQ913" s="18">
        <v>14.107085604360371</v>
      </c>
      <c r="AR913" s="18">
        <v>98.508318990246707</v>
      </c>
      <c r="AS913" s="18">
        <v>15.903555772040916</v>
      </c>
      <c r="AT913" s="18">
        <v>115</v>
      </c>
      <c r="AU913" s="18">
        <v>66</v>
      </c>
      <c r="AV913" s="18">
        <v>39</v>
      </c>
      <c r="AW913" s="18">
        <v>0</v>
      </c>
      <c r="AX913" s="18">
        <v>0</v>
      </c>
      <c r="AY913" s="18">
        <v>0</v>
      </c>
      <c r="AZ913" s="18">
        <v>0</v>
      </c>
      <c r="BA913" s="18">
        <v>0</v>
      </c>
      <c r="BB913" s="18">
        <v>0</v>
      </c>
      <c r="BC913" s="18">
        <v>0</v>
      </c>
      <c r="BD913" s="25">
        <v>0</v>
      </c>
      <c r="BE913" s="25">
        <v>0</v>
      </c>
      <c r="BF913" s="34">
        <v>0</v>
      </c>
      <c r="BG913" s="34">
        <v>0</v>
      </c>
      <c r="BH913" s="34">
        <v>0</v>
      </c>
      <c r="BI913" s="34">
        <v>0</v>
      </c>
      <c r="BJ913" s="113">
        <v>0</v>
      </c>
      <c r="BK913" s="113">
        <v>0</v>
      </c>
      <c r="BL913" s="113">
        <v>0</v>
      </c>
      <c r="BM913" s="113">
        <v>0</v>
      </c>
      <c r="BN913" s="113">
        <v>0</v>
      </c>
      <c r="BO913" s="113">
        <v>0</v>
      </c>
      <c r="BP913" s="113">
        <v>0</v>
      </c>
      <c r="BQ913" s="113">
        <v>0</v>
      </c>
      <c r="BR913" s="101"/>
      <c r="BS913">
        <f t="shared" si="1847"/>
        <v>0</v>
      </c>
      <c r="BT913">
        <f t="shared" si="1847"/>
        <v>0</v>
      </c>
      <c r="BU913">
        <f t="shared" si="1847"/>
        <v>0</v>
      </c>
      <c r="BV913">
        <f t="shared" si="1847"/>
        <v>0</v>
      </c>
      <c r="BW913">
        <f t="shared" si="1847"/>
        <v>0</v>
      </c>
      <c r="BX913">
        <f t="shared" si="1847"/>
        <v>0</v>
      </c>
      <c r="BY913">
        <f t="shared" si="1847"/>
        <v>0</v>
      </c>
      <c r="BZ913">
        <f t="shared" si="1847"/>
        <v>0</v>
      </c>
      <c r="CA913">
        <f t="shared" si="1847"/>
        <v>0</v>
      </c>
      <c r="CB913">
        <f t="shared" si="1847"/>
        <v>0</v>
      </c>
      <c r="CC913">
        <f t="shared" si="1848"/>
        <v>0</v>
      </c>
      <c r="CD913">
        <f t="shared" si="1848"/>
        <v>0</v>
      </c>
      <c r="CE913">
        <f t="shared" si="1848"/>
        <v>0</v>
      </c>
      <c r="CF913">
        <f t="shared" si="1848"/>
        <v>0</v>
      </c>
      <c r="CG913">
        <f t="shared" si="1848"/>
        <v>0</v>
      </c>
      <c r="CH913">
        <f t="shared" si="1848"/>
        <v>0</v>
      </c>
      <c r="CI913">
        <f t="shared" si="1848"/>
        <v>0</v>
      </c>
      <c r="CJ913">
        <f t="shared" si="1848"/>
        <v>0</v>
      </c>
      <c r="CK913">
        <f t="shared" si="1848"/>
        <v>0</v>
      </c>
      <c r="CL913">
        <f t="shared" si="1848"/>
        <v>0</v>
      </c>
      <c r="CM913">
        <f t="shared" si="1849"/>
        <v>0</v>
      </c>
      <c r="CN913">
        <f t="shared" si="1849"/>
        <v>0</v>
      </c>
      <c r="CO913">
        <f t="shared" si="1849"/>
        <v>0</v>
      </c>
      <c r="CP913">
        <f t="shared" si="1849"/>
        <v>0</v>
      </c>
      <c r="CQ913">
        <f t="shared" si="1849"/>
        <v>0</v>
      </c>
      <c r="CR913">
        <f t="shared" si="1849"/>
        <v>0</v>
      </c>
      <c r="CS913">
        <f t="shared" si="1849"/>
        <v>0</v>
      </c>
      <c r="CT913">
        <f t="shared" si="1849"/>
        <v>0</v>
      </c>
      <c r="CU913">
        <f t="shared" si="1849"/>
        <v>0</v>
      </c>
      <c r="CV913">
        <f t="shared" si="1849"/>
        <v>0</v>
      </c>
      <c r="CW913">
        <f t="shared" si="1850"/>
        <v>0</v>
      </c>
      <c r="CX913">
        <f t="shared" si="1850"/>
        <v>0</v>
      </c>
      <c r="CY913">
        <f t="shared" si="1850"/>
        <v>0</v>
      </c>
      <c r="CZ913">
        <f t="shared" si="1850"/>
        <v>0</v>
      </c>
      <c r="DA913">
        <f t="shared" si="1850"/>
        <v>0</v>
      </c>
      <c r="DB913">
        <f t="shared" si="1850"/>
        <v>0</v>
      </c>
      <c r="DC913">
        <f t="shared" si="1850"/>
        <v>0</v>
      </c>
      <c r="DD913">
        <f t="shared" si="1850"/>
        <v>0</v>
      </c>
      <c r="DE913">
        <f t="shared" si="1850"/>
        <v>0</v>
      </c>
      <c r="DF913">
        <f t="shared" si="1850"/>
        <v>0</v>
      </c>
      <c r="DG913">
        <f t="shared" si="1851"/>
        <v>0</v>
      </c>
      <c r="DH913">
        <f t="shared" si="1851"/>
        <v>0</v>
      </c>
      <c r="DI913">
        <f t="shared" si="1851"/>
        <v>0</v>
      </c>
      <c r="DJ913">
        <f t="shared" si="1851"/>
        <v>0</v>
      </c>
      <c r="DK913">
        <f t="shared" si="1851"/>
        <v>0</v>
      </c>
      <c r="DL913">
        <f t="shared" si="1851"/>
        <v>0</v>
      </c>
      <c r="DM913">
        <f t="shared" si="1851"/>
        <v>0</v>
      </c>
      <c r="DN913">
        <f t="shared" si="1851"/>
        <v>0</v>
      </c>
      <c r="DO913">
        <f t="shared" si="1851"/>
        <v>0</v>
      </c>
      <c r="DP913">
        <f t="shared" si="1851"/>
        <v>0</v>
      </c>
      <c r="DQ913">
        <f t="shared" si="1852"/>
        <v>0</v>
      </c>
      <c r="DR913">
        <f t="shared" si="1852"/>
        <v>0</v>
      </c>
      <c r="DS913">
        <f t="shared" si="1852"/>
        <v>0</v>
      </c>
      <c r="DT913">
        <f t="shared" si="1852"/>
        <v>0</v>
      </c>
      <c r="DU913">
        <f t="shared" si="1852"/>
        <v>0</v>
      </c>
      <c r="DV913">
        <f t="shared" si="1852"/>
        <v>0</v>
      </c>
      <c r="DW913">
        <f t="shared" si="1852"/>
        <v>0</v>
      </c>
      <c r="DX913">
        <f t="shared" si="1852"/>
        <v>0</v>
      </c>
      <c r="DY913">
        <f t="shared" si="1852"/>
        <v>0</v>
      </c>
      <c r="DZ913">
        <f t="shared" si="1852"/>
        <v>0</v>
      </c>
      <c r="EA913">
        <f t="shared" si="1855"/>
        <v>0</v>
      </c>
      <c r="EB913">
        <f t="shared" si="1855"/>
        <v>0</v>
      </c>
      <c r="EC913">
        <f t="shared" si="1855"/>
        <v>0</v>
      </c>
      <c r="ED913">
        <f t="shared" si="1855"/>
        <v>0</v>
      </c>
      <c r="EE913">
        <f t="shared" si="1855"/>
        <v>0</v>
      </c>
      <c r="EF913">
        <f t="shared" si="1855"/>
        <v>0</v>
      </c>
    </row>
    <row r="914" spans="1:136" ht="15.5">
      <c r="A914" s="90"/>
      <c r="B914" s="19"/>
      <c r="C914" s="95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  <c r="AS914" s="18"/>
      <c r="AT914" s="18"/>
      <c r="AU914" s="18"/>
      <c r="AV914" s="18"/>
      <c r="AW914" s="18"/>
      <c r="AX914" s="18"/>
      <c r="AY914" s="18"/>
      <c r="AZ914" s="18"/>
      <c r="BA914" s="18"/>
      <c r="BB914" s="18"/>
      <c r="BC914" s="18"/>
      <c r="BD914" s="18"/>
      <c r="BE914" s="25"/>
      <c r="BF914" s="34"/>
      <c r="BG914" s="18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101"/>
    </row>
    <row r="915" spans="1:136" ht="15.5">
      <c r="A915" s="93">
        <v>115</v>
      </c>
      <c r="B915" s="52" t="s">
        <v>116</v>
      </c>
      <c r="C915" s="95">
        <v>3</v>
      </c>
      <c r="D915" s="22">
        <f t="shared" ref="D915:AI915" si="1856">SUM(D916:D924)</f>
        <v>0</v>
      </c>
      <c r="E915" s="22">
        <f t="shared" si="1856"/>
        <v>0</v>
      </c>
      <c r="F915" s="22">
        <f t="shared" si="1856"/>
        <v>0</v>
      </c>
      <c r="G915" s="22">
        <f t="shared" si="1856"/>
        <v>0</v>
      </c>
      <c r="H915" s="22">
        <f t="shared" si="1856"/>
        <v>0</v>
      </c>
      <c r="I915" s="22">
        <f t="shared" si="1856"/>
        <v>0</v>
      </c>
      <c r="J915" s="22">
        <f t="shared" si="1856"/>
        <v>0</v>
      </c>
      <c r="K915" s="22">
        <f t="shared" si="1856"/>
        <v>0</v>
      </c>
      <c r="L915" s="22">
        <f t="shared" si="1856"/>
        <v>248</v>
      </c>
      <c r="M915" s="22">
        <f t="shared" si="1856"/>
        <v>100</v>
      </c>
      <c r="N915" s="22">
        <f t="shared" si="1856"/>
        <v>346.8</v>
      </c>
      <c r="O915" s="22">
        <f t="shared" si="1856"/>
        <v>0</v>
      </c>
      <c r="P915" s="22">
        <f t="shared" si="1856"/>
        <v>0</v>
      </c>
      <c r="Q915" s="22">
        <f t="shared" si="1856"/>
        <v>0</v>
      </c>
      <c r="R915" s="22">
        <f t="shared" si="1856"/>
        <v>0</v>
      </c>
      <c r="S915" s="22">
        <f t="shared" si="1856"/>
        <v>0</v>
      </c>
      <c r="T915" s="22">
        <f t="shared" si="1856"/>
        <v>387</v>
      </c>
      <c r="U915" s="22">
        <f t="shared" si="1856"/>
        <v>0</v>
      </c>
      <c r="V915" s="22">
        <f t="shared" si="1856"/>
        <v>864</v>
      </c>
      <c r="W915" s="22">
        <f t="shared" si="1856"/>
        <v>1189</v>
      </c>
      <c r="X915" s="22">
        <f t="shared" si="1856"/>
        <v>386.01299999999998</v>
      </c>
      <c r="Y915" s="22">
        <f t="shared" si="1856"/>
        <v>33.929369668246444</v>
      </c>
      <c r="Z915" s="22">
        <f t="shared" si="1856"/>
        <v>88.30628527220631</v>
      </c>
      <c r="AA915" s="22">
        <f t="shared" si="1856"/>
        <v>2788.2399630208588</v>
      </c>
      <c r="AB915" s="22">
        <f t="shared" si="1856"/>
        <v>3144.0072779193083</v>
      </c>
      <c r="AC915" s="22">
        <f t="shared" si="1856"/>
        <v>4685.8293841145614</v>
      </c>
      <c r="AD915" s="22">
        <f t="shared" si="1856"/>
        <v>7594.8779850868823</v>
      </c>
      <c r="AE915" s="22">
        <f t="shared" si="1856"/>
        <v>9564.9153411742936</v>
      </c>
      <c r="AF915" s="22">
        <f t="shared" si="1856"/>
        <v>10564.760937881227</v>
      </c>
      <c r="AG915" s="22">
        <f t="shared" si="1856"/>
        <v>12315.675380307148</v>
      </c>
      <c r="AH915" s="22">
        <f t="shared" si="1856"/>
        <v>13385.913410985231</v>
      </c>
      <c r="AI915" s="22">
        <f t="shared" si="1856"/>
        <v>16014.725054895367</v>
      </c>
      <c r="AJ915" s="22">
        <f t="shared" ref="AJ915:BO915" si="1857">SUM(AJ916:AJ924)</f>
        <v>10953.552595074067</v>
      </c>
      <c r="AK915" s="22">
        <f t="shared" si="1857"/>
        <v>12415.158446647398</v>
      </c>
      <c r="AL915" s="22">
        <f t="shared" si="1857"/>
        <v>11652.107394826569</v>
      </c>
      <c r="AM915" s="22">
        <f t="shared" si="1857"/>
        <v>14234.728332024888</v>
      </c>
      <c r="AN915" s="22">
        <f t="shared" si="1857"/>
        <v>17878.043095265944</v>
      </c>
      <c r="AO915" s="22">
        <f t="shared" si="1857"/>
        <v>11589.387567397385</v>
      </c>
      <c r="AP915" s="22">
        <f t="shared" si="1857"/>
        <v>1068.9321308164167</v>
      </c>
      <c r="AQ915" s="22">
        <f t="shared" si="1857"/>
        <v>597.53552300254205</v>
      </c>
      <c r="AR915" s="22">
        <f t="shared" si="1857"/>
        <v>615.77884986044569</v>
      </c>
      <c r="AS915" s="22">
        <f t="shared" si="1857"/>
        <v>1841.5686505636299</v>
      </c>
      <c r="AT915" s="22">
        <f t="shared" si="1857"/>
        <v>656.09225301762399</v>
      </c>
      <c r="AU915" s="22">
        <f t="shared" si="1857"/>
        <v>644.84713429181636</v>
      </c>
      <c r="AV915" s="22">
        <f t="shared" si="1857"/>
        <v>667.95063160138557</v>
      </c>
      <c r="AW915" s="22">
        <f t="shared" si="1857"/>
        <v>666.88549065556549</v>
      </c>
      <c r="AX915" s="22">
        <f t="shared" si="1857"/>
        <v>713.45954370000004</v>
      </c>
      <c r="AY915" s="22">
        <f t="shared" si="1857"/>
        <v>3063.6186754</v>
      </c>
      <c r="AZ915" s="22">
        <f t="shared" si="1857"/>
        <v>1560.6883072999999</v>
      </c>
      <c r="BA915" s="22">
        <f t="shared" si="1857"/>
        <v>593.74493140000004</v>
      </c>
      <c r="BB915" s="22">
        <f t="shared" si="1857"/>
        <v>2425.9955854</v>
      </c>
      <c r="BC915" s="22">
        <f t="shared" si="1857"/>
        <v>585.26983540000003</v>
      </c>
      <c r="BD915" s="22">
        <f t="shared" si="1857"/>
        <v>558.41481490000001</v>
      </c>
      <c r="BE915" s="22">
        <f t="shared" si="1857"/>
        <v>547.36401450000005</v>
      </c>
      <c r="BF915" s="22">
        <f t="shared" si="1857"/>
        <v>1040.7483683</v>
      </c>
      <c r="BG915" s="22">
        <f t="shared" si="1857"/>
        <v>900.88799999999992</v>
      </c>
      <c r="BH915" s="22">
        <f t="shared" si="1857"/>
        <v>1164.693</v>
      </c>
      <c r="BI915" s="22">
        <f t="shared" si="1857"/>
        <v>558</v>
      </c>
      <c r="BJ915" s="22">
        <f t="shared" si="1857"/>
        <v>62</v>
      </c>
      <c r="BK915" s="22">
        <f t="shared" si="1857"/>
        <v>66</v>
      </c>
      <c r="BL915" s="22">
        <f t="shared" si="1857"/>
        <v>71</v>
      </c>
      <c r="BM915" s="22">
        <f t="shared" si="1857"/>
        <v>76</v>
      </c>
      <c r="BN915" s="22">
        <f t="shared" si="1857"/>
        <v>89.4</v>
      </c>
      <c r="BO915" s="22">
        <f t="shared" si="1857"/>
        <v>0</v>
      </c>
      <c r="BP915" s="22">
        <f>SUM(BP916:BP924)</f>
        <v>0</v>
      </c>
      <c r="BQ915" s="22">
        <f>SUM(BQ916:BQ924)</f>
        <v>0</v>
      </c>
      <c r="BR915" s="101"/>
      <c r="BS915">
        <f t="shared" ref="BS915:CB919" si="1858">IF($C915&lt;&gt;"",IF(D915&gt;0,1,0),0)</f>
        <v>0</v>
      </c>
      <c r="BT915">
        <f t="shared" si="1858"/>
        <v>0</v>
      </c>
      <c r="BU915">
        <f t="shared" si="1858"/>
        <v>0</v>
      </c>
      <c r="BV915">
        <f t="shared" si="1858"/>
        <v>0</v>
      </c>
      <c r="BW915">
        <f t="shared" si="1858"/>
        <v>0</v>
      </c>
      <c r="BX915">
        <f t="shared" si="1858"/>
        <v>0</v>
      </c>
      <c r="BY915">
        <f t="shared" si="1858"/>
        <v>0</v>
      </c>
      <c r="BZ915">
        <f t="shared" si="1858"/>
        <v>0</v>
      </c>
      <c r="CA915">
        <f t="shared" si="1858"/>
        <v>1</v>
      </c>
      <c r="CB915">
        <f t="shared" si="1858"/>
        <v>1</v>
      </c>
      <c r="CC915">
        <f t="shared" ref="CC915:CL919" si="1859">IF($C915&lt;&gt;"",IF(N915&gt;0,1,0),0)</f>
        <v>1</v>
      </c>
      <c r="CD915">
        <f t="shared" si="1859"/>
        <v>0</v>
      </c>
      <c r="CE915">
        <f t="shared" si="1859"/>
        <v>0</v>
      </c>
      <c r="CF915">
        <f t="shared" si="1859"/>
        <v>0</v>
      </c>
      <c r="CG915">
        <f t="shared" si="1859"/>
        <v>0</v>
      </c>
      <c r="CH915">
        <f t="shared" si="1859"/>
        <v>0</v>
      </c>
      <c r="CI915">
        <f t="shared" si="1859"/>
        <v>1</v>
      </c>
      <c r="CJ915">
        <f t="shared" si="1859"/>
        <v>0</v>
      </c>
      <c r="CK915">
        <f t="shared" si="1859"/>
        <v>1</v>
      </c>
      <c r="CL915">
        <f t="shared" si="1859"/>
        <v>1</v>
      </c>
      <c r="CM915">
        <f t="shared" ref="CM915:CV919" si="1860">IF($C915&lt;&gt;"",IF(X915&gt;0,1,0),0)</f>
        <v>1</v>
      </c>
      <c r="CN915">
        <f t="shared" si="1860"/>
        <v>1</v>
      </c>
      <c r="CO915">
        <f t="shared" si="1860"/>
        <v>1</v>
      </c>
      <c r="CP915">
        <f t="shared" si="1860"/>
        <v>1</v>
      </c>
      <c r="CQ915">
        <f t="shared" si="1860"/>
        <v>1</v>
      </c>
      <c r="CR915">
        <f t="shared" si="1860"/>
        <v>1</v>
      </c>
      <c r="CS915">
        <f t="shared" si="1860"/>
        <v>1</v>
      </c>
      <c r="CT915">
        <f t="shared" si="1860"/>
        <v>1</v>
      </c>
      <c r="CU915">
        <f t="shared" si="1860"/>
        <v>1</v>
      </c>
      <c r="CV915">
        <f t="shared" si="1860"/>
        <v>1</v>
      </c>
      <c r="CW915">
        <f t="shared" ref="CW915:DF919" si="1861">IF($C915&lt;&gt;"",IF(AH915&gt;0,1,0),0)</f>
        <v>1</v>
      </c>
      <c r="CX915">
        <f t="shared" si="1861"/>
        <v>1</v>
      </c>
      <c r="CY915">
        <f t="shared" si="1861"/>
        <v>1</v>
      </c>
      <c r="CZ915">
        <f t="shared" si="1861"/>
        <v>1</v>
      </c>
      <c r="DA915">
        <f t="shared" si="1861"/>
        <v>1</v>
      </c>
      <c r="DB915">
        <f t="shared" si="1861"/>
        <v>1</v>
      </c>
      <c r="DC915">
        <f t="shared" si="1861"/>
        <v>1</v>
      </c>
      <c r="DD915">
        <f t="shared" si="1861"/>
        <v>1</v>
      </c>
      <c r="DE915">
        <f t="shared" si="1861"/>
        <v>1</v>
      </c>
      <c r="DF915">
        <f t="shared" si="1861"/>
        <v>1</v>
      </c>
      <c r="DG915">
        <f t="shared" ref="DG915:DP919" si="1862">IF($C915&lt;&gt;"",IF(AR915&gt;0,1,0),0)</f>
        <v>1</v>
      </c>
      <c r="DH915">
        <f t="shared" si="1862"/>
        <v>1</v>
      </c>
      <c r="DI915">
        <f t="shared" si="1862"/>
        <v>1</v>
      </c>
      <c r="DJ915">
        <f t="shared" si="1862"/>
        <v>1</v>
      </c>
      <c r="DK915">
        <f t="shared" si="1862"/>
        <v>1</v>
      </c>
      <c r="DL915">
        <f t="shared" si="1862"/>
        <v>1</v>
      </c>
      <c r="DM915">
        <f t="shared" si="1862"/>
        <v>1</v>
      </c>
      <c r="DN915">
        <f t="shared" si="1862"/>
        <v>1</v>
      </c>
      <c r="DO915">
        <f t="shared" si="1862"/>
        <v>1</v>
      </c>
      <c r="DP915">
        <f t="shared" si="1862"/>
        <v>1</v>
      </c>
      <c r="DQ915">
        <f t="shared" ref="DQ915:DZ919" si="1863">IF($C915&lt;&gt;"",IF(BB915&gt;0,1,0),0)</f>
        <v>1</v>
      </c>
      <c r="DR915">
        <f t="shared" si="1863"/>
        <v>1</v>
      </c>
      <c r="DS915">
        <f t="shared" si="1863"/>
        <v>1</v>
      </c>
      <c r="DT915">
        <f t="shared" si="1863"/>
        <v>1</v>
      </c>
      <c r="DU915">
        <f t="shared" si="1863"/>
        <v>1</v>
      </c>
      <c r="DV915">
        <f t="shared" si="1863"/>
        <v>1</v>
      </c>
      <c r="DW915">
        <f t="shared" si="1863"/>
        <v>1</v>
      </c>
      <c r="DX915">
        <f t="shared" si="1863"/>
        <v>1</v>
      </c>
      <c r="DY915">
        <f t="shared" si="1863"/>
        <v>1</v>
      </c>
      <c r="DZ915">
        <f t="shared" si="1863"/>
        <v>1</v>
      </c>
      <c r="EA915">
        <f t="shared" ref="EA915:EF919" si="1864">IF($C915&lt;&gt;"",IF(BL915&gt;0,1,0),0)</f>
        <v>1</v>
      </c>
      <c r="EB915">
        <f t="shared" si="1864"/>
        <v>1</v>
      </c>
      <c r="EC915">
        <f t="shared" si="1864"/>
        <v>1</v>
      </c>
      <c r="ED915">
        <f t="shared" si="1864"/>
        <v>0</v>
      </c>
      <c r="EE915">
        <f t="shared" si="1864"/>
        <v>0</v>
      </c>
      <c r="EF915">
        <f t="shared" si="1864"/>
        <v>0</v>
      </c>
    </row>
    <row r="916" spans="1:136" ht="15.5">
      <c r="A916" s="90"/>
      <c r="B916" s="24" t="s">
        <v>15</v>
      </c>
      <c r="C916" s="95"/>
      <c r="D916" s="18">
        <v>0</v>
      </c>
      <c r="E916" s="18">
        <v>0</v>
      </c>
      <c r="F916" s="18">
        <v>0</v>
      </c>
      <c r="G916" s="18">
        <v>0</v>
      </c>
      <c r="H916" s="18">
        <v>0</v>
      </c>
      <c r="I916" s="18">
        <v>0</v>
      </c>
      <c r="J916" s="18">
        <v>0</v>
      </c>
      <c r="K916" s="18">
        <v>0</v>
      </c>
      <c r="L916" s="18">
        <v>0</v>
      </c>
      <c r="M916" s="18">
        <v>0</v>
      </c>
      <c r="N916" s="18">
        <v>0</v>
      </c>
      <c r="O916" s="18">
        <v>0</v>
      </c>
      <c r="P916" s="18">
        <v>0</v>
      </c>
      <c r="Q916" s="18">
        <v>0</v>
      </c>
      <c r="R916" s="18">
        <v>0</v>
      </c>
      <c r="S916" s="18">
        <v>0</v>
      </c>
      <c r="T916" s="18">
        <v>0</v>
      </c>
      <c r="U916" s="18">
        <v>0</v>
      </c>
      <c r="V916" s="18">
        <v>0</v>
      </c>
      <c r="W916" s="18">
        <v>0</v>
      </c>
      <c r="X916" s="18">
        <v>0</v>
      </c>
      <c r="Y916" s="18">
        <v>0</v>
      </c>
      <c r="Z916" s="18">
        <v>0</v>
      </c>
      <c r="AA916" s="18">
        <v>0</v>
      </c>
      <c r="AB916" s="18">
        <v>0</v>
      </c>
      <c r="AC916" s="18">
        <v>782.70089147210683</v>
      </c>
      <c r="AD916" s="18">
        <v>893.24629758102378</v>
      </c>
      <c r="AE916" s="18">
        <v>1112.7190971637056</v>
      </c>
      <c r="AF916" s="18">
        <v>1137.0830114373071</v>
      </c>
      <c r="AG916" s="18">
        <v>1175.5802629023037</v>
      </c>
      <c r="AH916" s="18">
        <v>1316.2319947493688</v>
      </c>
      <c r="AI916" s="18">
        <v>1386.3874682253479</v>
      </c>
      <c r="AJ916" s="18">
        <v>1384.6831193165021</v>
      </c>
      <c r="AK916" s="18">
        <v>1468.2471965863963</v>
      </c>
      <c r="AL916" s="18">
        <v>0</v>
      </c>
      <c r="AM916" s="18">
        <v>0</v>
      </c>
      <c r="AN916" s="18">
        <v>0</v>
      </c>
      <c r="AO916" s="18">
        <v>0</v>
      </c>
      <c r="AP916" s="18">
        <v>0</v>
      </c>
      <c r="AQ916" s="18">
        <v>0</v>
      </c>
      <c r="AR916" s="18">
        <v>0</v>
      </c>
      <c r="AS916" s="18">
        <v>0</v>
      </c>
      <c r="AT916" s="18">
        <v>0</v>
      </c>
      <c r="AU916" s="18">
        <v>0</v>
      </c>
      <c r="AV916" s="18">
        <v>0</v>
      </c>
      <c r="AW916" s="18">
        <v>0</v>
      </c>
      <c r="AX916" s="18">
        <v>0</v>
      </c>
      <c r="AY916" s="18">
        <v>0</v>
      </c>
      <c r="AZ916" s="18">
        <v>0</v>
      </c>
      <c r="BA916" s="18">
        <v>0</v>
      </c>
      <c r="BB916" s="18">
        <v>0</v>
      </c>
      <c r="BC916" s="18">
        <v>0</v>
      </c>
      <c r="BD916" s="18">
        <v>0</v>
      </c>
      <c r="BE916" s="25">
        <v>0</v>
      </c>
      <c r="BF916" s="18">
        <v>0</v>
      </c>
      <c r="BG916" s="18">
        <v>0</v>
      </c>
      <c r="BH916" s="18">
        <v>0</v>
      </c>
      <c r="BI916" s="18">
        <v>0</v>
      </c>
      <c r="BJ916" s="113">
        <v>0</v>
      </c>
      <c r="BK916" s="113">
        <v>0</v>
      </c>
      <c r="BL916" s="113">
        <v>0</v>
      </c>
      <c r="BM916" s="113">
        <v>0</v>
      </c>
      <c r="BN916" s="113">
        <v>0</v>
      </c>
      <c r="BO916" s="113">
        <v>0</v>
      </c>
      <c r="BP916" s="113">
        <v>0</v>
      </c>
      <c r="BQ916" s="113">
        <v>0</v>
      </c>
      <c r="BR916" s="101"/>
      <c r="BS916">
        <f t="shared" si="1858"/>
        <v>0</v>
      </c>
      <c r="BT916">
        <f t="shared" si="1858"/>
        <v>0</v>
      </c>
      <c r="BU916">
        <f t="shared" si="1858"/>
        <v>0</v>
      </c>
      <c r="BV916">
        <f t="shared" si="1858"/>
        <v>0</v>
      </c>
      <c r="BW916">
        <f t="shared" si="1858"/>
        <v>0</v>
      </c>
      <c r="BX916">
        <f t="shared" si="1858"/>
        <v>0</v>
      </c>
      <c r="BY916">
        <f t="shared" si="1858"/>
        <v>0</v>
      </c>
      <c r="BZ916">
        <f t="shared" si="1858"/>
        <v>0</v>
      </c>
      <c r="CA916">
        <f t="shared" si="1858"/>
        <v>0</v>
      </c>
      <c r="CB916">
        <f t="shared" si="1858"/>
        <v>0</v>
      </c>
      <c r="CC916">
        <f t="shared" si="1859"/>
        <v>0</v>
      </c>
      <c r="CD916">
        <f t="shared" si="1859"/>
        <v>0</v>
      </c>
      <c r="CE916">
        <f t="shared" si="1859"/>
        <v>0</v>
      </c>
      <c r="CF916">
        <f t="shared" si="1859"/>
        <v>0</v>
      </c>
      <c r="CG916">
        <f t="shared" si="1859"/>
        <v>0</v>
      </c>
      <c r="CH916">
        <f t="shared" si="1859"/>
        <v>0</v>
      </c>
      <c r="CI916">
        <f t="shared" si="1859"/>
        <v>0</v>
      </c>
      <c r="CJ916">
        <f t="shared" si="1859"/>
        <v>0</v>
      </c>
      <c r="CK916">
        <f t="shared" si="1859"/>
        <v>0</v>
      </c>
      <c r="CL916">
        <f t="shared" si="1859"/>
        <v>0</v>
      </c>
      <c r="CM916">
        <f t="shared" si="1860"/>
        <v>0</v>
      </c>
      <c r="CN916">
        <f t="shared" si="1860"/>
        <v>0</v>
      </c>
      <c r="CO916">
        <f t="shared" si="1860"/>
        <v>0</v>
      </c>
      <c r="CP916">
        <f t="shared" si="1860"/>
        <v>0</v>
      </c>
      <c r="CQ916">
        <f t="shared" si="1860"/>
        <v>0</v>
      </c>
      <c r="CR916">
        <f t="shared" si="1860"/>
        <v>0</v>
      </c>
      <c r="CS916">
        <f t="shared" si="1860"/>
        <v>0</v>
      </c>
      <c r="CT916">
        <f t="shared" si="1860"/>
        <v>0</v>
      </c>
      <c r="CU916">
        <f t="shared" si="1860"/>
        <v>0</v>
      </c>
      <c r="CV916">
        <f t="shared" si="1860"/>
        <v>0</v>
      </c>
      <c r="CW916">
        <f t="shared" si="1861"/>
        <v>0</v>
      </c>
      <c r="CX916">
        <f t="shared" si="1861"/>
        <v>0</v>
      </c>
      <c r="CY916">
        <f t="shared" si="1861"/>
        <v>0</v>
      </c>
      <c r="CZ916">
        <f t="shared" si="1861"/>
        <v>0</v>
      </c>
      <c r="DA916">
        <f t="shared" si="1861"/>
        <v>0</v>
      </c>
      <c r="DB916">
        <f t="shared" si="1861"/>
        <v>0</v>
      </c>
      <c r="DC916">
        <f t="shared" si="1861"/>
        <v>0</v>
      </c>
      <c r="DD916">
        <f t="shared" si="1861"/>
        <v>0</v>
      </c>
      <c r="DE916">
        <f t="shared" si="1861"/>
        <v>0</v>
      </c>
      <c r="DF916">
        <f t="shared" si="1861"/>
        <v>0</v>
      </c>
      <c r="DG916">
        <f t="shared" si="1862"/>
        <v>0</v>
      </c>
      <c r="DH916">
        <f t="shared" si="1862"/>
        <v>0</v>
      </c>
      <c r="DI916">
        <f t="shared" si="1862"/>
        <v>0</v>
      </c>
      <c r="DJ916">
        <f t="shared" si="1862"/>
        <v>0</v>
      </c>
      <c r="DK916">
        <f t="shared" si="1862"/>
        <v>0</v>
      </c>
      <c r="DL916">
        <f t="shared" si="1862"/>
        <v>0</v>
      </c>
      <c r="DM916">
        <f t="shared" si="1862"/>
        <v>0</v>
      </c>
      <c r="DN916">
        <f t="shared" si="1862"/>
        <v>0</v>
      </c>
      <c r="DO916">
        <f t="shared" si="1862"/>
        <v>0</v>
      </c>
      <c r="DP916">
        <f t="shared" si="1862"/>
        <v>0</v>
      </c>
      <c r="DQ916">
        <f t="shared" si="1863"/>
        <v>0</v>
      </c>
      <c r="DR916">
        <f t="shared" si="1863"/>
        <v>0</v>
      </c>
      <c r="DS916">
        <f t="shared" si="1863"/>
        <v>0</v>
      </c>
      <c r="DT916">
        <f t="shared" si="1863"/>
        <v>0</v>
      </c>
      <c r="DU916">
        <f t="shared" si="1863"/>
        <v>0</v>
      </c>
      <c r="DV916">
        <f t="shared" si="1863"/>
        <v>0</v>
      </c>
      <c r="DW916">
        <f t="shared" si="1863"/>
        <v>0</v>
      </c>
      <c r="DX916">
        <f t="shared" si="1863"/>
        <v>0</v>
      </c>
      <c r="DY916">
        <f t="shared" si="1863"/>
        <v>0</v>
      </c>
      <c r="DZ916">
        <f t="shared" si="1863"/>
        <v>0</v>
      </c>
      <c r="EA916">
        <f t="shared" si="1864"/>
        <v>0</v>
      </c>
      <c r="EB916">
        <f t="shared" si="1864"/>
        <v>0</v>
      </c>
      <c r="EC916">
        <f t="shared" si="1864"/>
        <v>0</v>
      </c>
      <c r="ED916">
        <f t="shared" si="1864"/>
        <v>0</v>
      </c>
      <c r="EE916">
        <f t="shared" si="1864"/>
        <v>0</v>
      </c>
      <c r="EF916">
        <f t="shared" si="1864"/>
        <v>0</v>
      </c>
    </row>
    <row r="917" spans="1:136" ht="15.5">
      <c r="A917" s="90"/>
      <c r="B917" s="57" t="s">
        <v>184</v>
      </c>
      <c r="C917" s="95"/>
      <c r="D917" s="18">
        <v>0</v>
      </c>
      <c r="E917" s="18">
        <v>0</v>
      </c>
      <c r="F917" s="18">
        <v>0</v>
      </c>
      <c r="G917" s="18">
        <v>0</v>
      </c>
      <c r="H917" s="18">
        <v>0</v>
      </c>
      <c r="I917" s="18">
        <v>0</v>
      </c>
      <c r="J917" s="18">
        <v>0</v>
      </c>
      <c r="K917" s="18">
        <v>0</v>
      </c>
      <c r="L917" s="18">
        <v>0</v>
      </c>
      <c r="M917" s="18">
        <v>0</v>
      </c>
      <c r="N917" s="18">
        <v>0</v>
      </c>
      <c r="O917" s="18">
        <v>0</v>
      </c>
      <c r="P917" s="18">
        <v>0</v>
      </c>
      <c r="Q917" s="18">
        <v>0</v>
      </c>
      <c r="R917" s="18">
        <v>0</v>
      </c>
      <c r="S917" s="18">
        <v>0</v>
      </c>
      <c r="T917" s="18">
        <v>0</v>
      </c>
      <c r="U917" s="18">
        <v>0</v>
      </c>
      <c r="V917" s="18">
        <v>0</v>
      </c>
      <c r="W917" s="18">
        <v>0</v>
      </c>
      <c r="X917" s="18">
        <v>0</v>
      </c>
      <c r="Y917" s="18">
        <v>0</v>
      </c>
      <c r="Z917" s="18">
        <v>0</v>
      </c>
      <c r="AA917" s="18">
        <v>0</v>
      </c>
      <c r="AB917" s="18">
        <v>0</v>
      </c>
      <c r="AC917" s="18">
        <v>0</v>
      </c>
      <c r="AD917" s="18">
        <v>0</v>
      </c>
      <c r="AE917" s="40" t="s">
        <v>16</v>
      </c>
      <c r="AF917" s="35">
        <v>317</v>
      </c>
      <c r="AG917" s="35">
        <v>259</v>
      </c>
      <c r="AH917" s="35">
        <v>760</v>
      </c>
      <c r="AI917" s="35">
        <v>856</v>
      </c>
      <c r="AJ917" s="35">
        <v>923</v>
      </c>
      <c r="AK917" s="18">
        <v>0</v>
      </c>
      <c r="AL917" s="18">
        <v>0</v>
      </c>
      <c r="AM917" s="18">
        <v>0</v>
      </c>
      <c r="AN917" s="18">
        <v>0</v>
      </c>
      <c r="AO917" s="18">
        <v>0</v>
      </c>
      <c r="AP917" s="18">
        <v>0</v>
      </c>
      <c r="AQ917" s="18">
        <v>0</v>
      </c>
      <c r="AR917" s="18">
        <v>0</v>
      </c>
      <c r="AS917" s="18">
        <v>0</v>
      </c>
      <c r="AT917" s="18">
        <v>0</v>
      </c>
      <c r="AU917" s="18">
        <v>0</v>
      </c>
      <c r="AV917" s="18">
        <v>0</v>
      </c>
      <c r="AW917" s="18">
        <v>0</v>
      </c>
      <c r="AX917" s="18">
        <v>0</v>
      </c>
      <c r="AY917" s="18">
        <v>0</v>
      </c>
      <c r="AZ917" s="18">
        <v>0</v>
      </c>
      <c r="BA917" s="18">
        <v>0</v>
      </c>
      <c r="BB917" s="18">
        <v>0</v>
      </c>
      <c r="BC917" s="18">
        <v>0</v>
      </c>
      <c r="BD917" s="18">
        <v>0</v>
      </c>
      <c r="BE917" s="18">
        <v>0</v>
      </c>
      <c r="BF917" s="18">
        <v>0</v>
      </c>
      <c r="BG917" s="18">
        <v>0</v>
      </c>
      <c r="BH917" s="18">
        <v>0</v>
      </c>
      <c r="BI917" s="18">
        <v>0</v>
      </c>
      <c r="BJ917" s="113">
        <v>0</v>
      </c>
      <c r="BK917" s="113">
        <v>0</v>
      </c>
      <c r="BL917" s="113">
        <v>0</v>
      </c>
      <c r="BM917" s="113">
        <v>0</v>
      </c>
      <c r="BN917" s="113">
        <v>0</v>
      </c>
      <c r="BO917" s="113">
        <v>0</v>
      </c>
      <c r="BP917" s="113">
        <v>0</v>
      </c>
      <c r="BQ917" s="113">
        <v>0</v>
      </c>
      <c r="BR917" s="101"/>
      <c r="BS917">
        <f t="shared" si="1858"/>
        <v>0</v>
      </c>
      <c r="BT917">
        <f t="shared" si="1858"/>
        <v>0</v>
      </c>
      <c r="BU917">
        <f t="shared" si="1858"/>
        <v>0</v>
      </c>
      <c r="BV917">
        <f t="shared" si="1858"/>
        <v>0</v>
      </c>
      <c r="BW917">
        <f t="shared" si="1858"/>
        <v>0</v>
      </c>
      <c r="BX917">
        <f t="shared" si="1858"/>
        <v>0</v>
      </c>
      <c r="BY917">
        <f t="shared" si="1858"/>
        <v>0</v>
      </c>
      <c r="BZ917">
        <f t="shared" si="1858"/>
        <v>0</v>
      </c>
      <c r="CA917">
        <f t="shared" si="1858"/>
        <v>0</v>
      </c>
      <c r="CB917">
        <f t="shared" si="1858"/>
        <v>0</v>
      </c>
      <c r="CC917">
        <f t="shared" si="1859"/>
        <v>0</v>
      </c>
      <c r="CD917">
        <f t="shared" si="1859"/>
        <v>0</v>
      </c>
      <c r="CE917">
        <f t="shared" si="1859"/>
        <v>0</v>
      </c>
      <c r="CF917">
        <f t="shared" si="1859"/>
        <v>0</v>
      </c>
      <c r="CG917">
        <f t="shared" si="1859"/>
        <v>0</v>
      </c>
      <c r="CH917">
        <f t="shared" si="1859"/>
        <v>0</v>
      </c>
      <c r="CI917">
        <f t="shared" si="1859"/>
        <v>0</v>
      </c>
      <c r="CJ917">
        <f t="shared" si="1859"/>
        <v>0</v>
      </c>
      <c r="CK917">
        <f t="shared" si="1859"/>
        <v>0</v>
      </c>
      <c r="CL917">
        <f t="shared" si="1859"/>
        <v>0</v>
      </c>
      <c r="CM917">
        <f t="shared" si="1860"/>
        <v>0</v>
      </c>
      <c r="CN917">
        <f t="shared" si="1860"/>
        <v>0</v>
      </c>
      <c r="CO917">
        <f t="shared" si="1860"/>
        <v>0</v>
      </c>
      <c r="CP917">
        <f t="shared" si="1860"/>
        <v>0</v>
      </c>
      <c r="CQ917">
        <f t="shared" si="1860"/>
        <v>0</v>
      </c>
      <c r="CR917">
        <f t="shared" si="1860"/>
        <v>0</v>
      </c>
      <c r="CS917">
        <f t="shared" si="1860"/>
        <v>0</v>
      </c>
      <c r="CT917">
        <f t="shared" si="1860"/>
        <v>0</v>
      </c>
      <c r="CU917">
        <f t="shared" si="1860"/>
        <v>0</v>
      </c>
      <c r="CV917">
        <f t="shared" si="1860"/>
        <v>0</v>
      </c>
      <c r="CW917">
        <f t="shared" si="1861"/>
        <v>0</v>
      </c>
      <c r="CX917">
        <f t="shared" si="1861"/>
        <v>0</v>
      </c>
      <c r="CY917">
        <f t="shared" si="1861"/>
        <v>0</v>
      </c>
      <c r="CZ917">
        <f t="shared" si="1861"/>
        <v>0</v>
      </c>
      <c r="DA917">
        <f t="shared" si="1861"/>
        <v>0</v>
      </c>
      <c r="DB917">
        <f t="shared" si="1861"/>
        <v>0</v>
      </c>
      <c r="DC917">
        <f t="shared" si="1861"/>
        <v>0</v>
      </c>
      <c r="DD917">
        <f t="shared" si="1861"/>
        <v>0</v>
      </c>
      <c r="DE917">
        <f t="shared" si="1861"/>
        <v>0</v>
      </c>
      <c r="DF917">
        <f t="shared" si="1861"/>
        <v>0</v>
      </c>
      <c r="DG917">
        <f t="shared" si="1862"/>
        <v>0</v>
      </c>
      <c r="DH917">
        <f t="shared" si="1862"/>
        <v>0</v>
      </c>
      <c r="DI917">
        <f t="shared" si="1862"/>
        <v>0</v>
      </c>
      <c r="DJ917">
        <f t="shared" si="1862"/>
        <v>0</v>
      </c>
      <c r="DK917">
        <f t="shared" si="1862"/>
        <v>0</v>
      </c>
      <c r="DL917">
        <f t="shared" si="1862"/>
        <v>0</v>
      </c>
      <c r="DM917">
        <f t="shared" si="1862"/>
        <v>0</v>
      </c>
      <c r="DN917">
        <f t="shared" si="1862"/>
        <v>0</v>
      </c>
      <c r="DO917">
        <f t="shared" si="1862"/>
        <v>0</v>
      </c>
      <c r="DP917">
        <f t="shared" si="1862"/>
        <v>0</v>
      </c>
      <c r="DQ917">
        <f t="shared" si="1863"/>
        <v>0</v>
      </c>
      <c r="DR917">
        <f t="shared" si="1863"/>
        <v>0</v>
      </c>
      <c r="DS917">
        <f t="shared" si="1863"/>
        <v>0</v>
      </c>
      <c r="DT917">
        <f t="shared" si="1863"/>
        <v>0</v>
      </c>
      <c r="DU917">
        <f t="shared" si="1863"/>
        <v>0</v>
      </c>
      <c r="DV917">
        <f t="shared" si="1863"/>
        <v>0</v>
      </c>
      <c r="DW917">
        <f t="shared" si="1863"/>
        <v>0</v>
      </c>
      <c r="DX917">
        <f t="shared" si="1863"/>
        <v>0</v>
      </c>
      <c r="DY917">
        <f t="shared" si="1863"/>
        <v>0</v>
      </c>
      <c r="DZ917">
        <f t="shared" si="1863"/>
        <v>0</v>
      </c>
      <c r="EA917">
        <f t="shared" si="1864"/>
        <v>0</v>
      </c>
      <c r="EB917">
        <f t="shared" si="1864"/>
        <v>0</v>
      </c>
      <c r="EC917">
        <f t="shared" si="1864"/>
        <v>0</v>
      </c>
      <c r="ED917">
        <f t="shared" si="1864"/>
        <v>0</v>
      </c>
      <c r="EE917">
        <f t="shared" si="1864"/>
        <v>0</v>
      </c>
      <c r="EF917">
        <f t="shared" si="1864"/>
        <v>0</v>
      </c>
    </row>
    <row r="918" spans="1:136" ht="15.5">
      <c r="A918" s="90"/>
      <c r="B918" s="57" t="s">
        <v>238</v>
      </c>
      <c r="C918" s="95"/>
      <c r="D918" s="18">
        <v>0</v>
      </c>
      <c r="E918" s="18">
        <v>0</v>
      </c>
      <c r="F918" s="18">
        <v>0</v>
      </c>
      <c r="G918" s="18">
        <v>0</v>
      </c>
      <c r="H918" s="18">
        <v>0</v>
      </c>
      <c r="I918" s="18">
        <v>0</v>
      </c>
      <c r="J918" s="18">
        <v>0</v>
      </c>
      <c r="K918" s="18">
        <v>0</v>
      </c>
      <c r="L918" s="18">
        <v>0</v>
      </c>
      <c r="M918" s="18">
        <v>0</v>
      </c>
      <c r="N918" s="18">
        <v>0</v>
      </c>
      <c r="O918" s="18">
        <v>0</v>
      </c>
      <c r="P918" s="18">
        <v>0</v>
      </c>
      <c r="Q918" s="18">
        <v>0</v>
      </c>
      <c r="R918" s="18">
        <v>0</v>
      </c>
      <c r="S918" s="18">
        <v>0</v>
      </c>
      <c r="T918" s="18">
        <v>0</v>
      </c>
      <c r="U918" s="18">
        <v>0</v>
      </c>
      <c r="V918" s="18">
        <v>0</v>
      </c>
      <c r="W918" s="60">
        <v>0</v>
      </c>
      <c r="X918" s="18">
        <v>0</v>
      </c>
      <c r="Y918" s="18">
        <v>0</v>
      </c>
      <c r="Z918" s="18">
        <v>0</v>
      </c>
      <c r="AA918" s="18">
        <v>0</v>
      </c>
      <c r="AB918" s="18">
        <v>0</v>
      </c>
      <c r="AC918" s="18">
        <v>0</v>
      </c>
      <c r="AD918" s="18">
        <v>0</v>
      </c>
      <c r="AE918" s="71">
        <v>0</v>
      </c>
      <c r="AF918" s="35">
        <v>0</v>
      </c>
      <c r="AG918" s="190">
        <v>202</v>
      </c>
      <c r="AH918" s="190">
        <v>598</v>
      </c>
      <c r="AI918" s="190">
        <v>674</v>
      </c>
      <c r="AJ918" s="18">
        <v>0</v>
      </c>
      <c r="AK918" s="18">
        <v>0</v>
      </c>
      <c r="AL918" s="18">
        <v>0</v>
      </c>
      <c r="AM918" s="18">
        <v>0</v>
      </c>
      <c r="AN918" s="18">
        <v>0</v>
      </c>
      <c r="AO918" s="18">
        <v>0</v>
      </c>
      <c r="AP918" s="18">
        <v>0</v>
      </c>
      <c r="AQ918" s="18">
        <v>0</v>
      </c>
      <c r="AR918" s="18">
        <v>0</v>
      </c>
      <c r="AS918" s="18">
        <v>0</v>
      </c>
      <c r="AT918" s="18">
        <v>0</v>
      </c>
      <c r="AU918" s="18">
        <v>0</v>
      </c>
      <c r="AV918" s="18">
        <v>0</v>
      </c>
      <c r="AW918" s="18">
        <v>0</v>
      </c>
      <c r="AX918" s="18">
        <v>0</v>
      </c>
      <c r="AY918" s="18">
        <v>0</v>
      </c>
      <c r="AZ918" s="18">
        <v>0</v>
      </c>
      <c r="BA918" s="18">
        <v>0</v>
      </c>
      <c r="BB918" s="18">
        <v>0</v>
      </c>
      <c r="BC918" s="18">
        <v>0</v>
      </c>
      <c r="BD918" s="18">
        <v>0</v>
      </c>
      <c r="BE918" s="18">
        <v>0</v>
      </c>
      <c r="BF918" s="18">
        <v>0</v>
      </c>
      <c r="BG918" s="18">
        <v>0</v>
      </c>
      <c r="BH918" s="18">
        <v>0</v>
      </c>
      <c r="BI918" s="18">
        <v>0</v>
      </c>
      <c r="BJ918" s="18">
        <v>0</v>
      </c>
      <c r="BK918" s="18">
        <v>0</v>
      </c>
      <c r="BL918" s="18">
        <v>0</v>
      </c>
      <c r="BM918" s="18">
        <v>0</v>
      </c>
      <c r="BN918" s="18">
        <v>0</v>
      </c>
      <c r="BO918" s="18">
        <v>0</v>
      </c>
      <c r="BP918" s="18">
        <v>0</v>
      </c>
      <c r="BQ918" s="18">
        <v>0</v>
      </c>
      <c r="BR918" s="101"/>
      <c r="BS918">
        <f t="shared" si="1858"/>
        <v>0</v>
      </c>
      <c r="BT918">
        <f t="shared" si="1858"/>
        <v>0</v>
      </c>
      <c r="BU918">
        <f t="shared" si="1858"/>
        <v>0</v>
      </c>
      <c r="BV918">
        <f t="shared" si="1858"/>
        <v>0</v>
      </c>
      <c r="BW918">
        <f t="shared" si="1858"/>
        <v>0</v>
      </c>
      <c r="BX918">
        <f t="shared" si="1858"/>
        <v>0</v>
      </c>
      <c r="BY918">
        <f t="shared" si="1858"/>
        <v>0</v>
      </c>
      <c r="BZ918">
        <f t="shared" si="1858"/>
        <v>0</v>
      </c>
      <c r="CA918">
        <f t="shared" si="1858"/>
        <v>0</v>
      </c>
      <c r="CB918">
        <f t="shared" si="1858"/>
        <v>0</v>
      </c>
      <c r="CC918">
        <f t="shared" si="1859"/>
        <v>0</v>
      </c>
      <c r="CD918">
        <f t="shared" si="1859"/>
        <v>0</v>
      </c>
      <c r="CE918">
        <f t="shared" si="1859"/>
        <v>0</v>
      </c>
      <c r="CF918">
        <f t="shared" si="1859"/>
        <v>0</v>
      </c>
      <c r="CG918">
        <f t="shared" si="1859"/>
        <v>0</v>
      </c>
      <c r="CH918">
        <f t="shared" si="1859"/>
        <v>0</v>
      </c>
      <c r="CI918">
        <f t="shared" si="1859"/>
        <v>0</v>
      </c>
      <c r="CJ918">
        <f t="shared" si="1859"/>
        <v>0</v>
      </c>
      <c r="CK918">
        <f t="shared" si="1859"/>
        <v>0</v>
      </c>
      <c r="CL918">
        <f t="shared" si="1859"/>
        <v>0</v>
      </c>
      <c r="CM918">
        <f t="shared" si="1860"/>
        <v>0</v>
      </c>
      <c r="CN918">
        <f t="shared" si="1860"/>
        <v>0</v>
      </c>
      <c r="CO918">
        <f t="shared" si="1860"/>
        <v>0</v>
      </c>
      <c r="CP918">
        <f t="shared" si="1860"/>
        <v>0</v>
      </c>
      <c r="CQ918">
        <f t="shared" si="1860"/>
        <v>0</v>
      </c>
      <c r="CR918">
        <f t="shared" si="1860"/>
        <v>0</v>
      </c>
      <c r="CS918">
        <f t="shared" si="1860"/>
        <v>0</v>
      </c>
      <c r="CT918">
        <f t="shared" si="1860"/>
        <v>0</v>
      </c>
      <c r="CU918">
        <f t="shared" si="1860"/>
        <v>0</v>
      </c>
      <c r="CV918">
        <f t="shared" si="1860"/>
        <v>0</v>
      </c>
      <c r="CW918">
        <f t="shared" si="1861"/>
        <v>0</v>
      </c>
      <c r="CX918">
        <f t="shared" si="1861"/>
        <v>0</v>
      </c>
      <c r="CY918">
        <f t="shared" si="1861"/>
        <v>0</v>
      </c>
      <c r="CZ918">
        <f t="shared" si="1861"/>
        <v>0</v>
      </c>
      <c r="DA918">
        <f t="shared" si="1861"/>
        <v>0</v>
      </c>
      <c r="DB918">
        <f t="shared" si="1861"/>
        <v>0</v>
      </c>
      <c r="DC918">
        <f t="shared" si="1861"/>
        <v>0</v>
      </c>
      <c r="DD918">
        <f t="shared" si="1861"/>
        <v>0</v>
      </c>
      <c r="DE918">
        <f t="shared" si="1861"/>
        <v>0</v>
      </c>
      <c r="DF918">
        <f t="shared" si="1861"/>
        <v>0</v>
      </c>
      <c r="DG918">
        <f t="shared" si="1862"/>
        <v>0</v>
      </c>
      <c r="DH918">
        <f t="shared" si="1862"/>
        <v>0</v>
      </c>
      <c r="DI918">
        <f t="shared" si="1862"/>
        <v>0</v>
      </c>
      <c r="DJ918">
        <f t="shared" si="1862"/>
        <v>0</v>
      </c>
      <c r="DK918">
        <f t="shared" si="1862"/>
        <v>0</v>
      </c>
      <c r="DL918">
        <f t="shared" si="1862"/>
        <v>0</v>
      </c>
      <c r="DM918">
        <f t="shared" si="1862"/>
        <v>0</v>
      </c>
      <c r="DN918">
        <f t="shared" si="1862"/>
        <v>0</v>
      </c>
      <c r="DO918">
        <f t="shared" si="1862"/>
        <v>0</v>
      </c>
      <c r="DP918">
        <f t="shared" si="1862"/>
        <v>0</v>
      </c>
      <c r="DQ918">
        <f t="shared" si="1863"/>
        <v>0</v>
      </c>
      <c r="DR918">
        <f t="shared" si="1863"/>
        <v>0</v>
      </c>
      <c r="DS918">
        <f t="shared" si="1863"/>
        <v>0</v>
      </c>
      <c r="DT918">
        <f t="shared" si="1863"/>
        <v>0</v>
      </c>
      <c r="DU918">
        <f t="shared" si="1863"/>
        <v>0</v>
      </c>
      <c r="DV918">
        <f t="shared" si="1863"/>
        <v>0</v>
      </c>
      <c r="DW918">
        <f t="shared" si="1863"/>
        <v>0</v>
      </c>
      <c r="DX918">
        <f t="shared" si="1863"/>
        <v>0</v>
      </c>
      <c r="DY918">
        <f t="shared" si="1863"/>
        <v>0</v>
      </c>
      <c r="DZ918">
        <f t="shared" si="1863"/>
        <v>0</v>
      </c>
      <c r="EA918">
        <f t="shared" si="1864"/>
        <v>0</v>
      </c>
      <c r="EB918">
        <f t="shared" si="1864"/>
        <v>0</v>
      </c>
      <c r="EC918">
        <f t="shared" si="1864"/>
        <v>0</v>
      </c>
      <c r="ED918">
        <f t="shared" si="1864"/>
        <v>0</v>
      </c>
      <c r="EE918">
        <f t="shared" si="1864"/>
        <v>0</v>
      </c>
      <c r="EF918">
        <f t="shared" si="1864"/>
        <v>0</v>
      </c>
    </row>
    <row r="919" spans="1:136" ht="15.5">
      <c r="A919" s="90"/>
      <c r="B919" s="19" t="s">
        <v>2</v>
      </c>
      <c r="C919" s="95"/>
      <c r="D919" s="18">
        <v>0</v>
      </c>
      <c r="E919" s="18">
        <v>0</v>
      </c>
      <c r="F919" s="18">
        <v>0</v>
      </c>
      <c r="G919" s="18">
        <v>0</v>
      </c>
      <c r="H919" s="18">
        <v>0</v>
      </c>
      <c r="I919" s="18">
        <v>0</v>
      </c>
      <c r="J919" s="18">
        <v>0</v>
      </c>
      <c r="K919" s="18">
        <v>0</v>
      </c>
      <c r="L919" s="18">
        <v>120</v>
      </c>
      <c r="M919" s="18">
        <v>100</v>
      </c>
      <c r="N919" s="18">
        <v>0</v>
      </c>
      <c r="O919" s="18">
        <v>0</v>
      </c>
      <c r="P919" s="18">
        <v>0</v>
      </c>
      <c r="Q919" s="18">
        <v>0</v>
      </c>
      <c r="R919" s="18">
        <v>0</v>
      </c>
      <c r="S919" s="18">
        <v>0</v>
      </c>
      <c r="T919" s="18">
        <v>0</v>
      </c>
      <c r="U919" s="18">
        <v>0</v>
      </c>
      <c r="V919" s="18">
        <v>478</v>
      </c>
      <c r="W919" s="60">
        <v>0</v>
      </c>
      <c r="X919" s="18">
        <v>0</v>
      </c>
      <c r="Y919" s="18">
        <v>0</v>
      </c>
      <c r="Z919" s="18">
        <v>0</v>
      </c>
      <c r="AA919" s="18">
        <v>590</v>
      </c>
      <c r="AB919" s="18">
        <v>640</v>
      </c>
      <c r="AC919" s="40" t="s">
        <v>16</v>
      </c>
      <c r="AD919" s="40" t="s">
        <v>16</v>
      </c>
      <c r="AE919" s="40" t="s">
        <v>16</v>
      </c>
      <c r="AF919" s="40" t="s">
        <v>16</v>
      </c>
      <c r="AG919" s="40" t="s">
        <v>16</v>
      </c>
      <c r="AH919" s="40" t="s">
        <v>16</v>
      </c>
      <c r="AI919" s="18">
        <v>4661</v>
      </c>
      <c r="AJ919" s="40" t="s">
        <v>16</v>
      </c>
      <c r="AK919" s="18">
        <v>1884</v>
      </c>
      <c r="AL919" s="40" t="s">
        <v>16</v>
      </c>
      <c r="AM919" s="40" t="s">
        <v>16</v>
      </c>
      <c r="AN919" s="18">
        <v>6723</v>
      </c>
      <c r="AO919" s="18">
        <v>0</v>
      </c>
      <c r="AP919" s="18">
        <v>0</v>
      </c>
      <c r="AQ919" s="18">
        <v>0</v>
      </c>
      <c r="AR919" s="18">
        <v>0</v>
      </c>
      <c r="AS919" s="18">
        <v>0</v>
      </c>
      <c r="AT919" s="18">
        <v>0</v>
      </c>
      <c r="AU919" s="18">
        <v>0</v>
      </c>
      <c r="AV919" s="18">
        <v>0</v>
      </c>
      <c r="AW919" s="18">
        <v>0</v>
      </c>
      <c r="AX919" s="18">
        <v>0</v>
      </c>
      <c r="AY919" s="18">
        <v>0</v>
      </c>
      <c r="AZ919" s="18">
        <v>0</v>
      </c>
      <c r="BA919" s="18">
        <v>0</v>
      </c>
      <c r="BB919" s="18">
        <v>0</v>
      </c>
      <c r="BC919" s="18">
        <v>0</v>
      </c>
      <c r="BD919" s="18">
        <v>0</v>
      </c>
      <c r="BE919" s="18">
        <v>0</v>
      </c>
      <c r="BF919" s="18">
        <v>0</v>
      </c>
      <c r="BG919" s="18">
        <v>0</v>
      </c>
      <c r="BH919" s="18">
        <v>0</v>
      </c>
      <c r="BI919" s="18">
        <v>0</v>
      </c>
      <c r="BJ919" s="113">
        <v>0</v>
      </c>
      <c r="BK919" s="113">
        <v>0</v>
      </c>
      <c r="BL919" s="113">
        <v>0</v>
      </c>
      <c r="BM919" s="113">
        <v>0</v>
      </c>
      <c r="BN919" s="113">
        <v>0</v>
      </c>
      <c r="BO919" s="113">
        <v>0</v>
      </c>
      <c r="BP919" s="113">
        <v>0</v>
      </c>
      <c r="BQ919" s="113">
        <v>0</v>
      </c>
      <c r="BR919" s="101"/>
      <c r="BS919">
        <f t="shared" si="1858"/>
        <v>0</v>
      </c>
      <c r="BT919">
        <f t="shared" si="1858"/>
        <v>0</v>
      </c>
      <c r="BU919">
        <f t="shared" si="1858"/>
        <v>0</v>
      </c>
      <c r="BV919">
        <f t="shared" si="1858"/>
        <v>0</v>
      </c>
      <c r="BW919">
        <f t="shared" si="1858"/>
        <v>0</v>
      </c>
      <c r="BX919">
        <f t="shared" si="1858"/>
        <v>0</v>
      </c>
      <c r="BY919">
        <f t="shared" si="1858"/>
        <v>0</v>
      </c>
      <c r="BZ919">
        <f t="shared" si="1858"/>
        <v>0</v>
      </c>
      <c r="CA919">
        <f t="shared" si="1858"/>
        <v>0</v>
      </c>
      <c r="CB919">
        <f t="shared" si="1858"/>
        <v>0</v>
      </c>
      <c r="CC919">
        <f t="shared" si="1859"/>
        <v>0</v>
      </c>
      <c r="CD919">
        <f t="shared" si="1859"/>
        <v>0</v>
      </c>
      <c r="CE919">
        <f t="shared" si="1859"/>
        <v>0</v>
      </c>
      <c r="CF919">
        <f t="shared" si="1859"/>
        <v>0</v>
      </c>
      <c r="CG919">
        <f t="shared" si="1859"/>
        <v>0</v>
      </c>
      <c r="CH919">
        <f t="shared" si="1859"/>
        <v>0</v>
      </c>
      <c r="CI919">
        <f t="shared" si="1859"/>
        <v>0</v>
      </c>
      <c r="CJ919">
        <f t="shared" si="1859"/>
        <v>0</v>
      </c>
      <c r="CK919">
        <f t="shared" si="1859"/>
        <v>0</v>
      </c>
      <c r="CL919">
        <f t="shared" si="1859"/>
        <v>0</v>
      </c>
      <c r="CM919">
        <f t="shared" si="1860"/>
        <v>0</v>
      </c>
      <c r="CN919">
        <f t="shared" si="1860"/>
        <v>0</v>
      </c>
      <c r="CO919">
        <f t="shared" si="1860"/>
        <v>0</v>
      </c>
      <c r="CP919">
        <f t="shared" si="1860"/>
        <v>0</v>
      </c>
      <c r="CQ919">
        <f t="shared" si="1860"/>
        <v>0</v>
      </c>
      <c r="CR919">
        <f t="shared" si="1860"/>
        <v>0</v>
      </c>
      <c r="CS919">
        <f t="shared" si="1860"/>
        <v>0</v>
      </c>
      <c r="CT919">
        <f t="shared" si="1860"/>
        <v>0</v>
      </c>
      <c r="CU919">
        <f t="shared" si="1860"/>
        <v>0</v>
      </c>
      <c r="CV919">
        <f t="shared" si="1860"/>
        <v>0</v>
      </c>
      <c r="CW919">
        <f t="shared" si="1861"/>
        <v>0</v>
      </c>
      <c r="CX919">
        <f t="shared" si="1861"/>
        <v>0</v>
      </c>
      <c r="CY919">
        <f t="shared" si="1861"/>
        <v>0</v>
      </c>
      <c r="CZ919">
        <f t="shared" si="1861"/>
        <v>0</v>
      </c>
      <c r="DA919">
        <f t="shared" si="1861"/>
        <v>0</v>
      </c>
      <c r="DB919">
        <f t="shared" si="1861"/>
        <v>0</v>
      </c>
      <c r="DC919">
        <f t="shared" si="1861"/>
        <v>0</v>
      </c>
      <c r="DD919">
        <f t="shared" si="1861"/>
        <v>0</v>
      </c>
      <c r="DE919">
        <f t="shared" si="1861"/>
        <v>0</v>
      </c>
      <c r="DF919">
        <f t="shared" si="1861"/>
        <v>0</v>
      </c>
      <c r="DG919">
        <f t="shared" si="1862"/>
        <v>0</v>
      </c>
      <c r="DH919">
        <f t="shared" si="1862"/>
        <v>0</v>
      </c>
      <c r="DI919">
        <f t="shared" si="1862"/>
        <v>0</v>
      </c>
      <c r="DJ919">
        <f t="shared" si="1862"/>
        <v>0</v>
      </c>
      <c r="DK919">
        <f t="shared" si="1862"/>
        <v>0</v>
      </c>
      <c r="DL919">
        <f t="shared" si="1862"/>
        <v>0</v>
      </c>
      <c r="DM919">
        <f t="shared" si="1862"/>
        <v>0</v>
      </c>
      <c r="DN919">
        <f t="shared" si="1862"/>
        <v>0</v>
      </c>
      <c r="DO919">
        <f t="shared" si="1862"/>
        <v>0</v>
      </c>
      <c r="DP919">
        <f t="shared" si="1862"/>
        <v>0</v>
      </c>
      <c r="DQ919">
        <f t="shared" si="1863"/>
        <v>0</v>
      </c>
      <c r="DR919">
        <f t="shared" si="1863"/>
        <v>0</v>
      </c>
      <c r="DS919">
        <f t="shared" si="1863"/>
        <v>0</v>
      </c>
      <c r="DT919">
        <f t="shared" si="1863"/>
        <v>0</v>
      </c>
      <c r="DU919">
        <f t="shared" si="1863"/>
        <v>0</v>
      </c>
      <c r="DV919">
        <f t="shared" si="1863"/>
        <v>0</v>
      </c>
      <c r="DW919">
        <f t="shared" si="1863"/>
        <v>0</v>
      </c>
      <c r="DX919">
        <f t="shared" si="1863"/>
        <v>0</v>
      </c>
      <c r="DY919">
        <f t="shared" si="1863"/>
        <v>0</v>
      </c>
      <c r="DZ919">
        <f t="shared" si="1863"/>
        <v>0</v>
      </c>
      <c r="EA919">
        <f t="shared" si="1864"/>
        <v>0</v>
      </c>
      <c r="EB919">
        <f t="shared" si="1864"/>
        <v>0</v>
      </c>
      <c r="EC919">
        <f t="shared" si="1864"/>
        <v>0</v>
      </c>
      <c r="ED919">
        <f t="shared" si="1864"/>
        <v>0</v>
      </c>
      <c r="EE919">
        <f t="shared" si="1864"/>
        <v>0</v>
      </c>
      <c r="EF919">
        <f t="shared" si="1864"/>
        <v>0</v>
      </c>
    </row>
    <row r="920" spans="1:136" ht="15.5">
      <c r="A920" s="90"/>
      <c r="B920" s="105" t="s">
        <v>205</v>
      </c>
      <c r="C920" s="95"/>
      <c r="D920" s="18">
        <v>0</v>
      </c>
      <c r="E920" s="18">
        <v>0</v>
      </c>
      <c r="F920" s="18">
        <v>0</v>
      </c>
      <c r="G920" s="18">
        <v>0</v>
      </c>
      <c r="H920" s="18">
        <v>0</v>
      </c>
      <c r="I920" s="18">
        <v>0</v>
      </c>
      <c r="J920" s="18">
        <v>0</v>
      </c>
      <c r="K920" s="18">
        <v>0</v>
      </c>
      <c r="L920" s="18">
        <v>0</v>
      </c>
      <c r="M920" s="18">
        <v>0</v>
      </c>
      <c r="N920" s="18">
        <v>0</v>
      </c>
      <c r="O920" s="18">
        <v>0</v>
      </c>
      <c r="P920" s="18">
        <v>0</v>
      </c>
      <c r="Q920" s="18">
        <v>0</v>
      </c>
      <c r="R920" s="18">
        <v>0</v>
      </c>
      <c r="S920" s="18">
        <v>0</v>
      </c>
      <c r="T920" s="18">
        <v>0</v>
      </c>
      <c r="U920" s="18">
        <v>0</v>
      </c>
      <c r="V920" s="18">
        <v>0</v>
      </c>
      <c r="W920" s="60">
        <v>0</v>
      </c>
      <c r="X920" s="18">
        <v>0</v>
      </c>
      <c r="Y920" s="18">
        <v>0</v>
      </c>
      <c r="Z920" s="18">
        <v>0</v>
      </c>
      <c r="AA920" s="18">
        <v>8.413480000000001E-2</v>
      </c>
      <c r="AB920" s="18">
        <v>0.17615400000000001</v>
      </c>
      <c r="AC920" s="71">
        <v>0.335343</v>
      </c>
      <c r="AD920" s="71">
        <v>0.68208400000000002</v>
      </c>
      <c r="AE920" s="71">
        <v>1.8943399999999999</v>
      </c>
      <c r="AF920" s="71">
        <v>3.4776769999999999</v>
      </c>
      <c r="AG920" s="71">
        <v>4.6736405000000003</v>
      </c>
      <c r="AH920" s="71">
        <v>7.2043280000000003</v>
      </c>
      <c r="AI920" s="18">
        <v>8.7311274000000001</v>
      </c>
      <c r="AJ920" s="71">
        <v>5.0698639999999999</v>
      </c>
      <c r="AK920" s="71">
        <v>6.4084487999999995</v>
      </c>
      <c r="AL920" s="18">
        <v>7.6683750000000002</v>
      </c>
      <c r="AM920" s="18">
        <v>9.8112498000000006</v>
      </c>
      <c r="AN920" s="18">
        <v>11.1357458</v>
      </c>
      <c r="AO920" s="18">
        <v>13.9474722</v>
      </c>
      <c r="AP920" s="18">
        <v>11.0804227</v>
      </c>
      <c r="AQ920" s="18">
        <v>7.2440939999999996</v>
      </c>
      <c r="AR920" s="18">
        <v>6.7056870000000002</v>
      </c>
      <c r="AS920" s="18">
        <v>4.7405616999999998</v>
      </c>
      <c r="AT920" s="18">
        <v>0.19420079999999998</v>
      </c>
      <c r="AU920" s="18">
        <v>6.4084487999999995</v>
      </c>
      <c r="AV920" s="18">
        <v>7.6683750000000002</v>
      </c>
      <c r="AW920" s="18">
        <v>9.8112498000000006</v>
      </c>
      <c r="AX920" s="18">
        <v>11.1357458</v>
      </c>
      <c r="AY920" s="18">
        <v>13.9474722</v>
      </c>
      <c r="AZ920" s="18">
        <v>11.0804227</v>
      </c>
      <c r="BA920" s="18">
        <v>7.2440939999999996</v>
      </c>
      <c r="BB920" s="18">
        <v>6.7056870000000002</v>
      </c>
      <c r="BC920" s="18">
        <v>4.7405616999999998</v>
      </c>
      <c r="BD920" s="18">
        <v>0.19420079999999998</v>
      </c>
      <c r="BE920" s="25">
        <v>0</v>
      </c>
      <c r="BF920" s="18">
        <v>0</v>
      </c>
      <c r="BG920" s="18">
        <v>0</v>
      </c>
      <c r="BH920" s="18">
        <v>0</v>
      </c>
      <c r="BI920" s="18">
        <v>0</v>
      </c>
      <c r="BJ920" s="113">
        <v>0</v>
      </c>
      <c r="BK920" s="113">
        <v>0</v>
      </c>
      <c r="BL920" s="113">
        <v>0</v>
      </c>
      <c r="BM920" s="113">
        <v>0</v>
      </c>
      <c r="BN920" s="113">
        <v>0</v>
      </c>
      <c r="BO920" s="113">
        <v>0</v>
      </c>
      <c r="BP920" s="113">
        <v>0</v>
      </c>
      <c r="BQ920" s="113">
        <v>0</v>
      </c>
      <c r="BR920" s="101"/>
      <c r="BS920">
        <f t="shared" ref="BS920:CC925" si="1865">IF($C920&lt;&gt;"",IF(D920&gt;0,1,0),0)</f>
        <v>0</v>
      </c>
      <c r="BT920">
        <f t="shared" si="1865"/>
        <v>0</v>
      </c>
      <c r="BU920">
        <f t="shared" si="1865"/>
        <v>0</v>
      </c>
      <c r="BV920">
        <f t="shared" si="1865"/>
        <v>0</v>
      </c>
      <c r="BW920">
        <f t="shared" si="1865"/>
        <v>0</v>
      </c>
      <c r="BX920">
        <f t="shared" si="1865"/>
        <v>0</v>
      </c>
      <c r="BY920">
        <f t="shared" si="1865"/>
        <v>0</v>
      </c>
      <c r="BZ920">
        <f t="shared" si="1865"/>
        <v>0</v>
      </c>
      <c r="CA920">
        <f t="shared" si="1865"/>
        <v>0</v>
      </c>
      <c r="CB920">
        <f t="shared" si="1865"/>
        <v>0</v>
      </c>
      <c r="CC920">
        <f t="shared" si="1865"/>
        <v>0</v>
      </c>
      <c r="DT920">
        <f t="shared" ref="DT920:DU925" si="1866">IF($C920&lt;&gt;"",IF(BE920&gt;0,1,0),0)</f>
        <v>0</v>
      </c>
      <c r="DU920">
        <f t="shared" si="1866"/>
        <v>0</v>
      </c>
      <c r="DY920">
        <f t="shared" ref="DY920:EF925" si="1867">IF($C920&lt;&gt;"",IF(BJ920&gt;0,1,0),0)</f>
        <v>0</v>
      </c>
      <c r="DZ920">
        <f t="shared" si="1867"/>
        <v>0</v>
      </c>
      <c r="EA920">
        <f t="shared" si="1867"/>
        <v>0</v>
      </c>
      <c r="EB920">
        <f t="shared" si="1867"/>
        <v>0</v>
      </c>
      <c r="EC920">
        <f t="shared" si="1867"/>
        <v>0</v>
      </c>
      <c r="ED920">
        <f t="shared" si="1867"/>
        <v>0</v>
      </c>
      <c r="EE920">
        <f t="shared" si="1867"/>
        <v>0</v>
      </c>
      <c r="EF920">
        <f t="shared" si="1867"/>
        <v>0</v>
      </c>
    </row>
    <row r="921" spans="1:136" ht="15.5">
      <c r="A921" s="90"/>
      <c r="B921" s="57" t="s">
        <v>3</v>
      </c>
      <c r="C921" s="95"/>
      <c r="D921" s="18">
        <v>0</v>
      </c>
      <c r="E921" s="18">
        <v>0</v>
      </c>
      <c r="F921" s="18">
        <v>0</v>
      </c>
      <c r="G921" s="18">
        <v>0</v>
      </c>
      <c r="H921" s="18">
        <v>0</v>
      </c>
      <c r="I921" s="18">
        <v>0</v>
      </c>
      <c r="J921" s="18">
        <v>0</v>
      </c>
      <c r="K921" s="18">
        <v>0</v>
      </c>
      <c r="L921" s="18">
        <v>0</v>
      </c>
      <c r="M921" s="18">
        <v>0</v>
      </c>
      <c r="N921" s="18">
        <v>0</v>
      </c>
      <c r="O921" s="18">
        <v>0</v>
      </c>
      <c r="P921" s="18">
        <v>0</v>
      </c>
      <c r="Q921" s="18">
        <v>0</v>
      </c>
      <c r="R921" s="18">
        <v>0</v>
      </c>
      <c r="S921" s="18">
        <v>0</v>
      </c>
      <c r="T921" s="18">
        <v>0</v>
      </c>
      <c r="U921" s="18">
        <v>0</v>
      </c>
      <c r="V921" s="18">
        <v>0</v>
      </c>
      <c r="W921" s="18">
        <v>0</v>
      </c>
      <c r="X921" s="18">
        <v>0</v>
      </c>
      <c r="Y921" s="18">
        <v>0</v>
      </c>
      <c r="Z921" s="18">
        <v>60.588439999999999</v>
      </c>
      <c r="AA921" s="40" t="s">
        <v>16</v>
      </c>
      <c r="AB921" s="40" t="s">
        <v>16</v>
      </c>
      <c r="AC921" s="18">
        <v>1150.3318402</v>
      </c>
      <c r="AD921" s="18">
        <f>1975.4889266-AD920</f>
        <v>1974.8068426</v>
      </c>
      <c r="AE921" s="18">
        <f>3294.7244283-AE920</f>
        <v>3292.8300883000002</v>
      </c>
      <c r="AF921" s="18">
        <f>3729.5478697-AF920-AF917</f>
        <v>3409.0701927</v>
      </c>
      <c r="AG921" s="18">
        <f>4638.082715-AG920-AG918-AG917</f>
        <v>4172.4090744999994</v>
      </c>
      <c r="AH921" s="18">
        <f>4613.4938511-AH920-AH918-AH917</f>
        <v>3248.2895231000002</v>
      </c>
      <c r="AI921" s="40" t="s">
        <v>16</v>
      </c>
      <c r="AJ921" s="40" t="s">
        <v>16</v>
      </c>
      <c r="AK921" s="40" t="s">
        <v>16</v>
      </c>
      <c r="AL921" s="18">
        <f>2021.5769828-AL920</f>
        <v>2013.9086078</v>
      </c>
      <c r="AM921" s="18">
        <f>3851.6776237-AM920</f>
        <v>3841.8663738999999</v>
      </c>
      <c r="AN921" s="40" t="s">
        <v>16</v>
      </c>
      <c r="AO921" s="18">
        <f>442.3101073-AO920</f>
        <v>428.36263510000003</v>
      </c>
      <c r="AP921" s="18">
        <f>482.6736781-AP920</f>
        <v>471.59325540000003</v>
      </c>
      <c r="AQ921" s="18">
        <f>31.8926704-AQ920</f>
        <v>24.6485764</v>
      </c>
      <c r="AR921" s="18">
        <f>46.5753149-AR920</f>
        <v>39.869627900000005</v>
      </c>
      <c r="AS921" s="18">
        <f>1263.3210539-AS920</f>
        <v>1258.5804922</v>
      </c>
      <c r="AT921" s="18">
        <f>70.3699734-AT920</f>
        <v>70.175772600000002</v>
      </c>
      <c r="AU921" s="18">
        <f>61.4384915-AU920</f>
        <v>55.030042699999996</v>
      </c>
      <c r="AV921" s="18">
        <f>78.9377652-AV920</f>
        <v>71.269390200000004</v>
      </c>
      <c r="AW921" s="18">
        <f>73.6035437-AW920</f>
        <v>63.792293900000004</v>
      </c>
      <c r="AX921" s="18">
        <f>73.6035437-AX920</f>
        <v>62.467797900000001</v>
      </c>
      <c r="AY921" s="18">
        <f>2423.7626754-AY920</f>
        <v>2409.8152031999998</v>
      </c>
      <c r="AZ921" s="18">
        <f>920.8323073-AZ920</f>
        <v>909.75188460000004</v>
      </c>
      <c r="BA921" s="18">
        <f>58.8889314-BA920</f>
        <v>51.6448374</v>
      </c>
      <c r="BB921" s="18">
        <f>1889.1395854-BB920</f>
        <v>1882.4338984000001</v>
      </c>
      <c r="BC921" s="18">
        <f>47.2698354-BC920</f>
        <v>42.529273699999997</v>
      </c>
      <c r="BD921" s="18">
        <v>17.220614100000002</v>
      </c>
      <c r="BE921" s="25">
        <v>3.3640145000000001</v>
      </c>
      <c r="BF921" s="18">
        <v>493.74836830000004</v>
      </c>
      <c r="BG921" s="18">
        <v>350.88799999999998</v>
      </c>
      <c r="BH921" s="18">
        <v>610.69299999999998</v>
      </c>
      <c r="BI921" s="18">
        <v>0</v>
      </c>
      <c r="BJ921" s="113">
        <v>0</v>
      </c>
      <c r="BK921" s="113">
        <v>0</v>
      </c>
      <c r="BL921" s="113">
        <v>0</v>
      </c>
      <c r="BM921" s="113">
        <v>0</v>
      </c>
      <c r="BN921" s="113">
        <v>8.4</v>
      </c>
      <c r="BO921" s="113">
        <v>0</v>
      </c>
      <c r="BP921" s="113">
        <v>0</v>
      </c>
      <c r="BQ921" s="113">
        <v>0</v>
      </c>
      <c r="BR921" s="101"/>
      <c r="BS921">
        <f t="shared" si="1865"/>
        <v>0</v>
      </c>
      <c r="BT921">
        <f t="shared" si="1865"/>
        <v>0</v>
      </c>
      <c r="BU921">
        <f t="shared" si="1865"/>
        <v>0</v>
      </c>
      <c r="BV921">
        <f t="shared" si="1865"/>
        <v>0</v>
      </c>
      <c r="BW921">
        <f t="shared" si="1865"/>
        <v>0</v>
      </c>
      <c r="BX921">
        <f t="shared" si="1865"/>
        <v>0</v>
      </c>
      <c r="BY921">
        <f t="shared" si="1865"/>
        <v>0</v>
      </c>
      <c r="BZ921">
        <f t="shared" si="1865"/>
        <v>0</v>
      </c>
      <c r="CA921">
        <f t="shared" si="1865"/>
        <v>0</v>
      </c>
      <c r="CB921">
        <f t="shared" si="1865"/>
        <v>0</v>
      </c>
      <c r="CC921">
        <f t="shared" si="1865"/>
        <v>0</v>
      </c>
      <c r="CD921">
        <f t="shared" ref="CD921:CM925" si="1868">IF($C921&lt;&gt;"",IF(O921&gt;0,1,0),0)</f>
        <v>0</v>
      </c>
      <c r="CE921">
        <f t="shared" si="1868"/>
        <v>0</v>
      </c>
      <c r="CF921">
        <f t="shared" si="1868"/>
        <v>0</v>
      </c>
      <c r="CG921">
        <f t="shared" si="1868"/>
        <v>0</v>
      </c>
      <c r="CH921">
        <f t="shared" si="1868"/>
        <v>0</v>
      </c>
      <c r="CI921">
        <f t="shared" si="1868"/>
        <v>0</v>
      </c>
      <c r="CJ921">
        <f t="shared" si="1868"/>
        <v>0</v>
      </c>
      <c r="CK921">
        <f t="shared" si="1868"/>
        <v>0</v>
      </c>
      <c r="CL921">
        <f t="shared" si="1868"/>
        <v>0</v>
      </c>
      <c r="CM921">
        <f t="shared" si="1868"/>
        <v>0</v>
      </c>
      <c r="CN921">
        <f t="shared" ref="CN921:CW925" si="1869">IF($C921&lt;&gt;"",IF(Y921&gt;0,1,0),0)</f>
        <v>0</v>
      </c>
      <c r="CO921">
        <f t="shared" si="1869"/>
        <v>0</v>
      </c>
      <c r="CP921">
        <f t="shared" si="1869"/>
        <v>0</v>
      </c>
      <c r="CQ921">
        <f t="shared" si="1869"/>
        <v>0</v>
      </c>
      <c r="CR921">
        <f t="shared" si="1869"/>
        <v>0</v>
      </c>
      <c r="CS921">
        <f t="shared" si="1869"/>
        <v>0</v>
      </c>
      <c r="CT921">
        <f t="shared" si="1869"/>
        <v>0</v>
      </c>
      <c r="CU921">
        <f t="shared" si="1869"/>
        <v>0</v>
      </c>
      <c r="CV921">
        <f t="shared" si="1869"/>
        <v>0</v>
      </c>
      <c r="CW921">
        <f t="shared" si="1869"/>
        <v>0</v>
      </c>
      <c r="CX921">
        <f t="shared" ref="CX921:DG925" si="1870">IF($C921&lt;&gt;"",IF(AI921&gt;0,1,0),0)</f>
        <v>0</v>
      </c>
      <c r="CY921">
        <f t="shared" si="1870"/>
        <v>0</v>
      </c>
      <c r="CZ921">
        <f t="shared" si="1870"/>
        <v>0</v>
      </c>
      <c r="DA921">
        <f t="shared" si="1870"/>
        <v>0</v>
      </c>
      <c r="DB921">
        <f t="shared" si="1870"/>
        <v>0</v>
      </c>
      <c r="DC921">
        <f t="shared" si="1870"/>
        <v>0</v>
      </c>
      <c r="DD921">
        <f t="shared" si="1870"/>
        <v>0</v>
      </c>
      <c r="DE921">
        <f t="shared" si="1870"/>
        <v>0</v>
      </c>
      <c r="DF921">
        <f t="shared" si="1870"/>
        <v>0</v>
      </c>
      <c r="DG921">
        <f t="shared" si="1870"/>
        <v>0</v>
      </c>
      <c r="DH921">
        <f t="shared" ref="DH921:DQ925" si="1871">IF($C921&lt;&gt;"",IF(AS921&gt;0,1,0),0)</f>
        <v>0</v>
      </c>
      <c r="DI921">
        <f t="shared" si="1871"/>
        <v>0</v>
      </c>
      <c r="DJ921">
        <f t="shared" si="1871"/>
        <v>0</v>
      </c>
      <c r="DK921">
        <f t="shared" si="1871"/>
        <v>0</v>
      </c>
      <c r="DL921">
        <f t="shared" si="1871"/>
        <v>0</v>
      </c>
      <c r="DM921">
        <f t="shared" si="1871"/>
        <v>0</v>
      </c>
      <c r="DN921">
        <f t="shared" si="1871"/>
        <v>0</v>
      </c>
      <c r="DO921">
        <f t="shared" si="1871"/>
        <v>0</v>
      </c>
      <c r="DP921">
        <f t="shared" si="1871"/>
        <v>0</v>
      </c>
      <c r="DQ921">
        <f t="shared" si="1871"/>
        <v>0</v>
      </c>
      <c r="DR921">
        <f t="shared" ref="DR921:DS925" si="1872">IF($C921&lt;&gt;"",IF(BC921&gt;0,1,0),0)</f>
        <v>0</v>
      </c>
      <c r="DS921">
        <f t="shared" si="1872"/>
        <v>0</v>
      </c>
      <c r="DT921">
        <f t="shared" si="1866"/>
        <v>0</v>
      </c>
      <c r="DU921">
        <f t="shared" si="1866"/>
        <v>0</v>
      </c>
      <c r="DV921">
        <f t="shared" ref="DV921:DX925" si="1873">IF($C921&lt;&gt;"",IF(BG921&gt;0,1,0),0)</f>
        <v>0</v>
      </c>
      <c r="DW921">
        <f t="shared" si="1873"/>
        <v>0</v>
      </c>
      <c r="DX921">
        <f t="shared" si="1873"/>
        <v>0</v>
      </c>
      <c r="DY921">
        <f t="shared" si="1867"/>
        <v>0</v>
      </c>
      <c r="DZ921">
        <f t="shared" si="1867"/>
        <v>0</v>
      </c>
      <c r="EA921">
        <f t="shared" si="1867"/>
        <v>0</v>
      </c>
      <c r="EB921">
        <f t="shared" si="1867"/>
        <v>0</v>
      </c>
      <c r="EC921">
        <f t="shared" si="1867"/>
        <v>0</v>
      </c>
      <c r="ED921">
        <f t="shared" si="1867"/>
        <v>0</v>
      </c>
      <c r="EE921">
        <f t="shared" si="1867"/>
        <v>0</v>
      </c>
      <c r="EF921">
        <f t="shared" si="1867"/>
        <v>0</v>
      </c>
    </row>
    <row r="922" spans="1:136" ht="15.5">
      <c r="A922" s="90"/>
      <c r="B922" s="19" t="s">
        <v>18</v>
      </c>
      <c r="C922" s="95"/>
      <c r="D922" s="18">
        <v>0</v>
      </c>
      <c r="E922" s="18">
        <v>0</v>
      </c>
      <c r="F922" s="18">
        <v>0</v>
      </c>
      <c r="G922" s="18">
        <v>0</v>
      </c>
      <c r="H922" s="18">
        <v>0</v>
      </c>
      <c r="I922" s="18">
        <v>0</v>
      </c>
      <c r="J922" s="18">
        <v>0</v>
      </c>
      <c r="K922" s="18">
        <v>0</v>
      </c>
      <c r="L922" s="18">
        <v>53</v>
      </c>
      <c r="M922" s="18">
        <v>0</v>
      </c>
      <c r="N922" s="18">
        <f>220+94+19.6+11+2.2</f>
        <v>346.8</v>
      </c>
      <c r="O922" s="18">
        <v>0</v>
      </c>
      <c r="P922" s="18">
        <v>0</v>
      </c>
      <c r="Q922" s="18">
        <v>0</v>
      </c>
      <c r="R922" s="18">
        <v>0</v>
      </c>
      <c r="S922" s="18">
        <v>0</v>
      </c>
      <c r="T922" s="18">
        <v>387</v>
      </c>
      <c r="U922" s="18">
        <v>0</v>
      </c>
      <c r="V922" s="18">
        <v>386</v>
      </c>
      <c r="W922" s="18">
        <f>821+368</f>
        <v>1189</v>
      </c>
      <c r="X922" s="18">
        <v>340</v>
      </c>
      <c r="Y922" s="18">
        <v>0</v>
      </c>
      <c r="Z922" s="18">
        <v>0</v>
      </c>
      <c r="AA922" s="18">
        <v>2190</v>
      </c>
      <c r="AB922" s="18">
        <v>2500</v>
      </c>
      <c r="AC922" s="18">
        <v>2751.25</v>
      </c>
      <c r="AD922" s="18">
        <v>4724.9314514634034</v>
      </c>
      <c r="AE922" s="18">
        <v>5156.2605062681323</v>
      </c>
      <c r="AF922" s="18">
        <v>5698.1300567439202</v>
      </c>
      <c r="AG922" s="18">
        <v>6386.0124024048455</v>
      </c>
      <c r="AH922" s="18">
        <v>7087.1875651358632</v>
      </c>
      <c r="AI922" s="18">
        <v>7665.6064592700186</v>
      </c>
      <c r="AJ922" s="18">
        <v>8107.5769817575638</v>
      </c>
      <c r="AK922" s="18">
        <v>8520.8814973750013</v>
      </c>
      <c r="AL922" s="18">
        <v>9092.3372500000005</v>
      </c>
      <c r="AM922" s="18">
        <v>9842.1</v>
      </c>
      <c r="AN922" s="18">
        <v>10600</v>
      </c>
      <c r="AO922" s="18">
        <v>10600</v>
      </c>
      <c r="AP922" s="18">
        <v>0</v>
      </c>
      <c r="AQ922" s="18">
        <v>0</v>
      </c>
      <c r="AR922" s="18">
        <v>0</v>
      </c>
      <c r="AS922" s="18">
        <v>0</v>
      </c>
      <c r="AT922" s="18">
        <v>0</v>
      </c>
      <c r="AU922" s="18">
        <v>0</v>
      </c>
      <c r="AV922" s="18">
        <v>0</v>
      </c>
      <c r="AW922" s="18">
        <v>0</v>
      </c>
      <c r="AX922" s="18">
        <v>0</v>
      </c>
      <c r="AY922" s="18">
        <v>0</v>
      </c>
      <c r="AZ922" s="18">
        <v>0</v>
      </c>
      <c r="BA922" s="18">
        <v>0</v>
      </c>
      <c r="BB922" s="18">
        <v>0</v>
      </c>
      <c r="BC922" s="18">
        <v>0</v>
      </c>
      <c r="BD922" s="18">
        <v>0</v>
      </c>
      <c r="BE922" s="25">
        <v>0</v>
      </c>
      <c r="BF922" s="18">
        <v>0</v>
      </c>
      <c r="BG922" s="18">
        <v>0</v>
      </c>
      <c r="BH922" s="18">
        <v>0</v>
      </c>
      <c r="BI922" s="18">
        <v>0</v>
      </c>
      <c r="BJ922" s="113">
        <v>0</v>
      </c>
      <c r="BK922" s="113">
        <v>0</v>
      </c>
      <c r="BL922" s="113">
        <v>0</v>
      </c>
      <c r="BM922" s="113">
        <v>0</v>
      </c>
      <c r="BN922" s="113">
        <v>0</v>
      </c>
      <c r="BO922" s="113">
        <v>0</v>
      </c>
      <c r="BP922" s="113">
        <v>0</v>
      </c>
      <c r="BQ922" s="113">
        <v>0</v>
      </c>
      <c r="BR922" s="101"/>
      <c r="BS922">
        <f t="shared" si="1865"/>
        <v>0</v>
      </c>
      <c r="BT922">
        <f t="shared" si="1865"/>
        <v>0</v>
      </c>
      <c r="BU922">
        <f t="shared" si="1865"/>
        <v>0</v>
      </c>
      <c r="BV922">
        <f t="shared" si="1865"/>
        <v>0</v>
      </c>
      <c r="BW922">
        <f t="shared" si="1865"/>
        <v>0</v>
      </c>
      <c r="BX922">
        <f t="shared" si="1865"/>
        <v>0</v>
      </c>
      <c r="BY922">
        <f t="shared" si="1865"/>
        <v>0</v>
      </c>
      <c r="BZ922">
        <f t="shared" si="1865"/>
        <v>0</v>
      </c>
      <c r="CA922">
        <f t="shared" si="1865"/>
        <v>0</v>
      </c>
      <c r="CB922">
        <f t="shared" si="1865"/>
        <v>0</v>
      </c>
      <c r="CC922">
        <f t="shared" si="1865"/>
        <v>0</v>
      </c>
      <c r="CD922">
        <f t="shared" si="1868"/>
        <v>0</v>
      </c>
      <c r="CE922">
        <f t="shared" si="1868"/>
        <v>0</v>
      </c>
      <c r="CF922">
        <f t="shared" si="1868"/>
        <v>0</v>
      </c>
      <c r="CG922">
        <f t="shared" si="1868"/>
        <v>0</v>
      </c>
      <c r="CH922">
        <f t="shared" si="1868"/>
        <v>0</v>
      </c>
      <c r="CI922">
        <f t="shared" si="1868"/>
        <v>0</v>
      </c>
      <c r="CJ922">
        <f t="shared" si="1868"/>
        <v>0</v>
      </c>
      <c r="CK922">
        <f t="shared" si="1868"/>
        <v>0</v>
      </c>
      <c r="CL922">
        <f t="shared" si="1868"/>
        <v>0</v>
      </c>
      <c r="CM922">
        <f t="shared" si="1868"/>
        <v>0</v>
      </c>
      <c r="CN922">
        <f t="shared" si="1869"/>
        <v>0</v>
      </c>
      <c r="CO922">
        <f t="shared" si="1869"/>
        <v>0</v>
      </c>
      <c r="CP922">
        <f t="shared" si="1869"/>
        <v>0</v>
      </c>
      <c r="CQ922">
        <f t="shared" si="1869"/>
        <v>0</v>
      </c>
      <c r="CR922">
        <f t="shared" si="1869"/>
        <v>0</v>
      </c>
      <c r="CS922">
        <f t="shared" si="1869"/>
        <v>0</v>
      </c>
      <c r="CT922">
        <f t="shared" si="1869"/>
        <v>0</v>
      </c>
      <c r="CU922">
        <f t="shared" si="1869"/>
        <v>0</v>
      </c>
      <c r="CV922">
        <f t="shared" si="1869"/>
        <v>0</v>
      </c>
      <c r="CW922">
        <f t="shared" si="1869"/>
        <v>0</v>
      </c>
      <c r="CX922">
        <f t="shared" si="1870"/>
        <v>0</v>
      </c>
      <c r="CY922">
        <f t="shared" si="1870"/>
        <v>0</v>
      </c>
      <c r="CZ922">
        <f t="shared" si="1870"/>
        <v>0</v>
      </c>
      <c r="DA922">
        <f t="shared" si="1870"/>
        <v>0</v>
      </c>
      <c r="DB922">
        <f t="shared" si="1870"/>
        <v>0</v>
      </c>
      <c r="DC922">
        <f t="shared" si="1870"/>
        <v>0</v>
      </c>
      <c r="DD922">
        <f t="shared" si="1870"/>
        <v>0</v>
      </c>
      <c r="DE922">
        <f t="shared" si="1870"/>
        <v>0</v>
      </c>
      <c r="DF922">
        <f t="shared" si="1870"/>
        <v>0</v>
      </c>
      <c r="DG922">
        <f t="shared" si="1870"/>
        <v>0</v>
      </c>
      <c r="DH922">
        <f t="shared" si="1871"/>
        <v>0</v>
      </c>
      <c r="DI922">
        <f t="shared" si="1871"/>
        <v>0</v>
      </c>
      <c r="DJ922">
        <f t="shared" si="1871"/>
        <v>0</v>
      </c>
      <c r="DK922">
        <f t="shared" si="1871"/>
        <v>0</v>
      </c>
      <c r="DL922">
        <f t="shared" si="1871"/>
        <v>0</v>
      </c>
      <c r="DM922">
        <f t="shared" si="1871"/>
        <v>0</v>
      </c>
      <c r="DN922">
        <f t="shared" si="1871"/>
        <v>0</v>
      </c>
      <c r="DO922">
        <f t="shared" si="1871"/>
        <v>0</v>
      </c>
      <c r="DP922">
        <f t="shared" si="1871"/>
        <v>0</v>
      </c>
      <c r="DQ922">
        <f t="shared" si="1871"/>
        <v>0</v>
      </c>
      <c r="DR922">
        <f t="shared" si="1872"/>
        <v>0</v>
      </c>
      <c r="DS922">
        <f t="shared" si="1872"/>
        <v>0</v>
      </c>
      <c r="DT922">
        <f t="shared" si="1866"/>
        <v>0</v>
      </c>
      <c r="DU922">
        <f t="shared" si="1866"/>
        <v>0</v>
      </c>
      <c r="DV922">
        <f t="shared" si="1873"/>
        <v>0</v>
      </c>
      <c r="DW922">
        <f t="shared" si="1873"/>
        <v>0</v>
      </c>
      <c r="DX922">
        <f t="shared" si="1873"/>
        <v>0</v>
      </c>
      <c r="DY922">
        <f t="shared" si="1867"/>
        <v>0</v>
      </c>
      <c r="DZ922">
        <f t="shared" si="1867"/>
        <v>0</v>
      </c>
      <c r="EA922">
        <f t="shared" si="1867"/>
        <v>0</v>
      </c>
      <c r="EB922">
        <f t="shared" si="1867"/>
        <v>0</v>
      </c>
      <c r="EC922">
        <f t="shared" si="1867"/>
        <v>0</v>
      </c>
      <c r="ED922">
        <f t="shared" si="1867"/>
        <v>0</v>
      </c>
      <c r="EE922">
        <f t="shared" si="1867"/>
        <v>0</v>
      </c>
      <c r="EF922">
        <f t="shared" si="1867"/>
        <v>0</v>
      </c>
    </row>
    <row r="923" spans="1:136" ht="15.5">
      <c r="A923" s="90"/>
      <c r="B923" s="57" t="s">
        <v>208</v>
      </c>
      <c r="C923" s="95"/>
      <c r="D923" s="18">
        <v>0</v>
      </c>
      <c r="E923" s="18">
        <v>0</v>
      </c>
      <c r="F923" s="18">
        <v>0</v>
      </c>
      <c r="G923" s="18">
        <v>0</v>
      </c>
      <c r="H923" s="18">
        <v>0</v>
      </c>
      <c r="I923" s="18">
        <v>0</v>
      </c>
      <c r="J923" s="18">
        <v>0</v>
      </c>
      <c r="K923" s="18">
        <v>0</v>
      </c>
      <c r="L923" s="18">
        <v>75</v>
      </c>
      <c r="M923" s="18">
        <v>0</v>
      </c>
      <c r="N923" s="18">
        <v>0</v>
      </c>
      <c r="O923" s="18">
        <v>0</v>
      </c>
      <c r="P923" s="18">
        <v>0</v>
      </c>
      <c r="Q923" s="18">
        <v>0</v>
      </c>
      <c r="R923" s="18">
        <v>0</v>
      </c>
      <c r="S923" s="18">
        <v>0</v>
      </c>
      <c r="T923" s="18">
        <v>0</v>
      </c>
      <c r="U923" s="18">
        <v>0</v>
      </c>
      <c r="V923" s="18">
        <v>0</v>
      </c>
      <c r="W923" s="18">
        <v>0</v>
      </c>
      <c r="X923" s="18">
        <v>1.2999999999999999E-2</v>
      </c>
      <c r="Y923" s="18">
        <v>2.4269999999999996</v>
      </c>
      <c r="Z923" s="18">
        <v>8.6719999999999988</v>
      </c>
      <c r="AA923" s="40" t="s">
        <v>16</v>
      </c>
      <c r="AB923" s="40" t="s">
        <v>16</v>
      </c>
      <c r="AC923" s="40" t="s">
        <v>16</v>
      </c>
      <c r="AD923" s="40" t="s">
        <v>16</v>
      </c>
      <c r="AE923" s="40" t="s">
        <v>16</v>
      </c>
      <c r="AF923" s="40" t="s">
        <v>16</v>
      </c>
      <c r="AG923" s="18">
        <v>116</v>
      </c>
      <c r="AH923" s="18">
        <v>369</v>
      </c>
      <c r="AI923" s="18">
        <v>763</v>
      </c>
      <c r="AJ923" s="40" t="s">
        <v>16</v>
      </c>
      <c r="AK923" s="40" t="s">
        <v>16</v>
      </c>
      <c r="AL923" s="40" t="s">
        <v>16</v>
      </c>
      <c r="AM923" s="40" t="s">
        <v>16</v>
      </c>
      <c r="AN923" s="40" t="s">
        <v>16</v>
      </c>
      <c r="AO923" s="40" t="s">
        <v>16</v>
      </c>
      <c r="AP923" s="18">
        <v>35.781999999999996</v>
      </c>
      <c r="AQ923" s="18">
        <v>11.522</v>
      </c>
      <c r="AR923" s="18">
        <v>11.1751568</v>
      </c>
      <c r="AS923" s="18">
        <v>16.029569599999999</v>
      </c>
      <c r="AT923" s="18">
        <v>19.012111000000001</v>
      </c>
      <c r="AU923" s="18">
        <v>11.882</v>
      </c>
      <c r="AV923" s="18">
        <v>12.321999999999999</v>
      </c>
      <c r="AW923" s="18">
        <v>11.054</v>
      </c>
      <c r="AX923" s="18">
        <v>1.8560000000000001</v>
      </c>
      <c r="AY923" s="18">
        <v>1.8560000000000001</v>
      </c>
      <c r="AZ923" s="18">
        <v>1.8560000000000001</v>
      </c>
      <c r="BA923" s="18">
        <v>1.8560000000000001</v>
      </c>
      <c r="BB923" s="18">
        <v>1.8560000000000001</v>
      </c>
      <c r="BC923" s="18">
        <v>0</v>
      </c>
      <c r="BD923" s="18">
        <v>0</v>
      </c>
      <c r="BE923" s="25">
        <v>0</v>
      </c>
      <c r="BF923" s="18">
        <v>0</v>
      </c>
      <c r="BG923" s="18">
        <v>0</v>
      </c>
      <c r="BH923" s="18">
        <v>0</v>
      </c>
      <c r="BI923" s="18">
        <v>0</v>
      </c>
      <c r="BJ923" s="113">
        <v>0</v>
      </c>
      <c r="BK923" s="113">
        <v>0</v>
      </c>
      <c r="BL923" s="113">
        <v>0</v>
      </c>
      <c r="BM923" s="113">
        <v>0</v>
      </c>
      <c r="BN923" s="113">
        <v>0</v>
      </c>
      <c r="BO923" s="113">
        <v>0</v>
      </c>
      <c r="BP923" s="113">
        <v>0</v>
      </c>
      <c r="BQ923" s="113">
        <v>0</v>
      </c>
      <c r="BR923" s="101"/>
      <c r="BS923">
        <f t="shared" si="1865"/>
        <v>0</v>
      </c>
      <c r="BT923">
        <f t="shared" si="1865"/>
        <v>0</v>
      </c>
      <c r="BU923">
        <f t="shared" si="1865"/>
        <v>0</v>
      </c>
      <c r="BV923">
        <f t="shared" si="1865"/>
        <v>0</v>
      </c>
      <c r="BW923">
        <f t="shared" si="1865"/>
        <v>0</v>
      </c>
      <c r="BX923">
        <f t="shared" si="1865"/>
        <v>0</v>
      </c>
      <c r="BY923">
        <f t="shared" si="1865"/>
        <v>0</v>
      </c>
      <c r="BZ923">
        <f t="shared" si="1865"/>
        <v>0</v>
      </c>
      <c r="CA923">
        <f t="shared" si="1865"/>
        <v>0</v>
      </c>
      <c r="CB923">
        <f t="shared" si="1865"/>
        <v>0</v>
      </c>
      <c r="CC923">
        <f t="shared" si="1865"/>
        <v>0</v>
      </c>
      <c r="CD923">
        <f t="shared" si="1868"/>
        <v>0</v>
      </c>
      <c r="CE923">
        <f t="shared" si="1868"/>
        <v>0</v>
      </c>
      <c r="CF923">
        <f t="shared" si="1868"/>
        <v>0</v>
      </c>
      <c r="CG923">
        <f t="shared" si="1868"/>
        <v>0</v>
      </c>
      <c r="CH923">
        <f t="shared" si="1868"/>
        <v>0</v>
      </c>
      <c r="CI923">
        <f t="shared" si="1868"/>
        <v>0</v>
      </c>
      <c r="CJ923">
        <f t="shared" si="1868"/>
        <v>0</v>
      </c>
      <c r="CK923">
        <f t="shared" si="1868"/>
        <v>0</v>
      </c>
      <c r="CL923">
        <f t="shared" si="1868"/>
        <v>0</v>
      </c>
      <c r="CM923">
        <f t="shared" si="1868"/>
        <v>0</v>
      </c>
      <c r="CN923">
        <f t="shared" si="1869"/>
        <v>0</v>
      </c>
      <c r="CO923">
        <f t="shared" si="1869"/>
        <v>0</v>
      </c>
      <c r="CP923">
        <f t="shared" si="1869"/>
        <v>0</v>
      </c>
      <c r="CQ923">
        <f t="shared" si="1869"/>
        <v>0</v>
      </c>
      <c r="CR923">
        <f t="shared" si="1869"/>
        <v>0</v>
      </c>
      <c r="CS923">
        <f t="shared" si="1869"/>
        <v>0</v>
      </c>
      <c r="CT923">
        <f t="shared" si="1869"/>
        <v>0</v>
      </c>
      <c r="CU923">
        <f t="shared" si="1869"/>
        <v>0</v>
      </c>
      <c r="CV923">
        <f t="shared" si="1869"/>
        <v>0</v>
      </c>
      <c r="CW923">
        <f t="shared" si="1869"/>
        <v>0</v>
      </c>
      <c r="CX923">
        <f t="shared" si="1870"/>
        <v>0</v>
      </c>
      <c r="CY923">
        <f t="shared" si="1870"/>
        <v>0</v>
      </c>
      <c r="CZ923">
        <f t="shared" si="1870"/>
        <v>0</v>
      </c>
      <c r="DA923">
        <f t="shared" si="1870"/>
        <v>0</v>
      </c>
      <c r="DB923">
        <f t="shared" si="1870"/>
        <v>0</v>
      </c>
      <c r="DC923">
        <f t="shared" si="1870"/>
        <v>0</v>
      </c>
      <c r="DD923">
        <f t="shared" si="1870"/>
        <v>0</v>
      </c>
      <c r="DE923">
        <f t="shared" si="1870"/>
        <v>0</v>
      </c>
      <c r="DF923">
        <f t="shared" si="1870"/>
        <v>0</v>
      </c>
      <c r="DG923">
        <f t="shared" si="1870"/>
        <v>0</v>
      </c>
      <c r="DH923">
        <f t="shared" si="1871"/>
        <v>0</v>
      </c>
      <c r="DI923">
        <f t="shared" si="1871"/>
        <v>0</v>
      </c>
      <c r="DJ923">
        <f t="shared" si="1871"/>
        <v>0</v>
      </c>
      <c r="DK923">
        <f t="shared" si="1871"/>
        <v>0</v>
      </c>
      <c r="DL923">
        <f t="shared" si="1871"/>
        <v>0</v>
      </c>
      <c r="DM923">
        <f t="shared" si="1871"/>
        <v>0</v>
      </c>
      <c r="DN923">
        <f t="shared" si="1871"/>
        <v>0</v>
      </c>
      <c r="DO923">
        <f t="shared" si="1871"/>
        <v>0</v>
      </c>
      <c r="DP923">
        <f t="shared" si="1871"/>
        <v>0</v>
      </c>
      <c r="DQ923">
        <f t="shared" si="1871"/>
        <v>0</v>
      </c>
      <c r="DR923">
        <f t="shared" si="1872"/>
        <v>0</v>
      </c>
      <c r="DS923">
        <f t="shared" si="1872"/>
        <v>0</v>
      </c>
      <c r="DT923">
        <f t="shared" si="1866"/>
        <v>0</v>
      </c>
      <c r="DU923">
        <f t="shared" si="1866"/>
        <v>0</v>
      </c>
      <c r="DV923">
        <f t="shared" si="1873"/>
        <v>0</v>
      </c>
      <c r="DW923">
        <f t="shared" si="1873"/>
        <v>0</v>
      </c>
      <c r="DX923">
        <f t="shared" si="1873"/>
        <v>0</v>
      </c>
      <c r="DY923">
        <f t="shared" si="1867"/>
        <v>0</v>
      </c>
      <c r="DZ923">
        <f t="shared" si="1867"/>
        <v>0</v>
      </c>
      <c r="EA923">
        <f t="shared" si="1867"/>
        <v>0</v>
      </c>
      <c r="EB923">
        <f t="shared" si="1867"/>
        <v>0</v>
      </c>
      <c r="EC923">
        <f t="shared" si="1867"/>
        <v>0</v>
      </c>
      <c r="ED923">
        <f t="shared" si="1867"/>
        <v>0</v>
      </c>
      <c r="EE923">
        <f t="shared" si="1867"/>
        <v>0</v>
      </c>
      <c r="EF923">
        <f t="shared" si="1867"/>
        <v>0</v>
      </c>
    </row>
    <row r="924" spans="1:136" ht="15.5">
      <c r="A924" s="90"/>
      <c r="B924" s="105" t="s">
        <v>21</v>
      </c>
      <c r="C924" s="95"/>
      <c r="D924" s="18">
        <v>0</v>
      </c>
      <c r="E924" s="18">
        <v>0</v>
      </c>
      <c r="F924" s="18">
        <v>0</v>
      </c>
      <c r="G924" s="18">
        <v>0</v>
      </c>
      <c r="H924" s="18">
        <v>0</v>
      </c>
      <c r="I924" s="18">
        <v>0</v>
      </c>
      <c r="J924" s="18">
        <v>0</v>
      </c>
      <c r="K924" s="18">
        <v>0</v>
      </c>
      <c r="L924" s="18">
        <v>0</v>
      </c>
      <c r="M924" s="18">
        <v>0</v>
      </c>
      <c r="N924" s="18">
        <v>0</v>
      </c>
      <c r="O924" s="18">
        <v>0</v>
      </c>
      <c r="P924" s="18">
        <v>0</v>
      </c>
      <c r="Q924" s="18">
        <v>0</v>
      </c>
      <c r="R924" s="18">
        <v>0</v>
      </c>
      <c r="S924" s="18">
        <v>0</v>
      </c>
      <c r="T924" s="60">
        <v>0</v>
      </c>
      <c r="U924" s="60">
        <v>0</v>
      </c>
      <c r="V924" s="60">
        <v>0</v>
      </c>
      <c r="W924" s="60">
        <v>0</v>
      </c>
      <c r="X924" s="18">
        <v>46</v>
      </c>
      <c r="Y924" s="18">
        <v>31.502369668246445</v>
      </c>
      <c r="Z924" s="18">
        <v>19.045845272206304</v>
      </c>
      <c r="AA924" s="18">
        <v>8.155828220858897</v>
      </c>
      <c r="AB924" s="18">
        <v>3.8311239193083582</v>
      </c>
      <c r="AC924" s="18">
        <v>1.2113094424550566</v>
      </c>
      <c r="AD924" s="18">
        <v>1.2113094424550566</v>
      </c>
      <c r="AE924" s="18">
        <v>1.2113094424550566</v>
      </c>
      <c r="AF924" s="40" t="s">
        <v>16</v>
      </c>
      <c r="AG924" s="40" t="s">
        <v>16</v>
      </c>
      <c r="AH924" s="40" t="s">
        <v>16</v>
      </c>
      <c r="AI924" s="40" t="s">
        <v>16</v>
      </c>
      <c r="AJ924" s="147">
        <f>33.22263+500</f>
        <v>533.22262999999998</v>
      </c>
      <c r="AK924" s="147">
        <f>500+35.621303886</f>
        <v>535.62130388599996</v>
      </c>
      <c r="AL924" s="147">
        <f>38.1931620265692+500</f>
        <v>538.19316202656921</v>
      </c>
      <c r="AM924" s="147">
        <f>40.9507083248875+500</f>
        <v>540.9507083248875</v>
      </c>
      <c r="AN924" s="147">
        <f>43.9073494659444+500</f>
        <v>543.90734946594443</v>
      </c>
      <c r="AO924" s="147">
        <f>500+47.0774600973856</f>
        <v>547.0774600973856</v>
      </c>
      <c r="AP924" s="147">
        <f>500+50.4764527164168</f>
        <v>550.47645271641682</v>
      </c>
      <c r="AQ924" s="147">
        <f>54.1208526025421+500</f>
        <v>554.12085260254207</v>
      </c>
      <c r="AR924" s="147">
        <f>58.0283781604456+500</f>
        <v>558.02837816044564</v>
      </c>
      <c r="AS924" s="147">
        <f>62.2180270636298+500</f>
        <v>562.21802706362985</v>
      </c>
      <c r="AT924" s="147">
        <f>500+66.7101686176239</f>
        <v>566.71016861762394</v>
      </c>
      <c r="AU924" s="147">
        <f>71.5266427918163+500</f>
        <v>571.52664279181636</v>
      </c>
      <c r="AV924" s="147">
        <f>76.6908664013855+500</f>
        <v>576.69086640138551</v>
      </c>
      <c r="AW924" s="147">
        <f>82.2279469555655+500</f>
        <v>582.22794695556547</v>
      </c>
      <c r="AX924" s="147">
        <f>138+500</f>
        <v>638</v>
      </c>
      <c r="AY924" s="147">
        <f>138+500</f>
        <v>638</v>
      </c>
      <c r="AZ924" s="147">
        <f>138+500</f>
        <v>638</v>
      </c>
      <c r="BA924" s="197">
        <f>33+500</f>
        <v>533</v>
      </c>
      <c r="BB924" s="147">
        <f>35+500</f>
        <v>535</v>
      </c>
      <c r="BC924" s="147">
        <f>38+500</f>
        <v>538</v>
      </c>
      <c r="BD924" s="147">
        <f>41+500</f>
        <v>541</v>
      </c>
      <c r="BE924" s="147">
        <f>44+500</f>
        <v>544</v>
      </c>
      <c r="BF924" s="147">
        <f>47+500</f>
        <v>547</v>
      </c>
      <c r="BG924" s="147">
        <f>50+500</f>
        <v>550</v>
      </c>
      <c r="BH924" s="147">
        <f>54+500</f>
        <v>554</v>
      </c>
      <c r="BI924" s="147">
        <f>58+500</f>
        <v>558</v>
      </c>
      <c r="BJ924" s="18">
        <v>62</v>
      </c>
      <c r="BK924" s="18">
        <v>66</v>
      </c>
      <c r="BL924" s="18">
        <v>71</v>
      </c>
      <c r="BM924" s="18">
        <v>76</v>
      </c>
      <c r="BN924" s="18">
        <v>81</v>
      </c>
      <c r="BO924" s="113">
        <v>0</v>
      </c>
      <c r="BP924" s="113">
        <v>0</v>
      </c>
      <c r="BQ924" s="113">
        <v>0</v>
      </c>
      <c r="BR924" s="101"/>
      <c r="BS924">
        <f t="shared" si="1865"/>
        <v>0</v>
      </c>
      <c r="BT924">
        <f t="shared" si="1865"/>
        <v>0</v>
      </c>
      <c r="BU924">
        <f t="shared" si="1865"/>
        <v>0</v>
      </c>
      <c r="BV924">
        <f t="shared" si="1865"/>
        <v>0</v>
      </c>
      <c r="BW924">
        <f t="shared" si="1865"/>
        <v>0</v>
      </c>
      <c r="BX924">
        <f t="shared" si="1865"/>
        <v>0</v>
      </c>
      <c r="BY924">
        <f t="shared" si="1865"/>
        <v>0</v>
      </c>
      <c r="BZ924">
        <f t="shared" si="1865"/>
        <v>0</v>
      </c>
      <c r="CA924">
        <f t="shared" si="1865"/>
        <v>0</v>
      </c>
      <c r="CB924">
        <f t="shared" si="1865"/>
        <v>0</v>
      </c>
      <c r="CC924">
        <f t="shared" si="1865"/>
        <v>0</v>
      </c>
      <c r="CD924">
        <f t="shared" si="1868"/>
        <v>0</v>
      </c>
      <c r="CE924">
        <f t="shared" si="1868"/>
        <v>0</v>
      </c>
      <c r="CF924">
        <f t="shared" si="1868"/>
        <v>0</v>
      </c>
      <c r="CG924">
        <f t="shared" si="1868"/>
        <v>0</v>
      </c>
      <c r="CH924">
        <f t="shared" si="1868"/>
        <v>0</v>
      </c>
      <c r="CI924">
        <f t="shared" si="1868"/>
        <v>0</v>
      </c>
      <c r="CJ924">
        <f t="shared" si="1868"/>
        <v>0</v>
      </c>
      <c r="CK924">
        <f t="shared" si="1868"/>
        <v>0</v>
      </c>
      <c r="CL924">
        <f t="shared" si="1868"/>
        <v>0</v>
      </c>
      <c r="CM924">
        <f t="shared" si="1868"/>
        <v>0</v>
      </c>
      <c r="CN924">
        <f t="shared" si="1869"/>
        <v>0</v>
      </c>
      <c r="CO924">
        <f t="shared" si="1869"/>
        <v>0</v>
      </c>
      <c r="CP924">
        <f t="shared" si="1869"/>
        <v>0</v>
      </c>
      <c r="CQ924">
        <f t="shared" si="1869"/>
        <v>0</v>
      </c>
      <c r="CR924">
        <f t="shared" si="1869"/>
        <v>0</v>
      </c>
      <c r="CS924">
        <f t="shared" si="1869"/>
        <v>0</v>
      </c>
      <c r="CT924">
        <f t="shared" si="1869"/>
        <v>0</v>
      </c>
      <c r="CU924">
        <f t="shared" si="1869"/>
        <v>0</v>
      </c>
      <c r="CV924">
        <f t="shared" si="1869"/>
        <v>0</v>
      </c>
      <c r="CW924">
        <f t="shared" si="1869"/>
        <v>0</v>
      </c>
      <c r="CX924">
        <f t="shared" si="1870"/>
        <v>0</v>
      </c>
      <c r="CY924">
        <f t="shared" si="1870"/>
        <v>0</v>
      </c>
      <c r="CZ924">
        <f t="shared" si="1870"/>
        <v>0</v>
      </c>
      <c r="DA924">
        <f t="shared" si="1870"/>
        <v>0</v>
      </c>
      <c r="DB924">
        <f t="shared" si="1870"/>
        <v>0</v>
      </c>
      <c r="DC924">
        <f t="shared" si="1870"/>
        <v>0</v>
      </c>
      <c r="DD924">
        <f t="shared" si="1870"/>
        <v>0</v>
      </c>
      <c r="DE924">
        <f t="shared" si="1870"/>
        <v>0</v>
      </c>
      <c r="DF924">
        <f t="shared" si="1870"/>
        <v>0</v>
      </c>
      <c r="DG924">
        <f t="shared" si="1870"/>
        <v>0</v>
      </c>
      <c r="DH924">
        <f t="shared" si="1871"/>
        <v>0</v>
      </c>
      <c r="DI924">
        <f t="shared" si="1871"/>
        <v>0</v>
      </c>
      <c r="DJ924">
        <f t="shared" si="1871"/>
        <v>0</v>
      </c>
      <c r="DK924">
        <f t="shared" si="1871"/>
        <v>0</v>
      </c>
      <c r="DL924">
        <f t="shared" si="1871"/>
        <v>0</v>
      </c>
      <c r="DM924">
        <f t="shared" si="1871"/>
        <v>0</v>
      </c>
      <c r="DN924">
        <f t="shared" si="1871"/>
        <v>0</v>
      </c>
      <c r="DO924">
        <f t="shared" si="1871"/>
        <v>0</v>
      </c>
      <c r="DP924">
        <f t="shared" si="1871"/>
        <v>0</v>
      </c>
      <c r="DQ924">
        <f t="shared" si="1871"/>
        <v>0</v>
      </c>
      <c r="DR924">
        <f t="shared" si="1872"/>
        <v>0</v>
      </c>
      <c r="DS924">
        <f t="shared" si="1872"/>
        <v>0</v>
      </c>
      <c r="DT924">
        <f t="shared" si="1866"/>
        <v>0</v>
      </c>
      <c r="DU924">
        <f t="shared" si="1866"/>
        <v>0</v>
      </c>
      <c r="DV924">
        <f t="shared" si="1873"/>
        <v>0</v>
      </c>
      <c r="DW924">
        <f t="shared" si="1873"/>
        <v>0</v>
      </c>
      <c r="DX924">
        <f t="shared" si="1873"/>
        <v>0</v>
      </c>
      <c r="DY924">
        <f t="shared" si="1867"/>
        <v>0</v>
      </c>
      <c r="DZ924">
        <f t="shared" si="1867"/>
        <v>0</v>
      </c>
      <c r="EA924">
        <f t="shared" si="1867"/>
        <v>0</v>
      </c>
      <c r="EB924">
        <f t="shared" si="1867"/>
        <v>0</v>
      </c>
      <c r="EC924">
        <f t="shared" si="1867"/>
        <v>0</v>
      </c>
      <c r="ED924">
        <f t="shared" si="1867"/>
        <v>0</v>
      </c>
      <c r="EE924">
        <f t="shared" si="1867"/>
        <v>0</v>
      </c>
      <c r="EF924">
        <f t="shared" si="1867"/>
        <v>0</v>
      </c>
    </row>
    <row r="925" spans="1:136" ht="15.5">
      <c r="A925" s="90"/>
      <c r="B925" s="57" t="s">
        <v>212</v>
      </c>
      <c r="C925" s="95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60"/>
      <c r="U925" s="60"/>
      <c r="V925" s="60"/>
      <c r="W925" s="60"/>
      <c r="X925" s="60"/>
      <c r="Y925" s="60"/>
      <c r="Z925" s="60"/>
      <c r="AA925" s="60"/>
      <c r="AB925" s="60"/>
      <c r="AC925" s="60"/>
      <c r="AD925" s="60"/>
      <c r="AE925" s="60"/>
      <c r="AF925" s="60"/>
      <c r="AG925" s="60"/>
      <c r="AH925" s="60"/>
      <c r="AI925" s="60"/>
      <c r="AJ925" s="60"/>
      <c r="AK925" s="60"/>
      <c r="AL925" s="127"/>
      <c r="AM925" s="127"/>
      <c r="AN925" s="127"/>
      <c r="AO925" s="127"/>
      <c r="AP925" s="127"/>
      <c r="AQ925" s="127"/>
      <c r="AR925" s="127"/>
      <c r="AS925" s="127"/>
      <c r="AT925" s="127"/>
      <c r="AU925" s="127"/>
      <c r="AV925" s="127"/>
      <c r="AW925" s="127"/>
      <c r="AX925" s="127"/>
      <c r="AY925" s="127"/>
      <c r="AZ925" s="127"/>
      <c r="BA925" s="60"/>
      <c r="BB925" s="60"/>
      <c r="BC925" s="60"/>
      <c r="BD925" s="60"/>
      <c r="BE925" s="60">
        <f>8000/2.71</f>
        <v>2952.0295202952029</v>
      </c>
      <c r="BF925" s="18">
        <v>0</v>
      </c>
      <c r="BG925" s="18">
        <v>0</v>
      </c>
      <c r="BH925" s="18">
        <v>0</v>
      </c>
      <c r="BI925" s="18">
        <v>0</v>
      </c>
      <c r="BJ925" s="18">
        <v>0</v>
      </c>
      <c r="BK925" s="18">
        <v>0</v>
      </c>
      <c r="BL925" s="18">
        <v>0</v>
      </c>
      <c r="BM925" s="18">
        <v>0</v>
      </c>
      <c r="BN925" s="18">
        <v>0</v>
      </c>
      <c r="BO925" s="18">
        <v>0</v>
      </c>
      <c r="BP925" s="18">
        <v>0</v>
      </c>
      <c r="BQ925" s="18">
        <v>0</v>
      </c>
      <c r="BR925" s="101"/>
      <c r="BS925">
        <f t="shared" si="1865"/>
        <v>0</v>
      </c>
      <c r="BT925">
        <f t="shared" si="1865"/>
        <v>0</v>
      </c>
      <c r="BU925">
        <f t="shared" si="1865"/>
        <v>0</v>
      </c>
      <c r="BV925">
        <f t="shared" si="1865"/>
        <v>0</v>
      </c>
      <c r="BW925">
        <f t="shared" si="1865"/>
        <v>0</v>
      </c>
      <c r="BX925">
        <f t="shared" si="1865"/>
        <v>0</v>
      </c>
      <c r="BY925">
        <f t="shared" si="1865"/>
        <v>0</v>
      </c>
      <c r="BZ925">
        <f t="shared" si="1865"/>
        <v>0</v>
      </c>
      <c r="CA925">
        <f t="shared" si="1865"/>
        <v>0</v>
      </c>
      <c r="CB925">
        <f t="shared" si="1865"/>
        <v>0</v>
      </c>
      <c r="CC925">
        <f t="shared" si="1865"/>
        <v>0</v>
      </c>
      <c r="CD925">
        <f t="shared" si="1868"/>
        <v>0</v>
      </c>
      <c r="CE925">
        <f t="shared" si="1868"/>
        <v>0</v>
      </c>
      <c r="CF925">
        <f t="shared" si="1868"/>
        <v>0</v>
      </c>
      <c r="CG925">
        <f t="shared" si="1868"/>
        <v>0</v>
      </c>
      <c r="CH925">
        <f t="shared" si="1868"/>
        <v>0</v>
      </c>
      <c r="CI925">
        <f t="shared" si="1868"/>
        <v>0</v>
      </c>
      <c r="CJ925">
        <f t="shared" si="1868"/>
        <v>0</v>
      </c>
      <c r="CK925">
        <f t="shared" si="1868"/>
        <v>0</v>
      </c>
      <c r="CL925">
        <f t="shared" si="1868"/>
        <v>0</v>
      </c>
      <c r="CM925">
        <f t="shared" si="1868"/>
        <v>0</v>
      </c>
      <c r="CN925">
        <f t="shared" si="1869"/>
        <v>0</v>
      </c>
      <c r="CO925">
        <f t="shared" si="1869"/>
        <v>0</v>
      </c>
      <c r="CP925">
        <f t="shared" si="1869"/>
        <v>0</v>
      </c>
      <c r="CQ925">
        <f t="shared" si="1869"/>
        <v>0</v>
      </c>
      <c r="CR925">
        <f t="shared" si="1869"/>
        <v>0</v>
      </c>
      <c r="CS925">
        <f t="shared" si="1869"/>
        <v>0</v>
      </c>
      <c r="CT925">
        <f t="shared" si="1869"/>
        <v>0</v>
      </c>
      <c r="CU925">
        <f t="shared" si="1869"/>
        <v>0</v>
      </c>
      <c r="CV925">
        <f t="shared" si="1869"/>
        <v>0</v>
      </c>
      <c r="CW925">
        <f t="shared" si="1869"/>
        <v>0</v>
      </c>
      <c r="CX925">
        <f t="shared" si="1870"/>
        <v>0</v>
      </c>
      <c r="CY925">
        <f t="shared" si="1870"/>
        <v>0</v>
      </c>
      <c r="CZ925">
        <f t="shared" si="1870"/>
        <v>0</v>
      </c>
      <c r="DA925">
        <f t="shared" si="1870"/>
        <v>0</v>
      </c>
      <c r="DB925">
        <f t="shared" si="1870"/>
        <v>0</v>
      </c>
      <c r="DC925">
        <f t="shared" si="1870"/>
        <v>0</v>
      </c>
      <c r="DD925">
        <f t="shared" si="1870"/>
        <v>0</v>
      </c>
      <c r="DE925">
        <f t="shared" si="1870"/>
        <v>0</v>
      </c>
      <c r="DF925">
        <f t="shared" si="1870"/>
        <v>0</v>
      </c>
      <c r="DG925">
        <f t="shared" si="1870"/>
        <v>0</v>
      </c>
      <c r="DH925">
        <f t="shared" si="1871"/>
        <v>0</v>
      </c>
      <c r="DI925">
        <f t="shared" si="1871"/>
        <v>0</v>
      </c>
      <c r="DJ925">
        <f t="shared" si="1871"/>
        <v>0</v>
      </c>
      <c r="DK925">
        <f t="shared" si="1871"/>
        <v>0</v>
      </c>
      <c r="DL925">
        <f t="shared" si="1871"/>
        <v>0</v>
      </c>
      <c r="DM925">
        <f t="shared" si="1871"/>
        <v>0</v>
      </c>
      <c r="DN925">
        <f t="shared" si="1871"/>
        <v>0</v>
      </c>
      <c r="DO925">
        <f t="shared" si="1871"/>
        <v>0</v>
      </c>
      <c r="DP925">
        <f t="shared" si="1871"/>
        <v>0</v>
      </c>
      <c r="DQ925">
        <f t="shared" si="1871"/>
        <v>0</v>
      </c>
      <c r="DR925">
        <f t="shared" si="1872"/>
        <v>0</v>
      </c>
      <c r="DS925">
        <f t="shared" si="1872"/>
        <v>0</v>
      </c>
      <c r="DT925">
        <f t="shared" si="1866"/>
        <v>0</v>
      </c>
      <c r="DU925">
        <f t="shared" si="1866"/>
        <v>0</v>
      </c>
      <c r="DV925">
        <f t="shared" si="1873"/>
        <v>0</v>
      </c>
      <c r="DW925">
        <f t="shared" si="1873"/>
        <v>0</v>
      </c>
      <c r="DX925">
        <f t="shared" si="1873"/>
        <v>0</v>
      </c>
      <c r="DY925">
        <f t="shared" si="1867"/>
        <v>0</v>
      </c>
      <c r="DZ925">
        <f t="shared" si="1867"/>
        <v>0</v>
      </c>
      <c r="EA925">
        <f t="shared" si="1867"/>
        <v>0</v>
      </c>
      <c r="EB925">
        <f t="shared" si="1867"/>
        <v>0</v>
      </c>
      <c r="EC925">
        <f t="shared" si="1867"/>
        <v>0</v>
      </c>
      <c r="ED925">
        <f t="shared" si="1867"/>
        <v>0</v>
      </c>
      <c r="EE925">
        <f t="shared" si="1867"/>
        <v>0</v>
      </c>
      <c r="EF925">
        <f t="shared" si="1867"/>
        <v>0</v>
      </c>
    </row>
    <row r="926" spans="1:136" ht="15.5">
      <c r="A926" s="90"/>
      <c r="B926" s="105"/>
      <c r="C926" s="95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60"/>
      <c r="U926" s="60"/>
      <c r="V926" s="60"/>
      <c r="W926" s="60"/>
      <c r="X926" s="60"/>
      <c r="Y926" s="60"/>
      <c r="Z926" s="60"/>
      <c r="AA926" s="60"/>
      <c r="AB926" s="60"/>
      <c r="AC926" s="60"/>
      <c r="AD926" s="60"/>
      <c r="AE926" s="60"/>
      <c r="AF926" s="127"/>
      <c r="AG926" s="127"/>
      <c r="AH926" s="219"/>
      <c r="AI926" s="127"/>
      <c r="AJ926" s="127"/>
      <c r="AK926" s="219"/>
      <c r="AL926" s="219"/>
      <c r="AM926" s="127"/>
      <c r="AN926" s="127"/>
      <c r="AO926" s="127"/>
      <c r="AP926" s="127"/>
      <c r="AQ926" s="127"/>
      <c r="AR926" s="127"/>
      <c r="AS926" s="127"/>
      <c r="AT926" s="127"/>
      <c r="AU926" s="127"/>
      <c r="AV926" s="127"/>
      <c r="AW926" s="127"/>
      <c r="AX926" s="127"/>
      <c r="AY926" s="127"/>
      <c r="AZ926" s="127"/>
      <c r="BA926" s="197"/>
      <c r="BB926" s="60"/>
      <c r="BC926" s="60"/>
      <c r="BD926" s="60"/>
      <c r="BE926" s="60"/>
      <c r="BF926" s="60"/>
      <c r="BG926" s="60"/>
      <c r="BH926" s="18"/>
      <c r="BI926" s="18"/>
      <c r="BJ926" s="18"/>
      <c r="BK926" s="18"/>
      <c r="BL926" s="18"/>
      <c r="BM926" s="18"/>
      <c r="BN926" s="18"/>
      <c r="BO926" s="113"/>
      <c r="BP926" s="2"/>
      <c r="BQ926" s="2"/>
      <c r="BR926" s="101"/>
    </row>
    <row r="927" spans="1:136" ht="15.5">
      <c r="A927" s="93">
        <v>116</v>
      </c>
      <c r="B927" s="52" t="s">
        <v>117</v>
      </c>
      <c r="C927" s="95">
        <v>2</v>
      </c>
      <c r="D927" s="22">
        <f t="shared" ref="D927:AI927" si="1874">SUM(D928:D932)</f>
        <v>0</v>
      </c>
      <c r="E927" s="22">
        <f t="shared" si="1874"/>
        <v>0</v>
      </c>
      <c r="F927" s="22">
        <f t="shared" si="1874"/>
        <v>0</v>
      </c>
      <c r="G927" s="22">
        <f t="shared" si="1874"/>
        <v>0</v>
      </c>
      <c r="H927" s="22">
        <f t="shared" si="1874"/>
        <v>0</v>
      </c>
      <c r="I927" s="22">
        <f t="shared" si="1874"/>
        <v>0</v>
      </c>
      <c r="J927" s="22">
        <f t="shared" si="1874"/>
        <v>0</v>
      </c>
      <c r="K927" s="22">
        <f t="shared" si="1874"/>
        <v>0</v>
      </c>
      <c r="L927" s="22">
        <f t="shared" si="1874"/>
        <v>0</v>
      </c>
      <c r="M927" s="22">
        <f t="shared" si="1874"/>
        <v>0</v>
      </c>
      <c r="N927" s="22">
        <f t="shared" si="1874"/>
        <v>274.89999999999998</v>
      </c>
      <c r="O927" s="22">
        <f t="shared" si="1874"/>
        <v>0</v>
      </c>
      <c r="P927" s="22">
        <f t="shared" si="1874"/>
        <v>0</v>
      </c>
      <c r="Q927" s="22">
        <f t="shared" si="1874"/>
        <v>0</v>
      </c>
      <c r="R927" s="22">
        <f t="shared" si="1874"/>
        <v>0</v>
      </c>
      <c r="S927" s="22">
        <f t="shared" si="1874"/>
        <v>0</v>
      </c>
      <c r="T927" s="22">
        <f t="shared" si="1874"/>
        <v>0.11700000000000001</v>
      </c>
      <c r="U927" s="22">
        <f t="shared" si="1874"/>
        <v>0.14299999999999999</v>
      </c>
      <c r="V927" s="22">
        <f t="shared" si="1874"/>
        <v>0.17699999999999999</v>
      </c>
      <c r="W927" s="22">
        <f t="shared" si="1874"/>
        <v>0.54800000000000004</v>
      </c>
      <c r="X927" s="22">
        <f t="shared" si="1874"/>
        <v>0.49399999999999999</v>
      </c>
      <c r="Y927" s="22">
        <f t="shared" si="1874"/>
        <v>0.48399999999999999</v>
      </c>
      <c r="Z927" s="22">
        <f t="shared" si="1874"/>
        <v>0.71799999999999997</v>
      </c>
      <c r="AA927" s="22">
        <f t="shared" si="1874"/>
        <v>4259.1819999999998</v>
      </c>
      <c r="AB927" s="22">
        <f t="shared" si="1874"/>
        <v>5870.5829999999996</v>
      </c>
      <c r="AC927" s="22">
        <f t="shared" si="1874"/>
        <v>5568.06</v>
      </c>
      <c r="AD927" s="22">
        <f t="shared" si="1874"/>
        <v>10821.046</v>
      </c>
      <c r="AE927" s="22">
        <f t="shared" si="1874"/>
        <v>12854.295</v>
      </c>
      <c r="AF927" s="22">
        <f t="shared" si="1874"/>
        <v>3098.9569999999999</v>
      </c>
      <c r="AG927" s="22">
        <f t="shared" si="1874"/>
        <v>6499.3940000000002</v>
      </c>
      <c r="AH927" s="22">
        <f t="shared" si="1874"/>
        <v>14073.754000000001</v>
      </c>
      <c r="AI927" s="22">
        <f t="shared" si="1874"/>
        <v>12434.841</v>
      </c>
      <c r="AJ927" s="22">
        <f t="shared" ref="AJ927:BO927" si="1875">SUM(AJ928:AJ932)</f>
        <v>8353.6329999999998</v>
      </c>
      <c r="AK927" s="22">
        <f t="shared" si="1875"/>
        <v>281.13</v>
      </c>
      <c r="AL927" s="22">
        <f t="shared" si="1875"/>
        <v>585</v>
      </c>
      <c r="AM927" s="22">
        <f t="shared" si="1875"/>
        <v>0</v>
      </c>
      <c r="AN927" s="22">
        <f t="shared" si="1875"/>
        <v>1.8385320000000001</v>
      </c>
      <c r="AO927" s="22">
        <f t="shared" si="1875"/>
        <v>0.1251285</v>
      </c>
      <c r="AP927" s="22">
        <f t="shared" si="1875"/>
        <v>0.59727630000000009</v>
      </c>
      <c r="AQ927" s="22">
        <f t="shared" si="1875"/>
        <v>0</v>
      </c>
      <c r="AR927" s="22">
        <f t="shared" si="1875"/>
        <v>0</v>
      </c>
      <c r="AS927" s="22">
        <f t="shared" si="1875"/>
        <v>0</v>
      </c>
      <c r="AT927" s="22">
        <f t="shared" si="1875"/>
        <v>0</v>
      </c>
      <c r="AU927" s="22">
        <f t="shared" si="1875"/>
        <v>0</v>
      </c>
      <c r="AV927" s="22">
        <f t="shared" si="1875"/>
        <v>0</v>
      </c>
      <c r="AW927" s="22">
        <f t="shared" si="1875"/>
        <v>0</v>
      </c>
      <c r="AX927" s="22">
        <f t="shared" si="1875"/>
        <v>1.8385320000000001</v>
      </c>
      <c r="AY927" s="22">
        <f t="shared" si="1875"/>
        <v>0</v>
      </c>
      <c r="AZ927" s="22">
        <f t="shared" si="1875"/>
        <v>0.54300000000000004</v>
      </c>
      <c r="BA927" s="22">
        <f t="shared" si="1875"/>
        <v>0</v>
      </c>
      <c r="BB927" s="22">
        <f t="shared" si="1875"/>
        <v>0</v>
      </c>
      <c r="BC927" s="22">
        <f t="shared" si="1875"/>
        <v>0</v>
      </c>
      <c r="BD927" s="22">
        <f t="shared" si="1875"/>
        <v>0</v>
      </c>
      <c r="BE927" s="22">
        <f t="shared" si="1875"/>
        <v>0</v>
      </c>
      <c r="BF927" s="22">
        <f t="shared" si="1875"/>
        <v>0</v>
      </c>
      <c r="BG927" s="22">
        <f t="shared" si="1875"/>
        <v>0</v>
      </c>
      <c r="BH927" s="22">
        <f t="shared" si="1875"/>
        <v>0</v>
      </c>
      <c r="BI927" s="22">
        <f t="shared" si="1875"/>
        <v>0</v>
      </c>
      <c r="BJ927" s="22">
        <f t="shared" si="1875"/>
        <v>0</v>
      </c>
      <c r="BK927" s="22">
        <f t="shared" si="1875"/>
        <v>0</v>
      </c>
      <c r="BL927" s="22">
        <f t="shared" si="1875"/>
        <v>0</v>
      </c>
      <c r="BM927" s="22">
        <f t="shared" si="1875"/>
        <v>0</v>
      </c>
      <c r="BN927" s="22">
        <f t="shared" si="1875"/>
        <v>0</v>
      </c>
      <c r="BO927" s="22">
        <f t="shared" si="1875"/>
        <v>0</v>
      </c>
      <c r="BP927" s="22">
        <f>SUM(BP928:BP932)</f>
        <v>0</v>
      </c>
      <c r="BQ927" s="22">
        <f>SUM(BQ928:BQ932)</f>
        <v>0</v>
      </c>
      <c r="BR927" s="101"/>
      <c r="BS927">
        <f t="shared" ref="BS927:CX927" si="1876">IF($C927&lt;&gt;"",IF(D927&gt;0,1,0),0)</f>
        <v>0</v>
      </c>
      <c r="BT927">
        <f t="shared" si="1876"/>
        <v>0</v>
      </c>
      <c r="BU927">
        <f t="shared" si="1876"/>
        <v>0</v>
      </c>
      <c r="BV927">
        <f t="shared" si="1876"/>
        <v>0</v>
      </c>
      <c r="BW927">
        <f t="shared" si="1876"/>
        <v>0</v>
      </c>
      <c r="BX927">
        <f t="shared" si="1876"/>
        <v>0</v>
      </c>
      <c r="BY927">
        <f t="shared" si="1876"/>
        <v>0</v>
      </c>
      <c r="BZ927">
        <f t="shared" si="1876"/>
        <v>0</v>
      </c>
      <c r="CA927">
        <f t="shared" si="1876"/>
        <v>0</v>
      </c>
      <c r="CB927">
        <f t="shared" si="1876"/>
        <v>0</v>
      </c>
      <c r="CC927">
        <f t="shared" si="1876"/>
        <v>1</v>
      </c>
      <c r="CD927">
        <f t="shared" si="1876"/>
        <v>0</v>
      </c>
      <c r="CE927">
        <f t="shared" si="1876"/>
        <v>0</v>
      </c>
      <c r="CF927">
        <f t="shared" si="1876"/>
        <v>0</v>
      </c>
      <c r="CG927">
        <f t="shared" si="1876"/>
        <v>0</v>
      </c>
      <c r="CH927">
        <f t="shared" si="1876"/>
        <v>0</v>
      </c>
      <c r="CI927">
        <f t="shared" si="1876"/>
        <v>1</v>
      </c>
      <c r="CJ927">
        <f t="shared" si="1876"/>
        <v>1</v>
      </c>
      <c r="CK927">
        <f t="shared" si="1876"/>
        <v>1</v>
      </c>
      <c r="CL927">
        <f t="shared" si="1876"/>
        <v>1</v>
      </c>
      <c r="CM927">
        <f t="shared" si="1876"/>
        <v>1</v>
      </c>
      <c r="CN927">
        <f t="shared" si="1876"/>
        <v>1</v>
      </c>
      <c r="CO927">
        <f t="shared" si="1876"/>
        <v>1</v>
      </c>
      <c r="CP927">
        <f t="shared" si="1876"/>
        <v>1</v>
      </c>
      <c r="CQ927">
        <f t="shared" si="1876"/>
        <v>1</v>
      </c>
      <c r="CR927">
        <f t="shared" si="1876"/>
        <v>1</v>
      </c>
      <c r="CS927">
        <f t="shared" si="1876"/>
        <v>1</v>
      </c>
      <c r="CT927">
        <f t="shared" si="1876"/>
        <v>1</v>
      </c>
      <c r="CU927">
        <f t="shared" si="1876"/>
        <v>1</v>
      </c>
      <c r="CV927">
        <f t="shared" si="1876"/>
        <v>1</v>
      </c>
      <c r="CW927">
        <f t="shared" si="1876"/>
        <v>1</v>
      </c>
      <c r="CX927">
        <f t="shared" si="1876"/>
        <v>1</v>
      </c>
      <c r="CY927">
        <f t="shared" ref="CY927:ED927" si="1877">IF($C927&lt;&gt;"",IF(AJ927&gt;0,1,0),0)</f>
        <v>1</v>
      </c>
      <c r="CZ927">
        <f t="shared" si="1877"/>
        <v>1</v>
      </c>
      <c r="DA927">
        <f t="shared" si="1877"/>
        <v>1</v>
      </c>
      <c r="DB927">
        <f t="shared" si="1877"/>
        <v>0</v>
      </c>
      <c r="DC927">
        <f t="shared" si="1877"/>
        <v>1</v>
      </c>
      <c r="DD927">
        <f t="shared" si="1877"/>
        <v>1</v>
      </c>
      <c r="DE927">
        <f t="shared" si="1877"/>
        <v>1</v>
      </c>
      <c r="DF927">
        <f t="shared" si="1877"/>
        <v>0</v>
      </c>
      <c r="DG927">
        <f t="shared" si="1877"/>
        <v>0</v>
      </c>
      <c r="DH927">
        <f t="shared" si="1877"/>
        <v>0</v>
      </c>
      <c r="DI927">
        <f t="shared" si="1877"/>
        <v>0</v>
      </c>
      <c r="DJ927">
        <f t="shared" si="1877"/>
        <v>0</v>
      </c>
      <c r="DK927">
        <f t="shared" si="1877"/>
        <v>0</v>
      </c>
      <c r="DL927">
        <f t="shared" si="1877"/>
        <v>0</v>
      </c>
      <c r="DM927">
        <f t="shared" si="1877"/>
        <v>1</v>
      </c>
      <c r="DN927">
        <f t="shared" si="1877"/>
        <v>0</v>
      </c>
      <c r="DO927">
        <f t="shared" si="1877"/>
        <v>1</v>
      </c>
      <c r="DP927">
        <f t="shared" si="1877"/>
        <v>0</v>
      </c>
      <c r="DQ927">
        <f t="shared" si="1877"/>
        <v>0</v>
      </c>
      <c r="DR927">
        <f t="shared" si="1877"/>
        <v>0</v>
      </c>
      <c r="DS927">
        <f t="shared" si="1877"/>
        <v>0</v>
      </c>
      <c r="DT927">
        <f t="shared" si="1877"/>
        <v>0</v>
      </c>
      <c r="DU927">
        <f t="shared" si="1877"/>
        <v>0</v>
      </c>
      <c r="DV927">
        <f t="shared" si="1877"/>
        <v>0</v>
      </c>
      <c r="DW927">
        <f t="shared" si="1877"/>
        <v>0</v>
      </c>
      <c r="DX927">
        <f t="shared" si="1877"/>
        <v>0</v>
      </c>
      <c r="DY927">
        <f t="shared" si="1877"/>
        <v>0</v>
      </c>
      <c r="DZ927">
        <f t="shared" si="1877"/>
        <v>0</v>
      </c>
      <c r="EA927">
        <f t="shared" si="1877"/>
        <v>0</v>
      </c>
      <c r="EB927">
        <f t="shared" si="1877"/>
        <v>0</v>
      </c>
      <c r="EC927">
        <f t="shared" si="1877"/>
        <v>0</v>
      </c>
      <c r="ED927">
        <f t="shared" si="1877"/>
        <v>0</v>
      </c>
      <c r="EE927">
        <f t="shared" ref="EE927:EF927" si="1878">IF($C927&lt;&gt;"",IF(BP927&gt;0,1,0),0)</f>
        <v>0</v>
      </c>
      <c r="EF927">
        <f t="shared" si="1878"/>
        <v>0</v>
      </c>
    </row>
    <row r="928" spans="1:136" ht="15.5">
      <c r="A928" s="90"/>
      <c r="B928" s="19" t="s">
        <v>2</v>
      </c>
      <c r="C928" s="95"/>
      <c r="D928" s="18">
        <v>0</v>
      </c>
      <c r="E928" s="18">
        <v>0</v>
      </c>
      <c r="F928" s="18">
        <v>0</v>
      </c>
      <c r="G928" s="18">
        <v>0</v>
      </c>
      <c r="H928" s="18">
        <v>0</v>
      </c>
      <c r="I928" s="18">
        <v>0</v>
      </c>
      <c r="J928" s="18">
        <v>0</v>
      </c>
      <c r="K928" s="18">
        <v>0</v>
      </c>
      <c r="L928" s="18">
        <v>0</v>
      </c>
      <c r="M928" s="18">
        <v>0</v>
      </c>
      <c r="N928" s="18">
        <v>0</v>
      </c>
      <c r="O928" s="18">
        <v>0</v>
      </c>
      <c r="P928" s="18">
        <v>0</v>
      </c>
      <c r="Q928" s="18">
        <v>0</v>
      </c>
      <c r="R928" s="18">
        <v>0</v>
      </c>
      <c r="S928" s="18">
        <v>0</v>
      </c>
      <c r="T928" s="18">
        <v>0</v>
      </c>
      <c r="U928" s="18">
        <v>0</v>
      </c>
      <c r="V928" s="18">
        <v>0</v>
      </c>
      <c r="W928" s="18">
        <v>0</v>
      </c>
      <c r="X928" s="18">
        <v>0</v>
      </c>
      <c r="Y928" s="18">
        <v>0</v>
      </c>
      <c r="Z928" s="18">
        <v>0</v>
      </c>
      <c r="AA928" s="40" t="s">
        <v>16</v>
      </c>
      <c r="AB928" s="18">
        <v>1000</v>
      </c>
      <c r="AC928" s="18">
        <v>0</v>
      </c>
      <c r="AD928" s="18">
        <v>1300</v>
      </c>
      <c r="AE928" s="18">
        <v>870</v>
      </c>
      <c r="AF928" s="40" t="s">
        <v>16</v>
      </c>
      <c r="AG928" s="18">
        <v>1859</v>
      </c>
      <c r="AH928" s="18">
        <v>0</v>
      </c>
      <c r="AI928" s="18">
        <v>1096</v>
      </c>
      <c r="AJ928" s="18">
        <v>0</v>
      </c>
      <c r="AK928" s="18">
        <v>0</v>
      </c>
      <c r="AL928" s="18">
        <v>585</v>
      </c>
      <c r="AM928" s="18">
        <v>0</v>
      </c>
      <c r="AN928" s="18">
        <v>0</v>
      </c>
      <c r="AO928" s="18">
        <v>0</v>
      </c>
      <c r="AP928" s="18">
        <v>0</v>
      </c>
      <c r="AQ928" s="18">
        <v>0</v>
      </c>
      <c r="AR928" s="18">
        <v>0</v>
      </c>
      <c r="AS928" s="18">
        <v>0</v>
      </c>
      <c r="AT928" s="18">
        <v>0</v>
      </c>
      <c r="AU928" s="18">
        <v>0</v>
      </c>
      <c r="AV928" s="18">
        <v>0</v>
      </c>
      <c r="AW928" s="18">
        <v>0</v>
      </c>
      <c r="AX928" s="18">
        <v>0</v>
      </c>
      <c r="AY928" s="18">
        <v>0</v>
      </c>
      <c r="AZ928" s="18">
        <v>0</v>
      </c>
      <c r="BA928" s="18">
        <v>0</v>
      </c>
      <c r="BB928" s="18">
        <v>0</v>
      </c>
      <c r="BC928" s="18">
        <v>0</v>
      </c>
      <c r="BD928" s="18">
        <v>0</v>
      </c>
      <c r="BE928" s="18">
        <v>0</v>
      </c>
      <c r="BF928" s="18">
        <v>0</v>
      </c>
      <c r="BG928" s="18">
        <v>0</v>
      </c>
      <c r="BH928" s="18">
        <v>0</v>
      </c>
      <c r="BI928" s="18">
        <v>0</v>
      </c>
      <c r="BJ928" s="113">
        <v>0</v>
      </c>
      <c r="BK928" s="113">
        <v>0</v>
      </c>
      <c r="BL928" s="113">
        <v>0</v>
      </c>
      <c r="BM928" s="113">
        <v>0</v>
      </c>
      <c r="BN928" s="113">
        <v>0</v>
      </c>
      <c r="BO928" s="113">
        <v>0</v>
      </c>
      <c r="BP928" s="113">
        <v>0</v>
      </c>
      <c r="BQ928" s="113">
        <v>0</v>
      </c>
      <c r="BR928" s="101"/>
      <c r="BS928">
        <f t="shared" ref="BS928:CB933" si="1879">IF($C928&lt;&gt;"",IF(D928&gt;0,1,0),0)</f>
        <v>0</v>
      </c>
      <c r="BT928">
        <f t="shared" si="1879"/>
        <v>0</v>
      </c>
      <c r="BU928">
        <f t="shared" si="1879"/>
        <v>0</v>
      </c>
      <c r="BV928">
        <f t="shared" si="1879"/>
        <v>0</v>
      </c>
      <c r="BW928">
        <f t="shared" si="1879"/>
        <v>0</v>
      </c>
      <c r="BX928">
        <f t="shared" si="1879"/>
        <v>0</v>
      </c>
      <c r="BY928">
        <f t="shared" si="1879"/>
        <v>0</v>
      </c>
      <c r="BZ928">
        <f t="shared" si="1879"/>
        <v>0</v>
      </c>
      <c r="CA928">
        <f t="shared" si="1879"/>
        <v>0</v>
      </c>
      <c r="CB928">
        <f t="shared" si="1879"/>
        <v>0</v>
      </c>
      <c r="CC928">
        <f t="shared" ref="CC928:CL933" si="1880">IF($C928&lt;&gt;"",IF(N928&gt;0,1,0),0)</f>
        <v>0</v>
      </c>
      <c r="CD928">
        <f t="shared" si="1880"/>
        <v>0</v>
      </c>
      <c r="CE928">
        <f t="shared" si="1880"/>
        <v>0</v>
      </c>
      <c r="CF928">
        <f t="shared" si="1880"/>
        <v>0</v>
      </c>
      <c r="CG928">
        <f t="shared" si="1880"/>
        <v>0</v>
      </c>
      <c r="CH928">
        <f t="shared" si="1880"/>
        <v>0</v>
      </c>
      <c r="CI928">
        <f t="shared" si="1880"/>
        <v>0</v>
      </c>
      <c r="CJ928">
        <f t="shared" si="1880"/>
        <v>0</v>
      </c>
      <c r="CK928">
        <f t="shared" si="1880"/>
        <v>0</v>
      </c>
      <c r="CL928">
        <f t="shared" si="1880"/>
        <v>0</v>
      </c>
      <c r="CM928">
        <f t="shared" ref="CM928:CV933" si="1881">IF($C928&lt;&gt;"",IF(X928&gt;0,1,0),0)</f>
        <v>0</v>
      </c>
      <c r="CN928">
        <f t="shared" si="1881"/>
        <v>0</v>
      </c>
      <c r="CO928">
        <f t="shared" si="1881"/>
        <v>0</v>
      </c>
      <c r="CP928">
        <f t="shared" si="1881"/>
        <v>0</v>
      </c>
      <c r="CQ928">
        <f t="shared" si="1881"/>
        <v>0</v>
      </c>
      <c r="CR928">
        <f t="shared" si="1881"/>
        <v>0</v>
      </c>
      <c r="CS928">
        <f t="shared" si="1881"/>
        <v>0</v>
      </c>
      <c r="CT928">
        <f t="shared" si="1881"/>
        <v>0</v>
      </c>
      <c r="CU928">
        <f t="shared" si="1881"/>
        <v>0</v>
      </c>
      <c r="CV928">
        <f t="shared" si="1881"/>
        <v>0</v>
      </c>
      <c r="CW928">
        <f t="shared" ref="CW928:DF933" si="1882">IF($C928&lt;&gt;"",IF(AH928&gt;0,1,0),0)</f>
        <v>0</v>
      </c>
      <c r="CX928">
        <f t="shared" si="1882"/>
        <v>0</v>
      </c>
      <c r="CY928">
        <f t="shared" si="1882"/>
        <v>0</v>
      </c>
      <c r="CZ928">
        <f t="shared" si="1882"/>
        <v>0</v>
      </c>
      <c r="DA928">
        <f t="shared" si="1882"/>
        <v>0</v>
      </c>
      <c r="DB928">
        <f t="shared" si="1882"/>
        <v>0</v>
      </c>
      <c r="DC928">
        <f t="shared" si="1882"/>
        <v>0</v>
      </c>
      <c r="DD928">
        <f t="shared" si="1882"/>
        <v>0</v>
      </c>
      <c r="DE928">
        <f t="shared" si="1882"/>
        <v>0</v>
      </c>
      <c r="DF928">
        <f t="shared" si="1882"/>
        <v>0</v>
      </c>
      <c r="DG928">
        <f t="shared" ref="DG928:DP933" si="1883">IF($C928&lt;&gt;"",IF(AR928&gt;0,1,0),0)</f>
        <v>0</v>
      </c>
      <c r="DH928">
        <f t="shared" si="1883"/>
        <v>0</v>
      </c>
      <c r="DI928">
        <f t="shared" si="1883"/>
        <v>0</v>
      </c>
      <c r="DJ928">
        <f t="shared" si="1883"/>
        <v>0</v>
      </c>
      <c r="DK928">
        <f t="shared" si="1883"/>
        <v>0</v>
      </c>
      <c r="DL928">
        <f t="shared" si="1883"/>
        <v>0</v>
      </c>
      <c r="DM928">
        <f t="shared" si="1883"/>
        <v>0</v>
      </c>
      <c r="DN928">
        <f t="shared" si="1883"/>
        <v>0</v>
      </c>
      <c r="DO928">
        <f t="shared" si="1883"/>
        <v>0</v>
      </c>
      <c r="DP928">
        <f t="shared" si="1883"/>
        <v>0</v>
      </c>
      <c r="DQ928">
        <f t="shared" ref="DQ928:DZ933" si="1884">IF($C928&lt;&gt;"",IF(BB928&gt;0,1,0),0)</f>
        <v>0</v>
      </c>
      <c r="DR928">
        <f t="shared" si="1884"/>
        <v>0</v>
      </c>
      <c r="DS928">
        <f t="shared" si="1884"/>
        <v>0</v>
      </c>
      <c r="DT928">
        <f t="shared" si="1884"/>
        <v>0</v>
      </c>
      <c r="DU928">
        <f t="shared" si="1884"/>
        <v>0</v>
      </c>
      <c r="DV928">
        <f t="shared" si="1884"/>
        <v>0</v>
      </c>
      <c r="DW928">
        <f t="shared" si="1884"/>
        <v>0</v>
      </c>
      <c r="DX928">
        <f t="shared" si="1884"/>
        <v>0</v>
      </c>
      <c r="DY928">
        <f t="shared" si="1884"/>
        <v>0</v>
      </c>
      <c r="DZ928">
        <f t="shared" si="1884"/>
        <v>0</v>
      </c>
      <c r="EA928">
        <f t="shared" ref="EA928:EF928" si="1885">IF($C928&lt;&gt;"",IF(BL927&gt;0,1,0),0)</f>
        <v>0</v>
      </c>
      <c r="EB928">
        <f t="shared" si="1885"/>
        <v>0</v>
      </c>
      <c r="EC928">
        <f t="shared" si="1885"/>
        <v>0</v>
      </c>
      <c r="ED928">
        <f t="shared" si="1885"/>
        <v>0</v>
      </c>
      <c r="EE928">
        <f t="shared" si="1885"/>
        <v>0</v>
      </c>
      <c r="EF928">
        <f t="shared" si="1885"/>
        <v>0</v>
      </c>
    </row>
    <row r="929" spans="1:136" ht="15.5">
      <c r="A929" s="90"/>
      <c r="B929" s="105" t="s">
        <v>205</v>
      </c>
      <c r="C929" s="95"/>
      <c r="D929" s="18">
        <v>0</v>
      </c>
      <c r="E929" s="18">
        <v>0</v>
      </c>
      <c r="F929" s="18">
        <v>0</v>
      </c>
      <c r="G929" s="18">
        <v>0</v>
      </c>
      <c r="H929" s="18">
        <v>0</v>
      </c>
      <c r="I929" s="18">
        <v>0</v>
      </c>
      <c r="J929" s="18">
        <v>0</v>
      </c>
      <c r="K929" s="18">
        <v>0</v>
      </c>
      <c r="L929" s="18">
        <v>0</v>
      </c>
      <c r="M929" s="18">
        <v>0</v>
      </c>
      <c r="N929" s="18">
        <v>0</v>
      </c>
      <c r="O929" s="18">
        <v>0</v>
      </c>
      <c r="P929" s="18">
        <v>0</v>
      </c>
      <c r="Q929" s="18">
        <v>0</v>
      </c>
      <c r="R929" s="18">
        <v>0</v>
      </c>
      <c r="S929" s="18">
        <v>0</v>
      </c>
      <c r="T929" s="18">
        <v>0</v>
      </c>
      <c r="U929" s="18">
        <v>0</v>
      </c>
      <c r="V929" s="18">
        <v>0</v>
      </c>
      <c r="W929" s="18">
        <v>0</v>
      </c>
      <c r="X929" s="18">
        <v>0</v>
      </c>
      <c r="Y929" s="18">
        <v>0</v>
      </c>
      <c r="Z929" s="18">
        <v>0</v>
      </c>
      <c r="AA929" s="18">
        <v>0</v>
      </c>
      <c r="AB929" s="18">
        <v>0</v>
      </c>
      <c r="AC929" s="18">
        <v>0.67600000000000005</v>
      </c>
      <c r="AD929" s="18">
        <v>1.8320000000000001</v>
      </c>
      <c r="AE929" s="18">
        <v>3.278</v>
      </c>
      <c r="AF929" s="71">
        <v>4.6239999999999997</v>
      </c>
      <c r="AG929" s="18">
        <v>5.95</v>
      </c>
      <c r="AH929" s="18">
        <v>7.4080000000000004</v>
      </c>
      <c r="AI929" s="18">
        <v>5.9240000000000004</v>
      </c>
      <c r="AJ929" s="18">
        <v>0</v>
      </c>
      <c r="AK929" s="18">
        <v>0</v>
      </c>
      <c r="AL929" s="18">
        <v>0</v>
      </c>
      <c r="AM929" s="18">
        <v>0</v>
      </c>
      <c r="AN929" s="18">
        <v>0</v>
      </c>
      <c r="AO929" s="18">
        <v>0</v>
      </c>
      <c r="AP929" s="18">
        <v>0</v>
      </c>
      <c r="AQ929" s="18">
        <v>0</v>
      </c>
      <c r="AR929" s="18">
        <v>0</v>
      </c>
      <c r="AS929" s="18">
        <v>0</v>
      </c>
      <c r="AT929" s="18">
        <v>0</v>
      </c>
      <c r="AU929" s="18">
        <v>0</v>
      </c>
      <c r="AV929" s="18">
        <v>0</v>
      </c>
      <c r="AW929" s="18">
        <v>0</v>
      </c>
      <c r="AX929" s="18">
        <v>0</v>
      </c>
      <c r="AY929" s="18">
        <v>0</v>
      </c>
      <c r="AZ929" s="18">
        <v>0</v>
      </c>
      <c r="BA929" s="18">
        <v>0</v>
      </c>
      <c r="BB929" s="18">
        <v>0</v>
      </c>
      <c r="BC929" s="18">
        <v>0</v>
      </c>
      <c r="BD929" s="18">
        <v>0</v>
      </c>
      <c r="BE929" s="18">
        <v>0</v>
      </c>
      <c r="BF929" s="18">
        <v>0</v>
      </c>
      <c r="BG929" s="18">
        <v>0</v>
      </c>
      <c r="BH929" s="18">
        <v>0</v>
      </c>
      <c r="BI929" s="18">
        <v>0</v>
      </c>
      <c r="BJ929" s="18">
        <v>0</v>
      </c>
      <c r="BK929" s="18">
        <v>0</v>
      </c>
      <c r="BL929" s="18">
        <v>0</v>
      </c>
      <c r="BM929" s="18">
        <v>0</v>
      </c>
      <c r="BN929" s="18">
        <v>0</v>
      </c>
      <c r="BO929" s="18">
        <v>0</v>
      </c>
      <c r="BP929" s="18">
        <v>0</v>
      </c>
      <c r="BQ929" s="18">
        <v>0</v>
      </c>
      <c r="BR929" s="101"/>
      <c r="BS929">
        <f t="shared" si="1879"/>
        <v>0</v>
      </c>
      <c r="BT929">
        <f t="shared" si="1879"/>
        <v>0</v>
      </c>
      <c r="BU929">
        <f t="shared" si="1879"/>
        <v>0</v>
      </c>
      <c r="BV929">
        <f t="shared" si="1879"/>
        <v>0</v>
      </c>
      <c r="BW929">
        <f t="shared" si="1879"/>
        <v>0</v>
      </c>
      <c r="BX929">
        <f t="shared" si="1879"/>
        <v>0</v>
      </c>
      <c r="BY929">
        <f t="shared" si="1879"/>
        <v>0</v>
      </c>
      <c r="BZ929">
        <f t="shared" si="1879"/>
        <v>0</v>
      </c>
      <c r="CA929">
        <f t="shared" si="1879"/>
        <v>0</v>
      </c>
      <c r="CB929">
        <f t="shared" si="1879"/>
        <v>0</v>
      </c>
      <c r="CC929">
        <f t="shared" si="1880"/>
        <v>0</v>
      </c>
      <c r="CD929">
        <f t="shared" si="1880"/>
        <v>0</v>
      </c>
      <c r="CE929">
        <f t="shared" si="1880"/>
        <v>0</v>
      </c>
      <c r="CF929">
        <f t="shared" si="1880"/>
        <v>0</v>
      </c>
      <c r="CG929">
        <f t="shared" si="1880"/>
        <v>0</v>
      </c>
      <c r="CH929">
        <f t="shared" si="1880"/>
        <v>0</v>
      </c>
      <c r="CI929">
        <f t="shared" si="1880"/>
        <v>0</v>
      </c>
      <c r="CJ929">
        <f t="shared" si="1880"/>
        <v>0</v>
      </c>
      <c r="CK929">
        <f t="shared" si="1880"/>
        <v>0</v>
      </c>
      <c r="CL929">
        <f t="shared" si="1880"/>
        <v>0</v>
      </c>
      <c r="CM929">
        <f t="shared" si="1881"/>
        <v>0</v>
      </c>
      <c r="CN929">
        <f t="shared" si="1881"/>
        <v>0</v>
      </c>
      <c r="CO929">
        <f t="shared" si="1881"/>
        <v>0</v>
      </c>
      <c r="CP929">
        <f t="shared" si="1881"/>
        <v>0</v>
      </c>
      <c r="CQ929">
        <f t="shared" si="1881"/>
        <v>0</v>
      </c>
      <c r="CR929">
        <f t="shared" si="1881"/>
        <v>0</v>
      </c>
      <c r="CS929">
        <f t="shared" si="1881"/>
        <v>0</v>
      </c>
      <c r="CT929">
        <f t="shared" si="1881"/>
        <v>0</v>
      </c>
      <c r="CU929">
        <f t="shared" si="1881"/>
        <v>0</v>
      </c>
      <c r="CV929">
        <f t="shared" si="1881"/>
        <v>0</v>
      </c>
      <c r="CW929">
        <f t="shared" si="1882"/>
        <v>0</v>
      </c>
      <c r="CX929">
        <f t="shared" si="1882"/>
        <v>0</v>
      </c>
      <c r="CY929">
        <f t="shared" si="1882"/>
        <v>0</v>
      </c>
      <c r="CZ929">
        <f t="shared" si="1882"/>
        <v>0</v>
      </c>
      <c r="DA929">
        <f t="shared" si="1882"/>
        <v>0</v>
      </c>
      <c r="DB929">
        <f t="shared" si="1882"/>
        <v>0</v>
      </c>
      <c r="DC929">
        <f t="shared" si="1882"/>
        <v>0</v>
      </c>
      <c r="DD929">
        <f t="shared" si="1882"/>
        <v>0</v>
      </c>
      <c r="DE929">
        <f t="shared" si="1882"/>
        <v>0</v>
      </c>
      <c r="DF929">
        <f t="shared" si="1882"/>
        <v>0</v>
      </c>
      <c r="DG929">
        <f t="shared" si="1883"/>
        <v>0</v>
      </c>
      <c r="DH929">
        <f t="shared" si="1883"/>
        <v>0</v>
      </c>
      <c r="DI929">
        <f t="shared" si="1883"/>
        <v>0</v>
      </c>
      <c r="DJ929">
        <f t="shared" si="1883"/>
        <v>0</v>
      </c>
      <c r="DK929">
        <f t="shared" si="1883"/>
        <v>0</v>
      </c>
      <c r="DL929">
        <f t="shared" si="1883"/>
        <v>0</v>
      </c>
      <c r="DM929">
        <f t="shared" si="1883"/>
        <v>0</v>
      </c>
      <c r="DN929">
        <f t="shared" si="1883"/>
        <v>0</v>
      </c>
      <c r="DO929">
        <f t="shared" si="1883"/>
        <v>0</v>
      </c>
      <c r="DP929">
        <f t="shared" si="1883"/>
        <v>0</v>
      </c>
      <c r="DQ929">
        <f t="shared" si="1884"/>
        <v>0</v>
      </c>
      <c r="DR929">
        <f t="shared" si="1884"/>
        <v>0</v>
      </c>
      <c r="DS929">
        <f t="shared" si="1884"/>
        <v>0</v>
      </c>
      <c r="DT929">
        <f t="shared" si="1884"/>
        <v>0</v>
      </c>
      <c r="DU929">
        <f t="shared" si="1884"/>
        <v>0</v>
      </c>
      <c r="DV929">
        <f t="shared" si="1884"/>
        <v>0</v>
      </c>
      <c r="DW929">
        <f t="shared" si="1884"/>
        <v>0</v>
      </c>
      <c r="DX929">
        <f t="shared" si="1884"/>
        <v>0</v>
      </c>
      <c r="DY929">
        <f t="shared" si="1884"/>
        <v>0</v>
      </c>
      <c r="DZ929">
        <f t="shared" si="1884"/>
        <v>0</v>
      </c>
      <c r="EA929">
        <f t="shared" ref="EA929:EF929" si="1886">IF($C929&lt;&gt;"",IF(BL929&gt;0,1,0),0)</f>
        <v>0</v>
      </c>
      <c r="EB929">
        <f t="shared" si="1886"/>
        <v>0</v>
      </c>
      <c r="EC929">
        <f t="shared" si="1886"/>
        <v>0</v>
      </c>
      <c r="ED929">
        <f t="shared" si="1886"/>
        <v>0</v>
      </c>
      <c r="EE929">
        <f t="shared" si="1886"/>
        <v>0</v>
      </c>
      <c r="EF929">
        <f t="shared" si="1886"/>
        <v>0</v>
      </c>
    </row>
    <row r="930" spans="1:136" ht="15.5">
      <c r="A930" s="90"/>
      <c r="B930" s="57" t="s">
        <v>3</v>
      </c>
      <c r="C930" s="95"/>
      <c r="D930" s="18">
        <v>0</v>
      </c>
      <c r="E930" s="18">
        <v>0</v>
      </c>
      <c r="F930" s="18">
        <v>0</v>
      </c>
      <c r="G930" s="18">
        <v>0</v>
      </c>
      <c r="H930" s="18">
        <v>0</v>
      </c>
      <c r="I930" s="18">
        <v>0</v>
      </c>
      <c r="J930" s="18">
        <v>0</v>
      </c>
      <c r="K930" s="18">
        <v>0</v>
      </c>
      <c r="L930" s="18">
        <v>0</v>
      </c>
      <c r="M930" s="18">
        <v>0</v>
      </c>
      <c r="N930" s="18">
        <v>0</v>
      </c>
      <c r="O930" s="18">
        <v>0</v>
      </c>
      <c r="P930" s="18">
        <v>0</v>
      </c>
      <c r="Q930" s="18">
        <v>0</v>
      </c>
      <c r="R930" s="18">
        <v>0</v>
      </c>
      <c r="S930" s="18">
        <v>0</v>
      </c>
      <c r="T930" s="18">
        <v>0</v>
      </c>
      <c r="U930" s="18">
        <v>0</v>
      </c>
      <c r="V930" s="18">
        <v>0</v>
      </c>
      <c r="W930" s="18">
        <v>0</v>
      </c>
      <c r="X930" s="18">
        <v>0</v>
      </c>
      <c r="Y930" s="18">
        <v>0</v>
      </c>
      <c r="Z930" s="18">
        <v>0</v>
      </c>
      <c r="AA930" s="18">
        <v>2.1819999999999999</v>
      </c>
      <c r="AB930" s="18">
        <v>13.582999999999998</v>
      </c>
      <c r="AC930" s="18">
        <f>5.06-AC929</f>
        <v>4.3839999999999995</v>
      </c>
      <c r="AD930" s="18">
        <f>9.046-AD929</f>
        <v>7.2139999999999995</v>
      </c>
      <c r="AE930" s="18">
        <f>9.295-AE929</f>
        <v>6.0169999999999995</v>
      </c>
      <c r="AF930" s="18">
        <f>133.957-AF929</f>
        <v>129.333</v>
      </c>
      <c r="AG930" s="18">
        <f>894.394-AG929</f>
        <v>888.44399999999996</v>
      </c>
      <c r="AH930" s="18">
        <f>2098.754-AH929</f>
        <v>2091.346</v>
      </c>
      <c r="AI930" s="18">
        <f>702.841-AI929</f>
        <v>696.91700000000003</v>
      </c>
      <c r="AJ930" s="18">
        <v>682.63300000000004</v>
      </c>
      <c r="AK930" s="18">
        <v>252.94199999999998</v>
      </c>
      <c r="AL930" s="18">
        <v>0</v>
      </c>
      <c r="AM930" s="18">
        <v>0</v>
      </c>
      <c r="AN930" s="18">
        <v>1.8385320000000001</v>
      </c>
      <c r="AO930" s="18">
        <v>0</v>
      </c>
      <c r="AP930" s="18">
        <v>0.54300000000000004</v>
      </c>
      <c r="AQ930" s="18">
        <v>0</v>
      </c>
      <c r="AR930" s="18">
        <v>0</v>
      </c>
      <c r="AS930" s="18">
        <v>0</v>
      </c>
      <c r="AT930" s="18">
        <v>0</v>
      </c>
      <c r="AU930" s="18">
        <v>0</v>
      </c>
      <c r="AV930" s="18">
        <v>0</v>
      </c>
      <c r="AW930" s="18">
        <v>0</v>
      </c>
      <c r="AX930" s="18">
        <v>1.8385320000000001</v>
      </c>
      <c r="AY930" s="18">
        <v>0</v>
      </c>
      <c r="AZ930" s="18">
        <v>0.54300000000000004</v>
      </c>
      <c r="BA930" s="18">
        <v>0</v>
      </c>
      <c r="BB930" s="18">
        <v>0</v>
      </c>
      <c r="BC930" s="18">
        <v>0</v>
      </c>
      <c r="BD930" s="18">
        <v>0</v>
      </c>
      <c r="BE930" s="25">
        <v>0</v>
      </c>
      <c r="BF930" s="18">
        <v>0</v>
      </c>
      <c r="BG930" s="18">
        <v>0</v>
      </c>
      <c r="BH930" s="18">
        <v>0</v>
      </c>
      <c r="BI930" s="18">
        <v>0</v>
      </c>
      <c r="BJ930" s="113">
        <v>0</v>
      </c>
      <c r="BK930" s="113">
        <v>0</v>
      </c>
      <c r="BL930" s="113">
        <v>0</v>
      </c>
      <c r="BM930" s="113">
        <v>0</v>
      </c>
      <c r="BN930" s="113">
        <v>0</v>
      </c>
      <c r="BO930" s="113">
        <v>0</v>
      </c>
      <c r="BP930" s="113">
        <v>0</v>
      </c>
      <c r="BQ930" s="113">
        <v>0</v>
      </c>
      <c r="BR930" s="101"/>
      <c r="BS930">
        <f t="shared" si="1879"/>
        <v>0</v>
      </c>
      <c r="BT930">
        <f t="shared" si="1879"/>
        <v>0</v>
      </c>
      <c r="BU930">
        <f t="shared" si="1879"/>
        <v>0</v>
      </c>
      <c r="BV930">
        <f t="shared" si="1879"/>
        <v>0</v>
      </c>
      <c r="BW930">
        <f t="shared" si="1879"/>
        <v>0</v>
      </c>
      <c r="BX930">
        <f t="shared" si="1879"/>
        <v>0</v>
      </c>
      <c r="BY930">
        <f t="shared" si="1879"/>
        <v>0</v>
      </c>
      <c r="BZ930">
        <f t="shared" si="1879"/>
        <v>0</v>
      </c>
      <c r="CA930">
        <f t="shared" si="1879"/>
        <v>0</v>
      </c>
      <c r="CB930">
        <f t="shared" si="1879"/>
        <v>0</v>
      </c>
      <c r="CC930">
        <f t="shared" si="1880"/>
        <v>0</v>
      </c>
      <c r="CD930">
        <f t="shared" si="1880"/>
        <v>0</v>
      </c>
      <c r="CE930">
        <f t="shared" si="1880"/>
        <v>0</v>
      </c>
      <c r="CF930">
        <f t="shared" si="1880"/>
        <v>0</v>
      </c>
      <c r="CG930">
        <f t="shared" si="1880"/>
        <v>0</v>
      </c>
      <c r="CH930">
        <f t="shared" si="1880"/>
        <v>0</v>
      </c>
      <c r="CI930">
        <f t="shared" si="1880"/>
        <v>0</v>
      </c>
      <c r="CJ930">
        <f t="shared" si="1880"/>
        <v>0</v>
      </c>
      <c r="CK930">
        <f t="shared" si="1880"/>
        <v>0</v>
      </c>
      <c r="CL930">
        <f t="shared" si="1880"/>
        <v>0</v>
      </c>
      <c r="CM930">
        <f t="shared" si="1881"/>
        <v>0</v>
      </c>
      <c r="CN930">
        <f t="shared" si="1881"/>
        <v>0</v>
      </c>
      <c r="CO930">
        <f t="shared" si="1881"/>
        <v>0</v>
      </c>
      <c r="CP930">
        <f t="shared" si="1881"/>
        <v>0</v>
      </c>
      <c r="CQ930">
        <f t="shared" si="1881"/>
        <v>0</v>
      </c>
      <c r="CR930">
        <f t="shared" si="1881"/>
        <v>0</v>
      </c>
      <c r="CS930">
        <f t="shared" si="1881"/>
        <v>0</v>
      </c>
      <c r="CT930">
        <f t="shared" si="1881"/>
        <v>0</v>
      </c>
      <c r="CU930">
        <f t="shared" si="1881"/>
        <v>0</v>
      </c>
      <c r="CV930">
        <f t="shared" si="1881"/>
        <v>0</v>
      </c>
      <c r="CW930">
        <f t="shared" si="1882"/>
        <v>0</v>
      </c>
      <c r="CX930">
        <f t="shared" si="1882"/>
        <v>0</v>
      </c>
      <c r="CY930">
        <f t="shared" si="1882"/>
        <v>0</v>
      </c>
      <c r="CZ930">
        <f t="shared" si="1882"/>
        <v>0</v>
      </c>
      <c r="DA930">
        <f t="shared" si="1882"/>
        <v>0</v>
      </c>
      <c r="DB930">
        <f t="shared" si="1882"/>
        <v>0</v>
      </c>
      <c r="DC930">
        <f t="shared" si="1882"/>
        <v>0</v>
      </c>
      <c r="DD930">
        <f t="shared" si="1882"/>
        <v>0</v>
      </c>
      <c r="DE930">
        <f t="shared" si="1882"/>
        <v>0</v>
      </c>
      <c r="DF930">
        <f t="shared" si="1882"/>
        <v>0</v>
      </c>
      <c r="DG930">
        <f t="shared" si="1883"/>
        <v>0</v>
      </c>
      <c r="DH930">
        <f t="shared" si="1883"/>
        <v>0</v>
      </c>
      <c r="DI930">
        <f t="shared" si="1883"/>
        <v>0</v>
      </c>
      <c r="DJ930">
        <f t="shared" si="1883"/>
        <v>0</v>
      </c>
      <c r="DK930">
        <f t="shared" si="1883"/>
        <v>0</v>
      </c>
      <c r="DL930">
        <f t="shared" si="1883"/>
        <v>0</v>
      </c>
      <c r="DM930">
        <f t="shared" si="1883"/>
        <v>0</v>
      </c>
      <c r="DN930">
        <f t="shared" si="1883"/>
        <v>0</v>
      </c>
      <c r="DO930">
        <f t="shared" si="1883"/>
        <v>0</v>
      </c>
      <c r="DP930">
        <f t="shared" si="1883"/>
        <v>0</v>
      </c>
      <c r="DQ930">
        <f t="shared" si="1884"/>
        <v>0</v>
      </c>
      <c r="DR930">
        <f t="shared" si="1884"/>
        <v>0</v>
      </c>
      <c r="DS930">
        <f t="shared" si="1884"/>
        <v>0</v>
      </c>
      <c r="DT930">
        <f t="shared" si="1884"/>
        <v>0</v>
      </c>
      <c r="DU930">
        <f t="shared" si="1884"/>
        <v>0</v>
      </c>
      <c r="DV930">
        <f t="shared" si="1884"/>
        <v>0</v>
      </c>
      <c r="DW930">
        <f t="shared" si="1884"/>
        <v>0</v>
      </c>
      <c r="DX930">
        <f t="shared" si="1884"/>
        <v>0</v>
      </c>
      <c r="DY930">
        <f t="shared" si="1884"/>
        <v>0</v>
      </c>
      <c r="DZ930">
        <f t="shared" si="1884"/>
        <v>0</v>
      </c>
      <c r="EA930">
        <f t="shared" ref="EA930:EF930" si="1887">IF($C930&lt;&gt;"",IF(BL928&gt;0,1,0),0)</f>
        <v>0</v>
      </c>
      <c r="EB930">
        <f t="shared" si="1887"/>
        <v>0</v>
      </c>
      <c r="EC930">
        <f t="shared" si="1887"/>
        <v>0</v>
      </c>
      <c r="ED930">
        <f t="shared" si="1887"/>
        <v>0</v>
      </c>
      <c r="EE930">
        <f t="shared" si="1887"/>
        <v>0</v>
      </c>
      <c r="EF930">
        <f t="shared" si="1887"/>
        <v>0</v>
      </c>
    </row>
    <row r="931" spans="1:136" ht="15.5">
      <c r="A931" s="90"/>
      <c r="B931" s="19" t="s">
        <v>18</v>
      </c>
      <c r="C931" s="95"/>
      <c r="D931" s="18">
        <v>0</v>
      </c>
      <c r="E931" s="18">
        <v>0</v>
      </c>
      <c r="F931" s="18">
        <v>0</v>
      </c>
      <c r="G931" s="18">
        <v>0</v>
      </c>
      <c r="H931" s="18">
        <v>0</v>
      </c>
      <c r="I931" s="18">
        <v>0</v>
      </c>
      <c r="J931" s="18">
        <v>0</v>
      </c>
      <c r="K931" s="18">
        <v>0</v>
      </c>
      <c r="L931" s="18">
        <v>0</v>
      </c>
      <c r="M931" s="18">
        <v>0</v>
      </c>
      <c r="N931" s="18">
        <f>247.4+27.5</f>
        <v>274.89999999999998</v>
      </c>
      <c r="O931" s="18">
        <v>0</v>
      </c>
      <c r="P931" s="18">
        <v>0</v>
      </c>
      <c r="Q931" s="18">
        <v>0</v>
      </c>
      <c r="R931" s="18">
        <v>0</v>
      </c>
      <c r="S931" s="18">
        <v>0</v>
      </c>
      <c r="T931" s="18">
        <v>0</v>
      </c>
      <c r="U931" s="18">
        <v>0</v>
      </c>
      <c r="V931" s="18">
        <v>0</v>
      </c>
      <c r="W931" s="18">
        <v>0</v>
      </c>
      <c r="X931" s="18">
        <v>0</v>
      </c>
      <c r="Y931" s="18">
        <v>0</v>
      </c>
      <c r="Z931" s="18">
        <v>0</v>
      </c>
      <c r="AA931" s="18">
        <v>4257</v>
      </c>
      <c r="AB931" s="18">
        <v>4857</v>
      </c>
      <c r="AC931" s="18">
        <v>5563</v>
      </c>
      <c r="AD931" s="18">
        <v>9512</v>
      </c>
      <c r="AE931" s="18">
        <v>11975</v>
      </c>
      <c r="AF931" s="18">
        <v>2965</v>
      </c>
      <c r="AG931" s="18">
        <v>3746</v>
      </c>
      <c r="AH931" s="18">
        <v>11975</v>
      </c>
      <c r="AI931" s="18">
        <v>10636</v>
      </c>
      <c r="AJ931" s="18">
        <v>7671</v>
      </c>
      <c r="AK931" s="18">
        <v>0</v>
      </c>
      <c r="AL931" s="18">
        <v>0</v>
      </c>
      <c r="AM931" s="18">
        <v>0</v>
      </c>
      <c r="AN931" s="18">
        <v>0</v>
      </c>
      <c r="AO931" s="18">
        <v>0</v>
      </c>
      <c r="AP931" s="18">
        <v>0</v>
      </c>
      <c r="AQ931" s="18">
        <v>0</v>
      </c>
      <c r="AR931" s="18">
        <v>0</v>
      </c>
      <c r="AS931" s="18">
        <v>0</v>
      </c>
      <c r="AT931" s="18">
        <v>0</v>
      </c>
      <c r="AU931" s="18">
        <v>0</v>
      </c>
      <c r="AV931" s="18">
        <v>0</v>
      </c>
      <c r="AW931" s="18">
        <v>0</v>
      </c>
      <c r="AX931" s="18">
        <v>0</v>
      </c>
      <c r="AY931" s="18">
        <v>0</v>
      </c>
      <c r="AZ931" s="18">
        <v>0</v>
      </c>
      <c r="BA931" s="18">
        <v>0</v>
      </c>
      <c r="BB931" s="18">
        <v>0</v>
      </c>
      <c r="BC931" s="18">
        <v>0</v>
      </c>
      <c r="BD931" s="18">
        <v>0</v>
      </c>
      <c r="BE931" s="25">
        <v>0</v>
      </c>
      <c r="BF931" s="18">
        <v>0</v>
      </c>
      <c r="BG931" s="18">
        <v>0</v>
      </c>
      <c r="BH931" s="18">
        <v>0</v>
      </c>
      <c r="BI931" s="18">
        <v>0</v>
      </c>
      <c r="BJ931" s="113">
        <v>0</v>
      </c>
      <c r="BK931" s="113">
        <v>0</v>
      </c>
      <c r="BL931" s="113">
        <v>0</v>
      </c>
      <c r="BM931" s="113">
        <v>0</v>
      </c>
      <c r="BN931" s="113">
        <v>0</v>
      </c>
      <c r="BO931" s="113">
        <v>0</v>
      </c>
      <c r="BP931" s="113">
        <v>0</v>
      </c>
      <c r="BQ931" s="113">
        <v>0</v>
      </c>
      <c r="BR931" s="101"/>
      <c r="BS931">
        <f t="shared" si="1879"/>
        <v>0</v>
      </c>
      <c r="BT931">
        <f t="shared" si="1879"/>
        <v>0</v>
      </c>
      <c r="BU931">
        <f t="shared" si="1879"/>
        <v>0</v>
      </c>
      <c r="BV931">
        <f t="shared" si="1879"/>
        <v>0</v>
      </c>
      <c r="BW931">
        <f t="shared" si="1879"/>
        <v>0</v>
      </c>
      <c r="BX931">
        <f t="shared" si="1879"/>
        <v>0</v>
      </c>
      <c r="BY931">
        <f t="shared" si="1879"/>
        <v>0</v>
      </c>
      <c r="BZ931">
        <f t="shared" si="1879"/>
        <v>0</v>
      </c>
      <c r="CA931">
        <f t="shared" si="1879"/>
        <v>0</v>
      </c>
      <c r="CB931">
        <f t="shared" si="1879"/>
        <v>0</v>
      </c>
      <c r="CC931">
        <f t="shared" si="1880"/>
        <v>0</v>
      </c>
      <c r="CD931">
        <f t="shared" si="1880"/>
        <v>0</v>
      </c>
      <c r="CE931">
        <f t="shared" si="1880"/>
        <v>0</v>
      </c>
      <c r="CF931">
        <f t="shared" si="1880"/>
        <v>0</v>
      </c>
      <c r="CG931">
        <f t="shared" si="1880"/>
        <v>0</v>
      </c>
      <c r="CH931">
        <f t="shared" si="1880"/>
        <v>0</v>
      </c>
      <c r="CI931">
        <f t="shared" si="1880"/>
        <v>0</v>
      </c>
      <c r="CJ931">
        <f t="shared" si="1880"/>
        <v>0</v>
      </c>
      <c r="CK931">
        <f t="shared" si="1880"/>
        <v>0</v>
      </c>
      <c r="CL931">
        <f t="shared" si="1880"/>
        <v>0</v>
      </c>
      <c r="CM931">
        <f t="shared" si="1881"/>
        <v>0</v>
      </c>
      <c r="CN931">
        <f t="shared" si="1881"/>
        <v>0</v>
      </c>
      <c r="CO931">
        <f t="shared" si="1881"/>
        <v>0</v>
      </c>
      <c r="CP931">
        <f t="shared" si="1881"/>
        <v>0</v>
      </c>
      <c r="CQ931">
        <f t="shared" si="1881"/>
        <v>0</v>
      </c>
      <c r="CR931">
        <f t="shared" si="1881"/>
        <v>0</v>
      </c>
      <c r="CS931">
        <f t="shared" si="1881"/>
        <v>0</v>
      </c>
      <c r="CT931">
        <f t="shared" si="1881"/>
        <v>0</v>
      </c>
      <c r="CU931">
        <f t="shared" si="1881"/>
        <v>0</v>
      </c>
      <c r="CV931">
        <f t="shared" si="1881"/>
        <v>0</v>
      </c>
      <c r="CW931">
        <f t="shared" si="1882"/>
        <v>0</v>
      </c>
      <c r="CX931">
        <f t="shared" si="1882"/>
        <v>0</v>
      </c>
      <c r="CY931">
        <f t="shared" si="1882"/>
        <v>0</v>
      </c>
      <c r="CZ931">
        <f t="shared" si="1882"/>
        <v>0</v>
      </c>
      <c r="DA931">
        <f t="shared" si="1882"/>
        <v>0</v>
      </c>
      <c r="DB931">
        <f t="shared" si="1882"/>
        <v>0</v>
      </c>
      <c r="DC931">
        <f t="shared" si="1882"/>
        <v>0</v>
      </c>
      <c r="DD931">
        <f t="shared" si="1882"/>
        <v>0</v>
      </c>
      <c r="DE931">
        <f t="shared" si="1882"/>
        <v>0</v>
      </c>
      <c r="DF931">
        <f t="shared" si="1882"/>
        <v>0</v>
      </c>
      <c r="DG931">
        <f t="shared" si="1883"/>
        <v>0</v>
      </c>
      <c r="DH931">
        <f t="shared" si="1883"/>
        <v>0</v>
      </c>
      <c r="DI931">
        <f t="shared" si="1883"/>
        <v>0</v>
      </c>
      <c r="DJ931">
        <f t="shared" si="1883"/>
        <v>0</v>
      </c>
      <c r="DK931">
        <f t="shared" si="1883"/>
        <v>0</v>
      </c>
      <c r="DL931">
        <f t="shared" si="1883"/>
        <v>0</v>
      </c>
      <c r="DM931">
        <f t="shared" si="1883"/>
        <v>0</v>
      </c>
      <c r="DN931">
        <f t="shared" si="1883"/>
        <v>0</v>
      </c>
      <c r="DO931">
        <f t="shared" si="1883"/>
        <v>0</v>
      </c>
      <c r="DP931">
        <f t="shared" si="1883"/>
        <v>0</v>
      </c>
      <c r="DQ931">
        <f t="shared" si="1884"/>
        <v>0</v>
      </c>
      <c r="DR931">
        <f t="shared" si="1884"/>
        <v>0</v>
      </c>
      <c r="DS931">
        <f t="shared" si="1884"/>
        <v>0</v>
      </c>
      <c r="DT931">
        <f t="shared" si="1884"/>
        <v>0</v>
      </c>
      <c r="DU931">
        <f t="shared" si="1884"/>
        <v>0</v>
      </c>
      <c r="DV931">
        <f t="shared" si="1884"/>
        <v>0</v>
      </c>
      <c r="DW931">
        <f t="shared" si="1884"/>
        <v>0</v>
      </c>
      <c r="DX931">
        <f t="shared" si="1884"/>
        <v>0</v>
      </c>
      <c r="DY931">
        <f t="shared" si="1884"/>
        <v>0</v>
      </c>
      <c r="DZ931">
        <f t="shared" si="1884"/>
        <v>0</v>
      </c>
      <c r="EA931">
        <f t="shared" ref="EA931:EF932" si="1888">IF($C931&lt;&gt;"",IF(BL930&gt;0,1,0),0)</f>
        <v>0</v>
      </c>
      <c r="EB931">
        <f t="shared" si="1888"/>
        <v>0</v>
      </c>
      <c r="EC931">
        <f t="shared" si="1888"/>
        <v>0</v>
      </c>
      <c r="ED931">
        <f t="shared" si="1888"/>
        <v>0</v>
      </c>
      <c r="EE931">
        <f t="shared" si="1888"/>
        <v>0</v>
      </c>
      <c r="EF931">
        <f t="shared" si="1888"/>
        <v>0</v>
      </c>
    </row>
    <row r="932" spans="1:136" ht="15.5">
      <c r="A932" s="90"/>
      <c r="B932" s="57" t="s">
        <v>208</v>
      </c>
      <c r="C932" s="95"/>
      <c r="D932" s="18">
        <v>0</v>
      </c>
      <c r="E932" s="18">
        <v>0</v>
      </c>
      <c r="F932" s="18">
        <v>0</v>
      </c>
      <c r="G932" s="18">
        <v>0</v>
      </c>
      <c r="H932" s="18">
        <v>0</v>
      </c>
      <c r="I932" s="18">
        <v>0</v>
      </c>
      <c r="J932" s="18">
        <v>0</v>
      </c>
      <c r="K932" s="18">
        <v>0</v>
      </c>
      <c r="L932" s="18">
        <v>0</v>
      </c>
      <c r="M932" s="18">
        <v>0</v>
      </c>
      <c r="N932" s="18">
        <v>0</v>
      </c>
      <c r="O932" s="18">
        <v>0</v>
      </c>
      <c r="P932" s="18">
        <v>0</v>
      </c>
      <c r="Q932" s="18">
        <v>0</v>
      </c>
      <c r="R932" s="18">
        <v>0</v>
      </c>
      <c r="S932" s="18">
        <v>0</v>
      </c>
      <c r="T932" s="18">
        <v>0.11700000000000001</v>
      </c>
      <c r="U932" s="18">
        <v>0.14299999999999999</v>
      </c>
      <c r="V932" s="18">
        <v>0.17699999999999999</v>
      </c>
      <c r="W932" s="18">
        <v>0.54800000000000004</v>
      </c>
      <c r="X932" s="18">
        <v>0.49399999999999999</v>
      </c>
      <c r="Y932" s="18">
        <v>0.48399999999999999</v>
      </c>
      <c r="Z932" s="18">
        <v>0.71799999999999997</v>
      </c>
      <c r="AA932" s="40" t="s">
        <v>16</v>
      </c>
      <c r="AB932" s="40" t="s">
        <v>16</v>
      </c>
      <c r="AC932" s="40" t="s">
        <v>16</v>
      </c>
      <c r="AD932" s="40" t="s">
        <v>16</v>
      </c>
      <c r="AE932" s="40" t="s">
        <v>16</v>
      </c>
      <c r="AF932" s="40" t="s">
        <v>16</v>
      </c>
      <c r="AG932" s="40" t="s">
        <v>16</v>
      </c>
      <c r="AH932" s="40" t="s">
        <v>16</v>
      </c>
      <c r="AI932" s="40" t="s">
        <v>16</v>
      </c>
      <c r="AJ932" s="40" t="s">
        <v>16</v>
      </c>
      <c r="AK932" s="18">
        <v>28.188000000000002</v>
      </c>
      <c r="AL932" s="18">
        <v>0</v>
      </c>
      <c r="AM932" s="18">
        <v>0</v>
      </c>
      <c r="AN932" s="18">
        <v>0</v>
      </c>
      <c r="AO932" s="18">
        <v>0.1251285</v>
      </c>
      <c r="AP932" s="18">
        <v>5.42763E-2</v>
      </c>
      <c r="AQ932" s="18">
        <v>0</v>
      </c>
      <c r="AR932" s="18">
        <v>0</v>
      </c>
      <c r="AS932" s="18">
        <v>0</v>
      </c>
      <c r="AT932" s="18">
        <v>0</v>
      </c>
      <c r="AU932" s="18">
        <v>0</v>
      </c>
      <c r="AV932" s="18">
        <v>0</v>
      </c>
      <c r="AW932" s="18">
        <v>0</v>
      </c>
      <c r="AX932" s="18">
        <v>0</v>
      </c>
      <c r="AY932" s="18">
        <v>0</v>
      </c>
      <c r="AZ932" s="18">
        <v>0</v>
      </c>
      <c r="BA932" s="18">
        <v>0</v>
      </c>
      <c r="BB932" s="18">
        <v>0</v>
      </c>
      <c r="BC932" s="18">
        <v>0</v>
      </c>
      <c r="BD932" s="18">
        <v>0</v>
      </c>
      <c r="BE932" s="25">
        <v>0</v>
      </c>
      <c r="BF932" s="18">
        <v>0</v>
      </c>
      <c r="BG932" s="18">
        <v>0</v>
      </c>
      <c r="BH932" s="18">
        <v>0</v>
      </c>
      <c r="BI932" s="18">
        <v>0</v>
      </c>
      <c r="BJ932" s="113">
        <v>0</v>
      </c>
      <c r="BK932" s="113">
        <v>0</v>
      </c>
      <c r="BL932" s="113">
        <v>0</v>
      </c>
      <c r="BM932" s="113">
        <v>0</v>
      </c>
      <c r="BN932" s="113">
        <v>0</v>
      </c>
      <c r="BO932" s="113">
        <v>0</v>
      </c>
      <c r="BP932" s="113">
        <v>0</v>
      </c>
      <c r="BQ932" s="113">
        <v>0</v>
      </c>
      <c r="BR932" s="101"/>
      <c r="BS932">
        <f t="shared" si="1879"/>
        <v>0</v>
      </c>
      <c r="BT932">
        <f t="shared" si="1879"/>
        <v>0</v>
      </c>
      <c r="BU932">
        <f t="shared" si="1879"/>
        <v>0</v>
      </c>
      <c r="BV932">
        <f t="shared" si="1879"/>
        <v>0</v>
      </c>
      <c r="BW932">
        <f t="shared" si="1879"/>
        <v>0</v>
      </c>
      <c r="BX932">
        <f t="shared" si="1879"/>
        <v>0</v>
      </c>
      <c r="BY932">
        <f t="shared" si="1879"/>
        <v>0</v>
      </c>
      <c r="BZ932">
        <f t="shared" si="1879"/>
        <v>0</v>
      </c>
      <c r="CA932">
        <f t="shared" si="1879"/>
        <v>0</v>
      </c>
      <c r="CB932">
        <f t="shared" si="1879"/>
        <v>0</v>
      </c>
      <c r="CC932">
        <f t="shared" si="1880"/>
        <v>0</v>
      </c>
      <c r="CD932">
        <f t="shared" si="1880"/>
        <v>0</v>
      </c>
      <c r="CE932">
        <f t="shared" si="1880"/>
        <v>0</v>
      </c>
      <c r="CF932">
        <f t="shared" si="1880"/>
        <v>0</v>
      </c>
      <c r="CG932">
        <f t="shared" si="1880"/>
        <v>0</v>
      </c>
      <c r="CH932">
        <f t="shared" si="1880"/>
        <v>0</v>
      </c>
      <c r="CI932">
        <f t="shared" si="1880"/>
        <v>0</v>
      </c>
      <c r="CJ932">
        <f t="shared" si="1880"/>
        <v>0</v>
      </c>
      <c r="CK932">
        <f t="shared" si="1880"/>
        <v>0</v>
      </c>
      <c r="CL932">
        <f t="shared" si="1880"/>
        <v>0</v>
      </c>
      <c r="CM932">
        <f t="shared" si="1881"/>
        <v>0</v>
      </c>
      <c r="CN932">
        <f t="shared" si="1881"/>
        <v>0</v>
      </c>
      <c r="CO932">
        <f t="shared" si="1881"/>
        <v>0</v>
      </c>
      <c r="CP932">
        <f t="shared" si="1881"/>
        <v>0</v>
      </c>
      <c r="CQ932">
        <f t="shared" si="1881"/>
        <v>0</v>
      </c>
      <c r="CR932">
        <f t="shared" si="1881"/>
        <v>0</v>
      </c>
      <c r="CS932">
        <f t="shared" si="1881"/>
        <v>0</v>
      </c>
      <c r="CT932">
        <f t="shared" si="1881"/>
        <v>0</v>
      </c>
      <c r="CU932">
        <f t="shared" si="1881"/>
        <v>0</v>
      </c>
      <c r="CV932">
        <f t="shared" si="1881"/>
        <v>0</v>
      </c>
      <c r="CW932">
        <f t="shared" si="1882"/>
        <v>0</v>
      </c>
      <c r="CX932">
        <f t="shared" si="1882"/>
        <v>0</v>
      </c>
      <c r="CY932">
        <f t="shared" si="1882"/>
        <v>0</v>
      </c>
      <c r="CZ932">
        <f t="shared" si="1882"/>
        <v>0</v>
      </c>
      <c r="DA932">
        <f t="shared" si="1882"/>
        <v>0</v>
      </c>
      <c r="DB932">
        <f t="shared" si="1882"/>
        <v>0</v>
      </c>
      <c r="DC932">
        <f t="shared" si="1882"/>
        <v>0</v>
      </c>
      <c r="DD932">
        <f t="shared" si="1882"/>
        <v>0</v>
      </c>
      <c r="DE932">
        <f t="shared" si="1882"/>
        <v>0</v>
      </c>
      <c r="DF932">
        <f t="shared" si="1882"/>
        <v>0</v>
      </c>
      <c r="DG932">
        <f t="shared" si="1883"/>
        <v>0</v>
      </c>
      <c r="DH932">
        <f t="shared" si="1883"/>
        <v>0</v>
      </c>
      <c r="DI932">
        <f t="shared" si="1883"/>
        <v>0</v>
      </c>
      <c r="DJ932">
        <f t="shared" si="1883"/>
        <v>0</v>
      </c>
      <c r="DK932">
        <f t="shared" si="1883"/>
        <v>0</v>
      </c>
      <c r="DL932">
        <f t="shared" si="1883"/>
        <v>0</v>
      </c>
      <c r="DM932">
        <f t="shared" si="1883"/>
        <v>0</v>
      </c>
      <c r="DN932">
        <f t="shared" si="1883"/>
        <v>0</v>
      </c>
      <c r="DO932">
        <f t="shared" si="1883"/>
        <v>0</v>
      </c>
      <c r="DP932">
        <f t="shared" si="1883"/>
        <v>0</v>
      </c>
      <c r="DQ932">
        <f t="shared" si="1884"/>
        <v>0</v>
      </c>
      <c r="DR932">
        <f t="shared" si="1884"/>
        <v>0</v>
      </c>
      <c r="DS932">
        <f t="shared" si="1884"/>
        <v>0</v>
      </c>
      <c r="DT932">
        <f t="shared" si="1884"/>
        <v>0</v>
      </c>
      <c r="DU932">
        <f t="shared" si="1884"/>
        <v>0</v>
      </c>
      <c r="DV932">
        <f t="shared" si="1884"/>
        <v>0</v>
      </c>
      <c r="DW932">
        <f t="shared" si="1884"/>
        <v>0</v>
      </c>
      <c r="DX932">
        <f t="shared" si="1884"/>
        <v>0</v>
      </c>
      <c r="DY932">
        <f t="shared" si="1884"/>
        <v>0</v>
      </c>
      <c r="DZ932">
        <f t="shared" si="1884"/>
        <v>0</v>
      </c>
      <c r="EA932">
        <f t="shared" si="1888"/>
        <v>0</v>
      </c>
      <c r="EB932">
        <f t="shared" si="1888"/>
        <v>0</v>
      </c>
      <c r="EC932">
        <f t="shared" si="1888"/>
        <v>0</v>
      </c>
      <c r="ED932">
        <f t="shared" si="1888"/>
        <v>0</v>
      </c>
      <c r="EE932">
        <f t="shared" si="1888"/>
        <v>0</v>
      </c>
      <c r="EF932">
        <f t="shared" si="1888"/>
        <v>0</v>
      </c>
    </row>
    <row r="933" spans="1:136" ht="15.5">
      <c r="A933" s="90"/>
      <c r="B933" s="57" t="s">
        <v>212</v>
      </c>
      <c r="C933" s="95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40"/>
      <c r="AB933" s="40"/>
      <c r="AC933" s="40"/>
      <c r="AD933" s="40"/>
      <c r="AE933" s="40"/>
      <c r="AF933" s="40"/>
      <c r="AG933" s="18">
        <f>0.009*46600</f>
        <v>419.4</v>
      </c>
      <c r="AH933" s="18">
        <v>0</v>
      </c>
      <c r="AI933" s="18">
        <v>0</v>
      </c>
      <c r="AJ933" s="18">
        <v>0</v>
      </c>
      <c r="AK933" s="18">
        <v>0</v>
      </c>
      <c r="AL933" s="18">
        <v>0</v>
      </c>
      <c r="AM933" s="18">
        <v>0</v>
      </c>
      <c r="AN933" s="18">
        <v>0</v>
      </c>
      <c r="AO933" s="18">
        <v>0</v>
      </c>
      <c r="AP933" s="18">
        <v>0</v>
      </c>
      <c r="AQ933" s="18">
        <v>0</v>
      </c>
      <c r="AR933" s="18">
        <v>0</v>
      </c>
      <c r="AS933" s="18">
        <v>0</v>
      </c>
      <c r="AT933" s="18">
        <v>0</v>
      </c>
      <c r="AU933" s="18">
        <v>0</v>
      </c>
      <c r="AV933" s="18">
        <v>0</v>
      </c>
      <c r="AW933" s="18">
        <v>0</v>
      </c>
      <c r="AX933" s="18">
        <v>0</v>
      </c>
      <c r="AY933" s="18">
        <v>0</v>
      </c>
      <c r="AZ933" s="18">
        <v>0</v>
      </c>
      <c r="BA933" s="18">
        <v>0</v>
      </c>
      <c r="BB933" s="18">
        <v>0</v>
      </c>
      <c r="BC933" s="18">
        <v>0</v>
      </c>
      <c r="BD933" s="18">
        <v>0</v>
      </c>
      <c r="BE933" s="18">
        <v>0</v>
      </c>
      <c r="BF933" s="18">
        <v>0</v>
      </c>
      <c r="BG933" s="18">
        <v>0</v>
      </c>
      <c r="BH933" s="18">
        <v>0</v>
      </c>
      <c r="BI933" s="18">
        <v>0</v>
      </c>
      <c r="BJ933" s="18">
        <v>0</v>
      </c>
      <c r="BK933" s="18">
        <v>0</v>
      </c>
      <c r="BL933" s="18">
        <v>0</v>
      </c>
      <c r="BM933" s="18">
        <v>0</v>
      </c>
      <c r="BN933" s="18">
        <v>0</v>
      </c>
      <c r="BO933" s="18">
        <v>0</v>
      </c>
      <c r="BP933" s="18">
        <v>0</v>
      </c>
      <c r="BQ933" s="18">
        <v>0</v>
      </c>
      <c r="BR933" s="101"/>
      <c r="BS933">
        <f t="shared" si="1879"/>
        <v>0</v>
      </c>
      <c r="BT933">
        <f t="shared" si="1879"/>
        <v>0</v>
      </c>
      <c r="BU933">
        <f t="shared" si="1879"/>
        <v>0</v>
      </c>
      <c r="BV933">
        <f t="shared" si="1879"/>
        <v>0</v>
      </c>
      <c r="BW933">
        <f t="shared" si="1879"/>
        <v>0</v>
      </c>
      <c r="BX933">
        <f t="shared" si="1879"/>
        <v>0</v>
      </c>
      <c r="BY933">
        <f t="shared" si="1879"/>
        <v>0</v>
      </c>
      <c r="BZ933">
        <f t="shared" si="1879"/>
        <v>0</v>
      </c>
      <c r="CA933">
        <f t="shared" si="1879"/>
        <v>0</v>
      </c>
      <c r="CB933">
        <f t="shared" si="1879"/>
        <v>0</v>
      </c>
      <c r="CC933">
        <f t="shared" si="1880"/>
        <v>0</v>
      </c>
      <c r="CD933">
        <f t="shared" si="1880"/>
        <v>0</v>
      </c>
      <c r="CE933">
        <f t="shared" si="1880"/>
        <v>0</v>
      </c>
      <c r="CF933">
        <f t="shared" si="1880"/>
        <v>0</v>
      </c>
      <c r="CG933">
        <f t="shared" si="1880"/>
        <v>0</v>
      </c>
      <c r="CH933">
        <f t="shared" si="1880"/>
        <v>0</v>
      </c>
      <c r="CI933">
        <f t="shared" si="1880"/>
        <v>0</v>
      </c>
      <c r="CJ933">
        <f t="shared" si="1880"/>
        <v>0</v>
      </c>
      <c r="CK933">
        <f t="shared" si="1880"/>
        <v>0</v>
      </c>
      <c r="CL933">
        <f t="shared" si="1880"/>
        <v>0</v>
      </c>
      <c r="CM933">
        <f t="shared" si="1881"/>
        <v>0</v>
      </c>
      <c r="CN933">
        <f t="shared" si="1881"/>
        <v>0</v>
      </c>
      <c r="CO933">
        <f t="shared" si="1881"/>
        <v>0</v>
      </c>
      <c r="CP933">
        <f t="shared" si="1881"/>
        <v>0</v>
      </c>
      <c r="CQ933">
        <f t="shared" si="1881"/>
        <v>0</v>
      </c>
      <c r="CR933">
        <f t="shared" si="1881"/>
        <v>0</v>
      </c>
      <c r="CS933">
        <f t="shared" si="1881"/>
        <v>0</v>
      </c>
      <c r="CT933">
        <f t="shared" si="1881"/>
        <v>0</v>
      </c>
      <c r="CU933">
        <f t="shared" si="1881"/>
        <v>0</v>
      </c>
      <c r="CV933">
        <f t="shared" si="1881"/>
        <v>0</v>
      </c>
      <c r="CW933">
        <f t="shared" si="1882"/>
        <v>0</v>
      </c>
      <c r="CX933">
        <f t="shared" si="1882"/>
        <v>0</v>
      </c>
      <c r="CY933">
        <f t="shared" si="1882"/>
        <v>0</v>
      </c>
      <c r="CZ933">
        <f t="shared" si="1882"/>
        <v>0</v>
      </c>
      <c r="DA933">
        <f t="shared" si="1882"/>
        <v>0</v>
      </c>
      <c r="DB933">
        <f t="shared" si="1882"/>
        <v>0</v>
      </c>
      <c r="DC933">
        <f t="shared" si="1882"/>
        <v>0</v>
      </c>
      <c r="DD933">
        <f t="shared" si="1882"/>
        <v>0</v>
      </c>
      <c r="DE933">
        <f t="shared" si="1882"/>
        <v>0</v>
      </c>
      <c r="DF933">
        <f t="shared" si="1882"/>
        <v>0</v>
      </c>
      <c r="DG933">
        <f t="shared" si="1883"/>
        <v>0</v>
      </c>
      <c r="DH933">
        <f t="shared" si="1883"/>
        <v>0</v>
      </c>
      <c r="DI933">
        <f t="shared" si="1883"/>
        <v>0</v>
      </c>
      <c r="DJ933">
        <f t="shared" si="1883"/>
        <v>0</v>
      </c>
      <c r="DK933">
        <f t="shared" si="1883"/>
        <v>0</v>
      </c>
      <c r="DL933">
        <f t="shared" si="1883"/>
        <v>0</v>
      </c>
      <c r="DM933">
        <f t="shared" si="1883"/>
        <v>0</v>
      </c>
      <c r="DN933">
        <f t="shared" si="1883"/>
        <v>0</v>
      </c>
      <c r="DO933">
        <f t="shared" si="1883"/>
        <v>0</v>
      </c>
      <c r="DP933">
        <f t="shared" si="1883"/>
        <v>0</v>
      </c>
      <c r="DQ933">
        <f t="shared" si="1884"/>
        <v>0</v>
      </c>
      <c r="DR933">
        <f t="shared" si="1884"/>
        <v>0</v>
      </c>
      <c r="DS933">
        <f t="shared" si="1884"/>
        <v>0</v>
      </c>
      <c r="DT933">
        <f t="shared" si="1884"/>
        <v>0</v>
      </c>
      <c r="DU933">
        <f t="shared" si="1884"/>
        <v>0</v>
      </c>
      <c r="DV933">
        <f t="shared" si="1884"/>
        <v>0</v>
      </c>
      <c r="DW933">
        <f t="shared" si="1884"/>
        <v>0</v>
      </c>
      <c r="DX933">
        <f t="shared" si="1884"/>
        <v>0</v>
      </c>
      <c r="DY933">
        <f t="shared" si="1884"/>
        <v>0</v>
      </c>
      <c r="DZ933">
        <f t="shared" si="1884"/>
        <v>0</v>
      </c>
      <c r="EA933">
        <f t="shared" ref="EA933:EF933" si="1889">IF($C933&lt;&gt;"",IF(BL933&gt;0,1,0),0)</f>
        <v>0</v>
      </c>
      <c r="EB933">
        <f t="shared" si="1889"/>
        <v>0</v>
      </c>
      <c r="EC933">
        <f t="shared" si="1889"/>
        <v>0</v>
      </c>
      <c r="ED933">
        <f t="shared" si="1889"/>
        <v>0</v>
      </c>
      <c r="EE933">
        <f t="shared" si="1889"/>
        <v>0</v>
      </c>
      <c r="EF933">
        <f t="shared" si="1889"/>
        <v>0</v>
      </c>
    </row>
    <row r="934" spans="1:136" ht="15.5">
      <c r="A934" s="90"/>
      <c r="B934" s="19"/>
      <c r="C934" s="95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  <c r="AG934" s="31"/>
      <c r="AH934" s="31"/>
      <c r="AI934" s="31"/>
      <c r="AJ934" s="31"/>
      <c r="AK934" s="31"/>
      <c r="AL934" s="31"/>
      <c r="AM934" s="31"/>
      <c r="AN934" s="31"/>
      <c r="AO934" s="31"/>
      <c r="AP934" s="31"/>
      <c r="AQ934" s="31"/>
      <c r="AR934" s="31"/>
      <c r="AS934" s="31"/>
      <c r="AT934" s="31"/>
      <c r="AU934" s="31"/>
      <c r="AV934" s="31"/>
      <c r="AW934" s="31"/>
      <c r="AX934" s="31"/>
      <c r="AY934" s="31"/>
      <c r="AZ934" s="31"/>
      <c r="BA934" s="31"/>
      <c r="BB934" s="31"/>
      <c r="BC934" s="31"/>
      <c r="BD934" s="31"/>
      <c r="BE934" s="55"/>
      <c r="BF934" s="18"/>
      <c r="BG934" s="31"/>
      <c r="BH934" s="2"/>
      <c r="BI934" s="18"/>
      <c r="BJ934" s="2"/>
      <c r="BK934" s="2"/>
      <c r="BL934" s="9"/>
      <c r="BM934" s="2"/>
      <c r="BN934" s="2"/>
      <c r="BO934" s="2"/>
      <c r="BP934" s="2"/>
      <c r="BQ934" s="2"/>
      <c r="BR934" s="101"/>
    </row>
    <row r="935" spans="1:136" ht="15.5">
      <c r="A935" s="93">
        <v>117</v>
      </c>
      <c r="B935" s="52" t="s">
        <v>118</v>
      </c>
      <c r="C935" s="95">
        <v>2</v>
      </c>
      <c r="D935" s="9">
        <f t="shared" ref="D935:W935" si="1890">SUM(D936:D940)</f>
        <v>88.968999999999994</v>
      </c>
      <c r="E935" s="9">
        <f t="shared" si="1890"/>
        <v>90.964999999999989</v>
      </c>
      <c r="F935" s="9">
        <f t="shared" si="1890"/>
        <v>92.960999999999984</v>
      </c>
      <c r="G935" s="9">
        <f t="shared" si="1890"/>
        <v>94.956999999999979</v>
      </c>
      <c r="H935" s="9">
        <f t="shared" si="1890"/>
        <v>96.952999999999975</v>
      </c>
      <c r="I935" s="9">
        <f t="shared" si="1890"/>
        <v>98.94899999999997</v>
      </c>
      <c r="J935" s="9">
        <f t="shared" si="1890"/>
        <v>100.94499999999996</v>
      </c>
      <c r="K935" s="9">
        <f t="shared" si="1890"/>
        <v>102.94099999999996</v>
      </c>
      <c r="L935" s="9">
        <f t="shared" si="1890"/>
        <v>104.93699999999995</v>
      </c>
      <c r="M935" s="9">
        <f t="shared" si="1890"/>
        <v>106.93299999999995</v>
      </c>
      <c r="N935" s="9">
        <f t="shared" si="1890"/>
        <v>108.92899999999995</v>
      </c>
      <c r="O935" s="9">
        <f t="shared" si="1890"/>
        <v>110.92499999999994</v>
      </c>
      <c r="P935" s="9">
        <f t="shared" si="1890"/>
        <v>112.92099999999994</v>
      </c>
      <c r="Q935" s="9">
        <f t="shared" si="1890"/>
        <v>114.91699999999993</v>
      </c>
      <c r="R935" s="9">
        <f t="shared" si="1890"/>
        <v>116.91299999999993</v>
      </c>
      <c r="S935" s="9">
        <f t="shared" si="1890"/>
        <v>118.90899999999992</v>
      </c>
      <c r="T935" s="9">
        <f t="shared" si="1890"/>
        <v>7.0547160000000035</v>
      </c>
      <c r="U935" s="9">
        <f t="shared" si="1890"/>
        <v>0</v>
      </c>
      <c r="V935" s="9">
        <f t="shared" si="1890"/>
        <v>0</v>
      </c>
      <c r="W935" s="9">
        <f t="shared" si="1890"/>
        <v>0</v>
      </c>
      <c r="X935" s="40">
        <v>0</v>
      </c>
      <c r="Y935" s="9">
        <f t="shared" ref="Y935:BH935" si="1891">SUM(Y936:Y940)</f>
        <v>4500</v>
      </c>
      <c r="Z935" s="9">
        <f t="shared" si="1891"/>
        <v>2200</v>
      </c>
      <c r="AA935" s="9">
        <f t="shared" si="1891"/>
        <v>1200</v>
      </c>
      <c r="AB935" s="9">
        <f t="shared" si="1891"/>
        <v>11317</v>
      </c>
      <c r="AC935" s="9">
        <f t="shared" si="1891"/>
        <v>13050</v>
      </c>
      <c r="AD935" s="9">
        <f t="shared" si="1891"/>
        <v>6993.4</v>
      </c>
      <c r="AE935" s="9">
        <f t="shared" si="1891"/>
        <v>24730.5</v>
      </c>
      <c r="AF935" s="9">
        <f t="shared" si="1891"/>
        <v>13090.8</v>
      </c>
      <c r="AG935" s="9">
        <f t="shared" si="1891"/>
        <v>10933.7</v>
      </c>
      <c r="AH935" s="9">
        <f t="shared" si="1891"/>
        <v>21380.5</v>
      </c>
      <c r="AI935" s="9">
        <f t="shared" si="1891"/>
        <v>48597.599999999999</v>
      </c>
      <c r="AJ935" s="9">
        <f t="shared" si="1891"/>
        <v>16190</v>
      </c>
      <c r="AK935" s="9">
        <f t="shared" si="1891"/>
        <v>13360.3</v>
      </c>
      <c r="AL935" s="9">
        <f t="shared" si="1891"/>
        <v>14254.6</v>
      </c>
      <c r="AM935" s="9">
        <f t="shared" si="1891"/>
        <v>760.8</v>
      </c>
      <c r="AN935" s="9">
        <f t="shared" si="1891"/>
        <v>29.2</v>
      </c>
      <c r="AO935" s="9">
        <f t="shared" si="1891"/>
        <v>29</v>
      </c>
      <c r="AP935" s="9">
        <f t="shared" si="1891"/>
        <v>2.8000000000000003</v>
      </c>
      <c r="AQ935" s="9">
        <f t="shared" si="1891"/>
        <v>96</v>
      </c>
      <c r="AR935" s="9">
        <f t="shared" si="1891"/>
        <v>120.80000000000001</v>
      </c>
      <c r="AS935" s="9">
        <f t="shared" si="1891"/>
        <v>2.9</v>
      </c>
      <c r="AT935" s="9">
        <f t="shared" si="1891"/>
        <v>2.2000000000000002</v>
      </c>
      <c r="AU935" s="9">
        <f t="shared" si="1891"/>
        <v>0</v>
      </c>
      <c r="AV935" s="9">
        <f t="shared" si="1891"/>
        <v>0</v>
      </c>
      <c r="AW935" s="9">
        <f t="shared" si="1891"/>
        <v>0</v>
      </c>
      <c r="AX935" s="9">
        <f t="shared" si="1891"/>
        <v>0</v>
      </c>
      <c r="AY935" s="9">
        <f t="shared" si="1891"/>
        <v>0</v>
      </c>
      <c r="AZ935" s="9">
        <f t="shared" si="1891"/>
        <v>0</v>
      </c>
      <c r="BA935" s="9">
        <f t="shared" si="1891"/>
        <v>0</v>
      </c>
      <c r="BB935" s="9">
        <f t="shared" si="1891"/>
        <v>0</v>
      </c>
      <c r="BC935" s="9">
        <f t="shared" si="1891"/>
        <v>0</v>
      </c>
      <c r="BD935" s="9">
        <f t="shared" si="1891"/>
        <v>0</v>
      </c>
      <c r="BE935" s="9">
        <f t="shared" si="1891"/>
        <v>0</v>
      </c>
      <c r="BF935" s="9">
        <f t="shared" si="1891"/>
        <v>0</v>
      </c>
      <c r="BG935" s="9">
        <f t="shared" si="1891"/>
        <v>0</v>
      </c>
      <c r="BH935" s="9">
        <f t="shared" si="1891"/>
        <v>0</v>
      </c>
      <c r="BI935" s="22">
        <v>0</v>
      </c>
      <c r="BJ935" s="9">
        <v>0</v>
      </c>
      <c r="BK935" s="9">
        <v>0</v>
      </c>
      <c r="BL935" s="9">
        <v>0</v>
      </c>
      <c r="BM935" s="9">
        <v>0</v>
      </c>
      <c r="BN935" s="9">
        <v>0</v>
      </c>
      <c r="BO935" s="9">
        <v>0</v>
      </c>
      <c r="BP935" s="9">
        <v>0</v>
      </c>
      <c r="BQ935" s="9">
        <v>0</v>
      </c>
      <c r="BR935" s="101"/>
      <c r="BS935">
        <f t="shared" ref="BS935:CX935" si="1892">IF($C935&lt;&gt;"",IF(D935&gt;0,1,0),0)</f>
        <v>1</v>
      </c>
      <c r="BT935">
        <f t="shared" si="1892"/>
        <v>1</v>
      </c>
      <c r="BU935">
        <f t="shared" si="1892"/>
        <v>1</v>
      </c>
      <c r="BV935">
        <f t="shared" si="1892"/>
        <v>1</v>
      </c>
      <c r="BW935">
        <f t="shared" si="1892"/>
        <v>1</v>
      </c>
      <c r="BX935">
        <f t="shared" si="1892"/>
        <v>1</v>
      </c>
      <c r="BY935">
        <f t="shared" si="1892"/>
        <v>1</v>
      </c>
      <c r="BZ935">
        <f t="shared" si="1892"/>
        <v>1</v>
      </c>
      <c r="CA935">
        <f t="shared" si="1892"/>
        <v>1</v>
      </c>
      <c r="CB935">
        <f t="shared" si="1892"/>
        <v>1</v>
      </c>
      <c r="CC935">
        <f t="shared" si="1892"/>
        <v>1</v>
      </c>
      <c r="CD935">
        <f t="shared" si="1892"/>
        <v>1</v>
      </c>
      <c r="CE935">
        <f t="shared" si="1892"/>
        <v>1</v>
      </c>
      <c r="CF935">
        <f t="shared" si="1892"/>
        <v>1</v>
      </c>
      <c r="CG935">
        <f t="shared" si="1892"/>
        <v>1</v>
      </c>
      <c r="CH935">
        <f t="shared" si="1892"/>
        <v>1</v>
      </c>
      <c r="CI935">
        <f t="shared" si="1892"/>
        <v>1</v>
      </c>
      <c r="CJ935">
        <f t="shared" si="1892"/>
        <v>0</v>
      </c>
      <c r="CK935">
        <f t="shared" si="1892"/>
        <v>0</v>
      </c>
      <c r="CL935">
        <f t="shared" si="1892"/>
        <v>0</v>
      </c>
      <c r="CM935">
        <f t="shared" si="1892"/>
        <v>0</v>
      </c>
      <c r="CN935">
        <f t="shared" si="1892"/>
        <v>1</v>
      </c>
      <c r="CO935">
        <f t="shared" si="1892"/>
        <v>1</v>
      </c>
      <c r="CP935">
        <f t="shared" si="1892"/>
        <v>1</v>
      </c>
      <c r="CQ935">
        <f t="shared" si="1892"/>
        <v>1</v>
      </c>
      <c r="CR935">
        <f t="shared" si="1892"/>
        <v>1</v>
      </c>
      <c r="CS935">
        <f t="shared" si="1892"/>
        <v>1</v>
      </c>
      <c r="CT935">
        <f t="shared" si="1892"/>
        <v>1</v>
      </c>
      <c r="CU935">
        <f t="shared" si="1892"/>
        <v>1</v>
      </c>
      <c r="CV935">
        <f t="shared" si="1892"/>
        <v>1</v>
      </c>
      <c r="CW935">
        <f t="shared" si="1892"/>
        <v>1</v>
      </c>
      <c r="CX935">
        <f t="shared" si="1892"/>
        <v>1</v>
      </c>
      <c r="CY935">
        <f t="shared" ref="CY935:ED935" si="1893">IF($C935&lt;&gt;"",IF(AJ935&gt;0,1,0),0)</f>
        <v>1</v>
      </c>
      <c r="CZ935">
        <f t="shared" si="1893"/>
        <v>1</v>
      </c>
      <c r="DA935">
        <f t="shared" si="1893"/>
        <v>1</v>
      </c>
      <c r="DB935">
        <f t="shared" si="1893"/>
        <v>1</v>
      </c>
      <c r="DC935">
        <f t="shared" si="1893"/>
        <v>1</v>
      </c>
      <c r="DD935">
        <f t="shared" si="1893"/>
        <v>1</v>
      </c>
      <c r="DE935">
        <f t="shared" si="1893"/>
        <v>1</v>
      </c>
      <c r="DF935">
        <f t="shared" si="1893"/>
        <v>1</v>
      </c>
      <c r="DG935">
        <f t="shared" si="1893"/>
        <v>1</v>
      </c>
      <c r="DH935">
        <f t="shared" si="1893"/>
        <v>1</v>
      </c>
      <c r="DI935">
        <f t="shared" si="1893"/>
        <v>1</v>
      </c>
      <c r="DJ935">
        <f t="shared" si="1893"/>
        <v>0</v>
      </c>
      <c r="DK935">
        <f t="shared" si="1893"/>
        <v>0</v>
      </c>
      <c r="DL935">
        <f t="shared" si="1893"/>
        <v>0</v>
      </c>
      <c r="DM935">
        <f t="shared" si="1893"/>
        <v>0</v>
      </c>
      <c r="DN935">
        <f t="shared" si="1893"/>
        <v>0</v>
      </c>
      <c r="DO935">
        <f t="shared" si="1893"/>
        <v>0</v>
      </c>
      <c r="DP935">
        <f t="shared" si="1893"/>
        <v>0</v>
      </c>
      <c r="DQ935">
        <f t="shared" si="1893"/>
        <v>0</v>
      </c>
      <c r="DR935">
        <f t="shared" si="1893"/>
        <v>0</v>
      </c>
      <c r="DS935">
        <f t="shared" si="1893"/>
        <v>0</v>
      </c>
      <c r="DT935">
        <f t="shared" si="1893"/>
        <v>0</v>
      </c>
      <c r="DU935">
        <f t="shared" si="1893"/>
        <v>0</v>
      </c>
      <c r="DV935">
        <f t="shared" si="1893"/>
        <v>0</v>
      </c>
      <c r="DW935">
        <f t="shared" si="1893"/>
        <v>0</v>
      </c>
      <c r="DX935">
        <f t="shared" si="1893"/>
        <v>0</v>
      </c>
      <c r="DY935">
        <f t="shared" si="1893"/>
        <v>0</v>
      </c>
      <c r="DZ935">
        <f t="shared" si="1893"/>
        <v>0</v>
      </c>
      <c r="EA935">
        <f t="shared" si="1893"/>
        <v>0</v>
      </c>
      <c r="EB935">
        <f t="shared" si="1893"/>
        <v>0</v>
      </c>
      <c r="EC935">
        <f t="shared" si="1893"/>
        <v>0</v>
      </c>
      <c r="ED935">
        <f t="shared" si="1893"/>
        <v>0</v>
      </c>
      <c r="EE935">
        <f t="shared" ref="EE935:EF935" si="1894">IF($C935&lt;&gt;"",IF(BP935&gt;0,1,0),0)</f>
        <v>0</v>
      </c>
      <c r="EF935">
        <f t="shared" si="1894"/>
        <v>0</v>
      </c>
    </row>
    <row r="936" spans="1:136" ht="15.5">
      <c r="A936" s="90"/>
      <c r="B936" s="19" t="s">
        <v>2</v>
      </c>
      <c r="C936" s="95"/>
      <c r="D936" s="18">
        <v>0</v>
      </c>
      <c r="E936" s="18">
        <v>0</v>
      </c>
      <c r="F936" s="18">
        <v>0</v>
      </c>
      <c r="G936" s="18">
        <v>0</v>
      </c>
      <c r="H936" s="18">
        <v>0</v>
      </c>
      <c r="I936" s="18">
        <v>0</v>
      </c>
      <c r="J936" s="18">
        <v>0</v>
      </c>
      <c r="K936" s="18">
        <v>0</v>
      </c>
      <c r="L936" s="18">
        <v>0</v>
      </c>
      <c r="M936" s="18">
        <v>0</v>
      </c>
      <c r="N936" s="18">
        <v>0</v>
      </c>
      <c r="O936" s="18">
        <v>0</v>
      </c>
      <c r="P936" s="18">
        <v>0</v>
      </c>
      <c r="Q936" s="18">
        <v>0</v>
      </c>
      <c r="R936" s="18">
        <v>0</v>
      </c>
      <c r="S936" s="18">
        <v>0</v>
      </c>
      <c r="T936" s="60">
        <v>0</v>
      </c>
      <c r="U936" s="60">
        <v>0</v>
      </c>
      <c r="V936" s="60">
        <v>0</v>
      </c>
      <c r="W936" s="60">
        <v>0</v>
      </c>
      <c r="X936" s="40" t="s">
        <v>16</v>
      </c>
      <c r="Y936" s="34">
        <v>2200</v>
      </c>
      <c r="Z936" s="40" t="s">
        <v>16</v>
      </c>
      <c r="AA936" s="40" t="s">
        <v>16</v>
      </c>
      <c r="AB936" s="18">
        <v>9717</v>
      </c>
      <c r="AC936" s="34">
        <v>11570</v>
      </c>
      <c r="AD936" s="40" t="s">
        <v>16</v>
      </c>
      <c r="AE936" s="34">
        <v>8500</v>
      </c>
      <c r="AF936" s="40" t="s">
        <v>16</v>
      </c>
      <c r="AG936" s="40" t="s">
        <v>16</v>
      </c>
      <c r="AH936" s="34">
        <v>9400</v>
      </c>
      <c r="AI936" s="34">
        <v>29871</v>
      </c>
      <c r="AJ936" s="40" t="s">
        <v>16</v>
      </c>
      <c r="AK936" s="18">
        <v>0</v>
      </c>
      <c r="AL936" s="18">
        <v>0</v>
      </c>
      <c r="AM936" s="18">
        <v>0</v>
      </c>
      <c r="AN936" s="18">
        <v>0</v>
      </c>
      <c r="AO936" s="18">
        <v>0</v>
      </c>
      <c r="AP936" s="18">
        <v>0</v>
      </c>
      <c r="AQ936" s="18">
        <v>0</v>
      </c>
      <c r="AR936" s="18">
        <v>0</v>
      </c>
      <c r="AS936" s="18">
        <v>0</v>
      </c>
      <c r="AT936" s="18">
        <v>0</v>
      </c>
      <c r="AU936" s="18">
        <v>0</v>
      </c>
      <c r="AV936" s="18">
        <v>0</v>
      </c>
      <c r="AW936" s="18">
        <v>0</v>
      </c>
      <c r="AX936" s="18">
        <v>0</v>
      </c>
      <c r="AY936" s="18">
        <v>0</v>
      </c>
      <c r="AZ936" s="18">
        <v>0</v>
      </c>
      <c r="BA936" s="18">
        <v>0</v>
      </c>
      <c r="BB936" s="18">
        <v>0</v>
      </c>
      <c r="BC936" s="18">
        <v>0</v>
      </c>
      <c r="BD936" s="18">
        <v>0</v>
      </c>
      <c r="BE936" s="18">
        <v>0</v>
      </c>
      <c r="BF936" s="18">
        <v>0</v>
      </c>
      <c r="BG936" s="18">
        <v>0</v>
      </c>
      <c r="BH936" s="18">
        <v>0</v>
      </c>
      <c r="BI936" s="18">
        <v>0</v>
      </c>
      <c r="BJ936" s="113">
        <v>0</v>
      </c>
      <c r="BK936" s="113">
        <v>0</v>
      </c>
      <c r="BL936" s="113">
        <v>0</v>
      </c>
      <c r="BM936" s="113">
        <v>0</v>
      </c>
      <c r="BN936" s="113">
        <v>0</v>
      </c>
      <c r="BO936" s="113">
        <v>0</v>
      </c>
      <c r="BP936" s="113">
        <v>0</v>
      </c>
      <c r="BQ936" s="113">
        <v>0</v>
      </c>
      <c r="BR936" s="101"/>
      <c r="BS936">
        <f t="shared" ref="BS936:CB941" si="1895">IF($C936&lt;&gt;"",IF(D936&gt;0,1,0),0)</f>
        <v>0</v>
      </c>
      <c r="BT936">
        <f t="shared" si="1895"/>
        <v>0</v>
      </c>
      <c r="BU936">
        <f t="shared" si="1895"/>
        <v>0</v>
      </c>
      <c r="BV936">
        <f t="shared" si="1895"/>
        <v>0</v>
      </c>
      <c r="BW936">
        <f t="shared" si="1895"/>
        <v>0</v>
      </c>
      <c r="BX936">
        <f t="shared" si="1895"/>
        <v>0</v>
      </c>
      <c r="BY936">
        <f t="shared" si="1895"/>
        <v>0</v>
      </c>
      <c r="BZ936">
        <f t="shared" si="1895"/>
        <v>0</v>
      </c>
      <c r="CA936">
        <f t="shared" si="1895"/>
        <v>0</v>
      </c>
      <c r="CB936">
        <f t="shared" si="1895"/>
        <v>0</v>
      </c>
      <c r="CC936">
        <f t="shared" ref="CC936:CL941" si="1896">IF($C936&lt;&gt;"",IF(N936&gt;0,1,0),0)</f>
        <v>0</v>
      </c>
      <c r="CD936">
        <f t="shared" si="1896"/>
        <v>0</v>
      </c>
      <c r="CE936">
        <f t="shared" si="1896"/>
        <v>0</v>
      </c>
      <c r="CF936">
        <f t="shared" si="1896"/>
        <v>0</v>
      </c>
      <c r="CG936">
        <f t="shared" si="1896"/>
        <v>0</v>
      </c>
      <c r="CH936">
        <f t="shared" si="1896"/>
        <v>0</v>
      </c>
      <c r="CI936">
        <f t="shared" si="1896"/>
        <v>0</v>
      </c>
      <c r="CJ936">
        <f t="shared" si="1896"/>
        <v>0</v>
      </c>
      <c r="CK936">
        <f t="shared" si="1896"/>
        <v>0</v>
      </c>
      <c r="CL936">
        <f t="shared" si="1896"/>
        <v>0</v>
      </c>
      <c r="CM936">
        <f t="shared" ref="CM936:CV941" si="1897">IF($C936&lt;&gt;"",IF(X936&gt;0,1,0),0)</f>
        <v>0</v>
      </c>
      <c r="CN936">
        <f t="shared" si="1897"/>
        <v>0</v>
      </c>
      <c r="CO936">
        <f t="shared" si="1897"/>
        <v>0</v>
      </c>
      <c r="CP936">
        <f t="shared" si="1897"/>
        <v>0</v>
      </c>
      <c r="CQ936">
        <f t="shared" si="1897"/>
        <v>0</v>
      </c>
      <c r="CR936">
        <f t="shared" si="1897"/>
        <v>0</v>
      </c>
      <c r="CS936">
        <f t="shared" si="1897"/>
        <v>0</v>
      </c>
      <c r="CT936">
        <f t="shared" si="1897"/>
        <v>0</v>
      </c>
      <c r="CU936">
        <f t="shared" si="1897"/>
        <v>0</v>
      </c>
      <c r="CV936">
        <f t="shared" si="1897"/>
        <v>0</v>
      </c>
      <c r="CW936">
        <f t="shared" ref="CW936:DF941" si="1898">IF($C936&lt;&gt;"",IF(AH936&gt;0,1,0),0)</f>
        <v>0</v>
      </c>
      <c r="CX936">
        <f t="shared" si="1898"/>
        <v>0</v>
      </c>
      <c r="CY936">
        <f t="shared" si="1898"/>
        <v>0</v>
      </c>
      <c r="CZ936">
        <f t="shared" si="1898"/>
        <v>0</v>
      </c>
      <c r="DA936">
        <f t="shared" si="1898"/>
        <v>0</v>
      </c>
      <c r="DB936">
        <f t="shared" si="1898"/>
        <v>0</v>
      </c>
      <c r="DC936">
        <f t="shared" si="1898"/>
        <v>0</v>
      </c>
      <c r="DD936">
        <f t="shared" si="1898"/>
        <v>0</v>
      </c>
      <c r="DE936">
        <f t="shared" si="1898"/>
        <v>0</v>
      </c>
      <c r="DF936">
        <f t="shared" si="1898"/>
        <v>0</v>
      </c>
      <c r="DG936">
        <f t="shared" ref="DG936:DP941" si="1899">IF($C936&lt;&gt;"",IF(AR936&gt;0,1,0),0)</f>
        <v>0</v>
      </c>
      <c r="DH936">
        <f t="shared" si="1899"/>
        <v>0</v>
      </c>
      <c r="DI936">
        <f t="shared" si="1899"/>
        <v>0</v>
      </c>
      <c r="DJ936">
        <f t="shared" si="1899"/>
        <v>0</v>
      </c>
      <c r="DK936">
        <f t="shared" si="1899"/>
        <v>0</v>
      </c>
      <c r="DL936">
        <f t="shared" si="1899"/>
        <v>0</v>
      </c>
      <c r="DM936">
        <f t="shared" si="1899"/>
        <v>0</v>
      </c>
      <c r="DN936">
        <f t="shared" si="1899"/>
        <v>0</v>
      </c>
      <c r="DO936">
        <f t="shared" si="1899"/>
        <v>0</v>
      </c>
      <c r="DP936">
        <f t="shared" si="1899"/>
        <v>0</v>
      </c>
      <c r="DQ936">
        <f t="shared" ref="DQ936:DZ941" si="1900">IF($C936&lt;&gt;"",IF(BB936&gt;0,1,0),0)</f>
        <v>0</v>
      </c>
      <c r="DR936">
        <f t="shared" si="1900"/>
        <v>0</v>
      </c>
      <c r="DS936">
        <f t="shared" si="1900"/>
        <v>0</v>
      </c>
      <c r="DT936">
        <f t="shared" si="1900"/>
        <v>0</v>
      </c>
      <c r="DU936">
        <f t="shared" si="1900"/>
        <v>0</v>
      </c>
      <c r="DV936">
        <f t="shared" si="1900"/>
        <v>0</v>
      </c>
      <c r="DW936">
        <f t="shared" si="1900"/>
        <v>0</v>
      </c>
      <c r="DX936">
        <f t="shared" si="1900"/>
        <v>0</v>
      </c>
      <c r="DY936">
        <f t="shared" si="1900"/>
        <v>0</v>
      </c>
      <c r="DZ936">
        <f t="shared" si="1900"/>
        <v>0</v>
      </c>
      <c r="EA936">
        <f t="shared" ref="EA936:EF940" si="1901">IF($C936&lt;&gt;"",IF(BL935&gt;0,1,0),0)</f>
        <v>0</v>
      </c>
      <c r="EB936">
        <f t="shared" si="1901"/>
        <v>0</v>
      </c>
      <c r="EC936">
        <f t="shared" si="1901"/>
        <v>0</v>
      </c>
      <c r="ED936">
        <f t="shared" si="1901"/>
        <v>0</v>
      </c>
      <c r="EE936">
        <f t="shared" si="1901"/>
        <v>0</v>
      </c>
      <c r="EF936">
        <f t="shared" si="1901"/>
        <v>0</v>
      </c>
    </row>
    <row r="937" spans="1:136" ht="15.5">
      <c r="A937" s="90"/>
      <c r="B937" s="57" t="s">
        <v>3</v>
      </c>
      <c r="C937" s="95"/>
      <c r="D937" s="18">
        <v>0</v>
      </c>
      <c r="E937" s="18">
        <v>0</v>
      </c>
      <c r="F937" s="18">
        <v>0</v>
      </c>
      <c r="G937" s="18">
        <v>0</v>
      </c>
      <c r="H937" s="18">
        <v>0</v>
      </c>
      <c r="I937" s="18">
        <v>0</v>
      </c>
      <c r="J937" s="18">
        <v>0</v>
      </c>
      <c r="K937" s="18">
        <v>0</v>
      </c>
      <c r="L937" s="18">
        <v>0</v>
      </c>
      <c r="M937" s="18">
        <v>0</v>
      </c>
      <c r="N937" s="18">
        <v>0</v>
      </c>
      <c r="O937" s="18">
        <v>0</v>
      </c>
      <c r="P937" s="18">
        <v>0</v>
      </c>
      <c r="Q937" s="18">
        <v>0</v>
      </c>
      <c r="R937" s="18">
        <v>0</v>
      </c>
      <c r="S937" s="18">
        <v>0</v>
      </c>
      <c r="T937" s="18">
        <v>0</v>
      </c>
      <c r="U937" s="18">
        <v>0</v>
      </c>
      <c r="V937" s="18">
        <v>0</v>
      </c>
      <c r="W937" s="18">
        <v>0</v>
      </c>
      <c r="X937" s="18">
        <v>0</v>
      </c>
      <c r="Y937" s="18">
        <v>0</v>
      </c>
      <c r="Z937" s="18">
        <v>0</v>
      </c>
      <c r="AA937" s="18">
        <v>0</v>
      </c>
      <c r="AB937" s="18">
        <v>0</v>
      </c>
      <c r="AC937" s="18">
        <v>0</v>
      </c>
      <c r="AD937" s="18">
        <v>3751.3999999999996</v>
      </c>
      <c r="AE937" s="18">
        <v>6540.5</v>
      </c>
      <c r="AF937" s="18">
        <v>8736.7999999999993</v>
      </c>
      <c r="AG937" s="18">
        <v>9382.7000000000007</v>
      </c>
      <c r="AH937" s="18">
        <v>1452.5</v>
      </c>
      <c r="AI937" s="18">
        <v>7438.6</v>
      </c>
      <c r="AJ937" s="18">
        <v>4142</v>
      </c>
      <c r="AK937" s="18">
        <v>552.30000000000007</v>
      </c>
      <c r="AL937" s="18">
        <v>716.59999999999991</v>
      </c>
      <c r="AM937" s="18">
        <v>755.59999999999991</v>
      </c>
      <c r="AN937" s="18">
        <v>25.2</v>
      </c>
      <c r="AO937" s="18">
        <v>25.2</v>
      </c>
      <c r="AP937" s="18">
        <v>0</v>
      </c>
      <c r="AQ937" s="18">
        <v>0</v>
      </c>
      <c r="AR937" s="18">
        <v>0</v>
      </c>
      <c r="AS937" s="18">
        <v>0</v>
      </c>
      <c r="AT937" s="18">
        <v>0</v>
      </c>
      <c r="AU937" s="18">
        <v>0</v>
      </c>
      <c r="AV937" s="18">
        <v>0</v>
      </c>
      <c r="AW937" s="18">
        <v>0</v>
      </c>
      <c r="AX937" s="18">
        <v>0</v>
      </c>
      <c r="AY937" s="18">
        <v>0</v>
      </c>
      <c r="AZ937" s="18">
        <v>0</v>
      </c>
      <c r="BA937" s="18">
        <v>0</v>
      </c>
      <c r="BB937" s="18">
        <v>0</v>
      </c>
      <c r="BC937" s="18">
        <v>0</v>
      </c>
      <c r="BD937" s="18">
        <v>0</v>
      </c>
      <c r="BE937" s="25">
        <v>0</v>
      </c>
      <c r="BF937" s="18">
        <v>0</v>
      </c>
      <c r="BG937" s="18">
        <v>0</v>
      </c>
      <c r="BH937" s="18">
        <v>0</v>
      </c>
      <c r="BI937" s="18">
        <v>0</v>
      </c>
      <c r="BJ937" s="113">
        <v>0</v>
      </c>
      <c r="BK937" s="113">
        <v>0</v>
      </c>
      <c r="BL937" s="113">
        <v>0</v>
      </c>
      <c r="BM937" s="113">
        <v>0</v>
      </c>
      <c r="BN937" s="113">
        <v>0</v>
      </c>
      <c r="BO937" s="113">
        <v>0</v>
      </c>
      <c r="BP937" s="113">
        <v>0</v>
      </c>
      <c r="BQ937" s="113">
        <v>0</v>
      </c>
      <c r="BR937" s="101"/>
      <c r="BS937">
        <f t="shared" si="1895"/>
        <v>0</v>
      </c>
      <c r="BT937">
        <f t="shared" si="1895"/>
        <v>0</v>
      </c>
      <c r="BU937">
        <f t="shared" si="1895"/>
        <v>0</v>
      </c>
      <c r="BV937">
        <f t="shared" si="1895"/>
        <v>0</v>
      </c>
      <c r="BW937">
        <f t="shared" si="1895"/>
        <v>0</v>
      </c>
      <c r="BX937">
        <f t="shared" si="1895"/>
        <v>0</v>
      </c>
      <c r="BY937">
        <f t="shared" si="1895"/>
        <v>0</v>
      </c>
      <c r="BZ937">
        <f t="shared" si="1895"/>
        <v>0</v>
      </c>
      <c r="CA937">
        <f t="shared" si="1895"/>
        <v>0</v>
      </c>
      <c r="CB937">
        <f t="shared" si="1895"/>
        <v>0</v>
      </c>
      <c r="CC937">
        <f t="shared" si="1896"/>
        <v>0</v>
      </c>
      <c r="CD937">
        <f t="shared" si="1896"/>
        <v>0</v>
      </c>
      <c r="CE937">
        <f t="shared" si="1896"/>
        <v>0</v>
      </c>
      <c r="CF937">
        <f t="shared" si="1896"/>
        <v>0</v>
      </c>
      <c r="CG937">
        <f t="shared" si="1896"/>
        <v>0</v>
      </c>
      <c r="CH937">
        <f t="shared" si="1896"/>
        <v>0</v>
      </c>
      <c r="CI937">
        <f t="shared" si="1896"/>
        <v>0</v>
      </c>
      <c r="CJ937">
        <f t="shared" si="1896"/>
        <v>0</v>
      </c>
      <c r="CK937">
        <f t="shared" si="1896"/>
        <v>0</v>
      </c>
      <c r="CL937">
        <f t="shared" si="1896"/>
        <v>0</v>
      </c>
      <c r="CM937">
        <f t="shared" si="1897"/>
        <v>0</v>
      </c>
      <c r="CN937">
        <f t="shared" si="1897"/>
        <v>0</v>
      </c>
      <c r="CO937">
        <f t="shared" si="1897"/>
        <v>0</v>
      </c>
      <c r="CP937">
        <f t="shared" si="1897"/>
        <v>0</v>
      </c>
      <c r="CQ937">
        <f t="shared" si="1897"/>
        <v>0</v>
      </c>
      <c r="CR937">
        <f t="shared" si="1897"/>
        <v>0</v>
      </c>
      <c r="CS937">
        <f t="shared" si="1897"/>
        <v>0</v>
      </c>
      <c r="CT937">
        <f t="shared" si="1897"/>
        <v>0</v>
      </c>
      <c r="CU937">
        <f t="shared" si="1897"/>
        <v>0</v>
      </c>
      <c r="CV937">
        <f t="shared" si="1897"/>
        <v>0</v>
      </c>
      <c r="CW937">
        <f t="shared" si="1898"/>
        <v>0</v>
      </c>
      <c r="CX937">
        <f t="shared" si="1898"/>
        <v>0</v>
      </c>
      <c r="CY937">
        <f t="shared" si="1898"/>
        <v>0</v>
      </c>
      <c r="CZ937">
        <f t="shared" si="1898"/>
        <v>0</v>
      </c>
      <c r="DA937">
        <f t="shared" si="1898"/>
        <v>0</v>
      </c>
      <c r="DB937">
        <f t="shared" si="1898"/>
        <v>0</v>
      </c>
      <c r="DC937">
        <f t="shared" si="1898"/>
        <v>0</v>
      </c>
      <c r="DD937">
        <f t="shared" si="1898"/>
        <v>0</v>
      </c>
      <c r="DE937">
        <f t="shared" si="1898"/>
        <v>0</v>
      </c>
      <c r="DF937">
        <f t="shared" si="1898"/>
        <v>0</v>
      </c>
      <c r="DG937">
        <f t="shared" si="1899"/>
        <v>0</v>
      </c>
      <c r="DH937">
        <f t="shared" si="1899"/>
        <v>0</v>
      </c>
      <c r="DI937">
        <f t="shared" si="1899"/>
        <v>0</v>
      </c>
      <c r="DJ937">
        <f t="shared" si="1899"/>
        <v>0</v>
      </c>
      <c r="DK937">
        <f t="shared" si="1899"/>
        <v>0</v>
      </c>
      <c r="DL937">
        <f t="shared" si="1899"/>
        <v>0</v>
      </c>
      <c r="DM937">
        <f t="shared" si="1899"/>
        <v>0</v>
      </c>
      <c r="DN937">
        <f t="shared" si="1899"/>
        <v>0</v>
      </c>
      <c r="DO937">
        <f t="shared" si="1899"/>
        <v>0</v>
      </c>
      <c r="DP937">
        <f t="shared" si="1899"/>
        <v>0</v>
      </c>
      <c r="DQ937">
        <f t="shared" si="1900"/>
        <v>0</v>
      </c>
      <c r="DR937">
        <f t="shared" si="1900"/>
        <v>0</v>
      </c>
      <c r="DS937">
        <f t="shared" si="1900"/>
        <v>0</v>
      </c>
      <c r="DT937">
        <f t="shared" si="1900"/>
        <v>0</v>
      </c>
      <c r="DU937">
        <f t="shared" si="1900"/>
        <v>0</v>
      </c>
      <c r="DV937">
        <f t="shared" si="1900"/>
        <v>0</v>
      </c>
      <c r="DW937">
        <f t="shared" si="1900"/>
        <v>0</v>
      </c>
      <c r="DX937">
        <f t="shared" si="1900"/>
        <v>0</v>
      </c>
      <c r="DY937">
        <f t="shared" si="1900"/>
        <v>0</v>
      </c>
      <c r="DZ937">
        <f t="shared" si="1900"/>
        <v>0</v>
      </c>
      <c r="EA937">
        <f t="shared" si="1901"/>
        <v>0</v>
      </c>
      <c r="EB937">
        <f t="shared" si="1901"/>
        <v>0</v>
      </c>
      <c r="EC937">
        <f t="shared" si="1901"/>
        <v>0</v>
      </c>
      <c r="ED937">
        <f t="shared" si="1901"/>
        <v>0</v>
      </c>
      <c r="EE937">
        <f t="shared" si="1901"/>
        <v>0</v>
      </c>
      <c r="EF937">
        <f t="shared" si="1901"/>
        <v>0</v>
      </c>
    </row>
    <row r="938" spans="1:136" ht="15.5">
      <c r="A938" s="90"/>
      <c r="B938" s="19" t="s">
        <v>18</v>
      </c>
      <c r="C938" s="94"/>
      <c r="D938" s="18">
        <v>0</v>
      </c>
      <c r="E938" s="18">
        <v>0</v>
      </c>
      <c r="F938" s="18">
        <v>0</v>
      </c>
      <c r="G938" s="18">
        <v>0</v>
      </c>
      <c r="H938" s="18">
        <v>0</v>
      </c>
      <c r="I938" s="18">
        <v>0</v>
      </c>
      <c r="J938" s="18">
        <v>0</v>
      </c>
      <c r="K938" s="18">
        <v>0</v>
      </c>
      <c r="L938" s="18">
        <v>0</v>
      </c>
      <c r="M938" s="18">
        <v>0</v>
      </c>
      <c r="N938" s="18">
        <v>0</v>
      </c>
      <c r="O938" s="18">
        <v>0</v>
      </c>
      <c r="P938" s="18">
        <v>0</v>
      </c>
      <c r="Q938" s="18">
        <v>0</v>
      </c>
      <c r="R938" s="18">
        <v>0</v>
      </c>
      <c r="S938" s="18">
        <v>0</v>
      </c>
      <c r="T938" s="18">
        <v>0</v>
      </c>
      <c r="U938" s="18">
        <v>0</v>
      </c>
      <c r="V938" s="18">
        <v>0</v>
      </c>
      <c r="W938" s="18">
        <v>0</v>
      </c>
      <c r="X938" s="18">
        <v>0</v>
      </c>
      <c r="Y938" s="18">
        <v>2300</v>
      </c>
      <c r="Z938" s="18">
        <v>2200</v>
      </c>
      <c r="AA938" s="18">
        <v>1200</v>
      </c>
      <c r="AB938" s="18">
        <v>1600</v>
      </c>
      <c r="AC938" s="18">
        <v>1480</v>
      </c>
      <c r="AD938" s="18">
        <v>3242</v>
      </c>
      <c r="AE938" s="18">
        <v>9690</v>
      </c>
      <c r="AF938" s="18">
        <v>1000</v>
      </c>
      <c r="AG938" s="18">
        <v>1351</v>
      </c>
      <c r="AH938" s="18">
        <v>10528</v>
      </c>
      <c r="AI938" s="18">
        <v>11288</v>
      </c>
      <c r="AJ938" s="18">
        <v>12048</v>
      </c>
      <c r="AK938" s="18">
        <v>12808</v>
      </c>
      <c r="AL938" s="18">
        <v>13531</v>
      </c>
      <c r="AM938" s="18">
        <v>0</v>
      </c>
      <c r="AN938" s="18">
        <v>0</v>
      </c>
      <c r="AO938" s="18">
        <v>0</v>
      </c>
      <c r="AP938" s="18">
        <v>0</v>
      </c>
      <c r="AQ938" s="18">
        <v>0</v>
      </c>
      <c r="AR938" s="18">
        <v>0</v>
      </c>
      <c r="AS938" s="18">
        <v>0</v>
      </c>
      <c r="AT938" s="18">
        <v>0</v>
      </c>
      <c r="AU938" s="18">
        <v>0</v>
      </c>
      <c r="AV938" s="18">
        <v>0</v>
      </c>
      <c r="AW938" s="18">
        <v>0</v>
      </c>
      <c r="AX938" s="18">
        <v>0</v>
      </c>
      <c r="AY938" s="18">
        <v>0</v>
      </c>
      <c r="AZ938" s="18">
        <v>0</v>
      </c>
      <c r="BA938" s="18">
        <v>0</v>
      </c>
      <c r="BB938" s="18">
        <v>0</v>
      </c>
      <c r="BC938" s="18">
        <v>0</v>
      </c>
      <c r="BD938" s="18">
        <v>0</v>
      </c>
      <c r="BE938" s="25">
        <v>0</v>
      </c>
      <c r="BF938" s="18">
        <v>0</v>
      </c>
      <c r="BG938" s="18">
        <v>0</v>
      </c>
      <c r="BH938" s="18">
        <v>0</v>
      </c>
      <c r="BI938" s="18">
        <v>0</v>
      </c>
      <c r="BJ938" s="113">
        <v>0</v>
      </c>
      <c r="BK938" s="113">
        <v>0</v>
      </c>
      <c r="BL938" s="113">
        <v>0</v>
      </c>
      <c r="BM938" s="113">
        <v>0</v>
      </c>
      <c r="BN938" s="113">
        <v>0</v>
      </c>
      <c r="BO938" s="113">
        <v>0</v>
      </c>
      <c r="BP938" s="113">
        <v>0</v>
      </c>
      <c r="BQ938" s="113">
        <v>0</v>
      </c>
      <c r="BR938" s="101"/>
      <c r="BS938">
        <f t="shared" si="1895"/>
        <v>0</v>
      </c>
      <c r="BT938">
        <f t="shared" si="1895"/>
        <v>0</v>
      </c>
      <c r="BU938">
        <f t="shared" si="1895"/>
        <v>0</v>
      </c>
      <c r="BV938">
        <f t="shared" si="1895"/>
        <v>0</v>
      </c>
      <c r="BW938">
        <f t="shared" si="1895"/>
        <v>0</v>
      </c>
      <c r="BX938">
        <f t="shared" si="1895"/>
        <v>0</v>
      </c>
      <c r="BY938">
        <f t="shared" si="1895"/>
        <v>0</v>
      </c>
      <c r="BZ938">
        <f t="shared" si="1895"/>
        <v>0</v>
      </c>
      <c r="CA938">
        <f t="shared" si="1895"/>
        <v>0</v>
      </c>
      <c r="CB938">
        <f t="shared" si="1895"/>
        <v>0</v>
      </c>
      <c r="CC938">
        <f t="shared" si="1896"/>
        <v>0</v>
      </c>
      <c r="CD938">
        <f t="shared" si="1896"/>
        <v>0</v>
      </c>
      <c r="CE938">
        <f t="shared" si="1896"/>
        <v>0</v>
      </c>
      <c r="CF938">
        <f t="shared" si="1896"/>
        <v>0</v>
      </c>
      <c r="CG938">
        <f t="shared" si="1896"/>
        <v>0</v>
      </c>
      <c r="CH938">
        <f t="shared" si="1896"/>
        <v>0</v>
      </c>
      <c r="CI938">
        <f t="shared" si="1896"/>
        <v>0</v>
      </c>
      <c r="CJ938">
        <f t="shared" si="1896"/>
        <v>0</v>
      </c>
      <c r="CK938">
        <f t="shared" si="1896"/>
        <v>0</v>
      </c>
      <c r="CL938">
        <f t="shared" si="1896"/>
        <v>0</v>
      </c>
      <c r="CM938">
        <f t="shared" si="1897"/>
        <v>0</v>
      </c>
      <c r="CN938">
        <f t="shared" si="1897"/>
        <v>0</v>
      </c>
      <c r="CO938">
        <f t="shared" si="1897"/>
        <v>0</v>
      </c>
      <c r="CP938">
        <f t="shared" si="1897"/>
        <v>0</v>
      </c>
      <c r="CQ938">
        <f t="shared" si="1897"/>
        <v>0</v>
      </c>
      <c r="CR938">
        <f t="shared" si="1897"/>
        <v>0</v>
      </c>
      <c r="CS938">
        <f t="shared" si="1897"/>
        <v>0</v>
      </c>
      <c r="CT938">
        <f t="shared" si="1897"/>
        <v>0</v>
      </c>
      <c r="CU938">
        <f t="shared" si="1897"/>
        <v>0</v>
      </c>
      <c r="CV938">
        <f t="shared" si="1897"/>
        <v>0</v>
      </c>
      <c r="CW938">
        <f t="shared" si="1898"/>
        <v>0</v>
      </c>
      <c r="CX938">
        <f t="shared" si="1898"/>
        <v>0</v>
      </c>
      <c r="CY938">
        <f t="shared" si="1898"/>
        <v>0</v>
      </c>
      <c r="CZ938">
        <f t="shared" si="1898"/>
        <v>0</v>
      </c>
      <c r="DA938">
        <f t="shared" si="1898"/>
        <v>0</v>
      </c>
      <c r="DB938">
        <f t="shared" si="1898"/>
        <v>0</v>
      </c>
      <c r="DC938">
        <f t="shared" si="1898"/>
        <v>0</v>
      </c>
      <c r="DD938">
        <f t="shared" si="1898"/>
        <v>0</v>
      </c>
      <c r="DE938">
        <f t="shared" si="1898"/>
        <v>0</v>
      </c>
      <c r="DF938">
        <f t="shared" si="1898"/>
        <v>0</v>
      </c>
      <c r="DG938">
        <f t="shared" si="1899"/>
        <v>0</v>
      </c>
      <c r="DH938">
        <f t="shared" si="1899"/>
        <v>0</v>
      </c>
      <c r="DI938">
        <f t="shared" si="1899"/>
        <v>0</v>
      </c>
      <c r="DJ938">
        <f t="shared" si="1899"/>
        <v>0</v>
      </c>
      <c r="DK938">
        <f t="shared" si="1899"/>
        <v>0</v>
      </c>
      <c r="DL938">
        <f t="shared" si="1899"/>
        <v>0</v>
      </c>
      <c r="DM938">
        <f t="shared" si="1899"/>
        <v>0</v>
      </c>
      <c r="DN938">
        <f t="shared" si="1899"/>
        <v>0</v>
      </c>
      <c r="DO938">
        <f t="shared" si="1899"/>
        <v>0</v>
      </c>
      <c r="DP938">
        <f t="shared" si="1899"/>
        <v>0</v>
      </c>
      <c r="DQ938">
        <f t="shared" si="1900"/>
        <v>0</v>
      </c>
      <c r="DR938">
        <f t="shared" si="1900"/>
        <v>0</v>
      </c>
      <c r="DS938">
        <f t="shared" si="1900"/>
        <v>0</v>
      </c>
      <c r="DT938">
        <f t="shared" si="1900"/>
        <v>0</v>
      </c>
      <c r="DU938">
        <f t="shared" si="1900"/>
        <v>0</v>
      </c>
      <c r="DV938">
        <f t="shared" si="1900"/>
        <v>0</v>
      </c>
      <c r="DW938">
        <f t="shared" si="1900"/>
        <v>0</v>
      </c>
      <c r="DX938">
        <f t="shared" si="1900"/>
        <v>0</v>
      </c>
      <c r="DY938">
        <f t="shared" si="1900"/>
        <v>0</v>
      </c>
      <c r="DZ938">
        <f t="shared" si="1900"/>
        <v>0</v>
      </c>
      <c r="EA938">
        <f t="shared" si="1901"/>
        <v>0</v>
      </c>
      <c r="EB938">
        <f t="shared" si="1901"/>
        <v>0</v>
      </c>
      <c r="EC938">
        <f t="shared" si="1901"/>
        <v>0</v>
      </c>
      <c r="ED938">
        <f t="shared" si="1901"/>
        <v>0</v>
      </c>
      <c r="EE938">
        <f t="shared" si="1901"/>
        <v>0</v>
      </c>
      <c r="EF938">
        <f t="shared" si="1901"/>
        <v>0</v>
      </c>
    </row>
    <row r="939" spans="1:136" ht="15.5">
      <c r="A939" s="90"/>
      <c r="B939" s="53" t="s">
        <v>25</v>
      </c>
      <c r="C939" s="94"/>
      <c r="D939" s="18">
        <v>88.968999999999994</v>
      </c>
      <c r="E939" s="18">
        <v>90.964999999999989</v>
      </c>
      <c r="F939" s="18">
        <v>92.960999999999984</v>
      </c>
      <c r="G939" s="18">
        <v>94.956999999999979</v>
      </c>
      <c r="H939" s="18">
        <v>96.952999999999975</v>
      </c>
      <c r="I939" s="18">
        <v>98.94899999999997</v>
      </c>
      <c r="J939" s="18">
        <v>100.94499999999996</v>
      </c>
      <c r="K939" s="18">
        <v>102.94099999999996</v>
      </c>
      <c r="L939" s="18">
        <v>104.93699999999995</v>
      </c>
      <c r="M939" s="18">
        <v>106.93299999999995</v>
      </c>
      <c r="N939" s="18">
        <v>108.92899999999995</v>
      </c>
      <c r="O939" s="18">
        <v>110.92499999999994</v>
      </c>
      <c r="P939" s="18">
        <v>112.92099999999994</v>
      </c>
      <c r="Q939" s="18">
        <v>114.91699999999993</v>
      </c>
      <c r="R939" s="18">
        <v>116.91299999999993</v>
      </c>
      <c r="S939" s="18">
        <v>118.90899999999992</v>
      </c>
      <c r="T939" s="31">
        <v>7.0547160000000035</v>
      </c>
      <c r="U939" s="18">
        <v>0</v>
      </c>
      <c r="V939" s="18">
        <v>0</v>
      </c>
      <c r="W939" s="18">
        <v>0</v>
      </c>
      <c r="X939" s="18">
        <v>0</v>
      </c>
      <c r="Y939" s="18">
        <v>0</v>
      </c>
      <c r="Z939" s="18">
        <v>0</v>
      </c>
      <c r="AA939" s="18">
        <v>0</v>
      </c>
      <c r="AB939" s="18">
        <v>0</v>
      </c>
      <c r="AC939" s="18">
        <v>0</v>
      </c>
      <c r="AD939" s="18">
        <v>0</v>
      </c>
      <c r="AE939" s="18">
        <v>0</v>
      </c>
      <c r="AF939" s="18">
        <v>0</v>
      </c>
      <c r="AG939" s="18">
        <v>0</v>
      </c>
      <c r="AH939" s="18">
        <v>0</v>
      </c>
      <c r="AI939" s="18">
        <v>0</v>
      </c>
      <c r="AJ939" s="18">
        <v>0</v>
      </c>
      <c r="AK939" s="18">
        <v>0</v>
      </c>
      <c r="AL939" s="18">
        <v>0</v>
      </c>
      <c r="AM939" s="18">
        <v>0</v>
      </c>
      <c r="AN939" s="18">
        <v>0</v>
      </c>
      <c r="AO939" s="18">
        <v>0</v>
      </c>
      <c r="AP939" s="18">
        <v>0</v>
      </c>
      <c r="AQ939" s="18">
        <v>0</v>
      </c>
      <c r="AR939" s="18">
        <v>0</v>
      </c>
      <c r="AS939" s="18">
        <v>0</v>
      </c>
      <c r="AT939" s="18">
        <v>0</v>
      </c>
      <c r="AU939" s="18">
        <v>0</v>
      </c>
      <c r="AV939" s="18">
        <v>0</v>
      </c>
      <c r="AW939" s="18">
        <v>0</v>
      </c>
      <c r="AX939" s="18">
        <v>0</v>
      </c>
      <c r="AY939" s="18">
        <v>0</v>
      </c>
      <c r="AZ939" s="18">
        <v>0</v>
      </c>
      <c r="BA939" s="18">
        <v>0</v>
      </c>
      <c r="BB939" s="18">
        <v>0</v>
      </c>
      <c r="BC939" s="18">
        <v>0</v>
      </c>
      <c r="BD939" s="18">
        <v>0</v>
      </c>
      <c r="BE939" s="18">
        <v>0</v>
      </c>
      <c r="BF939" s="18">
        <v>0</v>
      </c>
      <c r="BG939" s="18">
        <v>0</v>
      </c>
      <c r="BH939" s="18">
        <v>0</v>
      </c>
      <c r="BI939" s="18">
        <v>0</v>
      </c>
      <c r="BJ939" s="113">
        <v>0</v>
      </c>
      <c r="BK939" s="113">
        <v>0</v>
      </c>
      <c r="BL939" s="113">
        <v>0</v>
      </c>
      <c r="BM939" s="113">
        <v>0</v>
      </c>
      <c r="BN939" s="113">
        <v>0</v>
      </c>
      <c r="BO939" s="113">
        <v>0</v>
      </c>
      <c r="BP939" s="113">
        <v>0</v>
      </c>
      <c r="BQ939" s="113">
        <v>0</v>
      </c>
      <c r="BR939" s="101"/>
      <c r="BS939">
        <f t="shared" si="1895"/>
        <v>0</v>
      </c>
      <c r="BT939">
        <f t="shared" si="1895"/>
        <v>0</v>
      </c>
      <c r="BU939">
        <f t="shared" si="1895"/>
        <v>0</v>
      </c>
      <c r="BV939">
        <f t="shared" si="1895"/>
        <v>0</v>
      </c>
      <c r="BW939">
        <f t="shared" si="1895"/>
        <v>0</v>
      </c>
      <c r="BX939">
        <f t="shared" si="1895"/>
        <v>0</v>
      </c>
      <c r="BY939">
        <f t="shared" si="1895"/>
        <v>0</v>
      </c>
      <c r="BZ939">
        <f t="shared" si="1895"/>
        <v>0</v>
      </c>
      <c r="CA939">
        <f t="shared" si="1895"/>
        <v>0</v>
      </c>
      <c r="CB939">
        <f t="shared" si="1895"/>
        <v>0</v>
      </c>
      <c r="CC939">
        <f t="shared" si="1896"/>
        <v>0</v>
      </c>
      <c r="CD939">
        <f t="shared" si="1896"/>
        <v>0</v>
      </c>
      <c r="CE939">
        <f t="shared" si="1896"/>
        <v>0</v>
      </c>
      <c r="CF939">
        <f t="shared" si="1896"/>
        <v>0</v>
      </c>
      <c r="CG939">
        <f t="shared" si="1896"/>
        <v>0</v>
      </c>
      <c r="CH939">
        <f t="shared" si="1896"/>
        <v>0</v>
      </c>
      <c r="CI939">
        <f t="shared" si="1896"/>
        <v>0</v>
      </c>
      <c r="CJ939">
        <f t="shared" si="1896"/>
        <v>0</v>
      </c>
      <c r="CK939">
        <f t="shared" si="1896"/>
        <v>0</v>
      </c>
      <c r="CL939">
        <f t="shared" si="1896"/>
        <v>0</v>
      </c>
      <c r="CM939">
        <f t="shared" si="1897"/>
        <v>0</v>
      </c>
      <c r="CN939">
        <f t="shared" si="1897"/>
        <v>0</v>
      </c>
      <c r="CO939">
        <f t="shared" si="1897"/>
        <v>0</v>
      </c>
      <c r="CP939">
        <f t="shared" si="1897"/>
        <v>0</v>
      </c>
      <c r="CQ939">
        <f t="shared" si="1897"/>
        <v>0</v>
      </c>
      <c r="CR939">
        <f t="shared" si="1897"/>
        <v>0</v>
      </c>
      <c r="CS939">
        <f t="shared" si="1897"/>
        <v>0</v>
      </c>
      <c r="CT939">
        <f t="shared" si="1897"/>
        <v>0</v>
      </c>
      <c r="CU939">
        <f t="shared" si="1897"/>
        <v>0</v>
      </c>
      <c r="CV939">
        <f t="shared" si="1897"/>
        <v>0</v>
      </c>
      <c r="CW939">
        <f t="shared" si="1898"/>
        <v>0</v>
      </c>
      <c r="CX939">
        <f t="shared" si="1898"/>
        <v>0</v>
      </c>
      <c r="CY939">
        <f t="shared" si="1898"/>
        <v>0</v>
      </c>
      <c r="CZ939">
        <f t="shared" si="1898"/>
        <v>0</v>
      </c>
      <c r="DA939">
        <f t="shared" si="1898"/>
        <v>0</v>
      </c>
      <c r="DB939">
        <f t="shared" si="1898"/>
        <v>0</v>
      </c>
      <c r="DC939">
        <f t="shared" si="1898"/>
        <v>0</v>
      </c>
      <c r="DD939">
        <f t="shared" si="1898"/>
        <v>0</v>
      </c>
      <c r="DE939">
        <f t="shared" si="1898"/>
        <v>0</v>
      </c>
      <c r="DF939">
        <f t="shared" si="1898"/>
        <v>0</v>
      </c>
      <c r="DG939">
        <f t="shared" si="1899"/>
        <v>0</v>
      </c>
      <c r="DH939">
        <f t="shared" si="1899"/>
        <v>0</v>
      </c>
      <c r="DI939">
        <f t="shared" si="1899"/>
        <v>0</v>
      </c>
      <c r="DJ939">
        <f t="shared" si="1899"/>
        <v>0</v>
      </c>
      <c r="DK939">
        <f t="shared" si="1899"/>
        <v>0</v>
      </c>
      <c r="DL939">
        <f t="shared" si="1899"/>
        <v>0</v>
      </c>
      <c r="DM939">
        <f t="shared" si="1899"/>
        <v>0</v>
      </c>
      <c r="DN939">
        <f t="shared" si="1899"/>
        <v>0</v>
      </c>
      <c r="DO939">
        <f t="shared" si="1899"/>
        <v>0</v>
      </c>
      <c r="DP939">
        <f t="shared" si="1899"/>
        <v>0</v>
      </c>
      <c r="DQ939">
        <f t="shared" si="1900"/>
        <v>0</v>
      </c>
      <c r="DR939">
        <f t="shared" si="1900"/>
        <v>0</v>
      </c>
      <c r="DS939">
        <f t="shared" si="1900"/>
        <v>0</v>
      </c>
      <c r="DT939">
        <f t="shared" si="1900"/>
        <v>0</v>
      </c>
      <c r="DU939">
        <f t="shared" si="1900"/>
        <v>0</v>
      </c>
      <c r="DV939">
        <f t="shared" si="1900"/>
        <v>0</v>
      </c>
      <c r="DW939">
        <f t="shared" si="1900"/>
        <v>0</v>
      </c>
      <c r="DX939">
        <f t="shared" si="1900"/>
        <v>0</v>
      </c>
      <c r="DY939">
        <f t="shared" si="1900"/>
        <v>0</v>
      </c>
      <c r="DZ939">
        <f t="shared" si="1900"/>
        <v>0</v>
      </c>
      <c r="EA939">
        <f t="shared" si="1901"/>
        <v>0</v>
      </c>
      <c r="EB939">
        <f t="shared" si="1901"/>
        <v>0</v>
      </c>
      <c r="EC939">
        <f t="shared" si="1901"/>
        <v>0</v>
      </c>
      <c r="ED939">
        <f t="shared" si="1901"/>
        <v>0</v>
      </c>
      <c r="EE939">
        <f t="shared" si="1901"/>
        <v>0</v>
      </c>
      <c r="EF939">
        <f t="shared" si="1901"/>
        <v>0</v>
      </c>
    </row>
    <row r="940" spans="1:136" ht="15.5">
      <c r="A940" s="90"/>
      <c r="B940" s="57" t="s">
        <v>208</v>
      </c>
      <c r="C940" s="96"/>
      <c r="D940" s="18">
        <v>0</v>
      </c>
      <c r="E940" s="18">
        <v>0</v>
      </c>
      <c r="F940" s="18">
        <v>0</v>
      </c>
      <c r="G940" s="18">
        <v>0</v>
      </c>
      <c r="H940" s="18">
        <v>0</v>
      </c>
      <c r="I940" s="18">
        <v>0</v>
      </c>
      <c r="J940" s="18">
        <v>0</v>
      </c>
      <c r="K940" s="18">
        <v>0</v>
      </c>
      <c r="L940" s="18">
        <v>0</v>
      </c>
      <c r="M940" s="18">
        <v>0</v>
      </c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40" t="s">
        <v>16</v>
      </c>
      <c r="AE940" s="40" t="s">
        <v>16</v>
      </c>
      <c r="AF940" s="18">
        <v>3354</v>
      </c>
      <c r="AG940" s="18">
        <v>200</v>
      </c>
      <c r="AH940" s="40" t="s">
        <v>16</v>
      </c>
      <c r="AI940" s="40" t="s">
        <v>16</v>
      </c>
      <c r="AJ940" s="40" t="s">
        <v>16</v>
      </c>
      <c r="AK940" s="40" t="s">
        <v>16</v>
      </c>
      <c r="AL940" s="18">
        <v>7</v>
      </c>
      <c r="AM940" s="18">
        <v>5.2</v>
      </c>
      <c r="AN940" s="18">
        <v>4</v>
      </c>
      <c r="AO940" s="18">
        <v>3.8000000000000003</v>
      </c>
      <c r="AP940" s="18">
        <v>2.8000000000000003</v>
      </c>
      <c r="AQ940" s="18">
        <v>96</v>
      </c>
      <c r="AR940" s="18">
        <v>120.80000000000001</v>
      </c>
      <c r="AS940" s="18">
        <v>2.9</v>
      </c>
      <c r="AT940" s="18">
        <v>2.2000000000000002</v>
      </c>
      <c r="AU940" s="18">
        <v>0</v>
      </c>
      <c r="AV940" s="18">
        <v>0</v>
      </c>
      <c r="AW940" s="18">
        <v>0</v>
      </c>
      <c r="AX940" s="18">
        <v>0</v>
      </c>
      <c r="AY940" s="18">
        <v>0</v>
      </c>
      <c r="AZ940" s="18">
        <v>0</v>
      </c>
      <c r="BA940" s="18">
        <v>0</v>
      </c>
      <c r="BB940" s="18">
        <v>0</v>
      </c>
      <c r="BC940" s="18">
        <v>0</v>
      </c>
      <c r="BD940" s="18">
        <v>0</v>
      </c>
      <c r="BE940" s="25">
        <v>0</v>
      </c>
      <c r="BF940" s="18">
        <v>0</v>
      </c>
      <c r="BG940" s="18">
        <v>0</v>
      </c>
      <c r="BH940" s="18">
        <v>0</v>
      </c>
      <c r="BI940" s="18">
        <v>0</v>
      </c>
      <c r="BJ940" s="113">
        <v>0</v>
      </c>
      <c r="BK940" s="113">
        <v>0</v>
      </c>
      <c r="BL940" s="113">
        <v>0</v>
      </c>
      <c r="BM940" s="113">
        <v>0</v>
      </c>
      <c r="BN940" s="113">
        <v>0</v>
      </c>
      <c r="BO940" s="113">
        <v>0</v>
      </c>
      <c r="BP940" s="113">
        <v>0</v>
      </c>
      <c r="BQ940" s="113">
        <v>0</v>
      </c>
      <c r="BR940" s="101"/>
      <c r="BS940">
        <f t="shared" si="1895"/>
        <v>0</v>
      </c>
      <c r="BT940">
        <f t="shared" si="1895"/>
        <v>0</v>
      </c>
      <c r="BU940">
        <f t="shared" si="1895"/>
        <v>0</v>
      </c>
      <c r="BV940">
        <f t="shared" si="1895"/>
        <v>0</v>
      </c>
      <c r="BW940">
        <f t="shared" si="1895"/>
        <v>0</v>
      </c>
      <c r="BX940">
        <f t="shared" si="1895"/>
        <v>0</v>
      </c>
      <c r="BY940">
        <f t="shared" si="1895"/>
        <v>0</v>
      </c>
      <c r="BZ940">
        <f t="shared" si="1895"/>
        <v>0</v>
      </c>
      <c r="CA940">
        <f t="shared" si="1895"/>
        <v>0</v>
      </c>
      <c r="CB940">
        <f t="shared" si="1895"/>
        <v>0</v>
      </c>
      <c r="CC940">
        <f t="shared" si="1896"/>
        <v>0</v>
      </c>
      <c r="CD940">
        <f t="shared" si="1896"/>
        <v>0</v>
      </c>
      <c r="CE940">
        <f t="shared" si="1896"/>
        <v>0</v>
      </c>
      <c r="CF940">
        <f t="shared" si="1896"/>
        <v>0</v>
      </c>
      <c r="CG940">
        <f t="shared" si="1896"/>
        <v>0</v>
      </c>
      <c r="CH940">
        <f t="shared" si="1896"/>
        <v>0</v>
      </c>
      <c r="CI940">
        <f t="shared" si="1896"/>
        <v>0</v>
      </c>
      <c r="CJ940">
        <f t="shared" si="1896"/>
        <v>0</v>
      </c>
      <c r="CK940">
        <f t="shared" si="1896"/>
        <v>0</v>
      </c>
      <c r="CL940">
        <f t="shared" si="1896"/>
        <v>0</v>
      </c>
      <c r="CM940">
        <f t="shared" si="1897"/>
        <v>0</v>
      </c>
      <c r="CN940">
        <f t="shared" si="1897"/>
        <v>0</v>
      </c>
      <c r="CO940">
        <f t="shared" si="1897"/>
        <v>0</v>
      </c>
      <c r="CP940">
        <f t="shared" si="1897"/>
        <v>0</v>
      </c>
      <c r="CQ940">
        <f t="shared" si="1897"/>
        <v>0</v>
      </c>
      <c r="CR940">
        <f t="shared" si="1897"/>
        <v>0</v>
      </c>
      <c r="CS940">
        <f t="shared" si="1897"/>
        <v>0</v>
      </c>
      <c r="CT940">
        <f t="shared" si="1897"/>
        <v>0</v>
      </c>
      <c r="CU940">
        <f t="shared" si="1897"/>
        <v>0</v>
      </c>
      <c r="CV940">
        <f t="shared" si="1897"/>
        <v>0</v>
      </c>
      <c r="CW940">
        <f t="shared" si="1898"/>
        <v>0</v>
      </c>
      <c r="CX940">
        <f t="shared" si="1898"/>
        <v>0</v>
      </c>
      <c r="CY940">
        <f t="shared" si="1898"/>
        <v>0</v>
      </c>
      <c r="CZ940">
        <f t="shared" si="1898"/>
        <v>0</v>
      </c>
      <c r="DA940">
        <f t="shared" si="1898"/>
        <v>0</v>
      </c>
      <c r="DB940">
        <f t="shared" si="1898"/>
        <v>0</v>
      </c>
      <c r="DC940">
        <f t="shared" si="1898"/>
        <v>0</v>
      </c>
      <c r="DD940">
        <f t="shared" si="1898"/>
        <v>0</v>
      </c>
      <c r="DE940">
        <f t="shared" si="1898"/>
        <v>0</v>
      </c>
      <c r="DF940">
        <f t="shared" si="1898"/>
        <v>0</v>
      </c>
      <c r="DG940">
        <f t="shared" si="1899"/>
        <v>0</v>
      </c>
      <c r="DH940">
        <f t="shared" si="1899"/>
        <v>0</v>
      </c>
      <c r="DI940">
        <f t="shared" si="1899"/>
        <v>0</v>
      </c>
      <c r="DJ940">
        <f t="shared" si="1899"/>
        <v>0</v>
      </c>
      <c r="DK940">
        <f t="shared" si="1899"/>
        <v>0</v>
      </c>
      <c r="DL940">
        <f t="shared" si="1899"/>
        <v>0</v>
      </c>
      <c r="DM940">
        <f t="shared" si="1899"/>
        <v>0</v>
      </c>
      <c r="DN940">
        <f t="shared" si="1899"/>
        <v>0</v>
      </c>
      <c r="DO940">
        <f t="shared" si="1899"/>
        <v>0</v>
      </c>
      <c r="DP940">
        <f t="shared" si="1899"/>
        <v>0</v>
      </c>
      <c r="DQ940">
        <f t="shared" si="1900"/>
        <v>0</v>
      </c>
      <c r="DR940">
        <f t="shared" si="1900"/>
        <v>0</v>
      </c>
      <c r="DS940">
        <f t="shared" si="1900"/>
        <v>0</v>
      </c>
      <c r="DT940">
        <f t="shared" si="1900"/>
        <v>0</v>
      </c>
      <c r="DU940">
        <f t="shared" si="1900"/>
        <v>0</v>
      </c>
      <c r="DV940">
        <f t="shared" si="1900"/>
        <v>0</v>
      </c>
      <c r="DW940">
        <f t="shared" si="1900"/>
        <v>0</v>
      </c>
      <c r="DX940">
        <f t="shared" si="1900"/>
        <v>0</v>
      </c>
      <c r="DY940">
        <f t="shared" si="1900"/>
        <v>0</v>
      </c>
      <c r="DZ940">
        <f t="shared" si="1900"/>
        <v>0</v>
      </c>
      <c r="EA940">
        <f t="shared" si="1901"/>
        <v>0</v>
      </c>
      <c r="EB940">
        <f t="shared" si="1901"/>
        <v>0</v>
      </c>
      <c r="EC940">
        <f t="shared" si="1901"/>
        <v>0</v>
      </c>
      <c r="ED940">
        <f t="shared" si="1901"/>
        <v>0</v>
      </c>
      <c r="EE940">
        <f t="shared" si="1901"/>
        <v>0</v>
      </c>
      <c r="EF940">
        <f t="shared" si="1901"/>
        <v>0</v>
      </c>
    </row>
    <row r="941" spans="1:136" ht="15.5">
      <c r="A941" s="90"/>
      <c r="B941" s="57" t="s">
        <v>212</v>
      </c>
      <c r="C941" s="96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40"/>
      <c r="AE941" s="40"/>
      <c r="AF941" s="18"/>
      <c r="AG941" s="18"/>
      <c r="AH941" s="18">
        <v>0</v>
      </c>
      <c r="AI941" s="40">
        <v>4.5045045045045043E-2</v>
      </c>
      <c r="AJ941" s="18">
        <v>0</v>
      </c>
      <c r="AK941" s="18">
        <v>220.99447513812154</v>
      </c>
      <c r="AL941" s="18">
        <v>264.31718061674007</v>
      </c>
      <c r="AM941" s="18">
        <v>743.80165289256206</v>
      </c>
      <c r="AN941" s="18">
        <v>962.96296296296293</v>
      </c>
      <c r="AO941" s="18">
        <v>792.68292682926835</v>
      </c>
      <c r="AP941" s="18">
        <v>1867.816091954023</v>
      </c>
      <c r="AQ941" s="18">
        <v>2191.4357682619648</v>
      </c>
      <c r="AR941" s="18">
        <v>2275.8620689655172</v>
      </c>
      <c r="AS941" s="147">
        <v>181.86046511627907</v>
      </c>
      <c r="AT941" s="18">
        <v>0</v>
      </c>
      <c r="AU941" s="18">
        <v>0</v>
      </c>
      <c r="AV941" s="18">
        <v>0</v>
      </c>
      <c r="AW941" s="18">
        <v>0</v>
      </c>
      <c r="AX941" s="18">
        <v>0</v>
      </c>
      <c r="AY941" s="18">
        <v>0</v>
      </c>
      <c r="AZ941" s="18">
        <v>0</v>
      </c>
      <c r="BA941" s="18">
        <v>0</v>
      </c>
      <c r="BB941" s="18">
        <v>0</v>
      </c>
      <c r="BC941" s="18">
        <v>0</v>
      </c>
      <c r="BD941" s="18">
        <v>0</v>
      </c>
      <c r="BE941" s="18">
        <v>0</v>
      </c>
      <c r="BF941" s="18">
        <v>0</v>
      </c>
      <c r="BG941" s="18">
        <v>0</v>
      </c>
      <c r="BH941" s="18">
        <v>0</v>
      </c>
      <c r="BI941" s="18">
        <v>0</v>
      </c>
      <c r="BJ941" s="18">
        <v>0</v>
      </c>
      <c r="BK941" s="18">
        <v>0</v>
      </c>
      <c r="BL941" s="18">
        <v>0</v>
      </c>
      <c r="BM941" s="18">
        <v>0</v>
      </c>
      <c r="BN941" s="18">
        <v>0</v>
      </c>
      <c r="BO941" s="18">
        <v>0</v>
      </c>
      <c r="BP941" s="18">
        <v>0</v>
      </c>
      <c r="BQ941" s="18">
        <v>0</v>
      </c>
      <c r="BR941" s="101"/>
      <c r="BS941">
        <f t="shared" si="1895"/>
        <v>0</v>
      </c>
      <c r="BT941">
        <f t="shared" si="1895"/>
        <v>0</v>
      </c>
      <c r="BU941">
        <f t="shared" si="1895"/>
        <v>0</v>
      </c>
      <c r="BV941">
        <f t="shared" si="1895"/>
        <v>0</v>
      </c>
      <c r="BW941">
        <f t="shared" si="1895"/>
        <v>0</v>
      </c>
      <c r="BX941">
        <f t="shared" si="1895"/>
        <v>0</v>
      </c>
      <c r="BY941">
        <f t="shared" si="1895"/>
        <v>0</v>
      </c>
      <c r="BZ941">
        <f t="shared" si="1895"/>
        <v>0</v>
      </c>
      <c r="CA941">
        <f t="shared" si="1895"/>
        <v>0</v>
      </c>
      <c r="CB941">
        <f t="shared" si="1895"/>
        <v>0</v>
      </c>
      <c r="CC941">
        <f t="shared" si="1896"/>
        <v>0</v>
      </c>
      <c r="CD941">
        <f t="shared" si="1896"/>
        <v>0</v>
      </c>
      <c r="CE941">
        <f t="shared" si="1896"/>
        <v>0</v>
      </c>
      <c r="CF941">
        <f t="shared" si="1896"/>
        <v>0</v>
      </c>
      <c r="CG941">
        <f t="shared" si="1896"/>
        <v>0</v>
      </c>
      <c r="CH941">
        <f t="shared" si="1896"/>
        <v>0</v>
      </c>
      <c r="CI941">
        <f t="shared" si="1896"/>
        <v>0</v>
      </c>
      <c r="CJ941">
        <f t="shared" si="1896"/>
        <v>0</v>
      </c>
      <c r="CK941">
        <f t="shared" si="1896"/>
        <v>0</v>
      </c>
      <c r="CL941">
        <f t="shared" si="1896"/>
        <v>0</v>
      </c>
      <c r="CM941">
        <f t="shared" si="1897"/>
        <v>0</v>
      </c>
      <c r="CN941">
        <f t="shared" si="1897"/>
        <v>0</v>
      </c>
      <c r="CO941">
        <f t="shared" si="1897"/>
        <v>0</v>
      </c>
      <c r="CP941">
        <f t="shared" si="1897"/>
        <v>0</v>
      </c>
      <c r="CQ941">
        <f t="shared" si="1897"/>
        <v>0</v>
      </c>
      <c r="CR941">
        <f t="shared" si="1897"/>
        <v>0</v>
      </c>
      <c r="CS941">
        <f t="shared" si="1897"/>
        <v>0</v>
      </c>
      <c r="CT941">
        <f t="shared" si="1897"/>
        <v>0</v>
      </c>
      <c r="CU941">
        <f t="shared" si="1897"/>
        <v>0</v>
      </c>
      <c r="CV941">
        <f t="shared" si="1897"/>
        <v>0</v>
      </c>
      <c r="CW941">
        <f t="shared" si="1898"/>
        <v>0</v>
      </c>
      <c r="CX941">
        <f t="shared" si="1898"/>
        <v>0</v>
      </c>
      <c r="CY941">
        <f t="shared" si="1898"/>
        <v>0</v>
      </c>
      <c r="CZ941">
        <f t="shared" si="1898"/>
        <v>0</v>
      </c>
      <c r="DA941">
        <f t="shared" si="1898"/>
        <v>0</v>
      </c>
      <c r="DB941">
        <f t="shared" si="1898"/>
        <v>0</v>
      </c>
      <c r="DC941">
        <f t="shared" si="1898"/>
        <v>0</v>
      </c>
      <c r="DD941">
        <f t="shared" si="1898"/>
        <v>0</v>
      </c>
      <c r="DE941">
        <f t="shared" si="1898"/>
        <v>0</v>
      </c>
      <c r="DF941">
        <f t="shared" si="1898"/>
        <v>0</v>
      </c>
      <c r="DG941">
        <f t="shared" si="1899"/>
        <v>0</v>
      </c>
      <c r="DH941">
        <f t="shared" si="1899"/>
        <v>0</v>
      </c>
      <c r="DI941">
        <f t="shared" si="1899"/>
        <v>0</v>
      </c>
      <c r="DJ941">
        <f t="shared" si="1899"/>
        <v>0</v>
      </c>
      <c r="DK941">
        <f t="shared" si="1899"/>
        <v>0</v>
      </c>
      <c r="DL941">
        <f t="shared" si="1899"/>
        <v>0</v>
      </c>
      <c r="DM941">
        <f t="shared" si="1899"/>
        <v>0</v>
      </c>
      <c r="DN941">
        <f t="shared" si="1899"/>
        <v>0</v>
      </c>
      <c r="DO941">
        <f t="shared" si="1899"/>
        <v>0</v>
      </c>
      <c r="DP941">
        <f t="shared" si="1899"/>
        <v>0</v>
      </c>
      <c r="DQ941">
        <f t="shared" si="1900"/>
        <v>0</v>
      </c>
      <c r="DR941">
        <f t="shared" si="1900"/>
        <v>0</v>
      </c>
      <c r="DS941">
        <f t="shared" si="1900"/>
        <v>0</v>
      </c>
      <c r="DT941">
        <f t="shared" si="1900"/>
        <v>0</v>
      </c>
      <c r="DU941">
        <f t="shared" si="1900"/>
        <v>0</v>
      </c>
      <c r="DV941">
        <f t="shared" si="1900"/>
        <v>0</v>
      </c>
      <c r="DW941">
        <f t="shared" si="1900"/>
        <v>0</v>
      </c>
      <c r="DX941">
        <f t="shared" si="1900"/>
        <v>0</v>
      </c>
      <c r="DY941">
        <f t="shared" si="1900"/>
        <v>0</v>
      </c>
      <c r="DZ941">
        <f t="shared" si="1900"/>
        <v>0</v>
      </c>
      <c r="EA941">
        <f t="shared" ref="EA941:EF941" si="1902">IF($C941&lt;&gt;"",IF(BL941&gt;0,1,0),0)</f>
        <v>0</v>
      </c>
      <c r="EB941">
        <f t="shared" si="1902"/>
        <v>0</v>
      </c>
      <c r="EC941">
        <f t="shared" si="1902"/>
        <v>0</v>
      </c>
      <c r="ED941">
        <f t="shared" si="1902"/>
        <v>0</v>
      </c>
      <c r="EE941">
        <f t="shared" si="1902"/>
        <v>0</v>
      </c>
      <c r="EF941">
        <f t="shared" si="1902"/>
        <v>0</v>
      </c>
    </row>
    <row r="942" spans="1:136" ht="15.5">
      <c r="A942" s="90"/>
      <c r="B942" s="37"/>
      <c r="C942" s="94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  <c r="AG942" s="31"/>
      <c r="AH942" s="31"/>
      <c r="AI942" s="31"/>
      <c r="AJ942" s="31"/>
      <c r="AK942" s="31"/>
      <c r="AL942" s="31"/>
      <c r="AM942" s="31"/>
      <c r="AN942" s="31"/>
      <c r="AO942" s="31"/>
      <c r="AP942" s="31"/>
      <c r="AQ942" s="31"/>
      <c r="AR942" s="31"/>
      <c r="AS942" s="31"/>
      <c r="AT942" s="31"/>
      <c r="AU942" s="31"/>
      <c r="AV942" s="31"/>
      <c r="AW942" s="31"/>
      <c r="AX942" s="31"/>
      <c r="AY942" s="31"/>
      <c r="AZ942" s="31"/>
      <c r="BA942" s="31"/>
      <c r="BB942" s="31"/>
      <c r="BC942" s="31"/>
      <c r="BD942" s="31"/>
      <c r="BE942" s="55"/>
      <c r="BF942" s="18"/>
      <c r="BG942" s="73"/>
      <c r="BH942" s="2"/>
      <c r="BI942" s="18"/>
      <c r="BJ942" s="2"/>
      <c r="BK942" s="2"/>
      <c r="BL942" s="4"/>
      <c r="BM942" s="2"/>
      <c r="BN942" s="2"/>
      <c r="BO942" s="2"/>
      <c r="BP942" s="2"/>
      <c r="BQ942" s="2"/>
      <c r="BR942" s="101"/>
    </row>
    <row r="943" spans="1:136" ht="15.5">
      <c r="A943" s="93">
        <v>118</v>
      </c>
      <c r="B943" s="32" t="s">
        <v>119</v>
      </c>
      <c r="C943" s="94">
        <v>1</v>
      </c>
      <c r="D943" s="22">
        <v>0</v>
      </c>
      <c r="E943" s="22">
        <v>0</v>
      </c>
      <c r="F943" s="22">
        <v>0</v>
      </c>
      <c r="G943" s="22">
        <v>0</v>
      </c>
      <c r="H943" s="22">
        <v>0</v>
      </c>
      <c r="I943" s="22">
        <v>0</v>
      </c>
      <c r="J943" s="22">
        <v>0</v>
      </c>
      <c r="K943" s="22">
        <v>0</v>
      </c>
      <c r="L943" s="22">
        <v>0</v>
      </c>
      <c r="M943" s="22">
        <v>0</v>
      </c>
      <c r="N943" s="22">
        <v>0</v>
      </c>
      <c r="O943" s="22">
        <v>0</v>
      </c>
      <c r="P943" s="22">
        <v>0</v>
      </c>
      <c r="Q943" s="22">
        <v>0</v>
      </c>
      <c r="R943" s="22">
        <v>0</v>
      </c>
      <c r="S943" s="22">
        <v>0</v>
      </c>
      <c r="T943" s="22">
        <v>0</v>
      </c>
      <c r="U943" s="22">
        <v>0</v>
      </c>
      <c r="V943" s="22">
        <v>0</v>
      </c>
      <c r="W943" s="22">
        <v>0</v>
      </c>
      <c r="X943" s="22">
        <v>0</v>
      </c>
      <c r="Y943" s="22">
        <v>0</v>
      </c>
      <c r="Z943" s="22">
        <v>0</v>
      </c>
      <c r="AA943" s="22">
        <v>0</v>
      </c>
      <c r="AB943" s="22">
        <v>0</v>
      </c>
      <c r="AC943" s="22">
        <v>0</v>
      </c>
      <c r="AD943" s="22">
        <v>0</v>
      </c>
      <c r="AE943" s="22">
        <v>0</v>
      </c>
      <c r="AF943" s="22">
        <v>0</v>
      </c>
      <c r="AG943" s="22">
        <v>0</v>
      </c>
      <c r="AH943" s="22">
        <v>0</v>
      </c>
      <c r="AI943" s="22">
        <v>0</v>
      </c>
      <c r="AJ943" s="22">
        <v>0</v>
      </c>
      <c r="AK943" s="22">
        <v>0</v>
      </c>
      <c r="AL943" s="22">
        <v>0</v>
      </c>
      <c r="AM943" s="22">
        <v>0</v>
      </c>
      <c r="AN943" s="22">
        <v>0</v>
      </c>
      <c r="AO943" s="22">
        <v>0</v>
      </c>
      <c r="AP943" s="22">
        <v>0</v>
      </c>
      <c r="AQ943" s="22">
        <v>0</v>
      </c>
      <c r="AR943" s="22">
        <v>0</v>
      </c>
      <c r="AS943" s="22">
        <v>0</v>
      </c>
      <c r="AT943" s="22">
        <v>0</v>
      </c>
      <c r="AU943" s="22">
        <v>0</v>
      </c>
      <c r="AV943" s="22">
        <v>0</v>
      </c>
      <c r="AW943" s="22">
        <v>0</v>
      </c>
      <c r="AX943" s="22">
        <v>0</v>
      </c>
      <c r="AY943" s="22">
        <v>0</v>
      </c>
      <c r="AZ943" s="22">
        <v>0</v>
      </c>
      <c r="BA943" s="22">
        <v>0</v>
      </c>
      <c r="BB943" s="22">
        <v>0</v>
      </c>
      <c r="BC943" s="22">
        <v>0</v>
      </c>
      <c r="BD943" s="22">
        <v>0</v>
      </c>
      <c r="BE943" s="23">
        <v>52712</v>
      </c>
      <c r="BF943" s="22">
        <v>0</v>
      </c>
      <c r="BG943" s="22">
        <v>0</v>
      </c>
      <c r="BH943" s="22">
        <v>0</v>
      </c>
      <c r="BI943" s="22">
        <v>0</v>
      </c>
      <c r="BJ943" s="4">
        <v>0</v>
      </c>
      <c r="BK943" s="4">
        <v>0</v>
      </c>
      <c r="BL943" s="4">
        <v>0</v>
      </c>
      <c r="BM943" s="4">
        <v>0</v>
      </c>
      <c r="BN943" s="4">
        <v>0</v>
      </c>
      <c r="BO943" s="4">
        <v>0</v>
      </c>
      <c r="BP943" s="4">
        <v>0</v>
      </c>
      <c r="BQ943" s="4">
        <v>0</v>
      </c>
      <c r="BR943" s="101"/>
      <c r="BS943">
        <f t="shared" ref="BS943:CB945" si="1903">IF($C943&lt;&gt;"",IF(D943&gt;0,1,0),0)</f>
        <v>0</v>
      </c>
      <c r="BT943">
        <f t="shared" si="1903"/>
        <v>0</v>
      </c>
      <c r="BU943">
        <f t="shared" si="1903"/>
        <v>0</v>
      </c>
      <c r="BV943">
        <f t="shared" si="1903"/>
        <v>0</v>
      </c>
      <c r="BW943">
        <f t="shared" si="1903"/>
        <v>0</v>
      </c>
      <c r="BX943">
        <f t="shared" si="1903"/>
        <v>0</v>
      </c>
      <c r="BY943">
        <f t="shared" si="1903"/>
        <v>0</v>
      </c>
      <c r="BZ943">
        <f t="shared" si="1903"/>
        <v>0</v>
      </c>
      <c r="CA943">
        <f t="shared" si="1903"/>
        <v>0</v>
      </c>
      <c r="CB943">
        <f t="shared" si="1903"/>
        <v>0</v>
      </c>
      <c r="CC943">
        <f t="shared" ref="CC943:CL945" si="1904">IF($C943&lt;&gt;"",IF(N943&gt;0,1,0),0)</f>
        <v>0</v>
      </c>
      <c r="CD943">
        <f t="shared" si="1904"/>
        <v>0</v>
      </c>
      <c r="CE943">
        <f t="shared" si="1904"/>
        <v>0</v>
      </c>
      <c r="CF943">
        <f t="shared" si="1904"/>
        <v>0</v>
      </c>
      <c r="CG943">
        <f t="shared" si="1904"/>
        <v>0</v>
      </c>
      <c r="CH943">
        <f t="shared" si="1904"/>
        <v>0</v>
      </c>
      <c r="CI943">
        <f t="shared" si="1904"/>
        <v>0</v>
      </c>
      <c r="CJ943">
        <f t="shared" si="1904"/>
        <v>0</v>
      </c>
      <c r="CK943">
        <f t="shared" si="1904"/>
        <v>0</v>
      </c>
      <c r="CL943">
        <f t="shared" si="1904"/>
        <v>0</v>
      </c>
      <c r="CM943">
        <f t="shared" ref="CM943:CV945" si="1905">IF($C943&lt;&gt;"",IF(X943&gt;0,1,0),0)</f>
        <v>0</v>
      </c>
      <c r="CN943">
        <f t="shared" si="1905"/>
        <v>0</v>
      </c>
      <c r="CO943">
        <f t="shared" si="1905"/>
        <v>0</v>
      </c>
      <c r="CP943">
        <f t="shared" si="1905"/>
        <v>0</v>
      </c>
      <c r="CQ943">
        <f t="shared" si="1905"/>
        <v>0</v>
      </c>
      <c r="CR943">
        <f t="shared" si="1905"/>
        <v>0</v>
      </c>
      <c r="CS943">
        <f t="shared" si="1905"/>
        <v>0</v>
      </c>
      <c r="CT943">
        <f t="shared" si="1905"/>
        <v>0</v>
      </c>
      <c r="CU943">
        <f t="shared" si="1905"/>
        <v>0</v>
      </c>
      <c r="CV943">
        <f t="shared" si="1905"/>
        <v>0</v>
      </c>
      <c r="CW943">
        <f t="shared" ref="CW943:DF945" si="1906">IF($C943&lt;&gt;"",IF(AH943&gt;0,1,0),0)</f>
        <v>0</v>
      </c>
      <c r="CX943">
        <f t="shared" si="1906"/>
        <v>0</v>
      </c>
      <c r="CY943">
        <f t="shared" si="1906"/>
        <v>0</v>
      </c>
      <c r="CZ943">
        <f t="shared" si="1906"/>
        <v>0</v>
      </c>
      <c r="DA943">
        <f t="shared" si="1906"/>
        <v>0</v>
      </c>
      <c r="DB943">
        <f t="shared" si="1906"/>
        <v>0</v>
      </c>
      <c r="DC943">
        <f t="shared" si="1906"/>
        <v>0</v>
      </c>
      <c r="DD943">
        <f t="shared" si="1906"/>
        <v>0</v>
      </c>
      <c r="DE943">
        <f t="shared" si="1906"/>
        <v>0</v>
      </c>
      <c r="DF943">
        <f t="shared" si="1906"/>
        <v>0</v>
      </c>
      <c r="DG943">
        <f t="shared" ref="DG943:DP945" si="1907">IF($C943&lt;&gt;"",IF(AR943&gt;0,1,0),0)</f>
        <v>0</v>
      </c>
      <c r="DH943">
        <f t="shared" si="1907"/>
        <v>0</v>
      </c>
      <c r="DI943">
        <f t="shared" si="1907"/>
        <v>0</v>
      </c>
      <c r="DJ943">
        <f t="shared" si="1907"/>
        <v>0</v>
      </c>
      <c r="DK943">
        <f t="shared" si="1907"/>
        <v>0</v>
      </c>
      <c r="DL943">
        <f t="shared" si="1907"/>
        <v>0</v>
      </c>
      <c r="DM943">
        <f t="shared" si="1907"/>
        <v>0</v>
      </c>
      <c r="DN943">
        <f t="shared" si="1907"/>
        <v>0</v>
      </c>
      <c r="DO943">
        <f t="shared" si="1907"/>
        <v>0</v>
      </c>
      <c r="DP943">
        <f t="shared" si="1907"/>
        <v>0</v>
      </c>
      <c r="DQ943">
        <f t="shared" ref="DQ943:DZ945" si="1908">IF($C943&lt;&gt;"",IF(BB943&gt;0,1,0),0)</f>
        <v>0</v>
      </c>
      <c r="DR943">
        <f t="shared" si="1908"/>
        <v>0</v>
      </c>
      <c r="DS943">
        <f t="shared" si="1908"/>
        <v>0</v>
      </c>
      <c r="DT943">
        <f t="shared" si="1908"/>
        <v>1</v>
      </c>
      <c r="DU943">
        <f t="shared" si="1908"/>
        <v>0</v>
      </c>
      <c r="DV943">
        <f t="shared" si="1908"/>
        <v>0</v>
      </c>
      <c r="DW943">
        <f t="shared" si="1908"/>
        <v>0</v>
      </c>
      <c r="DX943">
        <f t="shared" si="1908"/>
        <v>0</v>
      </c>
      <c r="DY943">
        <f t="shared" si="1908"/>
        <v>0</v>
      </c>
      <c r="DZ943">
        <f t="shared" si="1908"/>
        <v>0</v>
      </c>
      <c r="EA943">
        <f t="shared" ref="EA943:EF945" si="1909">IF($C943&lt;&gt;"",IF(BL943&gt;0,1,0),0)</f>
        <v>0</v>
      </c>
      <c r="EB943">
        <f t="shared" si="1909"/>
        <v>0</v>
      </c>
      <c r="EC943">
        <f t="shared" si="1909"/>
        <v>0</v>
      </c>
      <c r="ED943">
        <f t="shared" si="1909"/>
        <v>0</v>
      </c>
      <c r="EE943">
        <f t="shared" si="1909"/>
        <v>0</v>
      </c>
      <c r="EF943">
        <f t="shared" si="1909"/>
        <v>0</v>
      </c>
    </row>
    <row r="944" spans="1:136" ht="15.5">
      <c r="A944" s="90"/>
      <c r="B944" s="57" t="s">
        <v>3</v>
      </c>
      <c r="C944" s="8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>
        <v>0</v>
      </c>
      <c r="O944" s="18">
        <v>0</v>
      </c>
      <c r="P944" s="18">
        <v>0</v>
      </c>
      <c r="Q944" s="18">
        <v>0</v>
      </c>
      <c r="R944" s="18">
        <v>0</v>
      </c>
      <c r="S944" s="18">
        <v>0</v>
      </c>
      <c r="T944" s="18">
        <v>0</v>
      </c>
      <c r="U944" s="18">
        <v>0</v>
      </c>
      <c r="V944" s="18">
        <v>0</v>
      </c>
      <c r="W944" s="18">
        <v>0</v>
      </c>
      <c r="X944" s="18">
        <v>0</v>
      </c>
      <c r="Y944" s="18">
        <v>0</v>
      </c>
      <c r="Z944" s="18">
        <v>0</v>
      </c>
      <c r="AA944" s="18">
        <v>0</v>
      </c>
      <c r="AB944" s="18">
        <v>0</v>
      </c>
      <c r="AC944" s="18">
        <v>0</v>
      </c>
      <c r="AD944" s="18">
        <v>0</v>
      </c>
      <c r="AE944" s="18">
        <v>0</v>
      </c>
      <c r="AF944" s="18">
        <v>0</v>
      </c>
      <c r="AG944" s="18">
        <v>0</v>
      </c>
      <c r="AH944" s="18">
        <v>0</v>
      </c>
      <c r="AI944" s="18">
        <v>0</v>
      </c>
      <c r="AJ944" s="18">
        <v>0</v>
      </c>
      <c r="AK944" s="18">
        <v>0</v>
      </c>
      <c r="AL944" s="18">
        <v>0</v>
      </c>
      <c r="AM944" s="18">
        <v>0</v>
      </c>
      <c r="AN944" s="18">
        <v>0</v>
      </c>
      <c r="AO944" s="18">
        <v>0</v>
      </c>
      <c r="AP944" s="18">
        <v>0</v>
      </c>
      <c r="AQ944" s="18">
        <v>0</v>
      </c>
      <c r="AR944" s="18">
        <v>0</v>
      </c>
      <c r="AS944" s="18">
        <v>0</v>
      </c>
      <c r="AT944" s="18">
        <v>0</v>
      </c>
      <c r="AU944" s="18">
        <v>0</v>
      </c>
      <c r="AV944" s="18">
        <v>0</v>
      </c>
      <c r="AW944" s="18">
        <v>0</v>
      </c>
      <c r="AX944" s="18">
        <v>0</v>
      </c>
      <c r="AY944" s="18">
        <v>0</v>
      </c>
      <c r="AZ944" s="18">
        <v>0</v>
      </c>
      <c r="BA944" s="18">
        <v>0</v>
      </c>
      <c r="BB944" s="18">
        <v>0</v>
      </c>
      <c r="BC944" s="18">
        <v>0</v>
      </c>
      <c r="BD944" s="18">
        <v>0</v>
      </c>
      <c r="BE944" s="25">
        <v>52712</v>
      </c>
      <c r="BF944" s="18">
        <v>0</v>
      </c>
      <c r="BG944" s="18">
        <v>0</v>
      </c>
      <c r="BH944" s="18">
        <v>0</v>
      </c>
      <c r="BI944" s="18">
        <v>0</v>
      </c>
      <c r="BJ944" s="113">
        <v>0</v>
      </c>
      <c r="BK944" s="113">
        <v>0</v>
      </c>
      <c r="BL944" s="113">
        <v>0</v>
      </c>
      <c r="BM944" s="113">
        <v>0</v>
      </c>
      <c r="BN944" s="113">
        <v>0</v>
      </c>
      <c r="BO944" s="113">
        <v>0</v>
      </c>
      <c r="BP944" s="113">
        <v>0</v>
      </c>
      <c r="BQ944" s="113">
        <v>0</v>
      </c>
      <c r="BR944" s="101"/>
      <c r="BS944">
        <f t="shared" si="1903"/>
        <v>0</v>
      </c>
      <c r="BT944">
        <f t="shared" si="1903"/>
        <v>0</v>
      </c>
      <c r="BU944">
        <f t="shared" si="1903"/>
        <v>0</v>
      </c>
      <c r="BV944">
        <f t="shared" si="1903"/>
        <v>0</v>
      </c>
      <c r="BW944">
        <f t="shared" si="1903"/>
        <v>0</v>
      </c>
      <c r="BX944">
        <f t="shared" si="1903"/>
        <v>0</v>
      </c>
      <c r="BY944">
        <f t="shared" si="1903"/>
        <v>0</v>
      </c>
      <c r="BZ944">
        <f t="shared" si="1903"/>
        <v>0</v>
      </c>
      <c r="CA944">
        <f t="shared" si="1903"/>
        <v>0</v>
      </c>
      <c r="CB944">
        <f t="shared" si="1903"/>
        <v>0</v>
      </c>
      <c r="CC944">
        <f t="shared" si="1904"/>
        <v>0</v>
      </c>
      <c r="CD944">
        <f t="shared" si="1904"/>
        <v>0</v>
      </c>
      <c r="CE944">
        <f t="shared" si="1904"/>
        <v>0</v>
      </c>
      <c r="CF944">
        <f t="shared" si="1904"/>
        <v>0</v>
      </c>
      <c r="CG944">
        <f t="shared" si="1904"/>
        <v>0</v>
      </c>
      <c r="CH944">
        <f t="shared" si="1904"/>
        <v>0</v>
      </c>
      <c r="CI944">
        <f t="shared" si="1904"/>
        <v>0</v>
      </c>
      <c r="CJ944">
        <f t="shared" si="1904"/>
        <v>0</v>
      </c>
      <c r="CK944">
        <f t="shared" si="1904"/>
        <v>0</v>
      </c>
      <c r="CL944">
        <f t="shared" si="1904"/>
        <v>0</v>
      </c>
      <c r="CM944">
        <f t="shared" si="1905"/>
        <v>0</v>
      </c>
      <c r="CN944">
        <f t="shared" si="1905"/>
        <v>0</v>
      </c>
      <c r="CO944">
        <f t="shared" si="1905"/>
        <v>0</v>
      </c>
      <c r="CP944">
        <f t="shared" si="1905"/>
        <v>0</v>
      </c>
      <c r="CQ944">
        <f t="shared" si="1905"/>
        <v>0</v>
      </c>
      <c r="CR944">
        <f t="shared" si="1905"/>
        <v>0</v>
      </c>
      <c r="CS944">
        <f t="shared" si="1905"/>
        <v>0</v>
      </c>
      <c r="CT944">
        <f t="shared" si="1905"/>
        <v>0</v>
      </c>
      <c r="CU944">
        <f t="shared" si="1905"/>
        <v>0</v>
      </c>
      <c r="CV944">
        <f t="shared" si="1905"/>
        <v>0</v>
      </c>
      <c r="CW944">
        <f t="shared" si="1906"/>
        <v>0</v>
      </c>
      <c r="CX944">
        <f t="shared" si="1906"/>
        <v>0</v>
      </c>
      <c r="CY944">
        <f t="shared" si="1906"/>
        <v>0</v>
      </c>
      <c r="CZ944">
        <f t="shared" si="1906"/>
        <v>0</v>
      </c>
      <c r="DA944">
        <f t="shared" si="1906"/>
        <v>0</v>
      </c>
      <c r="DB944">
        <f t="shared" si="1906"/>
        <v>0</v>
      </c>
      <c r="DC944">
        <f t="shared" si="1906"/>
        <v>0</v>
      </c>
      <c r="DD944">
        <f t="shared" si="1906"/>
        <v>0</v>
      </c>
      <c r="DE944">
        <f t="shared" si="1906"/>
        <v>0</v>
      </c>
      <c r="DF944">
        <f t="shared" si="1906"/>
        <v>0</v>
      </c>
      <c r="DG944">
        <f t="shared" si="1907"/>
        <v>0</v>
      </c>
      <c r="DH944">
        <f t="shared" si="1907"/>
        <v>0</v>
      </c>
      <c r="DI944">
        <f t="shared" si="1907"/>
        <v>0</v>
      </c>
      <c r="DJ944">
        <f t="shared" si="1907"/>
        <v>0</v>
      </c>
      <c r="DK944">
        <f t="shared" si="1907"/>
        <v>0</v>
      </c>
      <c r="DL944">
        <f t="shared" si="1907"/>
        <v>0</v>
      </c>
      <c r="DM944">
        <f t="shared" si="1907"/>
        <v>0</v>
      </c>
      <c r="DN944">
        <f t="shared" si="1907"/>
        <v>0</v>
      </c>
      <c r="DO944">
        <f t="shared" si="1907"/>
        <v>0</v>
      </c>
      <c r="DP944">
        <f t="shared" si="1907"/>
        <v>0</v>
      </c>
      <c r="DQ944">
        <f t="shared" si="1908"/>
        <v>0</v>
      </c>
      <c r="DR944">
        <f t="shared" si="1908"/>
        <v>0</v>
      </c>
      <c r="DS944">
        <f t="shared" si="1908"/>
        <v>0</v>
      </c>
      <c r="DT944">
        <f t="shared" si="1908"/>
        <v>0</v>
      </c>
      <c r="DU944">
        <f t="shared" si="1908"/>
        <v>0</v>
      </c>
      <c r="DV944">
        <f t="shared" si="1908"/>
        <v>0</v>
      </c>
      <c r="DW944">
        <f t="shared" si="1908"/>
        <v>0</v>
      </c>
      <c r="DX944">
        <f t="shared" si="1908"/>
        <v>0</v>
      </c>
      <c r="DY944">
        <f t="shared" si="1908"/>
        <v>0</v>
      </c>
      <c r="DZ944">
        <f t="shared" si="1908"/>
        <v>0</v>
      </c>
      <c r="EA944">
        <f t="shared" si="1909"/>
        <v>0</v>
      </c>
      <c r="EB944">
        <f t="shared" si="1909"/>
        <v>0</v>
      </c>
      <c r="EC944">
        <f t="shared" si="1909"/>
        <v>0</v>
      </c>
      <c r="ED944">
        <f t="shared" si="1909"/>
        <v>0</v>
      </c>
      <c r="EE944">
        <f t="shared" si="1909"/>
        <v>0</v>
      </c>
      <c r="EF944">
        <f t="shared" si="1909"/>
        <v>0</v>
      </c>
    </row>
    <row r="945" spans="1:136" ht="15.5">
      <c r="A945" s="90"/>
      <c r="B945" s="57" t="s">
        <v>212</v>
      </c>
      <c r="C945" s="8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>
        <v>0</v>
      </c>
      <c r="AI945" s="18">
        <v>0</v>
      </c>
      <c r="AJ945" s="18">
        <v>0</v>
      </c>
      <c r="AK945" s="18">
        <v>0</v>
      </c>
      <c r="AL945" s="18">
        <v>0</v>
      </c>
      <c r="AM945" s="18">
        <v>0</v>
      </c>
      <c r="AN945" s="18">
        <v>0</v>
      </c>
      <c r="AO945" s="18">
        <v>0</v>
      </c>
      <c r="AP945" s="18">
        <v>0</v>
      </c>
      <c r="AQ945" s="18">
        <v>0</v>
      </c>
      <c r="AR945" s="18">
        <v>0</v>
      </c>
      <c r="AS945" s="18">
        <v>0</v>
      </c>
      <c r="AT945" s="18">
        <v>0</v>
      </c>
      <c r="AU945" s="18">
        <v>0</v>
      </c>
      <c r="AV945" s="18">
        <v>0</v>
      </c>
      <c r="AW945" s="18">
        <v>0</v>
      </c>
      <c r="AX945" s="18">
        <v>0</v>
      </c>
      <c r="AY945" s="18">
        <v>0</v>
      </c>
      <c r="AZ945" s="18">
        <f>5600*1.47</f>
        <v>8232</v>
      </c>
      <c r="BA945" s="155">
        <f>6500*1.44</f>
        <v>9360</v>
      </c>
      <c r="BB945" s="147">
        <f>8500*1.34</f>
        <v>11390</v>
      </c>
      <c r="BC945" s="18">
        <f>5300*1.27</f>
        <v>6731</v>
      </c>
      <c r="BD945" s="18">
        <f>3800*1.29</f>
        <v>4902</v>
      </c>
      <c r="BE945" s="25">
        <f>3294*1.37</f>
        <v>4512.7800000000007</v>
      </c>
      <c r="BF945" s="18">
        <v>3094</v>
      </c>
      <c r="BG945" s="72">
        <v>1994</v>
      </c>
      <c r="BH945" s="18">
        <v>1694</v>
      </c>
      <c r="BI945" s="18">
        <f>1800*0.83</f>
        <v>1494</v>
      </c>
      <c r="BJ945" s="113">
        <v>0</v>
      </c>
      <c r="BK945" s="113">
        <v>0</v>
      </c>
      <c r="BL945" s="113">
        <v>0</v>
      </c>
      <c r="BM945" s="113">
        <v>0</v>
      </c>
      <c r="BN945" s="113">
        <v>0</v>
      </c>
      <c r="BO945" s="113">
        <v>0</v>
      </c>
      <c r="BP945" s="113">
        <v>0</v>
      </c>
      <c r="BQ945" s="113">
        <v>0</v>
      </c>
      <c r="BR945" s="101"/>
      <c r="BS945">
        <f t="shared" si="1903"/>
        <v>0</v>
      </c>
      <c r="BT945">
        <f t="shared" si="1903"/>
        <v>0</v>
      </c>
      <c r="BU945">
        <f t="shared" si="1903"/>
        <v>0</v>
      </c>
      <c r="BV945">
        <f t="shared" si="1903"/>
        <v>0</v>
      </c>
      <c r="BW945">
        <f t="shared" si="1903"/>
        <v>0</v>
      </c>
      <c r="BX945">
        <f t="shared" si="1903"/>
        <v>0</v>
      </c>
      <c r="BY945">
        <f t="shared" si="1903"/>
        <v>0</v>
      </c>
      <c r="BZ945">
        <f t="shared" si="1903"/>
        <v>0</v>
      </c>
      <c r="CA945">
        <f t="shared" si="1903"/>
        <v>0</v>
      </c>
      <c r="CB945">
        <f t="shared" si="1903"/>
        <v>0</v>
      </c>
      <c r="CC945">
        <f t="shared" si="1904"/>
        <v>0</v>
      </c>
      <c r="CD945">
        <f t="shared" si="1904"/>
        <v>0</v>
      </c>
      <c r="CE945">
        <f t="shared" si="1904"/>
        <v>0</v>
      </c>
      <c r="CF945">
        <f t="shared" si="1904"/>
        <v>0</v>
      </c>
      <c r="CG945">
        <f t="shared" si="1904"/>
        <v>0</v>
      </c>
      <c r="CH945">
        <f t="shared" si="1904"/>
        <v>0</v>
      </c>
      <c r="CI945">
        <f t="shared" si="1904"/>
        <v>0</v>
      </c>
      <c r="CJ945">
        <f t="shared" si="1904"/>
        <v>0</v>
      </c>
      <c r="CK945">
        <f t="shared" si="1904"/>
        <v>0</v>
      </c>
      <c r="CL945">
        <f t="shared" si="1904"/>
        <v>0</v>
      </c>
      <c r="CM945">
        <f t="shared" si="1905"/>
        <v>0</v>
      </c>
      <c r="CN945">
        <f t="shared" si="1905"/>
        <v>0</v>
      </c>
      <c r="CO945">
        <f t="shared" si="1905"/>
        <v>0</v>
      </c>
      <c r="CP945">
        <f t="shared" si="1905"/>
        <v>0</v>
      </c>
      <c r="CQ945">
        <f t="shared" si="1905"/>
        <v>0</v>
      </c>
      <c r="CR945">
        <f t="shared" si="1905"/>
        <v>0</v>
      </c>
      <c r="CS945">
        <f t="shared" si="1905"/>
        <v>0</v>
      </c>
      <c r="CT945">
        <f t="shared" si="1905"/>
        <v>0</v>
      </c>
      <c r="CU945">
        <f t="shared" si="1905"/>
        <v>0</v>
      </c>
      <c r="CV945">
        <f t="shared" si="1905"/>
        <v>0</v>
      </c>
      <c r="CW945">
        <f t="shared" si="1906"/>
        <v>0</v>
      </c>
      <c r="CX945">
        <f t="shared" si="1906"/>
        <v>0</v>
      </c>
      <c r="CY945">
        <f t="shared" si="1906"/>
        <v>0</v>
      </c>
      <c r="CZ945">
        <f t="shared" si="1906"/>
        <v>0</v>
      </c>
      <c r="DA945">
        <f t="shared" si="1906"/>
        <v>0</v>
      </c>
      <c r="DB945">
        <f t="shared" si="1906"/>
        <v>0</v>
      </c>
      <c r="DC945">
        <f t="shared" si="1906"/>
        <v>0</v>
      </c>
      <c r="DD945">
        <f t="shared" si="1906"/>
        <v>0</v>
      </c>
      <c r="DE945">
        <f t="shared" si="1906"/>
        <v>0</v>
      </c>
      <c r="DF945">
        <f t="shared" si="1906"/>
        <v>0</v>
      </c>
      <c r="DG945">
        <f t="shared" si="1907"/>
        <v>0</v>
      </c>
      <c r="DH945">
        <f t="shared" si="1907"/>
        <v>0</v>
      </c>
      <c r="DI945">
        <f t="shared" si="1907"/>
        <v>0</v>
      </c>
      <c r="DJ945">
        <f t="shared" si="1907"/>
        <v>0</v>
      </c>
      <c r="DK945">
        <f t="shared" si="1907"/>
        <v>0</v>
      </c>
      <c r="DL945">
        <f t="shared" si="1907"/>
        <v>0</v>
      </c>
      <c r="DM945">
        <f t="shared" si="1907"/>
        <v>0</v>
      </c>
      <c r="DN945">
        <f t="shared" si="1907"/>
        <v>0</v>
      </c>
      <c r="DO945">
        <f t="shared" si="1907"/>
        <v>0</v>
      </c>
      <c r="DP945">
        <f t="shared" si="1907"/>
        <v>0</v>
      </c>
      <c r="DQ945">
        <f t="shared" si="1908"/>
        <v>0</v>
      </c>
      <c r="DR945">
        <f t="shared" si="1908"/>
        <v>0</v>
      </c>
      <c r="DS945">
        <f t="shared" si="1908"/>
        <v>0</v>
      </c>
      <c r="DT945">
        <f t="shared" si="1908"/>
        <v>0</v>
      </c>
      <c r="DU945">
        <f t="shared" si="1908"/>
        <v>0</v>
      </c>
      <c r="DV945">
        <f t="shared" si="1908"/>
        <v>0</v>
      </c>
      <c r="DW945">
        <f t="shared" si="1908"/>
        <v>0</v>
      </c>
      <c r="DX945">
        <f t="shared" si="1908"/>
        <v>0</v>
      </c>
      <c r="DY945">
        <f t="shared" si="1908"/>
        <v>0</v>
      </c>
      <c r="DZ945">
        <f t="shared" si="1908"/>
        <v>0</v>
      </c>
      <c r="EA945">
        <f t="shared" si="1909"/>
        <v>0</v>
      </c>
      <c r="EB945">
        <f t="shared" si="1909"/>
        <v>0</v>
      </c>
      <c r="EC945">
        <f t="shared" si="1909"/>
        <v>0</v>
      </c>
      <c r="ED945">
        <f t="shared" si="1909"/>
        <v>0</v>
      </c>
      <c r="EE945">
        <f t="shared" si="1909"/>
        <v>0</v>
      </c>
      <c r="EF945">
        <f t="shared" si="1909"/>
        <v>0</v>
      </c>
    </row>
    <row r="946" spans="1:136" ht="15.5">
      <c r="A946" s="90"/>
      <c r="B946" s="37"/>
      <c r="C946" s="94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  <c r="AS946" s="18"/>
      <c r="AT946" s="18"/>
      <c r="AU946" s="18"/>
      <c r="AV946" s="18"/>
      <c r="AW946" s="18"/>
      <c r="AX946" s="18"/>
      <c r="AY946" s="18"/>
      <c r="AZ946" s="18"/>
      <c r="BA946" s="18"/>
      <c r="BB946" s="18"/>
      <c r="BC946" s="20"/>
      <c r="BD946" s="20"/>
      <c r="BE946" s="25"/>
      <c r="BF946" s="18"/>
      <c r="BG946" s="18"/>
      <c r="BH946" s="113"/>
      <c r="BI946" s="18"/>
      <c r="BJ946" s="113"/>
      <c r="BK946" s="2"/>
      <c r="BL946" s="4"/>
      <c r="BM946" s="2"/>
      <c r="BN946" s="2"/>
      <c r="BO946" s="2"/>
      <c r="BP946" s="2"/>
      <c r="BQ946" s="2"/>
      <c r="BR946" s="101"/>
    </row>
    <row r="947" spans="1:136" ht="15.5">
      <c r="A947" s="93">
        <v>119</v>
      </c>
      <c r="B947" s="80" t="s">
        <v>120</v>
      </c>
      <c r="C947" s="94">
        <v>1</v>
      </c>
      <c r="D947" s="22">
        <v>0</v>
      </c>
      <c r="E947" s="22">
        <v>0</v>
      </c>
      <c r="F947" s="22">
        <v>0</v>
      </c>
      <c r="G947" s="22">
        <v>0</v>
      </c>
      <c r="H947" s="22">
        <v>0</v>
      </c>
      <c r="I947" s="22">
        <v>0</v>
      </c>
      <c r="J947" s="22">
        <v>0</v>
      </c>
      <c r="K947" s="22">
        <v>0</v>
      </c>
      <c r="L947" s="22">
        <v>0</v>
      </c>
      <c r="M947" s="22">
        <v>0</v>
      </c>
      <c r="N947" s="22">
        <v>0</v>
      </c>
      <c r="O947" s="22">
        <v>0</v>
      </c>
      <c r="P947" s="22">
        <v>0</v>
      </c>
      <c r="Q947" s="22">
        <v>0</v>
      </c>
      <c r="R947" s="22">
        <v>0</v>
      </c>
      <c r="S947" s="22">
        <v>0</v>
      </c>
      <c r="T947" s="22">
        <v>0</v>
      </c>
      <c r="U947" s="22">
        <v>0</v>
      </c>
      <c r="V947" s="22">
        <v>0</v>
      </c>
      <c r="W947" s="22">
        <v>0</v>
      </c>
      <c r="X947" s="22">
        <v>0</v>
      </c>
      <c r="Y947" s="22">
        <v>0</v>
      </c>
      <c r="Z947" s="22">
        <v>0</v>
      </c>
      <c r="AA947" s="22">
        <v>0</v>
      </c>
      <c r="AB947" s="22">
        <v>0</v>
      </c>
      <c r="AC947" s="22">
        <v>0</v>
      </c>
      <c r="AD947" s="22">
        <v>0</v>
      </c>
      <c r="AE947" s="22">
        <v>0</v>
      </c>
      <c r="AF947" s="22">
        <v>0</v>
      </c>
      <c r="AG947" s="22">
        <v>0</v>
      </c>
      <c r="AH947" s="22">
        <v>0</v>
      </c>
      <c r="AI947" s="22">
        <v>0</v>
      </c>
      <c r="AJ947" s="22">
        <v>0</v>
      </c>
      <c r="AK947" s="22">
        <v>0</v>
      </c>
      <c r="AL947" s="22">
        <v>0</v>
      </c>
      <c r="AM947" s="22">
        <v>0</v>
      </c>
      <c r="AN947" s="22">
        <v>0</v>
      </c>
      <c r="AO947" s="22">
        <v>0</v>
      </c>
      <c r="AP947" s="22">
        <v>0</v>
      </c>
      <c r="AQ947" s="22">
        <v>0</v>
      </c>
      <c r="AR947" s="22">
        <v>0</v>
      </c>
      <c r="AS947" s="22">
        <v>0</v>
      </c>
      <c r="AT947" s="22">
        <v>0</v>
      </c>
      <c r="AU947" s="22">
        <v>0</v>
      </c>
      <c r="AV947" s="22">
        <v>0</v>
      </c>
      <c r="AW947" s="22">
        <v>0</v>
      </c>
      <c r="AX947" s="22">
        <v>0</v>
      </c>
      <c r="AY947" s="22">
        <v>0</v>
      </c>
      <c r="AZ947" s="22">
        <v>0</v>
      </c>
      <c r="BA947" s="22">
        <v>0</v>
      </c>
      <c r="BB947" s="22">
        <v>0</v>
      </c>
      <c r="BC947" s="22">
        <v>0</v>
      </c>
      <c r="BD947" s="22">
        <v>0</v>
      </c>
      <c r="BE947" s="22">
        <v>0</v>
      </c>
      <c r="BF947" s="22">
        <v>0</v>
      </c>
      <c r="BG947" s="22">
        <f t="shared" ref="BG947:BQ947" si="1910">BG948</f>
        <v>1103</v>
      </c>
      <c r="BH947" s="22">
        <f t="shared" si="1910"/>
        <v>25904</v>
      </c>
      <c r="BI947" s="22">
        <f t="shared" si="1910"/>
        <v>46602</v>
      </c>
      <c r="BJ947" s="4">
        <f t="shared" si="1910"/>
        <v>49951</v>
      </c>
      <c r="BK947" s="4">
        <f t="shared" si="1910"/>
        <v>53300</v>
      </c>
      <c r="BL947" s="4">
        <f t="shared" si="1910"/>
        <v>56649</v>
      </c>
      <c r="BM947" s="4">
        <f t="shared" si="1910"/>
        <v>59998</v>
      </c>
      <c r="BN947" s="4">
        <f t="shared" si="1910"/>
        <v>61226</v>
      </c>
      <c r="BO947" s="4">
        <f t="shared" si="1910"/>
        <v>0</v>
      </c>
      <c r="BP947" s="4">
        <f t="shared" si="1910"/>
        <v>0</v>
      </c>
      <c r="BQ947" s="4">
        <f t="shared" si="1910"/>
        <v>0</v>
      </c>
      <c r="BR947" s="101"/>
      <c r="BS947">
        <f t="shared" ref="BS947:CX947" si="1911">IF($C947&lt;&gt;"",IF(D947&gt;0,1,0),0)</f>
        <v>0</v>
      </c>
      <c r="BT947">
        <f t="shared" si="1911"/>
        <v>0</v>
      </c>
      <c r="BU947">
        <f t="shared" si="1911"/>
        <v>0</v>
      </c>
      <c r="BV947">
        <f t="shared" si="1911"/>
        <v>0</v>
      </c>
      <c r="BW947">
        <f t="shared" si="1911"/>
        <v>0</v>
      </c>
      <c r="BX947">
        <f t="shared" si="1911"/>
        <v>0</v>
      </c>
      <c r="BY947">
        <f t="shared" si="1911"/>
        <v>0</v>
      </c>
      <c r="BZ947">
        <f t="shared" si="1911"/>
        <v>0</v>
      </c>
      <c r="CA947">
        <f t="shared" si="1911"/>
        <v>0</v>
      </c>
      <c r="CB947">
        <f t="shared" si="1911"/>
        <v>0</v>
      </c>
      <c r="CC947">
        <f t="shared" si="1911"/>
        <v>0</v>
      </c>
      <c r="CD947">
        <f t="shared" si="1911"/>
        <v>0</v>
      </c>
      <c r="CE947">
        <f t="shared" si="1911"/>
        <v>0</v>
      </c>
      <c r="CF947">
        <f t="shared" si="1911"/>
        <v>0</v>
      </c>
      <c r="CG947">
        <f t="shared" si="1911"/>
        <v>0</v>
      </c>
      <c r="CH947">
        <f t="shared" si="1911"/>
        <v>0</v>
      </c>
      <c r="CI947">
        <f t="shared" si="1911"/>
        <v>0</v>
      </c>
      <c r="CJ947">
        <f t="shared" si="1911"/>
        <v>0</v>
      </c>
      <c r="CK947">
        <f t="shared" si="1911"/>
        <v>0</v>
      </c>
      <c r="CL947">
        <f t="shared" si="1911"/>
        <v>0</v>
      </c>
      <c r="CM947">
        <f t="shared" si="1911"/>
        <v>0</v>
      </c>
      <c r="CN947">
        <f t="shared" si="1911"/>
        <v>0</v>
      </c>
      <c r="CO947">
        <f t="shared" si="1911"/>
        <v>0</v>
      </c>
      <c r="CP947">
        <f t="shared" si="1911"/>
        <v>0</v>
      </c>
      <c r="CQ947">
        <f t="shared" si="1911"/>
        <v>0</v>
      </c>
      <c r="CR947">
        <f t="shared" si="1911"/>
        <v>0</v>
      </c>
      <c r="CS947">
        <f t="shared" si="1911"/>
        <v>0</v>
      </c>
      <c r="CT947">
        <f t="shared" si="1911"/>
        <v>0</v>
      </c>
      <c r="CU947">
        <f t="shared" si="1911"/>
        <v>0</v>
      </c>
      <c r="CV947">
        <f t="shared" si="1911"/>
        <v>0</v>
      </c>
      <c r="CW947">
        <f t="shared" si="1911"/>
        <v>0</v>
      </c>
      <c r="CX947">
        <f t="shared" si="1911"/>
        <v>0</v>
      </c>
      <c r="CY947">
        <f t="shared" ref="CY947:ED947" si="1912">IF($C947&lt;&gt;"",IF(AJ947&gt;0,1,0),0)</f>
        <v>0</v>
      </c>
      <c r="CZ947">
        <f t="shared" si="1912"/>
        <v>0</v>
      </c>
      <c r="DA947">
        <f t="shared" si="1912"/>
        <v>0</v>
      </c>
      <c r="DB947">
        <f t="shared" si="1912"/>
        <v>0</v>
      </c>
      <c r="DC947">
        <f t="shared" si="1912"/>
        <v>0</v>
      </c>
      <c r="DD947">
        <f t="shared" si="1912"/>
        <v>0</v>
      </c>
      <c r="DE947">
        <f t="shared" si="1912"/>
        <v>0</v>
      </c>
      <c r="DF947">
        <f t="shared" si="1912"/>
        <v>0</v>
      </c>
      <c r="DG947">
        <f t="shared" si="1912"/>
        <v>0</v>
      </c>
      <c r="DH947">
        <f t="shared" si="1912"/>
        <v>0</v>
      </c>
      <c r="DI947">
        <f t="shared" si="1912"/>
        <v>0</v>
      </c>
      <c r="DJ947">
        <f t="shared" si="1912"/>
        <v>0</v>
      </c>
      <c r="DK947">
        <f t="shared" si="1912"/>
        <v>0</v>
      </c>
      <c r="DL947">
        <f t="shared" si="1912"/>
        <v>0</v>
      </c>
      <c r="DM947">
        <f t="shared" si="1912"/>
        <v>0</v>
      </c>
      <c r="DN947">
        <f t="shared" si="1912"/>
        <v>0</v>
      </c>
      <c r="DO947">
        <f t="shared" si="1912"/>
        <v>0</v>
      </c>
      <c r="DP947">
        <f t="shared" si="1912"/>
        <v>0</v>
      </c>
      <c r="DQ947">
        <f t="shared" si="1912"/>
        <v>0</v>
      </c>
      <c r="DR947">
        <f t="shared" si="1912"/>
        <v>0</v>
      </c>
      <c r="DS947">
        <f t="shared" si="1912"/>
        <v>0</v>
      </c>
      <c r="DT947">
        <f t="shared" si="1912"/>
        <v>0</v>
      </c>
      <c r="DU947">
        <f t="shared" si="1912"/>
        <v>0</v>
      </c>
      <c r="DV947">
        <f t="shared" si="1912"/>
        <v>1</v>
      </c>
      <c r="DW947">
        <f t="shared" si="1912"/>
        <v>1</v>
      </c>
      <c r="DX947">
        <f t="shared" si="1912"/>
        <v>1</v>
      </c>
      <c r="DY947">
        <f t="shared" si="1912"/>
        <v>1</v>
      </c>
      <c r="DZ947">
        <f t="shared" si="1912"/>
        <v>1</v>
      </c>
      <c r="EA947">
        <f t="shared" si="1912"/>
        <v>1</v>
      </c>
      <c r="EB947">
        <f t="shared" si="1912"/>
        <v>1</v>
      </c>
      <c r="EC947">
        <f t="shared" si="1912"/>
        <v>1</v>
      </c>
      <c r="ED947">
        <f t="shared" si="1912"/>
        <v>0</v>
      </c>
      <c r="EE947">
        <f t="shared" ref="EE947:EF947" si="1913">IF($C947&lt;&gt;"",IF(BP947&gt;0,1,0),0)</f>
        <v>0</v>
      </c>
      <c r="EF947">
        <f t="shared" si="1913"/>
        <v>0</v>
      </c>
    </row>
    <row r="948" spans="1:136" ht="15.5">
      <c r="A948" s="90"/>
      <c r="B948" s="53" t="s">
        <v>25</v>
      </c>
      <c r="C948" s="94"/>
      <c r="D948" s="18">
        <v>0</v>
      </c>
      <c r="E948" s="18">
        <v>0</v>
      </c>
      <c r="F948" s="18">
        <v>0</v>
      </c>
      <c r="G948" s="18">
        <v>0</v>
      </c>
      <c r="H948" s="18">
        <v>0</v>
      </c>
      <c r="I948" s="18">
        <v>0</v>
      </c>
      <c r="J948" s="18">
        <v>0</v>
      </c>
      <c r="K948" s="18">
        <v>0</v>
      </c>
      <c r="L948" s="18">
        <v>0</v>
      </c>
      <c r="M948" s="18">
        <v>0</v>
      </c>
      <c r="N948" s="18">
        <v>0</v>
      </c>
      <c r="O948" s="18">
        <v>0</v>
      </c>
      <c r="P948" s="18">
        <v>0</v>
      </c>
      <c r="Q948" s="18">
        <v>0</v>
      </c>
      <c r="R948" s="18">
        <v>0</v>
      </c>
      <c r="S948" s="18">
        <v>0</v>
      </c>
      <c r="T948" s="18">
        <v>0</v>
      </c>
      <c r="U948" s="18">
        <v>0</v>
      </c>
      <c r="V948" s="18">
        <v>0</v>
      </c>
      <c r="W948" s="18">
        <v>0</v>
      </c>
      <c r="X948" s="18">
        <v>0</v>
      </c>
      <c r="Y948" s="18">
        <v>0</v>
      </c>
      <c r="Z948" s="18">
        <v>0</v>
      </c>
      <c r="AA948" s="18">
        <v>0</v>
      </c>
      <c r="AB948" s="18">
        <v>0</v>
      </c>
      <c r="AC948" s="18">
        <v>0</v>
      </c>
      <c r="AD948" s="18">
        <v>0</v>
      </c>
      <c r="AE948" s="18">
        <v>0</v>
      </c>
      <c r="AF948" s="18">
        <v>0</v>
      </c>
      <c r="AG948" s="18">
        <v>0</v>
      </c>
      <c r="AH948" s="18">
        <v>0</v>
      </c>
      <c r="AI948" s="18">
        <v>0</v>
      </c>
      <c r="AJ948" s="18">
        <v>0</v>
      </c>
      <c r="AK948" s="18">
        <v>0</v>
      </c>
      <c r="AL948" s="18">
        <v>0</v>
      </c>
      <c r="AM948" s="18">
        <v>0</v>
      </c>
      <c r="AN948" s="18">
        <v>0</v>
      </c>
      <c r="AO948" s="18">
        <v>0</v>
      </c>
      <c r="AP948" s="18">
        <v>0</v>
      </c>
      <c r="AQ948" s="18">
        <v>0</v>
      </c>
      <c r="AR948" s="18">
        <v>0</v>
      </c>
      <c r="AS948" s="18">
        <v>0</v>
      </c>
      <c r="AT948" s="18">
        <v>0</v>
      </c>
      <c r="AU948" s="18">
        <v>0</v>
      </c>
      <c r="AV948" s="18">
        <v>0</v>
      </c>
      <c r="AW948" s="18">
        <v>0</v>
      </c>
      <c r="AX948" s="18">
        <v>0</v>
      </c>
      <c r="AY948" s="18">
        <v>0</v>
      </c>
      <c r="AZ948" s="18">
        <v>0</v>
      </c>
      <c r="BA948" s="18">
        <v>0</v>
      </c>
      <c r="BB948" s="18">
        <v>0</v>
      </c>
      <c r="BC948" s="18">
        <v>0</v>
      </c>
      <c r="BD948" s="18">
        <v>0</v>
      </c>
      <c r="BE948" s="18">
        <v>0</v>
      </c>
      <c r="BF948" s="18">
        <v>0</v>
      </c>
      <c r="BG948" s="18">
        <v>1103</v>
      </c>
      <c r="BH948" s="18">
        <v>25904</v>
      </c>
      <c r="BI948" s="18">
        <f>43062+591+530+2419</f>
        <v>46602</v>
      </c>
      <c r="BJ948" s="34">
        <f>BI948+535+505+2309</f>
        <v>49951</v>
      </c>
      <c r="BK948" s="113">
        <v>53300</v>
      </c>
      <c r="BL948" s="113">
        <v>56649</v>
      </c>
      <c r="BM948" s="113">
        <v>59998</v>
      </c>
      <c r="BN948" s="113">
        <v>61226</v>
      </c>
      <c r="BO948" s="113">
        <v>0</v>
      </c>
      <c r="BP948" s="113">
        <v>0</v>
      </c>
      <c r="BQ948" s="113">
        <v>0</v>
      </c>
      <c r="BR948" s="101"/>
      <c r="BS948">
        <f t="shared" ref="BS948:CX948" si="1914">IF($C948&lt;&gt;"",IF(D948&gt;0,1,0),0)</f>
        <v>0</v>
      </c>
      <c r="BT948">
        <f t="shared" si="1914"/>
        <v>0</v>
      </c>
      <c r="BU948">
        <f t="shared" si="1914"/>
        <v>0</v>
      </c>
      <c r="BV948">
        <f t="shared" si="1914"/>
        <v>0</v>
      </c>
      <c r="BW948">
        <f t="shared" si="1914"/>
        <v>0</v>
      </c>
      <c r="BX948">
        <f t="shared" si="1914"/>
        <v>0</v>
      </c>
      <c r="BY948">
        <f t="shared" si="1914"/>
        <v>0</v>
      </c>
      <c r="BZ948">
        <f t="shared" si="1914"/>
        <v>0</v>
      </c>
      <c r="CA948">
        <f t="shared" si="1914"/>
        <v>0</v>
      </c>
      <c r="CB948">
        <f t="shared" si="1914"/>
        <v>0</v>
      </c>
      <c r="CC948">
        <f t="shared" si="1914"/>
        <v>0</v>
      </c>
      <c r="CD948">
        <f t="shared" si="1914"/>
        <v>0</v>
      </c>
      <c r="CE948">
        <f t="shared" si="1914"/>
        <v>0</v>
      </c>
      <c r="CF948">
        <f t="shared" si="1914"/>
        <v>0</v>
      </c>
      <c r="CG948">
        <f t="shared" si="1914"/>
        <v>0</v>
      </c>
      <c r="CH948">
        <f t="shared" si="1914"/>
        <v>0</v>
      </c>
      <c r="CI948">
        <f t="shared" si="1914"/>
        <v>0</v>
      </c>
      <c r="CJ948">
        <f t="shared" si="1914"/>
        <v>0</v>
      </c>
      <c r="CK948">
        <f t="shared" si="1914"/>
        <v>0</v>
      </c>
      <c r="CL948">
        <f t="shared" si="1914"/>
        <v>0</v>
      </c>
      <c r="CM948">
        <f t="shared" si="1914"/>
        <v>0</v>
      </c>
      <c r="CN948">
        <f t="shared" si="1914"/>
        <v>0</v>
      </c>
      <c r="CO948">
        <f t="shared" si="1914"/>
        <v>0</v>
      </c>
      <c r="CP948">
        <f t="shared" si="1914"/>
        <v>0</v>
      </c>
      <c r="CQ948">
        <f t="shared" si="1914"/>
        <v>0</v>
      </c>
      <c r="CR948">
        <f t="shared" si="1914"/>
        <v>0</v>
      </c>
      <c r="CS948">
        <f t="shared" si="1914"/>
        <v>0</v>
      </c>
      <c r="CT948">
        <f t="shared" si="1914"/>
        <v>0</v>
      </c>
      <c r="CU948">
        <f t="shared" si="1914"/>
        <v>0</v>
      </c>
      <c r="CV948">
        <f t="shared" si="1914"/>
        <v>0</v>
      </c>
      <c r="CW948">
        <f t="shared" si="1914"/>
        <v>0</v>
      </c>
      <c r="CX948">
        <f t="shared" si="1914"/>
        <v>0</v>
      </c>
      <c r="CY948">
        <f t="shared" ref="CY948:DZ948" si="1915">IF($C948&lt;&gt;"",IF(AJ948&gt;0,1,0),0)</f>
        <v>0</v>
      </c>
      <c r="CZ948">
        <f t="shared" si="1915"/>
        <v>0</v>
      </c>
      <c r="DA948">
        <f t="shared" si="1915"/>
        <v>0</v>
      </c>
      <c r="DB948">
        <f t="shared" si="1915"/>
        <v>0</v>
      </c>
      <c r="DC948">
        <f t="shared" si="1915"/>
        <v>0</v>
      </c>
      <c r="DD948">
        <f t="shared" si="1915"/>
        <v>0</v>
      </c>
      <c r="DE948">
        <f t="shared" si="1915"/>
        <v>0</v>
      </c>
      <c r="DF948">
        <f t="shared" si="1915"/>
        <v>0</v>
      </c>
      <c r="DG948">
        <f t="shared" si="1915"/>
        <v>0</v>
      </c>
      <c r="DH948">
        <f t="shared" si="1915"/>
        <v>0</v>
      </c>
      <c r="DI948">
        <f t="shared" si="1915"/>
        <v>0</v>
      </c>
      <c r="DJ948">
        <f t="shared" si="1915"/>
        <v>0</v>
      </c>
      <c r="DK948">
        <f t="shared" si="1915"/>
        <v>0</v>
      </c>
      <c r="DL948">
        <f t="shared" si="1915"/>
        <v>0</v>
      </c>
      <c r="DM948">
        <f t="shared" si="1915"/>
        <v>0</v>
      </c>
      <c r="DN948">
        <f t="shared" si="1915"/>
        <v>0</v>
      </c>
      <c r="DO948">
        <f t="shared" si="1915"/>
        <v>0</v>
      </c>
      <c r="DP948">
        <f t="shared" si="1915"/>
        <v>0</v>
      </c>
      <c r="DQ948">
        <f t="shared" si="1915"/>
        <v>0</v>
      </c>
      <c r="DR948">
        <f t="shared" si="1915"/>
        <v>0</v>
      </c>
      <c r="DS948">
        <f t="shared" si="1915"/>
        <v>0</v>
      </c>
      <c r="DT948">
        <f t="shared" si="1915"/>
        <v>0</v>
      </c>
      <c r="DU948">
        <f t="shared" si="1915"/>
        <v>0</v>
      </c>
      <c r="DV948">
        <f t="shared" si="1915"/>
        <v>0</v>
      </c>
      <c r="DW948">
        <f t="shared" si="1915"/>
        <v>0</v>
      </c>
      <c r="DX948">
        <f t="shared" si="1915"/>
        <v>0</v>
      </c>
      <c r="DY948">
        <f t="shared" si="1915"/>
        <v>0</v>
      </c>
      <c r="DZ948">
        <f t="shared" si="1915"/>
        <v>0</v>
      </c>
      <c r="EA948">
        <f t="shared" ref="EA948:EF948" si="1916">IF($C948&lt;&gt;"",IF(BL947&gt;0,1,0),0)</f>
        <v>0</v>
      </c>
      <c r="EB948">
        <f t="shared" si="1916"/>
        <v>0</v>
      </c>
      <c r="EC948">
        <f t="shared" si="1916"/>
        <v>0</v>
      </c>
      <c r="ED948">
        <f t="shared" si="1916"/>
        <v>0</v>
      </c>
      <c r="EE948">
        <f t="shared" si="1916"/>
        <v>0</v>
      </c>
      <c r="EF948">
        <f t="shared" si="1916"/>
        <v>0</v>
      </c>
    </row>
    <row r="949" spans="1:136" ht="15.5">
      <c r="A949" s="90"/>
      <c r="B949" s="53"/>
      <c r="C949" s="94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  <c r="AS949" s="18"/>
      <c r="AT949" s="18"/>
      <c r="AU949" s="18"/>
      <c r="AV949" s="18"/>
      <c r="AW949" s="18"/>
      <c r="AX949" s="18"/>
      <c r="AY949" s="18"/>
      <c r="AZ949" s="18"/>
      <c r="BA949" s="18"/>
      <c r="BB949" s="18"/>
      <c r="BC949" s="20"/>
      <c r="BD949" s="20"/>
      <c r="BE949" s="25"/>
      <c r="BF949" s="18"/>
      <c r="BG949" s="18"/>
      <c r="BH949" s="2"/>
      <c r="BI949" s="2"/>
      <c r="BJ949" s="2"/>
      <c r="BK949" s="2"/>
      <c r="BL949" s="9"/>
      <c r="BM949" s="2"/>
      <c r="BN949" s="2"/>
      <c r="BO949" s="2"/>
      <c r="BP949" s="2"/>
      <c r="BQ949" s="2"/>
      <c r="BR949" s="101"/>
    </row>
    <row r="950" spans="1:136" ht="15.5">
      <c r="A950" s="93">
        <v>120</v>
      </c>
      <c r="B950" s="52" t="s">
        <v>121</v>
      </c>
      <c r="C950" s="95">
        <v>2</v>
      </c>
      <c r="D950" s="22">
        <f t="shared" ref="D950:AI950" si="1917">SUM(D951:D957)</f>
        <v>272.75692199999997</v>
      </c>
      <c r="E950" s="22">
        <f t="shared" si="1917"/>
        <v>279.62212199999999</v>
      </c>
      <c r="F950" s="22">
        <f t="shared" si="1917"/>
        <v>286.48732200000001</v>
      </c>
      <c r="G950" s="22">
        <f t="shared" si="1917"/>
        <v>293.35252200000002</v>
      </c>
      <c r="H950" s="22">
        <f t="shared" si="1917"/>
        <v>300.21772199999998</v>
      </c>
      <c r="I950" s="22">
        <f t="shared" si="1917"/>
        <v>307.082922</v>
      </c>
      <c r="J950" s="22">
        <f t="shared" si="1917"/>
        <v>313.94812200000001</v>
      </c>
      <c r="K950" s="22">
        <f t="shared" si="1917"/>
        <v>309.657082</v>
      </c>
      <c r="L950" s="22">
        <f t="shared" si="1917"/>
        <v>316.324682</v>
      </c>
      <c r="M950" s="22">
        <f t="shared" si="1917"/>
        <v>322.99228199999999</v>
      </c>
      <c r="N950" s="22">
        <f t="shared" si="1917"/>
        <v>329.36615599999999</v>
      </c>
      <c r="O950" s="22">
        <f t="shared" si="1917"/>
        <v>340.21014000000002</v>
      </c>
      <c r="P950" s="22">
        <f t="shared" si="1917"/>
        <v>341.17344600000001</v>
      </c>
      <c r="Q950" s="22">
        <f t="shared" si="1917"/>
        <v>347.19431400000008</v>
      </c>
      <c r="R950" s="22">
        <f t="shared" si="1917"/>
        <v>354.1358800000001</v>
      </c>
      <c r="S950" s="22">
        <f t="shared" si="1917"/>
        <v>350.89769400000012</v>
      </c>
      <c r="T950" s="22">
        <f t="shared" si="1917"/>
        <v>54.325487999999993</v>
      </c>
      <c r="U950" s="22">
        <f t="shared" si="1917"/>
        <v>0</v>
      </c>
      <c r="V950" s="22">
        <f t="shared" si="1917"/>
        <v>0</v>
      </c>
      <c r="W950" s="22">
        <f t="shared" si="1917"/>
        <v>0</v>
      </c>
      <c r="X950" s="22">
        <f t="shared" si="1917"/>
        <v>95</v>
      </c>
      <c r="Y950" s="22">
        <f t="shared" si="1917"/>
        <v>1359.0989999999999</v>
      </c>
      <c r="Z950" s="22">
        <f t="shared" si="1917"/>
        <v>2021.5</v>
      </c>
      <c r="AA950" s="22">
        <f t="shared" si="1917"/>
        <v>693</v>
      </c>
      <c r="AB950" s="22">
        <f t="shared" si="1917"/>
        <v>0</v>
      </c>
      <c r="AC950" s="22">
        <f t="shared" si="1917"/>
        <v>0</v>
      </c>
      <c r="AD950" s="22">
        <f t="shared" si="1917"/>
        <v>1839.7897816255504</v>
      </c>
      <c r="AE950" s="22">
        <f t="shared" si="1917"/>
        <v>177</v>
      </c>
      <c r="AF950" s="22">
        <f t="shared" si="1917"/>
        <v>0</v>
      </c>
      <c r="AG950" s="22">
        <f t="shared" si="1917"/>
        <v>0</v>
      </c>
      <c r="AH950" s="22">
        <f t="shared" si="1917"/>
        <v>0</v>
      </c>
      <c r="AI950" s="22">
        <f t="shared" si="1917"/>
        <v>0</v>
      </c>
      <c r="AJ950" s="22">
        <f t="shared" ref="AJ950:BO950" si="1918">SUM(AJ951:AJ957)</f>
        <v>0</v>
      </c>
      <c r="AK950" s="22">
        <f t="shared" si="1918"/>
        <v>0</v>
      </c>
      <c r="AL950" s="22">
        <f t="shared" si="1918"/>
        <v>0</v>
      </c>
      <c r="AM950" s="22">
        <f t="shared" si="1918"/>
        <v>0</v>
      </c>
      <c r="AN950" s="22">
        <f t="shared" si="1918"/>
        <v>0</v>
      </c>
      <c r="AO950" s="22">
        <f t="shared" si="1918"/>
        <v>0.20399999999999999</v>
      </c>
      <c r="AP950" s="22">
        <f t="shared" si="1918"/>
        <v>65.196999999999989</v>
      </c>
      <c r="AQ950" s="22">
        <f t="shared" si="1918"/>
        <v>66.243903000000003</v>
      </c>
      <c r="AR950" s="22">
        <f t="shared" si="1918"/>
        <v>148.58799999999999</v>
      </c>
      <c r="AS950" s="22">
        <f t="shared" si="1918"/>
        <v>149.30000000000001</v>
      </c>
      <c r="AT950" s="22">
        <f t="shared" si="1918"/>
        <v>123.9226319</v>
      </c>
      <c r="AU950" s="22">
        <f t="shared" si="1918"/>
        <v>39.2721357</v>
      </c>
      <c r="AV950" s="22">
        <f t="shared" si="1918"/>
        <v>73.294494100000009</v>
      </c>
      <c r="AW950" s="22">
        <f t="shared" si="1918"/>
        <v>269.79825369999998</v>
      </c>
      <c r="AX950" s="22">
        <f t="shared" si="1918"/>
        <v>264.26524890000002</v>
      </c>
      <c r="AY950" s="22">
        <f t="shared" si="1918"/>
        <v>261.19324540000002</v>
      </c>
      <c r="AZ950" s="22">
        <f t="shared" si="1918"/>
        <v>18.3329889</v>
      </c>
      <c r="BA950" s="22">
        <f t="shared" si="1918"/>
        <v>39.399017200000003</v>
      </c>
      <c r="BB950" s="22">
        <f t="shared" si="1918"/>
        <v>39.308017200000002</v>
      </c>
      <c r="BC950" s="22">
        <f t="shared" si="1918"/>
        <v>39.302763399999996</v>
      </c>
      <c r="BD950" s="22">
        <f t="shared" si="1918"/>
        <v>1.2539163999999998</v>
      </c>
      <c r="BE950" s="22">
        <f t="shared" si="1918"/>
        <v>1.1942746000000002</v>
      </c>
      <c r="BF950" s="22">
        <f t="shared" si="1918"/>
        <v>1.8738856000000002</v>
      </c>
      <c r="BG950" s="22">
        <f t="shared" si="1918"/>
        <v>1.7966392</v>
      </c>
      <c r="BH950" s="22">
        <f t="shared" si="1918"/>
        <v>1.7753256000000002</v>
      </c>
      <c r="BI950" s="22">
        <f t="shared" si="1918"/>
        <v>1.8647688</v>
      </c>
      <c r="BJ950" s="9">
        <f t="shared" si="1918"/>
        <v>4.9037964000000001</v>
      </c>
      <c r="BK950" s="9">
        <f t="shared" si="1918"/>
        <v>4.7087403999999999</v>
      </c>
      <c r="BL950" s="9">
        <f t="shared" si="1918"/>
        <v>4.7093625999999995</v>
      </c>
      <c r="BM950" s="9">
        <f t="shared" si="1918"/>
        <v>0</v>
      </c>
      <c r="BN950" s="9">
        <f t="shared" si="1918"/>
        <v>0</v>
      </c>
      <c r="BO950" s="9">
        <f t="shared" si="1918"/>
        <v>0</v>
      </c>
      <c r="BP950" s="9">
        <f>SUM(BP951:BP957)</f>
        <v>0</v>
      </c>
      <c r="BQ950" s="9">
        <f>SUM(BQ951:BQ957)</f>
        <v>0</v>
      </c>
      <c r="BR950" s="101"/>
      <c r="BS950">
        <f t="shared" ref="BS950:CX950" si="1919">IF($C950&lt;&gt;"",IF(D950&gt;0,1,0),0)</f>
        <v>1</v>
      </c>
      <c r="BT950">
        <f t="shared" si="1919"/>
        <v>1</v>
      </c>
      <c r="BU950">
        <f t="shared" si="1919"/>
        <v>1</v>
      </c>
      <c r="BV950">
        <f t="shared" si="1919"/>
        <v>1</v>
      </c>
      <c r="BW950">
        <f t="shared" si="1919"/>
        <v>1</v>
      </c>
      <c r="BX950">
        <f t="shared" si="1919"/>
        <v>1</v>
      </c>
      <c r="BY950">
        <f t="shared" si="1919"/>
        <v>1</v>
      </c>
      <c r="BZ950">
        <f t="shared" si="1919"/>
        <v>1</v>
      </c>
      <c r="CA950">
        <f t="shared" si="1919"/>
        <v>1</v>
      </c>
      <c r="CB950">
        <f t="shared" si="1919"/>
        <v>1</v>
      </c>
      <c r="CC950">
        <f t="shared" si="1919"/>
        <v>1</v>
      </c>
      <c r="CD950">
        <f t="shared" si="1919"/>
        <v>1</v>
      </c>
      <c r="CE950">
        <f t="shared" si="1919"/>
        <v>1</v>
      </c>
      <c r="CF950">
        <f t="shared" si="1919"/>
        <v>1</v>
      </c>
      <c r="CG950">
        <f t="shared" si="1919"/>
        <v>1</v>
      </c>
      <c r="CH950">
        <f t="shared" si="1919"/>
        <v>1</v>
      </c>
      <c r="CI950">
        <f t="shared" si="1919"/>
        <v>1</v>
      </c>
      <c r="CJ950">
        <f t="shared" si="1919"/>
        <v>0</v>
      </c>
      <c r="CK950">
        <f t="shared" si="1919"/>
        <v>0</v>
      </c>
      <c r="CL950">
        <f t="shared" si="1919"/>
        <v>0</v>
      </c>
      <c r="CM950">
        <f t="shared" si="1919"/>
        <v>1</v>
      </c>
      <c r="CN950">
        <f t="shared" si="1919"/>
        <v>1</v>
      </c>
      <c r="CO950">
        <f t="shared" si="1919"/>
        <v>1</v>
      </c>
      <c r="CP950">
        <f t="shared" si="1919"/>
        <v>1</v>
      </c>
      <c r="CQ950">
        <f t="shared" si="1919"/>
        <v>0</v>
      </c>
      <c r="CR950">
        <f t="shared" si="1919"/>
        <v>0</v>
      </c>
      <c r="CS950">
        <f t="shared" si="1919"/>
        <v>1</v>
      </c>
      <c r="CT950">
        <f t="shared" si="1919"/>
        <v>1</v>
      </c>
      <c r="CU950">
        <f t="shared" si="1919"/>
        <v>0</v>
      </c>
      <c r="CV950">
        <f t="shared" si="1919"/>
        <v>0</v>
      </c>
      <c r="CW950">
        <f t="shared" si="1919"/>
        <v>0</v>
      </c>
      <c r="CX950">
        <f t="shared" si="1919"/>
        <v>0</v>
      </c>
      <c r="CY950">
        <f t="shared" ref="CY950:ED950" si="1920">IF($C950&lt;&gt;"",IF(AJ950&gt;0,1,0),0)</f>
        <v>0</v>
      </c>
      <c r="CZ950">
        <f t="shared" si="1920"/>
        <v>0</v>
      </c>
      <c r="DA950">
        <f t="shared" si="1920"/>
        <v>0</v>
      </c>
      <c r="DB950">
        <f t="shared" si="1920"/>
        <v>0</v>
      </c>
      <c r="DC950">
        <f t="shared" si="1920"/>
        <v>0</v>
      </c>
      <c r="DD950">
        <f t="shared" si="1920"/>
        <v>1</v>
      </c>
      <c r="DE950">
        <f t="shared" si="1920"/>
        <v>1</v>
      </c>
      <c r="DF950">
        <f t="shared" si="1920"/>
        <v>1</v>
      </c>
      <c r="DG950">
        <f t="shared" si="1920"/>
        <v>1</v>
      </c>
      <c r="DH950">
        <f t="shared" si="1920"/>
        <v>1</v>
      </c>
      <c r="DI950">
        <f t="shared" si="1920"/>
        <v>1</v>
      </c>
      <c r="DJ950">
        <f t="shared" si="1920"/>
        <v>1</v>
      </c>
      <c r="DK950">
        <f t="shared" si="1920"/>
        <v>1</v>
      </c>
      <c r="DL950">
        <f t="shared" si="1920"/>
        <v>1</v>
      </c>
      <c r="DM950">
        <f t="shared" si="1920"/>
        <v>1</v>
      </c>
      <c r="DN950">
        <f t="shared" si="1920"/>
        <v>1</v>
      </c>
      <c r="DO950">
        <f t="shared" si="1920"/>
        <v>1</v>
      </c>
      <c r="DP950">
        <f t="shared" si="1920"/>
        <v>1</v>
      </c>
      <c r="DQ950">
        <f t="shared" si="1920"/>
        <v>1</v>
      </c>
      <c r="DR950">
        <f t="shared" si="1920"/>
        <v>1</v>
      </c>
      <c r="DS950">
        <f t="shared" si="1920"/>
        <v>1</v>
      </c>
      <c r="DT950">
        <f t="shared" si="1920"/>
        <v>1</v>
      </c>
      <c r="DU950">
        <f t="shared" si="1920"/>
        <v>1</v>
      </c>
      <c r="DV950">
        <f t="shared" si="1920"/>
        <v>1</v>
      </c>
      <c r="DW950">
        <f t="shared" si="1920"/>
        <v>1</v>
      </c>
      <c r="DX950">
        <f t="shared" si="1920"/>
        <v>1</v>
      </c>
      <c r="DY950">
        <f t="shared" si="1920"/>
        <v>1</v>
      </c>
      <c r="DZ950">
        <f t="shared" si="1920"/>
        <v>1</v>
      </c>
      <c r="EA950">
        <f t="shared" si="1920"/>
        <v>1</v>
      </c>
      <c r="EB950">
        <f t="shared" si="1920"/>
        <v>0</v>
      </c>
      <c r="EC950">
        <f t="shared" si="1920"/>
        <v>0</v>
      </c>
      <c r="ED950">
        <f t="shared" si="1920"/>
        <v>0</v>
      </c>
      <c r="EE950">
        <f t="shared" ref="EE950:EF950" si="1921">IF($C950&lt;&gt;"",IF(BP950&gt;0,1,0),0)</f>
        <v>0</v>
      </c>
      <c r="EF950">
        <f t="shared" si="1921"/>
        <v>0</v>
      </c>
    </row>
    <row r="951" spans="1:136" ht="15.5">
      <c r="A951" s="90"/>
      <c r="B951" s="24" t="s">
        <v>15</v>
      </c>
      <c r="C951" s="94"/>
      <c r="D951" s="18">
        <v>0</v>
      </c>
      <c r="E951" s="18">
        <v>0</v>
      </c>
      <c r="F951" s="18">
        <v>0</v>
      </c>
      <c r="G951" s="18">
        <v>0</v>
      </c>
      <c r="H951" s="18">
        <v>0</v>
      </c>
      <c r="I951" s="18">
        <v>0</v>
      </c>
      <c r="J951" s="18">
        <v>0</v>
      </c>
      <c r="K951" s="18">
        <v>0</v>
      </c>
      <c r="L951" s="18">
        <v>0</v>
      </c>
      <c r="M951" s="18">
        <v>0</v>
      </c>
      <c r="N951" s="18">
        <v>0</v>
      </c>
      <c r="O951" s="18">
        <v>0</v>
      </c>
      <c r="P951" s="18">
        <v>0</v>
      </c>
      <c r="Q951" s="18">
        <v>0</v>
      </c>
      <c r="R951" s="18">
        <v>0</v>
      </c>
      <c r="S951" s="18">
        <v>0</v>
      </c>
      <c r="T951" s="18">
        <v>0</v>
      </c>
      <c r="U951" s="18">
        <v>0</v>
      </c>
      <c r="V951" s="18">
        <v>0</v>
      </c>
      <c r="W951" s="18">
        <v>0</v>
      </c>
      <c r="X951" s="18">
        <v>95</v>
      </c>
      <c r="Y951" s="18">
        <v>0</v>
      </c>
      <c r="Z951" s="18">
        <v>13.5</v>
      </c>
      <c r="AA951" s="18">
        <v>0</v>
      </c>
      <c r="AB951" s="18">
        <v>0</v>
      </c>
      <c r="AC951" s="18">
        <v>0</v>
      </c>
      <c r="AD951" s="18">
        <v>1039.7897816255504</v>
      </c>
      <c r="AE951" s="18">
        <v>74</v>
      </c>
      <c r="AF951" s="18">
        <v>0</v>
      </c>
      <c r="AG951" s="18">
        <v>0</v>
      </c>
      <c r="AH951" s="18">
        <v>0</v>
      </c>
      <c r="AI951" s="18">
        <v>0</v>
      </c>
      <c r="AJ951" s="18">
        <v>0</v>
      </c>
      <c r="AK951" s="18">
        <v>0</v>
      </c>
      <c r="AL951" s="18">
        <v>0</v>
      </c>
      <c r="AM951" s="18">
        <v>0</v>
      </c>
      <c r="AN951" s="18">
        <v>0</v>
      </c>
      <c r="AO951" s="18">
        <v>0</v>
      </c>
      <c r="AP951" s="18">
        <v>0</v>
      </c>
      <c r="AQ951" s="18">
        <v>0</v>
      </c>
      <c r="AR951" s="18">
        <v>0</v>
      </c>
      <c r="AS951" s="18">
        <v>0</v>
      </c>
      <c r="AT951" s="18">
        <v>0</v>
      </c>
      <c r="AU951" s="18">
        <v>0</v>
      </c>
      <c r="AV951" s="18">
        <v>0</v>
      </c>
      <c r="AW951" s="18">
        <v>0</v>
      </c>
      <c r="AX951" s="18">
        <v>0</v>
      </c>
      <c r="AY951" s="18">
        <v>0</v>
      </c>
      <c r="AZ951" s="18">
        <v>0</v>
      </c>
      <c r="BA951" s="18">
        <v>0</v>
      </c>
      <c r="BB951" s="18">
        <v>0</v>
      </c>
      <c r="BC951" s="18">
        <v>0</v>
      </c>
      <c r="BD951" s="18">
        <v>0</v>
      </c>
      <c r="BE951" s="25">
        <v>0</v>
      </c>
      <c r="BF951" s="18">
        <v>0</v>
      </c>
      <c r="BG951" s="18">
        <v>0</v>
      </c>
      <c r="BH951" s="18">
        <v>0</v>
      </c>
      <c r="BI951" s="18">
        <v>0</v>
      </c>
      <c r="BJ951" s="113">
        <v>0</v>
      </c>
      <c r="BK951" s="113">
        <v>0</v>
      </c>
      <c r="BL951" s="113">
        <v>0</v>
      </c>
      <c r="BM951" s="113">
        <v>0</v>
      </c>
      <c r="BN951" s="113">
        <v>0</v>
      </c>
      <c r="BO951" s="113">
        <v>0</v>
      </c>
      <c r="BP951" s="113">
        <v>0</v>
      </c>
      <c r="BQ951" s="113">
        <v>0</v>
      </c>
      <c r="BR951" s="101"/>
      <c r="BS951">
        <f t="shared" ref="BS951:CB952" si="1922">IF($C951&lt;&gt;"",IF(D951&gt;0,1,0),0)</f>
        <v>0</v>
      </c>
      <c r="BT951">
        <f t="shared" si="1922"/>
        <v>0</v>
      </c>
      <c r="BU951">
        <f t="shared" si="1922"/>
        <v>0</v>
      </c>
      <c r="BV951">
        <f t="shared" si="1922"/>
        <v>0</v>
      </c>
      <c r="BW951">
        <f t="shared" si="1922"/>
        <v>0</v>
      </c>
      <c r="BX951">
        <f t="shared" si="1922"/>
        <v>0</v>
      </c>
      <c r="BY951">
        <f t="shared" si="1922"/>
        <v>0</v>
      </c>
      <c r="BZ951">
        <f t="shared" si="1922"/>
        <v>0</v>
      </c>
      <c r="CA951">
        <f t="shared" si="1922"/>
        <v>0</v>
      </c>
      <c r="CB951">
        <f t="shared" si="1922"/>
        <v>0</v>
      </c>
      <c r="CC951">
        <f t="shared" ref="CC951:CL952" si="1923">IF($C951&lt;&gt;"",IF(N951&gt;0,1,0),0)</f>
        <v>0</v>
      </c>
      <c r="CD951">
        <f t="shared" si="1923"/>
        <v>0</v>
      </c>
      <c r="CE951">
        <f t="shared" si="1923"/>
        <v>0</v>
      </c>
      <c r="CF951">
        <f t="shared" si="1923"/>
        <v>0</v>
      </c>
      <c r="CG951">
        <f t="shared" si="1923"/>
        <v>0</v>
      </c>
      <c r="CH951">
        <f t="shared" si="1923"/>
        <v>0</v>
      </c>
      <c r="CI951">
        <f t="shared" si="1923"/>
        <v>0</v>
      </c>
      <c r="CJ951">
        <f t="shared" si="1923"/>
        <v>0</v>
      </c>
      <c r="CK951">
        <f t="shared" si="1923"/>
        <v>0</v>
      </c>
      <c r="CL951">
        <f t="shared" si="1923"/>
        <v>0</v>
      </c>
      <c r="CM951">
        <f t="shared" ref="CM951:CV952" si="1924">IF($C951&lt;&gt;"",IF(X951&gt;0,1,0),0)</f>
        <v>0</v>
      </c>
      <c r="CN951">
        <f t="shared" si="1924"/>
        <v>0</v>
      </c>
      <c r="CO951">
        <f t="shared" si="1924"/>
        <v>0</v>
      </c>
      <c r="CP951">
        <f t="shared" si="1924"/>
        <v>0</v>
      </c>
      <c r="CQ951">
        <f t="shared" si="1924"/>
        <v>0</v>
      </c>
      <c r="CR951">
        <f t="shared" si="1924"/>
        <v>0</v>
      </c>
      <c r="CS951">
        <f t="shared" si="1924"/>
        <v>0</v>
      </c>
      <c r="CT951">
        <f t="shared" si="1924"/>
        <v>0</v>
      </c>
      <c r="CU951">
        <f t="shared" si="1924"/>
        <v>0</v>
      </c>
      <c r="CV951">
        <f t="shared" si="1924"/>
        <v>0</v>
      </c>
      <c r="CW951">
        <f t="shared" ref="CW951:DF952" si="1925">IF($C951&lt;&gt;"",IF(AH951&gt;0,1,0),0)</f>
        <v>0</v>
      </c>
      <c r="CX951">
        <f t="shared" si="1925"/>
        <v>0</v>
      </c>
      <c r="CY951">
        <f t="shared" si="1925"/>
        <v>0</v>
      </c>
      <c r="CZ951">
        <f t="shared" si="1925"/>
        <v>0</v>
      </c>
      <c r="DA951">
        <f t="shared" si="1925"/>
        <v>0</v>
      </c>
      <c r="DB951">
        <f t="shared" si="1925"/>
        <v>0</v>
      </c>
      <c r="DC951">
        <f t="shared" si="1925"/>
        <v>0</v>
      </c>
      <c r="DD951">
        <f t="shared" si="1925"/>
        <v>0</v>
      </c>
      <c r="DE951">
        <f t="shared" si="1925"/>
        <v>0</v>
      </c>
      <c r="DF951">
        <f t="shared" si="1925"/>
        <v>0</v>
      </c>
      <c r="DG951">
        <f t="shared" ref="DG951:DP952" si="1926">IF($C951&lt;&gt;"",IF(AR951&gt;0,1,0),0)</f>
        <v>0</v>
      </c>
      <c r="DH951">
        <f t="shared" si="1926"/>
        <v>0</v>
      </c>
      <c r="DI951">
        <f t="shared" si="1926"/>
        <v>0</v>
      </c>
      <c r="DJ951">
        <f t="shared" si="1926"/>
        <v>0</v>
      </c>
      <c r="DK951">
        <f t="shared" si="1926"/>
        <v>0</v>
      </c>
      <c r="DL951">
        <f t="shared" si="1926"/>
        <v>0</v>
      </c>
      <c r="DM951">
        <f t="shared" si="1926"/>
        <v>0</v>
      </c>
      <c r="DN951">
        <f t="shared" si="1926"/>
        <v>0</v>
      </c>
      <c r="DO951">
        <f t="shared" si="1926"/>
        <v>0</v>
      </c>
      <c r="DP951">
        <f t="shared" si="1926"/>
        <v>0</v>
      </c>
      <c r="DQ951">
        <f t="shared" ref="DQ951:DZ952" si="1927">IF($C951&lt;&gt;"",IF(BB951&gt;0,1,0),0)</f>
        <v>0</v>
      </c>
      <c r="DR951">
        <f t="shared" si="1927"/>
        <v>0</v>
      </c>
      <c r="DS951">
        <f t="shared" si="1927"/>
        <v>0</v>
      </c>
      <c r="DT951">
        <f t="shared" si="1927"/>
        <v>0</v>
      </c>
      <c r="DU951">
        <f t="shared" si="1927"/>
        <v>0</v>
      </c>
      <c r="DV951">
        <f t="shared" si="1927"/>
        <v>0</v>
      </c>
      <c r="DW951">
        <f t="shared" si="1927"/>
        <v>0</v>
      </c>
      <c r="DX951">
        <f t="shared" si="1927"/>
        <v>0</v>
      </c>
      <c r="DY951">
        <f t="shared" si="1927"/>
        <v>0</v>
      </c>
      <c r="DZ951">
        <f t="shared" si="1927"/>
        <v>0</v>
      </c>
      <c r="EA951">
        <f t="shared" ref="EA951:EF957" si="1928">IF($C951&lt;&gt;"",IF(BL950&gt;0,1,0),0)</f>
        <v>0</v>
      </c>
      <c r="EB951">
        <f t="shared" si="1928"/>
        <v>0</v>
      </c>
      <c r="EC951">
        <f t="shared" si="1928"/>
        <v>0</v>
      </c>
      <c r="ED951">
        <f t="shared" si="1928"/>
        <v>0</v>
      </c>
      <c r="EE951">
        <f t="shared" si="1928"/>
        <v>0</v>
      </c>
      <c r="EF951">
        <f t="shared" si="1928"/>
        <v>0</v>
      </c>
    </row>
    <row r="952" spans="1:136" ht="15.5">
      <c r="A952" s="90"/>
      <c r="B952" s="24" t="s">
        <v>184</v>
      </c>
      <c r="C952" s="94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60"/>
      <c r="U952" s="60"/>
      <c r="V952" s="60"/>
      <c r="W952" s="60"/>
      <c r="X952" s="60"/>
      <c r="Y952" s="60"/>
      <c r="Z952" s="18"/>
      <c r="AA952" s="18"/>
      <c r="AB952" s="18"/>
      <c r="AC952" s="18"/>
      <c r="AD952" s="18"/>
      <c r="AE952" s="18">
        <v>103</v>
      </c>
      <c r="AF952" s="18">
        <v>0</v>
      </c>
      <c r="AG952" s="18">
        <v>0</v>
      </c>
      <c r="AH952" s="18">
        <v>0</v>
      </c>
      <c r="AI952" s="18">
        <v>0</v>
      </c>
      <c r="AJ952" s="18">
        <v>0</v>
      </c>
      <c r="AK952" s="18">
        <v>0</v>
      </c>
      <c r="AL952" s="18">
        <v>0</v>
      </c>
      <c r="AM952" s="18">
        <v>0</v>
      </c>
      <c r="AN952" s="18">
        <v>0</v>
      </c>
      <c r="AO952" s="18">
        <v>0</v>
      </c>
      <c r="AP952" s="18">
        <v>0</v>
      </c>
      <c r="AQ952" s="18">
        <v>0</v>
      </c>
      <c r="AR952" s="18">
        <v>0</v>
      </c>
      <c r="AS952" s="18">
        <v>0</v>
      </c>
      <c r="AT952" s="18">
        <v>0</v>
      </c>
      <c r="AU952" s="18">
        <v>0</v>
      </c>
      <c r="AV952" s="18">
        <v>0</v>
      </c>
      <c r="AW952" s="18">
        <v>0</v>
      </c>
      <c r="AX952" s="18">
        <v>0</v>
      </c>
      <c r="AY952" s="18">
        <v>0</v>
      </c>
      <c r="AZ952" s="18">
        <v>0</v>
      </c>
      <c r="BA952" s="18">
        <v>0</v>
      </c>
      <c r="BB952" s="18">
        <v>0</v>
      </c>
      <c r="BC952" s="18">
        <v>0</v>
      </c>
      <c r="BD952" s="18">
        <v>0</v>
      </c>
      <c r="BE952" s="25">
        <v>0</v>
      </c>
      <c r="BF952" s="18">
        <v>0</v>
      </c>
      <c r="BG952" s="18">
        <v>0</v>
      </c>
      <c r="BH952" s="18">
        <v>0</v>
      </c>
      <c r="BI952" s="18">
        <v>0</v>
      </c>
      <c r="BJ952" s="113">
        <v>0</v>
      </c>
      <c r="BK952" s="113">
        <v>0</v>
      </c>
      <c r="BL952" s="113">
        <v>0</v>
      </c>
      <c r="BM952" s="113">
        <v>0</v>
      </c>
      <c r="BN952" s="113">
        <v>0</v>
      </c>
      <c r="BO952" s="113">
        <v>0</v>
      </c>
      <c r="BP952" s="113">
        <v>0</v>
      </c>
      <c r="BQ952" s="113">
        <v>0</v>
      </c>
      <c r="BR952" s="101"/>
      <c r="BS952">
        <f t="shared" si="1922"/>
        <v>0</v>
      </c>
      <c r="BT952">
        <f t="shared" si="1922"/>
        <v>0</v>
      </c>
      <c r="BU952">
        <f t="shared" si="1922"/>
        <v>0</v>
      </c>
      <c r="BV952">
        <f t="shared" si="1922"/>
        <v>0</v>
      </c>
      <c r="BW952">
        <f t="shared" si="1922"/>
        <v>0</v>
      </c>
      <c r="BX952">
        <f t="shared" si="1922"/>
        <v>0</v>
      </c>
      <c r="BY952">
        <f t="shared" si="1922"/>
        <v>0</v>
      </c>
      <c r="BZ952">
        <f t="shared" si="1922"/>
        <v>0</v>
      </c>
      <c r="CA952">
        <f t="shared" si="1922"/>
        <v>0</v>
      </c>
      <c r="CB952">
        <f t="shared" si="1922"/>
        <v>0</v>
      </c>
      <c r="CC952">
        <f t="shared" si="1923"/>
        <v>0</v>
      </c>
      <c r="CD952">
        <f t="shared" si="1923"/>
        <v>0</v>
      </c>
      <c r="CE952">
        <f t="shared" si="1923"/>
        <v>0</v>
      </c>
      <c r="CF952">
        <f t="shared" si="1923"/>
        <v>0</v>
      </c>
      <c r="CG952">
        <f t="shared" si="1923"/>
        <v>0</v>
      </c>
      <c r="CH952">
        <f t="shared" si="1923"/>
        <v>0</v>
      </c>
      <c r="CI952">
        <f t="shared" si="1923"/>
        <v>0</v>
      </c>
      <c r="CJ952">
        <f t="shared" si="1923"/>
        <v>0</v>
      </c>
      <c r="CK952">
        <f t="shared" si="1923"/>
        <v>0</v>
      </c>
      <c r="CL952">
        <f t="shared" si="1923"/>
        <v>0</v>
      </c>
      <c r="CM952">
        <f t="shared" si="1924"/>
        <v>0</v>
      </c>
      <c r="CN952">
        <f t="shared" si="1924"/>
        <v>0</v>
      </c>
      <c r="CO952">
        <f t="shared" si="1924"/>
        <v>0</v>
      </c>
      <c r="CP952">
        <f t="shared" si="1924"/>
        <v>0</v>
      </c>
      <c r="CQ952">
        <f t="shared" si="1924"/>
        <v>0</v>
      </c>
      <c r="CR952">
        <f t="shared" si="1924"/>
        <v>0</v>
      </c>
      <c r="CS952">
        <f t="shared" si="1924"/>
        <v>0</v>
      </c>
      <c r="CT952">
        <f t="shared" si="1924"/>
        <v>0</v>
      </c>
      <c r="CU952">
        <f t="shared" si="1924"/>
        <v>0</v>
      </c>
      <c r="CV952">
        <f t="shared" si="1924"/>
        <v>0</v>
      </c>
      <c r="CW952">
        <f t="shared" si="1925"/>
        <v>0</v>
      </c>
      <c r="CX952">
        <f t="shared" si="1925"/>
        <v>0</v>
      </c>
      <c r="CY952">
        <f t="shared" si="1925"/>
        <v>0</v>
      </c>
      <c r="CZ952">
        <f t="shared" si="1925"/>
        <v>0</v>
      </c>
      <c r="DA952">
        <f t="shared" si="1925"/>
        <v>0</v>
      </c>
      <c r="DB952">
        <f t="shared" si="1925"/>
        <v>0</v>
      </c>
      <c r="DC952">
        <f t="shared" si="1925"/>
        <v>0</v>
      </c>
      <c r="DD952">
        <f t="shared" si="1925"/>
        <v>0</v>
      </c>
      <c r="DE952">
        <f t="shared" si="1925"/>
        <v>0</v>
      </c>
      <c r="DF952">
        <f t="shared" si="1925"/>
        <v>0</v>
      </c>
      <c r="DG952">
        <f t="shared" si="1926"/>
        <v>0</v>
      </c>
      <c r="DH952">
        <f t="shared" si="1926"/>
        <v>0</v>
      </c>
      <c r="DI952">
        <f t="shared" si="1926"/>
        <v>0</v>
      </c>
      <c r="DJ952">
        <f t="shared" si="1926"/>
        <v>0</v>
      </c>
      <c r="DK952">
        <f t="shared" si="1926"/>
        <v>0</v>
      </c>
      <c r="DL952">
        <f t="shared" si="1926"/>
        <v>0</v>
      </c>
      <c r="DM952">
        <f t="shared" si="1926"/>
        <v>0</v>
      </c>
      <c r="DN952">
        <f t="shared" si="1926"/>
        <v>0</v>
      </c>
      <c r="DO952">
        <f t="shared" si="1926"/>
        <v>0</v>
      </c>
      <c r="DP952">
        <f t="shared" si="1926"/>
        <v>0</v>
      </c>
      <c r="DQ952">
        <f t="shared" si="1927"/>
        <v>0</v>
      </c>
      <c r="DR952">
        <f t="shared" si="1927"/>
        <v>0</v>
      </c>
      <c r="DS952">
        <f t="shared" si="1927"/>
        <v>0</v>
      </c>
      <c r="DT952">
        <f t="shared" si="1927"/>
        <v>0</v>
      </c>
      <c r="DU952">
        <f t="shared" si="1927"/>
        <v>0</v>
      </c>
      <c r="DV952">
        <f t="shared" si="1927"/>
        <v>0</v>
      </c>
      <c r="DW952">
        <f t="shared" si="1927"/>
        <v>0</v>
      </c>
      <c r="DX952">
        <f t="shared" si="1927"/>
        <v>0</v>
      </c>
      <c r="DY952">
        <f t="shared" si="1927"/>
        <v>0</v>
      </c>
      <c r="DZ952">
        <f t="shared" si="1927"/>
        <v>0</v>
      </c>
      <c r="EA952">
        <f t="shared" si="1928"/>
        <v>0</v>
      </c>
      <c r="EB952">
        <f t="shared" si="1928"/>
        <v>0</v>
      </c>
      <c r="EC952">
        <f t="shared" si="1928"/>
        <v>0</v>
      </c>
      <c r="ED952">
        <f t="shared" si="1928"/>
        <v>0</v>
      </c>
      <c r="EE952">
        <f t="shared" si="1928"/>
        <v>0</v>
      </c>
      <c r="EF952">
        <f t="shared" si="1928"/>
        <v>0</v>
      </c>
    </row>
    <row r="953" spans="1:136" ht="15.5">
      <c r="A953" s="90"/>
      <c r="B953" s="19" t="s">
        <v>2</v>
      </c>
      <c r="C953" s="94"/>
      <c r="D953" s="18">
        <v>0</v>
      </c>
      <c r="E953" s="18">
        <v>0</v>
      </c>
      <c r="F953" s="18">
        <v>0</v>
      </c>
      <c r="G953" s="18">
        <v>0</v>
      </c>
      <c r="H953" s="18">
        <v>0</v>
      </c>
      <c r="I953" s="18">
        <v>0</v>
      </c>
      <c r="J953" s="18">
        <v>0</v>
      </c>
      <c r="K953" s="18">
        <v>0</v>
      </c>
      <c r="L953" s="18">
        <v>0</v>
      </c>
      <c r="M953" s="18">
        <v>0</v>
      </c>
      <c r="N953" s="18">
        <v>0</v>
      </c>
      <c r="O953" s="18">
        <v>0</v>
      </c>
      <c r="P953" s="18">
        <v>0</v>
      </c>
      <c r="Q953" s="18">
        <v>0</v>
      </c>
      <c r="R953" s="18">
        <v>0</v>
      </c>
      <c r="S953" s="18">
        <v>0</v>
      </c>
      <c r="T953" s="60">
        <v>0</v>
      </c>
      <c r="U953" s="60">
        <v>0</v>
      </c>
      <c r="V953" s="60">
        <v>0</v>
      </c>
      <c r="W953" s="60">
        <v>0</v>
      </c>
      <c r="X953" s="60">
        <v>0</v>
      </c>
      <c r="Y953" s="60">
        <v>0</v>
      </c>
      <c r="Z953" s="18">
        <v>410</v>
      </c>
      <c r="AA953" s="18">
        <v>126</v>
      </c>
      <c r="AB953" s="18">
        <v>0</v>
      </c>
      <c r="AC953" s="18">
        <v>0</v>
      </c>
      <c r="AD953" s="18">
        <v>0</v>
      </c>
      <c r="AE953" s="18">
        <v>0</v>
      </c>
      <c r="AF953" s="18">
        <v>0</v>
      </c>
      <c r="AG953" s="18">
        <v>0</v>
      </c>
      <c r="AH953" s="18">
        <v>0</v>
      </c>
      <c r="AI953" s="18">
        <v>0</v>
      </c>
      <c r="AJ953" s="18">
        <v>0</v>
      </c>
      <c r="AK953" s="18">
        <v>0</v>
      </c>
      <c r="AL953" s="18">
        <v>0</v>
      </c>
      <c r="AM953" s="18">
        <v>0</v>
      </c>
      <c r="AN953" s="18">
        <v>0</v>
      </c>
      <c r="AO953" s="18">
        <v>0</v>
      </c>
      <c r="AP953" s="18">
        <v>0</v>
      </c>
      <c r="AQ953" s="18">
        <v>0</v>
      </c>
      <c r="AR953" s="18">
        <v>0</v>
      </c>
      <c r="AS953" s="31">
        <v>0</v>
      </c>
      <c r="AT953" s="18">
        <v>0</v>
      </c>
      <c r="AU953" s="18">
        <v>0</v>
      </c>
      <c r="AV953" s="18">
        <v>0</v>
      </c>
      <c r="AW953" s="18">
        <v>0</v>
      </c>
      <c r="AX953" s="18">
        <v>0</v>
      </c>
      <c r="AY953" s="18">
        <v>0</v>
      </c>
      <c r="AZ953" s="18">
        <v>0</v>
      </c>
      <c r="BA953" s="18">
        <v>0</v>
      </c>
      <c r="BB953" s="18">
        <v>0</v>
      </c>
      <c r="BC953" s="18">
        <v>0</v>
      </c>
      <c r="BD953" s="18">
        <v>0</v>
      </c>
      <c r="BE953" s="18">
        <v>0</v>
      </c>
      <c r="BF953" s="18">
        <v>0</v>
      </c>
      <c r="BG953" s="18">
        <v>0</v>
      </c>
      <c r="BH953" s="18">
        <v>0</v>
      </c>
      <c r="BI953" s="18">
        <v>0</v>
      </c>
      <c r="BJ953" s="113">
        <v>0</v>
      </c>
      <c r="BK953" s="113">
        <v>0</v>
      </c>
      <c r="BL953" s="113">
        <v>0</v>
      </c>
      <c r="BM953" s="113">
        <v>0</v>
      </c>
      <c r="BN953" s="113">
        <v>0</v>
      </c>
      <c r="BO953" s="113">
        <v>0</v>
      </c>
      <c r="BP953" s="113">
        <v>0</v>
      </c>
      <c r="BQ953" s="113">
        <v>0</v>
      </c>
      <c r="BR953" s="101"/>
      <c r="BS953">
        <f t="shared" ref="BS953:CB958" si="1929">IF($C953&lt;&gt;"",IF(D953&gt;0,1,0),0)</f>
        <v>0</v>
      </c>
      <c r="BT953">
        <f t="shared" si="1929"/>
        <v>0</v>
      </c>
      <c r="BU953">
        <f t="shared" si="1929"/>
        <v>0</v>
      </c>
      <c r="BV953">
        <f t="shared" si="1929"/>
        <v>0</v>
      </c>
      <c r="BW953">
        <f t="shared" si="1929"/>
        <v>0</v>
      </c>
      <c r="BX953">
        <f t="shared" si="1929"/>
        <v>0</v>
      </c>
      <c r="BY953">
        <f t="shared" si="1929"/>
        <v>0</v>
      </c>
      <c r="BZ953">
        <f t="shared" si="1929"/>
        <v>0</v>
      </c>
      <c r="CA953">
        <f t="shared" si="1929"/>
        <v>0</v>
      </c>
      <c r="CB953">
        <f t="shared" si="1929"/>
        <v>0</v>
      </c>
      <c r="CC953">
        <f t="shared" ref="CC953:CL958" si="1930">IF($C953&lt;&gt;"",IF(N953&gt;0,1,0),0)</f>
        <v>0</v>
      </c>
      <c r="CD953">
        <f t="shared" si="1930"/>
        <v>0</v>
      </c>
      <c r="CE953">
        <f t="shared" si="1930"/>
        <v>0</v>
      </c>
      <c r="CF953">
        <f t="shared" si="1930"/>
        <v>0</v>
      </c>
      <c r="CG953">
        <f t="shared" si="1930"/>
        <v>0</v>
      </c>
      <c r="CH953">
        <f t="shared" si="1930"/>
        <v>0</v>
      </c>
      <c r="CI953">
        <f t="shared" si="1930"/>
        <v>0</v>
      </c>
      <c r="CJ953">
        <f t="shared" si="1930"/>
        <v>0</v>
      </c>
      <c r="CK953">
        <f t="shared" si="1930"/>
        <v>0</v>
      </c>
      <c r="CL953">
        <f t="shared" si="1930"/>
        <v>0</v>
      </c>
      <c r="CM953">
        <f t="shared" ref="CM953:CV958" si="1931">IF($C953&lt;&gt;"",IF(X953&gt;0,1,0),0)</f>
        <v>0</v>
      </c>
      <c r="CN953">
        <f t="shared" si="1931"/>
        <v>0</v>
      </c>
      <c r="CO953">
        <f t="shared" si="1931"/>
        <v>0</v>
      </c>
      <c r="CP953">
        <f t="shared" si="1931"/>
        <v>0</v>
      </c>
      <c r="CQ953">
        <f t="shared" si="1931"/>
        <v>0</v>
      </c>
      <c r="CR953">
        <f t="shared" si="1931"/>
        <v>0</v>
      </c>
      <c r="CS953">
        <f t="shared" si="1931"/>
        <v>0</v>
      </c>
      <c r="CT953">
        <f t="shared" si="1931"/>
        <v>0</v>
      </c>
      <c r="CU953">
        <f t="shared" si="1931"/>
        <v>0</v>
      </c>
      <c r="CV953">
        <f t="shared" si="1931"/>
        <v>0</v>
      </c>
      <c r="CW953">
        <f t="shared" ref="CW953:DF958" si="1932">IF($C953&lt;&gt;"",IF(AH953&gt;0,1,0),0)</f>
        <v>0</v>
      </c>
      <c r="CX953">
        <f t="shared" si="1932"/>
        <v>0</v>
      </c>
      <c r="CY953">
        <f t="shared" si="1932"/>
        <v>0</v>
      </c>
      <c r="CZ953">
        <f t="shared" si="1932"/>
        <v>0</v>
      </c>
      <c r="DA953">
        <f t="shared" si="1932"/>
        <v>0</v>
      </c>
      <c r="DB953">
        <f t="shared" si="1932"/>
        <v>0</v>
      </c>
      <c r="DC953">
        <f t="shared" si="1932"/>
        <v>0</v>
      </c>
      <c r="DD953">
        <f t="shared" si="1932"/>
        <v>0</v>
      </c>
      <c r="DE953">
        <f t="shared" si="1932"/>
        <v>0</v>
      </c>
      <c r="DF953">
        <f t="shared" si="1932"/>
        <v>0</v>
      </c>
      <c r="DG953">
        <f t="shared" ref="DG953:DG958" si="1933">IF($C953&lt;&gt;"",IF(AR953&gt;0,1,0),0)</f>
        <v>0</v>
      </c>
      <c r="DH953">
        <f>IF($C953&lt;&gt;"",IF(AS954&gt;0,1,0),0)</f>
        <v>0</v>
      </c>
      <c r="DI953">
        <f t="shared" ref="DI953:DR958" si="1934">IF($C953&lt;&gt;"",IF(AT953&gt;0,1,0),0)</f>
        <v>0</v>
      </c>
      <c r="DJ953">
        <f t="shared" si="1934"/>
        <v>0</v>
      </c>
      <c r="DK953">
        <f t="shared" si="1934"/>
        <v>0</v>
      </c>
      <c r="DL953">
        <f t="shared" si="1934"/>
        <v>0</v>
      </c>
      <c r="DM953">
        <f t="shared" si="1934"/>
        <v>0</v>
      </c>
      <c r="DN953">
        <f t="shared" si="1934"/>
        <v>0</v>
      </c>
      <c r="DO953">
        <f t="shared" si="1934"/>
        <v>0</v>
      </c>
      <c r="DP953">
        <f t="shared" si="1934"/>
        <v>0</v>
      </c>
      <c r="DQ953">
        <f t="shared" si="1934"/>
        <v>0</v>
      </c>
      <c r="DR953">
        <f t="shared" si="1934"/>
        <v>0</v>
      </c>
      <c r="DS953">
        <f t="shared" ref="DS953:DZ958" si="1935">IF($C953&lt;&gt;"",IF(BD953&gt;0,1,0),0)</f>
        <v>0</v>
      </c>
      <c r="DT953">
        <f t="shared" si="1935"/>
        <v>0</v>
      </c>
      <c r="DU953">
        <f t="shared" si="1935"/>
        <v>0</v>
      </c>
      <c r="DV953">
        <f t="shared" si="1935"/>
        <v>0</v>
      </c>
      <c r="DW953">
        <f t="shared" si="1935"/>
        <v>0</v>
      </c>
      <c r="DX953">
        <f t="shared" si="1935"/>
        <v>0</v>
      </c>
      <c r="DY953">
        <f t="shared" si="1935"/>
        <v>0</v>
      </c>
      <c r="DZ953">
        <f t="shared" si="1935"/>
        <v>0</v>
      </c>
      <c r="EA953">
        <f t="shared" si="1928"/>
        <v>0</v>
      </c>
      <c r="EB953">
        <f t="shared" si="1928"/>
        <v>0</v>
      </c>
      <c r="EC953">
        <f t="shared" si="1928"/>
        <v>0</v>
      </c>
      <c r="ED953">
        <f t="shared" si="1928"/>
        <v>0</v>
      </c>
      <c r="EE953">
        <f t="shared" si="1928"/>
        <v>0</v>
      </c>
      <c r="EF953">
        <f t="shared" si="1928"/>
        <v>0</v>
      </c>
    </row>
    <row r="954" spans="1:136" ht="15.5">
      <c r="A954" s="90"/>
      <c r="B954" s="57" t="s">
        <v>3</v>
      </c>
      <c r="C954" s="94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40" t="s">
        <v>16</v>
      </c>
      <c r="AA954" s="40" t="s">
        <v>16</v>
      </c>
      <c r="AB954" s="18"/>
      <c r="AC954" s="18">
        <v>0</v>
      </c>
      <c r="AD954" s="18">
        <v>0</v>
      </c>
      <c r="AE954" s="18">
        <v>0</v>
      </c>
      <c r="AF954" s="18">
        <v>0</v>
      </c>
      <c r="AG954" s="18">
        <v>0</v>
      </c>
      <c r="AH954" s="18">
        <v>0</v>
      </c>
      <c r="AI954" s="18">
        <v>0</v>
      </c>
      <c r="AJ954" s="18">
        <v>0</v>
      </c>
      <c r="AK954" s="18">
        <v>0</v>
      </c>
      <c r="AL954" s="18">
        <v>0</v>
      </c>
      <c r="AM954" s="18">
        <v>0</v>
      </c>
      <c r="AN954" s="18">
        <v>0</v>
      </c>
      <c r="AO954" s="18">
        <v>0.20399999999999999</v>
      </c>
      <c r="AP954" s="18">
        <v>0.20399999999999999</v>
      </c>
      <c r="AQ954" s="18">
        <v>4.4499029999999999</v>
      </c>
      <c r="AR954" s="18">
        <v>125</v>
      </c>
      <c r="AS954" s="18">
        <v>120</v>
      </c>
      <c r="AT954" s="18">
        <v>87.513631900000007</v>
      </c>
      <c r="AU954" s="18">
        <v>9.3421357</v>
      </c>
      <c r="AV954" s="18">
        <v>30.605494100000001</v>
      </c>
      <c r="AW954" s="18">
        <v>230.06425369999999</v>
      </c>
      <c r="AX954" s="18">
        <v>227.81124890000001</v>
      </c>
      <c r="AY954" s="18">
        <v>227.47524540000001</v>
      </c>
      <c r="AZ954" s="18">
        <v>6.5249889000000003</v>
      </c>
      <c r="BA954" s="18">
        <v>38.961017200000001</v>
      </c>
      <c r="BB954" s="18">
        <v>38.961017200000001</v>
      </c>
      <c r="BC954" s="18">
        <v>38.960763399999998</v>
      </c>
      <c r="BD954" s="18">
        <v>1.2539163999999998</v>
      </c>
      <c r="BE954" s="25">
        <v>1.1942746000000002</v>
      </c>
      <c r="BF954" s="18">
        <v>1.8738856000000002</v>
      </c>
      <c r="BG954" s="18">
        <v>1.7966392</v>
      </c>
      <c r="BH954" s="18">
        <v>1.7753256000000002</v>
      </c>
      <c r="BI954" s="18">
        <v>1.8647688</v>
      </c>
      <c r="BJ954" s="113">
        <v>4.9037964000000001</v>
      </c>
      <c r="BK954" s="113">
        <v>4.7087403999999999</v>
      </c>
      <c r="BL954" s="113">
        <v>4.7093625999999995</v>
      </c>
      <c r="BM954" s="113">
        <v>0</v>
      </c>
      <c r="BN954" s="113">
        <v>0</v>
      </c>
      <c r="BO954" s="113">
        <v>0</v>
      </c>
      <c r="BP954" s="113">
        <v>0</v>
      </c>
      <c r="BQ954" s="113">
        <v>0</v>
      </c>
      <c r="BR954" s="101"/>
      <c r="BS954">
        <f t="shared" si="1929"/>
        <v>0</v>
      </c>
      <c r="BT954">
        <f t="shared" si="1929"/>
        <v>0</v>
      </c>
      <c r="BU954">
        <f t="shared" si="1929"/>
        <v>0</v>
      </c>
      <c r="BV954">
        <f t="shared" si="1929"/>
        <v>0</v>
      </c>
      <c r="BW954">
        <f t="shared" si="1929"/>
        <v>0</v>
      </c>
      <c r="BX954">
        <f t="shared" si="1929"/>
        <v>0</v>
      </c>
      <c r="BY954">
        <f t="shared" si="1929"/>
        <v>0</v>
      </c>
      <c r="BZ954">
        <f t="shared" si="1929"/>
        <v>0</v>
      </c>
      <c r="CA954">
        <f t="shared" si="1929"/>
        <v>0</v>
      </c>
      <c r="CB954">
        <f t="shared" si="1929"/>
        <v>0</v>
      </c>
      <c r="CC954">
        <f t="shared" si="1930"/>
        <v>0</v>
      </c>
      <c r="CD954">
        <f t="shared" si="1930"/>
        <v>0</v>
      </c>
      <c r="CE954">
        <f t="shared" si="1930"/>
        <v>0</v>
      </c>
      <c r="CF954">
        <f t="shared" si="1930"/>
        <v>0</v>
      </c>
      <c r="CG954">
        <f t="shared" si="1930"/>
        <v>0</v>
      </c>
      <c r="CH954">
        <f t="shared" si="1930"/>
        <v>0</v>
      </c>
      <c r="CI954">
        <f t="shared" si="1930"/>
        <v>0</v>
      </c>
      <c r="CJ954">
        <f t="shared" si="1930"/>
        <v>0</v>
      </c>
      <c r="CK954">
        <f t="shared" si="1930"/>
        <v>0</v>
      </c>
      <c r="CL954">
        <f t="shared" si="1930"/>
        <v>0</v>
      </c>
      <c r="CM954">
        <f t="shared" si="1931"/>
        <v>0</v>
      </c>
      <c r="CN954">
        <f t="shared" si="1931"/>
        <v>0</v>
      </c>
      <c r="CO954">
        <f t="shared" si="1931"/>
        <v>0</v>
      </c>
      <c r="CP954">
        <f t="shared" si="1931"/>
        <v>0</v>
      </c>
      <c r="CQ954">
        <f t="shared" si="1931"/>
        <v>0</v>
      </c>
      <c r="CR954">
        <f t="shared" si="1931"/>
        <v>0</v>
      </c>
      <c r="CS954">
        <f t="shared" si="1931"/>
        <v>0</v>
      </c>
      <c r="CT954">
        <f t="shared" si="1931"/>
        <v>0</v>
      </c>
      <c r="CU954">
        <f t="shared" si="1931"/>
        <v>0</v>
      </c>
      <c r="CV954">
        <f t="shared" si="1931"/>
        <v>0</v>
      </c>
      <c r="CW954">
        <f t="shared" si="1932"/>
        <v>0</v>
      </c>
      <c r="CX954">
        <f t="shared" si="1932"/>
        <v>0</v>
      </c>
      <c r="CY954">
        <f t="shared" si="1932"/>
        <v>0</v>
      </c>
      <c r="CZ954">
        <f t="shared" si="1932"/>
        <v>0</v>
      </c>
      <c r="DA954">
        <f t="shared" si="1932"/>
        <v>0</v>
      </c>
      <c r="DB954">
        <f t="shared" si="1932"/>
        <v>0</v>
      </c>
      <c r="DC954">
        <f t="shared" si="1932"/>
        <v>0</v>
      </c>
      <c r="DD954">
        <f t="shared" si="1932"/>
        <v>0</v>
      </c>
      <c r="DE954">
        <f t="shared" si="1932"/>
        <v>0</v>
      </c>
      <c r="DF954">
        <f t="shared" si="1932"/>
        <v>0</v>
      </c>
      <c r="DG954">
        <f t="shared" si="1933"/>
        <v>0</v>
      </c>
      <c r="DH954">
        <f>IF($C954&lt;&gt;"",IF(#REF!&gt;0,1,0),0)</f>
        <v>0</v>
      </c>
      <c r="DI954">
        <f t="shared" si="1934"/>
        <v>0</v>
      </c>
      <c r="DJ954">
        <f t="shared" si="1934"/>
        <v>0</v>
      </c>
      <c r="DK954">
        <f t="shared" si="1934"/>
        <v>0</v>
      </c>
      <c r="DL954">
        <f t="shared" si="1934"/>
        <v>0</v>
      </c>
      <c r="DM954">
        <f t="shared" si="1934"/>
        <v>0</v>
      </c>
      <c r="DN954">
        <f t="shared" si="1934"/>
        <v>0</v>
      </c>
      <c r="DO954">
        <f t="shared" si="1934"/>
        <v>0</v>
      </c>
      <c r="DP954">
        <f t="shared" si="1934"/>
        <v>0</v>
      </c>
      <c r="DQ954">
        <f t="shared" si="1934"/>
        <v>0</v>
      </c>
      <c r="DR954">
        <f t="shared" si="1934"/>
        <v>0</v>
      </c>
      <c r="DS954">
        <f t="shared" si="1935"/>
        <v>0</v>
      </c>
      <c r="DT954">
        <f t="shared" si="1935"/>
        <v>0</v>
      </c>
      <c r="DU954">
        <f t="shared" si="1935"/>
        <v>0</v>
      </c>
      <c r="DV954">
        <f t="shared" si="1935"/>
        <v>0</v>
      </c>
      <c r="DW954">
        <f t="shared" si="1935"/>
        <v>0</v>
      </c>
      <c r="DX954">
        <f t="shared" si="1935"/>
        <v>0</v>
      </c>
      <c r="DY954">
        <f t="shared" si="1935"/>
        <v>0</v>
      </c>
      <c r="DZ954">
        <f t="shared" si="1935"/>
        <v>0</v>
      </c>
      <c r="EA954">
        <f t="shared" si="1928"/>
        <v>0</v>
      </c>
      <c r="EB954">
        <f t="shared" si="1928"/>
        <v>0</v>
      </c>
      <c r="EC954">
        <f t="shared" si="1928"/>
        <v>0</v>
      </c>
      <c r="ED954">
        <f t="shared" si="1928"/>
        <v>0</v>
      </c>
      <c r="EE954">
        <f t="shared" si="1928"/>
        <v>0</v>
      </c>
      <c r="EF954">
        <f t="shared" si="1928"/>
        <v>0</v>
      </c>
    </row>
    <row r="955" spans="1:136" ht="15.5">
      <c r="A955" s="90"/>
      <c r="B955" s="19" t="s">
        <v>18</v>
      </c>
      <c r="C955" s="94"/>
      <c r="D955" s="18">
        <v>0</v>
      </c>
      <c r="E955" s="18">
        <v>0</v>
      </c>
      <c r="F955" s="18">
        <v>0</v>
      </c>
      <c r="G955" s="18">
        <v>0</v>
      </c>
      <c r="H955" s="18">
        <v>0</v>
      </c>
      <c r="I955" s="18">
        <v>0</v>
      </c>
      <c r="J955" s="18">
        <v>0</v>
      </c>
      <c r="K955" s="18">
        <v>0</v>
      </c>
      <c r="L955" s="18">
        <v>0</v>
      </c>
      <c r="M955" s="18">
        <v>0</v>
      </c>
      <c r="N955" s="18">
        <v>0</v>
      </c>
      <c r="O955" s="18">
        <v>0</v>
      </c>
      <c r="P955" s="18">
        <v>0</v>
      </c>
      <c r="Q955" s="18">
        <v>0</v>
      </c>
      <c r="R955" s="18">
        <v>0</v>
      </c>
      <c r="S955" s="18">
        <v>0</v>
      </c>
      <c r="T955" s="18">
        <v>0</v>
      </c>
      <c r="U955" s="18">
        <v>0</v>
      </c>
      <c r="V955" s="18">
        <v>0</v>
      </c>
      <c r="W955" s="18">
        <v>0</v>
      </c>
      <c r="X955" s="18">
        <v>0</v>
      </c>
      <c r="Y955" s="18">
        <v>1359.0989999999999</v>
      </c>
      <c r="Z955" s="18">
        <v>1598</v>
      </c>
      <c r="AA955" s="18">
        <v>567</v>
      </c>
      <c r="AB955" s="18">
        <v>0</v>
      </c>
      <c r="AC955" s="18">
        <v>0</v>
      </c>
      <c r="AD955" s="18">
        <v>800</v>
      </c>
      <c r="AE955" s="18">
        <v>0</v>
      </c>
      <c r="AF955" s="18">
        <v>0</v>
      </c>
      <c r="AG955" s="18">
        <v>0</v>
      </c>
      <c r="AH955" s="18">
        <v>0</v>
      </c>
      <c r="AI955" s="18">
        <v>0</v>
      </c>
      <c r="AJ955" s="18">
        <v>0</v>
      </c>
      <c r="AK955" s="18">
        <v>0</v>
      </c>
      <c r="AL955" s="18">
        <v>0</v>
      </c>
      <c r="AM955" s="18">
        <v>0</v>
      </c>
      <c r="AN955" s="18">
        <v>0</v>
      </c>
      <c r="AO955" s="18">
        <v>0</v>
      </c>
      <c r="AP955" s="18">
        <v>0</v>
      </c>
      <c r="AQ955" s="18">
        <v>0</v>
      </c>
      <c r="AR955" s="18">
        <v>0</v>
      </c>
      <c r="AS955" s="18">
        <v>0</v>
      </c>
      <c r="AT955" s="18">
        <v>0</v>
      </c>
      <c r="AU955" s="18">
        <v>0</v>
      </c>
      <c r="AV955" s="18">
        <v>0</v>
      </c>
      <c r="AW955" s="18">
        <v>0</v>
      </c>
      <c r="AX955" s="18">
        <v>0</v>
      </c>
      <c r="AY955" s="18">
        <v>0</v>
      </c>
      <c r="AZ955" s="18">
        <v>0</v>
      </c>
      <c r="BA955" s="18">
        <v>0</v>
      </c>
      <c r="BB955" s="18">
        <v>0</v>
      </c>
      <c r="BC955" s="18">
        <v>0</v>
      </c>
      <c r="BD955" s="18">
        <v>0</v>
      </c>
      <c r="BE955" s="25">
        <v>0</v>
      </c>
      <c r="BF955" s="18">
        <v>0</v>
      </c>
      <c r="BG955" s="18">
        <v>0</v>
      </c>
      <c r="BH955" s="18">
        <v>0</v>
      </c>
      <c r="BI955" s="18">
        <v>0</v>
      </c>
      <c r="BJ955" s="113">
        <v>0</v>
      </c>
      <c r="BK955" s="113">
        <v>0</v>
      </c>
      <c r="BL955" s="113">
        <v>0</v>
      </c>
      <c r="BM955" s="113">
        <v>0</v>
      </c>
      <c r="BN955" s="113">
        <v>0</v>
      </c>
      <c r="BO955" s="113">
        <v>0</v>
      </c>
      <c r="BP955" s="113">
        <v>0</v>
      </c>
      <c r="BQ955" s="113">
        <v>0</v>
      </c>
      <c r="BR955" s="101"/>
      <c r="BS955">
        <f t="shared" si="1929"/>
        <v>0</v>
      </c>
      <c r="BT955">
        <f t="shared" si="1929"/>
        <v>0</v>
      </c>
      <c r="BU955">
        <f t="shared" si="1929"/>
        <v>0</v>
      </c>
      <c r="BV955">
        <f t="shared" si="1929"/>
        <v>0</v>
      </c>
      <c r="BW955">
        <f t="shared" si="1929"/>
        <v>0</v>
      </c>
      <c r="BX955">
        <f t="shared" si="1929"/>
        <v>0</v>
      </c>
      <c r="BY955">
        <f t="shared" si="1929"/>
        <v>0</v>
      </c>
      <c r="BZ955">
        <f t="shared" si="1929"/>
        <v>0</v>
      </c>
      <c r="CA955">
        <f t="shared" si="1929"/>
        <v>0</v>
      </c>
      <c r="CB955">
        <f t="shared" si="1929"/>
        <v>0</v>
      </c>
      <c r="CC955">
        <f t="shared" si="1930"/>
        <v>0</v>
      </c>
      <c r="CD955">
        <f t="shared" si="1930"/>
        <v>0</v>
      </c>
      <c r="CE955">
        <f t="shared" si="1930"/>
        <v>0</v>
      </c>
      <c r="CF955">
        <f t="shared" si="1930"/>
        <v>0</v>
      </c>
      <c r="CG955">
        <f t="shared" si="1930"/>
        <v>0</v>
      </c>
      <c r="CH955">
        <f t="shared" si="1930"/>
        <v>0</v>
      </c>
      <c r="CI955">
        <f t="shared" si="1930"/>
        <v>0</v>
      </c>
      <c r="CJ955">
        <f t="shared" si="1930"/>
        <v>0</v>
      </c>
      <c r="CK955">
        <f t="shared" si="1930"/>
        <v>0</v>
      </c>
      <c r="CL955">
        <f t="shared" si="1930"/>
        <v>0</v>
      </c>
      <c r="CM955">
        <f t="shared" si="1931"/>
        <v>0</v>
      </c>
      <c r="CN955">
        <f t="shared" si="1931"/>
        <v>0</v>
      </c>
      <c r="CO955">
        <f t="shared" si="1931"/>
        <v>0</v>
      </c>
      <c r="CP955">
        <f t="shared" si="1931"/>
        <v>0</v>
      </c>
      <c r="CQ955">
        <f t="shared" si="1931"/>
        <v>0</v>
      </c>
      <c r="CR955">
        <f t="shared" si="1931"/>
        <v>0</v>
      </c>
      <c r="CS955">
        <f t="shared" si="1931"/>
        <v>0</v>
      </c>
      <c r="CT955">
        <f t="shared" si="1931"/>
        <v>0</v>
      </c>
      <c r="CU955">
        <f t="shared" si="1931"/>
        <v>0</v>
      </c>
      <c r="CV955">
        <f t="shared" si="1931"/>
        <v>0</v>
      </c>
      <c r="CW955">
        <f t="shared" si="1932"/>
        <v>0</v>
      </c>
      <c r="CX955">
        <f t="shared" si="1932"/>
        <v>0</v>
      </c>
      <c r="CY955">
        <f t="shared" si="1932"/>
        <v>0</v>
      </c>
      <c r="CZ955">
        <f t="shared" si="1932"/>
        <v>0</v>
      </c>
      <c r="DA955">
        <f t="shared" si="1932"/>
        <v>0</v>
      </c>
      <c r="DB955">
        <f t="shared" si="1932"/>
        <v>0</v>
      </c>
      <c r="DC955">
        <f t="shared" si="1932"/>
        <v>0</v>
      </c>
      <c r="DD955">
        <f t="shared" si="1932"/>
        <v>0</v>
      </c>
      <c r="DE955">
        <f t="shared" si="1932"/>
        <v>0</v>
      </c>
      <c r="DF955">
        <f t="shared" si="1932"/>
        <v>0</v>
      </c>
      <c r="DG955">
        <f t="shared" si="1933"/>
        <v>0</v>
      </c>
      <c r="DH955">
        <f>IF($C955&lt;&gt;"",IF(AS955&gt;0,1,0),0)</f>
        <v>0</v>
      </c>
      <c r="DI955">
        <f t="shared" si="1934"/>
        <v>0</v>
      </c>
      <c r="DJ955">
        <f t="shared" si="1934"/>
        <v>0</v>
      </c>
      <c r="DK955">
        <f t="shared" si="1934"/>
        <v>0</v>
      </c>
      <c r="DL955">
        <f t="shared" si="1934"/>
        <v>0</v>
      </c>
      <c r="DM955">
        <f t="shared" si="1934"/>
        <v>0</v>
      </c>
      <c r="DN955">
        <f t="shared" si="1934"/>
        <v>0</v>
      </c>
      <c r="DO955">
        <f t="shared" si="1934"/>
        <v>0</v>
      </c>
      <c r="DP955">
        <f t="shared" si="1934"/>
        <v>0</v>
      </c>
      <c r="DQ955">
        <f t="shared" si="1934"/>
        <v>0</v>
      </c>
      <c r="DR955">
        <f t="shared" si="1934"/>
        <v>0</v>
      </c>
      <c r="DS955">
        <f t="shared" si="1935"/>
        <v>0</v>
      </c>
      <c r="DT955">
        <f t="shared" si="1935"/>
        <v>0</v>
      </c>
      <c r="DU955">
        <f t="shared" si="1935"/>
        <v>0</v>
      </c>
      <c r="DV955">
        <f t="shared" si="1935"/>
        <v>0</v>
      </c>
      <c r="DW955">
        <f t="shared" si="1935"/>
        <v>0</v>
      </c>
      <c r="DX955">
        <f t="shared" si="1935"/>
        <v>0</v>
      </c>
      <c r="DY955">
        <f t="shared" si="1935"/>
        <v>0</v>
      </c>
      <c r="DZ955">
        <f t="shared" si="1935"/>
        <v>0</v>
      </c>
      <c r="EA955">
        <f t="shared" si="1928"/>
        <v>0</v>
      </c>
      <c r="EB955">
        <f t="shared" si="1928"/>
        <v>0</v>
      </c>
      <c r="EC955">
        <f t="shared" si="1928"/>
        <v>0</v>
      </c>
      <c r="ED955">
        <f t="shared" si="1928"/>
        <v>0</v>
      </c>
      <c r="EE955">
        <f t="shared" si="1928"/>
        <v>0</v>
      </c>
      <c r="EF955">
        <f t="shared" si="1928"/>
        <v>0</v>
      </c>
    </row>
    <row r="956" spans="1:136" ht="15.5">
      <c r="A956" s="90"/>
      <c r="B956" s="53" t="s">
        <v>25</v>
      </c>
      <c r="C956" s="94"/>
      <c r="D956" s="18">
        <v>272.75692199999997</v>
      </c>
      <c r="E956" s="18">
        <v>279.62212199999999</v>
      </c>
      <c r="F956" s="18">
        <v>286.48732200000001</v>
      </c>
      <c r="G956" s="18">
        <v>293.35252200000002</v>
      </c>
      <c r="H956" s="18">
        <v>300.21772199999998</v>
      </c>
      <c r="I956" s="18">
        <v>307.082922</v>
      </c>
      <c r="J956" s="18">
        <v>313.94812200000001</v>
      </c>
      <c r="K956" s="18">
        <v>309.657082</v>
      </c>
      <c r="L956" s="18">
        <v>316.324682</v>
      </c>
      <c r="M956" s="18">
        <v>322.99228199999999</v>
      </c>
      <c r="N956" s="18">
        <v>329.36615599999999</v>
      </c>
      <c r="O956" s="18">
        <v>340.21014000000002</v>
      </c>
      <c r="P956" s="18">
        <v>341.17344600000001</v>
      </c>
      <c r="Q956" s="18">
        <v>347.19431400000008</v>
      </c>
      <c r="R956" s="18">
        <v>354.1358800000001</v>
      </c>
      <c r="S956" s="18">
        <v>350.89769400000012</v>
      </c>
      <c r="T956" s="18">
        <v>54.325487999999993</v>
      </c>
      <c r="U956" s="18">
        <v>0</v>
      </c>
      <c r="V956" s="18">
        <v>0</v>
      </c>
      <c r="W956" s="18">
        <v>0</v>
      </c>
      <c r="X956" s="18">
        <v>0</v>
      </c>
      <c r="Y956" s="18">
        <v>0</v>
      </c>
      <c r="Z956" s="18">
        <v>0</v>
      </c>
      <c r="AA956" s="18">
        <v>0</v>
      </c>
      <c r="AB956" s="18">
        <v>0</v>
      </c>
      <c r="AC956" s="18">
        <v>0</v>
      </c>
      <c r="AD956" s="18">
        <v>0</v>
      </c>
      <c r="AE956" s="18">
        <v>0</v>
      </c>
      <c r="AF956" s="18">
        <v>0</v>
      </c>
      <c r="AG956" s="18">
        <v>0</v>
      </c>
      <c r="AH956" s="18">
        <v>0</v>
      </c>
      <c r="AI956" s="18">
        <v>0</v>
      </c>
      <c r="AJ956" s="18">
        <v>0</v>
      </c>
      <c r="AK956" s="18">
        <v>0</v>
      </c>
      <c r="AL956" s="18">
        <v>0</v>
      </c>
      <c r="AM956" s="18">
        <v>0</v>
      </c>
      <c r="AN956" s="18">
        <v>0</v>
      </c>
      <c r="AO956" s="18">
        <v>0</v>
      </c>
      <c r="AP956" s="18">
        <v>0</v>
      </c>
      <c r="AQ956" s="18">
        <v>0</v>
      </c>
      <c r="AR956" s="18">
        <v>0</v>
      </c>
      <c r="AS956" s="18">
        <v>0</v>
      </c>
      <c r="AT956" s="18">
        <v>0</v>
      </c>
      <c r="AU956" s="18">
        <v>0</v>
      </c>
      <c r="AV956" s="18">
        <v>0</v>
      </c>
      <c r="AW956" s="18">
        <v>0</v>
      </c>
      <c r="AX956" s="18">
        <v>0</v>
      </c>
      <c r="AY956" s="18">
        <v>0</v>
      </c>
      <c r="AZ956" s="18">
        <v>0</v>
      </c>
      <c r="BA956" s="18">
        <v>0</v>
      </c>
      <c r="BB956" s="18">
        <v>0</v>
      </c>
      <c r="BC956" s="18">
        <v>0</v>
      </c>
      <c r="BD956" s="18">
        <v>0</v>
      </c>
      <c r="BE956" s="18">
        <v>0</v>
      </c>
      <c r="BF956" s="18">
        <v>0</v>
      </c>
      <c r="BG956" s="18">
        <v>0</v>
      </c>
      <c r="BH956" s="18">
        <v>0</v>
      </c>
      <c r="BI956" s="18">
        <v>0</v>
      </c>
      <c r="BJ956" s="113">
        <v>0</v>
      </c>
      <c r="BK956" s="113">
        <v>0</v>
      </c>
      <c r="BL956" s="113">
        <v>0</v>
      </c>
      <c r="BM956" s="113">
        <v>0</v>
      </c>
      <c r="BN956" s="113">
        <v>0</v>
      </c>
      <c r="BO956" s="113">
        <v>0</v>
      </c>
      <c r="BP956" s="113">
        <v>0</v>
      </c>
      <c r="BQ956" s="113">
        <v>0</v>
      </c>
      <c r="BR956" s="101"/>
      <c r="BS956">
        <f t="shared" si="1929"/>
        <v>0</v>
      </c>
      <c r="BT956">
        <f t="shared" si="1929"/>
        <v>0</v>
      </c>
      <c r="BU956">
        <f t="shared" si="1929"/>
        <v>0</v>
      </c>
      <c r="BV956">
        <f t="shared" si="1929"/>
        <v>0</v>
      </c>
      <c r="BW956">
        <f t="shared" si="1929"/>
        <v>0</v>
      </c>
      <c r="BX956">
        <f t="shared" si="1929"/>
        <v>0</v>
      </c>
      <c r="BY956">
        <f t="shared" si="1929"/>
        <v>0</v>
      </c>
      <c r="BZ956">
        <f t="shared" si="1929"/>
        <v>0</v>
      </c>
      <c r="CA956">
        <f t="shared" si="1929"/>
        <v>0</v>
      </c>
      <c r="CB956">
        <f t="shared" si="1929"/>
        <v>0</v>
      </c>
      <c r="CC956">
        <f t="shared" si="1930"/>
        <v>0</v>
      </c>
      <c r="CD956">
        <f t="shared" si="1930"/>
        <v>0</v>
      </c>
      <c r="CE956">
        <f t="shared" si="1930"/>
        <v>0</v>
      </c>
      <c r="CF956">
        <f t="shared" si="1930"/>
        <v>0</v>
      </c>
      <c r="CG956">
        <f t="shared" si="1930"/>
        <v>0</v>
      </c>
      <c r="CH956">
        <f t="shared" si="1930"/>
        <v>0</v>
      </c>
      <c r="CI956">
        <f t="shared" si="1930"/>
        <v>0</v>
      </c>
      <c r="CJ956">
        <f t="shared" si="1930"/>
        <v>0</v>
      </c>
      <c r="CK956">
        <f t="shared" si="1930"/>
        <v>0</v>
      </c>
      <c r="CL956">
        <f t="shared" si="1930"/>
        <v>0</v>
      </c>
      <c r="CM956">
        <f t="shared" si="1931"/>
        <v>0</v>
      </c>
      <c r="CN956">
        <f t="shared" si="1931"/>
        <v>0</v>
      </c>
      <c r="CO956">
        <f t="shared" si="1931"/>
        <v>0</v>
      </c>
      <c r="CP956">
        <f t="shared" si="1931"/>
        <v>0</v>
      </c>
      <c r="CQ956">
        <f t="shared" si="1931"/>
        <v>0</v>
      </c>
      <c r="CR956">
        <f t="shared" si="1931"/>
        <v>0</v>
      </c>
      <c r="CS956">
        <f t="shared" si="1931"/>
        <v>0</v>
      </c>
      <c r="CT956">
        <f t="shared" si="1931"/>
        <v>0</v>
      </c>
      <c r="CU956">
        <f t="shared" si="1931"/>
        <v>0</v>
      </c>
      <c r="CV956">
        <f t="shared" si="1931"/>
        <v>0</v>
      </c>
      <c r="CW956">
        <f t="shared" si="1932"/>
        <v>0</v>
      </c>
      <c r="CX956">
        <f t="shared" si="1932"/>
        <v>0</v>
      </c>
      <c r="CY956">
        <f t="shared" si="1932"/>
        <v>0</v>
      </c>
      <c r="CZ956">
        <f t="shared" si="1932"/>
        <v>0</v>
      </c>
      <c r="DA956">
        <f t="shared" si="1932"/>
        <v>0</v>
      </c>
      <c r="DB956">
        <f t="shared" si="1932"/>
        <v>0</v>
      </c>
      <c r="DC956">
        <f t="shared" si="1932"/>
        <v>0</v>
      </c>
      <c r="DD956">
        <f t="shared" si="1932"/>
        <v>0</v>
      </c>
      <c r="DE956">
        <f t="shared" si="1932"/>
        <v>0</v>
      </c>
      <c r="DF956">
        <f t="shared" si="1932"/>
        <v>0</v>
      </c>
      <c r="DG956">
        <f t="shared" si="1933"/>
        <v>0</v>
      </c>
      <c r="DH956">
        <f>IF($C956&lt;&gt;"",IF(AS956&gt;0,1,0),0)</f>
        <v>0</v>
      </c>
      <c r="DI956">
        <f t="shared" si="1934"/>
        <v>0</v>
      </c>
      <c r="DJ956">
        <f t="shared" si="1934"/>
        <v>0</v>
      </c>
      <c r="DK956">
        <f t="shared" si="1934"/>
        <v>0</v>
      </c>
      <c r="DL956">
        <f t="shared" si="1934"/>
        <v>0</v>
      </c>
      <c r="DM956">
        <f t="shared" si="1934"/>
        <v>0</v>
      </c>
      <c r="DN956">
        <f t="shared" si="1934"/>
        <v>0</v>
      </c>
      <c r="DO956">
        <f t="shared" si="1934"/>
        <v>0</v>
      </c>
      <c r="DP956">
        <f t="shared" si="1934"/>
        <v>0</v>
      </c>
      <c r="DQ956">
        <f t="shared" si="1934"/>
        <v>0</v>
      </c>
      <c r="DR956">
        <f t="shared" si="1934"/>
        <v>0</v>
      </c>
      <c r="DS956">
        <f t="shared" si="1935"/>
        <v>0</v>
      </c>
      <c r="DT956">
        <f t="shared" si="1935"/>
        <v>0</v>
      </c>
      <c r="DU956">
        <f t="shared" si="1935"/>
        <v>0</v>
      </c>
      <c r="DV956">
        <f t="shared" si="1935"/>
        <v>0</v>
      </c>
      <c r="DW956">
        <f t="shared" si="1935"/>
        <v>0</v>
      </c>
      <c r="DX956">
        <f t="shared" si="1935"/>
        <v>0</v>
      </c>
      <c r="DY956">
        <f t="shared" si="1935"/>
        <v>0</v>
      </c>
      <c r="DZ956">
        <f t="shared" si="1935"/>
        <v>0</v>
      </c>
      <c r="EA956">
        <f t="shared" si="1928"/>
        <v>0</v>
      </c>
      <c r="EB956">
        <f t="shared" si="1928"/>
        <v>0</v>
      </c>
      <c r="EC956">
        <f t="shared" si="1928"/>
        <v>0</v>
      </c>
      <c r="ED956">
        <f t="shared" si="1928"/>
        <v>0</v>
      </c>
      <c r="EE956">
        <f t="shared" si="1928"/>
        <v>0</v>
      </c>
      <c r="EF956">
        <f t="shared" si="1928"/>
        <v>0</v>
      </c>
    </row>
    <row r="957" spans="1:136" ht="15.5">
      <c r="A957" s="90"/>
      <c r="B957" s="19" t="s">
        <v>208</v>
      </c>
      <c r="C957" s="94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>
        <v>0</v>
      </c>
      <c r="O957" s="18">
        <v>0</v>
      </c>
      <c r="P957" s="18">
        <v>0</v>
      </c>
      <c r="Q957" s="18">
        <v>0</v>
      </c>
      <c r="R957" s="18">
        <v>0</v>
      </c>
      <c r="S957" s="18">
        <v>0</v>
      </c>
      <c r="T957" s="18">
        <v>0</v>
      </c>
      <c r="U957" s="18">
        <v>0</v>
      </c>
      <c r="V957" s="18">
        <v>0</v>
      </c>
      <c r="W957" s="18">
        <v>0</v>
      </c>
      <c r="X957" s="18">
        <v>0</v>
      </c>
      <c r="Y957" s="18">
        <v>0</v>
      </c>
      <c r="Z957" s="18">
        <v>0</v>
      </c>
      <c r="AA957" s="18">
        <v>0</v>
      </c>
      <c r="AB957" s="18">
        <v>0</v>
      </c>
      <c r="AC957" s="18">
        <v>0</v>
      </c>
      <c r="AD957" s="18">
        <v>0</v>
      </c>
      <c r="AE957" s="18">
        <v>0</v>
      </c>
      <c r="AF957" s="18">
        <v>0</v>
      </c>
      <c r="AG957" s="18">
        <v>0</v>
      </c>
      <c r="AH957" s="18">
        <v>0</v>
      </c>
      <c r="AI957" s="18">
        <v>0</v>
      </c>
      <c r="AJ957" s="18">
        <v>0</v>
      </c>
      <c r="AK957" s="18">
        <v>0</v>
      </c>
      <c r="AL957" s="18">
        <v>0</v>
      </c>
      <c r="AM957" s="18">
        <v>0</v>
      </c>
      <c r="AN957" s="18">
        <v>0</v>
      </c>
      <c r="AO957" s="18">
        <v>0</v>
      </c>
      <c r="AP957" s="18">
        <v>64.992999999999995</v>
      </c>
      <c r="AQ957" s="18">
        <v>61.793999999999997</v>
      </c>
      <c r="AR957" s="18">
        <v>23.588000000000001</v>
      </c>
      <c r="AS957" s="18">
        <v>29.3</v>
      </c>
      <c r="AT957" s="18">
        <v>36.408999999999999</v>
      </c>
      <c r="AU957" s="18">
        <v>29.93</v>
      </c>
      <c r="AV957" s="18">
        <v>42.689</v>
      </c>
      <c r="AW957" s="18">
        <v>39.734000000000002</v>
      </c>
      <c r="AX957" s="18">
        <v>36.454000000000001</v>
      </c>
      <c r="AY957" s="18">
        <v>33.718000000000004</v>
      </c>
      <c r="AZ957" s="18">
        <v>11.808</v>
      </c>
      <c r="BA957" s="18">
        <v>0.438</v>
      </c>
      <c r="BB957" s="18">
        <v>0.34699999999999998</v>
      </c>
      <c r="BC957" s="18">
        <v>0.34199999999999997</v>
      </c>
      <c r="BD957" s="18">
        <v>0</v>
      </c>
      <c r="BE957" s="25">
        <v>0</v>
      </c>
      <c r="BF957" s="18">
        <v>0</v>
      </c>
      <c r="BG957" s="18">
        <v>0</v>
      </c>
      <c r="BH957" s="18">
        <v>0</v>
      </c>
      <c r="BI957" s="18">
        <v>0</v>
      </c>
      <c r="BJ957" s="113">
        <v>0</v>
      </c>
      <c r="BK957" s="113">
        <v>0</v>
      </c>
      <c r="BL957" s="113">
        <v>0</v>
      </c>
      <c r="BM957" s="113">
        <v>0</v>
      </c>
      <c r="BN957" s="113">
        <v>0</v>
      </c>
      <c r="BO957" s="113">
        <v>0</v>
      </c>
      <c r="BP957" s="113">
        <v>0</v>
      </c>
      <c r="BQ957" s="113">
        <v>0</v>
      </c>
      <c r="BR957" s="101"/>
      <c r="BS957">
        <f t="shared" si="1929"/>
        <v>0</v>
      </c>
      <c r="BT957">
        <f t="shared" si="1929"/>
        <v>0</v>
      </c>
      <c r="BU957">
        <f t="shared" si="1929"/>
        <v>0</v>
      </c>
      <c r="BV957">
        <f t="shared" si="1929"/>
        <v>0</v>
      </c>
      <c r="BW957">
        <f t="shared" si="1929"/>
        <v>0</v>
      </c>
      <c r="BX957">
        <f t="shared" si="1929"/>
        <v>0</v>
      </c>
      <c r="BY957">
        <f t="shared" si="1929"/>
        <v>0</v>
      </c>
      <c r="BZ957">
        <f t="shared" si="1929"/>
        <v>0</v>
      </c>
      <c r="CA957">
        <f t="shared" si="1929"/>
        <v>0</v>
      </c>
      <c r="CB957">
        <f t="shared" si="1929"/>
        <v>0</v>
      </c>
      <c r="CC957">
        <f t="shared" si="1930"/>
        <v>0</v>
      </c>
      <c r="CD957">
        <f t="shared" si="1930"/>
        <v>0</v>
      </c>
      <c r="CE957">
        <f t="shared" si="1930"/>
        <v>0</v>
      </c>
      <c r="CF957">
        <f t="shared" si="1930"/>
        <v>0</v>
      </c>
      <c r="CG957">
        <f t="shared" si="1930"/>
        <v>0</v>
      </c>
      <c r="CH957">
        <f t="shared" si="1930"/>
        <v>0</v>
      </c>
      <c r="CI957">
        <f t="shared" si="1930"/>
        <v>0</v>
      </c>
      <c r="CJ957">
        <f t="shared" si="1930"/>
        <v>0</v>
      </c>
      <c r="CK957">
        <f t="shared" si="1930"/>
        <v>0</v>
      </c>
      <c r="CL957">
        <f t="shared" si="1930"/>
        <v>0</v>
      </c>
      <c r="CM957">
        <f t="shared" si="1931"/>
        <v>0</v>
      </c>
      <c r="CN957">
        <f t="shared" si="1931"/>
        <v>0</v>
      </c>
      <c r="CO957">
        <f t="shared" si="1931"/>
        <v>0</v>
      </c>
      <c r="CP957">
        <f t="shared" si="1931"/>
        <v>0</v>
      </c>
      <c r="CQ957">
        <f t="shared" si="1931"/>
        <v>0</v>
      </c>
      <c r="CR957">
        <f t="shared" si="1931"/>
        <v>0</v>
      </c>
      <c r="CS957">
        <f t="shared" si="1931"/>
        <v>0</v>
      </c>
      <c r="CT957">
        <f t="shared" si="1931"/>
        <v>0</v>
      </c>
      <c r="CU957">
        <f t="shared" si="1931"/>
        <v>0</v>
      </c>
      <c r="CV957">
        <f t="shared" si="1931"/>
        <v>0</v>
      </c>
      <c r="CW957">
        <f t="shared" si="1932"/>
        <v>0</v>
      </c>
      <c r="CX957">
        <f t="shared" si="1932"/>
        <v>0</v>
      </c>
      <c r="CY957">
        <f t="shared" si="1932"/>
        <v>0</v>
      </c>
      <c r="CZ957">
        <f t="shared" si="1932"/>
        <v>0</v>
      </c>
      <c r="DA957">
        <f t="shared" si="1932"/>
        <v>0</v>
      </c>
      <c r="DB957">
        <f t="shared" si="1932"/>
        <v>0</v>
      </c>
      <c r="DC957">
        <f t="shared" si="1932"/>
        <v>0</v>
      </c>
      <c r="DD957">
        <f t="shared" si="1932"/>
        <v>0</v>
      </c>
      <c r="DE957">
        <f t="shared" si="1932"/>
        <v>0</v>
      </c>
      <c r="DF957">
        <f t="shared" si="1932"/>
        <v>0</v>
      </c>
      <c r="DG957">
        <f t="shared" si="1933"/>
        <v>0</v>
      </c>
      <c r="DH957">
        <f>IF($C957&lt;&gt;"",IF(AS957&gt;0,1,0),0)</f>
        <v>0</v>
      </c>
      <c r="DI957">
        <f t="shared" si="1934"/>
        <v>0</v>
      </c>
      <c r="DJ957">
        <f t="shared" si="1934"/>
        <v>0</v>
      </c>
      <c r="DK957">
        <f t="shared" si="1934"/>
        <v>0</v>
      </c>
      <c r="DL957">
        <f t="shared" si="1934"/>
        <v>0</v>
      </c>
      <c r="DM957">
        <f t="shared" si="1934"/>
        <v>0</v>
      </c>
      <c r="DN957">
        <f t="shared" si="1934"/>
        <v>0</v>
      </c>
      <c r="DO957">
        <f t="shared" si="1934"/>
        <v>0</v>
      </c>
      <c r="DP957">
        <f t="shared" si="1934"/>
        <v>0</v>
      </c>
      <c r="DQ957">
        <f t="shared" si="1934"/>
        <v>0</v>
      </c>
      <c r="DR957">
        <f t="shared" si="1934"/>
        <v>0</v>
      </c>
      <c r="DS957">
        <f t="shared" si="1935"/>
        <v>0</v>
      </c>
      <c r="DT957">
        <f t="shared" si="1935"/>
        <v>0</v>
      </c>
      <c r="DU957">
        <f t="shared" si="1935"/>
        <v>0</v>
      </c>
      <c r="DV957">
        <f t="shared" si="1935"/>
        <v>0</v>
      </c>
      <c r="DW957">
        <f t="shared" si="1935"/>
        <v>0</v>
      </c>
      <c r="DX957">
        <f t="shared" si="1935"/>
        <v>0</v>
      </c>
      <c r="DY957">
        <f t="shared" si="1935"/>
        <v>0</v>
      </c>
      <c r="DZ957">
        <f t="shared" si="1935"/>
        <v>0</v>
      </c>
      <c r="EA957">
        <f t="shared" si="1928"/>
        <v>0</v>
      </c>
      <c r="EB957">
        <f t="shared" si="1928"/>
        <v>0</v>
      </c>
      <c r="EC957">
        <f t="shared" si="1928"/>
        <v>0</v>
      </c>
      <c r="ED957">
        <f t="shared" si="1928"/>
        <v>0</v>
      </c>
      <c r="EE957">
        <f t="shared" si="1928"/>
        <v>0</v>
      </c>
      <c r="EF957">
        <f t="shared" si="1928"/>
        <v>0</v>
      </c>
    </row>
    <row r="958" spans="1:136" ht="15.5">
      <c r="A958" s="90"/>
      <c r="B958" s="57" t="s">
        <v>212</v>
      </c>
      <c r="C958" s="94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>
        <f>60000/15.93</f>
        <v>3766.4783427495295</v>
      </c>
      <c r="AD958" s="18">
        <f>120000/15.46</f>
        <v>7761.9663648124188</v>
      </c>
      <c r="AE958" s="18">
        <f>180000/14.17</f>
        <v>12702.893436838391</v>
      </c>
      <c r="AF958" s="18">
        <f>240000/14.42</f>
        <v>16643.55062413315</v>
      </c>
      <c r="AG958" s="18">
        <f>300000/21</f>
        <v>14285.714285714286</v>
      </c>
      <c r="AH958" s="18">
        <v>0</v>
      </c>
      <c r="AI958" s="18">
        <v>0</v>
      </c>
      <c r="AJ958" s="18">
        <v>0</v>
      </c>
      <c r="AK958" s="18">
        <v>1510.9717868338557</v>
      </c>
      <c r="AL958" s="18">
        <v>0</v>
      </c>
      <c r="AM958" s="18">
        <v>0</v>
      </c>
      <c r="AN958" s="18">
        <v>0</v>
      </c>
      <c r="AO958" s="18">
        <v>0</v>
      </c>
      <c r="AP958" s="18">
        <v>0</v>
      </c>
      <c r="AQ958" s="18">
        <v>0</v>
      </c>
      <c r="AR958" s="18">
        <v>0</v>
      </c>
      <c r="AS958" s="18">
        <v>0</v>
      </c>
      <c r="AT958" s="18">
        <v>0</v>
      </c>
      <c r="AU958" s="18">
        <v>0</v>
      </c>
      <c r="AV958" s="18">
        <v>0</v>
      </c>
      <c r="AW958" s="18">
        <v>0</v>
      </c>
      <c r="AX958" s="18">
        <v>0</v>
      </c>
      <c r="AY958" s="18">
        <v>0</v>
      </c>
      <c r="AZ958" s="18">
        <v>75</v>
      </c>
      <c r="BA958" s="18">
        <v>348.83720930232562</v>
      </c>
      <c r="BB958" s="18">
        <v>58.783491120598967</v>
      </c>
      <c r="BC958" s="18">
        <v>26.833631484794275</v>
      </c>
      <c r="BD958" s="18">
        <v>7.4750830564784048</v>
      </c>
      <c r="BE958" s="25">
        <v>6.1602907657241426</v>
      </c>
      <c r="BF958" s="18">
        <v>4.0983606557377046</v>
      </c>
      <c r="BG958" s="18">
        <v>0</v>
      </c>
      <c r="BH958" s="18">
        <v>0</v>
      </c>
      <c r="BI958" s="18">
        <v>0</v>
      </c>
      <c r="BJ958" s="113">
        <v>0</v>
      </c>
      <c r="BK958" s="113">
        <v>0</v>
      </c>
      <c r="BL958" s="113">
        <v>0</v>
      </c>
      <c r="BM958" s="113">
        <v>0</v>
      </c>
      <c r="BN958" s="113">
        <v>0</v>
      </c>
      <c r="BO958" s="113">
        <v>0</v>
      </c>
      <c r="BP958" s="113">
        <v>0</v>
      </c>
      <c r="BQ958" s="113">
        <v>0</v>
      </c>
      <c r="BR958" s="101"/>
      <c r="BS958">
        <f t="shared" si="1929"/>
        <v>0</v>
      </c>
      <c r="BT958">
        <f t="shared" si="1929"/>
        <v>0</v>
      </c>
      <c r="BU958">
        <f t="shared" si="1929"/>
        <v>0</v>
      </c>
      <c r="BV958">
        <f t="shared" si="1929"/>
        <v>0</v>
      </c>
      <c r="BW958">
        <f t="shared" si="1929"/>
        <v>0</v>
      </c>
      <c r="BX958">
        <f t="shared" si="1929"/>
        <v>0</v>
      </c>
      <c r="BY958">
        <f t="shared" si="1929"/>
        <v>0</v>
      </c>
      <c r="BZ958">
        <f t="shared" si="1929"/>
        <v>0</v>
      </c>
      <c r="CA958">
        <f t="shared" si="1929"/>
        <v>0</v>
      </c>
      <c r="CB958">
        <f t="shared" si="1929"/>
        <v>0</v>
      </c>
      <c r="CC958">
        <f t="shared" si="1930"/>
        <v>0</v>
      </c>
      <c r="CD958">
        <f t="shared" si="1930"/>
        <v>0</v>
      </c>
      <c r="CE958">
        <f t="shared" si="1930"/>
        <v>0</v>
      </c>
      <c r="CF958">
        <f t="shared" si="1930"/>
        <v>0</v>
      </c>
      <c r="CG958">
        <f t="shared" si="1930"/>
        <v>0</v>
      </c>
      <c r="CH958">
        <f t="shared" si="1930"/>
        <v>0</v>
      </c>
      <c r="CI958">
        <f t="shared" si="1930"/>
        <v>0</v>
      </c>
      <c r="CJ958">
        <f t="shared" si="1930"/>
        <v>0</v>
      </c>
      <c r="CK958">
        <f t="shared" si="1930"/>
        <v>0</v>
      </c>
      <c r="CL958">
        <f t="shared" si="1930"/>
        <v>0</v>
      </c>
      <c r="CM958">
        <f t="shared" si="1931"/>
        <v>0</v>
      </c>
      <c r="CN958">
        <f t="shared" si="1931"/>
        <v>0</v>
      </c>
      <c r="CO958">
        <f t="shared" si="1931"/>
        <v>0</v>
      </c>
      <c r="CP958">
        <f t="shared" si="1931"/>
        <v>0</v>
      </c>
      <c r="CQ958">
        <f t="shared" si="1931"/>
        <v>0</v>
      </c>
      <c r="CR958">
        <f t="shared" si="1931"/>
        <v>0</v>
      </c>
      <c r="CS958">
        <f t="shared" si="1931"/>
        <v>0</v>
      </c>
      <c r="CT958">
        <f t="shared" si="1931"/>
        <v>0</v>
      </c>
      <c r="CU958">
        <f t="shared" si="1931"/>
        <v>0</v>
      </c>
      <c r="CV958">
        <f t="shared" si="1931"/>
        <v>0</v>
      </c>
      <c r="CW958">
        <f t="shared" si="1932"/>
        <v>0</v>
      </c>
      <c r="CX958">
        <f t="shared" si="1932"/>
        <v>0</v>
      </c>
      <c r="CY958">
        <f t="shared" si="1932"/>
        <v>0</v>
      </c>
      <c r="CZ958">
        <f t="shared" si="1932"/>
        <v>0</v>
      </c>
      <c r="DA958">
        <f t="shared" si="1932"/>
        <v>0</v>
      </c>
      <c r="DB958">
        <f t="shared" si="1932"/>
        <v>0</v>
      </c>
      <c r="DC958">
        <f t="shared" si="1932"/>
        <v>0</v>
      </c>
      <c r="DD958">
        <f t="shared" si="1932"/>
        <v>0</v>
      </c>
      <c r="DE958">
        <f t="shared" si="1932"/>
        <v>0</v>
      </c>
      <c r="DF958">
        <f t="shared" si="1932"/>
        <v>0</v>
      </c>
      <c r="DG958">
        <f t="shared" si="1933"/>
        <v>0</v>
      </c>
      <c r="DH958">
        <f>IF($C958&lt;&gt;"",IF(AS958&gt;0,1,0),0)</f>
        <v>0</v>
      </c>
      <c r="DI958">
        <f t="shared" si="1934"/>
        <v>0</v>
      </c>
      <c r="DJ958">
        <f t="shared" si="1934"/>
        <v>0</v>
      </c>
      <c r="DK958">
        <f t="shared" si="1934"/>
        <v>0</v>
      </c>
      <c r="DL958">
        <f t="shared" si="1934"/>
        <v>0</v>
      </c>
      <c r="DM958">
        <f t="shared" si="1934"/>
        <v>0</v>
      </c>
      <c r="DN958">
        <f t="shared" si="1934"/>
        <v>0</v>
      </c>
      <c r="DO958">
        <f t="shared" si="1934"/>
        <v>0</v>
      </c>
      <c r="DP958">
        <f t="shared" si="1934"/>
        <v>0</v>
      </c>
      <c r="DQ958">
        <f t="shared" si="1934"/>
        <v>0</v>
      </c>
      <c r="DR958">
        <f t="shared" si="1934"/>
        <v>0</v>
      </c>
      <c r="DS958">
        <f t="shared" si="1935"/>
        <v>0</v>
      </c>
      <c r="DT958">
        <f t="shared" si="1935"/>
        <v>0</v>
      </c>
      <c r="DU958">
        <f t="shared" si="1935"/>
        <v>0</v>
      </c>
      <c r="DV958">
        <f t="shared" si="1935"/>
        <v>0</v>
      </c>
      <c r="DW958">
        <f t="shared" si="1935"/>
        <v>0</v>
      </c>
      <c r="DX958">
        <f t="shared" si="1935"/>
        <v>0</v>
      </c>
      <c r="DY958">
        <f t="shared" si="1935"/>
        <v>0</v>
      </c>
      <c r="DZ958">
        <f t="shared" si="1935"/>
        <v>0</v>
      </c>
      <c r="EA958">
        <f t="shared" ref="EA958:EF958" si="1936">IF($C958&lt;&gt;"",IF(BL958&gt;0,1,0),0)</f>
        <v>0</v>
      </c>
      <c r="EB958">
        <f t="shared" si="1936"/>
        <v>0</v>
      </c>
      <c r="EC958">
        <f t="shared" si="1936"/>
        <v>0</v>
      </c>
      <c r="ED958">
        <f t="shared" si="1936"/>
        <v>0</v>
      </c>
      <c r="EE958">
        <f t="shared" si="1936"/>
        <v>0</v>
      </c>
      <c r="EF958">
        <f t="shared" si="1936"/>
        <v>0</v>
      </c>
    </row>
    <row r="959" spans="1:136" ht="15.5">
      <c r="A959" s="90"/>
      <c r="B959" s="19"/>
      <c r="C959" s="94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  <c r="AG959" s="31"/>
      <c r="AH959" s="31"/>
      <c r="AI959" s="31"/>
      <c r="AJ959" s="31"/>
      <c r="AK959" s="31"/>
      <c r="AL959" s="31"/>
      <c r="AM959" s="31"/>
      <c r="AN959" s="31"/>
      <c r="AO959" s="31"/>
      <c r="AP959" s="31"/>
      <c r="AQ959" s="31"/>
      <c r="AR959" s="31"/>
      <c r="AS959" s="31"/>
      <c r="AT959" s="31"/>
      <c r="AU959" s="31"/>
      <c r="AV959" s="31"/>
      <c r="AW959" s="31"/>
      <c r="AX959" s="31"/>
      <c r="AY959" s="31"/>
      <c r="AZ959" s="31"/>
      <c r="BA959" s="31"/>
      <c r="BB959" s="31"/>
      <c r="BC959" s="31"/>
      <c r="BD959" s="31"/>
      <c r="BE959" s="55"/>
      <c r="BF959" s="18"/>
      <c r="BG959" s="31"/>
      <c r="BH959" s="2"/>
      <c r="BI959" s="2"/>
      <c r="BJ959" s="2"/>
      <c r="BK959" s="113"/>
      <c r="BL959" s="22"/>
      <c r="BM959" s="2"/>
      <c r="BN959" s="2"/>
      <c r="BO959" s="2"/>
      <c r="BP959" s="2"/>
      <c r="BQ959" s="2"/>
      <c r="BR959" s="101"/>
    </row>
    <row r="960" spans="1:136" ht="15.5">
      <c r="A960" s="93">
        <v>121</v>
      </c>
      <c r="B960" s="52" t="s">
        <v>122</v>
      </c>
      <c r="C960" s="94">
        <v>3</v>
      </c>
      <c r="D960" s="18"/>
      <c r="E960" s="22"/>
      <c r="F960" s="22">
        <f t="shared" ref="F960:AK960" si="1937">SUM(F961:F966)</f>
        <v>0</v>
      </c>
      <c r="G960" s="22">
        <f t="shared" si="1937"/>
        <v>0</v>
      </c>
      <c r="H960" s="22">
        <f t="shared" si="1937"/>
        <v>0</v>
      </c>
      <c r="I960" s="22">
        <f t="shared" si="1937"/>
        <v>0</v>
      </c>
      <c r="J960" s="22">
        <f t="shared" si="1937"/>
        <v>0</v>
      </c>
      <c r="K960" s="22">
        <f t="shared" si="1937"/>
        <v>0</v>
      </c>
      <c r="L960" s="22">
        <f t="shared" si="1937"/>
        <v>0</v>
      </c>
      <c r="M960" s="22">
        <f t="shared" si="1937"/>
        <v>0</v>
      </c>
      <c r="N960" s="22">
        <f t="shared" si="1937"/>
        <v>0</v>
      </c>
      <c r="O960" s="22">
        <f t="shared" si="1937"/>
        <v>0</v>
      </c>
      <c r="P960" s="22">
        <f t="shared" si="1937"/>
        <v>0</v>
      </c>
      <c r="Q960" s="22">
        <f t="shared" si="1937"/>
        <v>0</v>
      </c>
      <c r="R960" s="22">
        <f t="shared" si="1937"/>
        <v>0</v>
      </c>
      <c r="S960" s="22">
        <f t="shared" si="1937"/>
        <v>0</v>
      </c>
      <c r="T960" s="22">
        <f t="shared" si="1937"/>
        <v>4.5290999999999998E-2</v>
      </c>
      <c r="U960" s="22">
        <f t="shared" si="1937"/>
        <v>9.5010000000000005E-4</v>
      </c>
      <c r="V960" s="22">
        <f t="shared" si="1937"/>
        <v>0</v>
      </c>
      <c r="W960" s="22">
        <f t="shared" si="1937"/>
        <v>8.6630000000000006E-3</v>
      </c>
      <c r="X960" s="22">
        <f t="shared" si="1937"/>
        <v>1.5824399999999999E-2</v>
      </c>
      <c r="Y960" s="22">
        <f t="shared" si="1937"/>
        <v>0</v>
      </c>
      <c r="Z960" s="22">
        <f t="shared" si="1937"/>
        <v>0</v>
      </c>
      <c r="AA960" s="22">
        <f t="shared" si="1937"/>
        <v>0</v>
      </c>
      <c r="AB960" s="22">
        <f t="shared" si="1937"/>
        <v>0.47599999999999998</v>
      </c>
      <c r="AC960" s="22">
        <f t="shared" si="1937"/>
        <v>0</v>
      </c>
      <c r="AD960" s="22">
        <f t="shared" si="1937"/>
        <v>0.61679880000000009</v>
      </c>
      <c r="AE960" s="22">
        <f t="shared" si="1937"/>
        <v>3.3264357000000002</v>
      </c>
      <c r="AF960" s="22">
        <f t="shared" si="1937"/>
        <v>7.2182944000000004</v>
      </c>
      <c r="AG960" s="22">
        <f t="shared" si="1937"/>
        <v>85.604920100000001</v>
      </c>
      <c r="AH960" s="22">
        <f t="shared" si="1937"/>
        <v>21.886809700000001</v>
      </c>
      <c r="AI960" s="22">
        <f t="shared" si="1937"/>
        <v>13.237170799999998</v>
      </c>
      <c r="AJ960" s="22">
        <f t="shared" si="1937"/>
        <v>21.370528799999999</v>
      </c>
      <c r="AK960" s="22">
        <f t="shared" si="1937"/>
        <v>34.286062700000002</v>
      </c>
      <c r="AL960" s="22">
        <f t="shared" ref="AL960:BO960" si="1938">SUM(AL961:AL966)</f>
        <v>56.464320999999998</v>
      </c>
      <c r="AM960" s="22">
        <f t="shared" si="1938"/>
        <v>141.6811481</v>
      </c>
      <c r="AN960" s="22">
        <f t="shared" si="1938"/>
        <v>75.823651199999986</v>
      </c>
      <c r="AO960" s="22">
        <f t="shared" si="1938"/>
        <v>96.579236699999996</v>
      </c>
      <c r="AP960" s="22">
        <f t="shared" si="1938"/>
        <v>164.74497239999999</v>
      </c>
      <c r="AQ960" s="22">
        <f t="shared" si="1938"/>
        <v>87.631841899999998</v>
      </c>
      <c r="AR960" s="22">
        <f t="shared" si="1938"/>
        <v>93.528114400000007</v>
      </c>
      <c r="AS960" s="22">
        <f t="shared" si="1938"/>
        <v>109.0625031</v>
      </c>
      <c r="AT960" s="22">
        <f t="shared" si="1938"/>
        <v>115.82139309999999</v>
      </c>
      <c r="AU960" s="22">
        <f t="shared" si="1938"/>
        <v>121.77929330000001</v>
      </c>
      <c r="AV960" s="22">
        <f t="shared" si="1938"/>
        <v>132.11951809999999</v>
      </c>
      <c r="AW960" s="22">
        <f t="shared" si="1938"/>
        <v>201.22427479999999</v>
      </c>
      <c r="AX960" s="22">
        <f t="shared" si="1938"/>
        <v>1294.5680964999999</v>
      </c>
      <c r="AY960" s="22">
        <f t="shared" si="1938"/>
        <v>234.17714580000001</v>
      </c>
      <c r="AZ960" s="22">
        <f t="shared" si="1938"/>
        <v>33.784868600000003</v>
      </c>
      <c r="BA960" s="22">
        <f t="shared" si="1938"/>
        <v>6.5682344000000006</v>
      </c>
      <c r="BB960" s="22">
        <f t="shared" si="1938"/>
        <v>5.5010346999999999</v>
      </c>
      <c r="BC960" s="22">
        <f t="shared" si="1938"/>
        <v>5.3862304000000005</v>
      </c>
      <c r="BD960" s="22">
        <f t="shared" si="1938"/>
        <v>3.8470159000000002</v>
      </c>
      <c r="BE960" s="22">
        <f t="shared" si="1938"/>
        <v>4.4662405999999999</v>
      </c>
      <c r="BF960" s="22">
        <f t="shared" si="1938"/>
        <v>4.9830252000000002</v>
      </c>
      <c r="BG960" s="22">
        <f t="shared" si="1938"/>
        <v>4.5201338</v>
      </c>
      <c r="BH960" s="22">
        <f t="shared" si="1938"/>
        <v>4.4824124999999997</v>
      </c>
      <c r="BI960" s="22">
        <f t="shared" si="1938"/>
        <v>1.5178601</v>
      </c>
      <c r="BJ960" s="22">
        <f t="shared" si="1938"/>
        <v>1.2228007999999999</v>
      </c>
      <c r="BK960" s="22">
        <f t="shared" si="1938"/>
        <v>1.1809959999999999</v>
      </c>
      <c r="BL960" s="22">
        <f t="shared" si="1938"/>
        <v>1.2106416</v>
      </c>
      <c r="BM960" s="22">
        <f t="shared" si="1938"/>
        <v>1.2491907</v>
      </c>
      <c r="BN960" s="22">
        <f t="shared" si="1938"/>
        <v>0.92524850000000003</v>
      </c>
      <c r="BO960" s="22">
        <f t="shared" si="1938"/>
        <v>1.1995788000000001</v>
      </c>
      <c r="BP960" s="22">
        <f>SUM(BP961:BP966)</f>
        <v>1.1995788000000001</v>
      </c>
      <c r="BQ960" s="22">
        <f>SUM(BQ961:BQ966)</f>
        <v>1.1995788000000001</v>
      </c>
      <c r="BR960" s="101"/>
      <c r="BS960">
        <f t="shared" ref="BS960:CX960" si="1939">IF($C960&lt;&gt;"",IF(D960&gt;0,1,0),0)</f>
        <v>0</v>
      </c>
      <c r="BT960">
        <f t="shared" si="1939"/>
        <v>0</v>
      </c>
      <c r="BU960">
        <f t="shared" si="1939"/>
        <v>0</v>
      </c>
      <c r="BV960">
        <f t="shared" si="1939"/>
        <v>0</v>
      </c>
      <c r="BW960">
        <f t="shared" si="1939"/>
        <v>0</v>
      </c>
      <c r="BX960">
        <f t="shared" si="1939"/>
        <v>0</v>
      </c>
      <c r="BY960">
        <f t="shared" si="1939"/>
        <v>0</v>
      </c>
      <c r="BZ960">
        <f t="shared" si="1939"/>
        <v>0</v>
      </c>
      <c r="CA960">
        <f t="shared" si="1939"/>
        <v>0</v>
      </c>
      <c r="CB960">
        <f t="shared" si="1939"/>
        <v>0</v>
      </c>
      <c r="CC960">
        <f t="shared" si="1939"/>
        <v>0</v>
      </c>
      <c r="CD960">
        <f t="shared" si="1939"/>
        <v>0</v>
      </c>
      <c r="CE960">
        <f t="shared" si="1939"/>
        <v>0</v>
      </c>
      <c r="CF960">
        <f t="shared" si="1939"/>
        <v>0</v>
      </c>
      <c r="CG960">
        <f t="shared" si="1939"/>
        <v>0</v>
      </c>
      <c r="CH960">
        <f t="shared" si="1939"/>
        <v>0</v>
      </c>
      <c r="CI960">
        <f t="shared" si="1939"/>
        <v>1</v>
      </c>
      <c r="CJ960">
        <f t="shared" si="1939"/>
        <v>1</v>
      </c>
      <c r="CK960">
        <f t="shared" si="1939"/>
        <v>0</v>
      </c>
      <c r="CL960">
        <f t="shared" si="1939"/>
        <v>1</v>
      </c>
      <c r="CM960">
        <f t="shared" si="1939"/>
        <v>1</v>
      </c>
      <c r="CN960">
        <f t="shared" si="1939"/>
        <v>0</v>
      </c>
      <c r="CO960">
        <f t="shared" si="1939"/>
        <v>0</v>
      </c>
      <c r="CP960">
        <f t="shared" si="1939"/>
        <v>0</v>
      </c>
      <c r="CQ960">
        <f t="shared" si="1939"/>
        <v>1</v>
      </c>
      <c r="CR960">
        <f t="shared" si="1939"/>
        <v>0</v>
      </c>
      <c r="CS960">
        <f t="shared" si="1939"/>
        <v>1</v>
      </c>
      <c r="CT960">
        <f t="shared" si="1939"/>
        <v>1</v>
      </c>
      <c r="CU960">
        <f t="shared" si="1939"/>
        <v>1</v>
      </c>
      <c r="CV960">
        <f t="shared" si="1939"/>
        <v>1</v>
      </c>
      <c r="CW960">
        <f t="shared" si="1939"/>
        <v>1</v>
      </c>
      <c r="CX960">
        <f t="shared" si="1939"/>
        <v>1</v>
      </c>
      <c r="CY960">
        <f t="shared" ref="CY960:ED960" si="1940">IF($C960&lt;&gt;"",IF(AJ960&gt;0,1,0),0)</f>
        <v>1</v>
      </c>
      <c r="CZ960">
        <f t="shared" si="1940"/>
        <v>1</v>
      </c>
      <c r="DA960">
        <f t="shared" si="1940"/>
        <v>1</v>
      </c>
      <c r="DB960">
        <f t="shared" si="1940"/>
        <v>1</v>
      </c>
      <c r="DC960">
        <f t="shared" si="1940"/>
        <v>1</v>
      </c>
      <c r="DD960">
        <f t="shared" si="1940"/>
        <v>1</v>
      </c>
      <c r="DE960">
        <f t="shared" si="1940"/>
        <v>1</v>
      </c>
      <c r="DF960">
        <f t="shared" si="1940"/>
        <v>1</v>
      </c>
      <c r="DG960">
        <f t="shared" si="1940"/>
        <v>1</v>
      </c>
      <c r="DH960">
        <f t="shared" si="1940"/>
        <v>1</v>
      </c>
      <c r="DI960">
        <f t="shared" si="1940"/>
        <v>1</v>
      </c>
      <c r="DJ960">
        <f t="shared" si="1940"/>
        <v>1</v>
      </c>
      <c r="DK960">
        <f t="shared" si="1940"/>
        <v>1</v>
      </c>
      <c r="DL960">
        <f t="shared" si="1940"/>
        <v>1</v>
      </c>
      <c r="DM960">
        <f t="shared" si="1940"/>
        <v>1</v>
      </c>
      <c r="DN960">
        <f t="shared" si="1940"/>
        <v>1</v>
      </c>
      <c r="DO960">
        <f t="shared" si="1940"/>
        <v>1</v>
      </c>
      <c r="DP960">
        <f t="shared" si="1940"/>
        <v>1</v>
      </c>
      <c r="DQ960">
        <f t="shared" si="1940"/>
        <v>1</v>
      </c>
      <c r="DR960">
        <f t="shared" si="1940"/>
        <v>1</v>
      </c>
      <c r="DS960">
        <f t="shared" si="1940"/>
        <v>1</v>
      </c>
      <c r="DT960">
        <f t="shared" si="1940"/>
        <v>1</v>
      </c>
      <c r="DU960">
        <f t="shared" si="1940"/>
        <v>1</v>
      </c>
      <c r="DV960">
        <f t="shared" si="1940"/>
        <v>1</v>
      </c>
      <c r="DW960">
        <f t="shared" si="1940"/>
        <v>1</v>
      </c>
      <c r="DX960">
        <f t="shared" si="1940"/>
        <v>1</v>
      </c>
      <c r="DY960">
        <f t="shared" si="1940"/>
        <v>1</v>
      </c>
      <c r="DZ960">
        <f t="shared" si="1940"/>
        <v>1</v>
      </c>
      <c r="EA960">
        <f t="shared" si="1940"/>
        <v>1</v>
      </c>
      <c r="EB960">
        <f t="shared" si="1940"/>
        <v>1</v>
      </c>
      <c r="EC960">
        <f t="shared" si="1940"/>
        <v>1</v>
      </c>
      <c r="ED960">
        <f t="shared" si="1940"/>
        <v>1</v>
      </c>
      <c r="EE960">
        <f t="shared" ref="EE960:EF960" si="1941">IF($C960&lt;&gt;"",IF(BP960&gt;0,1,0),0)</f>
        <v>1</v>
      </c>
      <c r="EF960">
        <f t="shared" si="1941"/>
        <v>1</v>
      </c>
    </row>
    <row r="961" spans="1:136" ht="15.5">
      <c r="A961" s="90"/>
      <c r="B961" s="24" t="s">
        <v>15</v>
      </c>
      <c r="C961" s="94"/>
      <c r="D961" s="22"/>
      <c r="E961" s="22"/>
      <c r="F961" s="18">
        <v>0</v>
      </c>
      <c r="G961" s="18">
        <v>0</v>
      </c>
      <c r="H961" s="18">
        <v>0</v>
      </c>
      <c r="I961" s="18">
        <v>0</v>
      </c>
      <c r="J961" s="18">
        <v>0</v>
      </c>
      <c r="K961" s="18">
        <v>0</v>
      </c>
      <c r="L961" s="18">
        <v>0</v>
      </c>
      <c r="M961" s="18">
        <v>0</v>
      </c>
      <c r="N961" s="18">
        <v>0</v>
      </c>
      <c r="O961" s="18">
        <v>0</v>
      </c>
      <c r="P961" s="18">
        <v>0</v>
      </c>
      <c r="Q961" s="18">
        <v>0</v>
      </c>
      <c r="R961" s="18">
        <v>0</v>
      </c>
      <c r="S961" s="18">
        <v>0</v>
      </c>
      <c r="T961" s="18">
        <v>0</v>
      </c>
      <c r="U961" s="18">
        <v>0</v>
      </c>
      <c r="V961" s="18">
        <v>0</v>
      </c>
      <c r="W961" s="18">
        <v>0</v>
      </c>
      <c r="X961" s="18">
        <v>0</v>
      </c>
      <c r="Y961" s="18">
        <v>0</v>
      </c>
      <c r="Z961" s="18">
        <v>0</v>
      </c>
      <c r="AA961" s="18">
        <v>0</v>
      </c>
      <c r="AB961" s="18">
        <v>0</v>
      </c>
      <c r="AC961" s="18">
        <v>0</v>
      </c>
      <c r="AD961" s="18">
        <v>0</v>
      </c>
      <c r="AE961" s="18">
        <v>0</v>
      </c>
      <c r="AF961" s="18">
        <v>0</v>
      </c>
      <c r="AG961" s="18">
        <v>0</v>
      </c>
      <c r="AH961" s="18">
        <v>0</v>
      </c>
      <c r="AI961" s="18">
        <v>0</v>
      </c>
      <c r="AJ961" s="18">
        <v>0</v>
      </c>
      <c r="AK961" s="18">
        <v>0</v>
      </c>
      <c r="AL961" s="18">
        <v>0.2</v>
      </c>
      <c r="AM961" s="18">
        <v>0</v>
      </c>
      <c r="AN961" s="18">
        <v>0</v>
      </c>
      <c r="AO961" s="18">
        <v>0</v>
      </c>
      <c r="AP961" s="18">
        <v>0</v>
      </c>
      <c r="AQ961" s="18">
        <v>0</v>
      </c>
      <c r="AR961" s="18">
        <v>0</v>
      </c>
      <c r="AS961" s="18">
        <v>0</v>
      </c>
      <c r="AT961" s="18">
        <v>0</v>
      </c>
      <c r="AU961" s="18">
        <v>0</v>
      </c>
      <c r="AV961" s="18">
        <v>0</v>
      </c>
      <c r="AW961" s="18">
        <v>0</v>
      </c>
      <c r="AX961" s="18">
        <v>0</v>
      </c>
      <c r="AY961" s="18">
        <v>0</v>
      </c>
      <c r="AZ961" s="18">
        <v>0</v>
      </c>
      <c r="BA961" s="18">
        <v>0</v>
      </c>
      <c r="BB961" s="18">
        <v>0</v>
      </c>
      <c r="BC961" s="18">
        <v>0</v>
      </c>
      <c r="BD961" s="18">
        <v>0</v>
      </c>
      <c r="BE961" s="18">
        <v>0</v>
      </c>
      <c r="BF961" s="18">
        <v>0</v>
      </c>
      <c r="BG961" s="18">
        <v>0</v>
      </c>
      <c r="BH961" s="18">
        <v>0</v>
      </c>
      <c r="BI961" s="18">
        <v>0</v>
      </c>
      <c r="BJ961" s="113">
        <v>0</v>
      </c>
      <c r="BK961" s="113">
        <v>0</v>
      </c>
      <c r="BL961" s="113">
        <v>0</v>
      </c>
      <c r="BM961" s="113">
        <v>0</v>
      </c>
      <c r="BN961" s="113">
        <v>0</v>
      </c>
      <c r="BO961" s="113">
        <v>0</v>
      </c>
      <c r="BP961" s="113">
        <v>0</v>
      </c>
      <c r="BQ961" s="113">
        <v>0</v>
      </c>
      <c r="BR961" s="101"/>
      <c r="BS961">
        <f t="shared" ref="BS961:CB967" si="1942">IF($C961&lt;&gt;"",IF(D961&gt;0,1,0),0)</f>
        <v>0</v>
      </c>
      <c r="BT961">
        <f t="shared" si="1942"/>
        <v>0</v>
      </c>
      <c r="BU961">
        <f t="shared" si="1942"/>
        <v>0</v>
      </c>
      <c r="BV961">
        <f t="shared" si="1942"/>
        <v>0</v>
      </c>
      <c r="BW961">
        <f t="shared" si="1942"/>
        <v>0</v>
      </c>
      <c r="BX961">
        <f t="shared" si="1942"/>
        <v>0</v>
      </c>
      <c r="BY961">
        <f t="shared" si="1942"/>
        <v>0</v>
      </c>
      <c r="BZ961">
        <f t="shared" si="1942"/>
        <v>0</v>
      </c>
      <c r="CA961">
        <f t="shared" si="1942"/>
        <v>0</v>
      </c>
      <c r="CB961">
        <f t="shared" si="1942"/>
        <v>0</v>
      </c>
      <c r="CC961">
        <f t="shared" ref="CC961:CL967" si="1943">IF($C961&lt;&gt;"",IF(N961&gt;0,1,0),0)</f>
        <v>0</v>
      </c>
      <c r="CD961">
        <f t="shared" si="1943"/>
        <v>0</v>
      </c>
      <c r="CE961">
        <f t="shared" si="1943"/>
        <v>0</v>
      </c>
      <c r="CF961">
        <f t="shared" si="1943"/>
        <v>0</v>
      </c>
      <c r="CG961">
        <f t="shared" si="1943"/>
        <v>0</v>
      </c>
      <c r="CH961">
        <f t="shared" si="1943"/>
        <v>0</v>
      </c>
      <c r="CI961">
        <f t="shared" si="1943"/>
        <v>0</v>
      </c>
      <c r="CJ961">
        <f t="shared" si="1943"/>
        <v>0</v>
      </c>
      <c r="CK961">
        <f t="shared" si="1943"/>
        <v>0</v>
      </c>
      <c r="CL961">
        <f t="shared" si="1943"/>
        <v>0</v>
      </c>
      <c r="CM961">
        <f t="shared" ref="CM961:CV967" si="1944">IF($C961&lt;&gt;"",IF(X961&gt;0,1,0),0)</f>
        <v>0</v>
      </c>
      <c r="CN961">
        <f t="shared" si="1944"/>
        <v>0</v>
      </c>
      <c r="CO961">
        <f t="shared" si="1944"/>
        <v>0</v>
      </c>
      <c r="CP961">
        <f t="shared" si="1944"/>
        <v>0</v>
      </c>
      <c r="CQ961">
        <f t="shared" si="1944"/>
        <v>0</v>
      </c>
      <c r="CR961">
        <f t="shared" si="1944"/>
        <v>0</v>
      </c>
      <c r="CS961">
        <f t="shared" si="1944"/>
        <v>0</v>
      </c>
      <c r="CT961">
        <f t="shared" si="1944"/>
        <v>0</v>
      </c>
      <c r="CU961">
        <f t="shared" si="1944"/>
        <v>0</v>
      </c>
      <c r="CV961">
        <f t="shared" si="1944"/>
        <v>0</v>
      </c>
      <c r="CW961">
        <f t="shared" ref="CW961:DF967" si="1945">IF($C961&lt;&gt;"",IF(AH961&gt;0,1,0),0)</f>
        <v>0</v>
      </c>
      <c r="CX961">
        <f t="shared" si="1945"/>
        <v>0</v>
      </c>
      <c r="CY961">
        <f t="shared" si="1945"/>
        <v>0</v>
      </c>
      <c r="CZ961">
        <f t="shared" si="1945"/>
        <v>0</v>
      </c>
      <c r="DA961">
        <f t="shared" si="1945"/>
        <v>0</v>
      </c>
      <c r="DB961">
        <f t="shared" si="1945"/>
        <v>0</v>
      </c>
      <c r="DC961">
        <f t="shared" si="1945"/>
        <v>0</v>
      </c>
      <c r="DD961">
        <f t="shared" si="1945"/>
        <v>0</v>
      </c>
      <c r="DE961">
        <f t="shared" si="1945"/>
        <v>0</v>
      </c>
      <c r="DF961">
        <f t="shared" si="1945"/>
        <v>0</v>
      </c>
      <c r="DG961">
        <f t="shared" ref="DG961:DP967" si="1946">IF($C961&lt;&gt;"",IF(AR961&gt;0,1,0),0)</f>
        <v>0</v>
      </c>
      <c r="DH961">
        <f t="shared" si="1946"/>
        <v>0</v>
      </c>
      <c r="DI961">
        <f t="shared" si="1946"/>
        <v>0</v>
      </c>
      <c r="DJ961">
        <f t="shared" si="1946"/>
        <v>0</v>
      </c>
      <c r="DK961">
        <f t="shared" si="1946"/>
        <v>0</v>
      </c>
      <c r="DL961">
        <f t="shared" si="1946"/>
        <v>0</v>
      </c>
      <c r="DM961">
        <f t="shared" si="1946"/>
        <v>0</v>
      </c>
      <c r="DN961">
        <f t="shared" si="1946"/>
        <v>0</v>
      </c>
      <c r="DO961">
        <f t="shared" si="1946"/>
        <v>0</v>
      </c>
      <c r="DP961">
        <f t="shared" si="1946"/>
        <v>0</v>
      </c>
      <c r="DQ961">
        <f t="shared" ref="DQ961:DZ967" si="1947">IF($C961&lt;&gt;"",IF(BB961&gt;0,1,0),0)</f>
        <v>0</v>
      </c>
      <c r="DR961">
        <f t="shared" si="1947"/>
        <v>0</v>
      </c>
      <c r="DS961">
        <f t="shared" si="1947"/>
        <v>0</v>
      </c>
      <c r="DT961">
        <f t="shared" si="1947"/>
        <v>0</v>
      </c>
      <c r="DU961">
        <f t="shared" si="1947"/>
        <v>0</v>
      </c>
      <c r="DV961">
        <f t="shared" si="1947"/>
        <v>0</v>
      </c>
      <c r="DW961">
        <f t="shared" si="1947"/>
        <v>0</v>
      </c>
      <c r="DX961">
        <f t="shared" si="1947"/>
        <v>0</v>
      </c>
      <c r="DY961">
        <f t="shared" si="1947"/>
        <v>0</v>
      </c>
      <c r="DZ961">
        <f t="shared" si="1947"/>
        <v>0</v>
      </c>
      <c r="EA961">
        <f t="shared" ref="EA961:EF966" si="1948">IF($C961&lt;&gt;"",IF(BL960&gt;0,1,0),0)</f>
        <v>0</v>
      </c>
      <c r="EB961">
        <f t="shared" si="1948"/>
        <v>0</v>
      </c>
      <c r="EC961">
        <f t="shared" si="1948"/>
        <v>0</v>
      </c>
      <c r="ED961">
        <f t="shared" si="1948"/>
        <v>0</v>
      </c>
      <c r="EE961">
        <f t="shared" si="1948"/>
        <v>0</v>
      </c>
      <c r="EF961">
        <f t="shared" si="1948"/>
        <v>0</v>
      </c>
    </row>
    <row r="962" spans="1:136" ht="15.5">
      <c r="A962" s="90"/>
      <c r="B962" s="19" t="s">
        <v>2</v>
      </c>
      <c r="C962" s="94"/>
      <c r="D962" s="18"/>
      <c r="E962" s="18"/>
      <c r="F962" s="18">
        <v>0</v>
      </c>
      <c r="G962" s="18">
        <v>0</v>
      </c>
      <c r="H962" s="18">
        <v>0</v>
      </c>
      <c r="I962" s="18">
        <v>0</v>
      </c>
      <c r="J962" s="18">
        <v>0</v>
      </c>
      <c r="K962" s="18">
        <v>0</v>
      </c>
      <c r="L962" s="18">
        <v>0</v>
      </c>
      <c r="M962" s="18">
        <v>0</v>
      </c>
      <c r="N962" s="18">
        <v>0</v>
      </c>
      <c r="O962" s="18">
        <v>0</v>
      </c>
      <c r="P962" s="18">
        <v>0</v>
      </c>
      <c r="Q962" s="18">
        <v>0</v>
      </c>
      <c r="R962" s="18">
        <v>0</v>
      </c>
      <c r="S962" s="18">
        <v>0</v>
      </c>
      <c r="T962" s="18">
        <v>0</v>
      </c>
      <c r="U962" s="18">
        <v>0</v>
      </c>
      <c r="V962" s="18">
        <v>0</v>
      </c>
      <c r="W962" s="18">
        <v>0</v>
      </c>
      <c r="X962" s="18">
        <v>0</v>
      </c>
      <c r="Y962" s="18">
        <v>0</v>
      </c>
      <c r="Z962" s="18">
        <v>0</v>
      </c>
      <c r="AA962" s="18">
        <v>0</v>
      </c>
      <c r="AB962" s="18">
        <v>0</v>
      </c>
      <c r="AC962" s="18">
        <v>0</v>
      </c>
      <c r="AD962" s="18">
        <v>0</v>
      </c>
      <c r="AE962" s="18">
        <v>0</v>
      </c>
      <c r="AF962" s="18">
        <v>0</v>
      </c>
      <c r="AG962" s="18">
        <v>0</v>
      </c>
      <c r="AH962" s="18">
        <v>0</v>
      </c>
      <c r="AI962" s="18">
        <v>0</v>
      </c>
      <c r="AJ962" s="18">
        <v>0</v>
      </c>
      <c r="AK962" s="18">
        <v>0</v>
      </c>
      <c r="AL962" s="18">
        <v>0</v>
      </c>
      <c r="AM962" s="18">
        <v>0</v>
      </c>
      <c r="AN962" s="18">
        <v>0</v>
      </c>
      <c r="AO962" s="18">
        <v>0</v>
      </c>
      <c r="AP962" s="18">
        <v>54</v>
      </c>
      <c r="AQ962" s="18">
        <v>0</v>
      </c>
      <c r="AR962" s="18">
        <v>0</v>
      </c>
      <c r="AS962" s="18">
        <v>0</v>
      </c>
      <c r="AT962" s="18">
        <v>6</v>
      </c>
      <c r="AU962" s="18">
        <v>11</v>
      </c>
      <c r="AV962" s="18">
        <v>15</v>
      </c>
      <c r="AW962" s="18">
        <v>90</v>
      </c>
      <c r="AX962" s="18">
        <v>0</v>
      </c>
      <c r="AY962" s="18">
        <v>0</v>
      </c>
      <c r="AZ962" s="18">
        <v>0</v>
      </c>
      <c r="BA962" s="18">
        <v>0</v>
      </c>
      <c r="BB962" s="18">
        <v>0</v>
      </c>
      <c r="BC962" s="18">
        <v>0</v>
      </c>
      <c r="BD962" s="18">
        <v>0</v>
      </c>
      <c r="BE962" s="18">
        <v>0</v>
      </c>
      <c r="BF962" s="18">
        <v>0</v>
      </c>
      <c r="BG962" s="18">
        <v>0</v>
      </c>
      <c r="BH962" s="18">
        <v>0</v>
      </c>
      <c r="BI962" s="18">
        <v>0</v>
      </c>
      <c r="BJ962" s="18">
        <v>0</v>
      </c>
      <c r="BK962" s="113">
        <v>0</v>
      </c>
      <c r="BL962" s="113">
        <v>0</v>
      </c>
      <c r="BM962" s="113">
        <v>0</v>
      </c>
      <c r="BN962" s="113">
        <v>0</v>
      </c>
      <c r="BO962" s="113">
        <v>0</v>
      </c>
      <c r="BP962" s="113">
        <v>0</v>
      </c>
      <c r="BQ962" s="113">
        <v>0</v>
      </c>
      <c r="BR962" s="101"/>
      <c r="BS962">
        <f t="shared" si="1942"/>
        <v>0</v>
      </c>
      <c r="BT962">
        <f t="shared" si="1942"/>
        <v>0</v>
      </c>
      <c r="BU962">
        <f t="shared" si="1942"/>
        <v>0</v>
      </c>
      <c r="BV962">
        <f t="shared" si="1942"/>
        <v>0</v>
      </c>
      <c r="BW962">
        <f t="shared" si="1942"/>
        <v>0</v>
      </c>
      <c r="BX962">
        <f t="shared" si="1942"/>
        <v>0</v>
      </c>
      <c r="BY962">
        <f t="shared" si="1942"/>
        <v>0</v>
      </c>
      <c r="BZ962">
        <f t="shared" si="1942"/>
        <v>0</v>
      </c>
      <c r="CA962">
        <f t="shared" si="1942"/>
        <v>0</v>
      </c>
      <c r="CB962">
        <f t="shared" si="1942"/>
        <v>0</v>
      </c>
      <c r="CC962">
        <f t="shared" si="1943"/>
        <v>0</v>
      </c>
      <c r="CD962">
        <f t="shared" si="1943"/>
        <v>0</v>
      </c>
      <c r="CE962">
        <f t="shared" si="1943"/>
        <v>0</v>
      </c>
      <c r="CF962">
        <f t="shared" si="1943"/>
        <v>0</v>
      </c>
      <c r="CG962">
        <f t="shared" si="1943"/>
        <v>0</v>
      </c>
      <c r="CH962">
        <f t="shared" si="1943"/>
        <v>0</v>
      </c>
      <c r="CI962">
        <f t="shared" si="1943"/>
        <v>0</v>
      </c>
      <c r="CJ962">
        <f t="shared" si="1943"/>
        <v>0</v>
      </c>
      <c r="CK962">
        <f t="shared" si="1943"/>
        <v>0</v>
      </c>
      <c r="CL962">
        <f t="shared" si="1943"/>
        <v>0</v>
      </c>
      <c r="CM962">
        <f t="shared" si="1944"/>
        <v>0</v>
      </c>
      <c r="CN962">
        <f t="shared" si="1944"/>
        <v>0</v>
      </c>
      <c r="CO962">
        <f t="shared" si="1944"/>
        <v>0</v>
      </c>
      <c r="CP962">
        <f t="shared" si="1944"/>
        <v>0</v>
      </c>
      <c r="CQ962">
        <f t="shared" si="1944"/>
        <v>0</v>
      </c>
      <c r="CR962">
        <f t="shared" si="1944"/>
        <v>0</v>
      </c>
      <c r="CS962">
        <f t="shared" si="1944"/>
        <v>0</v>
      </c>
      <c r="CT962">
        <f t="shared" si="1944"/>
        <v>0</v>
      </c>
      <c r="CU962">
        <f t="shared" si="1944"/>
        <v>0</v>
      </c>
      <c r="CV962">
        <f t="shared" si="1944"/>
        <v>0</v>
      </c>
      <c r="CW962">
        <f t="shared" si="1945"/>
        <v>0</v>
      </c>
      <c r="CX962">
        <f t="shared" si="1945"/>
        <v>0</v>
      </c>
      <c r="CY962">
        <f t="shared" si="1945"/>
        <v>0</v>
      </c>
      <c r="CZ962">
        <f t="shared" si="1945"/>
        <v>0</v>
      </c>
      <c r="DA962">
        <f t="shared" si="1945"/>
        <v>0</v>
      </c>
      <c r="DB962">
        <f t="shared" si="1945"/>
        <v>0</v>
      </c>
      <c r="DC962">
        <f t="shared" si="1945"/>
        <v>0</v>
      </c>
      <c r="DD962">
        <f t="shared" si="1945"/>
        <v>0</v>
      </c>
      <c r="DE962">
        <f t="shared" si="1945"/>
        <v>0</v>
      </c>
      <c r="DF962">
        <f t="shared" si="1945"/>
        <v>0</v>
      </c>
      <c r="DG962">
        <f t="shared" si="1946"/>
        <v>0</v>
      </c>
      <c r="DH962">
        <f t="shared" si="1946"/>
        <v>0</v>
      </c>
      <c r="DI962">
        <f t="shared" si="1946"/>
        <v>0</v>
      </c>
      <c r="DJ962">
        <f t="shared" si="1946"/>
        <v>0</v>
      </c>
      <c r="DK962">
        <f t="shared" si="1946"/>
        <v>0</v>
      </c>
      <c r="DL962">
        <f t="shared" si="1946"/>
        <v>0</v>
      </c>
      <c r="DM962">
        <f t="shared" si="1946"/>
        <v>0</v>
      </c>
      <c r="DN962">
        <f t="shared" si="1946"/>
        <v>0</v>
      </c>
      <c r="DO962">
        <f t="shared" si="1946"/>
        <v>0</v>
      </c>
      <c r="DP962">
        <f t="shared" si="1946"/>
        <v>0</v>
      </c>
      <c r="DQ962">
        <f t="shared" si="1947"/>
        <v>0</v>
      </c>
      <c r="DR962">
        <f t="shared" si="1947"/>
        <v>0</v>
      </c>
      <c r="DS962">
        <f t="shared" si="1947"/>
        <v>0</v>
      </c>
      <c r="DT962">
        <f t="shared" si="1947"/>
        <v>0</v>
      </c>
      <c r="DU962">
        <f t="shared" si="1947"/>
        <v>0</v>
      </c>
      <c r="DV962">
        <f t="shared" si="1947"/>
        <v>0</v>
      </c>
      <c r="DW962">
        <f t="shared" si="1947"/>
        <v>0</v>
      </c>
      <c r="DX962">
        <f t="shared" si="1947"/>
        <v>0</v>
      </c>
      <c r="DY962">
        <f t="shared" si="1947"/>
        <v>0</v>
      </c>
      <c r="DZ962">
        <f t="shared" si="1947"/>
        <v>0</v>
      </c>
      <c r="EA962">
        <f t="shared" si="1948"/>
        <v>0</v>
      </c>
      <c r="EB962">
        <f t="shared" si="1948"/>
        <v>0</v>
      </c>
      <c r="EC962">
        <f t="shared" si="1948"/>
        <v>0</v>
      </c>
      <c r="ED962">
        <f t="shared" si="1948"/>
        <v>0</v>
      </c>
      <c r="EE962">
        <f t="shared" si="1948"/>
        <v>0</v>
      </c>
      <c r="EF962">
        <f t="shared" si="1948"/>
        <v>0</v>
      </c>
    </row>
    <row r="963" spans="1:136" ht="15.5">
      <c r="A963" s="90"/>
      <c r="B963" s="19" t="s">
        <v>205</v>
      </c>
      <c r="C963" s="94"/>
      <c r="D963" s="18"/>
      <c r="E963" s="18"/>
      <c r="F963" s="18">
        <v>0</v>
      </c>
      <c r="G963" s="18">
        <v>0</v>
      </c>
      <c r="H963" s="18">
        <v>0</v>
      </c>
      <c r="I963" s="18">
        <v>0</v>
      </c>
      <c r="J963" s="18">
        <v>0</v>
      </c>
      <c r="K963" s="18">
        <v>0</v>
      </c>
      <c r="L963" s="18">
        <v>0</v>
      </c>
      <c r="M963" s="18">
        <v>0</v>
      </c>
      <c r="N963" s="18">
        <v>0</v>
      </c>
      <c r="O963" s="18">
        <v>0</v>
      </c>
      <c r="P963" s="18">
        <v>0</v>
      </c>
      <c r="Q963" s="18">
        <v>0</v>
      </c>
      <c r="R963" s="18">
        <v>0</v>
      </c>
      <c r="S963" s="18">
        <v>0</v>
      </c>
      <c r="T963" s="18">
        <v>0</v>
      </c>
      <c r="U963" s="18">
        <v>0</v>
      </c>
      <c r="V963" s="18">
        <v>0</v>
      </c>
      <c r="W963" s="18">
        <v>0</v>
      </c>
      <c r="X963" s="18">
        <v>0</v>
      </c>
      <c r="Y963" s="18">
        <v>0</v>
      </c>
      <c r="Z963" s="18">
        <v>0</v>
      </c>
      <c r="AA963" s="18">
        <v>0</v>
      </c>
      <c r="AB963" s="18">
        <v>0</v>
      </c>
      <c r="AC963" s="18">
        <v>0</v>
      </c>
      <c r="AD963" s="18">
        <v>0</v>
      </c>
      <c r="AE963" s="18">
        <v>0.83957809999999999</v>
      </c>
      <c r="AF963" s="18">
        <v>1.6791563</v>
      </c>
      <c r="AG963" s="18">
        <v>0.26471250000000002</v>
      </c>
      <c r="AH963" s="18">
        <v>0.88374390000000003</v>
      </c>
      <c r="AI963" s="18">
        <v>1.1114790000000001</v>
      </c>
      <c r="AJ963" s="18">
        <v>1.6673039999999999</v>
      </c>
      <c r="AK963" s="18">
        <v>2.2655173</v>
      </c>
      <c r="AL963" s="18">
        <v>1.9541326999999999</v>
      </c>
      <c r="AM963" s="18">
        <v>3.0966412999999999</v>
      </c>
      <c r="AN963" s="18">
        <v>4.1737979000000003</v>
      </c>
      <c r="AO963" s="18">
        <v>5.2556840999999999</v>
      </c>
      <c r="AP963" s="18">
        <v>6.2137769</v>
      </c>
      <c r="AQ963" s="18">
        <v>7.3064774000000003</v>
      </c>
      <c r="AR963" s="18">
        <v>7.9784727000000002</v>
      </c>
      <c r="AS963" s="18">
        <v>16</v>
      </c>
      <c r="AT963" s="18">
        <v>8.8098776000000001</v>
      </c>
      <c r="AU963" s="18">
        <v>8.8105161999999986</v>
      </c>
      <c r="AV963" s="18">
        <v>8.810729199999999</v>
      </c>
      <c r="AW963" s="18">
        <v>9.0359595000000006</v>
      </c>
      <c r="AX963" s="18">
        <v>9.3385583000000008</v>
      </c>
      <c r="AY963" s="18">
        <v>160</v>
      </c>
      <c r="AZ963" s="18">
        <v>18.6083657</v>
      </c>
      <c r="BA963" s="18">
        <v>0</v>
      </c>
      <c r="BB963" s="18">
        <v>0</v>
      </c>
      <c r="BC963" s="18">
        <v>0</v>
      </c>
      <c r="BD963" s="18">
        <v>0</v>
      </c>
      <c r="BE963" s="25">
        <v>0</v>
      </c>
      <c r="BF963" s="18">
        <v>0</v>
      </c>
      <c r="BG963" s="18">
        <v>0</v>
      </c>
      <c r="BH963" s="113">
        <v>0</v>
      </c>
      <c r="BI963" s="113">
        <v>0</v>
      </c>
      <c r="BJ963" s="113">
        <v>0</v>
      </c>
      <c r="BK963" s="113">
        <v>0</v>
      </c>
      <c r="BL963" s="113">
        <v>0</v>
      </c>
      <c r="BM963" s="113">
        <v>0</v>
      </c>
      <c r="BN963" s="113">
        <v>0</v>
      </c>
      <c r="BO963" s="113">
        <v>0</v>
      </c>
      <c r="BP963" s="113">
        <v>0</v>
      </c>
      <c r="BQ963" s="113">
        <v>0</v>
      </c>
      <c r="BR963" s="101"/>
      <c r="BS963">
        <f t="shared" si="1942"/>
        <v>0</v>
      </c>
      <c r="BT963">
        <f t="shared" si="1942"/>
        <v>0</v>
      </c>
      <c r="BU963">
        <f t="shared" si="1942"/>
        <v>0</v>
      </c>
      <c r="BV963">
        <f t="shared" si="1942"/>
        <v>0</v>
      </c>
      <c r="BW963">
        <f t="shared" si="1942"/>
        <v>0</v>
      </c>
      <c r="BX963">
        <f t="shared" si="1942"/>
        <v>0</v>
      </c>
      <c r="BY963">
        <f t="shared" si="1942"/>
        <v>0</v>
      </c>
      <c r="BZ963">
        <f t="shared" si="1942"/>
        <v>0</v>
      </c>
      <c r="CA963">
        <f t="shared" si="1942"/>
        <v>0</v>
      </c>
      <c r="CB963">
        <f t="shared" si="1942"/>
        <v>0</v>
      </c>
      <c r="CC963">
        <f t="shared" si="1943"/>
        <v>0</v>
      </c>
      <c r="CD963">
        <f t="shared" si="1943"/>
        <v>0</v>
      </c>
      <c r="CE963">
        <f t="shared" si="1943"/>
        <v>0</v>
      </c>
      <c r="CF963">
        <f t="shared" si="1943"/>
        <v>0</v>
      </c>
      <c r="CG963">
        <f t="shared" si="1943"/>
        <v>0</v>
      </c>
      <c r="CH963">
        <f t="shared" si="1943"/>
        <v>0</v>
      </c>
      <c r="CI963">
        <f t="shared" si="1943"/>
        <v>0</v>
      </c>
      <c r="CJ963">
        <f t="shared" si="1943"/>
        <v>0</v>
      </c>
      <c r="CK963">
        <f t="shared" si="1943"/>
        <v>0</v>
      </c>
      <c r="CL963">
        <f t="shared" si="1943"/>
        <v>0</v>
      </c>
      <c r="CM963">
        <f t="shared" si="1944"/>
        <v>0</v>
      </c>
      <c r="CN963">
        <f t="shared" si="1944"/>
        <v>0</v>
      </c>
      <c r="CO963">
        <f t="shared" si="1944"/>
        <v>0</v>
      </c>
      <c r="CP963">
        <f t="shared" si="1944"/>
        <v>0</v>
      </c>
      <c r="CQ963">
        <f t="shared" si="1944"/>
        <v>0</v>
      </c>
      <c r="CR963">
        <f t="shared" si="1944"/>
        <v>0</v>
      </c>
      <c r="CS963">
        <f t="shared" si="1944"/>
        <v>0</v>
      </c>
      <c r="CT963">
        <f t="shared" si="1944"/>
        <v>0</v>
      </c>
      <c r="CU963">
        <f t="shared" si="1944"/>
        <v>0</v>
      </c>
      <c r="CV963">
        <f t="shared" si="1944"/>
        <v>0</v>
      </c>
      <c r="CW963">
        <f t="shared" si="1945"/>
        <v>0</v>
      </c>
      <c r="CX963">
        <f t="shared" si="1945"/>
        <v>0</v>
      </c>
      <c r="CY963">
        <f t="shared" si="1945"/>
        <v>0</v>
      </c>
      <c r="CZ963">
        <f t="shared" si="1945"/>
        <v>0</v>
      </c>
      <c r="DA963">
        <f t="shared" si="1945"/>
        <v>0</v>
      </c>
      <c r="DB963">
        <f t="shared" si="1945"/>
        <v>0</v>
      </c>
      <c r="DC963">
        <f t="shared" si="1945"/>
        <v>0</v>
      </c>
      <c r="DD963">
        <f t="shared" si="1945"/>
        <v>0</v>
      </c>
      <c r="DE963">
        <f t="shared" si="1945"/>
        <v>0</v>
      </c>
      <c r="DF963">
        <f t="shared" si="1945"/>
        <v>0</v>
      </c>
      <c r="DG963">
        <f t="shared" si="1946"/>
        <v>0</v>
      </c>
      <c r="DH963">
        <f t="shared" si="1946"/>
        <v>0</v>
      </c>
      <c r="DI963">
        <f t="shared" si="1946"/>
        <v>0</v>
      </c>
      <c r="DJ963">
        <f t="shared" si="1946"/>
        <v>0</v>
      </c>
      <c r="DK963">
        <f t="shared" si="1946"/>
        <v>0</v>
      </c>
      <c r="DL963">
        <f t="shared" si="1946"/>
        <v>0</v>
      </c>
      <c r="DM963">
        <f t="shared" si="1946"/>
        <v>0</v>
      </c>
      <c r="DN963">
        <f t="shared" si="1946"/>
        <v>0</v>
      </c>
      <c r="DO963">
        <f t="shared" si="1946"/>
        <v>0</v>
      </c>
      <c r="DP963">
        <f t="shared" si="1946"/>
        <v>0</v>
      </c>
      <c r="DQ963">
        <f t="shared" si="1947"/>
        <v>0</v>
      </c>
      <c r="DR963">
        <f t="shared" si="1947"/>
        <v>0</v>
      </c>
      <c r="DS963">
        <f t="shared" si="1947"/>
        <v>0</v>
      </c>
      <c r="DT963">
        <f t="shared" si="1947"/>
        <v>0</v>
      </c>
      <c r="DU963">
        <f t="shared" si="1947"/>
        <v>0</v>
      </c>
      <c r="DV963">
        <f t="shared" si="1947"/>
        <v>0</v>
      </c>
      <c r="DW963">
        <f t="shared" si="1947"/>
        <v>0</v>
      </c>
      <c r="DX963">
        <f t="shared" si="1947"/>
        <v>0</v>
      </c>
      <c r="DY963">
        <f t="shared" si="1947"/>
        <v>0</v>
      </c>
      <c r="DZ963">
        <f t="shared" si="1947"/>
        <v>0</v>
      </c>
      <c r="EA963">
        <f t="shared" si="1948"/>
        <v>0</v>
      </c>
      <c r="EB963">
        <f t="shared" si="1948"/>
        <v>0</v>
      </c>
      <c r="EC963">
        <f t="shared" si="1948"/>
        <v>0</v>
      </c>
      <c r="ED963">
        <f t="shared" si="1948"/>
        <v>0</v>
      </c>
      <c r="EE963">
        <f t="shared" si="1948"/>
        <v>0</v>
      </c>
      <c r="EF963">
        <f t="shared" si="1948"/>
        <v>0</v>
      </c>
    </row>
    <row r="964" spans="1:136" ht="15.5">
      <c r="A964" s="90"/>
      <c r="B964" s="57" t="s">
        <v>3</v>
      </c>
      <c r="C964" s="94"/>
      <c r="D964" s="18"/>
      <c r="E964" s="18"/>
      <c r="F964" s="18">
        <v>0</v>
      </c>
      <c r="G964" s="18">
        <v>0</v>
      </c>
      <c r="H964" s="18">
        <v>0</v>
      </c>
      <c r="I964" s="18">
        <v>0</v>
      </c>
      <c r="J964" s="18">
        <v>0</v>
      </c>
      <c r="K964" s="18">
        <v>0</v>
      </c>
      <c r="L964" s="18">
        <v>0</v>
      </c>
      <c r="M964" s="18">
        <v>0</v>
      </c>
      <c r="N964" s="18">
        <v>0</v>
      </c>
      <c r="O964" s="18">
        <v>0</v>
      </c>
      <c r="P964" s="18">
        <v>0</v>
      </c>
      <c r="Q964" s="18">
        <v>0</v>
      </c>
      <c r="R964" s="18">
        <v>0</v>
      </c>
      <c r="S964" s="18">
        <v>0</v>
      </c>
      <c r="T964" s="18">
        <v>4.5290999999999998E-2</v>
      </c>
      <c r="U964" s="18">
        <v>9.5010000000000005E-4</v>
      </c>
      <c r="V964" s="18">
        <v>0</v>
      </c>
      <c r="W964" s="18">
        <v>8.6630000000000006E-3</v>
      </c>
      <c r="X964" s="18">
        <v>1.5824399999999999E-2</v>
      </c>
      <c r="Y964" s="18">
        <v>0</v>
      </c>
      <c r="Z964" s="18">
        <v>0</v>
      </c>
      <c r="AA964" s="18">
        <v>0</v>
      </c>
      <c r="AB964" s="18">
        <v>0.47599999999999998</v>
      </c>
      <c r="AC964" s="18">
        <v>0</v>
      </c>
      <c r="AD964" s="18">
        <v>0.61679880000000009</v>
      </c>
      <c r="AE964" s="18">
        <f>3.3264357-AE963</f>
        <v>2.4868576000000004</v>
      </c>
      <c r="AF964" s="18">
        <f>7.2182944-AF963</f>
        <v>5.5391381000000006</v>
      </c>
      <c r="AG964" s="18">
        <v>73.140207599999997</v>
      </c>
      <c r="AH964" s="18">
        <f>9.8868097-AH963</f>
        <v>9.0030657999999999</v>
      </c>
      <c r="AI964" s="18">
        <f>13.2371708-AI963</f>
        <v>12.125691799999998</v>
      </c>
      <c r="AJ964" s="18">
        <f>21.3705288-AJ963</f>
        <v>19.703224799999997</v>
      </c>
      <c r="AK964" s="18">
        <f>33.3117721-AK963</f>
        <v>31.0462548</v>
      </c>
      <c r="AL964" s="18">
        <f>54.549145-AL963</f>
        <v>52.5950123</v>
      </c>
      <c r="AM964" s="18">
        <f>67.8262489-AM963</f>
        <v>64.729607599999994</v>
      </c>
      <c r="AN964" s="18">
        <f>74.1168379-AN963</f>
        <v>69.943039999999996</v>
      </c>
      <c r="AO964" s="18">
        <f>95.1039234-AO963</f>
        <v>89.848239300000003</v>
      </c>
      <c r="AP964" s="18">
        <f>109.1693688-AP963</f>
        <v>102.9555919</v>
      </c>
      <c r="AQ964" s="18">
        <f>86.2751799-AQ963</f>
        <v>78.968702499999992</v>
      </c>
      <c r="AR964" s="18">
        <f>92.2715208-AR963</f>
        <v>84.293048100000007</v>
      </c>
      <c r="AS964" s="18">
        <f>107.8723516-AS963</f>
        <v>91.872351600000002</v>
      </c>
      <c r="AT964" s="18">
        <f>108.4051763-AT963</f>
        <v>99.595298700000001</v>
      </c>
      <c r="AU964" s="18">
        <f>109.0736751-AU963</f>
        <v>100.26315890000001</v>
      </c>
      <c r="AV964" s="18">
        <f>115.2800703-AV963</f>
        <v>106.46934110000001</v>
      </c>
      <c r="AW964" s="18">
        <f>111.2242748-AW963</f>
        <v>102.1883153</v>
      </c>
      <c r="AX964" s="18">
        <f>1294.5680965-AX963</f>
        <v>1285.2295382</v>
      </c>
      <c r="AY964" s="18">
        <v>74.177145799999991</v>
      </c>
      <c r="AZ964" s="18">
        <f>33.7848686-AZ963</f>
        <v>15.176502900000003</v>
      </c>
      <c r="BA964" s="18">
        <v>6.5682344000000006</v>
      </c>
      <c r="BB964" s="18">
        <v>5.5010346999999999</v>
      </c>
      <c r="BC964" s="18">
        <v>5.3862304000000005</v>
      </c>
      <c r="BD964" s="18">
        <v>3.8470159000000002</v>
      </c>
      <c r="BE964" s="25">
        <v>4.4662405999999999</v>
      </c>
      <c r="BF964" s="18">
        <v>4.9830252000000002</v>
      </c>
      <c r="BG964" s="18">
        <v>4.5201338</v>
      </c>
      <c r="BH964" s="18">
        <v>4.4824124999999997</v>
      </c>
      <c r="BI964" s="18">
        <v>1.5178601</v>
      </c>
      <c r="BJ964" s="71">
        <v>1.2228007999999999</v>
      </c>
      <c r="BK964" s="34">
        <v>1.1809959999999999</v>
      </c>
      <c r="BL964" s="34">
        <v>1.2106416</v>
      </c>
      <c r="BM964" s="34">
        <v>1.2491907</v>
      </c>
      <c r="BN964" s="34">
        <v>0.92524850000000003</v>
      </c>
      <c r="BO964" s="113">
        <v>1.1995788000000001</v>
      </c>
      <c r="BP964" s="113">
        <v>1.1995788000000001</v>
      </c>
      <c r="BQ964" s="113">
        <v>1.1995788000000001</v>
      </c>
      <c r="BR964" s="101"/>
      <c r="BS964">
        <f t="shared" si="1942"/>
        <v>0</v>
      </c>
      <c r="BT964">
        <f t="shared" si="1942"/>
        <v>0</v>
      </c>
      <c r="BU964">
        <f t="shared" si="1942"/>
        <v>0</v>
      </c>
      <c r="BV964">
        <f t="shared" si="1942"/>
        <v>0</v>
      </c>
      <c r="BW964">
        <f t="shared" si="1942"/>
        <v>0</v>
      </c>
      <c r="BX964">
        <f t="shared" si="1942"/>
        <v>0</v>
      </c>
      <c r="BY964">
        <f t="shared" si="1942"/>
        <v>0</v>
      </c>
      <c r="BZ964">
        <f t="shared" si="1942"/>
        <v>0</v>
      </c>
      <c r="CA964">
        <f t="shared" si="1942"/>
        <v>0</v>
      </c>
      <c r="CB964">
        <f t="shared" si="1942"/>
        <v>0</v>
      </c>
      <c r="CC964">
        <f t="shared" si="1943"/>
        <v>0</v>
      </c>
      <c r="CD964">
        <f t="shared" si="1943"/>
        <v>0</v>
      </c>
      <c r="CE964">
        <f t="shared" si="1943"/>
        <v>0</v>
      </c>
      <c r="CF964">
        <f t="shared" si="1943"/>
        <v>0</v>
      </c>
      <c r="CG964">
        <f t="shared" si="1943"/>
        <v>0</v>
      </c>
      <c r="CH964">
        <f t="shared" si="1943"/>
        <v>0</v>
      </c>
      <c r="CI964">
        <f t="shared" si="1943"/>
        <v>0</v>
      </c>
      <c r="CJ964">
        <f t="shared" si="1943"/>
        <v>0</v>
      </c>
      <c r="CK964">
        <f t="shared" si="1943"/>
        <v>0</v>
      </c>
      <c r="CL964">
        <f t="shared" si="1943"/>
        <v>0</v>
      </c>
      <c r="CM964">
        <f t="shared" si="1944"/>
        <v>0</v>
      </c>
      <c r="CN964">
        <f t="shared" si="1944"/>
        <v>0</v>
      </c>
      <c r="CO964">
        <f t="shared" si="1944"/>
        <v>0</v>
      </c>
      <c r="CP964">
        <f t="shared" si="1944"/>
        <v>0</v>
      </c>
      <c r="CQ964">
        <f t="shared" si="1944"/>
        <v>0</v>
      </c>
      <c r="CR964">
        <f t="shared" si="1944"/>
        <v>0</v>
      </c>
      <c r="CS964">
        <f t="shared" si="1944"/>
        <v>0</v>
      </c>
      <c r="CT964">
        <f t="shared" si="1944"/>
        <v>0</v>
      </c>
      <c r="CU964">
        <f t="shared" si="1944"/>
        <v>0</v>
      </c>
      <c r="CV964">
        <f t="shared" si="1944"/>
        <v>0</v>
      </c>
      <c r="CW964">
        <f t="shared" si="1945"/>
        <v>0</v>
      </c>
      <c r="CX964">
        <f t="shared" si="1945"/>
        <v>0</v>
      </c>
      <c r="CY964">
        <f t="shared" si="1945"/>
        <v>0</v>
      </c>
      <c r="CZ964">
        <f t="shared" si="1945"/>
        <v>0</v>
      </c>
      <c r="DA964">
        <f t="shared" si="1945"/>
        <v>0</v>
      </c>
      <c r="DB964">
        <f t="shared" si="1945"/>
        <v>0</v>
      </c>
      <c r="DC964">
        <f t="shared" si="1945"/>
        <v>0</v>
      </c>
      <c r="DD964">
        <f t="shared" si="1945"/>
        <v>0</v>
      </c>
      <c r="DE964">
        <f t="shared" si="1945"/>
        <v>0</v>
      </c>
      <c r="DF964">
        <f t="shared" si="1945"/>
        <v>0</v>
      </c>
      <c r="DG964">
        <f t="shared" si="1946"/>
        <v>0</v>
      </c>
      <c r="DH964">
        <f t="shared" si="1946"/>
        <v>0</v>
      </c>
      <c r="DI964">
        <f t="shared" si="1946"/>
        <v>0</v>
      </c>
      <c r="DJ964">
        <f t="shared" si="1946"/>
        <v>0</v>
      </c>
      <c r="DK964">
        <f t="shared" si="1946"/>
        <v>0</v>
      </c>
      <c r="DL964">
        <f t="shared" si="1946"/>
        <v>0</v>
      </c>
      <c r="DM964">
        <f t="shared" si="1946"/>
        <v>0</v>
      </c>
      <c r="DN964">
        <f t="shared" si="1946"/>
        <v>0</v>
      </c>
      <c r="DO964">
        <f t="shared" si="1946"/>
        <v>0</v>
      </c>
      <c r="DP964">
        <f t="shared" si="1946"/>
        <v>0</v>
      </c>
      <c r="DQ964">
        <f t="shared" si="1947"/>
        <v>0</v>
      </c>
      <c r="DR964">
        <f t="shared" si="1947"/>
        <v>0</v>
      </c>
      <c r="DS964">
        <f t="shared" si="1947"/>
        <v>0</v>
      </c>
      <c r="DT964">
        <f t="shared" si="1947"/>
        <v>0</v>
      </c>
      <c r="DU964">
        <f t="shared" si="1947"/>
        <v>0</v>
      </c>
      <c r="DV964">
        <f t="shared" si="1947"/>
        <v>0</v>
      </c>
      <c r="DW964">
        <f t="shared" si="1947"/>
        <v>0</v>
      </c>
      <c r="DX964">
        <f t="shared" si="1947"/>
        <v>0</v>
      </c>
      <c r="DY964">
        <f t="shared" si="1947"/>
        <v>0</v>
      </c>
      <c r="DZ964">
        <f t="shared" si="1947"/>
        <v>0</v>
      </c>
      <c r="EA964">
        <f t="shared" si="1948"/>
        <v>0</v>
      </c>
      <c r="EB964">
        <f t="shared" si="1948"/>
        <v>0</v>
      </c>
      <c r="EC964">
        <f t="shared" si="1948"/>
        <v>0</v>
      </c>
      <c r="ED964">
        <f t="shared" si="1948"/>
        <v>0</v>
      </c>
      <c r="EE964">
        <f t="shared" si="1948"/>
        <v>0</v>
      </c>
      <c r="EF964">
        <f t="shared" si="1948"/>
        <v>0</v>
      </c>
    </row>
    <row r="965" spans="1:136" ht="15.5">
      <c r="A965" s="90"/>
      <c r="B965" s="19" t="s">
        <v>208</v>
      </c>
      <c r="C965" s="94"/>
      <c r="D965" s="18"/>
      <c r="E965" s="18"/>
      <c r="F965" s="18">
        <v>0</v>
      </c>
      <c r="G965" s="18">
        <v>0</v>
      </c>
      <c r="H965" s="18">
        <v>0</v>
      </c>
      <c r="I965" s="18">
        <v>0</v>
      </c>
      <c r="J965" s="18">
        <v>0</v>
      </c>
      <c r="K965" s="18">
        <v>0</v>
      </c>
      <c r="L965" s="18">
        <v>0</v>
      </c>
      <c r="M965" s="18">
        <v>0</v>
      </c>
      <c r="N965" s="18">
        <v>0</v>
      </c>
      <c r="O965" s="18">
        <v>0</v>
      </c>
      <c r="P965" s="18">
        <v>0</v>
      </c>
      <c r="Q965" s="18">
        <v>0</v>
      </c>
      <c r="R965" s="18">
        <v>0</v>
      </c>
      <c r="S965" s="18">
        <v>0</v>
      </c>
      <c r="T965" s="18">
        <v>0</v>
      </c>
      <c r="U965" s="18">
        <v>0</v>
      </c>
      <c r="V965" s="18">
        <v>0</v>
      </c>
      <c r="W965" s="18">
        <v>0</v>
      </c>
      <c r="X965" s="18">
        <v>0</v>
      </c>
      <c r="Y965" s="18">
        <v>0</v>
      </c>
      <c r="Z965" s="18">
        <v>0</v>
      </c>
      <c r="AA965" s="18">
        <v>0</v>
      </c>
      <c r="AB965" s="18">
        <v>0</v>
      </c>
      <c r="AC965" s="18">
        <v>0</v>
      </c>
      <c r="AD965" s="18">
        <v>0</v>
      </c>
      <c r="AE965" s="18">
        <v>0</v>
      </c>
      <c r="AF965" s="18">
        <v>0</v>
      </c>
      <c r="AG965" s="18">
        <v>0</v>
      </c>
      <c r="AH965" s="18">
        <v>0</v>
      </c>
      <c r="AI965" s="18">
        <v>0</v>
      </c>
      <c r="AJ965" s="18">
        <v>0</v>
      </c>
      <c r="AK965" s="18">
        <v>0.97429060000000001</v>
      </c>
      <c r="AL965" s="18">
        <v>1.715176</v>
      </c>
      <c r="AM965" s="18">
        <v>1.8548992</v>
      </c>
      <c r="AN965" s="18">
        <v>1.7068133000000001</v>
      </c>
      <c r="AO965" s="18">
        <v>1.4753133</v>
      </c>
      <c r="AP965" s="18">
        <v>1.5756036</v>
      </c>
      <c r="AQ965" s="18">
        <v>1.356662</v>
      </c>
      <c r="AR965" s="18">
        <v>1.2565935999999998</v>
      </c>
      <c r="AS965" s="18">
        <v>1.1901515</v>
      </c>
      <c r="AT965" s="18">
        <v>1.4162167999999997</v>
      </c>
      <c r="AU965" s="18">
        <v>1.7056182000000002</v>
      </c>
      <c r="AV965" s="18">
        <v>1.8394478000000001</v>
      </c>
      <c r="AW965" s="18">
        <v>0</v>
      </c>
      <c r="AX965" s="18">
        <v>0</v>
      </c>
      <c r="AY965" s="18">
        <v>0</v>
      </c>
      <c r="AZ965" s="18">
        <v>0</v>
      </c>
      <c r="BA965" s="18">
        <v>0</v>
      </c>
      <c r="BB965" s="18">
        <v>0</v>
      </c>
      <c r="BC965" s="18">
        <v>0</v>
      </c>
      <c r="BD965" s="18">
        <v>0</v>
      </c>
      <c r="BE965" s="18">
        <v>0</v>
      </c>
      <c r="BF965" s="18">
        <v>0</v>
      </c>
      <c r="BG965" s="18">
        <v>0</v>
      </c>
      <c r="BH965" s="18">
        <v>0</v>
      </c>
      <c r="BI965" s="18">
        <v>0</v>
      </c>
      <c r="BJ965" s="113">
        <v>0</v>
      </c>
      <c r="BK965" s="113">
        <v>0</v>
      </c>
      <c r="BL965" s="113">
        <v>0</v>
      </c>
      <c r="BM965" s="113">
        <v>0</v>
      </c>
      <c r="BN965" s="113">
        <v>0</v>
      </c>
      <c r="BO965" s="113">
        <v>0</v>
      </c>
      <c r="BP965" s="113">
        <v>0</v>
      </c>
      <c r="BQ965" s="113">
        <v>0</v>
      </c>
      <c r="BR965" s="101"/>
      <c r="BS965">
        <f t="shared" si="1942"/>
        <v>0</v>
      </c>
      <c r="BT965">
        <f t="shared" si="1942"/>
        <v>0</v>
      </c>
      <c r="BU965">
        <f t="shared" si="1942"/>
        <v>0</v>
      </c>
      <c r="BV965">
        <f t="shared" si="1942"/>
        <v>0</v>
      </c>
      <c r="BW965">
        <f t="shared" si="1942"/>
        <v>0</v>
      </c>
      <c r="BX965">
        <f t="shared" si="1942"/>
        <v>0</v>
      </c>
      <c r="BY965">
        <f t="shared" si="1942"/>
        <v>0</v>
      </c>
      <c r="BZ965">
        <f t="shared" si="1942"/>
        <v>0</v>
      </c>
      <c r="CA965">
        <f t="shared" si="1942"/>
        <v>0</v>
      </c>
      <c r="CB965">
        <f t="shared" si="1942"/>
        <v>0</v>
      </c>
      <c r="CC965">
        <f t="shared" si="1943"/>
        <v>0</v>
      </c>
      <c r="CD965">
        <f t="shared" si="1943"/>
        <v>0</v>
      </c>
      <c r="CE965">
        <f t="shared" si="1943"/>
        <v>0</v>
      </c>
      <c r="CF965">
        <f t="shared" si="1943"/>
        <v>0</v>
      </c>
      <c r="CG965">
        <f t="shared" si="1943"/>
        <v>0</v>
      </c>
      <c r="CH965">
        <f t="shared" si="1943"/>
        <v>0</v>
      </c>
      <c r="CI965">
        <f t="shared" si="1943"/>
        <v>0</v>
      </c>
      <c r="CJ965">
        <f t="shared" si="1943"/>
        <v>0</v>
      </c>
      <c r="CK965">
        <f t="shared" si="1943"/>
        <v>0</v>
      </c>
      <c r="CL965">
        <f t="shared" si="1943"/>
        <v>0</v>
      </c>
      <c r="CM965">
        <f t="shared" si="1944"/>
        <v>0</v>
      </c>
      <c r="CN965">
        <f t="shared" si="1944"/>
        <v>0</v>
      </c>
      <c r="CO965">
        <f t="shared" si="1944"/>
        <v>0</v>
      </c>
      <c r="CP965">
        <f t="shared" si="1944"/>
        <v>0</v>
      </c>
      <c r="CQ965">
        <f t="shared" si="1944"/>
        <v>0</v>
      </c>
      <c r="CR965">
        <f t="shared" si="1944"/>
        <v>0</v>
      </c>
      <c r="CS965">
        <f t="shared" si="1944"/>
        <v>0</v>
      </c>
      <c r="CT965">
        <f t="shared" si="1944"/>
        <v>0</v>
      </c>
      <c r="CU965">
        <f t="shared" si="1944"/>
        <v>0</v>
      </c>
      <c r="CV965">
        <f t="shared" si="1944"/>
        <v>0</v>
      </c>
      <c r="CW965">
        <f t="shared" si="1945"/>
        <v>0</v>
      </c>
      <c r="CX965">
        <f t="shared" si="1945"/>
        <v>0</v>
      </c>
      <c r="CY965">
        <f t="shared" si="1945"/>
        <v>0</v>
      </c>
      <c r="CZ965">
        <f t="shared" si="1945"/>
        <v>0</v>
      </c>
      <c r="DA965">
        <f t="shared" si="1945"/>
        <v>0</v>
      </c>
      <c r="DB965">
        <f t="shared" si="1945"/>
        <v>0</v>
      </c>
      <c r="DC965">
        <f t="shared" si="1945"/>
        <v>0</v>
      </c>
      <c r="DD965">
        <f t="shared" si="1945"/>
        <v>0</v>
      </c>
      <c r="DE965">
        <f t="shared" si="1945"/>
        <v>0</v>
      </c>
      <c r="DF965">
        <f t="shared" si="1945"/>
        <v>0</v>
      </c>
      <c r="DG965">
        <f t="shared" si="1946"/>
        <v>0</v>
      </c>
      <c r="DH965">
        <f t="shared" si="1946"/>
        <v>0</v>
      </c>
      <c r="DI965">
        <f t="shared" si="1946"/>
        <v>0</v>
      </c>
      <c r="DJ965">
        <f t="shared" si="1946"/>
        <v>0</v>
      </c>
      <c r="DK965">
        <f t="shared" si="1946"/>
        <v>0</v>
      </c>
      <c r="DL965">
        <f t="shared" si="1946"/>
        <v>0</v>
      </c>
      <c r="DM965">
        <f t="shared" si="1946"/>
        <v>0</v>
      </c>
      <c r="DN965">
        <f t="shared" si="1946"/>
        <v>0</v>
      </c>
      <c r="DO965">
        <f t="shared" si="1946"/>
        <v>0</v>
      </c>
      <c r="DP965">
        <f t="shared" si="1946"/>
        <v>0</v>
      </c>
      <c r="DQ965">
        <f t="shared" si="1947"/>
        <v>0</v>
      </c>
      <c r="DR965">
        <f t="shared" si="1947"/>
        <v>0</v>
      </c>
      <c r="DS965">
        <f t="shared" si="1947"/>
        <v>0</v>
      </c>
      <c r="DT965">
        <f t="shared" si="1947"/>
        <v>0</v>
      </c>
      <c r="DU965">
        <f t="shared" si="1947"/>
        <v>0</v>
      </c>
      <c r="DV965">
        <f t="shared" si="1947"/>
        <v>0</v>
      </c>
      <c r="DW965">
        <f t="shared" si="1947"/>
        <v>0</v>
      </c>
      <c r="DX965">
        <f t="shared" si="1947"/>
        <v>0</v>
      </c>
      <c r="DY965">
        <f t="shared" si="1947"/>
        <v>0</v>
      </c>
      <c r="DZ965">
        <f t="shared" si="1947"/>
        <v>0</v>
      </c>
      <c r="EA965">
        <f t="shared" si="1948"/>
        <v>0</v>
      </c>
      <c r="EB965">
        <f t="shared" si="1948"/>
        <v>0</v>
      </c>
      <c r="EC965">
        <f t="shared" si="1948"/>
        <v>0</v>
      </c>
      <c r="ED965">
        <f t="shared" si="1948"/>
        <v>0</v>
      </c>
      <c r="EE965">
        <f t="shared" si="1948"/>
        <v>0</v>
      </c>
      <c r="EF965">
        <f t="shared" si="1948"/>
        <v>0</v>
      </c>
    </row>
    <row r="966" spans="1:136" ht="15.5">
      <c r="A966" s="90"/>
      <c r="B966" s="105" t="s">
        <v>21</v>
      </c>
      <c r="C966" s="94"/>
      <c r="D966" s="18"/>
      <c r="E966" s="18"/>
      <c r="F966" s="18">
        <v>0</v>
      </c>
      <c r="G966" s="18">
        <v>0</v>
      </c>
      <c r="H966" s="18">
        <v>0</v>
      </c>
      <c r="I966" s="18">
        <v>0</v>
      </c>
      <c r="J966" s="18">
        <v>0</v>
      </c>
      <c r="K966" s="18">
        <v>0</v>
      </c>
      <c r="L966" s="18">
        <v>0</v>
      </c>
      <c r="M966" s="18">
        <v>0</v>
      </c>
      <c r="N966" s="18">
        <v>0</v>
      </c>
      <c r="O966" s="18">
        <v>0</v>
      </c>
      <c r="P966" s="18">
        <v>0</v>
      </c>
      <c r="Q966" s="18">
        <v>0</v>
      </c>
      <c r="R966" s="18">
        <v>0</v>
      </c>
      <c r="S966" s="18">
        <v>0</v>
      </c>
      <c r="T966" s="18">
        <v>0</v>
      </c>
      <c r="U966" s="18">
        <v>0</v>
      </c>
      <c r="V966" s="18">
        <v>0</v>
      </c>
      <c r="W966" s="18">
        <v>0</v>
      </c>
      <c r="X966" s="18">
        <v>0</v>
      </c>
      <c r="Y966" s="18">
        <v>0</v>
      </c>
      <c r="Z966" s="18">
        <v>0</v>
      </c>
      <c r="AA966" s="18">
        <v>0</v>
      </c>
      <c r="AB966" s="18">
        <v>0</v>
      </c>
      <c r="AC966" s="18">
        <v>0</v>
      </c>
      <c r="AD966" s="18">
        <v>0</v>
      </c>
      <c r="AE966" s="18">
        <v>0</v>
      </c>
      <c r="AF966" s="18">
        <v>0</v>
      </c>
      <c r="AG966" s="18">
        <v>12.2</v>
      </c>
      <c r="AH966" s="18">
        <v>12</v>
      </c>
      <c r="AI966" s="18">
        <v>0</v>
      </c>
      <c r="AJ966" s="18">
        <v>0</v>
      </c>
      <c r="AK966" s="18">
        <v>0</v>
      </c>
      <c r="AL966" s="18">
        <v>0</v>
      </c>
      <c r="AM966" s="18">
        <v>72</v>
      </c>
      <c r="AN966" s="40" t="s">
        <v>16</v>
      </c>
      <c r="AO966" s="40" t="s">
        <v>16</v>
      </c>
      <c r="AP966" s="40" t="s">
        <v>16</v>
      </c>
      <c r="AQ966" s="40" t="s">
        <v>16</v>
      </c>
      <c r="AR966" s="18">
        <v>0</v>
      </c>
      <c r="AS966" s="18">
        <v>0</v>
      </c>
      <c r="AT966" s="18">
        <v>0</v>
      </c>
      <c r="AU966" s="18">
        <v>0</v>
      </c>
      <c r="AV966" s="18">
        <v>0</v>
      </c>
      <c r="AW966" s="18">
        <v>0</v>
      </c>
      <c r="AX966" s="18">
        <v>0</v>
      </c>
      <c r="AY966" s="18">
        <v>0</v>
      </c>
      <c r="AZ966" s="18">
        <v>0</v>
      </c>
      <c r="BA966" s="18">
        <v>0</v>
      </c>
      <c r="BB966" s="18">
        <v>0</v>
      </c>
      <c r="BC966" s="18">
        <v>0</v>
      </c>
      <c r="BD966" s="18">
        <v>0</v>
      </c>
      <c r="BE966" s="18">
        <v>0</v>
      </c>
      <c r="BF966" s="18">
        <v>0</v>
      </c>
      <c r="BG966" s="18">
        <v>0</v>
      </c>
      <c r="BH966" s="18">
        <v>0</v>
      </c>
      <c r="BI966" s="18">
        <v>0</v>
      </c>
      <c r="BJ966" s="113">
        <v>0</v>
      </c>
      <c r="BK966" s="113">
        <v>0</v>
      </c>
      <c r="BL966" s="113">
        <v>0</v>
      </c>
      <c r="BM966" s="113">
        <v>0</v>
      </c>
      <c r="BN966" s="113">
        <v>0</v>
      </c>
      <c r="BO966" s="113">
        <v>0</v>
      </c>
      <c r="BP966" s="113">
        <v>0</v>
      </c>
      <c r="BQ966" s="113">
        <v>0</v>
      </c>
      <c r="BR966" s="101"/>
      <c r="BS966">
        <f t="shared" si="1942"/>
        <v>0</v>
      </c>
      <c r="BT966">
        <f t="shared" si="1942"/>
        <v>0</v>
      </c>
      <c r="BU966">
        <f t="shared" si="1942"/>
        <v>0</v>
      </c>
      <c r="BV966">
        <f t="shared" si="1942"/>
        <v>0</v>
      </c>
      <c r="BW966">
        <f t="shared" si="1942"/>
        <v>0</v>
      </c>
      <c r="BX966">
        <f t="shared" si="1942"/>
        <v>0</v>
      </c>
      <c r="BY966">
        <f t="shared" si="1942"/>
        <v>0</v>
      </c>
      <c r="BZ966">
        <f t="shared" si="1942"/>
        <v>0</v>
      </c>
      <c r="CA966">
        <f t="shared" si="1942"/>
        <v>0</v>
      </c>
      <c r="CB966">
        <f t="shared" si="1942"/>
        <v>0</v>
      </c>
      <c r="CC966">
        <f t="shared" si="1943"/>
        <v>0</v>
      </c>
      <c r="CD966">
        <f t="shared" si="1943"/>
        <v>0</v>
      </c>
      <c r="CE966">
        <f t="shared" si="1943"/>
        <v>0</v>
      </c>
      <c r="CF966">
        <f t="shared" si="1943"/>
        <v>0</v>
      </c>
      <c r="CG966">
        <f t="shared" si="1943"/>
        <v>0</v>
      </c>
      <c r="CH966">
        <f t="shared" si="1943"/>
        <v>0</v>
      </c>
      <c r="CI966">
        <f t="shared" si="1943"/>
        <v>0</v>
      </c>
      <c r="CJ966">
        <f t="shared" si="1943"/>
        <v>0</v>
      </c>
      <c r="CK966">
        <f t="shared" si="1943"/>
        <v>0</v>
      </c>
      <c r="CL966">
        <f t="shared" si="1943"/>
        <v>0</v>
      </c>
      <c r="CM966">
        <f t="shared" si="1944"/>
        <v>0</v>
      </c>
      <c r="CN966">
        <f t="shared" si="1944"/>
        <v>0</v>
      </c>
      <c r="CO966">
        <f t="shared" si="1944"/>
        <v>0</v>
      </c>
      <c r="CP966">
        <f t="shared" si="1944"/>
        <v>0</v>
      </c>
      <c r="CQ966">
        <f t="shared" si="1944"/>
        <v>0</v>
      </c>
      <c r="CR966">
        <f t="shared" si="1944"/>
        <v>0</v>
      </c>
      <c r="CS966">
        <f t="shared" si="1944"/>
        <v>0</v>
      </c>
      <c r="CT966">
        <f t="shared" si="1944"/>
        <v>0</v>
      </c>
      <c r="CU966">
        <f t="shared" si="1944"/>
        <v>0</v>
      </c>
      <c r="CV966">
        <f t="shared" si="1944"/>
        <v>0</v>
      </c>
      <c r="CW966">
        <f t="shared" si="1945"/>
        <v>0</v>
      </c>
      <c r="CX966">
        <f t="shared" si="1945"/>
        <v>0</v>
      </c>
      <c r="CY966">
        <f t="shared" si="1945"/>
        <v>0</v>
      </c>
      <c r="CZ966">
        <f t="shared" si="1945"/>
        <v>0</v>
      </c>
      <c r="DA966">
        <f t="shared" si="1945"/>
        <v>0</v>
      </c>
      <c r="DB966">
        <f t="shared" si="1945"/>
        <v>0</v>
      </c>
      <c r="DC966">
        <f t="shared" si="1945"/>
        <v>0</v>
      </c>
      <c r="DD966">
        <f t="shared" si="1945"/>
        <v>0</v>
      </c>
      <c r="DE966">
        <f t="shared" si="1945"/>
        <v>0</v>
      </c>
      <c r="DF966">
        <f t="shared" si="1945"/>
        <v>0</v>
      </c>
      <c r="DG966">
        <f t="shared" si="1946"/>
        <v>0</v>
      </c>
      <c r="DH966">
        <f t="shared" si="1946"/>
        <v>0</v>
      </c>
      <c r="DI966">
        <f t="shared" si="1946"/>
        <v>0</v>
      </c>
      <c r="DJ966">
        <f t="shared" si="1946"/>
        <v>0</v>
      </c>
      <c r="DK966">
        <f t="shared" si="1946"/>
        <v>0</v>
      </c>
      <c r="DL966">
        <f t="shared" si="1946"/>
        <v>0</v>
      </c>
      <c r="DM966">
        <f t="shared" si="1946"/>
        <v>0</v>
      </c>
      <c r="DN966">
        <f t="shared" si="1946"/>
        <v>0</v>
      </c>
      <c r="DO966">
        <f t="shared" si="1946"/>
        <v>0</v>
      </c>
      <c r="DP966">
        <f t="shared" si="1946"/>
        <v>0</v>
      </c>
      <c r="DQ966">
        <f t="shared" si="1947"/>
        <v>0</v>
      </c>
      <c r="DR966">
        <f t="shared" si="1947"/>
        <v>0</v>
      </c>
      <c r="DS966">
        <f t="shared" si="1947"/>
        <v>0</v>
      </c>
      <c r="DT966">
        <f t="shared" si="1947"/>
        <v>0</v>
      </c>
      <c r="DU966">
        <f t="shared" si="1947"/>
        <v>0</v>
      </c>
      <c r="DV966">
        <f t="shared" si="1947"/>
        <v>0</v>
      </c>
      <c r="DW966">
        <f t="shared" si="1947"/>
        <v>0</v>
      </c>
      <c r="DX966">
        <f t="shared" si="1947"/>
        <v>0</v>
      </c>
      <c r="DY966">
        <f t="shared" si="1947"/>
        <v>0</v>
      </c>
      <c r="DZ966">
        <f t="shared" si="1947"/>
        <v>0</v>
      </c>
      <c r="EA966">
        <f t="shared" si="1948"/>
        <v>0</v>
      </c>
      <c r="EB966">
        <f t="shared" si="1948"/>
        <v>0</v>
      </c>
      <c r="EC966">
        <f t="shared" si="1948"/>
        <v>0</v>
      </c>
      <c r="ED966">
        <f t="shared" si="1948"/>
        <v>0</v>
      </c>
      <c r="EE966">
        <f t="shared" si="1948"/>
        <v>0</v>
      </c>
      <c r="EF966">
        <f t="shared" si="1948"/>
        <v>0</v>
      </c>
    </row>
    <row r="967" spans="1:136" ht="15.5">
      <c r="A967" s="90"/>
      <c r="B967" s="57" t="s">
        <v>212</v>
      </c>
      <c r="C967" s="94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>
        <v>12</v>
      </c>
      <c r="AH967" s="18">
        <v>12</v>
      </c>
      <c r="AI967" s="18">
        <v>122.62388302193339</v>
      </c>
      <c r="AJ967" s="18">
        <v>112.69971629087651</v>
      </c>
      <c r="AK967" s="18">
        <v>257.79625779625775</v>
      </c>
      <c r="AL967" s="18">
        <v>316.98649609097373</v>
      </c>
      <c r="AM967" s="18">
        <v>196.42993363338164</v>
      </c>
      <c r="AN967" s="18">
        <v>175.99895704321753</v>
      </c>
      <c r="AO967" s="18">
        <v>164.6825396825397</v>
      </c>
      <c r="AP967" s="18">
        <v>146.97406340057637</v>
      </c>
      <c r="AQ967" s="18">
        <v>126.77760968229954</v>
      </c>
      <c r="AR967" s="60">
        <v>91.743119266055047</v>
      </c>
      <c r="AS967" s="60">
        <v>1174.6993318485524</v>
      </c>
      <c r="AT967" s="60">
        <v>1059.7975708502024</v>
      </c>
      <c r="AU967" s="60">
        <v>958.24393464268041</v>
      </c>
      <c r="AV967" s="60">
        <v>930.73864054790488</v>
      </c>
      <c r="AW967" s="60">
        <v>975.00586716733164</v>
      </c>
      <c r="AX967" s="60">
        <v>929.15201693697782</v>
      </c>
      <c r="AY967" s="60">
        <v>898.92785347330801</v>
      </c>
      <c r="AZ967" s="60">
        <v>869.48704777280398</v>
      </c>
      <c r="BA967" s="60">
        <v>825.7021519574605</v>
      </c>
      <c r="BB967" s="161">
        <v>773.18493150684935</v>
      </c>
      <c r="BC967" s="161">
        <v>743.48785871964685</v>
      </c>
      <c r="BD967" s="161">
        <v>710.87014192863774</v>
      </c>
      <c r="BE967" s="162">
        <v>610.91124435561471</v>
      </c>
      <c r="BF967" s="60">
        <v>614.17647058823525</v>
      </c>
      <c r="BG967" s="60">
        <v>526.36977058029686</v>
      </c>
      <c r="BH967" s="160">
        <v>449.9993917940858</v>
      </c>
      <c r="BI967" s="160">
        <v>406.07152529998467</v>
      </c>
      <c r="BJ967" s="113">
        <v>456.43835616438355</v>
      </c>
      <c r="BK967" s="113">
        <v>400.90322580645159</v>
      </c>
      <c r="BL967" s="113">
        <v>402.48725790010195</v>
      </c>
      <c r="BM967" s="113">
        <v>469.55312810327706</v>
      </c>
      <c r="BN967" s="113">
        <v>369.35453695042094</v>
      </c>
      <c r="BO967" s="168">
        <f>348640/1190</f>
        <v>292.97478991596637</v>
      </c>
      <c r="BP967" s="113">
        <v>257</v>
      </c>
      <c r="BQ967" s="113">
        <v>257</v>
      </c>
      <c r="BR967" s="101"/>
      <c r="BS967">
        <f t="shared" si="1942"/>
        <v>0</v>
      </c>
      <c r="BT967">
        <f t="shared" si="1942"/>
        <v>0</v>
      </c>
      <c r="BU967">
        <f t="shared" si="1942"/>
        <v>0</v>
      </c>
      <c r="BV967">
        <f t="shared" si="1942"/>
        <v>0</v>
      </c>
      <c r="BW967">
        <f t="shared" si="1942"/>
        <v>0</v>
      </c>
      <c r="BX967">
        <f t="shared" si="1942"/>
        <v>0</v>
      </c>
      <c r="BY967">
        <f t="shared" si="1942"/>
        <v>0</v>
      </c>
      <c r="BZ967">
        <f t="shared" si="1942"/>
        <v>0</v>
      </c>
      <c r="CA967">
        <f t="shared" si="1942"/>
        <v>0</v>
      </c>
      <c r="CB967">
        <f t="shared" si="1942"/>
        <v>0</v>
      </c>
      <c r="CC967">
        <f t="shared" si="1943"/>
        <v>0</v>
      </c>
      <c r="CD967">
        <f t="shared" si="1943"/>
        <v>0</v>
      </c>
      <c r="CE967">
        <f t="shared" si="1943"/>
        <v>0</v>
      </c>
      <c r="CF967">
        <f t="shared" si="1943"/>
        <v>0</v>
      </c>
      <c r="CG967">
        <f t="shared" si="1943"/>
        <v>0</v>
      </c>
      <c r="CH967">
        <f t="shared" si="1943"/>
        <v>0</v>
      </c>
      <c r="CI967">
        <f t="shared" si="1943"/>
        <v>0</v>
      </c>
      <c r="CJ967">
        <f t="shared" si="1943"/>
        <v>0</v>
      </c>
      <c r="CK967">
        <f t="shared" si="1943"/>
        <v>0</v>
      </c>
      <c r="CL967">
        <f t="shared" si="1943"/>
        <v>0</v>
      </c>
      <c r="CM967">
        <f t="shared" si="1944"/>
        <v>0</v>
      </c>
      <c r="CN967">
        <f t="shared" si="1944"/>
        <v>0</v>
      </c>
      <c r="CO967">
        <f t="shared" si="1944"/>
        <v>0</v>
      </c>
      <c r="CP967">
        <f t="shared" si="1944"/>
        <v>0</v>
      </c>
      <c r="CQ967">
        <f t="shared" si="1944"/>
        <v>0</v>
      </c>
      <c r="CR967">
        <f t="shared" si="1944"/>
        <v>0</v>
      </c>
      <c r="CS967">
        <f t="shared" si="1944"/>
        <v>0</v>
      </c>
      <c r="CT967">
        <f t="shared" si="1944"/>
        <v>0</v>
      </c>
      <c r="CU967">
        <f t="shared" si="1944"/>
        <v>0</v>
      </c>
      <c r="CV967">
        <f t="shared" si="1944"/>
        <v>0</v>
      </c>
      <c r="CW967">
        <f t="shared" si="1945"/>
        <v>0</v>
      </c>
      <c r="CX967">
        <f t="shared" si="1945"/>
        <v>0</v>
      </c>
      <c r="CY967">
        <f t="shared" si="1945"/>
        <v>0</v>
      </c>
      <c r="CZ967">
        <f t="shared" si="1945"/>
        <v>0</v>
      </c>
      <c r="DA967">
        <f t="shared" si="1945"/>
        <v>0</v>
      </c>
      <c r="DB967">
        <f t="shared" si="1945"/>
        <v>0</v>
      </c>
      <c r="DC967">
        <f t="shared" si="1945"/>
        <v>0</v>
      </c>
      <c r="DD967">
        <f t="shared" si="1945"/>
        <v>0</v>
      </c>
      <c r="DE967">
        <f t="shared" si="1945"/>
        <v>0</v>
      </c>
      <c r="DF967">
        <f t="shared" si="1945"/>
        <v>0</v>
      </c>
      <c r="DG967">
        <f t="shared" si="1946"/>
        <v>0</v>
      </c>
      <c r="DH967">
        <f t="shared" si="1946"/>
        <v>0</v>
      </c>
      <c r="DI967">
        <f t="shared" si="1946"/>
        <v>0</v>
      </c>
      <c r="DJ967">
        <f t="shared" si="1946"/>
        <v>0</v>
      </c>
      <c r="DK967">
        <f t="shared" si="1946"/>
        <v>0</v>
      </c>
      <c r="DL967">
        <f t="shared" si="1946"/>
        <v>0</v>
      </c>
      <c r="DM967">
        <f t="shared" si="1946"/>
        <v>0</v>
      </c>
      <c r="DN967">
        <f t="shared" si="1946"/>
        <v>0</v>
      </c>
      <c r="DO967">
        <f t="shared" si="1946"/>
        <v>0</v>
      </c>
      <c r="DP967">
        <f t="shared" si="1946"/>
        <v>0</v>
      </c>
      <c r="DQ967">
        <f t="shared" si="1947"/>
        <v>0</v>
      </c>
      <c r="DR967">
        <f t="shared" si="1947"/>
        <v>0</v>
      </c>
      <c r="DS967">
        <f t="shared" si="1947"/>
        <v>0</v>
      </c>
      <c r="DT967">
        <f t="shared" si="1947"/>
        <v>0</v>
      </c>
      <c r="DU967">
        <f t="shared" si="1947"/>
        <v>0</v>
      </c>
      <c r="DV967">
        <f t="shared" si="1947"/>
        <v>0</v>
      </c>
      <c r="DW967">
        <f t="shared" si="1947"/>
        <v>0</v>
      </c>
      <c r="DX967">
        <f t="shared" si="1947"/>
        <v>0</v>
      </c>
      <c r="DY967">
        <f t="shared" si="1947"/>
        <v>0</v>
      </c>
      <c r="DZ967">
        <f t="shared" si="1947"/>
        <v>0</v>
      </c>
      <c r="EA967">
        <f t="shared" ref="EA967:EF967" si="1949">IF($C967&lt;&gt;"",IF(BL967&gt;0,1,0),0)</f>
        <v>0</v>
      </c>
      <c r="EB967">
        <f t="shared" si="1949"/>
        <v>0</v>
      </c>
      <c r="EC967">
        <f t="shared" si="1949"/>
        <v>0</v>
      </c>
      <c r="ED967">
        <f t="shared" si="1949"/>
        <v>0</v>
      </c>
      <c r="EE967">
        <f t="shared" si="1949"/>
        <v>0</v>
      </c>
      <c r="EF967">
        <f t="shared" si="1949"/>
        <v>0</v>
      </c>
    </row>
    <row r="968" spans="1:136" ht="15.5">
      <c r="A968" s="90"/>
      <c r="B968" s="81"/>
      <c r="C968" s="94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  <c r="AF968" s="22"/>
      <c r="AG968" s="22"/>
      <c r="AH968" s="22"/>
      <c r="AI968" s="22"/>
      <c r="AJ968" s="22"/>
      <c r="AK968" s="22"/>
      <c r="AL968" s="22"/>
      <c r="AM968" s="22"/>
      <c r="AN968" s="22"/>
      <c r="AO968" s="22"/>
      <c r="AP968" s="22"/>
      <c r="AQ968" s="22"/>
      <c r="AR968" s="22"/>
      <c r="AS968" s="22"/>
      <c r="AT968" s="22"/>
      <c r="AU968" s="22"/>
      <c r="AV968" s="22"/>
      <c r="AW968" s="22"/>
      <c r="AX968" s="22"/>
      <c r="AY968" s="22"/>
      <c r="AZ968" s="22"/>
      <c r="BA968" s="22"/>
      <c r="BB968" s="22"/>
      <c r="BC968" s="22"/>
      <c r="BD968" s="31"/>
      <c r="BE968" s="55"/>
      <c r="BF968" s="18"/>
      <c r="BG968" s="31"/>
      <c r="BH968" s="113"/>
      <c r="BI968" s="113"/>
      <c r="BJ968" s="113"/>
      <c r="BK968" s="113"/>
      <c r="BL968" s="113"/>
      <c r="BM968" s="2"/>
      <c r="BN968" s="2"/>
      <c r="BO968" s="2"/>
      <c r="BP968" s="2"/>
      <c r="BQ968" s="2"/>
      <c r="BR968" s="101"/>
    </row>
    <row r="969" spans="1:136" ht="15.5">
      <c r="A969" s="93">
        <v>122</v>
      </c>
      <c r="B969" s="54" t="s">
        <v>123</v>
      </c>
      <c r="C969" s="94">
        <v>3</v>
      </c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33"/>
      <c r="U969" s="33"/>
      <c r="V969" s="33"/>
      <c r="W969" s="33"/>
      <c r="X969" s="33"/>
      <c r="Y969" s="33"/>
      <c r="Z969" s="33"/>
      <c r="AA969" s="33">
        <f t="shared" ref="AA969:BI969" si="1950">SUM(AA970:AA974)</f>
        <v>0</v>
      </c>
      <c r="AB969" s="33">
        <f t="shared" si="1950"/>
        <v>0</v>
      </c>
      <c r="AC969" s="33">
        <f t="shared" si="1950"/>
        <v>0</v>
      </c>
      <c r="AD969" s="33">
        <f t="shared" si="1950"/>
        <v>0</v>
      </c>
      <c r="AE969" s="33">
        <f t="shared" si="1950"/>
        <v>0</v>
      </c>
      <c r="AF969" s="33">
        <f t="shared" si="1950"/>
        <v>0</v>
      </c>
      <c r="AG969" s="33">
        <f t="shared" si="1950"/>
        <v>0.2</v>
      </c>
      <c r="AH969" s="33">
        <f t="shared" si="1950"/>
        <v>0</v>
      </c>
      <c r="AI969" s="33">
        <f t="shared" si="1950"/>
        <v>0</v>
      </c>
      <c r="AJ969" s="33">
        <f t="shared" si="1950"/>
        <v>1.2</v>
      </c>
      <c r="AK969" s="33">
        <f t="shared" si="1950"/>
        <v>1.1000000000000001</v>
      </c>
      <c r="AL969" s="33">
        <f t="shared" si="1950"/>
        <v>1.7000000000000002</v>
      </c>
      <c r="AM969" s="33">
        <f t="shared" si="1950"/>
        <v>1.9</v>
      </c>
      <c r="AN969" s="33">
        <f t="shared" si="1950"/>
        <v>0.2</v>
      </c>
      <c r="AO969" s="33">
        <f t="shared" si="1950"/>
        <v>0.2</v>
      </c>
      <c r="AP969" s="33">
        <f t="shared" si="1950"/>
        <v>0.9</v>
      </c>
      <c r="AQ969" s="33">
        <f t="shared" si="1950"/>
        <v>0.7</v>
      </c>
      <c r="AR969" s="33">
        <f t="shared" si="1950"/>
        <v>1.5999999999999999</v>
      </c>
      <c r="AS969" s="33">
        <f t="shared" si="1950"/>
        <v>1.9</v>
      </c>
      <c r="AT969" s="33">
        <f t="shared" si="1950"/>
        <v>2</v>
      </c>
      <c r="AU969" s="33">
        <f t="shared" si="1950"/>
        <v>2.9</v>
      </c>
      <c r="AV969" s="33">
        <f t="shared" si="1950"/>
        <v>5.0999999999999996</v>
      </c>
      <c r="AW969" s="33">
        <f t="shared" si="1950"/>
        <v>4.7</v>
      </c>
      <c r="AX969" s="33">
        <f t="shared" si="1950"/>
        <v>5.5</v>
      </c>
      <c r="AY969" s="33">
        <f t="shared" si="1950"/>
        <v>2.7</v>
      </c>
      <c r="AZ969" s="33">
        <f t="shared" si="1950"/>
        <v>11.1</v>
      </c>
      <c r="BA969" s="33">
        <f t="shared" si="1950"/>
        <v>12.1</v>
      </c>
      <c r="BB969" s="33">
        <f t="shared" si="1950"/>
        <v>3.5</v>
      </c>
      <c r="BC969" s="33">
        <f t="shared" si="1950"/>
        <v>753</v>
      </c>
      <c r="BD969" s="33">
        <f t="shared" si="1950"/>
        <v>758</v>
      </c>
      <c r="BE969" s="33">
        <f t="shared" si="1950"/>
        <v>17.46</v>
      </c>
      <c r="BF969" s="33">
        <f t="shared" si="1950"/>
        <v>66.47999999999999</v>
      </c>
      <c r="BG969" s="33">
        <f t="shared" si="1950"/>
        <v>0</v>
      </c>
      <c r="BH969" s="33">
        <f t="shared" si="1950"/>
        <v>44.98</v>
      </c>
      <c r="BI969" s="33">
        <f t="shared" si="1950"/>
        <v>0</v>
      </c>
      <c r="BJ969" s="4">
        <v>0</v>
      </c>
      <c r="BK969" s="4">
        <v>0</v>
      </c>
      <c r="BL969" s="4">
        <v>0</v>
      </c>
      <c r="BM969" s="4">
        <v>0</v>
      </c>
      <c r="BN969" s="4">
        <v>0</v>
      </c>
      <c r="BO969" s="4">
        <v>0</v>
      </c>
      <c r="BP969" s="4">
        <v>0</v>
      </c>
      <c r="BQ969" s="4">
        <v>0</v>
      </c>
      <c r="BR969" s="101"/>
      <c r="BS969">
        <f t="shared" ref="BS969:CX969" si="1951">IF($C969&lt;&gt;"",IF(D969&gt;0,1,0),0)</f>
        <v>0</v>
      </c>
      <c r="BT969">
        <f t="shared" si="1951"/>
        <v>0</v>
      </c>
      <c r="BU969">
        <f t="shared" si="1951"/>
        <v>0</v>
      </c>
      <c r="BV969">
        <f t="shared" si="1951"/>
        <v>0</v>
      </c>
      <c r="BW969">
        <f t="shared" si="1951"/>
        <v>0</v>
      </c>
      <c r="BX969">
        <f t="shared" si="1951"/>
        <v>0</v>
      </c>
      <c r="BY969">
        <f t="shared" si="1951"/>
        <v>0</v>
      </c>
      <c r="BZ969">
        <f t="shared" si="1951"/>
        <v>0</v>
      </c>
      <c r="CA969">
        <f t="shared" si="1951"/>
        <v>0</v>
      </c>
      <c r="CB969">
        <f t="shared" si="1951"/>
        <v>0</v>
      </c>
      <c r="CC969">
        <f t="shared" si="1951"/>
        <v>0</v>
      </c>
      <c r="CD969">
        <f t="shared" si="1951"/>
        <v>0</v>
      </c>
      <c r="CE969">
        <f t="shared" si="1951"/>
        <v>0</v>
      </c>
      <c r="CF969">
        <f t="shared" si="1951"/>
        <v>0</v>
      </c>
      <c r="CG969">
        <f t="shared" si="1951"/>
        <v>0</v>
      </c>
      <c r="CH969">
        <f t="shared" si="1951"/>
        <v>0</v>
      </c>
      <c r="CI969">
        <f t="shared" si="1951"/>
        <v>0</v>
      </c>
      <c r="CJ969">
        <f t="shared" si="1951"/>
        <v>0</v>
      </c>
      <c r="CK969">
        <f t="shared" si="1951"/>
        <v>0</v>
      </c>
      <c r="CL969">
        <f t="shared" si="1951"/>
        <v>0</v>
      </c>
      <c r="CM969">
        <f t="shared" si="1951"/>
        <v>0</v>
      </c>
      <c r="CN969">
        <f t="shared" si="1951"/>
        <v>0</v>
      </c>
      <c r="CO969">
        <f t="shared" si="1951"/>
        <v>0</v>
      </c>
      <c r="CP969">
        <f t="shared" si="1951"/>
        <v>0</v>
      </c>
      <c r="CQ969">
        <f t="shared" si="1951"/>
        <v>0</v>
      </c>
      <c r="CR969">
        <f t="shared" si="1951"/>
        <v>0</v>
      </c>
      <c r="CS969">
        <f t="shared" si="1951"/>
        <v>0</v>
      </c>
      <c r="CT969">
        <f t="shared" si="1951"/>
        <v>0</v>
      </c>
      <c r="CU969">
        <f t="shared" si="1951"/>
        <v>0</v>
      </c>
      <c r="CV969">
        <f t="shared" si="1951"/>
        <v>1</v>
      </c>
      <c r="CW969">
        <f t="shared" si="1951"/>
        <v>0</v>
      </c>
      <c r="CX969">
        <f t="shared" si="1951"/>
        <v>0</v>
      </c>
      <c r="CY969">
        <f t="shared" ref="CY969:ED969" si="1952">IF($C969&lt;&gt;"",IF(AJ969&gt;0,1,0),0)</f>
        <v>1</v>
      </c>
      <c r="CZ969">
        <f t="shared" si="1952"/>
        <v>1</v>
      </c>
      <c r="DA969">
        <f t="shared" si="1952"/>
        <v>1</v>
      </c>
      <c r="DB969">
        <f t="shared" si="1952"/>
        <v>1</v>
      </c>
      <c r="DC969">
        <f t="shared" si="1952"/>
        <v>1</v>
      </c>
      <c r="DD969">
        <f t="shared" si="1952"/>
        <v>1</v>
      </c>
      <c r="DE969">
        <f t="shared" si="1952"/>
        <v>1</v>
      </c>
      <c r="DF969">
        <f t="shared" si="1952"/>
        <v>1</v>
      </c>
      <c r="DG969">
        <f t="shared" si="1952"/>
        <v>1</v>
      </c>
      <c r="DH969">
        <f t="shared" si="1952"/>
        <v>1</v>
      </c>
      <c r="DI969">
        <f t="shared" si="1952"/>
        <v>1</v>
      </c>
      <c r="DJ969">
        <f t="shared" si="1952"/>
        <v>1</v>
      </c>
      <c r="DK969">
        <f t="shared" si="1952"/>
        <v>1</v>
      </c>
      <c r="DL969">
        <f t="shared" si="1952"/>
        <v>1</v>
      </c>
      <c r="DM969">
        <f t="shared" si="1952"/>
        <v>1</v>
      </c>
      <c r="DN969">
        <f t="shared" si="1952"/>
        <v>1</v>
      </c>
      <c r="DO969">
        <f t="shared" si="1952"/>
        <v>1</v>
      </c>
      <c r="DP969">
        <f t="shared" si="1952"/>
        <v>1</v>
      </c>
      <c r="DQ969">
        <f t="shared" si="1952"/>
        <v>1</v>
      </c>
      <c r="DR969">
        <f t="shared" si="1952"/>
        <v>1</v>
      </c>
      <c r="DS969">
        <f t="shared" si="1952"/>
        <v>1</v>
      </c>
      <c r="DT969">
        <f t="shared" si="1952"/>
        <v>1</v>
      </c>
      <c r="DU969">
        <f t="shared" si="1952"/>
        <v>1</v>
      </c>
      <c r="DV969">
        <f t="shared" si="1952"/>
        <v>0</v>
      </c>
      <c r="DW969">
        <f t="shared" si="1952"/>
        <v>1</v>
      </c>
      <c r="DX969">
        <f t="shared" si="1952"/>
        <v>0</v>
      </c>
      <c r="DY969">
        <f t="shared" si="1952"/>
        <v>0</v>
      </c>
      <c r="DZ969">
        <f t="shared" si="1952"/>
        <v>0</v>
      </c>
      <c r="EA969">
        <f t="shared" si="1952"/>
        <v>0</v>
      </c>
      <c r="EB969">
        <f t="shared" si="1952"/>
        <v>0</v>
      </c>
      <c r="EC969">
        <f t="shared" si="1952"/>
        <v>0</v>
      </c>
      <c r="ED969">
        <f t="shared" si="1952"/>
        <v>0</v>
      </c>
      <c r="EE969">
        <f t="shared" ref="EE969:EF969" si="1953">IF($C969&lt;&gt;"",IF(BP969&gt;0,1,0),0)</f>
        <v>0</v>
      </c>
      <c r="EF969">
        <f t="shared" si="1953"/>
        <v>0</v>
      </c>
    </row>
    <row r="970" spans="1:136" ht="15.5">
      <c r="A970" s="90"/>
      <c r="B970" s="19" t="s">
        <v>2</v>
      </c>
      <c r="C970" s="94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>
        <v>0</v>
      </c>
      <c r="AB970" s="18">
        <v>0</v>
      </c>
      <c r="AC970" s="18">
        <v>0</v>
      </c>
      <c r="AD970" s="18">
        <v>0</v>
      </c>
      <c r="AE970" s="18">
        <v>0</v>
      </c>
      <c r="AF970" s="18">
        <v>0</v>
      </c>
      <c r="AG970" s="18">
        <v>0</v>
      </c>
      <c r="AH970" s="18">
        <v>0</v>
      </c>
      <c r="AI970" s="18">
        <v>0</v>
      </c>
      <c r="AJ970" s="18">
        <v>0</v>
      </c>
      <c r="AK970" s="18">
        <v>0</v>
      </c>
      <c r="AL970" s="18">
        <v>0</v>
      </c>
      <c r="AM970" s="18">
        <v>0</v>
      </c>
      <c r="AN970" s="18">
        <v>0</v>
      </c>
      <c r="AO970" s="18">
        <v>0</v>
      </c>
      <c r="AP970" s="18">
        <v>0</v>
      </c>
      <c r="AQ970" s="18">
        <v>0</v>
      </c>
      <c r="AR970" s="18">
        <v>0</v>
      </c>
      <c r="AS970" s="18">
        <v>0</v>
      </c>
      <c r="AT970" s="18">
        <v>0</v>
      </c>
      <c r="AU970" s="18">
        <v>0</v>
      </c>
      <c r="AV970" s="18">
        <v>0</v>
      </c>
      <c r="AW970" s="18">
        <v>0</v>
      </c>
      <c r="AX970" s="18">
        <v>0</v>
      </c>
      <c r="AY970" s="18">
        <v>0</v>
      </c>
      <c r="AZ970" s="18">
        <v>0</v>
      </c>
      <c r="BA970" s="18">
        <v>0</v>
      </c>
      <c r="BB970" s="18">
        <v>0</v>
      </c>
      <c r="BC970" s="40" t="s">
        <v>16</v>
      </c>
      <c r="BD970" s="18">
        <v>5</v>
      </c>
      <c r="BE970" s="25">
        <v>0</v>
      </c>
      <c r="BF970" s="18">
        <v>0</v>
      </c>
      <c r="BG970" s="18">
        <v>0</v>
      </c>
      <c r="BH970" s="18">
        <v>0</v>
      </c>
      <c r="BI970" s="18">
        <v>0</v>
      </c>
      <c r="BJ970" s="113">
        <v>0</v>
      </c>
      <c r="BK970" s="113">
        <v>0</v>
      </c>
      <c r="BL970" s="113">
        <v>0</v>
      </c>
      <c r="BM970" s="113">
        <v>0</v>
      </c>
      <c r="BN970" s="113">
        <v>0</v>
      </c>
      <c r="BO970" s="113">
        <v>0</v>
      </c>
      <c r="BP970" s="113">
        <v>0</v>
      </c>
      <c r="BQ970" s="113">
        <v>0</v>
      </c>
      <c r="BR970" s="101"/>
      <c r="BS970">
        <f t="shared" ref="BS970:CB975" si="1954">IF($C970&lt;&gt;"",IF(D970&gt;0,1,0),0)</f>
        <v>0</v>
      </c>
      <c r="BT970">
        <f t="shared" si="1954"/>
        <v>0</v>
      </c>
      <c r="BU970">
        <f t="shared" si="1954"/>
        <v>0</v>
      </c>
      <c r="BV970">
        <f t="shared" si="1954"/>
        <v>0</v>
      </c>
      <c r="BW970">
        <f t="shared" si="1954"/>
        <v>0</v>
      </c>
      <c r="BX970">
        <f t="shared" si="1954"/>
        <v>0</v>
      </c>
      <c r="BY970">
        <f t="shared" si="1954"/>
        <v>0</v>
      </c>
      <c r="BZ970">
        <f t="shared" si="1954"/>
        <v>0</v>
      </c>
      <c r="CA970">
        <f t="shared" si="1954"/>
        <v>0</v>
      </c>
      <c r="CB970">
        <f t="shared" si="1954"/>
        <v>0</v>
      </c>
      <c r="CC970">
        <f t="shared" ref="CC970:CL975" si="1955">IF($C970&lt;&gt;"",IF(N970&gt;0,1,0),0)</f>
        <v>0</v>
      </c>
      <c r="CD970">
        <f t="shared" si="1955"/>
        <v>0</v>
      </c>
      <c r="CE970">
        <f t="shared" si="1955"/>
        <v>0</v>
      </c>
      <c r="CF970">
        <f t="shared" si="1955"/>
        <v>0</v>
      </c>
      <c r="CG970">
        <f t="shared" si="1955"/>
        <v>0</v>
      </c>
      <c r="CH970">
        <f t="shared" si="1955"/>
        <v>0</v>
      </c>
      <c r="CI970">
        <f t="shared" si="1955"/>
        <v>0</v>
      </c>
      <c r="CJ970">
        <f t="shared" si="1955"/>
        <v>0</v>
      </c>
      <c r="CK970">
        <f t="shared" si="1955"/>
        <v>0</v>
      </c>
      <c r="CL970">
        <f t="shared" si="1955"/>
        <v>0</v>
      </c>
      <c r="CM970">
        <f t="shared" ref="CM970:CV975" si="1956">IF($C970&lt;&gt;"",IF(X970&gt;0,1,0),0)</f>
        <v>0</v>
      </c>
      <c r="CN970">
        <f t="shared" si="1956"/>
        <v>0</v>
      </c>
      <c r="CO970">
        <f t="shared" si="1956"/>
        <v>0</v>
      </c>
      <c r="CP970">
        <f t="shared" si="1956"/>
        <v>0</v>
      </c>
      <c r="CQ970">
        <f t="shared" si="1956"/>
        <v>0</v>
      </c>
      <c r="CR970">
        <f t="shared" si="1956"/>
        <v>0</v>
      </c>
      <c r="CS970">
        <f t="shared" si="1956"/>
        <v>0</v>
      </c>
      <c r="CT970">
        <f t="shared" si="1956"/>
        <v>0</v>
      </c>
      <c r="CU970">
        <f t="shared" si="1956"/>
        <v>0</v>
      </c>
      <c r="CV970">
        <f t="shared" si="1956"/>
        <v>0</v>
      </c>
      <c r="CW970">
        <f t="shared" ref="CW970:DF975" si="1957">IF($C970&lt;&gt;"",IF(AH970&gt;0,1,0),0)</f>
        <v>0</v>
      </c>
      <c r="CX970">
        <f t="shared" si="1957"/>
        <v>0</v>
      </c>
      <c r="CY970">
        <f t="shared" si="1957"/>
        <v>0</v>
      </c>
      <c r="CZ970">
        <f t="shared" si="1957"/>
        <v>0</v>
      </c>
      <c r="DA970">
        <f t="shared" si="1957"/>
        <v>0</v>
      </c>
      <c r="DB970">
        <f t="shared" si="1957"/>
        <v>0</v>
      </c>
      <c r="DC970">
        <f t="shared" si="1957"/>
        <v>0</v>
      </c>
      <c r="DD970">
        <f t="shared" si="1957"/>
        <v>0</v>
      </c>
      <c r="DE970">
        <f t="shared" si="1957"/>
        <v>0</v>
      </c>
      <c r="DF970">
        <f t="shared" si="1957"/>
        <v>0</v>
      </c>
      <c r="DG970">
        <f t="shared" ref="DG970:DP975" si="1958">IF($C970&lt;&gt;"",IF(AR970&gt;0,1,0),0)</f>
        <v>0</v>
      </c>
      <c r="DH970">
        <f t="shared" si="1958"/>
        <v>0</v>
      </c>
      <c r="DI970">
        <f t="shared" si="1958"/>
        <v>0</v>
      </c>
      <c r="DJ970">
        <f t="shared" si="1958"/>
        <v>0</v>
      </c>
      <c r="DK970">
        <f t="shared" si="1958"/>
        <v>0</v>
      </c>
      <c r="DL970">
        <f t="shared" si="1958"/>
        <v>0</v>
      </c>
      <c r="DM970">
        <f t="shared" si="1958"/>
        <v>0</v>
      </c>
      <c r="DN970">
        <f t="shared" si="1958"/>
        <v>0</v>
      </c>
      <c r="DO970">
        <f t="shared" si="1958"/>
        <v>0</v>
      </c>
      <c r="DP970">
        <f t="shared" si="1958"/>
        <v>0</v>
      </c>
      <c r="DQ970">
        <f t="shared" ref="DQ970:DZ975" si="1959">IF($C970&lt;&gt;"",IF(BB970&gt;0,1,0),0)</f>
        <v>0</v>
      </c>
      <c r="DR970">
        <f t="shared" si="1959"/>
        <v>0</v>
      </c>
      <c r="DS970">
        <f t="shared" si="1959"/>
        <v>0</v>
      </c>
      <c r="DT970">
        <f t="shared" si="1959"/>
        <v>0</v>
      </c>
      <c r="DU970">
        <f t="shared" si="1959"/>
        <v>0</v>
      </c>
      <c r="DV970">
        <f t="shared" si="1959"/>
        <v>0</v>
      </c>
      <c r="DW970">
        <f t="shared" si="1959"/>
        <v>0</v>
      </c>
      <c r="DX970">
        <f t="shared" si="1959"/>
        <v>0</v>
      </c>
      <c r="DY970">
        <f t="shared" si="1959"/>
        <v>0</v>
      </c>
      <c r="DZ970">
        <f t="shared" si="1959"/>
        <v>0</v>
      </c>
      <c r="EA970">
        <f t="shared" ref="EA970:EF974" si="1960">IF($C970&lt;&gt;"",IF(BL969&gt;0,1,0),0)</f>
        <v>0</v>
      </c>
      <c r="EB970">
        <f t="shared" si="1960"/>
        <v>0</v>
      </c>
      <c r="EC970">
        <f t="shared" si="1960"/>
        <v>0</v>
      </c>
      <c r="ED970">
        <f t="shared" si="1960"/>
        <v>0</v>
      </c>
      <c r="EE970">
        <f t="shared" si="1960"/>
        <v>0</v>
      </c>
      <c r="EF970">
        <f t="shared" si="1960"/>
        <v>0</v>
      </c>
    </row>
    <row r="971" spans="1:136" ht="15.5">
      <c r="A971" s="90"/>
      <c r="B971" s="57" t="s">
        <v>3</v>
      </c>
      <c r="C971" s="95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>
        <v>0</v>
      </c>
      <c r="AB971" s="18">
        <v>0</v>
      </c>
      <c r="AC971" s="18">
        <v>0</v>
      </c>
      <c r="AD971" s="18">
        <v>0</v>
      </c>
      <c r="AE971" s="18">
        <v>0</v>
      </c>
      <c r="AF971" s="18">
        <v>0</v>
      </c>
      <c r="AG971" s="18">
        <v>0.2</v>
      </c>
      <c r="AH971" s="18">
        <v>0</v>
      </c>
      <c r="AI971" s="18">
        <v>0</v>
      </c>
      <c r="AJ971" s="18">
        <v>1.2</v>
      </c>
      <c r="AK971" s="18">
        <v>1.1000000000000001</v>
      </c>
      <c r="AL971" s="18">
        <v>1.6</v>
      </c>
      <c r="AM971" s="18">
        <v>1.5</v>
      </c>
      <c r="AN971" s="18">
        <v>0.2</v>
      </c>
      <c r="AO971" s="18">
        <v>0.1</v>
      </c>
      <c r="AP971" s="18">
        <v>0.4</v>
      </c>
      <c r="AQ971" s="18">
        <v>0.2</v>
      </c>
      <c r="AR971" s="18">
        <v>0.2</v>
      </c>
      <c r="AS971" s="18">
        <v>0.4</v>
      </c>
      <c r="AT971" s="18">
        <v>0.5</v>
      </c>
      <c r="AU971" s="18">
        <v>0</v>
      </c>
      <c r="AV971" s="18">
        <v>1.2</v>
      </c>
      <c r="AW971" s="18">
        <v>0.8</v>
      </c>
      <c r="AX971" s="18">
        <v>0.30000000000000004</v>
      </c>
      <c r="AY971" s="18">
        <v>0.1</v>
      </c>
      <c r="AZ971" s="18">
        <v>0.1</v>
      </c>
      <c r="BA971" s="18">
        <v>1.5</v>
      </c>
      <c r="BB971" s="18">
        <v>3.3</v>
      </c>
      <c r="BC971" s="18">
        <v>0</v>
      </c>
      <c r="BD971" s="18">
        <v>0</v>
      </c>
      <c r="BE971" s="25">
        <v>0</v>
      </c>
      <c r="BF971" s="18">
        <v>0</v>
      </c>
      <c r="BG971" s="18">
        <v>0</v>
      </c>
      <c r="BH971" s="18">
        <v>0</v>
      </c>
      <c r="BI971" s="18">
        <v>0</v>
      </c>
      <c r="BJ971" s="113">
        <v>0</v>
      </c>
      <c r="BK971" s="113">
        <v>0</v>
      </c>
      <c r="BL971" s="113">
        <v>0</v>
      </c>
      <c r="BM971" s="113">
        <v>0</v>
      </c>
      <c r="BN971" s="113">
        <v>0</v>
      </c>
      <c r="BO971" s="113">
        <v>0</v>
      </c>
      <c r="BP971" s="113">
        <v>0</v>
      </c>
      <c r="BQ971" s="113">
        <v>0</v>
      </c>
      <c r="BR971" s="101"/>
      <c r="BS971">
        <f t="shared" si="1954"/>
        <v>0</v>
      </c>
      <c r="BT971">
        <f t="shared" si="1954"/>
        <v>0</v>
      </c>
      <c r="BU971">
        <f t="shared" si="1954"/>
        <v>0</v>
      </c>
      <c r="BV971">
        <f t="shared" si="1954"/>
        <v>0</v>
      </c>
      <c r="BW971">
        <f t="shared" si="1954"/>
        <v>0</v>
      </c>
      <c r="BX971">
        <f t="shared" si="1954"/>
        <v>0</v>
      </c>
      <c r="BY971">
        <f t="shared" si="1954"/>
        <v>0</v>
      </c>
      <c r="BZ971">
        <f t="shared" si="1954"/>
        <v>0</v>
      </c>
      <c r="CA971">
        <f t="shared" si="1954"/>
        <v>0</v>
      </c>
      <c r="CB971">
        <f t="shared" si="1954"/>
        <v>0</v>
      </c>
      <c r="CC971">
        <f t="shared" si="1955"/>
        <v>0</v>
      </c>
      <c r="CD971">
        <f t="shared" si="1955"/>
        <v>0</v>
      </c>
      <c r="CE971">
        <f t="shared" si="1955"/>
        <v>0</v>
      </c>
      <c r="CF971">
        <f t="shared" si="1955"/>
        <v>0</v>
      </c>
      <c r="CG971">
        <f t="shared" si="1955"/>
        <v>0</v>
      </c>
      <c r="CH971">
        <f t="shared" si="1955"/>
        <v>0</v>
      </c>
      <c r="CI971">
        <f t="shared" si="1955"/>
        <v>0</v>
      </c>
      <c r="CJ971">
        <f t="shared" si="1955"/>
        <v>0</v>
      </c>
      <c r="CK971">
        <f t="shared" si="1955"/>
        <v>0</v>
      </c>
      <c r="CL971">
        <f t="shared" si="1955"/>
        <v>0</v>
      </c>
      <c r="CM971">
        <f t="shared" si="1956"/>
        <v>0</v>
      </c>
      <c r="CN971">
        <f t="shared" si="1956"/>
        <v>0</v>
      </c>
      <c r="CO971">
        <f t="shared" si="1956"/>
        <v>0</v>
      </c>
      <c r="CP971">
        <f t="shared" si="1956"/>
        <v>0</v>
      </c>
      <c r="CQ971">
        <f t="shared" si="1956"/>
        <v>0</v>
      </c>
      <c r="CR971">
        <f t="shared" si="1956"/>
        <v>0</v>
      </c>
      <c r="CS971">
        <f t="shared" si="1956"/>
        <v>0</v>
      </c>
      <c r="CT971">
        <f t="shared" si="1956"/>
        <v>0</v>
      </c>
      <c r="CU971">
        <f t="shared" si="1956"/>
        <v>0</v>
      </c>
      <c r="CV971">
        <f t="shared" si="1956"/>
        <v>0</v>
      </c>
      <c r="CW971">
        <f t="shared" si="1957"/>
        <v>0</v>
      </c>
      <c r="CX971">
        <f t="shared" si="1957"/>
        <v>0</v>
      </c>
      <c r="CY971">
        <f t="shared" si="1957"/>
        <v>0</v>
      </c>
      <c r="CZ971">
        <f t="shared" si="1957"/>
        <v>0</v>
      </c>
      <c r="DA971">
        <f t="shared" si="1957"/>
        <v>0</v>
      </c>
      <c r="DB971">
        <f t="shared" si="1957"/>
        <v>0</v>
      </c>
      <c r="DC971">
        <f t="shared" si="1957"/>
        <v>0</v>
      </c>
      <c r="DD971">
        <f t="shared" si="1957"/>
        <v>0</v>
      </c>
      <c r="DE971">
        <f t="shared" si="1957"/>
        <v>0</v>
      </c>
      <c r="DF971">
        <f t="shared" si="1957"/>
        <v>0</v>
      </c>
      <c r="DG971">
        <f t="shared" si="1958"/>
        <v>0</v>
      </c>
      <c r="DH971">
        <f t="shared" si="1958"/>
        <v>0</v>
      </c>
      <c r="DI971">
        <f t="shared" si="1958"/>
        <v>0</v>
      </c>
      <c r="DJ971">
        <f t="shared" si="1958"/>
        <v>0</v>
      </c>
      <c r="DK971">
        <f t="shared" si="1958"/>
        <v>0</v>
      </c>
      <c r="DL971">
        <f t="shared" si="1958"/>
        <v>0</v>
      </c>
      <c r="DM971">
        <f t="shared" si="1958"/>
        <v>0</v>
      </c>
      <c r="DN971">
        <f t="shared" si="1958"/>
        <v>0</v>
      </c>
      <c r="DO971">
        <f t="shared" si="1958"/>
        <v>0</v>
      </c>
      <c r="DP971">
        <f t="shared" si="1958"/>
        <v>0</v>
      </c>
      <c r="DQ971">
        <f t="shared" si="1959"/>
        <v>0</v>
      </c>
      <c r="DR971">
        <f t="shared" si="1959"/>
        <v>0</v>
      </c>
      <c r="DS971">
        <f t="shared" si="1959"/>
        <v>0</v>
      </c>
      <c r="DT971">
        <f t="shared" si="1959"/>
        <v>0</v>
      </c>
      <c r="DU971">
        <f t="shared" si="1959"/>
        <v>0</v>
      </c>
      <c r="DV971">
        <f t="shared" si="1959"/>
        <v>0</v>
      </c>
      <c r="DW971">
        <f t="shared" si="1959"/>
        <v>0</v>
      </c>
      <c r="DX971">
        <f t="shared" si="1959"/>
        <v>0</v>
      </c>
      <c r="DY971">
        <f t="shared" si="1959"/>
        <v>0</v>
      </c>
      <c r="DZ971">
        <f t="shared" si="1959"/>
        <v>0</v>
      </c>
      <c r="EA971">
        <f t="shared" si="1960"/>
        <v>0</v>
      </c>
      <c r="EB971">
        <f t="shared" si="1960"/>
        <v>0</v>
      </c>
      <c r="EC971">
        <f t="shared" si="1960"/>
        <v>0</v>
      </c>
      <c r="ED971">
        <f t="shared" si="1960"/>
        <v>0</v>
      </c>
      <c r="EE971">
        <f t="shared" si="1960"/>
        <v>0</v>
      </c>
      <c r="EF971">
        <f t="shared" si="1960"/>
        <v>0</v>
      </c>
    </row>
    <row r="972" spans="1:136" ht="15.5">
      <c r="A972" s="90"/>
      <c r="B972" s="19" t="s">
        <v>18</v>
      </c>
      <c r="C972" s="95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>
        <v>0</v>
      </c>
      <c r="AB972" s="34">
        <v>0</v>
      </c>
      <c r="AC972" s="34">
        <v>0</v>
      </c>
      <c r="AD972" s="34">
        <v>0</v>
      </c>
      <c r="AE972" s="34">
        <v>0</v>
      </c>
      <c r="AF972" s="34">
        <v>0</v>
      </c>
      <c r="AG972" s="34">
        <v>0</v>
      </c>
      <c r="AH972" s="34">
        <v>0</v>
      </c>
      <c r="AI972" s="34">
        <v>0</v>
      </c>
      <c r="AJ972" s="34">
        <v>0</v>
      </c>
      <c r="AK972" s="34">
        <v>0</v>
      </c>
      <c r="AL972" s="34">
        <v>0</v>
      </c>
      <c r="AM972" s="34">
        <v>0</v>
      </c>
      <c r="AN972" s="34">
        <v>0</v>
      </c>
      <c r="AO972" s="34">
        <v>0</v>
      </c>
      <c r="AP972" s="34">
        <v>0</v>
      </c>
      <c r="AQ972" s="34">
        <v>0</v>
      </c>
      <c r="AR972" s="34">
        <v>0</v>
      </c>
      <c r="AS972" s="34">
        <v>0</v>
      </c>
      <c r="AT972" s="34">
        <v>0</v>
      </c>
      <c r="AU972" s="34">
        <v>0</v>
      </c>
      <c r="AV972" s="34">
        <v>0</v>
      </c>
      <c r="AW972" s="34">
        <v>0</v>
      </c>
      <c r="AX972" s="34">
        <v>0</v>
      </c>
      <c r="AY972" s="34">
        <v>0</v>
      </c>
      <c r="AZ972" s="34">
        <v>0</v>
      </c>
      <c r="BA972" s="34">
        <v>0</v>
      </c>
      <c r="BB972" s="34">
        <v>0</v>
      </c>
      <c r="BC972" s="34">
        <v>603</v>
      </c>
      <c r="BD972" s="34">
        <v>603</v>
      </c>
      <c r="BE972" s="42">
        <v>9.9700000000000006</v>
      </c>
      <c r="BF972" s="34">
        <f>17+49.48</f>
        <v>66.47999999999999</v>
      </c>
      <c r="BG972" s="34">
        <v>0</v>
      </c>
      <c r="BH972" s="34">
        <v>44.98</v>
      </c>
      <c r="BI972" s="34">
        <v>0</v>
      </c>
      <c r="BJ972" s="113">
        <v>0</v>
      </c>
      <c r="BK972" s="113">
        <v>0</v>
      </c>
      <c r="BL972" s="113">
        <v>0</v>
      </c>
      <c r="BM972" s="113">
        <v>0</v>
      </c>
      <c r="BN972" s="113">
        <v>0</v>
      </c>
      <c r="BO972" s="113">
        <v>0</v>
      </c>
      <c r="BP972" s="113">
        <v>0</v>
      </c>
      <c r="BQ972" s="113">
        <v>0</v>
      </c>
      <c r="BR972" s="101"/>
      <c r="BS972">
        <f t="shared" si="1954"/>
        <v>0</v>
      </c>
      <c r="BT972">
        <f t="shared" si="1954"/>
        <v>0</v>
      </c>
      <c r="BU972">
        <f t="shared" si="1954"/>
        <v>0</v>
      </c>
      <c r="BV972">
        <f t="shared" si="1954"/>
        <v>0</v>
      </c>
      <c r="BW972">
        <f t="shared" si="1954"/>
        <v>0</v>
      </c>
      <c r="BX972">
        <f t="shared" si="1954"/>
        <v>0</v>
      </c>
      <c r="BY972">
        <f t="shared" si="1954"/>
        <v>0</v>
      </c>
      <c r="BZ972">
        <f t="shared" si="1954"/>
        <v>0</v>
      </c>
      <c r="CA972">
        <f t="shared" si="1954"/>
        <v>0</v>
      </c>
      <c r="CB972">
        <f t="shared" si="1954"/>
        <v>0</v>
      </c>
      <c r="CC972">
        <f t="shared" si="1955"/>
        <v>0</v>
      </c>
      <c r="CD972">
        <f t="shared" si="1955"/>
        <v>0</v>
      </c>
      <c r="CE972">
        <f t="shared" si="1955"/>
        <v>0</v>
      </c>
      <c r="CF972">
        <f t="shared" si="1955"/>
        <v>0</v>
      </c>
      <c r="CG972">
        <f t="shared" si="1955"/>
        <v>0</v>
      </c>
      <c r="CH972">
        <f t="shared" si="1955"/>
        <v>0</v>
      </c>
      <c r="CI972">
        <f t="shared" si="1955"/>
        <v>0</v>
      </c>
      <c r="CJ972">
        <f t="shared" si="1955"/>
        <v>0</v>
      </c>
      <c r="CK972">
        <f t="shared" si="1955"/>
        <v>0</v>
      </c>
      <c r="CL972">
        <f t="shared" si="1955"/>
        <v>0</v>
      </c>
      <c r="CM972">
        <f t="shared" si="1956"/>
        <v>0</v>
      </c>
      <c r="CN972">
        <f t="shared" si="1956"/>
        <v>0</v>
      </c>
      <c r="CO972">
        <f t="shared" si="1956"/>
        <v>0</v>
      </c>
      <c r="CP972">
        <f t="shared" si="1956"/>
        <v>0</v>
      </c>
      <c r="CQ972">
        <f t="shared" si="1956"/>
        <v>0</v>
      </c>
      <c r="CR972">
        <f t="shared" si="1956"/>
        <v>0</v>
      </c>
      <c r="CS972">
        <f t="shared" si="1956"/>
        <v>0</v>
      </c>
      <c r="CT972">
        <f t="shared" si="1956"/>
        <v>0</v>
      </c>
      <c r="CU972">
        <f t="shared" si="1956"/>
        <v>0</v>
      </c>
      <c r="CV972">
        <f t="shared" si="1956"/>
        <v>0</v>
      </c>
      <c r="CW972">
        <f t="shared" si="1957"/>
        <v>0</v>
      </c>
      <c r="CX972">
        <f t="shared" si="1957"/>
        <v>0</v>
      </c>
      <c r="CY972">
        <f t="shared" si="1957"/>
        <v>0</v>
      </c>
      <c r="CZ972">
        <f t="shared" si="1957"/>
        <v>0</v>
      </c>
      <c r="DA972">
        <f t="shared" si="1957"/>
        <v>0</v>
      </c>
      <c r="DB972">
        <f t="shared" si="1957"/>
        <v>0</v>
      </c>
      <c r="DC972">
        <f t="shared" si="1957"/>
        <v>0</v>
      </c>
      <c r="DD972">
        <f t="shared" si="1957"/>
        <v>0</v>
      </c>
      <c r="DE972">
        <f t="shared" si="1957"/>
        <v>0</v>
      </c>
      <c r="DF972">
        <f t="shared" si="1957"/>
        <v>0</v>
      </c>
      <c r="DG972">
        <f t="shared" si="1958"/>
        <v>0</v>
      </c>
      <c r="DH972">
        <f t="shared" si="1958"/>
        <v>0</v>
      </c>
      <c r="DI972">
        <f t="shared" si="1958"/>
        <v>0</v>
      </c>
      <c r="DJ972">
        <f t="shared" si="1958"/>
        <v>0</v>
      </c>
      <c r="DK972">
        <f t="shared" si="1958"/>
        <v>0</v>
      </c>
      <c r="DL972">
        <f t="shared" si="1958"/>
        <v>0</v>
      </c>
      <c r="DM972">
        <f t="shared" si="1958"/>
        <v>0</v>
      </c>
      <c r="DN972">
        <f t="shared" si="1958"/>
        <v>0</v>
      </c>
      <c r="DO972">
        <f t="shared" si="1958"/>
        <v>0</v>
      </c>
      <c r="DP972">
        <f t="shared" si="1958"/>
        <v>0</v>
      </c>
      <c r="DQ972">
        <f t="shared" si="1959"/>
        <v>0</v>
      </c>
      <c r="DR972">
        <f t="shared" si="1959"/>
        <v>0</v>
      </c>
      <c r="DS972">
        <f t="shared" si="1959"/>
        <v>0</v>
      </c>
      <c r="DT972">
        <f t="shared" si="1959"/>
        <v>0</v>
      </c>
      <c r="DU972">
        <f t="shared" si="1959"/>
        <v>0</v>
      </c>
      <c r="DV972">
        <f t="shared" si="1959"/>
        <v>0</v>
      </c>
      <c r="DW972">
        <f t="shared" si="1959"/>
        <v>0</v>
      </c>
      <c r="DX972">
        <f t="shared" si="1959"/>
        <v>0</v>
      </c>
      <c r="DY972">
        <f t="shared" si="1959"/>
        <v>0</v>
      </c>
      <c r="DZ972">
        <f t="shared" si="1959"/>
        <v>0</v>
      </c>
      <c r="EA972">
        <f t="shared" si="1960"/>
        <v>0</v>
      </c>
      <c r="EB972">
        <f t="shared" si="1960"/>
        <v>0</v>
      </c>
      <c r="EC972">
        <f t="shared" si="1960"/>
        <v>0</v>
      </c>
      <c r="ED972">
        <f t="shared" si="1960"/>
        <v>0</v>
      </c>
      <c r="EE972">
        <f t="shared" si="1960"/>
        <v>0</v>
      </c>
      <c r="EF972">
        <f t="shared" si="1960"/>
        <v>0</v>
      </c>
    </row>
    <row r="973" spans="1:136" ht="15.5">
      <c r="A973" s="90"/>
      <c r="B973" s="53" t="s">
        <v>25</v>
      </c>
      <c r="C973" s="95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>
        <v>0</v>
      </c>
      <c r="AB973" s="18">
        <v>0</v>
      </c>
      <c r="AC973" s="18">
        <v>0</v>
      </c>
      <c r="AD973" s="18">
        <v>0</v>
      </c>
      <c r="AE973" s="18">
        <v>0</v>
      </c>
      <c r="AF973" s="18">
        <v>0</v>
      </c>
      <c r="AG973" s="18">
        <v>0</v>
      </c>
      <c r="AH973" s="18">
        <v>0</v>
      </c>
      <c r="AI973" s="18">
        <v>0</v>
      </c>
      <c r="AJ973" s="18">
        <v>0</v>
      </c>
      <c r="AK973" s="18">
        <v>0</v>
      </c>
      <c r="AL973" s="18">
        <v>0</v>
      </c>
      <c r="AM973" s="18">
        <v>0</v>
      </c>
      <c r="AN973" s="18">
        <v>0</v>
      </c>
      <c r="AO973" s="18">
        <v>0</v>
      </c>
      <c r="AP973" s="18">
        <v>0</v>
      </c>
      <c r="AQ973" s="18">
        <v>0</v>
      </c>
      <c r="AR973" s="18">
        <v>0</v>
      </c>
      <c r="AS973" s="18">
        <v>0</v>
      </c>
      <c r="AT973" s="18">
        <v>0</v>
      </c>
      <c r="AU973" s="18">
        <v>0</v>
      </c>
      <c r="AV973" s="18">
        <v>0</v>
      </c>
      <c r="AW973" s="18">
        <v>0</v>
      </c>
      <c r="AX973" s="18">
        <v>0</v>
      </c>
      <c r="AY973" s="18">
        <v>0</v>
      </c>
      <c r="AZ973" s="18">
        <v>0</v>
      </c>
      <c r="BA973" s="18">
        <v>0</v>
      </c>
      <c r="BB973" s="18">
        <v>0</v>
      </c>
      <c r="BC973" s="18">
        <v>150</v>
      </c>
      <c r="BD973" s="18">
        <v>150</v>
      </c>
      <c r="BE973" s="25">
        <v>7.49</v>
      </c>
      <c r="BF973" s="34">
        <v>0</v>
      </c>
      <c r="BG973" s="34">
        <v>0</v>
      </c>
      <c r="BH973" s="34">
        <v>0</v>
      </c>
      <c r="BI973" s="34">
        <v>0</v>
      </c>
      <c r="BJ973" s="113">
        <v>0</v>
      </c>
      <c r="BK973" s="113">
        <v>0</v>
      </c>
      <c r="BL973" s="113">
        <v>0</v>
      </c>
      <c r="BM973" s="113">
        <v>0</v>
      </c>
      <c r="BN973" s="113">
        <v>0</v>
      </c>
      <c r="BO973" s="113">
        <v>0</v>
      </c>
      <c r="BP973" s="113">
        <v>0</v>
      </c>
      <c r="BQ973" s="113">
        <v>0</v>
      </c>
      <c r="BR973" s="101"/>
      <c r="BS973">
        <f t="shared" si="1954"/>
        <v>0</v>
      </c>
      <c r="BT973">
        <f t="shared" si="1954"/>
        <v>0</v>
      </c>
      <c r="BU973">
        <f t="shared" si="1954"/>
        <v>0</v>
      </c>
      <c r="BV973">
        <f t="shared" si="1954"/>
        <v>0</v>
      </c>
      <c r="BW973">
        <f t="shared" si="1954"/>
        <v>0</v>
      </c>
      <c r="BX973">
        <f t="shared" si="1954"/>
        <v>0</v>
      </c>
      <c r="BY973">
        <f t="shared" si="1954"/>
        <v>0</v>
      </c>
      <c r="BZ973">
        <f t="shared" si="1954"/>
        <v>0</v>
      </c>
      <c r="CA973">
        <f t="shared" si="1954"/>
        <v>0</v>
      </c>
      <c r="CB973">
        <f t="shared" si="1954"/>
        <v>0</v>
      </c>
      <c r="CC973">
        <f t="shared" si="1955"/>
        <v>0</v>
      </c>
      <c r="CD973">
        <f t="shared" si="1955"/>
        <v>0</v>
      </c>
      <c r="CE973">
        <f t="shared" si="1955"/>
        <v>0</v>
      </c>
      <c r="CF973">
        <f t="shared" si="1955"/>
        <v>0</v>
      </c>
      <c r="CG973">
        <f t="shared" si="1955"/>
        <v>0</v>
      </c>
      <c r="CH973">
        <f t="shared" si="1955"/>
        <v>0</v>
      </c>
      <c r="CI973">
        <f t="shared" si="1955"/>
        <v>0</v>
      </c>
      <c r="CJ973">
        <f t="shared" si="1955"/>
        <v>0</v>
      </c>
      <c r="CK973">
        <f t="shared" si="1955"/>
        <v>0</v>
      </c>
      <c r="CL973">
        <f t="shared" si="1955"/>
        <v>0</v>
      </c>
      <c r="CM973">
        <f t="shared" si="1956"/>
        <v>0</v>
      </c>
      <c r="CN973">
        <f t="shared" si="1956"/>
        <v>0</v>
      </c>
      <c r="CO973">
        <f t="shared" si="1956"/>
        <v>0</v>
      </c>
      <c r="CP973">
        <f t="shared" si="1956"/>
        <v>0</v>
      </c>
      <c r="CQ973">
        <f t="shared" si="1956"/>
        <v>0</v>
      </c>
      <c r="CR973">
        <f t="shared" si="1956"/>
        <v>0</v>
      </c>
      <c r="CS973">
        <f t="shared" si="1956"/>
        <v>0</v>
      </c>
      <c r="CT973">
        <f t="shared" si="1956"/>
        <v>0</v>
      </c>
      <c r="CU973">
        <f t="shared" si="1956"/>
        <v>0</v>
      </c>
      <c r="CV973">
        <f t="shared" si="1956"/>
        <v>0</v>
      </c>
      <c r="CW973">
        <f t="shared" si="1957"/>
        <v>0</v>
      </c>
      <c r="CX973">
        <f t="shared" si="1957"/>
        <v>0</v>
      </c>
      <c r="CY973">
        <f t="shared" si="1957"/>
        <v>0</v>
      </c>
      <c r="CZ973">
        <f t="shared" si="1957"/>
        <v>0</v>
      </c>
      <c r="DA973">
        <f t="shared" si="1957"/>
        <v>0</v>
      </c>
      <c r="DB973">
        <f t="shared" si="1957"/>
        <v>0</v>
      </c>
      <c r="DC973">
        <f t="shared" si="1957"/>
        <v>0</v>
      </c>
      <c r="DD973">
        <f t="shared" si="1957"/>
        <v>0</v>
      </c>
      <c r="DE973">
        <f t="shared" si="1957"/>
        <v>0</v>
      </c>
      <c r="DF973">
        <f t="shared" si="1957"/>
        <v>0</v>
      </c>
      <c r="DG973">
        <f t="shared" si="1958"/>
        <v>0</v>
      </c>
      <c r="DH973">
        <f t="shared" si="1958"/>
        <v>0</v>
      </c>
      <c r="DI973">
        <f t="shared" si="1958"/>
        <v>0</v>
      </c>
      <c r="DJ973">
        <f t="shared" si="1958"/>
        <v>0</v>
      </c>
      <c r="DK973">
        <f t="shared" si="1958"/>
        <v>0</v>
      </c>
      <c r="DL973">
        <f t="shared" si="1958"/>
        <v>0</v>
      </c>
      <c r="DM973">
        <f t="shared" si="1958"/>
        <v>0</v>
      </c>
      <c r="DN973">
        <f t="shared" si="1958"/>
        <v>0</v>
      </c>
      <c r="DO973">
        <f t="shared" si="1958"/>
        <v>0</v>
      </c>
      <c r="DP973">
        <f t="shared" si="1958"/>
        <v>0</v>
      </c>
      <c r="DQ973">
        <f t="shared" si="1959"/>
        <v>0</v>
      </c>
      <c r="DR973">
        <f t="shared" si="1959"/>
        <v>0</v>
      </c>
      <c r="DS973">
        <f t="shared" si="1959"/>
        <v>0</v>
      </c>
      <c r="DT973">
        <f t="shared" si="1959"/>
        <v>0</v>
      </c>
      <c r="DU973">
        <f t="shared" si="1959"/>
        <v>0</v>
      </c>
      <c r="DV973">
        <f t="shared" si="1959"/>
        <v>0</v>
      </c>
      <c r="DW973">
        <f t="shared" si="1959"/>
        <v>0</v>
      </c>
      <c r="DX973">
        <f t="shared" si="1959"/>
        <v>0</v>
      </c>
      <c r="DY973">
        <f t="shared" si="1959"/>
        <v>0</v>
      </c>
      <c r="DZ973">
        <f t="shared" si="1959"/>
        <v>0</v>
      </c>
      <c r="EA973">
        <f t="shared" si="1960"/>
        <v>0</v>
      </c>
      <c r="EB973">
        <f t="shared" si="1960"/>
        <v>0</v>
      </c>
      <c r="EC973">
        <f t="shared" si="1960"/>
        <v>0</v>
      </c>
      <c r="ED973">
        <f t="shared" si="1960"/>
        <v>0</v>
      </c>
      <c r="EE973">
        <f t="shared" si="1960"/>
        <v>0</v>
      </c>
      <c r="EF973">
        <f t="shared" si="1960"/>
        <v>0</v>
      </c>
    </row>
    <row r="974" spans="1:136" ht="15.5">
      <c r="A974" s="90"/>
      <c r="B974" s="19" t="s">
        <v>208</v>
      </c>
      <c r="C974" s="95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>
        <v>0</v>
      </c>
      <c r="AB974" s="18">
        <v>0</v>
      </c>
      <c r="AC974" s="18">
        <v>0</v>
      </c>
      <c r="AD974" s="18">
        <v>0</v>
      </c>
      <c r="AE974" s="18">
        <v>0</v>
      </c>
      <c r="AF974" s="18">
        <v>0</v>
      </c>
      <c r="AG974" s="18">
        <v>0</v>
      </c>
      <c r="AH974" s="18">
        <v>0</v>
      </c>
      <c r="AI974" s="18">
        <v>0</v>
      </c>
      <c r="AJ974" s="18">
        <v>0</v>
      </c>
      <c r="AK974" s="18">
        <v>0</v>
      </c>
      <c r="AL974" s="18">
        <v>0.1</v>
      </c>
      <c r="AM974" s="18">
        <v>0.4</v>
      </c>
      <c r="AN974" s="18">
        <v>0</v>
      </c>
      <c r="AO974" s="18">
        <v>0.1</v>
      </c>
      <c r="AP974" s="18">
        <v>0.5</v>
      </c>
      <c r="AQ974" s="18">
        <v>0.5</v>
      </c>
      <c r="AR974" s="18">
        <v>1.4</v>
      </c>
      <c r="AS974" s="18">
        <v>1.5</v>
      </c>
      <c r="AT974" s="18">
        <v>1.5</v>
      </c>
      <c r="AU974" s="18">
        <v>2.9</v>
      </c>
      <c r="AV974" s="18">
        <v>3.9</v>
      </c>
      <c r="AW974" s="18">
        <v>3.9</v>
      </c>
      <c r="AX974" s="18">
        <v>5.2</v>
      </c>
      <c r="AY974" s="18">
        <v>2.6</v>
      </c>
      <c r="AZ974" s="18">
        <v>11</v>
      </c>
      <c r="BA974" s="18">
        <v>10.6</v>
      </c>
      <c r="BB974" s="18">
        <v>0.2</v>
      </c>
      <c r="BC974" s="18">
        <v>0</v>
      </c>
      <c r="BD974" s="18">
        <v>0</v>
      </c>
      <c r="BE974" s="25">
        <v>0</v>
      </c>
      <c r="BF974" s="34">
        <v>0</v>
      </c>
      <c r="BG974" s="18">
        <v>0</v>
      </c>
      <c r="BH974" s="18">
        <v>0</v>
      </c>
      <c r="BI974" s="18">
        <v>0</v>
      </c>
      <c r="BJ974" s="113">
        <v>0</v>
      </c>
      <c r="BK974" s="113">
        <v>0</v>
      </c>
      <c r="BL974" s="113">
        <v>0</v>
      </c>
      <c r="BM974" s="113">
        <v>0</v>
      </c>
      <c r="BN974" s="113">
        <v>0</v>
      </c>
      <c r="BO974" s="113">
        <v>0</v>
      </c>
      <c r="BP974" s="113">
        <v>0</v>
      </c>
      <c r="BQ974" s="113">
        <v>0</v>
      </c>
      <c r="BR974" s="101"/>
      <c r="BS974">
        <f t="shared" si="1954"/>
        <v>0</v>
      </c>
      <c r="BT974">
        <f t="shared" si="1954"/>
        <v>0</v>
      </c>
      <c r="BU974">
        <f t="shared" si="1954"/>
        <v>0</v>
      </c>
      <c r="BV974">
        <f t="shared" si="1954"/>
        <v>0</v>
      </c>
      <c r="BW974">
        <f t="shared" si="1954"/>
        <v>0</v>
      </c>
      <c r="BX974">
        <f t="shared" si="1954"/>
        <v>0</v>
      </c>
      <c r="BY974">
        <f t="shared" si="1954"/>
        <v>0</v>
      </c>
      <c r="BZ974">
        <f t="shared" si="1954"/>
        <v>0</v>
      </c>
      <c r="CA974">
        <f t="shared" si="1954"/>
        <v>0</v>
      </c>
      <c r="CB974">
        <f t="shared" si="1954"/>
        <v>0</v>
      </c>
      <c r="CC974">
        <f t="shared" si="1955"/>
        <v>0</v>
      </c>
      <c r="CD974">
        <f t="shared" si="1955"/>
        <v>0</v>
      </c>
      <c r="CE974">
        <f t="shared" si="1955"/>
        <v>0</v>
      </c>
      <c r="CF974">
        <f t="shared" si="1955"/>
        <v>0</v>
      </c>
      <c r="CG974">
        <f t="shared" si="1955"/>
        <v>0</v>
      </c>
      <c r="CH974">
        <f t="shared" si="1955"/>
        <v>0</v>
      </c>
      <c r="CI974">
        <f t="shared" si="1955"/>
        <v>0</v>
      </c>
      <c r="CJ974">
        <f t="shared" si="1955"/>
        <v>0</v>
      </c>
      <c r="CK974">
        <f t="shared" si="1955"/>
        <v>0</v>
      </c>
      <c r="CL974">
        <f t="shared" si="1955"/>
        <v>0</v>
      </c>
      <c r="CM974">
        <f t="shared" si="1956"/>
        <v>0</v>
      </c>
      <c r="CN974">
        <f t="shared" si="1956"/>
        <v>0</v>
      </c>
      <c r="CO974">
        <f t="shared" si="1956"/>
        <v>0</v>
      </c>
      <c r="CP974">
        <f t="shared" si="1956"/>
        <v>0</v>
      </c>
      <c r="CQ974">
        <f t="shared" si="1956"/>
        <v>0</v>
      </c>
      <c r="CR974">
        <f t="shared" si="1956"/>
        <v>0</v>
      </c>
      <c r="CS974">
        <f t="shared" si="1956"/>
        <v>0</v>
      </c>
      <c r="CT974">
        <f t="shared" si="1956"/>
        <v>0</v>
      </c>
      <c r="CU974">
        <f t="shared" si="1956"/>
        <v>0</v>
      </c>
      <c r="CV974">
        <f t="shared" si="1956"/>
        <v>0</v>
      </c>
      <c r="CW974">
        <f t="shared" si="1957"/>
        <v>0</v>
      </c>
      <c r="CX974">
        <f t="shared" si="1957"/>
        <v>0</v>
      </c>
      <c r="CY974">
        <f t="shared" si="1957"/>
        <v>0</v>
      </c>
      <c r="CZ974">
        <f t="shared" si="1957"/>
        <v>0</v>
      </c>
      <c r="DA974">
        <f t="shared" si="1957"/>
        <v>0</v>
      </c>
      <c r="DB974">
        <f t="shared" si="1957"/>
        <v>0</v>
      </c>
      <c r="DC974">
        <f t="shared" si="1957"/>
        <v>0</v>
      </c>
      <c r="DD974">
        <f t="shared" si="1957"/>
        <v>0</v>
      </c>
      <c r="DE974">
        <f t="shared" si="1957"/>
        <v>0</v>
      </c>
      <c r="DF974">
        <f t="shared" si="1957"/>
        <v>0</v>
      </c>
      <c r="DG974">
        <f t="shared" si="1958"/>
        <v>0</v>
      </c>
      <c r="DH974">
        <f t="shared" si="1958"/>
        <v>0</v>
      </c>
      <c r="DI974">
        <f t="shared" si="1958"/>
        <v>0</v>
      </c>
      <c r="DJ974">
        <f t="shared" si="1958"/>
        <v>0</v>
      </c>
      <c r="DK974">
        <f t="shared" si="1958"/>
        <v>0</v>
      </c>
      <c r="DL974">
        <f t="shared" si="1958"/>
        <v>0</v>
      </c>
      <c r="DM974">
        <f t="shared" si="1958"/>
        <v>0</v>
      </c>
      <c r="DN974">
        <f t="shared" si="1958"/>
        <v>0</v>
      </c>
      <c r="DO974">
        <f t="shared" si="1958"/>
        <v>0</v>
      </c>
      <c r="DP974">
        <f t="shared" si="1958"/>
        <v>0</v>
      </c>
      <c r="DQ974">
        <f t="shared" si="1959"/>
        <v>0</v>
      </c>
      <c r="DR974">
        <f t="shared" si="1959"/>
        <v>0</v>
      </c>
      <c r="DS974">
        <f t="shared" si="1959"/>
        <v>0</v>
      </c>
      <c r="DT974">
        <f t="shared" si="1959"/>
        <v>0</v>
      </c>
      <c r="DU974">
        <f t="shared" si="1959"/>
        <v>0</v>
      </c>
      <c r="DV974">
        <f t="shared" si="1959"/>
        <v>0</v>
      </c>
      <c r="DW974">
        <f t="shared" si="1959"/>
        <v>0</v>
      </c>
      <c r="DX974">
        <f t="shared" si="1959"/>
        <v>0</v>
      </c>
      <c r="DY974">
        <f t="shared" si="1959"/>
        <v>0</v>
      </c>
      <c r="DZ974">
        <f t="shared" si="1959"/>
        <v>0</v>
      </c>
      <c r="EA974">
        <f t="shared" si="1960"/>
        <v>0</v>
      </c>
      <c r="EB974">
        <f t="shared" si="1960"/>
        <v>0</v>
      </c>
      <c r="EC974">
        <f t="shared" si="1960"/>
        <v>0</v>
      </c>
      <c r="ED974">
        <f t="shared" si="1960"/>
        <v>0</v>
      </c>
      <c r="EE974">
        <f t="shared" si="1960"/>
        <v>0</v>
      </c>
      <c r="EF974">
        <f t="shared" si="1960"/>
        <v>0</v>
      </c>
    </row>
    <row r="975" spans="1:136" ht="15.5">
      <c r="A975" s="90"/>
      <c r="B975" s="57" t="s">
        <v>212</v>
      </c>
      <c r="C975" s="94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>
        <v>0</v>
      </c>
      <c r="AI975" s="18">
        <v>0</v>
      </c>
      <c r="AJ975" s="18">
        <v>0</v>
      </c>
      <c r="AK975" s="18">
        <v>0</v>
      </c>
      <c r="AL975" s="18">
        <v>0</v>
      </c>
      <c r="AM975" s="18">
        <v>0</v>
      </c>
      <c r="AN975" s="18">
        <v>0</v>
      </c>
      <c r="AO975" s="18">
        <v>0</v>
      </c>
      <c r="AP975" s="18">
        <v>0</v>
      </c>
      <c r="AQ975" s="18">
        <v>0</v>
      </c>
      <c r="AR975" s="18">
        <v>0</v>
      </c>
      <c r="AS975" s="18">
        <v>0</v>
      </c>
      <c r="AT975" s="18">
        <v>0</v>
      </c>
      <c r="AU975" s="18">
        <v>0</v>
      </c>
      <c r="AV975" s="18">
        <v>0</v>
      </c>
      <c r="AW975" s="18">
        <v>0</v>
      </c>
      <c r="AX975" s="18">
        <v>0</v>
      </c>
      <c r="AY975" s="18">
        <v>0</v>
      </c>
      <c r="AZ975" s="18">
        <v>0</v>
      </c>
      <c r="BA975" s="18">
        <v>0</v>
      </c>
      <c r="BB975" s="18">
        <v>0</v>
      </c>
      <c r="BC975" s="18">
        <v>45.9</v>
      </c>
      <c r="BD975" s="18">
        <v>37.299999999999997</v>
      </c>
      <c r="BE975" s="25">
        <v>35.200000000000003</v>
      </c>
      <c r="BF975" s="18">
        <v>1.6</v>
      </c>
      <c r="BG975" s="18">
        <v>1.4</v>
      </c>
      <c r="BH975" s="113">
        <v>0</v>
      </c>
      <c r="BI975" s="113">
        <v>0</v>
      </c>
      <c r="BJ975" s="113">
        <v>0</v>
      </c>
      <c r="BK975" s="113">
        <v>0</v>
      </c>
      <c r="BL975" s="113">
        <v>0</v>
      </c>
      <c r="BM975" s="113">
        <v>0</v>
      </c>
      <c r="BN975" s="113">
        <v>0</v>
      </c>
      <c r="BO975" s="113">
        <v>0</v>
      </c>
      <c r="BP975" s="113">
        <v>0</v>
      </c>
      <c r="BQ975" s="113">
        <v>0</v>
      </c>
      <c r="BR975" s="101"/>
      <c r="BS975">
        <f t="shared" si="1954"/>
        <v>0</v>
      </c>
      <c r="BT975">
        <f t="shared" si="1954"/>
        <v>0</v>
      </c>
      <c r="BU975">
        <f t="shared" si="1954"/>
        <v>0</v>
      </c>
      <c r="BV975">
        <f t="shared" si="1954"/>
        <v>0</v>
      </c>
      <c r="BW975">
        <f t="shared" si="1954"/>
        <v>0</v>
      </c>
      <c r="BX975">
        <f t="shared" si="1954"/>
        <v>0</v>
      </c>
      <c r="BY975">
        <f t="shared" si="1954"/>
        <v>0</v>
      </c>
      <c r="BZ975">
        <f t="shared" si="1954"/>
        <v>0</v>
      </c>
      <c r="CA975">
        <f t="shared" si="1954"/>
        <v>0</v>
      </c>
      <c r="CB975">
        <f t="shared" si="1954"/>
        <v>0</v>
      </c>
      <c r="CC975">
        <f t="shared" si="1955"/>
        <v>0</v>
      </c>
      <c r="CD975">
        <f t="shared" si="1955"/>
        <v>0</v>
      </c>
      <c r="CE975">
        <f t="shared" si="1955"/>
        <v>0</v>
      </c>
      <c r="CF975">
        <f t="shared" si="1955"/>
        <v>0</v>
      </c>
      <c r="CG975">
        <f t="shared" si="1955"/>
        <v>0</v>
      </c>
      <c r="CH975">
        <f t="shared" si="1955"/>
        <v>0</v>
      </c>
      <c r="CI975">
        <f t="shared" si="1955"/>
        <v>0</v>
      </c>
      <c r="CJ975">
        <f t="shared" si="1955"/>
        <v>0</v>
      </c>
      <c r="CK975">
        <f t="shared" si="1955"/>
        <v>0</v>
      </c>
      <c r="CL975">
        <f t="shared" si="1955"/>
        <v>0</v>
      </c>
      <c r="CM975">
        <f t="shared" si="1956"/>
        <v>0</v>
      </c>
      <c r="CN975">
        <f t="shared" si="1956"/>
        <v>0</v>
      </c>
      <c r="CO975">
        <f t="shared" si="1956"/>
        <v>0</v>
      </c>
      <c r="CP975">
        <f t="shared" si="1956"/>
        <v>0</v>
      </c>
      <c r="CQ975">
        <f t="shared" si="1956"/>
        <v>0</v>
      </c>
      <c r="CR975">
        <f t="shared" si="1956"/>
        <v>0</v>
      </c>
      <c r="CS975">
        <f t="shared" si="1956"/>
        <v>0</v>
      </c>
      <c r="CT975">
        <f t="shared" si="1956"/>
        <v>0</v>
      </c>
      <c r="CU975">
        <f t="shared" si="1956"/>
        <v>0</v>
      </c>
      <c r="CV975">
        <f t="shared" si="1956"/>
        <v>0</v>
      </c>
      <c r="CW975">
        <f t="shared" si="1957"/>
        <v>0</v>
      </c>
      <c r="CX975">
        <f t="shared" si="1957"/>
        <v>0</v>
      </c>
      <c r="CY975">
        <f t="shared" si="1957"/>
        <v>0</v>
      </c>
      <c r="CZ975">
        <f t="shared" si="1957"/>
        <v>0</v>
      </c>
      <c r="DA975">
        <f t="shared" si="1957"/>
        <v>0</v>
      </c>
      <c r="DB975">
        <f t="shared" si="1957"/>
        <v>0</v>
      </c>
      <c r="DC975">
        <f t="shared" si="1957"/>
        <v>0</v>
      </c>
      <c r="DD975">
        <f t="shared" si="1957"/>
        <v>0</v>
      </c>
      <c r="DE975">
        <f t="shared" si="1957"/>
        <v>0</v>
      </c>
      <c r="DF975">
        <f t="shared" si="1957"/>
        <v>0</v>
      </c>
      <c r="DG975">
        <f t="shared" si="1958"/>
        <v>0</v>
      </c>
      <c r="DH975">
        <f t="shared" si="1958"/>
        <v>0</v>
      </c>
      <c r="DI975">
        <f t="shared" si="1958"/>
        <v>0</v>
      </c>
      <c r="DJ975">
        <f t="shared" si="1958"/>
        <v>0</v>
      </c>
      <c r="DK975">
        <f t="shared" si="1958"/>
        <v>0</v>
      </c>
      <c r="DL975">
        <f t="shared" si="1958"/>
        <v>0</v>
      </c>
      <c r="DM975">
        <f t="shared" si="1958"/>
        <v>0</v>
      </c>
      <c r="DN975">
        <f t="shared" si="1958"/>
        <v>0</v>
      </c>
      <c r="DO975">
        <f t="shared" si="1958"/>
        <v>0</v>
      </c>
      <c r="DP975">
        <f t="shared" si="1958"/>
        <v>0</v>
      </c>
      <c r="DQ975">
        <f t="shared" si="1959"/>
        <v>0</v>
      </c>
      <c r="DR975">
        <f t="shared" si="1959"/>
        <v>0</v>
      </c>
      <c r="DS975">
        <f t="shared" si="1959"/>
        <v>0</v>
      </c>
      <c r="DT975">
        <f t="shared" si="1959"/>
        <v>0</v>
      </c>
      <c r="DU975">
        <f t="shared" si="1959"/>
        <v>0</v>
      </c>
      <c r="DV975">
        <f t="shared" si="1959"/>
        <v>0</v>
      </c>
      <c r="DW975">
        <f t="shared" si="1959"/>
        <v>0</v>
      </c>
      <c r="DX975">
        <f t="shared" si="1959"/>
        <v>0</v>
      </c>
      <c r="DY975">
        <f t="shared" si="1959"/>
        <v>0</v>
      </c>
      <c r="DZ975">
        <f t="shared" si="1959"/>
        <v>0</v>
      </c>
      <c r="EA975">
        <f t="shared" ref="EA975:EF975" si="1961">IF($C975&lt;&gt;"",IF(BL975&gt;0,1,0),0)</f>
        <v>0</v>
      </c>
      <c r="EB975">
        <f t="shared" si="1961"/>
        <v>0</v>
      </c>
      <c r="EC975">
        <f t="shared" si="1961"/>
        <v>0</v>
      </c>
      <c r="ED975">
        <f t="shared" si="1961"/>
        <v>0</v>
      </c>
      <c r="EE975">
        <f t="shared" si="1961"/>
        <v>0</v>
      </c>
      <c r="EF975">
        <f t="shared" si="1961"/>
        <v>0</v>
      </c>
    </row>
    <row r="976" spans="1:136" ht="15.5">
      <c r="A976" s="90"/>
      <c r="B976" s="57"/>
      <c r="C976" s="94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  <c r="AS976" s="18"/>
      <c r="AT976" s="18"/>
      <c r="AU976" s="18"/>
      <c r="AV976" s="18"/>
      <c r="AW976" s="18"/>
      <c r="AX976" s="18"/>
      <c r="AY976" s="18"/>
      <c r="AZ976" s="18"/>
      <c r="BA976" s="18"/>
      <c r="BB976" s="40"/>
      <c r="BC976" s="18"/>
      <c r="BD976" s="18"/>
      <c r="BE976" s="25"/>
      <c r="BF976" s="18"/>
      <c r="BG976" s="18"/>
      <c r="BH976" s="2"/>
      <c r="BI976" s="2"/>
      <c r="BJ976" s="2"/>
      <c r="BK976" s="2"/>
      <c r="BL976" s="22"/>
      <c r="BM976" s="2"/>
      <c r="BN976" s="2"/>
      <c r="BO976" s="2"/>
      <c r="BP976" s="2"/>
      <c r="BQ976" s="2"/>
      <c r="BR976" s="101"/>
    </row>
    <row r="977" spans="1:136" ht="15.5">
      <c r="A977" s="93">
        <v>123</v>
      </c>
      <c r="B977" s="52" t="s">
        <v>124</v>
      </c>
      <c r="C977" s="94">
        <v>4</v>
      </c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>
        <f t="shared" ref="W977:BP977" si="1962">W978+W979+W980</f>
        <v>0</v>
      </c>
      <c r="X977" s="22">
        <f t="shared" si="1962"/>
        <v>0</v>
      </c>
      <c r="Y977" s="22">
        <f t="shared" si="1962"/>
        <v>0</v>
      </c>
      <c r="Z977" s="22">
        <f t="shared" si="1962"/>
        <v>0</v>
      </c>
      <c r="AA977" s="22">
        <f t="shared" si="1962"/>
        <v>0</v>
      </c>
      <c r="AB977" s="22">
        <f t="shared" si="1962"/>
        <v>0.2</v>
      </c>
      <c r="AC977" s="22">
        <f t="shared" si="1962"/>
        <v>0.3</v>
      </c>
      <c r="AD977" s="22">
        <f t="shared" si="1962"/>
        <v>0.2</v>
      </c>
      <c r="AE977" s="22">
        <f t="shared" si="1962"/>
        <v>1.28051E-2</v>
      </c>
      <c r="AF977" s="22">
        <f t="shared" si="1962"/>
        <v>9.1296500000000003E-2</v>
      </c>
      <c r="AG977" s="22">
        <f t="shared" si="1962"/>
        <v>0.1120633</v>
      </c>
      <c r="AH977" s="22">
        <f t="shared" si="1962"/>
        <v>1.3662843</v>
      </c>
      <c r="AI977" s="22">
        <f t="shared" si="1962"/>
        <v>0.170875</v>
      </c>
      <c r="AJ977" s="22">
        <f t="shared" si="1962"/>
        <v>0.35470770000000001</v>
      </c>
      <c r="AK977" s="22">
        <f t="shared" si="1962"/>
        <v>1.1572627</v>
      </c>
      <c r="AL977" s="22">
        <f t="shared" si="1962"/>
        <v>0.42362079999999996</v>
      </c>
      <c r="AM977" s="22">
        <f t="shared" si="1962"/>
        <v>5.0000000000000001E-4</v>
      </c>
      <c r="AN977" s="22">
        <f t="shared" si="1962"/>
        <v>0</v>
      </c>
      <c r="AO977" s="22">
        <f t="shared" si="1962"/>
        <v>0</v>
      </c>
      <c r="AP977" s="22">
        <f t="shared" si="1962"/>
        <v>0</v>
      </c>
      <c r="AQ977" s="22">
        <f t="shared" si="1962"/>
        <v>0</v>
      </c>
      <c r="AR977" s="22">
        <f t="shared" si="1962"/>
        <v>0</v>
      </c>
      <c r="AS977" s="22">
        <f t="shared" si="1962"/>
        <v>0</v>
      </c>
      <c r="AT977" s="22">
        <f t="shared" si="1962"/>
        <v>0</v>
      </c>
      <c r="AU977" s="22">
        <f t="shared" si="1962"/>
        <v>8.7999999999999995E-2</v>
      </c>
      <c r="AV977" s="22">
        <f t="shared" si="1962"/>
        <v>2E-3</v>
      </c>
      <c r="AW977" s="22">
        <f t="shared" si="1962"/>
        <v>0</v>
      </c>
      <c r="AX977" s="22">
        <f t="shared" si="1962"/>
        <v>0</v>
      </c>
      <c r="AY977" s="22">
        <f t="shared" si="1962"/>
        <v>0.73449090000000006</v>
      </c>
      <c r="AZ977" s="22">
        <f t="shared" si="1962"/>
        <v>56.557168699999998</v>
      </c>
      <c r="BA977" s="22">
        <f t="shared" si="1962"/>
        <v>4.645289</v>
      </c>
      <c r="BB977" s="22">
        <f t="shared" si="1962"/>
        <v>8.7881615000000011</v>
      </c>
      <c r="BC977" s="22">
        <f t="shared" si="1962"/>
        <v>5.5193316000000001</v>
      </c>
      <c r="BD977" s="22">
        <f t="shared" si="1962"/>
        <v>0.2600519</v>
      </c>
      <c r="BE977" s="22">
        <f t="shared" si="1962"/>
        <v>0</v>
      </c>
      <c r="BF977" s="22">
        <f t="shared" si="1962"/>
        <v>0</v>
      </c>
      <c r="BG977" s="22">
        <f t="shared" si="1962"/>
        <v>4.0000000000000001E-3</v>
      </c>
      <c r="BH977" s="22">
        <f t="shared" si="1962"/>
        <v>0.23</v>
      </c>
      <c r="BI977" s="22">
        <f t="shared" si="1962"/>
        <v>0.19400000000000001</v>
      </c>
      <c r="BJ977" s="22">
        <f t="shared" si="1962"/>
        <v>0.48335840000000002</v>
      </c>
      <c r="BK977" s="22">
        <f t="shared" si="1962"/>
        <v>0</v>
      </c>
      <c r="BL977" s="22">
        <f t="shared" si="1962"/>
        <v>0</v>
      </c>
      <c r="BM977" s="22">
        <f t="shared" si="1962"/>
        <v>1.4199048000000001</v>
      </c>
      <c r="BN977" s="22">
        <f t="shared" si="1962"/>
        <v>0</v>
      </c>
      <c r="BO977" s="22">
        <f t="shared" si="1962"/>
        <v>0</v>
      </c>
      <c r="BP977" s="22">
        <f t="shared" si="1962"/>
        <v>0</v>
      </c>
      <c r="BQ977" s="22">
        <f t="shared" ref="BQ977" si="1963">BQ978+BQ979+BQ980</f>
        <v>0</v>
      </c>
      <c r="BR977" s="101"/>
      <c r="BS977">
        <f t="shared" ref="BS977:CX977" si="1964">IF($C977&lt;&gt;"",IF(D977&gt;0,1,0),0)</f>
        <v>0</v>
      </c>
      <c r="BT977">
        <f t="shared" si="1964"/>
        <v>0</v>
      </c>
      <c r="BU977">
        <f t="shared" si="1964"/>
        <v>0</v>
      </c>
      <c r="BV977">
        <f t="shared" si="1964"/>
        <v>0</v>
      </c>
      <c r="BW977">
        <f t="shared" si="1964"/>
        <v>0</v>
      </c>
      <c r="BX977">
        <f t="shared" si="1964"/>
        <v>0</v>
      </c>
      <c r="BY977">
        <f t="shared" si="1964"/>
        <v>0</v>
      </c>
      <c r="BZ977">
        <f t="shared" si="1964"/>
        <v>0</v>
      </c>
      <c r="CA977">
        <f t="shared" si="1964"/>
        <v>0</v>
      </c>
      <c r="CB977">
        <f t="shared" si="1964"/>
        <v>0</v>
      </c>
      <c r="CC977">
        <f t="shared" si="1964"/>
        <v>0</v>
      </c>
      <c r="CD977">
        <f t="shared" si="1964"/>
        <v>0</v>
      </c>
      <c r="CE977">
        <f t="shared" si="1964"/>
        <v>0</v>
      </c>
      <c r="CF977">
        <f t="shared" si="1964"/>
        <v>0</v>
      </c>
      <c r="CG977">
        <f t="shared" si="1964"/>
        <v>0</v>
      </c>
      <c r="CH977">
        <f t="shared" si="1964"/>
        <v>0</v>
      </c>
      <c r="CI977">
        <f t="shared" si="1964"/>
        <v>0</v>
      </c>
      <c r="CJ977">
        <f t="shared" si="1964"/>
        <v>0</v>
      </c>
      <c r="CK977">
        <f t="shared" si="1964"/>
        <v>0</v>
      </c>
      <c r="CL977">
        <f t="shared" si="1964"/>
        <v>0</v>
      </c>
      <c r="CM977">
        <f t="shared" si="1964"/>
        <v>0</v>
      </c>
      <c r="CN977">
        <f t="shared" si="1964"/>
        <v>0</v>
      </c>
      <c r="CO977">
        <f t="shared" si="1964"/>
        <v>0</v>
      </c>
      <c r="CP977">
        <f t="shared" si="1964"/>
        <v>0</v>
      </c>
      <c r="CQ977">
        <f t="shared" si="1964"/>
        <v>1</v>
      </c>
      <c r="CR977">
        <f t="shared" si="1964"/>
        <v>1</v>
      </c>
      <c r="CS977">
        <f t="shared" si="1964"/>
        <v>1</v>
      </c>
      <c r="CT977">
        <f t="shared" si="1964"/>
        <v>1</v>
      </c>
      <c r="CU977">
        <f t="shared" si="1964"/>
        <v>1</v>
      </c>
      <c r="CV977">
        <f t="shared" si="1964"/>
        <v>1</v>
      </c>
      <c r="CW977">
        <f t="shared" si="1964"/>
        <v>1</v>
      </c>
      <c r="CX977">
        <f t="shared" si="1964"/>
        <v>1</v>
      </c>
      <c r="CY977">
        <f t="shared" ref="CY977:ED977" si="1965">IF($C977&lt;&gt;"",IF(AJ977&gt;0,1,0),0)</f>
        <v>1</v>
      </c>
      <c r="CZ977">
        <f t="shared" si="1965"/>
        <v>1</v>
      </c>
      <c r="DA977">
        <f t="shared" si="1965"/>
        <v>1</v>
      </c>
      <c r="DB977">
        <f t="shared" si="1965"/>
        <v>1</v>
      </c>
      <c r="DC977">
        <f t="shared" si="1965"/>
        <v>0</v>
      </c>
      <c r="DD977">
        <f t="shared" si="1965"/>
        <v>0</v>
      </c>
      <c r="DE977">
        <f t="shared" si="1965"/>
        <v>0</v>
      </c>
      <c r="DF977">
        <f t="shared" si="1965"/>
        <v>0</v>
      </c>
      <c r="DG977">
        <f t="shared" si="1965"/>
        <v>0</v>
      </c>
      <c r="DH977">
        <f t="shared" si="1965"/>
        <v>0</v>
      </c>
      <c r="DI977">
        <f t="shared" si="1965"/>
        <v>0</v>
      </c>
      <c r="DJ977">
        <f t="shared" si="1965"/>
        <v>1</v>
      </c>
      <c r="DK977">
        <f t="shared" si="1965"/>
        <v>1</v>
      </c>
      <c r="DL977">
        <f t="shared" si="1965"/>
        <v>0</v>
      </c>
      <c r="DM977">
        <f t="shared" si="1965"/>
        <v>0</v>
      </c>
      <c r="DN977">
        <f t="shared" si="1965"/>
        <v>1</v>
      </c>
      <c r="DO977">
        <f t="shared" si="1965"/>
        <v>1</v>
      </c>
      <c r="DP977">
        <f t="shared" si="1965"/>
        <v>1</v>
      </c>
      <c r="DQ977">
        <f t="shared" si="1965"/>
        <v>1</v>
      </c>
      <c r="DR977">
        <f t="shared" si="1965"/>
        <v>1</v>
      </c>
      <c r="DS977">
        <f t="shared" si="1965"/>
        <v>1</v>
      </c>
      <c r="DT977">
        <f t="shared" si="1965"/>
        <v>0</v>
      </c>
      <c r="DU977">
        <f t="shared" si="1965"/>
        <v>0</v>
      </c>
      <c r="DV977">
        <f t="shared" si="1965"/>
        <v>1</v>
      </c>
      <c r="DW977">
        <f t="shared" si="1965"/>
        <v>1</v>
      </c>
      <c r="DX977">
        <f t="shared" si="1965"/>
        <v>1</v>
      </c>
      <c r="DY977">
        <f t="shared" si="1965"/>
        <v>1</v>
      </c>
      <c r="DZ977">
        <f t="shared" si="1965"/>
        <v>0</v>
      </c>
      <c r="EA977">
        <f t="shared" si="1965"/>
        <v>0</v>
      </c>
      <c r="EB977">
        <f t="shared" si="1965"/>
        <v>1</v>
      </c>
      <c r="EC977">
        <f t="shared" si="1965"/>
        <v>0</v>
      </c>
      <c r="ED977">
        <f t="shared" si="1965"/>
        <v>0</v>
      </c>
      <c r="EE977">
        <f t="shared" ref="EE977:EF977" si="1966">IF($C977&lt;&gt;"",IF(BP977&gt;0,1,0),0)</f>
        <v>0</v>
      </c>
      <c r="EF977">
        <f t="shared" si="1966"/>
        <v>0</v>
      </c>
    </row>
    <row r="978" spans="1:136" ht="15.5">
      <c r="A978" s="90"/>
      <c r="B978" s="24" t="s">
        <v>15</v>
      </c>
      <c r="C978" s="94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18">
        <v>0</v>
      </c>
      <c r="X978" s="18">
        <v>0</v>
      </c>
      <c r="Y978" s="18">
        <v>0</v>
      </c>
      <c r="Z978" s="18">
        <v>0</v>
      </c>
      <c r="AA978" s="18">
        <v>0</v>
      </c>
      <c r="AB978" s="18">
        <v>0.2</v>
      </c>
      <c r="AC978" s="18">
        <v>0.3</v>
      </c>
      <c r="AD978" s="18">
        <v>0.2</v>
      </c>
      <c r="AE978" s="18">
        <v>0</v>
      </c>
      <c r="AF978" s="18">
        <v>0</v>
      </c>
      <c r="AG978" s="18">
        <v>0</v>
      </c>
      <c r="AH978" s="18">
        <v>0</v>
      </c>
      <c r="AI978" s="18">
        <v>0</v>
      </c>
      <c r="AJ978" s="18">
        <v>0</v>
      </c>
      <c r="AK978" s="18">
        <v>0</v>
      </c>
      <c r="AL978" s="18">
        <v>0</v>
      </c>
      <c r="AM978" s="18">
        <v>0</v>
      </c>
      <c r="AN978" s="18">
        <v>0</v>
      </c>
      <c r="AO978" s="18">
        <v>0</v>
      </c>
      <c r="AP978" s="18">
        <v>0</v>
      </c>
      <c r="AQ978" s="18">
        <v>0</v>
      </c>
      <c r="AR978" s="18">
        <v>0</v>
      </c>
      <c r="AS978" s="18">
        <v>0</v>
      </c>
      <c r="AT978" s="18">
        <v>0</v>
      </c>
      <c r="AU978" s="18">
        <v>0</v>
      </c>
      <c r="AV978" s="18">
        <v>0</v>
      </c>
      <c r="AW978" s="18">
        <v>0</v>
      </c>
      <c r="AX978" s="18">
        <v>0</v>
      </c>
      <c r="AY978" s="18">
        <v>0</v>
      </c>
      <c r="AZ978" s="18">
        <v>0</v>
      </c>
      <c r="BA978" s="18">
        <v>0</v>
      </c>
      <c r="BB978" s="18">
        <v>0</v>
      </c>
      <c r="BC978" s="18">
        <v>0</v>
      </c>
      <c r="BD978" s="18">
        <v>0</v>
      </c>
      <c r="BE978" s="18">
        <v>0</v>
      </c>
      <c r="BF978" s="18">
        <v>0</v>
      </c>
      <c r="BG978" s="18">
        <v>0</v>
      </c>
      <c r="BH978" s="18">
        <v>0</v>
      </c>
      <c r="BI978" s="18">
        <v>0</v>
      </c>
      <c r="BJ978" s="113">
        <v>0</v>
      </c>
      <c r="BK978" s="113">
        <v>0</v>
      </c>
      <c r="BL978" s="113">
        <v>0</v>
      </c>
      <c r="BM978" s="113">
        <v>0</v>
      </c>
      <c r="BN978" s="113">
        <v>0</v>
      </c>
      <c r="BO978" s="113">
        <v>0</v>
      </c>
      <c r="BP978" s="113">
        <v>0</v>
      </c>
      <c r="BQ978" s="113">
        <v>0</v>
      </c>
      <c r="BR978" s="101"/>
      <c r="BS978">
        <f t="shared" ref="BS978:CB981" si="1967">IF($C978&lt;&gt;"",IF(D978&gt;0,1,0),0)</f>
        <v>0</v>
      </c>
      <c r="BT978">
        <f t="shared" si="1967"/>
        <v>0</v>
      </c>
      <c r="BU978">
        <f t="shared" si="1967"/>
        <v>0</v>
      </c>
      <c r="BV978">
        <f t="shared" si="1967"/>
        <v>0</v>
      </c>
      <c r="BW978">
        <f t="shared" si="1967"/>
        <v>0</v>
      </c>
      <c r="BX978">
        <f t="shared" si="1967"/>
        <v>0</v>
      </c>
      <c r="BY978">
        <f t="shared" si="1967"/>
        <v>0</v>
      </c>
      <c r="BZ978">
        <f t="shared" si="1967"/>
        <v>0</v>
      </c>
      <c r="CA978">
        <f t="shared" si="1967"/>
        <v>0</v>
      </c>
      <c r="CB978">
        <f t="shared" si="1967"/>
        <v>0</v>
      </c>
      <c r="CC978">
        <f t="shared" ref="CC978:CL981" si="1968">IF($C978&lt;&gt;"",IF(N978&gt;0,1,0),0)</f>
        <v>0</v>
      </c>
      <c r="CD978">
        <f t="shared" si="1968"/>
        <v>0</v>
      </c>
      <c r="CE978">
        <f t="shared" si="1968"/>
        <v>0</v>
      </c>
      <c r="CF978">
        <f t="shared" si="1968"/>
        <v>0</v>
      </c>
      <c r="CG978">
        <f t="shared" si="1968"/>
        <v>0</v>
      </c>
      <c r="CH978">
        <f t="shared" si="1968"/>
        <v>0</v>
      </c>
      <c r="CI978">
        <f t="shared" si="1968"/>
        <v>0</v>
      </c>
      <c r="CJ978">
        <f t="shared" si="1968"/>
        <v>0</v>
      </c>
      <c r="CK978">
        <f t="shared" si="1968"/>
        <v>0</v>
      </c>
      <c r="CL978">
        <f t="shared" si="1968"/>
        <v>0</v>
      </c>
      <c r="CM978">
        <f t="shared" ref="CM978:CV981" si="1969">IF($C978&lt;&gt;"",IF(X978&gt;0,1,0),0)</f>
        <v>0</v>
      </c>
      <c r="CN978">
        <f t="shared" si="1969"/>
        <v>0</v>
      </c>
      <c r="CO978">
        <f t="shared" si="1969"/>
        <v>0</v>
      </c>
      <c r="CP978">
        <f t="shared" si="1969"/>
        <v>0</v>
      </c>
      <c r="CQ978">
        <f t="shared" si="1969"/>
        <v>0</v>
      </c>
      <c r="CR978">
        <f t="shared" si="1969"/>
        <v>0</v>
      </c>
      <c r="CS978">
        <f t="shared" si="1969"/>
        <v>0</v>
      </c>
      <c r="CT978">
        <f t="shared" si="1969"/>
        <v>0</v>
      </c>
      <c r="CU978">
        <f t="shared" si="1969"/>
        <v>0</v>
      </c>
      <c r="CV978">
        <f t="shared" si="1969"/>
        <v>0</v>
      </c>
      <c r="CW978">
        <f t="shared" ref="CW978:DF981" si="1970">IF($C978&lt;&gt;"",IF(AH978&gt;0,1,0),0)</f>
        <v>0</v>
      </c>
      <c r="CX978">
        <f t="shared" si="1970"/>
        <v>0</v>
      </c>
      <c r="CY978">
        <f t="shared" si="1970"/>
        <v>0</v>
      </c>
      <c r="CZ978">
        <f t="shared" si="1970"/>
        <v>0</v>
      </c>
      <c r="DA978">
        <f t="shared" si="1970"/>
        <v>0</v>
      </c>
      <c r="DB978">
        <f t="shared" si="1970"/>
        <v>0</v>
      </c>
      <c r="DC978">
        <f t="shared" si="1970"/>
        <v>0</v>
      </c>
      <c r="DD978">
        <f t="shared" si="1970"/>
        <v>0</v>
      </c>
      <c r="DE978">
        <f t="shared" si="1970"/>
        <v>0</v>
      </c>
      <c r="DF978">
        <f t="shared" si="1970"/>
        <v>0</v>
      </c>
      <c r="DG978">
        <f t="shared" ref="DG978:DP981" si="1971">IF($C978&lt;&gt;"",IF(AR978&gt;0,1,0),0)</f>
        <v>0</v>
      </c>
      <c r="DH978">
        <f t="shared" si="1971"/>
        <v>0</v>
      </c>
      <c r="DI978">
        <f t="shared" si="1971"/>
        <v>0</v>
      </c>
      <c r="DJ978">
        <f t="shared" si="1971"/>
        <v>0</v>
      </c>
      <c r="DK978">
        <f t="shared" si="1971"/>
        <v>0</v>
      </c>
      <c r="DL978">
        <f t="shared" si="1971"/>
        <v>0</v>
      </c>
      <c r="DM978">
        <f t="shared" si="1971"/>
        <v>0</v>
      </c>
      <c r="DN978">
        <f t="shared" si="1971"/>
        <v>0</v>
      </c>
      <c r="DO978">
        <f t="shared" si="1971"/>
        <v>0</v>
      </c>
      <c r="DP978">
        <f t="shared" si="1971"/>
        <v>0</v>
      </c>
      <c r="DQ978">
        <f t="shared" ref="DQ978:DZ981" si="1972">IF($C978&lt;&gt;"",IF(BB978&gt;0,1,0),0)</f>
        <v>0</v>
      </c>
      <c r="DR978">
        <f t="shared" si="1972"/>
        <v>0</v>
      </c>
      <c r="DS978">
        <f t="shared" si="1972"/>
        <v>0</v>
      </c>
      <c r="DT978">
        <f t="shared" si="1972"/>
        <v>0</v>
      </c>
      <c r="DU978">
        <f t="shared" si="1972"/>
        <v>0</v>
      </c>
      <c r="DV978">
        <f t="shared" si="1972"/>
        <v>0</v>
      </c>
      <c r="DW978">
        <f t="shared" si="1972"/>
        <v>0</v>
      </c>
      <c r="DX978">
        <f t="shared" si="1972"/>
        <v>0</v>
      </c>
      <c r="DY978">
        <f t="shared" si="1972"/>
        <v>0</v>
      </c>
      <c r="DZ978">
        <f t="shared" si="1972"/>
        <v>0</v>
      </c>
      <c r="EA978">
        <f t="shared" ref="EA978:EF980" si="1973">IF($C978&lt;&gt;"",IF(BL977&gt;0,1,0),0)</f>
        <v>0</v>
      </c>
      <c r="EB978">
        <f t="shared" si="1973"/>
        <v>0</v>
      </c>
      <c r="EC978">
        <f t="shared" si="1973"/>
        <v>0</v>
      </c>
      <c r="ED978">
        <f t="shared" si="1973"/>
        <v>0</v>
      </c>
      <c r="EE978">
        <f t="shared" si="1973"/>
        <v>0</v>
      </c>
      <c r="EF978">
        <f t="shared" si="1973"/>
        <v>0</v>
      </c>
    </row>
    <row r="979" spans="1:136" ht="15.5">
      <c r="A979" s="90"/>
      <c r="B979" s="57" t="s">
        <v>3</v>
      </c>
      <c r="C979" s="9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>
        <v>0</v>
      </c>
      <c r="X979" s="34">
        <v>0</v>
      </c>
      <c r="Y979" s="34">
        <v>0</v>
      </c>
      <c r="Z979" s="34">
        <v>0</v>
      </c>
      <c r="AA979" s="34">
        <v>0</v>
      </c>
      <c r="AB979" s="34">
        <v>0</v>
      </c>
      <c r="AC979" s="34">
        <v>0</v>
      </c>
      <c r="AD979" s="34">
        <v>0</v>
      </c>
      <c r="AE979" s="34">
        <v>8.5292000000000007E-3</v>
      </c>
      <c r="AF979" s="34">
        <v>8.2744800000000007E-2</v>
      </c>
      <c r="AG979" s="34">
        <v>0.1120633</v>
      </c>
      <c r="AH979" s="34">
        <v>1.3642993999999999</v>
      </c>
      <c r="AI979" s="34">
        <v>0.170875</v>
      </c>
      <c r="AJ979" s="34">
        <v>0.35470770000000001</v>
      </c>
      <c r="AK979" s="34">
        <v>1.1572627</v>
      </c>
      <c r="AL979" s="34">
        <v>0.42362079999999996</v>
      </c>
      <c r="AM979" s="34">
        <v>5.0000000000000001E-4</v>
      </c>
      <c r="AN979" s="34">
        <v>0</v>
      </c>
      <c r="AO979" s="34">
        <v>0</v>
      </c>
      <c r="AP979" s="34">
        <v>0</v>
      </c>
      <c r="AQ979" s="34">
        <v>0</v>
      </c>
      <c r="AR979" s="34">
        <v>0</v>
      </c>
      <c r="AS979" s="34">
        <v>0</v>
      </c>
      <c r="AT979" s="34">
        <v>0</v>
      </c>
      <c r="AU979" s="34">
        <v>0</v>
      </c>
      <c r="AV979" s="34">
        <v>2E-3</v>
      </c>
      <c r="AW979" s="34">
        <v>0</v>
      </c>
      <c r="AX979" s="34">
        <v>0</v>
      </c>
      <c r="AY979" s="34">
        <v>0.73004650000000004</v>
      </c>
      <c r="AZ979" s="34">
        <v>55.795372399999998</v>
      </c>
      <c r="BA979" s="34">
        <v>3.1582147999999997</v>
      </c>
      <c r="BB979" s="34">
        <v>4.8118220000000003</v>
      </c>
      <c r="BC979" s="34">
        <v>3.8278117000000003</v>
      </c>
      <c r="BD979" s="34">
        <v>0.2600519</v>
      </c>
      <c r="BE979" s="74">
        <v>0</v>
      </c>
      <c r="BF979" s="18">
        <v>0</v>
      </c>
      <c r="BG979" s="18">
        <v>4.0000000000000001E-3</v>
      </c>
      <c r="BH979" s="18">
        <v>0.23</v>
      </c>
      <c r="BI979" s="18">
        <v>0.19400000000000001</v>
      </c>
      <c r="BJ979" s="18">
        <v>0.48335840000000002</v>
      </c>
      <c r="BK979" s="18">
        <v>0</v>
      </c>
      <c r="BL979" s="113">
        <v>0</v>
      </c>
      <c r="BM979" s="113">
        <v>1.4199048000000001</v>
      </c>
      <c r="BN979" s="113">
        <v>0</v>
      </c>
      <c r="BO979" s="113">
        <v>0</v>
      </c>
      <c r="BP979" s="113">
        <v>0</v>
      </c>
      <c r="BQ979" s="113">
        <v>0</v>
      </c>
      <c r="BR979" s="101"/>
      <c r="BS979">
        <f t="shared" si="1967"/>
        <v>0</v>
      </c>
      <c r="BT979">
        <f t="shared" si="1967"/>
        <v>0</v>
      </c>
      <c r="BU979">
        <f t="shared" si="1967"/>
        <v>0</v>
      </c>
      <c r="BV979">
        <f t="shared" si="1967"/>
        <v>0</v>
      </c>
      <c r="BW979">
        <f t="shared" si="1967"/>
        <v>0</v>
      </c>
      <c r="BX979">
        <f t="shared" si="1967"/>
        <v>0</v>
      </c>
      <c r="BY979">
        <f t="shared" si="1967"/>
        <v>0</v>
      </c>
      <c r="BZ979">
        <f t="shared" si="1967"/>
        <v>0</v>
      </c>
      <c r="CA979">
        <f t="shared" si="1967"/>
        <v>0</v>
      </c>
      <c r="CB979">
        <f t="shared" si="1967"/>
        <v>0</v>
      </c>
      <c r="CC979">
        <f t="shared" si="1968"/>
        <v>0</v>
      </c>
      <c r="CD979">
        <f t="shared" si="1968"/>
        <v>0</v>
      </c>
      <c r="CE979">
        <f t="shared" si="1968"/>
        <v>0</v>
      </c>
      <c r="CF979">
        <f t="shared" si="1968"/>
        <v>0</v>
      </c>
      <c r="CG979">
        <f t="shared" si="1968"/>
        <v>0</v>
      </c>
      <c r="CH979">
        <f t="shared" si="1968"/>
        <v>0</v>
      </c>
      <c r="CI979">
        <f t="shared" si="1968"/>
        <v>0</v>
      </c>
      <c r="CJ979">
        <f t="shared" si="1968"/>
        <v>0</v>
      </c>
      <c r="CK979">
        <f t="shared" si="1968"/>
        <v>0</v>
      </c>
      <c r="CL979">
        <f t="shared" si="1968"/>
        <v>0</v>
      </c>
      <c r="CM979">
        <f t="shared" si="1969"/>
        <v>0</v>
      </c>
      <c r="CN979">
        <f t="shared" si="1969"/>
        <v>0</v>
      </c>
      <c r="CO979">
        <f t="shared" si="1969"/>
        <v>0</v>
      </c>
      <c r="CP979">
        <f t="shared" si="1969"/>
        <v>0</v>
      </c>
      <c r="CQ979">
        <f t="shared" si="1969"/>
        <v>0</v>
      </c>
      <c r="CR979">
        <f t="shared" si="1969"/>
        <v>0</v>
      </c>
      <c r="CS979">
        <f t="shared" si="1969"/>
        <v>0</v>
      </c>
      <c r="CT979">
        <f t="shared" si="1969"/>
        <v>0</v>
      </c>
      <c r="CU979">
        <f t="shared" si="1969"/>
        <v>0</v>
      </c>
      <c r="CV979">
        <f t="shared" si="1969"/>
        <v>0</v>
      </c>
      <c r="CW979">
        <f t="shared" si="1970"/>
        <v>0</v>
      </c>
      <c r="CX979">
        <f t="shared" si="1970"/>
        <v>0</v>
      </c>
      <c r="CY979">
        <f t="shared" si="1970"/>
        <v>0</v>
      </c>
      <c r="CZ979">
        <f t="shared" si="1970"/>
        <v>0</v>
      </c>
      <c r="DA979">
        <f t="shared" si="1970"/>
        <v>0</v>
      </c>
      <c r="DB979">
        <f t="shared" si="1970"/>
        <v>0</v>
      </c>
      <c r="DC979">
        <f t="shared" si="1970"/>
        <v>0</v>
      </c>
      <c r="DD979">
        <f t="shared" si="1970"/>
        <v>0</v>
      </c>
      <c r="DE979">
        <f t="shared" si="1970"/>
        <v>0</v>
      </c>
      <c r="DF979">
        <f t="shared" si="1970"/>
        <v>0</v>
      </c>
      <c r="DG979">
        <f t="shared" si="1971"/>
        <v>0</v>
      </c>
      <c r="DH979">
        <f t="shared" si="1971"/>
        <v>0</v>
      </c>
      <c r="DI979">
        <f t="shared" si="1971"/>
        <v>0</v>
      </c>
      <c r="DJ979">
        <f t="shared" si="1971"/>
        <v>0</v>
      </c>
      <c r="DK979">
        <f t="shared" si="1971"/>
        <v>0</v>
      </c>
      <c r="DL979">
        <f t="shared" si="1971"/>
        <v>0</v>
      </c>
      <c r="DM979">
        <f t="shared" si="1971"/>
        <v>0</v>
      </c>
      <c r="DN979">
        <f t="shared" si="1971"/>
        <v>0</v>
      </c>
      <c r="DO979">
        <f t="shared" si="1971"/>
        <v>0</v>
      </c>
      <c r="DP979">
        <f t="shared" si="1971"/>
        <v>0</v>
      </c>
      <c r="DQ979">
        <f t="shared" si="1972"/>
        <v>0</v>
      </c>
      <c r="DR979">
        <f t="shared" si="1972"/>
        <v>0</v>
      </c>
      <c r="DS979">
        <f t="shared" si="1972"/>
        <v>0</v>
      </c>
      <c r="DT979">
        <f t="shared" si="1972"/>
        <v>0</v>
      </c>
      <c r="DU979">
        <f t="shared" si="1972"/>
        <v>0</v>
      </c>
      <c r="DV979">
        <f t="shared" si="1972"/>
        <v>0</v>
      </c>
      <c r="DW979">
        <f t="shared" si="1972"/>
        <v>0</v>
      </c>
      <c r="DX979">
        <f t="shared" si="1972"/>
        <v>0</v>
      </c>
      <c r="DY979">
        <f t="shared" si="1972"/>
        <v>0</v>
      </c>
      <c r="DZ979">
        <f t="shared" si="1972"/>
        <v>0</v>
      </c>
      <c r="EA979">
        <f t="shared" si="1973"/>
        <v>0</v>
      </c>
      <c r="EB979">
        <f t="shared" si="1973"/>
        <v>0</v>
      </c>
      <c r="EC979">
        <f t="shared" si="1973"/>
        <v>0</v>
      </c>
      <c r="ED979">
        <f t="shared" si="1973"/>
        <v>0</v>
      </c>
      <c r="EE979">
        <f t="shared" si="1973"/>
        <v>0</v>
      </c>
      <c r="EF979">
        <f t="shared" si="1973"/>
        <v>0</v>
      </c>
    </row>
    <row r="980" spans="1:136" ht="15.5">
      <c r="A980" s="90"/>
      <c r="B980" s="57" t="s">
        <v>208</v>
      </c>
      <c r="C980" s="9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>
        <v>0</v>
      </c>
      <c r="X980" s="34">
        <v>0</v>
      </c>
      <c r="Y980" s="34">
        <v>0</v>
      </c>
      <c r="Z980" s="34">
        <v>0</v>
      </c>
      <c r="AA980" s="34">
        <v>0</v>
      </c>
      <c r="AB980" s="34">
        <v>0</v>
      </c>
      <c r="AC980" s="34">
        <v>0</v>
      </c>
      <c r="AD980" s="34">
        <v>0</v>
      </c>
      <c r="AE980" s="34">
        <v>4.2759E-3</v>
      </c>
      <c r="AF980" s="34">
        <v>8.5517000000000006E-3</v>
      </c>
      <c r="AG980" s="34">
        <v>0</v>
      </c>
      <c r="AH980" s="34">
        <v>1.9848999999999999E-3</v>
      </c>
      <c r="AI980" s="34">
        <v>0</v>
      </c>
      <c r="AJ980" s="34">
        <v>0</v>
      </c>
      <c r="AK980" s="34">
        <v>0</v>
      </c>
      <c r="AL980" s="34">
        <v>0</v>
      </c>
      <c r="AM980" s="34">
        <v>0</v>
      </c>
      <c r="AN980" s="34">
        <v>0</v>
      </c>
      <c r="AO980" s="34">
        <v>0</v>
      </c>
      <c r="AP980" s="34">
        <v>0</v>
      </c>
      <c r="AQ980" s="34">
        <v>0</v>
      </c>
      <c r="AR980" s="34">
        <v>0</v>
      </c>
      <c r="AS980" s="34">
        <v>0</v>
      </c>
      <c r="AT980" s="34">
        <v>0</v>
      </c>
      <c r="AU980" s="34">
        <v>8.7999999999999995E-2</v>
      </c>
      <c r="AV980" s="34">
        <v>0</v>
      </c>
      <c r="AW980" s="34">
        <v>0</v>
      </c>
      <c r="AX980" s="34">
        <v>0</v>
      </c>
      <c r="AY980" s="34">
        <v>4.4443999999999994E-3</v>
      </c>
      <c r="AZ980" s="34">
        <v>0.76179630000000009</v>
      </c>
      <c r="BA980" s="34">
        <v>1.4870741999999999</v>
      </c>
      <c r="BB980" s="34">
        <v>3.9763394999999999</v>
      </c>
      <c r="BC980" s="34">
        <v>1.6915198999999999</v>
      </c>
      <c r="BD980" s="34">
        <v>0</v>
      </c>
      <c r="BE980" s="42">
        <v>0</v>
      </c>
      <c r="BF980" s="18">
        <v>0</v>
      </c>
      <c r="BG980" s="34">
        <v>0</v>
      </c>
      <c r="BH980" s="34">
        <v>0</v>
      </c>
      <c r="BI980" s="34">
        <v>0</v>
      </c>
      <c r="BJ980" s="113">
        <v>0</v>
      </c>
      <c r="BK980" s="113">
        <v>0</v>
      </c>
      <c r="BL980" s="113">
        <v>0</v>
      </c>
      <c r="BM980" s="113">
        <v>0</v>
      </c>
      <c r="BN980" s="113">
        <v>0</v>
      </c>
      <c r="BO980" s="113">
        <v>0</v>
      </c>
      <c r="BP980" s="113">
        <v>0</v>
      </c>
      <c r="BQ980" s="113">
        <v>0</v>
      </c>
      <c r="BR980" s="101"/>
      <c r="BS980">
        <f t="shared" si="1967"/>
        <v>0</v>
      </c>
      <c r="BT980">
        <f t="shared" si="1967"/>
        <v>0</v>
      </c>
      <c r="BU980">
        <f t="shared" si="1967"/>
        <v>0</v>
      </c>
      <c r="BV980">
        <f t="shared" si="1967"/>
        <v>0</v>
      </c>
      <c r="BW980">
        <f t="shared" si="1967"/>
        <v>0</v>
      </c>
      <c r="BX980">
        <f t="shared" si="1967"/>
        <v>0</v>
      </c>
      <c r="BY980">
        <f t="shared" si="1967"/>
        <v>0</v>
      </c>
      <c r="BZ980">
        <f t="shared" si="1967"/>
        <v>0</v>
      </c>
      <c r="CA980">
        <f t="shared" si="1967"/>
        <v>0</v>
      </c>
      <c r="CB980">
        <f t="shared" si="1967"/>
        <v>0</v>
      </c>
      <c r="CC980">
        <f t="shared" si="1968"/>
        <v>0</v>
      </c>
      <c r="CD980">
        <f t="shared" si="1968"/>
        <v>0</v>
      </c>
      <c r="CE980">
        <f t="shared" si="1968"/>
        <v>0</v>
      </c>
      <c r="CF980">
        <f t="shared" si="1968"/>
        <v>0</v>
      </c>
      <c r="CG980">
        <f t="shared" si="1968"/>
        <v>0</v>
      </c>
      <c r="CH980">
        <f t="shared" si="1968"/>
        <v>0</v>
      </c>
      <c r="CI980">
        <f t="shared" si="1968"/>
        <v>0</v>
      </c>
      <c r="CJ980">
        <f t="shared" si="1968"/>
        <v>0</v>
      </c>
      <c r="CK980">
        <f t="shared" si="1968"/>
        <v>0</v>
      </c>
      <c r="CL980">
        <f t="shared" si="1968"/>
        <v>0</v>
      </c>
      <c r="CM980">
        <f t="shared" si="1969"/>
        <v>0</v>
      </c>
      <c r="CN980">
        <f t="shared" si="1969"/>
        <v>0</v>
      </c>
      <c r="CO980">
        <f t="shared" si="1969"/>
        <v>0</v>
      </c>
      <c r="CP980">
        <f t="shared" si="1969"/>
        <v>0</v>
      </c>
      <c r="CQ980">
        <f t="shared" si="1969"/>
        <v>0</v>
      </c>
      <c r="CR980">
        <f t="shared" si="1969"/>
        <v>0</v>
      </c>
      <c r="CS980">
        <f t="shared" si="1969"/>
        <v>0</v>
      </c>
      <c r="CT980">
        <f t="shared" si="1969"/>
        <v>0</v>
      </c>
      <c r="CU980">
        <f t="shared" si="1969"/>
        <v>0</v>
      </c>
      <c r="CV980">
        <f t="shared" si="1969"/>
        <v>0</v>
      </c>
      <c r="CW980">
        <f t="shared" si="1970"/>
        <v>0</v>
      </c>
      <c r="CX980">
        <f t="shared" si="1970"/>
        <v>0</v>
      </c>
      <c r="CY980">
        <f t="shared" si="1970"/>
        <v>0</v>
      </c>
      <c r="CZ980">
        <f t="shared" si="1970"/>
        <v>0</v>
      </c>
      <c r="DA980">
        <f t="shared" si="1970"/>
        <v>0</v>
      </c>
      <c r="DB980">
        <f t="shared" si="1970"/>
        <v>0</v>
      </c>
      <c r="DC980">
        <f t="shared" si="1970"/>
        <v>0</v>
      </c>
      <c r="DD980">
        <f t="shared" si="1970"/>
        <v>0</v>
      </c>
      <c r="DE980">
        <f t="shared" si="1970"/>
        <v>0</v>
      </c>
      <c r="DF980">
        <f t="shared" si="1970"/>
        <v>0</v>
      </c>
      <c r="DG980">
        <f t="shared" si="1971"/>
        <v>0</v>
      </c>
      <c r="DH980">
        <f t="shared" si="1971"/>
        <v>0</v>
      </c>
      <c r="DI980">
        <f t="shared" si="1971"/>
        <v>0</v>
      </c>
      <c r="DJ980">
        <f t="shared" si="1971"/>
        <v>0</v>
      </c>
      <c r="DK980">
        <f t="shared" si="1971"/>
        <v>0</v>
      </c>
      <c r="DL980">
        <f t="shared" si="1971"/>
        <v>0</v>
      </c>
      <c r="DM980">
        <f t="shared" si="1971"/>
        <v>0</v>
      </c>
      <c r="DN980">
        <f t="shared" si="1971"/>
        <v>0</v>
      </c>
      <c r="DO980">
        <f t="shared" si="1971"/>
        <v>0</v>
      </c>
      <c r="DP980">
        <f t="shared" si="1971"/>
        <v>0</v>
      </c>
      <c r="DQ980">
        <f t="shared" si="1972"/>
        <v>0</v>
      </c>
      <c r="DR980">
        <f t="shared" si="1972"/>
        <v>0</v>
      </c>
      <c r="DS980">
        <f t="shared" si="1972"/>
        <v>0</v>
      </c>
      <c r="DT980">
        <f t="shared" si="1972"/>
        <v>0</v>
      </c>
      <c r="DU980">
        <f t="shared" si="1972"/>
        <v>0</v>
      </c>
      <c r="DV980">
        <f t="shared" si="1972"/>
        <v>0</v>
      </c>
      <c r="DW980">
        <f t="shared" si="1972"/>
        <v>0</v>
      </c>
      <c r="DX980">
        <f t="shared" si="1972"/>
        <v>0</v>
      </c>
      <c r="DY980">
        <f t="shared" si="1972"/>
        <v>0</v>
      </c>
      <c r="DZ980">
        <f t="shared" si="1972"/>
        <v>0</v>
      </c>
      <c r="EA980">
        <f t="shared" si="1973"/>
        <v>0</v>
      </c>
      <c r="EB980">
        <f t="shared" si="1973"/>
        <v>0</v>
      </c>
      <c r="EC980">
        <f t="shared" si="1973"/>
        <v>0</v>
      </c>
      <c r="ED980">
        <f t="shared" si="1973"/>
        <v>0</v>
      </c>
      <c r="EE980">
        <f t="shared" si="1973"/>
        <v>0</v>
      </c>
      <c r="EF980">
        <f t="shared" si="1973"/>
        <v>0</v>
      </c>
    </row>
    <row r="981" spans="1:136" ht="15.5">
      <c r="A981" s="90"/>
      <c r="B981" s="57" t="s">
        <v>212</v>
      </c>
      <c r="C981" s="9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  <c r="AH981" s="34">
        <v>0</v>
      </c>
      <c r="AI981" s="34">
        <v>0</v>
      </c>
      <c r="AJ981" s="34">
        <v>0</v>
      </c>
      <c r="AK981" s="34">
        <v>0</v>
      </c>
      <c r="AL981" s="34">
        <v>0</v>
      </c>
      <c r="AM981" s="34">
        <v>0</v>
      </c>
      <c r="AN981" s="34">
        <v>0</v>
      </c>
      <c r="AO981" s="34">
        <v>0</v>
      </c>
      <c r="AP981" s="34">
        <v>0</v>
      </c>
      <c r="AQ981" s="34">
        <v>0</v>
      </c>
      <c r="AR981" s="34">
        <v>0</v>
      </c>
      <c r="AS981" s="34">
        <v>0</v>
      </c>
      <c r="AT981" s="34">
        <v>0</v>
      </c>
      <c r="AU981" s="34">
        <v>0</v>
      </c>
      <c r="AV981" s="34">
        <v>0</v>
      </c>
      <c r="AW981" s="34">
        <v>0</v>
      </c>
      <c r="AX981" s="34">
        <v>0</v>
      </c>
      <c r="AY981" s="34">
        <v>0</v>
      </c>
      <c r="AZ981" s="34">
        <v>0</v>
      </c>
      <c r="BA981" s="34">
        <v>0</v>
      </c>
      <c r="BB981" s="34">
        <v>0</v>
      </c>
      <c r="BC981" s="34">
        <v>0</v>
      </c>
      <c r="BD981" s="34">
        <v>0</v>
      </c>
      <c r="BE981" s="42">
        <v>0</v>
      </c>
      <c r="BF981" s="18">
        <v>0</v>
      </c>
      <c r="BG981" s="34">
        <v>0</v>
      </c>
      <c r="BH981" s="34">
        <v>0</v>
      </c>
      <c r="BI981" s="34">
        <v>0</v>
      </c>
      <c r="BJ981" s="113">
        <v>0</v>
      </c>
      <c r="BK981" s="113">
        <v>0</v>
      </c>
      <c r="BL981" s="113">
        <v>0</v>
      </c>
      <c r="BM981" s="113">
        <f>196.34/2.7</f>
        <v>72.718518518518522</v>
      </c>
      <c r="BN981" s="113">
        <f>BM981*0.8</f>
        <v>58.174814814814823</v>
      </c>
      <c r="BO981" s="113">
        <f>BN981*0.8</f>
        <v>46.539851851851864</v>
      </c>
      <c r="BP981" s="113">
        <v>0</v>
      </c>
      <c r="BQ981" s="113">
        <v>0</v>
      </c>
      <c r="BR981" s="101"/>
      <c r="BS981">
        <f t="shared" si="1967"/>
        <v>0</v>
      </c>
      <c r="BT981">
        <f t="shared" si="1967"/>
        <v>0</v>
      </c>
      <c r="BU981">
        <f t="shared" si="1967"/>
        <v>0</v>
      </c>
      <c r="BV981">
        <f t="shared" si="1967"/>
        <v>0</v>
      </c>
      <c r="BW981">
        <f t="shared" si="1967"/>
        <v>0</v>
      </c>
      <c r="BX981">
        <f t="shared" si="1967"/>
        <v>0</v>
      </c>
      <c r="BY981">
        <f t="shared" si="1967"/>
        <v>0</v>
      </c>
      <c r="BZ981">
        <f t="shared" si="1967"/>
        <v>0</v>
      </c>
      <c r="CA981">
        <f t="shared" si="1967"/>
        <v>0</v>
      </c>
      <c r="CB981">
        <f t="shared" si="1967"/>
        <v>0</v>
      </c>
      <c r="CC981">
        <f t="shared" si="1968"/>
        <v>0</v>
      </c>
      <c r="CD981">
        <f t="shared" si="1968"/>
        <v>0</v>
      </c>
      <c r="CE981">
        <f t="shared" si="1968"/>
        <v>0</v>
      </c>
      <c r="CF981">
        <f t="shared" si="1968"/>
        <v>0</v>
      </c>
      <c r="CG981">
        <f t="shared" si="1968"/>
        <v>0</v>
      </c>
      <c r="CH981">
        <f t="shared" si="1968"/>
        <v>0</v>
      </c>
      <c r="CI981">
        <f t="shared" si="1968"/>
        <v>0</v>
      </c>
      <c r="CJ981">
        <f t="shared" si="1968"/>
        <v>0</v>
      </c>
      <c r="CK981">
        <f t="shared" si="1968"/>
        <v>0</v>
      </c>
      <c r="CL981">
        <f t="shared" si="1968"/>
        <v>0</v>
      </c>
      <c r="CM981">
        <f t="shared" si="1969"/>
        <v>0</v>
      </c>
      <c r="CN981">
        <f t="shared" si="1969"/>
        <v>0</v>
      </c>
      <c r="CO981">
        <f t="shared" si="1969"/>
        <v>0</v>
      </c>
      <c r="CP981">
        <f t="shared" si="1969"/>
        <v>0</v>
      </c>
      <c r="CQ981">
        <f t="shared" si="1969"/>
        <v>0</v>
      </c>
      <c r="CR981">
        <f t="shared" si="1969"/>
        <v>0</v>
      </c>
      <c r="CS981">
        <f t="shared" si="1969"/>
        <v>0</v>
      </c>
      <c r="CT981">
        <f t="shared" si="1969"/>
        <v>0</v>
      </c>
      <c r="CU981">
        <f t="shared" si="1969"/>
        <v>0</v>
      </c>
      <c r="CV981">
        <f t="shared" si="1969"/>
        <v>0</v>
      </c>
      <c r="CW981">
        <f t="shared" si="1970"/>
        <v>0</v>
      </c>
      <c r="CX981">
        <f t="shared" si="1970"/>
        <v>0</v>
      </c>
      <c r="CY981">
        <f t="shared" si="1970"/>
        <v>0</v>
      </c>
      <c r="CZ981">
        <f t="shared" si="1970"/>
        <v>0</v>
      </c>
      <c r="DA981">
        <f t="shared" si="1970"/>
        <v>0</v>
      </c>
      <c r="DB981">
        <f t="shared" si="1970"/>
        <v>0</v>
      </c>
      <c r="DC981">
        <f t="shared" si="1970"/>
        <v>0</v>
      </c>
      <c r="DD981">
        <f t="shared" si="1970"/>
        <v>0</v>
      </c>
      <c r="DE981">
        <f t="shared" si="1970"/>
        <v>0</v>
      </c>
      <c r="DF981">
        <f t="shared" si="1970"/>
        <v>0</v>
      </c>
      <c r="DG981">
        <f t="shared" si="1971"/>
        <v>0</v>
      </c>
      <c r="DH981">
        <f t="shared" si="1971"/>
        <v>0</v>
      </c>
      <c r="DI981">
        <f t="shared" si="1971"/>
        <v>0</v>
      </c>
      <c r="DJ981">
        <f t="shared" si="1971"/>
        <v>0</v>
      </c>
      <c r="DK981">
        <f t="shared" si="1971"/>
        <v>0</v>
      </c>
      <c r="DL981">
        <f t="shared" si="1971"/>
        <v>0</v>
      </c>
      <c r="DM981">
        <f t="shared" si="1971"/>
        <v>0</v>
      </c>
      <c r="DN981">
        <f t="shared" si="1971"/>
        <v>0</v>
      </c>
      <c r="DO981">
        <f t="shared" si="1971"/>
        <v>0</v>
      </c>
      <c r="DP981">
        <f t="shared" si="1971"/>
        <v>0</v>
      </c>
      <c r="DQ981">
        <f t="shared" si="1972"/>
        <v>0</v>
      </c>
      <c r="DR981">
        <f t="shared" si="1972"/>
        <v>0</v>
      </c>
      <c r="DS981">
        <f t="shared" si="1972"/>
        <v>0</v>
      </c>
      <c r="DT981">
        <f t="shared" si="1972"/>
        <v>0</v>
      </c>
      <c r="DU981">
        <f t="shared" si="1972"/>
        <v>0</v>
      </c>
      <c r="DV981">
        <f t="shared" si="1972"/>
        <v>0</v>
      </c>
      <c r="DW981">
        <f t="shared" si="1972"/>
        <v>0</v>
      </c>
      <c r="DX981">
        <f t="shared" si="1972"/>
        <v>0</v>
      </c>
      <c r="DY981">
        <f t="shared" si="1972"/>
        <v>0</v>
      </c>
      <c r="DZ981">
        <f t="shared" si="1972"/>
        <v>0</v>
      </c>
      <c r="EA981">
        <f t="shared" ref="EA981:EF981" si="1974">IF($C981&lt;&gt;"",IF(BL981&gt;0,1,0),0)</f>
        <v>0</v>
      </c>
      <c r="EB981">
        <f t="shared" si="1974"/>
        <v>0</v>
      </c>
      <c r="EC981">
        <f t="shared" si="1974"/>
        <v>0</v>
      </c>
      <c r="ED981">
        <f t="shared" si="1974"/>
        <v>0</v>
      </c>
      <c r="EE981">
        <f t="shared" si="1974"/>
        <v>0</v>
      </c>
      <c r="EF981">
        <f t="shared" si="1974"/>
        <v>0</v>
      </c>
    </row>
    <row r="982" spans="1:136" ht="15.5">
      <c r="A982" s="90"/>
      <c r="B982" s="37"/>
      <c r="C982" s="94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  <c r="AO982" s="18"/>
      <c r="AP982" s="18"/>
      <c r="AQ982" s="18"/>
      <c r="AR982" s="18"/>
      <c r="AS982" s="18"/>
      <c r="AT982" s="18"/>
      <c r="AU982" s="18"/>
      <c r="AV982" s="18"/>
      <c r="AW982" s="18"/>
      <c r="AX982" s="18"/>
      <c r="AY982" s="18"/>
      <c r="AZ982" s="18"/>
      <c r="BA982" s="18"/>
      <c r="BB982" s="18"/>
      <c r="BC982" s="18"/>
      <c r="BD982" s="18"/>
      <c r="BE982" s="25"/>
      <c r="BF982" s="34"/>
      <c r="BG982" s="18"/>
      <c r="BH982" s="2"/>
      <c r="BI982" s="2"/>
      <c r="BJ982" s="2"/>
      <c r="BK982" s="2"/>
      <c r="BL982" s="22"/>
      <c r="BM982" s="2"/>
      <c r="BN982" s="2"/>
      <c r="BO982" s="2"/>
      <c r="BP982" s="113"/>
      <c r="BQ982" s="2"/>
      <c r="BR982" s="101"/>
    </row>
    <row r="983" spans="1:136" ht="15.5">
      <c r="A983" s="93">
        <v>124</v>
      </c>
      <c r="B983" s="54" t="s">
        <v>125</v>
      </c>
      <c r="C983" s="94">
        <v>4</v>
      </c>
      <c r="D983" s="22"/>
      <c r="E983" s="22"/>
      <c r="F983" s="22"/>
      <c r="G983" s="22"/>
      <c r="H983" s="22"/>
      <c r="I983" s="22"/>
      <c r="J983" s="22"/>
      <c r="K983" s="22"/>
      <c r="L983" s="22"/>
      <c r="M983" s="22">
        <f t="shared" ref="M983:AR983" si="1975">SUM(M985+M986)</f>
        <v>0</v>
      </c>
      <c r="N983" s="22">
        <f t="shared" si="1975"/>
        <v>0</v>
      </c>
      <c r="O983" s="22">
        <f t="shared" si="1975"/>
        <v>0</v>
      </c>
      <c r="P983" s="22">
        <f t="shared" si="1975"/>
        <v>0</v>
      </c>
      <c r="Q983" s="22">
        <f t="shared" si="1975"/>
        <v>0</v>
      </c>
      <c r="R983" s="22">
        <f t="shared" si="1975"/>
        <v>0</v>
      </c>
      <c r="S983" s="22">
        <f t="shared" si="1975"/>
        <v>0</v>
      </c>
      <c r="T983" s="22">
        <f t="shared" si="1975"/>
        <v>0</v>
      </c>
      <c r="U983" s="22">
        <f t="shared" si="1975"/>
        <v>0</v>
      </c>
      <c r="V983" s="22">
        <f t="shared" si="1975"/>
        <v>0</v>
      </c>
      <c r="W983" s="22">
        <f t="shared" si="1975"/>
        <v>0</v>
      </c>
      <c r="X983" s="22">
        <f t="shared" si="1975"/>
        <v>0</v>
      </c>
      <c r="Y983" s="22">
        <f t="shared" si="1975"/>
        <v>0</v>
      </c>
      <c r="Z983" s="22">
        <f t="shared" si="1975"/>
        <v>0</v>
      </c>
      <c r="AA983" s="22">
        <f t="shared" si="1975"/>
        <v>0.50423370000000001</v>
      </c>
      <c r="AB983" s="22">
        <f t="shared" si="1975"/>
        <v>0.35866690000000001</v>
      </c>
      <c r="AC983" s="22">
        <f t="shared" si="1975"/>
        <v>0.17105579999999998</v>
      </c>
      <c r="AD983" s="22">
        <f t="shared" si="1975"/>
        <v>0.12959200000000001</v>
      </c>
      <c r="AE983" s="22">
        <f t="shared" si="1975"/>
        <v>0.2066297</v>
      </c>
      <c r="AF983" s="22">
        <f t="shared" si="1975"/>
        <v>9.4753199999999996E-2</v>
      </c>
      <c r="AG983" s="22">
        <f t="shared" si="1975"/>
        <v>0.17831849999999999</v>
      </c>
      <c r="AH983" s="22">
        <f t="shared" si="1975"/>
        <v>1.0424017999999999</v>
      </c>
      <c r="AI983" s="22">
        <f t="shared" si="1975"/>
        <v>0.2327013</v>
      </c>
      <c r="AJ983" s="22">
        <f t="shared" si="1975"/>
        <v>7.6972300000000007E-2</v>
      </c>
      <c r="AK983" s="22">
        <f t="shared" si="1975"/>
        <v>5.5506400000000004E-2</v>
      </c>
      <c r="AL983" s="22">
        <f t="shared" si="1975"/>
        <v>9.8263699999999995E-2</v>
      </c>
      <c r="AM983" s="22">
        <f t="shared" si="1975"/>
        <v>0.6192761</v>
      </c>
      <c r="AN983" s="22">
        <f t="shared" si="1975"/>
        <v>1.7357885</v>
      </c>
      <c r="AO983" s="22">
        <f t="shared" si="1975"/>
        <v>1.8036021</v>
      </c>
      <c r="AP983" s="22">
        <f t="shared" si="1975"/>
        <v>0.19201299999999999</v>
      </c>
      <c r="AQ983" s="22">
        <f t="shared" si="1975"/>
        <v>0.44659089999999996</v>
      </c>
      <c r="AR983" s="22">
        <f t="shared" si="1975"/>
        <v>1.7109493925925927</v>
      </c>
      <c r="AS983" s="22">
        <f t="shared" ref="AS983:BO983" si="1976">SUM(AS985+AS986)</f>
        <v>64.025637151851839</v>
      </c>
      <c r="AT983" s="22">
        <f t="shared" si="1976"/>
        <v>68.350341951851846</v>
      </c>
      <c r="AU983" s="22">
        <f t="shared" si="1976"/>
        <v>67.526422151851847</v>
      </c>
      <c r="AV983" s="22">
        <f t="shared" si="1976"/>
        <v>68.387608251851844</v>
      </c>
      <c r="AW983" s="22">
        <f t="shared" si="1976"/>
        <v>69.179439151851852</v>
      </c>
      <c r="AX983" s="22">
        <f t="shared" si="1976"/>
        <v>62.642863551851846</v>
      </c>
      <c r="AY983" s="22">
        <f t="shared" si="1976"/>
        <v>61.862962951851848</v>
      </c>
      <c r="AZ983" s="22">
        <f t="shared" si="1976"/>
        <v>0.45272180000000006</v>
      </c>
      <c r="BA983" s="22">
        <f t="shared" si="1976"/>
        <v>1.3256554999999999</v>
      </c>
      <c r="BB983" s="22">
        <f t="shared" si="1976"/>
        <v>0.1750536</v>
      </c>
      <c r="BC983" s="22">
        <f t="shared" si="1976"/>
        <v>0.183083</v>
      </c>
      <c r="BD983" s="22">
        <f t="shared" si="1976"/>
        <v>0.18331029999999998</v>
      </c>
      <c r="BE983" s="22">
        <f t="shared" si="1976"/>
        <v>2.65524E-2</v>
      </c>
      <c r="BF983" s="22">
        <f t="shared" si="1976"/>
        <v>2.4932800000000001E-2</v>
      </c>
      <c r="BG983" s="22">
        <f t="shared" si="1976"/>
        <v>2.4509699999999995E-2</v>
      </c>
      <c r="BH983" s="22">
        <f t="shared" si="1976"/>
        <v>4.6068981999999998</v>
      </c>
      <c r="BI983" s="22">
        <f t="shared" si="1976"/>
        <v>4.2981110999999999</v>
      </c>
      <c r="BJ983" s="22">
        <f t="shared" si="1976"/>
        <v>3.7466727999999998</v>
      </c>
      <c r="BK983" s="22">
        <f t="shared" si="1976"/>
        <v>3.746845</v>
      </c>
      <c r="BL983" s="22">
        <f t="shared" si="1976"/>
        <v>3.7476091</v>
      </c>
      <c r="BM983" s="22">
        <f t="shared" si="1976"/>
        <v>5.1178249999999998</v>
      </c>
      <c r="BN983" s="22">
        <f t="shared" si="1976"/>
        <v>73.750854799999999</v>
      </c>
      <c r="BO983" s="22">
        <f t="shared" si="1976"/>
        <v>4</v>
      </c>
      <c r="BP983" s="22">
        <f>SUM(BP984+BP985+BP986)</f>
        <v>9.6280000000000001</v>
      </c>
      <c r="BQ983" s="22">
        <f>SUM(BQ985+BQ986)</f>
        <v>4</v>
      </c>
      <c r="BR983" s="101"/>
      <c r="BS983">
        <f t="shared" ref="BS983:CX983" si="1977">IF($C983&lt;&gt;"",IF(D983&gt;0,1,0),0)</f>
        <v>0</v>
      </c>
      <c r="BT983">
        <f t="shared" si="1977"/>
        <v>0</v>
      </c>
      <c r="BU983">
        <f t="shared" si="1977"/>
        <v>0</v>
      </c>
      <c r="BV983">
        <f t="shared" si="1977"/>
        <v>0</v>
      </c>
      <c r="BW983">
        <f t="shared" si="1977"/>
        <v>0</v>
      </c>
      <c r="BX983">
        <f t="shared" si="1977"/>
        <v>0</v>
      </c>
      <c r="BY983">
        <f t="shared" si="1977"/>
        <v>0</v>
      </c>
      <c r="BZ983">
        <f t="shared" si="1977"/>
        <v>0</v>
      </c>
      <c r="CA983">
        <f t="shared" si="1977"/>
        <v>0</v>
      </c>
      <c r="CB983">
        <f t="shared" si="1977"/>
        <v>0</v>
      </c>
      <c r="CC983">
        <f t="shared" si="1977"/>
        <v>0</v>
      </c>
      <c r="CD983">
        <f t="shared" si="1977"/>
        <v>0</v>
      </c>
      <c r="CE983">
        <f t="shared" si="1977"/>
        <v>0</v>
      </c>
      <c r="CF983">
        <f t="shared" si="1977"/>
        <v>0</v>
      </c>
      <c r="CG983">
        <f t="shared" si="1977"/>
        <v>0</v>
      </c>
      <c r="CH983">
        <f t="shared" si="1977"/>
        <v>0</v>
      </c>
      <c r="CI983">
        <f t="shared" si="1977"/>
        <v>0</v>
      </c>
      <c r="CJ983">
        <f t="shared" si="1977"/>
        <v>0</v>
      </c>
      <c r="CK983">
        <f t="shared" si="1977"/>
        <v>0</v>
      </c>
      <c r="CL983">
        <f t="shared" si="1977"/>
        <v>0</v>
      </c>
      <c r="CM983">
        <f t="shared" si="1977"/>
        <v>0</v>
      </c>
      <c r="CN983">
        <f t="shared" si="1977"/>
        <v>0</v>
      </c>
      <c r="CO983">
        <f t="shared" si="1977"/>
        <v>0</v>
      </c>
      <c r="CP983">
        <f t="shared" si="1977"/>
        <v>1</v>
      </c>
      <c r="CQ983">
        <f t="shared" si="1977"/>
        <v>1</v>
      </c>
      <c r="CR983">
        <f t="shared" si="1977"/>
        <v>1</v>
      </c>
      <c r="CS983">
        <f t="shared" si="1977"/>
        <v>1</v>
      </c>
      <c r="CT983">
        <f t="shared" si="1977"/>
        <v>1</v>
      </c>
      <c r="CU983">
        <f t="shared" si="1977"/>
        <v>1</v>
      </c>
      <c r="CV983">
        <f t="shared" si="1977"/>
        <v>1</v>
      </c>
      <c r="CW983">
        <f t="shared" si="1977"/>
        <v>1</v>
      </c>
      <c r="CX983">
        <f t="shared" si="1977"/>
        <v>1</v>
      </c>
      <c r="CY983">
        <f t="shared" ref="CY983:ED983" si="1978">IF($C983&lt;&gt;"",IF(AJ983&gt;0,1,0),0)</f>
        <v>1</v>
      </c>
      <c r="CZ983">
        <f t="shared" si="1978"/>
        <v>1</v>
      </c>
      <c r="DA983">
        <f t="shared" si="1978"/>
        <v>1</v>
      </c>
      <c r="DB983">
        <f t="shared" si="1978"/>
        <v>1</v>
      </c>
      <c r="DC983">
        <f t="shared" si="1978"/>
        <v>1</v>
      </c>
      <c r="DD983">
        <f t="shared" si="1978"/>
        <v>1</v>
      </c>
      <c r="DE983">
        <f t="shared" si="1978"/>
        <v>1</v>
      </c>
      <c r="DF983">
        <f t="shared" si="1978"/>
        <v>1</v>
      </c>
      <c r="DG983">
        <f t="shared" si="1978"/>
        <v>1</v>
      </c>
      <c r="DH983">
        <f t="shared" si="1978"/>
        <v>1</v>
      </c>
      <c r="DI983">
        <f t="shared" si="1978"/>
        <v>1</v>
      </c>
      <c r="DJ983">
        <f t="shared" si="1978"/>
        <v>1</v>
      </c>
      <c r="DK983">
        <f t="shared" si="1978"/>
        <v>1</v>
      </c>
      <c r="DL983">
        <f t="shared" si="1978"/>
        <v>1</v>
      </c>
      <c r="DM983">
        <f t="shared" si="1978"/>
        <v>1</v>
      </c>
      <c r="DN983">
        <f t="shared" si="1978"/>
        <v>1</v>
      </c>
      <c r="DO983">
        <f t="shared" si="1978"/>
        <v>1</v>
      </c>
      <c r="DP983">
        <f t="shared" si="1978"/>
        <v>1</v>
      </c>
      <c r="DQ983">
        <f t="shared" si="1978"/>
        <v>1</v>
      </c>
      <c r="DR983">
        <f t="shared" si="1978"/>
        <v>1</v>
      </c>
      <c r="DS983">
        <f t="shared" si="1978"/>
        <v>1</v>
      </c>
      <c r="DT983">
        <f t="shared" si="1978"/>
        <v>1</v>
      </c>
      <c r="DU983">
        <f t="shared" si="1978"/>
        <v>1</v>
      </c>
      <c r="DV983">
        <f t="shared" si="1978"/>
        <v>1</v>
      </c>
      <c r="DW983">
        <f t="shared" si="1978"/>
        <v>1</v>
      </c>
      <c r="DX983">
        <f t="shared" si="1978"/>
        <v>1</v>
      </c>
      <c r="DY983">
        <f t="shared" si="1978"/>
        <v>1</v>
      </c>
      <c r="DZ983">
        <f t="shared" si="1978"/>
        <v>1</v>
      </c>
      <c r="EA983">
        <f t="shared" si="1978"/>
        <v>1</v>
      </c>
      <c r="EB983">
        <f t="shared" si="1978"/>
        <v>1</v>
      </c>
      <c r="EC983">
        <f t="shared" si="1978"/>
        <v>1</v>
      </c>
      <c r="ED983">
        <f t="shared" si="1978"/>
        <v>1</v>
      </c>
      <c r="EE983">
        <f t="shared" ref="EE983:EF983" si="1979">IF($C983&lt;&gt;"",IF(BP983&gt;0,1,0),0)</f>
        <v>1</v>
      </c>
      <c r="EF983">
        <f t="shared" si="1979"/>
        <v>1</v>
      </c>
    </row>
    <row r="984" spans="1:136" ht="15.5">
      <c r="A984" s="93"/>
      <c r="B984" s="57" t="s">
        <v>205</v>
      </c>
      <c r="C984" s="94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  <c r="AF984" s="22"/>
      <c r="AG984" s="22"/>
      <c r="AH984" s="22"/>
      <c r="AI984" s="22"/>
      <c r="AJ984" s="22"/>
      <c r="AK984" s="22"/>
      <c r="AL984" s="22"/>
      <c r="AM984" s="22"/>
      <c r="AN984" s="22"/>
      <c r="AO984" s="22"/>
      <c r="AP984" s="22"/>
      <c r="AQ984" s="22"/>
      <c r="AR984" s="22"/>
      <c r="AS984" s="22"/>
      <c r="AT984" s="22"/>
      <c r="AU984" s="22"/>
      <c r="AV984" s="22"/>
      <c r="AW984" s="22"/>
      <c r="AX984" s="22"/>
      <c r="AY984" s="22"/>
      <c r="AZ984" s="22"/>
      <c r="BA984" s="22"/>
      <c r="BB984" s="22"/>
      <c r="BC984" s="22"/>
      <c r="BD984" s="22"/>
      <c r="BE984" s="22"/>
      <c r="BF984" s="22"/>
      <c r="BG984" s="22"/>
      <c r="BH984" s="22"/>
      <c r="BI984" s="22"/>
      <c r="BJ984" s="22"/>
      <c r="BK984" s="22"/>
      <c r="BL984" s="18">
        <f>16021743.4/1000000</f>
        <v>16.021743400000002</v>
      </c>
      <c r="BM984" s="18">
        <v>0</v>
      </c>
      <c r="BN984" s="31">
        <v>0</v>
      </c>
      <c r="BO984" s="31">
        <v>0</v>
      </c>
      <c r="BP984" s="31">
        <f>5628000/1000000</f>
        <v>5.6280000000000001</v>
      </c>
      <c r="BQ984" s="31">
        <v>0</v>
      </c>
      <c r="BR984" s="101"/>
    </row>
    <row r="985" spans="1:136" ht="15.5">
      <c r="A985" s="90"/>
      <c r="B985" s="57" t="s">
        <v>3</v>
      </c>
      <c r="C985" s="94"/>
      <c r="D985" s="18"/>
      <c r="E985" s="18"/>
      <c r="F985" s="18"/>
      <c r="G985" s="18"/>
      <c r="H985" s="18"/>
      <c r="I985" s="18"/>
      <c r="J985" s="18"/>
      <c r="K985" s="18"/>
      <c r="L985" s="18"/>
      <c r="M985" s="18">
        <v>0</v>
      </c>
      <c r="N985" s="18">
        <v>0</v>
      </c>
      <c r="O985" s="18">
        <v>0</v>
      </c>
      <c r="P985" s="18">
        <v>0</v>
      </c>
      <c r="Q985" s="18">
        <v>0</v>
      </c>
      <c r="R985" s="18">
        <v>0</v>
      </c>
      <c r="S985" s="18">
        <v>0</v>
      </c>
      <c r="T985" s="18">
        <v>0</v>
      </c>
      <c r="U985" s="18">
        <v>0</v>
      </c>
      <c r="V985" s="18">
        <v>0</v>
      </c>
      <c r="W985" s="18">
        <v>0</v>
      </c>
      <c r="X985" s="18">
        <v>0</v>
      </c>
      <c r="Y985" s="18">
        <v>0</v>
      </c>
      <c r="Z985" s="18">
        <v>0</v>
      </c>
      <c r="AA985" s="18">
        <v>0.50423370000000001</v>
      </c>
      <c r="AB985" s="18">
        <v>0.35866690000000001</v>
      </c>
      <c r="AC985" s="18">
        <v>0.17105579999999998</v>
      </c>
      <c r="AD985" s="18">
        <v>0.12959200000000001</v>
      </c>
      <c r="AE985" s="18">
        <v>0.2051482</v>
      </c>
      <c r="AF985" s="18">
        <v>9.2531000000000002E-2</v>
      </c>
      <c r="AG985" s="18">
        <v>0.17831849999999999</v>
      </c>
      <c r="AH985" s="18">
        <v>1.0424017999999999</v>
      </c>
      <c r="AI985" s="18">
        <v>0.2327013</v>
      </c>
      <c r="AJ985" s="18">
        <v>7.6972300000000007E-2</v>
      </c>
      <c r="AK985" s="18">
        <v>5.5506400000000004E-2</v>
      </c>
      <c r="AL985" s="18">
        <v>9.8263699999999995E-2</v>
      </c>
      <c r="AM985" s="18">
        <v>0.37927610000000006</v>
      </c>
      <c r="AN985" s="18">
        <v>0.3527885</v>
      </c>
      <c r="AO985" s="18">
        <v>1.6856021000000001</v>
      </c>
      <c r="AP985" s="18">
        <v>0.19201299999999999</v>
      </c>
      <c r="AQ985" s="18">
        <v>0.44659089999999996</v>
      </c>
      <c r="AR985" s="18">
        <f>1.3183568+(1.06/2.7)</f>
        <v>1.7109493925925927</v>
      </c>
      <c r="AS985" s="18">
        <f>1.2287853+(167/2.7)</f>
        <v>63.080637151851846</v>
      </c>
      <c r="AT985" s="18">
        <f>4.4814901+(167/2.7)</f>
        <v>66.33334195185185</v>
      </c>
      <c r="AU985" s="18">
        <f>1.5055703+(167/2.7)</f>
        <v>63.35742215185185</v>
      </c>
      <c r="AV985" s="18">
        <f>1.4477564+ (167/2.7)</f>
        <v>63.299608251851851</v>
      </c>
      <c r="AW985" s="18">
        <f>1.1111429+(167/2.7)</f>
        <v>62.962994751851845</v>
      </c>
      <c r="AX985" s="18">
        <f>0.7910117+(167/2.7)</f>
        <v>62.642863551851846</v>
      </c>
      <c r="AY985" s="18">
        <f>167/2.7</f>
        <v>61.851851851851848</v>
      </c>
      <c r="AZ985" s="18">
        <v>0.35372180000000003</v>
      </c>
      <c r="BA985" s="18">
        <v>0.75412330000000005</v>
      </c>
      <c r="BB985" s="18">
        <v>0.1750536</v>
      </c>
      <c r="BC985" s="18">
        <v>0.183083</v>
      </c>
      <c r="BD985" s="18">
        <v>0.18331029999999998</v>
      </c>
      <c r="BE985" s="18">
        <v>2.65524E-2</v>
      </c>
      <c r="BF985" s="18">
        <v>2.4932800000000001E-2</v>
      </c>
      <c r="BG985" s="18">
        <v>2.4509699999999995E-2</v>
      </c>
      <c r="BH985" s="113">
        <v>4.6068981999999998</v>
      </c>
      <c r="BI985" s="18">
        <v>4.2981110999999999</v>
      </c>
      <c r="BJ985" s="113">
        <v>3.7466727999999998</v>
      </c>
      <c r="BK985" s="113">
        <v>3.746845</v>
      </c>
      <c r="BL985" s="113">
        <v>3.7476091</v>
      </c>
      <c r="BM985" s="113">
        <v>5.1178249999999998</v>
      </c>
      <c r="BN985" s="113">
        <f>3.7508548+70</f>
        <v>73.750854799999999</v>
      </c>
      <c r="BO985" s="113">
        <v>4</v>
      </c>
      <c r="BP985" s="113">
        <v>4</v>
      </c>
      <c r="BQ985" s="113">
        <v>4</v>
      </c>
      <c r="BR985" s="101"/>
      <c r="BS985">
        <f t="shared" ref="BS985:CB987" si="1980">IF($C985&lt;&gt;"",IF(D985&gt;0,1,0),0)</f>
        <v>0</v>
      </c>
      <c r="BT985">
        <f t="shared" si="1980"/>
        <v>0</v>
      </c>
      <c r="BU985">
        <f t="shared" si="1980"/>
        <v>0</v>
      </c>
      <c r="BV985">
        <f t="shared" si="1980"/>
        <v>0</v>
      </c>
      <c r="BW985">
        <f t="shared" si="1980"/>
        <v>0</v>
      </c>
      <c r="BX985">
        <f t="shared" si="1980"/>
        <v>0</v>
      </c>
      <c r="BY985">
        <f t="shared" si="1980"/>
        <v>0</v>
      </c>
      <c r="BZ985">
        <f t="shared" si="1980"/>
        <v>0</v>
      </c>
      <c r="CA985">
        <f t="shared" si="1980"/>
        <v>0</v>
      </c>
      <c r="CB985">
        <f t="shared" si="1980"/>
        <v>0</v>
      </c>
      <c r="CC985">
        <f t="shared" ref="CC985:CL987" si="1981">IF($C985&lt;&gt;"",IF(N985&gt;0,1,0),0)</f>
        <v>0</v>
      </c>
      <c r="CD985">
        <f t="shared" si="1981"/>
        <v>0</v>
      </c>
      <c r="CE985">
        <f t="shared" si="1981"/>
        <v>0</v>
      </c>
      <c r="CF985">
        <f t="shared" si="1981"/>
        <v>0</v>
      </c>
      <c r="CG985">
        <f t="shared" si="1981"/>
        <v>0</v>
      </c>
      <c r="CH985">
        <f t="shared" si="1981"/>
        <v>0</v>
      </c>
      <c r="CI985">
        <f t="shared" si="1981"/>
        <v>0</v>
      </c>
      <c r="CJ985">
        <f t="shared" si="1981"/>
        <v>0</v>
      </c>
      <c r="CK985">
        <f t="shared" si="1981"/>
        <v>0</v>
      </c>
      <c r="CL985">
        <f t="shared" si="1981"/>
        <v>0</v>
      </c>
      <c r="CM985">
        <f t="shared" ref="CM985:CV987" si="1982">IF($C985&lt;&gt;"",IF(X985&gt;0,1,0),0)</f>
        <v>0</v>
      </c>
      <c r="CN985">
        <f t="shared" si="1982"/>
        <v>0</v>
      </c>
      <c r="CO985">
        <f t="shared" si="1982"/>
        <v>0</v>
      </c>
      <c r="CP985">
        <f t="shared" si="1982"/>
        <v>0</v>
      </c>
      <c r="CQ985">
        <f t="shared" si="1982"/>
        <v>0</v>
      </c>
      <c r="CR985">
        <f t="shared" si="1982"/>
        <v>0</v>
      </c>
      <c r="CS985">
        <f t="shared" si="1982"/>
        <v>0</v>
      </c>
      <c r="CT985">
        <f t="shared" si="1982"/>
        <v>0</v>
      </c>
      <c r="CU985">
        <f t="shared" si="1982"/>
        <v>0</v>
      </c>
      <c r="CV985">
        <f t="shared" si="1982"/>
        <v>0</v>
      </c>
      <c r="CW985">
        <f t="shared" ref="CW985:DF987" si="1983">IF($C985&lt;&gt;"",IF(AH985&gt;0,1,0),0)</f>
        <v>0</v>
      </c>
      <c r="CX985">
        <f t="shared" si="1983"/>
        <v>0</v>
      </c>
      <c r="CY985">
        <f t="shared" si="1983"/>
        <v>0</v>
      </c>
      <c r="CZ985">
        <f t="shared" si="1983"/>
        <v>0</v>
      </c>
      <c r="DA985">
        <f t="shared" si="1983"/>
        <v>0</v>
      </c>
      <c r="DB985">
        <f t="shared" si="1983"/>
        <v>0</v>
      </c>
      <c r="DC985">
        <f t="shared" si="1983"/>
        <v>0</v>
      </c>
      <c r="DD985">
        <f t="shared" si="1983"/>
        <v>0</v>
      </c>
      <c r="DE985">
        <f t="shared" si="1983"/>
        <v>0</v>
      </c>
      <c r="DF985">
        <f t="shared" si="1983"/>
        <v>0</v>
      </c>
      <c r="DG985">
        <f t="shared" ref="DG985:DP987" si="1984">IF($C985&lt;&gt;"",IF(AR985&gt;0,1,0),0)</f>
        <v>0</v>
      </c>
      <c r="DH985">
        <f t="shared" si="1984"/>
        <v>0</v>
      </c>
      <c r="DI985">
        <f t="shared" si="1984"/>
        <v>0</v>
      </c>
      <c r="DJ985">
        <f t="shared" si="1984"/>
        <v>0</v>
      </c>
      <c r="DK985">
        <f t="shared" si="1984"/>
        <v>0</v>
      </c>
      <c r="DL985">
        <f t="shared" si="1984"/>
        <v>0</v>
      </c>
      <c r="DM985">
        <f t="shared" si="1984"/>
        <v>0</v>
      </c>
      <c r="DN985">
        <f t="shared" si="1984"/>
        <v>0</v>
      </c>
      <c r="DO985">
        <f t="shared" si="1984"/>
        <v>0</v>
      </c>
      <c r="DP985">
        <f t="shared" si="1984"/>
        <v>0</v>
      </c>
      <c r="DQ985">
        <f t="shared" ref="DQ985:DZ987" si="1985">IF($C985&lt;&gt;"",IF(BB985&gt;0,1,0),0)</f>
        <v>0</v>
      </c>
      <c r="DR985">
        <f t="shared" si="1985"/>
        <v>0</v>
      </c>
      <c r="DS985">
        <f t="shared" si="1985"/>
        <v>0</v>
      </c>
      <c r="DT985">
        <f t="shared" si="1985"/>
        <v>0</v>
      </c>
      <c r="DU985">
        <f t="shared" si="1985"/>
        <v>0</v>
      </c>
      <c r="DV985">
        <f t="shared" si="1985"/>
        <v>0</v>
      </c>
      <c r="DW985">
        <f t="shared" si="1985"/>
        <v>0</v>
      </c>
      <c r="DX985">
        <f t="shared" si="1985"/>
        <v>0</v>
      </c>
      <c r="DY985">
        <f t="shared" si="1985"/>
        <v>0</v>
      </c>
      <c r="DZ985">
        <f t="shared" si="1985"/>
        <v>0</v>
      </c>
      <c r="EA985">
        <f t="shared" ref="EA985:EF985" si="1986">IF($C985&lt;&gt;"",IF(BL983&gt;0,1,0),0)</f>
        <v>0</v>
      </c>
      <c r="EB985">
        <f t="shared" si="1986"/>
        <v>0</v>
      </c>
      <c r="EC985">
        <f t="shared" si="1986"/>
        <v>0</v>
      </c>
      <c r="ED985">
        <f t="shared" si="1986"/>
        <v>0</v>
      </c>
      <c r="EE985">
        <f t="shared" si="1986"/>
        <v>0</v>
      </c>
      <c r="EF985">
        <f t="shared" si="1986"/>
        <v>0</v>
      </c>
    </row>
    <row r="986" spans="1:136" ht="15.5">
      <c r="A986" s="90"/>
      <c r="B986" s="57" t="s">
        <v>208</v>
      </c>
      <c r="C986" s="94"/>
      <c r="D986" s="18"/>
      <c r="E986" s="18"/>
      <c r="F986" s="18"/>
      <c r="G986" s="18"/>
      <c r="H986" s="18"/>
      <c r="I986" s="18"/>
      <c r="J986" s="18"/>
      <c r="K986" s="18"/>
      <c r="L986" s="18"/>
      <c r="M986" s="18">
        <v>0</v>
      </c>
      <c r="N986" s="18">
        <v>0</v>
      </c>
      <c r="O986" s="18">
        <v>0</v>
      </c>
      <c r="P986" s="18">
        <v>0</v>
      </c>
      <c r="Q986" s="18">
        <v>0</v>
      </c>
      <c r="R986" s="18">
        <v>0</v>
      </c>
      <c r="S986" s="18">
        <v>0</v>
      </c>
      <c r="T986" s="18">
        <v>0</v>
      </c>
      <c r="U986" s="18">
        <v>0</v>
      </c>
      <c r="V986" s="18">
        <v>0</v>
      </c>
      <c r="W986" s="18">
        <v>0</v>
      </c>
      <c r="X986" s="18">
        <v>0</v>
      </c>
      <c r="Y986" s="18">
        <v>0</v>
      </c>
      <c r="Z986" s="18">
        <v>0</v>
      </c>
      <c r="AA986" s="18">
        <v>0</v>
      </c>
      <c r="AB986" s="18">
        <v>0</v>
      </c>
      <c r="AC986" s="18">
        <v>0</v>
      </c>
      <c r="AD986" s="18">
        <v>0</v>
      </c>
      <c r="AE986" s="18">
        <v>1.4815E-3</v>
      </c>
      <c r="AF986" s="18">
        <v>2.2221999999999997E-3</v>
      </c>
      <c r="AG986" s="18">
        <v>0</v>
      </c>
      <c r="AH986" s="18">
        <v>0</v>
      </c>
      <c r="AI986" s="18">
        <v>0</v>
      </c>
      <c r="AJ986" s="18">
        <v>0</v>
      </c>
      <c r="AK986" s="18">
        <v>0</v>
      </c>
      <c r="AL986" s="18">
        <v>0</v>
      </c>
      <c r="AM986" s="18">
        <v>0.24</v>
      </c>
      <c r="AN986" s="18">
        <v>1.383</v>
      </c>
      <c r="AO986" s="18">
        <v>0.11799999999999999</v>
      </c>
      <c r="AP986" s="18">
        <v>0</v>
      </c>
      <c r="AQ986" s="18">
        <v>0</v>
      </c>
      <c r="AR986" s="18">
        <v>0</v>
      </c>
      <c r="AS986" s="18">
        <v>0.94499999999999995</v>
      </c>
      <c r="AT986" s="18">
        <v>2.0169999999999999</v>
      </c>
      <c r="AU986" s="18">
        <v>4.1689999999999996</v>
      </c>
      <c r="AV986" s="18">
        <v>5.0880000000000001</v>
      </c>
      <c r="AW986" s="18">
        <v>6.2164444000000003</v>
      </c>
      <c r="AX986" s="18">
        <v>0</v>
      </c>
      <c r="AY986" s="18">
        <v>1.11111E-2</v>
      </c>
      <c r="AZ986" s="18">
        <v>9.9000000000000005E-2</v>
      </c>
      <c r="BA986" s="18">
        <v>0.57153219999999993</v>
      </c>
      <c r="BB986" s="18">
        <v>0</v>
      </c>
      <c r="BC986" s="18">
        <v>0</v>
      </c>
      <c r="BD986" s="18">
        <v>0</v>
      </c>
      <c r="BE986" s="18">
        <v>0</v>
      </c>
      <c r="BF986" s="18">
        <v>0</v>
      </c>
      <c r="BG986" s="18">
        <v>0</v>
      </c>
      <c r="BH986" s="113">
        <v>0</v>
      </c>
      <c r="BI986" s="18">
        <v>0</v>
      </c>
      <c r="BJ986" s="113">
        <v>0</v>
      </c>
      <c r="BK986" s="113">
        <v>0</v>
      </c>
      <c r="BL986" s="113">
        <v>0</v>
      </c>
      <c r="BM986" s="113">
        <v>0</v>
      </c>
      <c r="BN986" s="113">
        <v>0</v>
      </c>
      <c r="BO986" s="113">
        <v>0</v>
      </c>
      <c r="BP986" s="113">
        <v>0</v>
      </c>
      <c r="BQ986" s="113">
        <v>0</v>
      </c>
      <c r="BR986" s="101"/>
      <c r="BS986">
        <f t="shared" si="1980"/>
        <v>0</v>
      </c>
      <c r="BT986">
        <f t="shared" si="1980"/>
        <v>0</v>
      </c>
      <c r="BU986">
        <f t="shared" si="1980"/>
        <v>0</v>
      </c>
      <c r="BV986">
        <f t="shared" si="1980"/>
        <v>0</v>
      </c>
      <c r="BW986">
        <f t="shared" si="1980"/>
        <v>0</v>
      </c>
      <c r="BX986">
        <f t="shared" si="1980"/>
        <v>0</v>
      </c>
      <c r="BY986">
        <f t="shared" si="1980"/>
        <v>0</v>
      </c>
      <c r="BZ986">
        <f t="shared" si="1980"/>
        <v>0</v>
      </c>
      <c r="CA986">
        <f t="shared" si="1980"/>
        <v>0</v>
      </c>
      <c r="CB986">
        <f t="shared" si="1980"/>
        <v>0</v>
      </c>
      <c r="CC986">
        <f t="shared" si="1981"/>
        <v>0</v>
      </c>
      <c r="CD986">
        <f t="shared" si="1981"/>
        <v>0</v>
      </c>
      <c r="CE986">
        <f t="shared" si="1981"/>
        <v>0</v>
      </c>
      <c r="CF986">
        <f t="shared" si="1981"/>
        <v>0</v>
      </c>
      <c r="CG986">
        <f t="shared" si="1981"/>
        <v>0</v>
      </c>
      <c r="CH986">
        <f t="shared" si="1981"/>
        <v>0</v>
      </c>
      <c r="CI986">
        <f t="shared" si="1981"/>
        <v>0</v>
      </c>
      <c r="CJ986">
        <f t="shared" si="1981"/>
        <v>0</v>
      </c>
      <c r="CK986">
        <f t="shared" si="1981"/>
        <v>0</v>
      </c>
      <c r="CL986">
        <f t="shared" si="1981"/>
        <v>0</v>
      </c>
      <c r="CM986">
        <f t="shared" si="1982"/>
        <v>0</v>
      </c>
      <c r="CN986">
        <f t="shared" si="1982"/>
        <v>0</v>
      </c>
      <c r="CO986">
        <f t="shared" si="1982"/>
        <v>0</v>
      </c>
      <c r="CP986">
        <f t="shared" si="1982"/>
        <v>0</v>
      </c>
      <c r="CQ986">
        <f t="shared" si="1982"/>
        <v>0</v>
      </c>
      <c r="CR986">
        <f t="shared" si="1982"/>
        <v>0</v>
      </c>
      <c r="CS986">
        <f t="shared" si="1982"/>
        <v>0</v>
      </c>
      <c r="CT986">
        <f t="shared" si="1982"/>
        <v>0</v>
      </c>
      <c r="CU986">
        <f t="shared" si="1982"/>
        <v>0</v>
      </c>
      <c r="CV986">
        <f t="shared" si="1982"/>
        <v>0</v>
      </c>
      <c r="CW986">
        <f t="shared" si="1983"/>
        <v>0</v>
      </c>
      <c r="CX986">
        <f t="shared" si="1983"/>
        <v>0</v>
      </c>
      <c r="CY986">
        <f t="shared" si="1983"/>
        <v>0</v>
      </c>
      <c r="CZ986">
        <f t="shared" si="1983"/>
        <v>0</v>
      </c>
      <c r="DA986">
        <f t="shared" si="1983"/>
        <v>0</v>
      </c>
      <c r="DB986">
        <f t="shared" si="1983"/>
        <v>0</v>
      </c>
      <c r="DC986">
        <f t="shared" si="1983"/>
        <v>0</v>
      </c>
      <c r="DD986">
        <f t="shared" si="1983"/>
        <v>0</v>
      </c>
      <c r="DE986">
        <f t="shared" si="1983"/>
        <v>0</v>
      </c>
      <c r="DF986">
        <f t="shared" si="1983"/>
        <v>0</v>
      </c>
      <c r="DG986">
        <f t="shared" si="1984"/>
        <v>0</v>
      </c>
      <c r="DH986">
        <f t="shared" si="1984"/>
        <v>0</v>
      </c>
      <c r="DI986">
        <f t="shared" si="1984"/>
        <v>0</v>
      </c>
      <c r="DJ986">
        <f t="shared" si="1984"/>
        <v>0</v>
      </c>
      <c r="DK986">
        <f t="shared" si="1984"/>
        <v>0</v>
      </c>
      <c r="DL986">
        <f t="shared" si="1984"/>
        <v>0</v>
      </c>
      <c r="DM986">
        <f t="shared" si="1984"/>
        <v>0</v>
      </c>
      <c r="DN986">
        <f t="shared" si="1984"/>
        <v>0</v>
      </c>
      <c r="DO986">
        <f t="shared" si="1984"/>
        <v>0</v>
      </c>
      <c r="DP986">
        <f t="shared" si="1984"/>
        <v>0</v>
      </c>
      <c r="DQ986">
        <f t="shared" si="1985"/>
        <v>0</v>
      </c>
      <c r="DR986">
        <f t="shared" si="1985"/>
        <v>0</v>
      </c>
      <c r="DS986">
        <f t="shared" si="1985"/>
        <v>0</v>
      </c>
      <c r="DT986">
        <f t="shared" si="1985"/>
        <v>0</v>
      </c>
      <c r="DU986">
        <f t="shared" si="1985"/>
        <v>0</v>
      </c>
      <c r="DV986">
        <f t="shared" si="1985"/>
        <v>0</v>
      </c>
      <c r="DW986">
        <f t="shared" si="1985"/>
        <v>0</v>
      </c>
      <c r="DX986">
        <f t="shared" si="1985"/>
        <v>0</v>
      </c>
      <c r="DY986">
        <f t="shared" si="1985"/>
        <v>0</v>
      </c>
      <c r="DZ986">
        <f t="shared" si="1985"/>
        <v>0</v>
      </c>
      <c r="EA986">
        <f t="shared" ref="EA986:EF986" si="1987">IF($C986&lt;&gt;"",IF(BL985&gt;0,1,0),0)</f>
        <v>0</v>
      </c>
      <c r="EB986">
        <f t="shared" si="1987"/>
        <v>0</v>
      </c>
      <c r="EC986">
        <f t="shared" si="1987"/>
        <v>0</v>
      </c>
      <c r="ED986">
        <f t="shared" si="1987"/>
        <v>0</v>
      </c>
      <c r="EE986">
        <f t="shared" si="1987"/>
        <v>0</v>
      </c>
      <c r="EF986">
        <f t="shared" si="1987"/>
        <v>0</v>
      </c>
    </row>
    <row r="987" spans="1:136" ht="15.5">
      <c r="A987" s="90"/>
      <c r="B987" s="57" t="s">
        <v>212</v>
      </c>
      <c r="C987" s="94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>
        <v>0</v>
      </c>
      <c r="AI987" s="18">
        <v>0</v>
      </c>
      <c r="AJ987" s="18">
        <v>0</v>
      </c>
      <c r="AK987" s="18">
        <v>0</v>
      </c>
      <c r="AL987" s="18">
        <v>0</v>
      </c>
      <c r="AM987" s="18">
        <v>0</v>
      </c>
      <c r="AN987" s="18">
        <v>0</v>
      </c>
      <c r="AO987" s="18">
        <v>0</v>
      </c>
      <c r="AP987" s="18">
        <v>0</v>
      </c>
      <c r="AQ987" s="18">
        <v>0</v>
      </c>
      <c r="AR987" s="18">
        <v>0</v>
      </c>
      <c r="AS987" s="18">
        <v>0</v>
      </c>
      <c r="AT987" s="18">
        <v>0</v>
      </c>
      <c r="AU987" s="18">
        <v>0</v>
      </c>
      <c r="AV987" s="18">
        <v>0</v>
      </c>
      <c r="AW987" s="18">
        <v>0</v>
      </c>
      <c r="AX987" s="18">
        <v>0</v>
      </c>
      <c r="AY987" s="18">
        <v>0</v>
      </c>
      <c r="AZ987" s="18">
        <v>0</v>
      </c>
      <c r="BA987" s="18">
        <f>24.5/2.7</f>
        <v>9.0740740740740726</v>
      </c>
      <c r="BB987" s="18">
        <f>23.03/2.7</f>
        <v>8.5296296296296301</v>
      </c>
      <c r="BC987" s="18">
        <v>15</v>
      </c>
      <c r="BD987" s="18">
        <v>27</v>
      </c>
      <c r="BE987" s="25">
        <v>26</v>
      </c>
      <c r="BF987" s="18">
        <v>33</v>
      </c>
      <c r="BG987" s="18">
        <v>23</v>
      </c>
      <c r="BH987" s="103">
        <f>0.61/2.7</f>
        <v>0.22592592592592592</v>
      </c>
      <c r="BI987" s="18">
        <f>19.57/2.7</f>
        <v>7.2481481481481476</v>
      </c>
      <c r="BJ987" s="113">
        <v>10</v>
      </c>
      <c r="BK987" s="113">
        <v>7.7777777777777777</v>
      </c>
      <c r="BL987" s="113">
        <v>0</v>
      </c>
      <c r="BM987" s="113">
        <v>0</v>
      </c>
      <c r="BN987" s="113">
        <v>0</v>
      </c>
      <c r="BO987" s="113">
        <v>0</v>
      </c>
      <c r="BP987" s="113">
        <v>0</v>
      </c>
      <c r="BQ987" s="113">
        <v>0</v>
      </c>
      <c r="BR987" s="101"/>
      <c r="BS987">
        <f t="shared" si="1980"/>
        <v>0</v>
      </c>
      <c r="BT987">
        <f t="shared" si="1980"/>
        <v>0</v>
      </c>
      <c r="BU987">
        <f t="shared" si="1980"/>
        <v>0</v>
      </c>
      <c r="BV987">
        <f t="shared" si="1980"/>
        <v>0</v>
      </c>
      <c r="BW987">
        <f t="shared" si="1980"/>
        <v>0</v>
      </c>
      <c r="BX987">
        <f t="shared" si="1980"/>
        <v>0</v>
      </c>
      <c r="BY987">
        <f t="shared" si="1980"/>
        <v>0</v>
      </c>
      <c r="BZ987">
        <f t="shared" si="1980"/>
        <v>0</v>
      </c>
      <c r="CA987">
        <f t="shared" si="1980"/>
        <v>0</v>
      </c>
      <c r="CB987">
        <f t="shared" si="1980"/>
        <v>0</v>
      </c>
      <c r="CC987">
        <f t="shared" si="1981"/>
        <v>0</v>
      </c>
      <c r="CD987">
        <f t="shared" si="1981"/>
        <v>0</v>
      </c>
      <c r="CE987">
        <f t="shared" si="1981"/>
        <v>0</v>
      </c>
      <c r="CF987">
        <f t="shared" si="1981"/>
        <v>0</v>
      </c>
      <c r="CG987">
        <f t="shared" si="1981"/>
        <v>0</v>
      </c>
      <c r="CH987">
        <f t="shared" si="1981"/>
        <v>0</v>
      </c>
      <c r="CI987">
        <f t="shared" si="1981"/>
        <v>0</v>
      </c>
      <c r="CJ987">
        <f t="shared" si="1981"/>
        <v>0</v>
      </c>
      <c r="CK987">
        <f t="shared" si="1981"/>
        <v>0</v>
      </c>
      <c r="CL987">
        <f t="shared" si="1981"/>
        <v>0</v>
      </c>
      <c r="CM987">
        <f t="shared" si="1982"/>
        <v>0</v>
      </c>
      <c r="CN987">
        <f t="shared" si="1982"/>
        <v>0</v>
      </c>
      <c r="CO987">
        <f t="shared" si="1982"/>
        <v>0</v>
      </c>
      <c r="CP987">
        <f t="shared" si="1982"/>
        <v>0</v>
      </c>
      <c r="CQ987">
        <f t="shared" si="1982"/>
        <v>0</v>
      </c>
      <c r="CR987">
        <f t="shared" si="1982"/>
        <v>0</v>
      </c>
      <c r="CS987">
        <f t="shared" si="1982"/>
        <v>0</v>
      </c>
      <c r="CT987">
        <f t="shared" si="1982"/>
        <v>0</v>
      </c>
      <c r="CU987">
        <f t="shared" si="1982"/>
        <v>0</v>
      </c>
      <c r="CV987">
        <f t="shared" si="1982"/>
        <v>0</v>
      </c>
      <c r="CW987">
        <f t="shared" si="1983"/>
        <v>0</v>
      </c>
      <c r="CX987">
        <f t="shared" si="1983"/>
        <v>0</v>
      </c>
      <c r="CY987">
        <f t="shared" si="1983"/>
        <v>0</v>
      </c>
      <c r="CZ987">
        <f t="shared" si="1983"/>
        <v>0</v>
      </c>
      <c r="DA987">
        <f t="shared" si="1983"/>
        <v>0</v>
      </c>
      <c r="DB987">
        <f t="shared" si="1983"/>
        <v>0</v>
      </c>
      <c r="DC987">
        <f t="shared" si="1983"/>
        <v>0</v>
      </c>
      <c r="DD987">
        <f t="shared" si="1983"/>
        <v>0</v>
      </c>
      <c r="DE987">
        <f t="shared" si="1983"/>
        <v>0</v>
      </c>
      <c r="DF987">
        <f t="shared" si="1983"/>
        <v>0</v>
      </c>
      <c r="DG987">
        <f t="shared" si="1984"/>
        <v>0</v>
      </c>
      <c r="DH987">
        <f t="shared" si="1984"/>
        <v>0</v>
      </c>
      <c r="DI987">
        <f t="shared" si="1984"/>
        <v>0</v>
      </c>
      <c r="DJ987">
        <f t="shared" si="1984"/>
        <v>0</v>
      </c>
      <c r="DK987">
        <f t="shared" si="1984"/>
        <v>0</v>
      </c>
      <c r="DL987">
        <f t="shared" si="1984"/>
        <v>0</v>
      </c>
      <c r="DM987">
        <f t="shared" si="1984"/>
        <v>0</v>
      </c>
      <c r="DN987">
        <f t="shared" si="1984"/>
        <v>0</v>
      </c>
      <c r="DO987">
        <f t="shared" si="1984"/>
        <v>0</v>
      </c>
      <c r="DP987">
        <f t="shared" si="1984"/>
        <v>0</v>
      </c>
      <c r="DQ987">
        <f t="shared" si="1985"/>
        <v>0</v>
      </c>
      <c r="DR987">
        <f t="shared" si="1985"/>
        <v>0</v>
      </c>
      <c r="DS987">
        <f t="shared" si="1985"/>
        <v>0</v>
      </c>
      <c r="DT987">
        <f t="shared" si="1985"/>
        <v>0</v>
      </c>
      <c r="DU987">
        <f t="shared" si="1985"/>
        <v>0</v>
      </c>
      <c r="DV987">
        <f t="shared" si="1985"/>
        <v>0</v>
      </c>
      <c r="DW987">
        <f t="shared" si="1985"/>
        <v>0</v>
      </c>
      <c r="DX987">
        <f t="shared" si="1985"/>
        <v>0</v>
      </c>
      <c r="DY987">
        <f t="shared" si="1985"/>
        <v>0</v>
      </c>
      <c r="DZ987">
        <f t="shared" si="1985"/>
        <v>0</v>
      </c>
      <c r="EA987">
        <f t="shared" ref="EA987:EF987" si="1988">IF($C987&lt;&gt;"",IF(BL987&gt;0,1,0),0)</f>
        <v>0</v>
      </c>
      <c r="EB987">
        <f t="shared" si="1988"/>
        <v>0</v>
      </c>
      <c r="EC987">
        <f t="shared" si="1988"/>
        <v>0</v>
      </c>
      <c r="ED987">
        <f t="shared" si="1988"/>
        <v>0</v>
      </c>
      <c r="EE987">
        <f t="shared" si="1988"/>
        <v>0</v>
      </c>
      <c r="EF987">
        <f t="shared" si="1988"/>
        <v>0</v>
      </c>
    </row>
    <row r="988" spans="1:136" ht="15.5">
      <c r="A988" s="90"/>
      <c r="B988" s="57"/>
      <c r="C988" s="94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  <c r="AK988" s="18"/>
      <c r="AL988" s="18"/>
      <c r="AM988" s="18"/>
      <c r="AN988" s="18"/>
      <c r="AO988" s="18"/>
      <c r="AP988" s="18"/>
      <c r="AQ988" s="18"/>
      <c r="AR988" s="18"/>
      <c r="AS988" s="18"/>
      <c r="AT988" s="18"/>
      <c r="AU988" s="18"/>
      <c r="AV988" s="18"/>
      <c r="AW988" s="18"/>
      <c r="AX988" s="18"/>
      <c r="AY988" s="18"/>
      <c r="AZ988" s="18"/>
      <c r="BA988" s="18"/>
      <c r="BB988" s="18"/>
      <c r="BC988" s="18"/>
      <c r="BD988" s="18"/>
      <c r="BE988" s="18"/>
      <c r="BF988" s="18"/>
      <c r="BG988" s="18"/>
      <c r="BH988" s="113"/>
      <c r="BI988" s="113"/>
      <c r="BJ988" s="113"/>
      <c r="BK988" s="113"/>
      <c r="BL988" s="4"/>
      <c r="BM988" s="2"/>
      <c r="BN988" s="2"/>
      <c r="BO988" s="2"/>
      <c r="BP988" s="2"/>
      <c r="BQ988" s="2"/>
      <c r="BR988" s="101"/>
    </row>
    <row r="989" spans="1:136" ht="15.5">
      <c r="A989" s="93">
        <v>125</v>
      </c>
      <c r="B989" s="54" t="s">
        <v>126</v>
      </c>
      <c r="C989" s="94">
        <v>3</v>
      </c>
      <c r="D989" s="22"/>
      <c r="E989" s="22"/>
      <c r="F989" s="22">
        <f>SUM(F990:F994)</f>
        <v>0</v>
      </c>
      <c r="G989" s="22">
        <f t="shared" ref="G989:BO989" si="1989">SUM(G990:G994)</f>
        <v>0</v>
      </c>
      <c r="H989" s="22">
        <f t="shared" si="1989"/>
        <v>0</v>
      </c>
      <c r="I989" s="22">
        <f t="shared" si="1989"/>
        <v>0</v>
      </c>
      <c r="J989" s="22">
        <f t="shared" si="1989"/>
        <v>0</v>
      </c>
      <c r="K989" s="22">
        <f t="shared" si="1989"/>
        <v>0</v>
      </c>
      <c r="L989" s="22">
        <f t="shared" si="1989"/>
        <v>0</v>
      </c>
      <c r="M989" s="22">
        <f t="shared" si="1989"/>
        <v>0</v>
      </c>
      <c r="N989" s="22">
        <f t="shared" si="1989"/>
        <v>0</v>
      </c>
      <c r="O989" s="22">
        <f t="shared" si="1989"/>
        <v>0</v>
      </c>
      <c r="P989" s="22">
        <f t="shared" si="1989"/>
        <v>0</v>
      </c>
      <c r="Q989" s="22">
        <f t="shared" si="1989"/>
        <v>0</v>
      </c>
      <c r="R989" s="22">
        <f t="shared" si="1989"/>
        <v>0.35</v>
      </c>
      <c r="S989" s="22">
        <f t="shared" si="1989"/>
        <v>0</v>
      </c>
      <c r="T989" s="22">
        <f t="shared" si="1989"/>
        <v>0</v>
      </c>
      <c r="U989" s="22">
        <f t="shared" si="1989"/>
        <v>0</v>
      </c>
      <c r="V989" s="22">
        <f t="shared" si="1989"/>
        <v>0</v>
      </c>
      <c r="W989" s="22">
        <f t="shared" si="1989"/>
        <v>0</v>
      </c>
      <c r="X989" s="22">
        <f t="shared" si="1989"/>
        <v>0</v>
      </c>
      <c r="Y989" s="22">
        <f t="shared" si="1989"/>
        <v>0.65900000000000003</v>
      </c>
      <c r="Z989" s="22">
        <f t="shared" si="1989"/>
        <v>2.1709999999999998</v>
      </c>
      <c r="AA989" s="22">
        <f t="shared" si="1989"/>
        <v>2.7569999999999997</v>
      </c>
      <c r="AB989" s="22">
        <f t="shared" si="1989"/>
        <v>1.5609999999999999</v>
      </c>
      <c r="AC989" s="22">
        <f t="shared" si="1989"/>
        <v>1.69</v>
      </c>
      <c r="AD989" s="22">
        <f t="shared" si="1989"/>
        <v>0</v>
      </c>
      <c r="AE989" s="22">
        <f t="shared" si="1989"/>
        <v>0</v>
      </c>
      <c r="AF989" s="22">
        <f t="shared" si="1989"/>
        <v>4.8000000000000001E-2</v>
      </c>
      <c r="AG989" s="22">
        <f t="shared" si="1989"/>
        <v>0.14799999999999999</v>
      </c>
      <c r="AH989" s="22">
        <f t="shared" si="1989"/>
        <v>0</v>
      </c>
      <c r="AI989" s="22">
        <f t="shared" si="1989"/>
        <v>7.0000000000000001E-3</v>
      </c>
      <c r="AJ989" s="22">
        <f t="shared" si="1989"/>
        <v>0</v>
      </c>
      <c r="AK989" s="22">
        <f t="shared" si="1989"/>
        <v>0.30200000000000005</v>
      </c>
      <c r="AL989" s="22">
        <f t="shared" si="1989"/>
        <v>0</v>
      </c>
      <c r="AM989" s="22">
        <f t="shared" si="1989"/>
        <v>0</v>
      </c>
      <c r="AN989" s="22">
        <f t="shared" si="1989"/>
        <v>3.0000000000000001E-3</v>
      </c>
      <c r="AO989" s="22">
        <f t="shared" si="1989"/>
        <v>1.7000000000000001E-2</v>
      </c>
      <c r="AP989" s="22">
        <f t="shared" si="1989"/>
        <v>0</v>
      </c>
      <c r="AQ989" s="22">
        <f t="shared" si="1989"/>
        <v>0</v>
      </c>
      <c r="AR989" s="22">
        <f t="shared" si="1989"/>
        <v>0</v>
      </c>
      <c r="AS989" s="22">
        <f t="shared" si="1989"/>
        <v>2.37951E-2</v>
      </c>
      <c r="AT989" s="22">
        <f t="shared" si="1989"/>
        <v>5.6629800000000001E-2</v>
      </c>
      <c r="AU989" s="22">
        <f t="shared" si="1989"/>
        <v>0</v>
      </c>
      <c r="AV989" s="22">
        <f t="shared" si="1989"/>
        <v>0</v>
      </c>
      <c r="AW989" s="22">
        <f t="shared" si="1989"/>
        <v>0</v>
      </c>
      <c r="AX989" s="22">
        <f t="shared" si="1989"/>
        <v>12.1486631</v>
      </c>
      <c r="AY989" s="22">
        <f t="shared" si="1989"/>
        <v>19</v>
      </c>
      <c r="AZ989" s="22">
        <f t="shared" si="1989"/>
        <v>0</v>
      </c>
      <c r="BA989" s="22">
        <f t="shared" si="1989"/>
        <v>9.3633999999999992E-3</v>
      </c>
      <c r="BB989" s="22">
        <f t="shared" si="1989"/>
        <v>0</v>
      </c>
      <c r="BC989" s="22">
        <f t="shared" si="1989"/>
        <v>0</v>
      </c>
      <c r="BD989" s="22">
        <f t="shared" si="1989"/>
        <v>6.69E-4</v>
      </c>
      <c r="BE989" s="22">
        <f t="shared" si="1989"/>
        <v>0</v>
      </c>
      <c r="BF989" s="22">
        <f t="shared" si="1989"/>
        <v>0</v>
      </c>
      <c r="BG989" s="22">
        <f t="shared" si="1989"/>
        <v>0</v>
      </c>
      <c r="BH989" s="22">
        <f t="shared" si="1989"/>
        <v>0</v>
      </c>
      <c r="BI989" s="22">
        <f t="shared" si="1989"/>
        <v>0</v>
      </c>
      <c r="BJ989" s="22">
        <f t="shared" si="1989"/>
        <v>0</v>
      </c>
      <c r="BK989" s="22">
        <f t="shared" si="1989"/>
        <v>0</v>
      </c>
      <c r="BL989" s="22">
        <f t="shared" si="1989"/>
        <v>9.7137430000000009</v>
      </c>
      <c r="BM989" s="22">
        <f t="shared" si="1989"/>
        <v>18.4355042</v>
      </c>
      <c r="BN989" s="22">
        <f t="shared" si="1989"/>
        <v>0</v>
      </c>
      <c r="BO989" s="22">
        <f t="shared" si="1989"/>
        <v>0</v>
      </c>
      <c r="BP989" s="22">
        <f>SUM(BP990:BP994)</f>
        <v>0</v>
      </c>
      <c r="BQ989" s="22">
        <f>SUM(BQ990:BQ994)</f>
        <v>0</v>
      </c>
      <c r="BR989" s="101"/>
      <c r="BS989">
        <f t="shared" ref="BS989:CX989" si="1990">IF($C989&lt;&gt;"",IF(D989&gt;0,1,0),0)</f>
        <v>0</v>
      </c>
      <c r="BT989">
        <f t="shared" si="1990"/>
        <v>0</v>
      </c>
      <c r="BU989">
        <f t="shared" si="1990"/>
        <v>0</v>
      </c>
      <c r="BV989">
        <f t="shared" si="1990"/>
        <v>0</v>
      </c>
      <c r="BW989">
        <f t="shared" si="1990"/>
        <v>0</v>
      </c>
      <c r="BX989">
        <f t="shared" si="1990"/>
        <v>0</v>
      </c>
      <c r="BY989">
        <f t="shared" si="1990"/>
        <v>0</v>
      </c>
      <c r="BZ989">
        <f t="shared" si="1990"/>
        <v>0</v>
      </c>
      <c r="CA989">
        <f t="shared" si="1990"/>
        <v>0</v>
      </c>
      <c r="CB989">
        <f t="shared" si="1990"/>
        <v>0</v>
      </c>
      <c r="CC989">
        <f t="shared" si="1990"/>
        <v>0</v>
      </c>
      <c r="CD989">
        <f t="shared" si="1990"/>
        <v>0</v>
      </c>
      <c r="CE989">
        <f t="shared" si="1990"/>
        <v>0</v>
      </c>
      <c r="CF989">
        <f t="shared" si="1990"/>
        <v>0</v>
      </c>
      <c r="CG989">
        <f t="shared" si="1990"/>
        <v>1</v>
      </c>
      <c r="CH989">
        <f t="shared" si="1990"/>
        <v>0</v>
      </c>
      <c r="CI989">
        <f t="shared" si="1990"/>
        <v>0</v>
      </c>
      <c r="CJ989">
        <f t="shared" si="1990"/>
        <v>0</v>
      </c>
      <c r="CK989">
        <f t="shared" si="1990"/>
        <v>0</v>
      </c>
      <c r="CL989">
        <f t="shared" si="1990"/>
        <v>0</v>
      </c>
      <c r="CM989">
        <f t="shared" si="1990"/>
        <v>0</v>
      </c>
      <c r="CN989">
        <f t="shared" si="1990"/>
        <v>1</v>
      </c>
      <c r="CO989">
        <f t="shared" si="1990"/>
        <v>1</v>
      </c>
      <c r="CP989">
        <f t="shared" si="1990"/>
        <v>1</v>
      </c>
      <c r="CQ989">
        <f t="shared" si="1990"/>
        <v>1</v>
      </c>
      <c r="CR989">
        <f t="shared" si="1990"/>
        <v>1</v>
      </c>
      <c r="CS989">
        <f t="shared" si="1990"/>
        <v>0</v>
      </c>
      <c r="CT989">
        <f t="shared" si="1990"/>
        <v>0</v>
      </c>
      <c r="CU989">
        <f t="shared" si="1990"/>
        <v>1</v>
      </c>
      <c r="CV989">
        <f t="shared" si="1990"/>
        <v>1</v>
      </c>
      <c r="CW989">
        <f t="shared" si="1990"/>
        <v>0</v>
      </c>
      <c r="CX989">
        <f t="shared" si="1990"/>
        <v>1</v>
      </c>
      <c r="CY989">
        <f t="shared" ref="CY989:ED989" si="1991">IF($C989&lt;&gt;"",IF(AJ989&gt;0,1,0),0)</f>
        <v>0</v>
      </c>
      <c r="CZ989">
        <f t="shared" si="1991"/>
        <v>1</v>
      </c>
      <c r="DA989">
        <f t="shared" si="1991"/>
        <v>0</v>
      </c>
      <c r="DB989">
        <f t="shared" si="1991"/>
        <v>0</v>
      </c>
      <c r="DC989">
        <f t="shared" si="1991"/>
        <v>1</v>
      </c>
      <c r="DD989">
        <f t="shared" si="1991"/>
        <v>1</v>
      </c>
      <c r="DE989">
        <f t="shared" si="1991"/>
        <v>0</v>
      </c>
      <c r="DF989">
        <f t="shared" si="1991"/>
        <v>0</v>
      </c>
      <c r="DG989">
        <f t="shared" si="1991"/>
        <v>0</v>
      </c>
      <c r="DH989">
        <f t="shared" si="1991"/>
        <v>1</v>
      </c>
      <c r="DI989">
        <f t="shared" si="1991"/>
        <v>1</v>
      </c>
      <c r="DJ989">
        <f t="shared" si="1991"/>
        <v>0</v>
      </c>
      <c r="DK989">
        <f t="shared" si="1991"/>
        <v>0</v>
      </c>
      <c r="DL989">
        <f t="shared" si="1991"/>
        <v>0</v>
      </c>
      <c r="DM989">
        <f t="shared" si="1991"/>
        <v>1</v>
      </c>
      <c r="DN989">
        <f t="shared" si="1991"/>
        <v>1</v>
      </c>
      <c r="DO989">
        <f t="shared" si="1991"/>
        <v>0</v>
      </c>
      <c r="DP989">
        <f t="shared" si="1991"/>
        <v>1</v>
      </c>
      <c r="DQ989">
        <f t="shared" si="1991"/>
        <v>0</v>
      </c>
      <c r="DR989">
        <f t="shared" si="1991"/>
        <v>0</v>
      </c>
      <c r="DS989">
        <f t="shared" si="1991"/>
        <v>1</v>
      </c>
      <c r="DT989">
        <f t="shared" si="1991"/>
        <v>0</v>
      </c>
      <c r="DU989">
        <f t="shared" si="1991"/>
        <v>0</v>
      </c>
      <c r="DV989">
        <f t="shared" si="1991"/>
        <v>0</v>
      </c>
      <c r="DW989">
        <f t="shared" si="1991"/>
        <v>0</v>
      </c>
      <c r="DX989">
        <f t="shared" si="1991"/>
        <v>0</v>
      </c>
      <c r="DY989">
        <f t="shared" si="1991"/>
        <v>0</v>
      </c>
      <c r="DZ989">
        <f t="shared" si="1991"/>
        <v>0</v>
      </c>
      <c r="EA989">
        <f t="shared" si="1991"/>
        <v>1</v>
      </c>
      <c r="EB989">
        <f t="shared" si="1991"/>
        <v>1</v>
      </c>
      <c r="EC989">
        <f t="shared" si="1991"/>
        <v>0</v>
      </c>
      <c r="ED989">
        <f t="shared" si="1991"/>
        <v>0</v>
      </c>
      <c r="EE989">
        <f t="shared" ref="EE989:EF989" si="1992">IF($C989&lt;&gt;"",IF(BP989&gt;0,1,0),0)</f>
        <v>0</v>
      </c>
      <c r="EF989">
        <f t="shared" si="1992"/>
        <v>0</v>
      </c>
    </row>
    <row r="990" spans="1:136" ht="15.5">
      <c r="A990" s="90"/>
      <c r="B990" s="57" t="s">
        <v>202</v>
      </c>
      <c r="C990" s="94"/>
      <c r="D990" s="18"/>
      <c r="E990" s="18"/>
      <c r="F990" s="18">
        <v>0</v>
      </c>
      <c r="G990" s="18">
        <v>0</v>
      </c>
      <c r="H990" s="18">
        <v>0</v>
      </c>
      <c r="I990" s="18">
        <v>0</v>
      </c>
      <c r="J990" s="18">
        <v>0</v>
      </c>
      <c r="K990" s="18">
        <v>0</v>
      </c>
      <c r="L990" s="18">
        <v>0</v>
      </c>
      <c r="M990" s="18">
        <v>0</v>
      </c>
      <c r="N990" s="18">
        <v>0</v>
      </c>
      <c r="O990" s="18">
        <v>0</v>
      </c>
      <c r="P990" s="18">
        <v>0</v>
      </c>
      <c r="Q990" s="18">
        <v>0</v>
      </c>
      <c r="R990" s="18">
        <v>0</v>
      </c>
      <c r="S990" s="18">
        <v>0</v>
      </c>
      <c r="T990" s="18">
        <v>0</v>
      </c>
      <c r="U990" s="18">
        <v>0</v>
      </c>
      <c r="V990" s="18">
        <v>0</v>
      </c>
      <c r="W990" s="18">
        <v>0</v>
      </c>
      <c r="X990" s="18">
        <v>0</v>
      </c>
      <c r="Y990" s="18">
        <v>0</v>
      </c>
      <c r="Z990" s="18">
        <v>0</v>
      </c>
      <c r="AA990" s="18">
        <v>0</v>
      </c>
      <c r="AB990" s="18">
        <v>0</v>
      </c>
      <c r="AC990" s="18">
        <v>0</v>
      </c>
      <c r="AD990" s="18">
        <v>0</v>
      </c>
      <c r="AE990" s="18">
        <v>0</v>
      </c>
      <c r="AF990" s="18">
        <v>0</v>
      </c>
      <c r="AG990" s="18">
        <v>0</v>
      </c>
      <c r="AH990" s="18">
        <v>0</v>
      </c>
      <c r="AI990" s="18">
        <v>0</v>
      </c>
      <c r="AJ990" s="18">
        <v>0</v>
      </c>
      <c r="AK990" s="18">
        <v>0</v>
      </c>
      <c r="AL990" s="18">
        <v>0</v>
      </c>
      <c r="AM990" s="18">
        <v>0</v>
      </c>
      <c r="AN990" s="18">
        <v>0</v>
      </c>
      <c r="AO990" s="18">
        <v>0</v>
      </c>
      <c r="AP990" s="18">
        <v>0</v>
      </c>
      <c r="AQ990" s="18">
        <v>0</v>
      </c>
      <c r="AR990" s="18">
        <v>0</v>
      </c>
      <c r="AS990" s="18">
        <v>0</v>
      </c>
      <c r="AT990" s="18">
        <v>0</v>
      </c>
      <c r="AU990" s="18">
        <v>0</v>
      </c>
      <c r="AV990" s="18">
        <v>0</v>
      </c>
      <c r="AW990" s="18">
        <v>0</v>
      </c>
      <c r="AX990" s="18">
        <v>0</v>
      </c>
      <c r="AY990" s="18">
        <v>19</v>
      </c>
      <c r="AZ990" s="18">
        <v>0</v>
      </c>
      <c r="BA990" s="18">
        <v>0</v>
      </c>
      <c r="BB990" s="18">
        <v>0</v>
      </c>
      <c r="BC990" s="18">
        <v>0</v>
      </c>
      <c r="BD990" s="18">
        <v>0</v>
      </c>
      <c r="BE990" s="18">
        <v>0</v>
      </c>
      <c r="BF990" s="18">
        <v>0</v>
      </c>
      <c r="BG990" s="18">
        <v>0</v>
      </c>
      <c r="BH990" s="18">
        <v>0</v>
      </c>
      <c r="BI990" s="18">
        <v>0</v>
      </c>
      <c r="BJ990" s="113">
        <v>0</v>
      </c>
      <c r="BK990" s="113">
        <v>0</v>
      </c>
      <c r="BL990" s="113">
        <v>0</v>
      </c>
      <c r="BM990" s="113">
        <v>0</v>
      </c>
      <c r="BN990" s="113">
        <v>0</v>
      </c>
      <c r="BO990" s="113">
        <v>0</v>
      </c>
      <c r="BP990" s="113">
        <v>0</v>
      </c>
      <c r="BQ990" s="113">
        <v>0</v>
      </c>
      <c r="BR990" s="101"/>
      <c r="BS990">
        <f t="shared" ref="BS990:CB994" si="1993">IF($C990&lt;&gt;"",IF(D990&gt;0,1,0),0)</f>
        <v>0</v>
      </c>
      <c r="BT990">
        <f t="shared" si="1993"/>
        <v>0</v>
      </c>
      <c r="BU990">
        <f t="shared" si="1993"/>
        <v>0</v>
      </c>
      <c r="BV990">
        <f t="shared" si="1993"/>
        <v>0</v>
      </c>
      <c r="BW990">
        <f t="shared" si="1993"/>
        <v>0</v>
      </c>
      <c r="BX990">
        <f t="shared" si="1993"/>
        <v>0</v>
      </c>
      <c r="BY990">
        <f t="shared" si="1993"/>
        <v>0</v>
      </c>
      <c r="BZ990">
        <f t="shared" si="1993"/>
        <v>0</v>
      </c>
      <c r="CA990">
        <f t="shared" si="1993"/>
        <v>0</v>
      </c>
      <c r="CB990">
        <f t="shared" si="1993"/>
        <v>0</v>
      </c>
      <c r="CC990">
        <f t="shared" ref="CC990:CL994" si="1994">IF($C990&lt;&gt;"",IF(N990&gt;0,1,0),0)</f>
        <v>0</v>
      </c>
      <c r="CD990">
        <f t="shared" si="1994"/>
        <v>0</v>
      </c>
      <c r="CE990">
        <f t="shared" si="1994"/>
        <v>0</v>
      </c>
      <c r="CF990">
        <f t="shared" si="1994"/>
        <v>0</v>
      </c>
      <c r="CG990">
        <f t="shared" si="1994"/>
        <v>0</v>
      </c>
      <c r="CH990">
        <f t="shared" si="1994"/>
        <v>0</v>
      </c>
      <c r="CI990">
        <f t="shared" si="1994"/>
        <v>0</v>
      </c>
      <c r="CJ990">
        <f t="shared" si="1994"/>
        <v>0</v>
      </c>
      <c r="CK990">
        <f t="shared" si="1994"/>
        <v>0</v>
      </c>
      <c r="CL990">
        <f t="shared" si="1994"/>
        <v>0</v>
      </c>
      <c r="CM990">
        <f t="shared" ref="CM990:CV994" si="1995">IF($C990&lt;&gt;"",IF(X990&gt;0,1,0),0)</f>
        <v>0</v>
      </c>
      <c r="CN990">
        <f t="shared" si="1995"/>
        <v>0</v>
      </c>
      <c r="CO990">
        <f t="shared" si="1995"/>
        <v>0</v>
      </c>
      <c r="CP990">
        <f t="shared" si="1995"/>
        <v>0</v>
      </c>
      <c r="CQ990">
        <f t="shared" si="1995"/>
        <v>0</v>
      </c>
      <c r="CR990">
        <f t="shared" si="1995"/>
        <v>0</v>
      </c>
      <c r="CS990">
        <f t="shared" si="1995"/>
        <v>0</v>
      </c>
      <c r="CT990">
        <f t="shared" si="1995"/>
        <v>0</v>
      </c>
      <c r="CU990">
        <f t="shared" si="1995"/>
        <v>0</v>
      </c>
      <c r="CV990">
        <f t="shared" si="1995"/>
        <v>0</v>
      </c>
      <c r="CW990">
        <f t="shared" ref="CW990:DF994" si="1996">IF($C990&lt;&gt;"",IF(AH990&gt;0,1,0),0)</f>
        <v>0</v>
      </c>
      <c r="CX990">
        <f t="shared" si="1996"/>
        <v>0</v>
      </c>
      <c r="CY990">
        <f t="shared" si="1996"/>
        <v>0</v>
      </c>
      <c r="CZ990">
        <f t="shared" si="1996"/>
        <v>0</v>
      </c>
      <c r="DA990">
        <f t="shared" si="1996"/>
        <v>0</v>
      </c>
      <c r="DB990">
        <f t="shared" si="1996"/>
        <v>0</v>
      </c>
      <c r="DC990">
        <f t="shared" si="1996"/>
        <v>0</v>
      </c>
      <c r="DD990">
        <f t="shared" si="1996"/>
        <v>0</v>
      </c>
      <c r="DE990">
        <f t="shared" si="1996"/>
        <v>0</v>
      </c>
      <c r="DF990">
        <f t="shared" si="1996"/>
        <v>0</v>
      </c>
      <c r="DG990">
        <f t="shared" ref="DG990:DP994" si="1997">IF($C990&lt;&gt;"",IF(AR990&gt;0,1,0),0)</f>
        <v>0</v>
      </c>
      <c r="DH990">
        <f t="shared" si="1997"/>
        <v>0</v>
      </c>
      <c r="DI990">
        <f t="shared" si="1997"/>
        <v>0</v>
      </c>
      <c r="DJ990">
        <f t="shared" si="1997"/>
        <v>0</v>
      </c>
      <c r="DK990">
        <f t="shared" si="1997"/>
        <v>0</v>
      </c>
      <c r="DL990">
        <f t="shared" si="1997"/>
        <v>0</v>
      </c>
      <c r="DM990">
        <f t="shared" si="1997"/>
        <v>0</v>
      </c>
      <c r="DN990">
        <f t="shared" si="1997"/>
        <v>0</v>
      </c>
      <c r="DO990">
        <f t="shared" si="1997"/>
        <v>0</v>
      </c>
      <c r="DP990">
        <f t="shared" si="1997"/>
        <v>0</v>
      </c>
      <c r="DQ990">
        <f t="shared" ref="DQ990:DZ994" si="1998">IF($C990&lt;&gt;"",IF(BB990&gt;0,1,0),0)</f>
        <v>0</v>
      </c>
      <c r="DR990">
        <f t="shared" si="1998"/>
        <v>0</v>
      </c>
      <c r="DS990">
        <f t="shared" si="1998"/>
        <v>0</v>
      </c>
      <c r="DT990">
        <f t="shared" si="1998"/>
        <v>0</v>
      </c>
      <c r="DU990">
        <f t="shared" si="1998"/>
        <v>0</v>
      </c>
      <c r="DV990">
        <f t="shared" si="1998"/>
        <v>0</v>
      </c>
      <c r="DW990">
        <f t="shared" si="1998"/>
        <v>0</v>
      </c>
      <c r="DX990">
        <f t="shared" si="1998"/>
        <v>0</v>
      </c>
      <c r="DY990">
        <f t="shared" si="1998"/>
        <v>0</v>
      </c>
      <c r="DZ990">
        <f t="shared" si="1998"/>
        <v>0</v>
      </c>
      <c r="EA990">
        <f t="shared" ref="EA990:EF990" si="1999">IF($C990&lt;&gt;"",IF(BL987&gt;0,1,0),0)</f>
        <v>0</v>
      </c>
      <c r="EB990">
        <f t="shared" si="1999"/>
        <v>0</v>
      </c>
      <c r="EC990">
        <f t="shared" si="1999"/>
        <v>0</v>
      </c>
      <c r="ED990">
        <f t="shared" si="1999"/>
        <v>0</v>
      </c>
      <c r="EE990">
        <f t="shared" si="1999"/>
        <v>0</v>
      </c>
      <c r="EF990">
        <f t="shared" si="1999"/>
        <v>0</v>
      </c>
    </row>
    <row r="991" spans="1:136" ht="15.5">
      <c r="A991" s="90"/>
      <c r="B991" s="19" t="s">
        <v>2</v>
      </c>
      <c r="C991" s="94"/>
      <c r="D991" s="22"/>
      <c r="E991" s="22"/>
      <c r="F991" s="18">
        <v>0</v>
      </c>
      <c r="G991" s="18">
        <v>0</v>
      </c>
      <c r="H991" s="18">
        <v>0</v>
      </c>
      <c r="I991" s="18">
        <v>0</v>
      </c>
      <c r="J991" s="18">
        <v>0</v>
      </c>
      <c r="K991" s="18">
        <v>0</v>
      </c>
      <c r="L991" s="18">
        <v>0</v>
      </c>
      <c r="M991" s="18">
        <v>0</v>
      </c>
      <c r="N991" s="18">
        <v>0</v>
      </c>
      <c r="O991" s="18">
        <v>0</v>
      </c>
      <c r="P991" s="18">
        <v>0</v>
      </c>
      <c r="Q991" s="18">
        <v>0</v>
      </c>
      <c r="R991" s="18">
        <v>0</v>
      </c>
      <c r="S991" s="18">
        <v>0</v>
      </c>
      <c r="T991" s="18">
        <v>0</v>
      </c>
      <c r="U991" s="18">
        <v>0</v>
      </c>
      <c r="V991" s="18">
        <v>0</v>
      </c>
      <c r="W991" s="18">
        <v>0</v>
      </c>
      <c r="X991" s="18">
        <v>0</v>
      </c>
      <c r="Y991" s="18">
        <v>0</v>
      </c>
      <c r="Z991" s="18">
        <v>0</v>
      </c>
      <c r="AA991" s="18">
        <v>0</v>
      </c>
      <c r="AB991" s="18">
        <v>0</v>
      </c>
      <c r="AC991" s="18">
        <v>0</v>
      </c>
      <c r="AD991" s="18">
        <v>0</v>
      </c>
      <c r="AE991" s="18">
        <v>0</v>
      </c>
      <c r="AF991" s="18">
        <v>0</v>
      </c>
      <c r="AG991" s="18">
        <v>0</v>
      </c>
      <c r="AH991" s="18">
        <v>0</v>
      </c>
      <c r="AI991" s="18">
        <v>0</v>
      </c>
      <c r="AJ991" s="18">
        <v>0</v>
      </c>
      <c r="AK991" s="18">
        <v>0</v>
      </c>
      <c r="AL991" s="18">
        <v>0</v>
      </c>
      <c r="AM991" s="18">
        <v>0</v>
      </c>
      <c r="AN991" s="18">
        <v>0</v>
      </c>
      <c r="AO991" s="18">
        <v>0</v>
      </c>
      <c r="AP991" s="18">
        <v>0</v>
      </c>
      <c r="AQ991" s="18">
        <v>0</v>
      </c>
      <c r="AR991" s="18">
        <v>0</v>
      </c>
      <c r="AS991" s="18">
        <v>0</v>
      </c>
      <c r="AT991" s="18">
        <v>0</v>
      </c>
      <c r="AU991" s="18">
        <v>0</v>
      </c>
      <c r="AV991" s="18">
        <v>0</v>
      </c>
      <c r="AW991" s="18">
        <v>0</v>
      </c>
      <c r="AX991" s="18">
        <v>0</v>
      </c>
      <c r="AY991" s="18">
        <v>0</v>
      </c>
      <c r="AZ991" s="18">
        <v>0</v>
      </c>
      <c r="BA991" s="18">
        <v>0</v>
      </c>
      <c r="BB991" s="18">
        <v>0</v>
      </c>
      <c r="BC991" s="18">
        <v>0</v>
      </c>
      <c r="BD991" s="18">
        <v>0</v>
      </c>
      <c r="BE991" s="18">
        <v>0</v>
      </c>
      <c r="BF991" s="18">
        <v>0</v>
      </c>
      <c r="BG991" s="18">
        <v>0</v>
      </c>
      <c r="BH991" s="18">
        <v>0</v>
      </c>
      <c r="BI991" s="18">
        <v>0</v>
      </c>
      <c r="BJ991" s="18">
        <v>0</v>
      </c>
      <c r="BK991" s="18">
        <v>0</v>
      </c>
      <c r="BL991" s="113">
        <v>1</v>
      </c>
      <c r="BM991" s="113">
        <v>2</v>
      </c>
      <c r="BN991" s="113">
        <v>0</v>
      </c>
      <c r="BO991" s="113">
        <v>0</v>
      </c>
      <c r="BP991" s="113">
        <v>0</v>
      </c>
      <c r="BQ991" s="113">
        <v>0</v>
      </c>
      <c r="BR991" s="101"/>
      <c r="BS991">
        <f t="shared" si="1993"/>
        <v>0</v>
      </c>
      <c r="BT991">
        <f t="shared" si="1993"/>
        <v>0</v>
      </c>
      <c r="BU991">
        <f t="shared" si="1993"/>
        <v>0</v>
      </c>
      <c r="BV991">
        <f t="shared" si="1993"/>
        <v>0</v>
      </c>
      <c r="BW991">
        <f t="shared" si="1993"/>
        <v>0</v>
      </c>
      <c r="BX991">
        <f t="shared" si="1993"/>
        <v>0</v>
      </c>
      <c r="BY991">
        <f t="shared" si="1993"/>
        <v>0</v>
      </c>
      <c r="BZ991">
        <f t="shared" si="1993"/>
        <v>0</v>
      </c>
      <c r="CA991">
        <f t="shared" si="1993"/>
        <v>0</v>
      </c>
      <c r="CB991">
        <f t="shared" si="1993"/>
        <v>0</v>
      </c>
      <c r="CC991">
        <f t="shared" si="1994"/>
        <v>0</v>
      </c>
      <c r="CD991">
        <f t="shared" si="1994"/>
        <v>0</v>
      </c>
      <c r="CE991">
        <f t="shared" si="1994"/>
        <v>0</v>
      </c>
      <c r="CF991">
        <f t="shared" si="1994"/>
        <v>0</v>
      </c>
      <c r="CG991">
        <f t="shared" si="1994"/>
        <v>0</v>
      </c>
      <c r="CH991">
        <f t="shared" si="1994"/>
        <v>0</v>
      </c>
      <c r="CI991">
        <f t="shared" si="1994"/>
        <v>0</v>
      </c>
      <c r="CJ991">
        <f t="shared" si="1994"/>
        <v>0</v>
      </c>
      <c r="CK991">
        <f t="shared" si="1994"/>
        <v>0</v>
      </c>
      <c r="CL991">
        <f t="shared" si="1994"/>
        <v>0</v>
      </c>
      <c r="CM991">
        <f t="shared" si="1995"/>
        <v>0</v>
      </c>
      <c r="CN991">
        <f t="shared" si="1995"/>
        <v>0</v>
      </c>
      <c r="CO991">
        <f t="shared" si="1995"/>
        <v>0</v>
      </c>
      <c r="CP991">
        <f t="shared" si="1995"/>
        <v>0</v>
      </c>
      <c r="CQ991">
        <f t="shared" si="1995"/>
        <v>0</v>
      </c>
      <c r="CR991">
        <f t="shared" si="1995"/>
        <v>0</v>
      </c>
      <c r="CS991">
        <f t="shared" si="1995"/>
        <v>0</v>
      </c>
      <c r="CT991">
        <f t="shared" si="1995"/>
        <v>0</v>
      </c>
      <c r="CU991">
        <f t="shared" si="1995"/>
        <v>0</v>
      </c>
      <c r="CV991">
        <f t="shared" si="1995"/>
        <v>0</v>
      </c>
      <c r="CW991">
        <f t="shared" si="1996"/>
        <v>0</v>
      </c>
      <c r="CX991">
        <f t="shared" si="1996"/>
        <v>0</v>
      </c>
      <c r="CY991">
        <f t="shared" si="1996"/>
        <v>0</v>
      </c>
      <c r="CZ991">
        <f t="shared" si="1996"/>
        <v>0</v>
      </c>
      <c r="DA991">
        <f t="shared" si="1996"/>
        <v>0</v>
      </c>
      <c r="DB991">
        <f t="shared" si="1996"/>
        <v>0</v>
      </c>
      <c r="DC991">
        <f t="shared" si="1996"/>
        <v>0</v>
      </c>
      <c r="DD991">
        <f t="shared" si="1996"/>
        <v>0</v>
      </c>
      <c r="DE991">
        <f t="shared" si="1996"/>
        <v>0</v>
      </c>
      <c r="DF991">
        <f t="shared" si="1996"/>
        <v>0</v>
      </c>
      <c r="DG991">
        <f t="shared" si="1997"/>
        <v>0</v>
      </c>
      <c r="DH991">
        <f t="shared" si="1997"/>
        <v>0</v>
      </c>
      <c r="DI991">
        <f t="shared" si="1997"/>
        <v>0</v>
      </c>
      <c r="DJ991">
        <f t="shared" si="1997"/>
        <v>0</v>
      </c>
      <c r="DK991">
        <f t="shared" si="1997"/>
        <v>0</v>
      </c>
      <c r="DL991">
        <f t="shared" si="1997"/>
        <v>0</v>
      </c>
      <c r="DM991">
        <f t="shared" si="1997"/>
        <v>0</v>
      </c>
      <c r="DN991">
        <f t="shared" si="1997"/>
        <v>0</v>
      </c>
      <c r="DO991">
        <f t="shared" si="1997"/>
        <v>0</v>
      </c>
      <c r="DP991">
        <f t="shared" si="1997"/>
        <v>0</v>
      </c>
      <c r="DQ991">
        <f t="shared" si="1998"/>
        <v>0</v>
      </c>
      <c r="DR991">
        <f t="shared" si="1998"/>
        <v>0</v>
      </c>
      <c r="DS991">
        <f t="shared" si="1998"/>
        <v>0</v>
      </c>
      <c r="DT991">
        <f t="shared" si="1998"/>
        <v>0</v>
      </c>
      <c r="DU991">
        <f t="shared" si="1998"/>
        <v>0</v>
      </c>
      <c r="DV991">
        <f t="shared" si="1998"/>
        <v>0</v>
      </c>
      <c r="DW991">
        <f t="shared" si="1998"/>
        <v>0</v>
      </c>
      <c r="DX991">
        <f t="shared" si="1998"/>
        <v>0</v>
      </c>
      <c r="DY991">
        <f t="shared" si="1998"/>
        <v>0</v>
      </c>
      <c r="DZ991">
        <f t="shared" si="1998"/>
        <v>0</v>
      </c>
      <c r="EA991">
        <f t="shared" ref="EA991:EF991" si="2000">IF($C991&lt;&gt;"",IF(BL991&gt;0,1,0),0)</f>
        <v>0</v>
      </c>
      <c r="EB991">
        <f t="shared" si="2000"/>
        <v>0</v>
      </c>
      <c r="EC991">
        <f t="shared" si="2000"/>
        <v>0</v>
      </c>
      <c r="ED991">
        <f t="shared" si="2000"/>
        <v>0</v>
      </c>
      <c r="EE991">
        <f t="shared" si="2000"/>
        <v>0</v>
      </c>
      <c r="EF991">
        <f t="shared" si="2000"/>
        <v>0</v>
      </c>
    </row>
    <row r="992" spans="1:136" ht="15.5">
      <c r="A992" s="90"/>
      <c r="B992" s="57" t="s">
        <v>205</v>
      </c>
      <c r="C992" s="94"/>
      <c r="D992" s="18"/>
      <c r="E992" s="18"/>
      <c r="F992" s="18">
        <v>0</v>
      </c>
      <c r="G992" s="18">
        <v>0</v>
      </c>
      <c r="H992" s="18">
        <v>0</v>
      </c>
      <c r="I992" s="18">
        <v>0</v>
      </c>
      <c r="J992" s="18">
        <v>0</v>
      </c>
      <c r="K992" s="18">
        <v>0</v>
      </c>
      <c r="L992" s="18">
        <v>0</v>
      </c>
      <c r="M992" s="18">
        <v>0</v>
      </c>
      <c r="N992" s="18">
        <v>0</v>
      </c>
      <c r="O992" s="18">
        <v>0</v>
      </c>
      <c r="P992" s="18">
        <v>0</v>
      </c>
      <c r="Q992" s="18">
        <v>0</v>
      </c>
      <c r="R992" s="18">
        <v>0</v>
      </c>
      <c r="S992" s="18">
        <v>0</v>
      </c>
      <c r="T992" s="18">
        <v>0</v>
      </c>
      <c r="U992" s="18">
        <v>0</v>
      </c>
      <c r="V992" s="18">
        <v>0</v>
      </c>
      <c r="W992" s="18">
        <v>0</v>
      </c>
      <c r="X992" s="18">
        <v>0</v>
      </c>
      <c r="Y992" s="18">
        <v>0</v>
      </c>
      <c r="Z992" s="18">
        <v>0</v>
      </c>
      <c r="AA992" s="18">
        <v>0</v>
      </c>
      <c r="AB992" s="18">
        <v>0</v>
      </c>
      <c r="AC992" s="18">
        <v>0</v>
      </c>
      <c r="AD992" s="18">
        <v>0</v>
      </c>
      <c r="AE992" s="18">
        <v>0</v>
      </c>
      <c r="AF992" s="18">
        <v>0</v>
      </c>
      <c r="AG992" s="18">
        <v>0</v>
      </c>
      <c r="AH992" s="18">
        <v>0</v>
      </c>
      <c r="AI992" s="18">
        <v>0</v>
      </c>
      <c r="AJ992" s="18">
        <v>0</v>
      </c>
      <c r="AK992" s="18">
        <v>0</v>
      </c>
      <c r="AL992" s="18">
        <v>0</v>
      </c>
      <c r="AM992" s="18">
        <v>0</v>
      </c>
      <c r="AN992" s="18">
        <v>0</v>
      </c>
      <c r="AO992" s="18">
        <v>0</v>
      </c>
      <c r="AP992" s="18">
        <v>0</v>
      </c>
      <c r="AQ992" s="18">
        <v>0</v>
      </c>
      <c r="AR992" s="18">
        <v>0</v>
      </c>
      <c r="AS992" s="18">
        <v>0</v>
      </c>
      <c r="AT992" s="18">
        <v>0</v>
      </c>
      <c r="AU992" s="18">
        <v>0</v>
      </c>
      <c r="AV992" s="18">
        <v>0</v>
      </c>
      <c r="AW992" s="18">
        <v>0</v>
      </c>
      <c r="AX992" s="18">
        <v>12.1486631</v>
      </c>
      <c r="AY992" s="18">
        <v>0</v>
      </c>
      <c r="AZ992" s="18">
        <v>0</v>
      </c>
      <c r="BA992" s="18">
        <v>0</v>
      </c>
      <c r="BB992" s="18">
        <v>0</v>
      </c>
      <c r="BC992" s="18">
        <v>0</v>
      </c>
      <c r="BD992" s="18">
        <v>0</v>
      </c>
      <c r="BE992" s="18">
        <v>0</v>
      </c>
      <c r="BF992" s="18">
        <v>0</v>
      </c>
      <c r="BG992" s="18">
        <v>0</v>
      </c>
      <c r="BH992" s="18">
        <v>0</v>
      </c>
      <c r="BI992" s="18">
        <v>0</v>
      </c>
      <c r="BJ992" s="18">
        <v>0</v>
      </c>
      <c r="BK992" s="18">
        <v>0</v>
      </c>
      <c r="BL992" s="113">
        <v>7.713743</v>
      </c>
      <c r="BM992" s="113">
        <v>16.4355042</v>
      </c>
      <c r="BN992" s="113">
        <v>0</v>
      </c>
      <c r="BO992" s="113">
        <v>0</v>
      </c>
      <c r="BP992" s="113">
        <v>0</v>
      </c>
      <c r="BQ992" s="113">
        <v>0</v>
      </c>
      <c r="BR992" s="101"/>
      <c r="BS992">
        <f t="shared" si="1993"/>
        <v>0</v>
      </c>
      <c r="BT992">
        <f t="shared" si="1993"/>
        <v>0</v>
      </c>
      <c r="BU992">
        <f t="shared" si="1993"/>
        <v>0</v>
      </c>
      <c r="BV992">
        <f t="shared" si="1993"/>
        <v>0</v>
      </c>
      <c r="BW992">
        <f t="shared" si="1993"/>
        <v>0</v>
      </c>
      <c r="BX992">
        <f t="shared" si="1993"/>
        <v>0</v>
      </c>
      <c r="BY992">
        <f t="shared" si="1993"/>
        <v>0</v>
      </c>
      <c r="BZ992">
        <f t="shared" si="1993"/>
        <v>0</v>
      </c>
      <c r="CA992">
        <f t="shared" si="1993"/>
        <v>0</v>
      </c>
      <c r="CB992">
        <f t="shared" si="1993"/>
        <v>0</v>
      </c>
      <c r="CC992">
        <f t="shared" si="1994"/>
        <v>0</v>
      </c>
      <c r="CD992">
        <f t="shared" si="1994"/>
        <v>0</v>
      </c>
      <c r="CE992">
        <f t="shared" si="1994"/>
        <v>0</v>
      </c>
      <c r="CF992">
        <f t="shared" si="1994"/>
        <v>0</v>
      </c>
      <c r="CG992">
        <f t="shared" si="1994"/>
        <v>0</v>
      </c>
      <c r="CH992">
        <f t="shared" si="1994"/>
        <v>0</v>
      </c>
      <c r="CI992">
        <f t="shared" si="1994"/>
        <v>0</v>
      </c>
      <c r="CJ992">
        <f t="shared" si="1994"/>
        <v>0</v>
      </c>
      <c r="CK992">
        <f t="shared" si="1994"/>
        <v>0</v>
      </c>
      <c r="CL992">
        <f t="shared" si="1994"/>
        <v>0</v>
      </c>
      <c r="CM992">
        <f t="shared" si="1995"/>
        <v>0</v>
      </c>
      <c r="CN992">
        <f t="shared" si="1995"/>
        <v>0</v>
      </c>
      <c r="CO992">
        <f t="shared" si="1995"/>
        <v>0</v>
      </c>
      <c r="CP992">
        <f t="shared" si="1995"/>
        <v>0</v>
      </c>
      <c r="CQ992">
        <f t="shared" si="1995"/>
        <v>0</v>
      </c>
      <c r="CR992">
        <f t="shared" si="1995"/>
        <v>0</v>
      </c>
      <c r="CS992">
        <f t="shared" si="1995"/>
        <v>0</v>
      </c>
      <c r="CT992">
        <f t="shared" si="1995"/>
        <v>0</v>
      </c>
      <c r="CU992">
        <f t="shared" si="1995"/>
        <v>0</v>
      </c>
      <c r="CV992">
        <f t="shared" si="1995"/>
        <v>0</v>
      </c>
      <c r="CW992">
        <f t="shared" si="1996"/>
        <v>0</v>
      </c>
      <c r="CX992">
        <f t="shared" si="1996"/>
        <v>0</v>
      </c>
      <c r="CY992">
        <f t="shared" si="1996"/>
        <v>0</v>
      </c>
      <c r="CZ992">
        <f t="shared" si="1996"/>
        <v>0</v>
      </c>
      <c r="DA992">
        <f t="shared" si="1996"/>
        <v>0</v>
      </c>
      <c r="DB992">
        <f t="shared" si="1996"/>
        <v>0</v>
      </c>
      <c r="DC992">
        <f t="shared" si="1996"/>
        <v>0</v>
      </c>
      <c r="DD992">
        <f t="shared" si="1996"/>
        <v>0</v>
      </c>
      <c r="DE992">
        <f t="shared" si="1996"/>
        <v>0</v>
      </c>
      <c r="DF992">
        <f t="shared" si="1996"/>
        <v>0</v>
      </c>
      <c r="DG992">
        <f t="shared" si="1997"/>
        <v>0</v>
      </c>
      <c r="DH992">
        <f t="shared" si="1997"/>
        <v>0</v>
      </c>
      <c r="DI992">
        <f t="shared" si="1997"/>
        <v>0</v>
      </c>
      <c r="DJ992">
        <f t="shared" si="1997"/>
        <v>0</v>
      </c>
      <c r="DK992">
        <f t="shared" si="1997"/>
        <v>0</v>
      </c>
      <c r="DL992">
        <f t="shared" si="1997"/>
        <v>0</v>
      </c>
      <c r="DM992">
        <f t="shared" si="1997"/>
        <v>0</v>
      </c>
      <c r="DN992">
        <f t="shared" si="1997"/>
        <v>0</v>
      </c>
      <c r="DO992">
        <f t="shared" si="1997"/>
        <v>0</v>
      </c>
      <c r="DP992">
        <f t="shared" si="1997"/>
        <v>0</v>
      </c>
      <c r="DQ992">
        <f t="shared" si="1998"/>
        <v>0</v>
      </c>
      <c r="DR992">
        <f t="shared" si="1998"/>
        <v>0</v>
      </c>
      <c r="DS992">
        <f t="shared" si="1998"/>
        <v>0</v>
      </c>
      <c r="DT992">
        <f t="shared" si="1998"/>
        <v>0</v>
      </c>
      <c r="DU992">
        <f t="shared" si="1998"/>
        <v>0</v>
      </c>
      <c r="DV992">
        <f t="shared" si="1998"/>
        <v>0</v>
      </c>
      <c r="DW992">
        <f t="shared" si="1998"/>
        <v>0</v>
      </c>
      <c r="DX992">
        <f t="shared" si="1998"/>
        <v>0</v>
      </c>
      <c r="DY992">
        <f t="shared" si="1998"/>
        <v>0</v>
      </c>
      <c r="DZ992">
        <f t="shared" si="1998"/>
        <v>0</v>
      </c>
      <c r="EA992">
        <f>IF($C992&lt;&gt;"",IF(#REF!&gt;0,1,0),0)</f>
        <v>0</v>
      </c>
      <c r="EB992">
        <f>IF($C992&lt;&gt;"",IF(#REF!&gt;0,1,0),0)</f>
        <v>0</v>
      </c>
      <c r="EC992">
        <f>IF($C992&lt;&gt;"",IF(#REF!&gt;0,1,0),0)</f>
        <v>0</v>
      </c>
      <c r="ED992">
        <f>IF($C992&lt;&gt;"",IF(#REF!&gt;0,1,0),0)</f>
        <v>0</v>
      </c>
      <c r="EE992">
        <f>IF($C992&lt;&gt;"",IF(#REF!&gt;0,1,0),0)</f>
        <v>0</v>
      </c>
      <c r="EF992">
        <f>IF($C992&lt;&gt;"",IF(#REF!&gt;0,1,0),0)</f>
        <v>0</v>
      </c>
    </row>
    <row r="993" spans="1:136" ht="15.5">
      <c r="A993" s="90"/>
      <c r="B993" s="57" t="s">
        <v>3</v>
      </c>
      <c r="C993" s="94"/>
      <c r="D993" s="18"/>
      <c r="E993" s="18"/>
      <c r="F993" s="18">
        <v>0</v>
      </c>
      <c r="G993" s="18">
        <v>0</v>
      </c>
      <c r="H993" s="18">
        <v>0</v>
      </c>
      <c r="I993" s="18">
        <v>0</v>
      </c>
      <c r="J993" s="18">
        <v>0</v>
      </c>
      <c r="K993" s="18">
        <v>0</v>
      </c>
      <c r="L993" s="18">
        <v>0</v>
      </c>
      <c r="M993" s="18">
        <v>0</v>
      </c>
      <c r="N993" s="18">
        <v>0</v>
      </c>
      <c r="O993" s="18">
        <v>0</v>
      </c>
      <c r="P993" s="18">
        <v>0</v>
      </c>
      <c r="Q993" s="18">
        <v>0</v>
      </c>
      <c r="R993" s="18">
        <v>0</v>
      </c>
      <c r="S993" s="18">
        <v>0</v>
      </c>
      <c r="T993" s="18">
        <v>0</v>
      </c>
      <c r="U993" s="18">
        <v>0</v>
      </c>
      <c r="V993" s="18">
        <v>0</v>
      </c>
      <c r="W993" s="18">
        <v>0</v>
      </c>
      <c r="X993" s="18">
        <v>0</v>
      </c>
      <c r="Y993" s="18">
        <v>0.65900000000000003</v>
      </c>
      <c r="Z993" s="18">
        <v>2.1709999999999998</v>
      </c>
      <c r="AA993" s="18">
        <v>2.7569999999999997</v>
      </c>
      <c r="AB993" s="18">
        <v>1.5609999999999999</v>
      </c>
      <c r="AC993" s="18">
        <v>1.69</v>
      </c>
      <c r="AD993" s="18">
        <v>0</v>
      </c>
      <c r="AE993" s="18">
        <v>0</v>
      </c>
      <c r="AF993" s="18">
        <v>4.8000000000000001E-2</v>
      </c>
      <c r="AG993" s="18">
        <v>0.14799999999999999</v>
      </c>
      <c r="AH993" s="18">
        <v>0</v>
      </c>
      <c r="AI993" s="18">
        <v>7.0000000000000001E-3</v>
      </c>
      <c r="AJ993" s="18">
        <v>0</v>
      </c>
      <c r="AK993" s="18">
        <v>0.28500000000000003</v>
      </c>
      <c r="AL993" s="18">
        <v>0</v>
      </c>
      <c r="AM993" s="18">
        <v>0</v>
      </c>
      <c r="AN993" s="18">
        <v>3.0000000000000001E-3</v>
      </c>
      <c r="AO993" s="18">
        <v>1.7000000000000001E-2</v>
      </c>
      <c r="AP993" s="18">
        <v>0</v>
      </c>
      <c r="AQ993" s="18">
        <v>0</v>
      </c>
      <c r="AR993" s="18">
        <v>0</v>
      </c>
      <c r="AS993" s="18">
        <v>2.37951E-2</v>
      </c>
      <c r="AT993" s="18">
        <v>5.6629800000000001E-2</v>
      </c>
      <c r="AU993" s="18">
        <v>0</v>
      </c>
      <c r="AV993" s="18">
        <v>0</v>
      </c>
      <c r="AW993" s="18">
        <v>0</v>
      </c>
      <c r="AX993" s="18">
        <v>0</v>
      </c>
      <c r="AY993" s="18">
        <v>0</v>
      </c>
      <c r="AZ993" s="18">
        <v>0</v>
      </c>
      <c r="BA993" s="18">
        <v>9.3633999999999992E-3</v>
      </c>
      <c r="BB993" s="18">
        <v>0</v>
      </c>
      <c r="BC993" s="18">
        <v>0</v>
      </c>
      <c r="BD993" s="18">
        <v>6.69E-4</v>
      </c>
      <c r="BE993" s="18">
        <v>0</v>
      </c>
      <c r="BF993" s="18">
        <v>0</v>
      </c>
      <c r="BG993" s="18">
        <v>0</v>
      </c>
      <c r="BH993" s="18">
        <v>0</v>
      </c>
      <c r="BI993" s="18">
        <v>0</v>
      </c>
      <c r="BJ993" s="113">
        <v>0</v>
      </c>
      <c r="BK993" s="113">
        <v>0</v>
      </c>
      <c r="BL993" s="113">
        <v>1</v>
      </c>
      <c r="BM993" s="113">
        <v>0</v>
      </c>
      <c r="BN993" s="113">
        <v>0</v>
      </c>
      <c r="BO993" s="113">
        <v>0</v>
      </c>
      <c r="BP993" s="113">
        <v>0</v>
      </c>
      <c r="BQ993" s="113">
        <v>0</v>
      </c>
      <c r="BR993" s="101"/>
      <c r="BS993">
        <f t="shared" si="1993"/>
        <v>0</v>
      </c>
      <c r="BT993">
        <f t="shared" si="1993"/>
        <v>0</v>
      </c>
      <c r="BU993">
        <f t="shared" si="1993"/>
        <v>0</v>
      </c>
      <c r="BV993">
        <f t="shared" si="1993"/>
        <v>0</v>
      </c>
      <c r="BW993">
        <f t="shared" si="1993"/>
        <v>0</v>
      </c>
      <c r="BX993">
        <f t="shared" si="1993"/>
        <v>0</v>
      </c>
      <c r="BY993">
        <f t="shared" si="1993"/>
        <v>0</v>
      </c>
      <c r="BZ993">
        <f t="shared" si="1993"/>
        <v>0</v>
      </c>
      <c r="CA993">
        <f t="shared" si="1993"/>
        <v>0</v>
      </c>
      <c r="CB993">
        <f t="shared" si="1993"/>
        <v>0</v>
      </c>
      <c r="CC993">
        <f t="shared" si="1994"/>
        <v>0</v>
      </c>
      <c r="CD993">
        <f t="shared" si="1994"/>
        <v>0</v>
      </c>
      <c r="CE993">
        <f t="shared" si="1994"/>
        <v>0</v>
      </c>
      <c r="CF993">
        <f t="shared" si="1994"/>
        <v>0</v>
      </c>
      <c r="CG993">
        <f t="shared" si="1994"/>
        <v>0</v>
      </c>
      <c r="CH993">
        <f t="shared" si="1994"/>
        <v>0</v>
      </c>
      <c r="CI993">
        <f t="shared" si="1994"/>
        <v>0</v>
      </c>
      <c r="CJ993">
        <f t="shared" si="1994"/>
        <v>0</v>
      </c>
      <c r="CK993">
        <f t="shared" si="1994"/>
        <v>0</v>
      </c>
      <c r="CL993">
        <f t="shared" si="1994"/>
        <v>0</v>
      </c>
      <c r="CM993">
        <f t="shared" si="1995"/>
        <v>0</v>
      </c>
      <c r="CN993">
        <f t="shared" si="1995"/>
        <v>0</v>
      </c>
      <c r="CO993">
        <f t="shared" si="1995"/>
        <v>0</v>
      </c>
      <c r="CP993">
        <f t="shared" si="1995"/>
        <v>0</v>
      </c>
      <c r="CQ993">
        <f t="shared" si="1995"/>
        <v>0</v>
      </c>
      <c r="CR993">
        <f t="shared" si="1995"/>
        <v>0</v>
      </c>
      <c r="CS993">
        <f t="shared" si="1995"/>
        <v>0</v>
      </c>
      <c r="CT993">
        <f t="shared" si="1995"/>
        <v>0</v>
      </c>
      <c r="CU993">
        <f t="shared" si="1995"/>
        <v>0</v>
      </c>
      <c r="CV993">
        <f t="shared" si="1995"/>
        <v>0</v>
      </c>
      <c r="CW993">
        <f t="shared" si="1996"/>
        <v>0</v>
      </c>
      <c r="CX993">
        <f t="shared" si="1996"/>
        <v>0</v>
      </c>
      <c r="CY993">
        <f t="shared" si="1996"/>
        <v>0</v>
      </c>
      <c r="CZ993">
        <f t="shared" si="1996"/>
        <v>0</v>
      </c>
      <c r="DA993">
        <f t="shared" si="1996"/>
        <v>0</v>
      </c>
      <c r="DB993">
        <f t="shared" si="1996"/>
        <v>0</v>
      </c>
      <c r="DC993">
        <f t="shared" si="1996"/>
        <v>0</v>
      </c>
      <c r="DD993">
        <f t="shared" si="1996"/>
        <v>0</v>
      </c>
      <c r="DE993">
        <f t="shared" si="1996"/>
        <v>0</v>
      </c>
      <c r="DF993">
        <f t="shared" si="1996"/>
        <v>0</v>
      </c>
      <c r="DG993">
        <f t="shared" si="1997"/>
        <v>0</v>
      </c>
      <c r="DH993">
        <f t="shared" si="1997"/>
        <v>0</v>
      </c>
      <c r="DI993">
        <f t="shared" si="1997"/>
        <v>0</v>
      </c>
      <c r="DJ993">
        <f t="shared" si="1997"/>
        <v>0</v>
      </c>
      <c r="DK993">
        <f t="shared" si="1997"/>
        <v>0</v>
      </c>
      <c r="DL993">
        <f t="shared" si="1997"/>
        <v>0</v>
      </c>
      <c r="DM993">
        <f t="shared" si="1997"/>
        <v>0</v>
      </c>
      <c r="DN993">
        <f t="shared" si="1997"/>
        <v>0</v>
      </c>
      <c r="DO993">
        <f t="shared" si="1997"/>
        <v>0</v>
      </c>
      <c r="DP993">
        <f t="shared" si="1997"/>
        <v>0</v>
      </c>
      <c r="DQ993">
        <f t="shared" si="1998"/>
        <v>0</v>
      </c>
      <c r="DR993">
        <f t="shared" si="1998"/>
        <v>0</v>
      </c>
      <c r="DS993">
        <f t="shared" si="1998"/>
        <v>0</v>
      </c>
      <c r="DT993">
        <f t="shared" si="1998"/>
        <v>0</v>
      </c>
      <c r="DU993">
        <f t="shared" si="1998"/>
        <v>0</v>
      </c>
      <c r="DV993">
        <f t="shared" si="1998"/>
        <v>0</v>
      </c>
      <c r="DW993">
        <f t="shared" si="1998"/>
        <v>0</v>
      </c>
      <c r="DX993">
        <f t="shared" si="1998"/>
        <v>0</v>
      </c>
      <c r="DY993">
        <f t="shared" si="1998"/>
        <v>0</v>
      </c>
      <c r="DZ993">
        <f t="shared" si="1998"/>
        <v>0</v>
      </c>
      <c r="EA993">
        <f t="shared" ref="EA993:EF994" si="2001">IF($C993&lt;&gt;"",IF(BL992&gt;0,1,0),0)</f>
        <v>0</v>
      </c>
      <c r="EB993">
        <f t="shared" si="2001"/>
        <v>0</v>
      </c>
      <c r="EC993">
        <f t="shared" si="2001"/>
        <v>0</v>
      </c>
      <c r="ED993">
        <f t="shared" si="2001"/>
        <v>0</v>
      </c>
      <c r="EE993">
        <f t="shared" si="2001"/>
        <v>0</v>
      </c>
      <c r="EF993">
        <f t="shared" si="2001"/>
        <v>0</v>
      </c>
    </row>
    <row r="994" spans="1:136" ht="15.5">
      <c r="A994" s="90"/>
      <c r="B994" s="57" t="s">
        <v>208</v>
      </c>
      <c r="C994" s="94"/>
      <c r="D994" s="18"/>
      <c r="E994" s="18"/>
      <c r="F994" s="18">
        <v>0</v>
      </c>
      <c r="G994" s="18">
        <v>0</v>
      </c>
      <c r="H994" s="18">
        <v>0</v>
      </c>
      <c r="I994" s="18">
        <v>0</v>
      </c>
      <c r="J994" s="18">
        <v>0</v>
      </c>
      <c r="K994" s="18">
        <v>0</v>
      </c>
      <c r="L994" s="18">
        <v>0</v>
      </c>
      <c r="M994" s="18">
        <v>0</v>
      </c>
      <c r="N994" s="18">
        <v>0</v>
      </c>
      <c r="O994" s="18">
        <v>0</v>
      </c>
      <c r="P994" s="18">
        <v>0</v>
      </c>
      <c r="Q994" s="18">
        <v>0</v>
      </c>
      <c r="R994" s="18">
        <v>0.35</v>
      </c>
      <c r="S994" s="18">
        <v>0</v>
      </c>
      <c r="T994" s="18">
        <v>0</v>
      </c>
      <c r="U994" s="18">
        <v>0</v>
      </c>
      <c r="V994" s="18">
        <v>0</v>
      </c>
      <c r="W994" s="18">
        <v>0</v>
      </c>
      <c r="X994" s="18">
        <v>0</v>
      </c>
      <c r="Y994" s="18">
        <v>0</v>
      </c>
      <c r="Z994" s="18">
        <v>0</v>
      </c>
      <c r="AA994" s="18">
        <v>0</v>
      </c>
      <c r="AB994" s="18">
        <v>0</v>
      </c>
      <c r="AC994" s="18">
        <v>0</v>
      </c>
      <c r="AD994" s="18">
        <v>0</v>
      </c>
      <c r="AE994" s="18">
        <v>0</v>
      </c>
      <c r="AF994" s="18">
        <v>0</v>
      </c>
      <c r="AG994" s="18">
        <v>0</v>
      </c>
      <c r="AH994" s="18">
        <v>0</v>
      </c>
      <c r="AI994" s="18">
        <v>0</v>
      </c>
      <c r="AJ994" s="18">
        <v>0</v>
      </c>
      <c r="AK994" s="18">
        <v>1.7000000000000001E-2</v>
      </c>
      <c r="AL994" s="18">
        <v>0</v>
      </c>
      <c r="AM994" s="18">
        <v>0</v>
      </c>
      <c r="AN994" s="18">
        <v>0</v>
      </c>
      <c r="AO994" s="18">
        <v>0</v>
      </c>
      <c r="AP994" s="18">
        <v>0</v>
      </c>
      <c r="AQ994" s="18">
        <v>0</v>
      </c>
      <c r="AR994" s="18">
        <v>0</v>
      </c>
      <c r="AS994" s="18">
        <v>0</v>
      </c>
      <c r="AT994" s="18">
        <v>0</v>
      </c>
      <c r="AU994" s="18">
        <v>0</v>
      </c>
      <c r="AV994" s="18">
        <v>0</v>
      </c>
      <c r="AW994" s="18">
        <v>0</v>
      </c>
      <c r="AX994" s="18">
        <v>0</v>
      </c>
      <c r="AY994" s="18">
        <v>0</v>
      </c>
      <c r="AZ994" s="18">
        <v>0</v>
      </c>
      <c r="BA994" s="18">
        <v>0</v>
      </c>
      <c r="BB994" s="18">
        <v>0</v>
      </c>
      <c r="BC994" s="18">
        <v>0</v>
      </c>
      <c r="BD994" s="18">
        <v>0</v>
      </c>
      <c r="BE994" s="18">
        <v>0</v>
      </c>
      <c r="BF994" s="18">
        <v>0</v>
      </c>
      <c r="BG994" s="18">
        <v>0</v>
      </c>
      <c r="BH994" s="18">
        <v>0</v>
      </c>
      <c r="BI994" s="18">
        <v>0</v>
      </c>
      <c r="BJ994" s="113">
        <v>0</v>
      </c>
      <c r="BK994" s="113">
        <v>0</v>
      </c>
      <c r="BL994" s="113">
        <v>0</v>
      </c>
      <c r="BM994" s="113">
        <v>0</v>
      </c>
      <c r="BN994" s="113">
        <v>0</v>
      </c>
      <c r="BO994" s="113">
        <v>0</v>
      </c>
      <c r="BP994" s="113">
        <v>0</v>
      </c>
      <c r="BQ994" s="113">
        <v>0</v>
      </c>
      <c r="BR994" s="101"/>
      <c r="BS994">
        <f t="shared" si="1993"/>
        <v>0</v>
      </c>
      <c r="BT994">
        <f t="shared" si="1993"/>
        <v>0</v>
      </c>
      <c r="BU994">
        <f t="shared" si="1993"/>
        <v>0</v>
      </c>
      <c r="BV994">
        <f t="shared" si="1993"/>
        <v>0</v>
      </c>
      <c r="BW994">
        <f t="shared" si="1993"/>
        <v>0</v>
      </c>
      <c r="BX994">
        <f t="shared" si="1993"/>
        <v>0</v>
      </c>
      <c r="BY994">
        <f t="shared" si="1993"/>
        <v>0</v>
      </c>
      <c r="BZ994">
        <f t="shared" si="1993"/>
        <v>0</v>
      </c>
      <c r="CA994">
        <f t="shared" si="1993"/>
        <v>0</v>
      </c>
      <c r="CB994">
        <f t="shared" si="1993"/>
        <v>0</v>
      </c>
      <c r="CC994">
        <f t="shared" si="1994"/>
        <v>0</v>
      </c>
      <c r="CD994">
        <f t="shared" si="1994"/>
        <v>0</v>
      </c>
      <c r="CE994">
        <f t="shared" si="1994"/>
        <v>0</v>
      </c>
      <c r="CF994">
        <f t="shared" si="1994"/>
        <v>0</v>
      </c>
      <c r="CG994">
        <f t="shared" si="1994"/>
        <v>0</v>
      </c>
      <c r="CH994">
        <f t="shared" si="1994"/>
        <v>0</v>
      </c>
      <c r="CI994">
        <f t="shared" si="1994"/>
        <v>0</v>
      </c>
      <c r="CJ994">
        <f t="shared" si="1994"/>
        <v>0</v>
      </c>
      <c r="CK994">
        <f t="shared" si="1994"/>
        <v>0</v>
      </c>
      <c r="CL994">
        <f t="shared" si="1994"/>
        <v>0</v>
      </c>
      <c r="CM994">
        <f t="shared" si="1995"/>
        <v>0</v>
      </c>
      <c r="CN994">
        <f t="shared" si="1995"/>
        <v>0</v>
      </c>
      <c r="CO994">
        <f t="shared" si="1995"/>
        <v>0</v>
      </c>
      <c r="CP994">
        <f t="shared" si="1995"/>
        <v>0</v>
      </c>
      <c r="CQ994">
        <f t="shared" si="1995"/>
        <v>0</v>
      </c>
      <c r="CR994">
        <f t="shared" si="1995"/>
        <v>0</v>
      </c>
      <c r="CS994">
        <f t="shared" si="1995"/>
        <v>0</v>
      </c>
      <c r="CT994">
        <f t="shared" si="1995"/>
        <v>0</v>
      </c>
      <c r="CU994">
        <f t="shared" si="1995"/>
        <v>0</v>
      </c>
      <c r="CV994">
        <f t="shared" si="1995"/>
        <v>0</v>
      </c>
      <c r="CW994">
        <f t="shared" si="1996"/>
        <v>0</v>
      </c>
      <c r="CX994">
        <f t="shared" si="1996"/>
        <v>0</v>
      </c>
      <c r="CY994">
        <f t="shared" si="1996"/>
        <v>0</v>
      </c>
      <c r="CZ994">
        <f t="shared" si="1996"/>
        <v>0</v>
      </c>
      <c r="DA994">
        <f t="shared" si="1996"/>
        <v>0</v>
      </c>
      <c r="DB994">
        <f t="shared" si="1996"/>
        <v>0</v>
      </c>
      <c r="DC994">
        <f t="shared" si="1996"/>
        <v>0</v>
      </c>
      <c r="DD994">
        <f t="shared" si="1996"/>
        <v>0</v>
      </c>
      <c r="DE994">
        <f t="shared" si="1996"/>
        <v>0</v>
      </c>
      <c r="DF994">
        <f t="shared" si="1996"/>
        <v>0</v>
      </c>
      <c r="DG994">
        <f t="shared" si="1997"/>
        <v>0</v>
      </c>
      <c r="DH994">
        <f t="shared" si="1997"/>
        <v>0</v>
      </c>
      <c r="DI994">
        <f t="shared" si="1997"/>
        <v>0</v>
      </c>
      <c r="DJ994">
        <f t="shared" si="1997"/>
        <v>0</v>
      </c>
      <c r="DK994">
        <f t="shared" si="1997"/>
        <v>0</v>
      </c>
      <c r="DL994">
        <f t="shared" si="1997"/>
        <v>0</v>
      </c>
      <c r="DM994">
        <f t="shared" si="1997"/>
        <v>0</v>
      </c>
      <c r="DN994">
        <f t="shared" si="1997"/>
        <v>0</v>
      </c>
      <c r="DO994">
        <f t="shared" si="1997"/>
        <v>0</v>
      </c>
      <c r="DP994">
        <f t="shared" si="1997"/>
        <v>0</v>
      </c>
      <c r="DQ994">
        <f t="shared" si="1998"/>
        <v>0</v>
      </c>
      <c r="DR994">
        <f t="shared" si="1998"/>
        <v>0</v>
      </c>
      <c r="DS994">
        <f t="shared" si="1998"/>
        <v>0</v>
      </c>
      <c r="DT994">
        <f t="shared" si="1998"/>
        <v>0</v>
      </c>
      <c r="DU994">
        <f t="shared" si="1998"/>
        <v>0</v>
      </c>
      <c r="DV994">
        <f t="shared" si="1998"/>
        <v>0</v>
      </c>
      <c r="DW994">
        <f t="shared" si="1998"/>
        <v>0</v>
      </c>
      <c r="DX994">
        <f t="shared" si="1998"/>
        <v>0</v>
      </c>
      <c r="DY994">
        <f t="shared" si="1998"/>
        <v>0</v>
      </c>
      <c r="DZ994">
        <f t="shared" si="1998"/>
        <v>0</v>
      </c>
      <c r="EA994">
        <f t="shared" si="2001"/>
        <v>0</v>
      </c>
      <c r="EB994">
        <f t="shared" si="2001"/>
        <v>0</v>
      </c>
      <c r="EC994">
        <f t="shared" si="2001"/>
        <v>0</v>
      </c>
      <c r="ED994">
        <f t="shared" si="2001"/>
        <v>0</v>
      </c>
      <c r="EE994">
        <f t="shared" si="2001"/>
        <v>0</v>
      </c>
      <c r="EF994">
        <f t="shared" si="2001"/>
        <v>0</v>
      </c>
    </row>
    <row r="995" spans="1:136" ht="15.5">
      <c r="A995" s="90"/>
      <c r="B995" s="37"/>
      <c r="C995" s="94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  <c r="AG995" s="31"/>
      <c r="AH995" s="31"/>
      <c r="AI995" s="31"/>
      <c r="AJ995" s="31"/>
      <c r="AK995" s="31"/>
      <c r="AL995" s="31"/>
      <c r="AM995" s="31"/>
      <c r="AN995" s="31"/>
      <c r="AO995" s="31"/>
      <c r="AP995" s="31"/>
      <c r="AQ995" s="31"/>
      <c r="AR995" s="31"/>
      <c r="AS995" s="31"/>
      <c r="AT995" s="31"/>
      <c r="AU995" s="31"/>
      <c r="AV995" s="31"/>
      <c r="AW995" s="31"/>
      <c r="AX995" s="31"/>
      <c r="AY995" s="31"/>
      <c r="AZ995" s="31"/>
      <c r="BA995" s="31"/>
      <c r="BB995" s="31"/>
      <c r="BC995" s="31"/>
      <c r="BD995" s="31"/>
      <c r="BE995" s="31"/>
      <c r="BF995" s="18"/>
      <c r="BG995" s="31"/>
      <c r="BH995" s="2"/>
      <c r="BI995" s="2"/>
      <c r="BJ995" s="2"/>
      <c r="BK995" s="2"/>
      <c r="BL995" s="22"/>
      <c r="BM995" s="2"/>
      <c r="BN995" s="2"/>
      <c r="BO995" s="2"/>
      <c r="BP995" s="2"/>
      <c r="BQ995" s="2"/>
      <c r="BR995" s="101"/>
    </row>
    <row r="996" spans="1:136" ht="15.5">
      <c r="A996" s="93">
        <v>126</v>
      </c>
      <c r="B996" s="21" t="s">
        <v>127</v>
      </c>
      <c r="C996" s="94">
        <v>3</v>
      </c>
      <c r="D996" s="18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>
        <f t="shared" ref="S996:AX996" si="2002">SUM(S997:S1002)</f>
        <v>0</v>
      </c>
      <c r="T996" s="9">
        <f t="shared" si="2002"/>
        <v>0</v>
      </c>
      <c r="U996" s="9">
        <f t="shared" si="2002"/>
        <v>0</v>
      </c>
      <c r="V996" s="9">
        <f t="shared" si="2002"/>
        <v>0</v>
      </c>
      <c r="W996" s="9">
        <f t="shared" si="2002"/>
        <v>0</v>
      </c>
      <c r="X996" s="9">
        <f t="shared" si="2002"/>
        <v>0</v>
      </c>
      <c r="Y996" s="9">
        <f t="shared" si="2002"/>
        <v>0</v>
      </c>
      <c r="Z996" s="9">
        <f t="shared" si="2002"/>
        <v>0</v>
      </c>
      <c r="AA996" s="9">
        <f t="shared" si="2002"/>
        <v>1.9285900000000002E-2</v>
      </c>
      <c r="AB996" s="9">
        <f t="shared" si="2002"/>
        <v>0.4553046</v>
      </c>
      <c r="AC996" s="9">
        <f t="shared" si="2002"/>
        <v>2.9858618000000003</v>
      </c>
      <c r="AD996" s="9">
        <f t="shared" si="2002"/>
        <v>6.7073064999999996</v>
      </c>
      <c r="AE996" s="9">
        <f t="shared" si="2002"/>
        <v>15.9569616</v>
      </c>
      <c r="AF996" s="9">
        <f t="shared" si="2002"/>
        <v>21.740310900000001</v>
      </c>
      <c r="AG996" s="9">
        <f t="shared" si="2002"/>
        <v>28.2933591</v>
      </c>
      <c r="AH996" s="9">
        <f t="shared" si="2002"/>
        <v>37.037067499999999</v>
      </c>
      <c r="AI996" s="9">
        <f t="shared" si="2002"/>
        <v>44.598944199999998</v>
      </c>
      <c r="AJ996" s="9">
        <f t="shared" si="2002"/>
        <v>52.907265600000002</v>
      </c>
      <c r="AK996" s="9">
        <f t="shared" si="2002"/>
        <v>59.717519799999998</v>
      </c>
      <c r="AL996" s="9">
        <f t="shared" si="2002"/>
        <v>65.326947500000003</v>
      </c>
      <c r="AM996" s="9">
        <f t="shared" si="2002"/>
        <v>71.510799899999995</v>
      </c>
      <c r="AN996" s="9">
        <f t="shared" si="2002"/>
        <v>28.789957699999999</v>
      </c>
      <c r="AO996" s="9">
        <f t="shared" si="2002"/>
        <v>32.738099200000001</v>
      </c>
      <c r="AP996" s="9">
        <f t="shared" si="2002"/>
        <v>38.678877999999997</v>
      </c>
      <c r="AQ996" s="9">
        <f t="shared" si="2002"/>
        <v>100.8240011</v>
      </c>
      <c r="AR996" s="9">
        <f t="shared" si="2002"/>
        <v>83.847755599999999</v>
      </c>
      <c r="AS996" s="9">
        <f t="shared" si="2002"/>
        <v>61.9674014</v>
      </c>
      <c r="AT996" s="9">
        <f t="shared" si="2002"/>
        <v>62.473091300000007</v>
      </c>
      <c r="AU996" s="9">
        <f t="shared" si="2002"/>
        <v>67.208794299999994</v>
      </c>
      <c r="AV996" s="9">
        <f t="shared" si="2002"/>
        <v>72.417548300000007</v>
      </c>
      <c r="AW996" s="9">
        <f t="shared" si="2002"/>
        <v>74.08708857031634</v>
      </c>
      <c r="AX996" s="9">
        <f t="shared" si="2002"/>
        <v>89.128402642919099</v>
      </c>
      <c r="AY996" s="9">
        <f t="shared" ref="AY996:BO996" si="2003">SUM(AY997:AY1002)</f>
        <v>275.98710499999999</v>
      </c>
      <c r="AZ996" s="9">
        <f t="shared" si="2003"/>
        <v>116.33075650000001</v>
      </c>
      <c r="BA996" s="9">
        <f t="shared" si="2003"/>
        <v>71.255575800000003</v>
      </c>
      <c r="BB996" s="9">
        <f t="shared" si="2003"/>
        <v>73.642555999999999</v>
      </c>
      <c r="BC996" s="9">
        <f t="shared" si="2003"/>
        <v>75.457731499999994</v>
      </c>
      <c r="BD996" s="9">
        <f t="shared" si="2003"/>
        <v>68.221792399999998</v>
      </c>
      <c r="BE996" s="9">
        <f t="shared" si="2003"/>
        <v>69.250262399999997</v>
      </c>
      <c r="BF996" s="9">
        <f t="shared" si="2003"/>
        <v>71.280281000000002</v>
      </c>
      <c r="BG996" s="9">
        <f t="shared" si="2003"/>
        <v>70.993987399999995</v>
      </c>
      <c r="BH996" s="9">
        <f t="shared" si="2003"/>
        <v>73.965420800000004</v>
      </c>
      <c r="BI996" s="9">
        <f t="shared" si="2003"/>
        <v>75.491649300000006</v>
      </c>
      <c r="BJ996" s="9">
        <f t="shared" si="2003"/>
        <v>74.970898900000009</v>
      </c>
      <c r="BK996" s="9">
        <f t="shared" si="2003"/>
        <v>73.773160400000009</v>
      </c>
      <c r="BL996" s="9">
        <f t="shared" si="2003"/>
        <v>89.17565359999999</v>
      </c>
      <c r="BM996" s="9">
        <f t="shared" si="2003"/>
        <v>84.837729400000001</v>
      </c>
      <c r="BN996" s="9">
        <f t="shared" si="2003"/>
        <v>113.23159619999998</v>
      </c>
      <c r="BO996" s="9">
        <f t="shared" si="2003"/>
        <v>121</v>
      </c>
      <c r="BP996" s="261">
        <f>SUM(BP997:BP1002)</f>
        <v>111</v>
      </c>
      <c r="BQ996" s="261">
        <f>SUM(BQ997:BQ1002)</f>
        <v>111</v>
      </c>
      <c r="BR996" s="101"/>
      <c r="BS996">
        <f t="shared" ref="BS996:CB1003" si="2004">IF($C996&lt;&gt;"",IF(D996&gt;0,1,0),0)</f>
        <v>0</v>
      </c>
      <c r="BT996">
        <f t="shared" si="2004"/>
        <v>0</v>
      </c>
      <c r="BU996">
        <f t="shared" si="2004"/>
        <v>0</v>
      </c>
      <c r="BV996">
        <f t="shared" si="2004"/>
        <v>0</v>
      </c>
      <c r="BW996">
        <f t="shared" si="2004"/>
        <v>0</v>
      </c>
      <c r="BX996">
        <f t="shared" si="2004"/>
        <v>0</v>
      </c>
      <c r="BY996">
        <f t="shared" si="2004"/>
        <v>0</v>
      </c>
      <c r="BZ996">
        <f t="shared" si="2004"/>
        <v>0</v>
      </c>
      <c r="CA996">
        <f t="shared" si="2004"/>
        <v>0</v>
      </c>
      <c r="CB996">
        <f t="shared" si="2004"/>
        <v>0</v>
      </c>
      <c r="CC996">
        <f t="shared" ref="CC996:CL1003" si="2005">IF($C996&lt;&gt;"",IF(N996&gt;0,1,0),0)</f>
        <v>0</v>
      </c>
      <c r="CD996">
        <f t="shared" si="2005"/>
        <v>0</v>
      </c>
      <c r="CE996">
        <f t="shared" si="2005"/>
        <v>0</v>
      </c>
      <c r="CF996">
        <f t="shared" si="2005"/>
        <v>0</v>
      </c>
      <c r="CG996">
        <f t="shared" si="2005"/>
        <v>0</v>
      </c>
      <c r="CH996">
        <f t="shared" si="2005"/>
        <v>0</v>
      </c>
      <c r="CI996">
        <f t="shared" si="2005"/>
        <v>0</v>
      </c>
      <c r="CJ996">
        <f t="shared" si="2005"/>
        <v>0</v>
      </c>
      <c r="CK996">
        <f t="shared" si="2005"/>
        <v>0</v>
      </c>
      <c r="CL996">
        <f t="shared" si="2005"/>
        <v>0</v>
      </c>
      <c r="CM996">
        <f t="shared" ref="CM996:CV1003" si="2006">IF($C996&lt;&gt;"",IF(X996&gt;0,1,0),0)</f>
        <v>0</v>
      </c>
      <c r="CN996">
        <f t="shared" si="2006"/>
        <v>0</v>
      </c>
      <c r="CO996">
        <f t="shared" si="2006"/>
        <v>0</v>
      </c>
      <c r="CP996">
        <f t="shared" si="2006"/>
        <v>1</v>
      </c>
      <c r="CQ996">
        <f t="shared" si="2006"/>
        <v>1</v>
      </c>
      <c r="CR996">
        <f t="shared" si="2006"/>
        <v>1</v>
      </c>
      <c r="CS996">
        <f t="shared" si="2006"/>
        <v>1</v>
      </c>
      <c r="CT996">
        <f t="shared" si="2006"/>
        <v>1</v>
      </c>
      <c r="CU996">
        <f t="shared" si="2006"/>
        <v>1</v>
      </c>
      <c r="CV996">
        <f t="shared" si="2006"/>
        <v>1</v>
      </c>
      <c r="CW996">
        <f t="shared" ref="CW996:DF1003" si="2007">IF($C996&lt;&gt;"",IF(AH996&gt;0,1,0),0)</f>
        <v>1</v>
      </c>
      <c r="CX996">
        <f t="shared" si="2007"/>
        <v>1</v>
      </c>
      <c r="CY996">
        <f t="shared" si="2007"/>
        <v>1</v>
      </c>
      <c r="CZ996">
        <f t="shared" si="2007"/>
        <v>1</v>
      </c>
      <c r="DA996">
        <f t="shared" si="2007"/>
        <v>1</v>
      </c>
      <c r="DB996">
        <f t="shared" si="2007"/>
        <v>1</v>
      </c>
      <c r="DC996">
        <f t="shared" si="2007"/>
        <v>1</v>
      </c>
      <c r="DD996">
        <f t="shared" si="2007"/>
        <v>1</v>
      </c>
      <c r="DE996">
        <f t="shared" si="2007"/>
        <v>1</v>
      </c>
      <c r="DF996">
        <f t="shared" si="2007"/>
        <v>1</v>
      </c>
      <c r="DG996">
        <f t="shared" ref="DG996:DP1003" si="2008">IF($C996&lt;&gt;"",IF(AR996&gt;0,1,0),0)</f>
        <v>1</v>
      </c>
      <c r="DH996">
        <f t="shared" si="2008"/>
        <v>1</v>
      </c>
      <c r="DI996">
        <f t="shared" si="2008"/>
        <v>1</v>
      </c>
      <c r="DJ996">
        <f t="shared" si="2008"/>
        <v>1</v>
      </c>
      <c r="DK996">
        <f t="shared" si="2008"/>
        <v>1</v>
      </c>
      <c r="DL996">
        <f t="shared" si="2008"/>
        <v>1</v>
      </c>
      <c r="DM996">
        <f t="shared" si="2008"/>
        <v>1</v>
      </c>
      <c r="DN996">
        <f t="shared" si="2008"/>
        <v>1</v>
      </c>
      <c r="DO996">
        <f t="shared" si="2008"/>
        <v>1</v>
      </c>
      <c r="DP996">
        <f t="shared" si="2008"/>
        <v>1</v>
      </c>
      <c r="DQ996">
        <f t="shared" ref="DQ996:DZ1003" si="2009">IF($C996&lt;&gt;"",IF(BB996&gt;0,1,0),0)</f>
        <v>1</v>
      </c>
      <c r="DR996">
        <f t="shared" si="2009"/>
        <v>1</v>
      </c>
      <c r="DS996">
        <f t="shared" si="2009"/>
        <v>1</v>
      </c>
      <c r="DT996">
        <f t="shared" si="2009"/>
        <v>1</v>
      </c>
      <c r="DU996">
        <f t="shared" si="2009"/>
        <v>1</v>
      </c>
      <c r="DV996">
        <f t="shared" si="2009"/>
        <v>1</v>
      </c>
      <c r="DW996">
        <f t="shared" si="2009"/>
        <v>1</v>
      </c>
      <c r="DX996">
        <f t="shared" si="2009"/>
        <v>1</v>
      </c>
      <c r="DY996">
        <f t="shared" si="2009"/>
        <v>1</v>
      </c>
      <c r="DZ996">
        <f t="shared" si="2009"/>
        <v>1</v>
      </c>
      <c r="EA996">
        <f t="shared" ref="EA996:EF1003" si="2010">IF($C996&lt;&gt;"",IF(BL996&gt;0,1,0),0)</f>
        <v>1</v>
      </c>
      <c r="EB996">
        <f t="shared" si="2010"/>
        <v>1</v>
      </c>
      <c r="EC996">
        <f t="shared" si="2010"/>
        <v>1</v>
      </c>
      <c r="ED996">
        <f t="shared" si="2010"/>
        <v>1</v>
      </c>
      <c r="EE996">
        <f t="shared" si="2010"/>
        <v>1</v>
      </c>
      <c r="EF996">
        <f t="shared" si="2010"/>
        <v>1</v>
      </c>
    </row>
    <row r="997" spans="1:136" ht="15.5">
      <c r="A997" s="90"/>
      <c r="B997" s="19" t="s">
        <v>2</v>
      </c>
      <c r="C997" s="94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>
        <v>0</v>
      </c>
      <c r="T997" s="18">
        <v>0</v>
      </c>
      <c r="U997" s="18">
        <v>0</v>
      </c>
      <c r="V997" s="18">
        <v>0</v>
      </c>
      <c r="W997" s="18">
        <v>0</v>
      </c>
      <c r="X997" s="18">
        <v>0</v>
      </c>
      <c r="Y997" s="18">
        <v>0</v>
      </c>
      <c r="Z997" s="18">
        <v>0</v>
      </c>
      <c r="AA997" s="18">
        <v>0</v>
      </c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  <c r="AR997" s="34">
        <v>27</v>
      </c>
      <c r="AS997" s="34"/>
      <c r="AT997" s="34"/>
      <c r="AU997" s="34"/>
      <c r="AV997" s="34"/>
      <c r="AW997" s="34">
        <v>27</v>
      </c>
      <c r="AX997" s="34">
        <v>27</v>
      </c>
      <c r="AY997" s="34">
        <v>24</v>
      </c>
      <c r="AZ997" s="18">
        <v>24.3</v>
      </c>
      <c r="BA997" s="18">
        <v>24.3</v>
      </c>
      <c r="BB997" s="18">
        <v>24.3</v>
      </c>
      <c r="BC997" s="18">
        <v>24.3</v>
      </c>
      <c r="BD997" s="18">
        <v>24.3</v>
      </c>
      <c r="BE997" s="18">
        <v>24.3</v>
      </c>
      <c r="BF997" s="18">
        <v>24.3</v>
      </c>
      <c r="BG997" s="18">
        <v>24.3</v>
      </c>
      <c r="BH997" s="18">
        <v>24.3</v>
      </c>
      <c r="BI997" s="18">
        <v>24.3</v>
      </c>
      <c r="BJ997" s="18">
        <v>24.3</v>
      </c>
      <c r="BK997" s="18">
        <v>0</v>
      </c>
      <c r="BL997" s="113">
        <v>5</v>
      </c>
      <c r="BM997" s="34">
        <v>0</v>
      </c>
      <c r="BN997" s="34">
        <v>0</v>
      </c>
      <c r="BO997" s="113">
        <v>0</v>
      </c>
      <c r="BP997" s="257">
        <v>0</v>
      </c>
      <c r="BQ997" s="257">
        <v>0</v>
      </c>
      <c r="BR997" s="101"/>
      <c r="BS997">
        <f t="shared" si="2004"/>
        <v>0</v>
      </c>
      <c r="BT997">
        <f t="shared" si="2004"/>
        <v>0</v>
      </c>
      <c r="BU997">
        <f t="shared" si="2004"/>
        <v>0</v>
      </c>
      <c r="BV997">
        <f t="shared" si="2004"/>
        <v>0</v>
      </c>
      <c r="BW997">
        <f t="shared" si="2004"/>
        <v>0</v>
      </c>
      <c r="BX997">
        <f t="shared" si="2004"/>
        <v>0</v>
      </c>
      <c r="BY997">
        <f t="shared" si="2004"/>
        <v>0</v>
      </c>
      <c r="BZ997">
        <f t="shared" si="2004"/>
        <v>0</v>
      </c>
      <c r="CA997">
        <f t="shared" si="2004"/>
        <v>0</v>
      </c>
      <c r="CB997">
        <f t="shared" si="2004"/>
        <v>0</v>
      </c>
      <c r="CC997">
        <f t="shared" si="2005"/>
        <v>0</v>
      </c>
      <c r="CD997">
        <f t="shared" si="2005"/>
        <v>0</v>
      </c>
      <c r="CE997">
        <f t="shared" si="2005"/>
        <v>0</v>
      </c>
      <c r="CF997">
        <f t="shared" si="2005"/>
        <v>0</v>
      </c>
      <c r="CG997">
        <f t="shared" si="2005"/>
        <v>0</v>
      </c>
      <c r="CH997">
        <f t="shared" si="2005"/>
        <v>0</v>
      </c>
      <c r="CI997">
        <f t="shared" si="2005"/>
        <v>0</v>
      </c>
      <c r="CJ997">
        <f t="shared" si="2005"/>
        <v>0</v>
      </c>
      <c r="CK997">
        <f t="shared" si="2005"/>
        <v>0</v>
      </c>
      <c r="CL997">
        <f t="shared" si="2005"/>
        <v>0</v>
      </c>
      <c r="CM997">
        <f t="shared" si="2006"/>
        <v>0</v>
      </c>
      <c r="CN997">
        <f t="shared" si="2006"/>
        <v>0</v>
      </c>
      <c r="CO997">
        <f t="shared" si="2006"/>
        <v>0</v>
      </c>
      <c r="CP997">
        <f t="shared" si="2006"/>
        <v>0</v>
      </c>
      <c r="CQ997">
        <f t="shared" si="2006"/>
        <v>0</v>
      </c>
      <c r="CR997">
        <f t="shared" si="2006"/>
        <v>0</v>
      </c>
      <c r="CS997">
        <f t="shared" si="2006"/>
        <v>0</v>
      </c>
      <c r="CT997">
        <f t="shared" si="2006"/>
        <v>0</v>
      </c>
      <c r="CU997">
        <f t="shared" si="2006"/>
        <v>0</v>
      </c>
      <c r="CV997">
        <f t="shared" si="2006"/>
        <v>0</v>
      </c>
      <c r="CW997">
        <f t="shared" si="2007"/>
        <v>0</v>
      </c>
      <c r="CX997">
        <f t="shared" si="2007"/>
        <v>0</v>
      </c>
      <c r="CY997">
        <f t="shared" si="2007"/>
        <v>0</v>
      </c>
      <c r="CZ997">
        <f t="shared" si="2007"/>
        <v>0</v>
      </c>
      <c r="DA997">
        <f t="shared" si="2007"/>
        <v>0</v>
      </c>
      <c r="DB997">
        <f t="shared" si="2007"/>
        <v>0</v>
      </c>
      <c r="DC997">
        <f t="shared" si="2007"/>
        <v>0</v>
      </c>
      <c r="DD997">
        <f t="shared" si="2007"/>
        <v>0</v>
      </c>
      <c r="DE997">
        <f t="shared" si="2007"/>
        <v>0</v>
      </c>
      <c r="DF997">
        <f t="shared" si="2007"/>
        <v>0</v>
      </c>
      <c r="DG997">
        <f t="shared" si="2008"/>
        <v>0</v>
      </c>
      <c r="DH997">
        <f t="shared" si="2008"/>
        <v>0</v>
      </c>
      <c r="DI997">
        <f t="shared" si="2008"/>
        <v>0</v>
      </c>
      <c r="DJ997">
        <f t="shared" si="2008"/>
        <v>0</v>
      </c>
      <c r="DK997">
        <f t="shared" si="2008"/>
        <v>0</v>
      </c>
      <c r="DL997">
        <f t="shared" si="2008"/>
        <v>0</v>
      </c>
      <c r="DM997">
        <f t="shared" si="2008"/>
        <v>0</v>
      </c>
      <c r="DN997">
        <f t="shared" si="2008"/>
        <v>0</v>
      </c>
      <c r="DO997">
        <f t="shared" si="2008"/>
        <v>0</v>
      </c>
      <c r="DP997">
        <f t="shared" si="2008"/>
        <v>0</v>
      </c>
      <c r="DQ997">
        <f t="shared" si="2009"/>
        <v>0</v>
      </c>
      <c r="DR997">
        <f t="shared" si="2009"/>
        <v>0</v>
      </c>
      <c r="DS997">
        <f t="shared" si="2009"/>
        <v>0</v>
      </c>
      <c r="DT997">
        <f t="shared" si="2009"/>
        <v>0</v>
      </c>
      <c r="DU997">
        <f t="shared" si="2009"/>
        <v>0</v>
      </c>
      <c r="DV997">
        <f t="shared" si="2009"/>
        <v>0</v>
      </c>
      <c r="DW997">
        <f t="shared" si="2009"/>
        <v>0</v>
      </c>
      <c r="DX997">
        <f t="shared" si="2009"/>
        <v>0</v>
      </c>
      <c r="DY997">
        <f t="shared" si="2009"/>
        <v>0</v>
      </c>
      <c r="DZ997">
        <f t="shared" si="2009"/>
        <v>0</v>
      </c>
      <c r="EA997">
        <f t="shared" si="2010"/>
        <v>0</v>
      </c>
      <c r="EB997">
        <f t="shared" si="2010"/>
        <v>0</v>
      </c>
      <c r="EC997">
        <f t="shared" si="2010"/>
        <v>0</v>
      </c>
      <c r="ED997">
        <f t="shared" si="2010"/>
        <v>0</v>
      </c>
      <c r="EE997">
        <f t="shared" si="2010"/>
        <v>0</v>
      </c>
      <c r="EF997">
        <f t="shared" si="2010"/>
        <v>0</v>
      </c>
    </row>
    <row r="998" spans="1:136" ht="15.5">
      <c r="A998" s="90"/>
      <c r="B998" s="19" t="s">
        <v>205</v>
      </c>
      <c r="C998" s="94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9"/>
      <c r="AC998" s="34">
        <v>0</v>
      </c>
      <c r="AD998" s="34">
        <v>0.403005</v>
      </c>
      <c r="AE998" s="34">
        <v>0.89546040000000005</v>
      </c>
      <c r="AF998" s="34">
        <v>1.3881921000000002</v>
      </c>
      <c r="AG998" s="34">
        <v>1.4770958000000001</v>
      </c>
      <c r="AH998" s="34">
        <v>1.6229099</v>
      </c>
      <c r="AI998" s="34">
        <v>1.9092043999999999</v>
      </c>
      <c r="AJ998" s="34">
        <v>2.1341142999999998</v>
      </c>
      <c r="AK998" s="34">
        <v>2.4439657000000001</v>
      </c>
      <c r="AL998" s="34">
        <v>1.9032221</v>
      </c>
      <c r="AM998" s="34">
        <v>2.1611324999999999</v>
      </c>
      <c r="AN998" s="34">
        <v>2.3950983999999997</v>
      </c>
      <c r="AO998" s="34">
        <v>4.7015533000000005</v>
      </c>
      <c r="AP998" s="34">
        <v>0</v>
      </c>
      <c r="AQ998" s="34">
        <v>0.1800833</v>
      </c>
      <c r="AR998" s="34">
        <v>0.30093999999999999</v>
      </c>
      <c r="AS998" s="34">
        <v>0.3009617</v>
      </c>
      <c r="AT998" s="34">
        <v>0.43444109999999997</v>
      </c>
      <c r="AU998" s="34">
        <v>0.47241050000000001</v>
      </c>
      <c r="AV998" s="34">
        <v>0.89011059999999997</v>
      </c>
      <c r="AW998" s="34">
        <v>1.9333279999999999</v>
      </c>
      <c r="AX998" s="34">
        <v>7.2068975000000002</v>
      </c>
      <c r="AY998" s="34">
        <v>8.9911288000000003</v>
      </c>
      <c r="AZ998" s="18">
        <v>10.888116</v>
      </c>
      <c r="BA998" s="18">
        <v>8.0789850999999988</v>
      </c>
      <c r="BB998" s="18">
        <v>9.9014486999999995</v>
      </c>
      <c r="BC998" s="18">
        <v>11.9305036</v>
      </c>
      <c r="BD998" s="18">
        <v>13.6943205</v>
      </c>
      <c r="BE998" s="25">
        <v>13.908928</v>
      </c>
      <c r="BF998" s="18">
        <v>18.518142899999997</v>
      </c>
      <c r="BG998" s="18">
        <v>18.096142</v>
      </c>
      <c r="BH998" s="113">
        <v>17.639006500000001</v>
      </c>
      <c r="BI998" s="113">
        <v>18</v>
      </c>
      <c r="BJ998" s="113">
        <v>18.399999999999999</v>
      </c>
      <c r="BK998" s="113">
        <v>0</v>
      </c>
      <c r="BL998" s="113">
        <v>0</v>
      </c>
      <c r="BM998" s="113">
        <v>0</v>
      </c>
      <c r="BN998" s="113">
        <v>0</v>
      </c>
      <c r="BO998" s="113">
        <v>0</v>
      </c>
      <c r="BP998" s="257">
        <v>0</v>
      </c>
      <c r="BQ998" s="257">
        <v>0</v>
      </c>
      <c r="BR998" s="101"/>
      <c r="BS998">
        <f t="shared" si="2004"/>
        <v>0</v>
      </c>
      <c r="BT998">
        <f t="shared" si="2004"/>
        <v>0</v>
      </c>
      <c r="BU998">
        <f t="shared" si="2004"/>
        <v>0</v>
      </c>
      <c r="BV998">
        <f t="shared" si="2004"/>
        <v>0</v>
      </c>
      <c r="BW998">
        <f t="shared" si="2004"/>
        <v>0</v>
      </c>
      <c r="BX998">
        <f t="shared" si="2004"/>
        <v>0</v>
      </c>
      <c r="BY998">
        <f t="shared" si="2004"/>
        <v>0</v>
      </c>
      <c r="BZ998">
        <f t="shared" si="2004"/>
        <v>0</v>
      </c>
      <c r="CA998">
        <f t="shared" si="2004"/>
        <v>0</v>
      </c>
      <c r="CB998">
        <f t="shared" si="2004"/>
        <v>0</v>
      </c>
      <c r="CC998">
        <f t="shared" si="2005"/>
        <v>0</v>
      </c>
      <c r="CD998">
        <f t="shared" si="2005"/>
        <v>0</v>
      </c>
      <c r="CE998">
        <f t="shared" si="2005"/>
        <v>0</v>
      </c>
      <c r="CF998">
        <f t="shared" si="2005"/>
        <v>0</v>
      </c>
      <c r="CG998">
        <f t="shared" si="2005"/>
        <v>0</v>
      </c>
      <c r="CH998">
        <f t="shared" si="2005"/>
        <v>0</v>
      </c>
      <c r="CI998">
        <f t="shared" si="2005"/>
        <v>0</v>
      </c>
      <c r="CJ998">
        <f t="shared" si="2005"/>
        <v>0</v>
      </c>
      <c r="CK998">
        <f t="shared" si="2005"/>
        <v>0</v>
      </c>
      <c r="CL998">
        <f t="shared" si="2005"/>
        <v>0</v>
      </c>
      <c r="CM998">
        <f t="shared" si="2006"/>
        <v>0</v>
      </c>
      <c r="CN998">
        <f t="shared" si="2006"/>
        <v>0</v>
      </c>
      <c r="CO998">
        <f t="shared" si="2006"/>
        <v>0</v>
      </c>
      <c r="CP998">
        <f t="shared" si="2006"/>
        <v>0</v>
      </c>
      <c r="CQ998">
        <f t="shared" si="2006"/>
        <v>0</v>
      </c>
      <c r="CR998">
        <f t="shared" si="2006"/>
        <v>0</v>
      </c>
      <c r="CS998">
        <f t="shared" si="2006"/>
        <v>0</v>
      </c>
      <c r="CT998">
        <f t="shared" si="2006"/>
        <v>0</v>
      </c>
      <c r="CU998">
        <f t="shared" si="2006"/>
        <v>0</v>
      </c>
      <c r="CV998">
        <f t="shared" si="2006"/>
        <v>0</v>
      </c>
      <c r="CW998">
        <f t="shared" si="2007"/>
        <v>0</v>
      </c>
      <c r="CX998">
        <f t="shared" si="2007"/>
        <v>0</v>
      </c>
      <c r="CY998">
        <f t="shared" si="2007"/>
        <v>0</v>
      </c>
      <c r="CZ998">
        <f t="shared" si="2007"/>
        <v>0</v>
      </c>
      <c r="DA998">
        <f t="shared" si="2007"/>
        <v>0</v>
      </c>
      <c r="DB998">
        <f t="shared" si="2007"/>
        <v>0</v>
      </c>
      <c r="DC998">
        <f t="shared" si="2007"/>
        <v>0</v>
      </c>
      <c r="DD998">
        <f t="shared" si="2007"/>
        <v>0</v>
      </c>
      <c r="DE998">
        <f t="shared" si="2007"/>
        <v>0</v>
      </c>
      <c r="DF998">
        <f t="shared" si="2007"/>
        <v>0</v>
      </c>
      <c r="DG998">
        <f t="shared" si="2008"/>
        <v>0</v>
      </c>
      <c r="DH998">
        <f t="shared" si="2008"/>
        <v>0</v>
      </c>
      <c r="DI998">
        <f t="shared" si="2008"/>
        <v>0</v>
      </c>
      <c r="DJ998">
        <f t="shared" si="2008"/>
        <v>0</v>
      </c>
      <c r="DK998">
        <f t="shared" si="2008"/>
        <v>0</v>
      </c>
      <c r="DL998">
        <f t="shared" si="2008"/>
        <v>0</v>
      </c>
      <c r="DM998">
        <f t="shared" si="2008"/>
        <v>0</v>
      </c>
      <c r="DN998">
        <f t="shared" si="2008"/>
        <v>0</v>
      </c>
      <c r="DO998">
        <f t="shared" si="2008"/>
        <v>0</v>
      </c>
      <c r="DP998">
        <f t="shared" si="2008"/>
        <v>0</v>
      </c>
      <c r="DQ998">
        <f t="shared" si="2009"/>
        <v>0</v>
      </c>
      <c r="DR998">
        <f t="shared" si="2009"/>
        <v>0</v>
      </c>
      <c r="DS998">
        <f t="shared" si="2009"/>
        <v>0</v>
      </c>
      <c r="DT998">
        <f t="shared" si="2009"/>
        <v>0</v>
      </c>
      <c r="DU998">
        <f t="shared" si="2009"/>
        <v>0</v>
      </c>
      <c r="DV998">
        <f t="shared" si="2009"/>
        <v>0</v>
      </c>
      <c r="DW998">
        <f t="shared" si="2009"/>
        <v>0</v>
      </c>
      <c r="DX998">
        <f t="shared" si="2009"/>
        <v>0</v>
      </c>
      <c r="DY998">
        <f t="shared" si="2009"/>
        <v>0</v>
      </c>
      <c r="DZ998">
        <f t="shared" si="2009"/>
        <v>0</v>
      </c>
      <c r="EA998">
        <f t="shared" si="2010"/>
        <v>0</v>
      </c>
      <c r="EB998">
        <f t="shared" si="2010"/>
        <v>0</v>
      </c>
      <c r="EC998">
        <f t="shared" si="2010"/>
        <v>0</v>
      </c>
      <c r="ED998">
        <f t="shared" si="2010"/>
        <v>0</v>
      </c>
      <c r="EE998">
        <f t="shared" si="2010"/>
        <v>0</v>
      </c>
      <c r="EF998">
        <f t="shared" si="2010"/>
        <v>0</v>
      </c>
    </row>
    <row r="999" spans="1:136" ht="15.5">
      <c r="A999" s="90"/>
      <c r="B999" s="57" t="s">
        <v>3</v>
      </c>
      <c r="C999" s="94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>
        <v>0</v>
      </c>
      <c r="T999" s="18">
        <v>0</v>
      </c>
      <c r="U999" s="18">
        <v>0</v>
      </c>
      <c r="V999" s="18">
        <v>0</v>
      </c>
      <c r="W999" s="18">
        <v>0</v>
      </c>
      <c r="X999" s="18">
        <v>0</v>
      </c>
      <c r="Y999" s="18">
        <v>0</v>
      </c>
      <c r="Z999" s="18">
        <v>0</v>
      </c>
      <c r="AA999" s="18">
        <v>1.9285900000000002E-2</v>
      </c>
      <c r="AB999" s="18">
        <v>0.4553046</v>
      </c>
      <c r="AC999" s="18">
        <v>2.8678618000000005</v>
      </c>
      <c r="AD999" s="18">
        <v>6.0233014999999996</v>
      </c>
      <c r="AE999" s="18">
        <f>9.2319616-AE998</f>
        <v>8.3365012000000007</v>
      </c>
      <c r="AF999" s="18">
        <f>13.6153109-AF998</f>
        <v>12.227118800000001</v>
      </c>
      <c r="AG999" s="18">
        <f>20.2233591-AG998</f>
        <v>18.746263299999999</v>
      </c>
      <c r="AH999" s="18">
        <f>27.8110675-AH998</f>
        <v>26.1881576</v>
      </c>
      <c r="AI999" s="18">
        <f>34.2419442-AI998</f>
        <v>32.332739799999999</v>
      </c>
      <c r="AJ999" s="18">
        <f>39.7622656-AJ998</f>
        <v>37.628151299999999</v>
      </c>
      <c r="AK999" s="18">
        <f>48.2395198-AK998</f>
        <v>45.795554099999997</v>
      </c>
      <c r="AL999" s="18">
        <f>52.8489475-AL998</f>
        <v>50.945725400000001</v>
      </c>
      <c r="AM999" s="18">
        <f>55.6758873-AM998</f>
        <v>53.514754799999999</v>
      </c>
      <c r="AN999" s="18">
        <f>28.7899577-AN998</f>
        <v>26.3948593</v>
      </c>
      <c r="AO999" s="18">
        <f>30.1113815-AO998</f>
        <v>25.4098282</v>
      </c>
      <c r="AP999" s="18">
        <v>38.678877999999997</v>
      </c>
      <c r="AQ999" s="18">
        <v>92.311917800000003</v>
      </c>
      <c r="AR999" s="18">
        <f>83.5468156-AR997</f>
        <v>56.546815600000002</v>
      </c>
      <c r="AS999" s="18">
        <v>61.666439699999998</v>
      </c>
      <c r="AT999" s="18">
        <v>62.038650200000006</v>
      </c>
      <c r="AU999" s="18">
        <v>66.736383799999999</v>
      </c>
      <c r="AV999" s="18">
        <f>72.4175483-AV998</f>
        <v>71.527437700000007</v>
      </c>
      <c r="AW999" s="18">
        <f>73.8503013-AW998-AW997</f>
        <v>44.916973299999995</v>
      </c>
      <c r="AX999" s="18">
        <f>88.9275833-AX998-AX997</f>
        <v>54.720685799999998</v>
      </c>
      <c r="AY999" s="18">
        <f>275.987105-AY997-AY998</f>
        <v>242.99597619999997</v>
      </c>
      <c r="AZ999" s="18">
        <f>116.3307565-AZ997-AZ998</f>
        <v>81.142640500000013</v>
      </c>
      <c r="BA999" s="18">
        <f>71.2555758-BA997-BA998</f>
        <v>38.876590700000008</v>
      </c>
      <c r="BB999" s="18">
        <f>73.642556-BB997-BB998</f>
        <v>39.441107299999999</v>
      </c>
      <c r="BC999" s="18">
        <f>75.4577315-BC997-BC998</f>
        <v>39.227227899999995</v>
      </c>
      <c r="BD999" s="18">
        <f>68.2217924-BD997-BD998</f>
        <v>30.227471900000001</v>
      </c>
      <c r="BE999" s="25">
        <f>69.2502624-BE997-BE998</f>
        <v>31.0413344</v>
      </c>
      <c r="BF999" s="18">
        <f>71.280281-BF997-BF998</f>
        <v>28.462138100000008</v>
      </c>
      <c r="BG999" s="18">
        <f>70.9939874-BG997-BG998</f>
        <v>28.597845399999997</v>
      </c>
      <c r="BH999" s="18">
        <f>73.9654208-BH997-BH998</f>
        <v>32.026414300000006</v>
      </c>
      <c r="BI999" s="18">
        <f>75.4916493-BI997-BI998</f>
        <v>33.191649300000009</v>
      </c>
      <c r="BJ999" s="18">
        <f>74.9708989-BJ997-BJ998</f>
        <v>32.270898899999999</v>
      </c>
      <c r="BK999" s="113">
        <v>73.773160400000009</v>
      </c>
      <c r="BL999" s="113">
        <v>84.17565359999999</v>
      </c>
      <c r="BM999" s="113">
        <v>83.412729400000003</v>
      </c>
      <c r="BN999" s="113">
        <v>111.80659619999999</v>
      </c>
      <c r="BO999" s="18">
        <v>120</v>
      </c>
      <c r="BP999" s="113">
        <v>110</v>
      </c>
      <c r="BQ999" s="113">
        <v>110</v>
      </c>
      <c r="BR999" s="101"/>
      <c r="BS999">
        <f t="shared" si="2004"/>
        <v>0</v>
      </c>
      <c r="BT999">
        <f t="shared" si="2004"/>
        <v>0</v>
      </c>
      <c r="BU999">
        <f t="shared" si="2004"/>
        <v>0</v>
      </c>
      <c r="BV999">
        <f t="shared" si="2004"/>
        <v>0</v>
      </c>
      <c r="BW999">
        <f t="shared" si="2004"/>
        <v>0</v>
      </c>
      <c r="BX999">
        <f t="shared" si="2004"/>
        <v>0</v>
      </c>
      <c r="BY999">
        <f t="shared" si="2004"/>
        <v>0</v>
      </c>
      <c r="BZ999">
        <f t="shared" si="2004"/>
        <v>0</v>
      </c>
      <c r="CA999">
        <f t="shared" si="2004"/>
        <v>0</v>
      </c>
      <c r="CB999">
        <f t="shared" si="2004"/>
        <v>0</v>
      </c>
      <c r="CC999">
        <f t="shared" si="2005"/>
        <v>0</v>
      </c>
      <c r="CD999">
        <f t="shared" si="2005"/>
        <v>0</v>
      </c>
      <c r="CE999">
        <f t="shared" si="2005"/>
        <v>0</v>
      </c>
      <c r="CF999">
        <f t="shared" si="2005"/>
        <v>0</v>
      </c>
      <c r="CG999">
        <f t="shared" si="2005"/>
        <v>0</v>
      </c>
      <c r="CH999">
        <f t="shared" si="2005"/>
        <v>0</v>
      </c>
      <c r="CI999">
        <f t="shared" si="2005"/>
        <v>0</v>
      </c>
      <c r="CJ999">
        <f t="shared" si="2005"/>
        <v>0</v>
      </c>
      <c r="CK999">
        <f t="shared" si="2005"/>
        <v>0</v>
      </c>
      <c r="CL999">
        <f t="shared" si="2005"/>
        <v>0</v>
      </c>
      <c r="CM999">
        <f t="shared" si="2006"/>
        <v>0</v>
      </c>
      <c r="CN999">
        <f t="shared" si="2006"/>
        <v>0</v>
      </c>
      <c r="CO999">
        <f t="shared" si="2006"/>
        <v>0</v>
      </c>
      <c r="CP999">
        <f t="shared" si="2006"/>
        <v>0</v>
      </c>
      <c r="CQ999">
        <f t="shared" si="2006"/>
        <v>0</v>
      </c>
      <c r="CR999">
        <f t="shared" si="2006"/>
        <v>0</v>
      </c>
      <c r="CS999">
        <f t="shared" si="2006"/>
        <v>0</v>
      </c>
      <c r="CT999">
        <f t="shared" si="2006"/>
        <v>0</v>
      </c>
      <c r="CU999">
        <f t="shared" si="2006"/>
        <v>0</v>
      </c>
      <c r="CV999">
        <f t="shared" si="2006"/>
        <v>0</v>
      </c>
      <c r="CW999">
        <f t="shared" si="2007"/>
        <v>0</v>
      </c>
      <c r="CX999">
        <f t="shared" si="2007"/>
        <v>0</v>
      </c>
      <c r="CY999">
        <f t="shared" si="2007"/>
        <v>0</v>
      </c>
      <c r="CZ999">
        <f t="shared" si="2007"/>
        <v>0</v>
      </c>
      <c r="DA999">
        <f t="shared" si="2007"/>
        <v>0</v>
      </c>
      <c r="DB999">
        <f t="shared" si="2007"/>
        <v>0</v>
      </c>
      <c r="DC999">
        <f t="shared" si="2007"/>
        <v>0</v>
      </c>
      <c r="DD999">
        <f t="shared" si="2007"/>
        <v>0</v>
      </c>
      <c r="DE999">
        <f t="shared" si="2007"/>
        <v>0</v>
      </c>
      <c r="DF999">
        <f t="shared" si="2007"/>
        <v>0</v>
      </c>
      <c r="DG999">
        <f t="shared" si="2008"/>
        <v>0</v>
      </c>
      <c r="DH999">
        <f t="shared" si="2008"/>
        <v>0</v>
      </c>
      <c r="DI999">
        <f t="shared" si="2008"/>
        <v>0</v>
      </c>
      <c r="DJ999">
        <f t="shared" si="2008"/>
        <v>0</v>
      </c>
      <c r="DK999">
        <f t="shared" si="2008"/>
        <v>0</v>
      </c>
      <c r="DL999">
        <f t="shared" si="2008"/>
        <v>0</v>
      </c>
      <c r="DM999">
        <f t="shared" si="2008"/>
        <v>0</v>
      </c>
      <c r="DN999">
        <f t="shared" si="2008"/>
        <v>0</v>
      </c>
      <c r="DO999">
        <f t="shared" si="2008"/>
        <v>0</v>
      </c>
      <c r="DP999">
        <f t="shared" si="2008"/>
        <v>0</v>
      </c>
      <c r="DQ999">
        <f t="shared" si="2009"/>
        <v>0</v>
      </c>
      <c r="DR999">
        <f t="shared" si="2009"/>
        <v>0</v>
      </c>
      <c r="DS999">
        <f t="shared" si="2009"/>
        <v>0</v>
      </c>
      <c r="DT999">
        <f t="shared" si="2009"/>
        <v>0</v>
      </c>
      <c r="DU999">
        <f t="shared" si="2009"/>
        <v>0</v>
      </c>
      <c r="DV999">
        <f t="shared" si="2009"/>
        <v>0</v>
      </c>
      <c r="DW999">
        <f t="shared" si="2009"/>
        <v>0</v>
      </c>
      <c r="DX999">
        <f t="shared" si="2009"/>
        <v>0</v>
      </c>
      <c r="DY999">
        <f t="shared" si="2009"/>
        <v>0</v>
      </c>
      <c r="DZ999">
        <f t="shared" si="2009"/>
        <v>0</v>
      </c>
      <c r="EA999">
        <f t="shared" si="2010"/>
        <v>0</v>
      </c>
      <c r="EB999">
        <f t="shared" si="2010"/>
        <v>0</v>
      </c>
      <c r="EC999">
        <f t="shared" si="2010"/>
        <v>0</v>
      </c>
      <c r="ED999">
        <f t="shared" si="2010"/>
        <v>0</v>
      </c>
      <c r="EE999">
        <f t="shared" si="2010"/>
        <v>0</v>
      </c>
      <c r="EF999">
        <f t="shared" si="2010"/>
        <v>0</v>
      </c>
    </row>
    <row r="1000" spans="1:136" ht="15.5">
      <c r="A1000" s="90"/>
      <c r="B1000" s="19" t="s">
        <v>18</v>
      </c>
      <c r="C1000" s="94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>
        <v>0</v>
      </c>
      <c r="T1000" s="18">
        <v>0</v>
      </c>
      <c r="U1000" s="18">
        <v>0</v>
      </c>
      <c r="V1000" s="18">
        <v>0</v>
      </c>
      <c r="W1000" s="18">
        <v>0</v>
      </c>
      <c r="X1000" s="18">
        <v>0</v>
      </c>
      <c r="Y1000" s="18">
        <v>0</v>
      </c>
      <c r="Z1000" s="18">
        <v>0</v>
      </c>
      <c r="AA1000" s="18">
        <v>0</v>
      </c>
      <c r="AB1000" s="18">
        <v>0</v>
      </c>
      <c r="AC1000" s="18">
        <v>0</v>
      </c>
      <c r="AD1000" s="18">
        <v>0</v>
      </c>
      <c r="AE1000" s="18">
        <v>6</v>
      </c>
      <c r="AF1000" s="18">
        <v>7</v>
      </c>
      <c r="AG1000" s="18">
        <v>7</v>
      </c>
      <c r="AH1000" s="18">
        <v>8</v>
      </c>
      <c r="AI1000" s="18">
        <v>9</v>
      </c>
      <c r="AJ1000" s="18">
        <v>9</v>
      </c>
      <c r="AK1000" s="18">
        <v>10</v>
      </c>
      <c r="AL1000" s="18">
        <v>11</v>
      </c>
      <c r="AM1000" s="18">
        <v>0</v>
      </c>
      <c r="AN1000" s="18">
        <v>0</v>
      </c>
      <c r="AO1000" s="18">
        <v>0</v>
      </c>
      <c r="AP1000" s="18">
        <v>0</v>
      </c>
      <c r="AQ1000" s="18">
        <v>0</v>
      </c>
      <c r="AR1000" s="18">
        <v>0</v>
      </c>
      <c r="AS1000" s="18">
        <v>0</v>
      </c>
      <c r="AT1000" s="18">
        <v>0</v>
      </c>
      <c r="AU1000" s="18">
        <v>0</v>
      </c>
      <c r="AV1000" s="18">
        <v>0</v>
      </c>
      <c r="AW1000" s="18">
        <v>0</v>
      </c>
      <c r="AX1000" s="18">
        <v>0</v>
      </c>
      <c r="AY1000" s="18">
        <v>0</v>
      </c>
      <c r="AZ1000" s="18">
        <v>0</v>
      </c>
      <c r="BA1000" s="18">
        <v>0</v>
      </c>
      <c r="BB1000" s="18">
        <v>0</v>
      </c>
      <c r="BC1000" s="18">
        <v>0</v>
      </c>
      <c r="BD1000" s="20">
        <v>0</v>
      </c>
      <c r="BE1000" s="20">
        <v>0</v>
      </c>
      <c r="BF1000" s="20">
        <v>0</v>
      </c>
      <c r="BG1000" s="20">
        <v>0</v>
      </c>
      <c r="BH1000" s="20">
        <v>0</v>
      </c>
      <c r="BI1000" s="113">
        <v>0</v>
      </c>
      <c r="BJ1000" s="113">
        <v>0</v>
      </c>
      <c r="BK1000" s="113">
        <v>0</v>
      </c>
      <c r="BL1000" s="113">
        <v>0</v>
      </c>
      <c r="BM1000" s="113">
        <v>0</v>
      </c>
      <c r="BN1000" s="113">
        <v>0</v>
      </c>
      <c r="BO1000" s="113">
        <v>0</v>
      </c>
      <c r="BP1000" s="257">
        <v>0</v>
      </c>
      <c r="BQ1000" s="257">
        <v>0</v>
      </c>
      <c r="BR1000" s="101"/>
      <c r="BS1000">
        <f t="shared" si="2004"/>
        <v>0</v>
      </c>
      <c r="BT1000">
        <f t="shared" si="2004"/>
        <v>0</v>
      </c>
      <c r="BU1000">
        <f t="shared" si="2004"/>
        <v>0</v>
      </c>
      <c r="BV1000">
        <f t="shared" si="2004"/>
        <v>0</v>
      </c>
      <c r="BW1000">
        <f t="shared" si="2004"/>
        <v>0</v>
      </c>
      <c r="BX1000">
        <f t="shared" si="2004"/>
        <v>0</v>
      </c>
      <c r="BY1000">
        <f t="shared" si="2004"/>
        <v>0</v>
      </c>
      <c r="BZ1000">
        <f t="shared" si="2004"/>
        <v>0</v>
      </c>
      <c r="CA1000">
        <f t="shared" si="2004"/>
        <v>0</v>
      </c>
      <c r="CB1000">
        <f t="shared" si="2004"/>
        <v>0</v>
      </c>
      <c r="CC1000">
        <f t="shared" si="2005"/>
        <v>0</v>
      </c>
      <c r="CD1000">
        <f t="shared" si="2005"/>
        <v>0</v>
      </c>
      <c r="CE1000">
        <f t="shared" si="2005"/>
        <v>0</v>
      </c>
      <c r="CF1000">
        <f t="shared" si="2005"/>
        <v>0</v>
      </c>
      <c r="CG1000">
        <f t="shared" si="2005"/>
        <v>0</v>
      </c>
      <c r="CH1000">
        <f t="shared" si="2005"/>
        <v>0</v>
      </c>
      <c r="CI1000">
        <f t="shared" si="2005"/>
        <v>0</v>
      </c>
      <c r="CJ1000">
        <f t="shared" si="2005"/>
        <v>0</v>
      </c>
      <c r="CK1000">
        <f t="shared" si="2005"/>
        <v>0</v>
      </c>
      <c r="CL1000">
        <f t="shared" si="2005"/>
        <v>0</v>
      </c>
      <c r="CM1000">
        <f t="shared" si="2006"/>
        <v>0</v>
      </c>
      <c r="CN1000">
        <f t="shared" si="2006"/>
        <v>0</v>
      </c>
      <c r="CO1000">
        <f t="shared" si="2006"/>
        <v>0</v>
      </c>
      <c r="CP1000">
        <f t="shared" si="2006"/>
        <v>0</v>
      </c>
      <c r="CQ1000">
        <f t="shared" si="2006"/>
        <v>0</v>
      </c>
      <c r="CR1000">
        <f t="shared" si="2006"/>
        <v>0</v>
      </c>
      <c r="CS1000">
        <f t="shared" si="2006"/>
        <v>0</v>
      </c>
      <c r="CT1000">
        <f t="shared" si="2006"/>
        <v>0</v>
      </c>
      <c r="CU1000">
        <f t="shared" si="2006"/>
        <v>0</v>
      </c>
      <c r="CV1000">
        <f t="shared" si="2006"/>
        <v>0</v>
      </c>
      <c r="CW1000">
        <f t="shared" si="2007"/>
        <v>0</v>
      </c>
      <c r="CX1000">
        <f t="shared" si="2007"/>
        <v>0</v>
      </c>
      <c r="CY1000">
        <f t="shared" si="2007"/>
        <v>0</v>
      </c>
      <c r="CZ1000">
        <f t="shared" si="2007"/>
        <v>0</v>
      </c>
      <c r="DA1000">
        <f t="shared" si="2007"/>
        <v>0</v>
      </c>
      <c r="DB1000">
        <f t="shared" si="2007"/>
        <v>0</v>
      </c>
      <c r="DC1000">
        <f t="shared" si="2007"/>
        <v>0</v>
      </c>
      <c r="DD1000">
        <f t="shared" si="2007"/>
        <v>0</v>
      </c>
      <c r="DE1000">
        <f t="shared" si="2007"/>
        <v>0</v>
      </c>
      <c r="DF1000">
        <f t="shared" si="2007"/>
        <v>0</v>
      </c>
      <c r="DG1000">
        <f t="shared" si="2008"/>
        <v>0</v>
      </c>
      <c r="DH1000">
        <f t="shared" si="2008"/>
        <v>0</v>
      </c>
      <c r="DI1000">
        <f t="shared" si="2008"/>
        <v>0</v>
      </c>
      <c r="DJ1000">
        <f t="shared" si="2008"/>
        <v>0</v>
      </c>
      <c r="DK1000">
        <f t="shared" si="2008"/>
        <v>0</v>
      </c>
      <c r="DL1000">
        <f t="shared" si="2008"/>
        <v>0</v>
      </c>
      <c r="DM1000">
        <f t="shared" si="2008"/>
        <v>0</v>
      </c>
      <c r="DN1000">
        <f t="shared" si="2008"/>
        <v>0</v>
      </c>
      <c r="DO1000">
        <f t="shared" si="2008"/>
        <v>0</v>
      </c>
      <c r="DP1000">
        <f t="shared" si="2008"/>
        <v>0</v>
      </c>
      <c r="DQ1000">
        <f t="shared" si="2009"/>
        <v>0</v>
      </c>
      <c r="DR1000">
        <f t="shared" si="2009"/>
        <v>0</v>
      </c>
      <c r="DS1000">
        <f t="shared" si="2009"/>
        <v>0</v>
      </c>
      <c r="DT1000">
        <f t="shared" si="2009"/>
        <v>0</v>
      </c>
      <c r="DU1000">
        <f t="shared" si="2009"/>
        <v>0</v>
      </c>
      <c r="DV1000">
        <f t="shared" si="2009"/>
        <v>0</v>
      </c>
      <c r="DW1000">
        <f t="shared" si="2009"/>
        <v>0</v>
      </c>
      <c r="DX1000">
        <f t="shared" si="2009"/>
        <v>0</v>
      </c>
      <c r="DY1000">
        <f t="shared" si="2009"/>
        <v>0</v>
      </c>
      <c r="DZ1000">
        <f t="shared" si="2009"/>
        <v>0</v>
      </c>
      <c r="EA1000">
        <f t="shared" si="2010"/>
        <v>0</v>
      </c>
      <c r="EB1000">
        <f t="shared" si="2010"/>
        <v>0</v>
      </c>
      <c r="EC1000">
        <f t="shared" si="2010"/>
        <v>0</v>
      </c>
      <c r="ED1000">
        <f t="shared" si="2010"/>
        <v>0</v>
      </c>
      <c r="EE1000">
        <f t="shared" si="2010"/>
        <v>0</v>
      </c>
      <c r="EF1000">
        <f t="shared" si="2010"/>
        <v>0</v>
      </c>
    </row>
    <row r="1001" spans="1:136" ht="15.5">
      <c r="A1001" s="90"/>
      <c r="B1001" s="57" t="s">
        <v>208</v>
      </c>
      <c r="C1001" s="94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>
        <v>0</v>
      </c>
      <c r="T1001" s="18">
        <v>0</v>
      </c>
      <c r="U1001" s="18">
        <v>0</v>
      </c>
      <c r="V1001" s="18">
        <v>0</v>
      </c>
      <c r="W1001" s="18">
        <v>0</v>
      </c>
      <c r="X1001" s="18">
        <v>0</v>
      </c>
      <c r="Y1001" s="18">
        <v>0</v>
      </c>
      <c r="Z1001" s="18">
        <v>0</v>
      </c>
      <c r="AA1001" s="18">
        <v>0</v>
      </c>
      <c r="AB1001" s="18">
        <v>0</v>
      </c>
      <c r="AC1001" s="18">
        <v>0.11799999999999999</v>
      </c>
      <c r="AD1001" s="18">
        <v>0.28100000000000003</v>
      </c>
      <c r="AE1001" s="18">
        <v>0.72499999999999998</v>
      </c>
      <c r="AF1001" s="18">
        <v>1.125</v>
      </c>
      <c r="AG1001" s="18">
        <v>1.07</v>
      </c>
      <c r="AH1001" s="18">
        <v>1.226</v>
      </c>
      <c r="AI1001" s="18">
        <v>1.357</v>
      </c>
      <c r="AJ1001" s="18">
        <v>4.1449999999999996</v>
      </c>
      <c r="AK1001" s="18">
        <v>1.478</v>
      </c>
      <c r="AL1001" s="18">
        <v>1.478</v>
      </c>
      <c r="AM1001" s="18">
        <v>15.834912599999999</v>
      </c>
      <c r="AN1001" s="18">
        <v>0</v>
      </c>
      <c r="AO1001" s="18">
        <v>2.6267177000000004</v>
      </c>
      <c r="AP1001" s="18">
        <v>0</v>
      </c>
      <c r="AQ1001" s="18">
        <v>8.3320000000000007</v>
      </c>
      <c r="AR1001" s="18">
        <v>0</v>
      </c>
      <c r="AS1001" s="18">
        <v>0</v>
      </c>
      <c r="AT1001" s="18">
        <v>0</v>
      </c>
      <c r="AU1001" s="18">
        <v>0</v>
      </c>
      <c r="AV1001" s="18">
        <v>0</v>
      </c>
      <c r="AW1001" s="18">
        <v>0</v>
      </c>
      <c r="AX1001" s="18">
        <v>0</v>
      </c>
      <c r="AY1001" s="18">
        <v>0</v>
      </c>
      <c r="AZ1001" s="18">
        <v>0</v>
      </c>
      <c r="BA1001" s="18">
        <v>0</v>
      </c>
      <c r="BB1001" s="18">
        <v>0</v>
      </c>
      <c r="BC1001" s="18">
        <v>0</v>
      </c>
      <c r="BD1001" s="18">
        <v>0</v>
      </c>
      <c r="BE1001" s="25">
        <v>0</v>
      </c>
      <c r="BF1001" s="25">
        <v>0</v>
      </c>
      <c r="BG1001" s="25">
        <v>0</v>
      </c>
      <c r="BH1001" s="25">
        <v>0</v>
      </c>
      <c r="BI1001" s="113">
        <v>0</v>
      </c>
      <c r="BJ1001" s="113">
        <v>0</v>
      </c>
      <c r="BK1001" s="113">
        <v>0</v>
      </c>
      <c r="BL1001" s="113">
        <v>0</v>
      </c>
      <c r="BM1001" s="113">
        <v>1.425</v>
      </c>
      <c r="BN1001" s="113">
        <v>1.425</v>
      </c>
      <c r="BO1001" s="113">
        <v>1</v>
      </c>
      <c r="BP1001" s="257">
        <v>1</v>
      </c>
      <c r="BQ1001" s="257">
        <v>1</v>
      </c>
      <c r="BR1001" s="101"/>
      <c r="BS1001">
        <f t="shared" si="2004"/>
        <v>0</v>
      </c>
      <c r="BT1001">
        <f t="shared" si="2004"/>
        <v>0</v>
      </c>
      <c r="BU1001">
        <f t="shared" si="2004"/>
        <v>0</v>
      </c>
      <c r="BV1001">
        <f t="shared" si="2004"/>
        <v>0</v>
      </c>
      <c r="BW1001">
        <f t="shared" si="2004"/>
        <v>0</v>
      </c>
      <c r="BX1001">
        <f t="shared" si="2004"/>
        <v>0</v>
      </c>
      <c r="BY1001">
        <f t="shared" si="2004"/>
        <v>0</v>
      </c>
      <c r="BZ1001">
        <f t="shared" si="2004"/>
        <v>0</v>
      </c>
      <c r="CA1001">
        <f t="shared" si="2004"/>
        <v>0</v>
      </c>
      <c r="CB1001">
        <f t="shared" si="2004"/>
        <v>0</v>
      </c>
      <c r="CC1001">
        <f t="shared" si="2005"/>
        <v>0</v>
      </c>
      <c r="CD1001">
        <f t="shared" si="2005"/>
        <v>0</v>
      </c>
      <c r="CE1001">
        <f t="shared" si="2005"/>
        <v>0</v>
      </c>
      <c r="CF1001">
        <f t="shared" si="2005"/>
        <v>0</v>
      </c>
      <c r="CG1001">
        <f t="shared" si="2005"/>
        <v>0</v>
      </c>
      <c r="CH1001">
        <f t="shared" si="2005"/>
        <v>0</v>
      </c>
      <c r="CI1001">
        <f t="shared" si="2005"/>
        <v>0</v>
      </c>
      <c r="CJ1001">
        <f t="shared" si="2005"/>
        <v>0</v>
      </c>
      <c r="CK1001">
        <f t="shared" si="2005"/>
        <v>0</v>
      </c>
      <c r="CL1001">
        <f t="shared" si="2005"/>
        <v>0</v>
      </c>
      <c r="CM1001">
        <f t="shared" si="2006"/>
        <v>0</v>
      </c>
      <c r="CN1001">
        <f t="shared" si="2006"/>
        <v>0</v>
      </c>
      <c r="CO1001">
        <f t="shared" si="2006"/>
        <v>0</v>
      </c>
      <c r="CP1001">
        <f t="shared" si="2006"/>
        <v>0</v>
      </c>
      <c r="CQ1001">
        <f t="shared" si="2006"/>
        <v>0</v>
      </c>
      <c r="CR1001">
        <f t="shared" si="2006"/>
        <v>0</v>
      </c>
      <c r="CS1001">
        <f t="shared" si="2006"/>
        <v>0</v>
      </c>
      <c r="CT1001">
        <f t="shared" si="2006"/>
        <v>0</v>
      </c>
      <c r="CU1001">
        <f t="shared" si="2006"/>
        <v>0</v>
      </c>
      <c r="CV1001">
        <f t="shared" si="2006"/>
        <v>0</v>
      </c>
      <c r="CW1001">
        <f t="shared" si="2007"/>
        <v>0</v>
      </c>
      <c r="CX1001">
        <f t="shared" si="2007"/>
        <v>0</v>
      </c>
      <c r="CY1001">
        <f t="shared" si="2007"/>
        <v>0</v>
      </c>
      <c r="CZ1001">
        <f t="shared" si="2007"/>
        <v>0</v>
      </c>
      <c r="DA1001">
        <f t="shared" si="2007"/>
        <v>0</v>
      </c>
      <c r="DB1001">
        <f t="shared" si="2007"/>
        <v>0</v>
      </c>
      <c r="DC1001">
        <f t="shared" si="2007"/>
        <v>0</v>
      </c>
      <c r="DD1001">
        <f t="shared" si="2007"/>
        <v>0</v>
      </c>
      <c r="DE1001">
        <f t="shared" si="2007"/>
        <v>0</v>
      </c>
      <c r="DF1001">
        <f t="shared" si="2007"/>
        <v>0</v>
      </c>
      <c r="DG1001">
        <f t="shared" si="2008"/>
        <v>0</v>
      </c>
      <c r="DH1001">
        <f t="shared" si="2008"/>
        <v>0</v>
      </c>
      <c r="DI1001">
        <f t="shared" si="2008"/>
        <v>0</v>
      </c>
      <c r="DJ1001">
        <f t="shared" si="2008"/>
        <v>0</v>
      </c>
      <c r="DK1001">
        <f t="shared" si="2008"/>
        <v>0</v>
      </c>
      <c r="DL1001">
        <f t="shared" si="2008"/>
        <v>0</v>
      </c>
      <c r="DM1001">
        <f t="shared" si="2008"/>
        <v>0</v>
      </c>
      <c r="DN1001">
        <f t="shared" si="2008"/>
        <v>0</v>
      </c>
      <c r="DO1001">
        <f t="shared" si="2008"/>
        <v>0</v>
      </c>
      <c r="DP1001">
        <f t="shared" si="2008"/>
        <v>0</v>
      </c>
      <c r="DQ1001">
        <f t="shared" si="2009"/>
        <v>0</v>
      </c>
      <c r="DR1001">
        <f t="shared" si="2009"/>
        <v>0</v>
      </c>
      <c r="DS1001">
        <f t="shared" si="2009"/>
        <v>0</v>
      </c>
      <c r="DT1001">
        <f t="shared" si="2009"/>
        <v>0</v>
      </c>
      <c r="DU1001">
        <f t="shared" si="2009"/>
        <v>0</v>
      </c>
      <c r="DV1001">
        <f t="shared" si="2009"/>
        <v>0</v>
      </c>
      <c r="DW1001">
        <f t="shared" si="2009"/>
        <v>0</v>
      </c>
      <c r="DX1001">
        <f t="shared" si="2009"/>
        <v>0</v>
      </c>
      <c r="DY1001">
        <f t="shared" si="2009"/>
        <v>0</v>
      </c>
      <c r="DZ1001">
        <f t="shared" si="2009"/>
        <v>0</v>
      </c>
      <c r="EA1001">
        <f t="shared" si="2010"/>
        <v>0</v>
      </c>
      <c r="EB1001">
        <f t="shared" si="2010"/>
        <v>0</v>
      </c>
      <c r="EC1001">
        <f t="shared" si="2010"/>
        <v>0</v>
      </c>
      <c r="ED1001">
        <f t="shared" si="2010"/>
        <v>0</v>
      </c>
      <c r="EE1001">
        <f t="shared" si="2010"/>
        <v>0</v>
      </c>
      <c r="EF1001">
        <f t="shared" si="2010"/>
        <v>0</v>
      </c>
    </row>
    <row r="1002" spans="1:136" ht="15.5">
      <c r="A1002" s="90"/>
      <c r="B1002" s="57" t="s">
        <v>21</v>
      </c>
      <c r="C1002" s="94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  <c r="AA1002" s="18"/>
      <c r="AB1002" s="18"/>
      <c r="AC1002" s="18"/>
      <c r="AD1002" s="18"/>
      <c r="AE1002" s="18"/>
      <c r="AF1002" s="18"/>
      <c r="AG1002" s="18"/>
      <c r="AH1002" s="18"/>
      <c r="AI1002" s="18"/>
      <c r="AJ1002" s="18"/>
      <c r="AK1002" s="18"/>
      <c r="AL1002" s="18"/>
      <c r="AM1002" s="18"/>
      <c r="AN1002" s="18"/>
      <c r="AO1002" s="18"/>
      <c r="AP1002" s="18"/>
      <c r="AQ1002" s="18"/>
      <c r="AR1002" s="18">
        <v>0</v>
      </c>
      <c r="AS1002" s="18">
        <v>0</v>
      </c>
      <c r="AT1002" s="18">
        <v>0</v>
      </c>
      <c r="AU1002" s="18">
        <v>0</v>
      </c>
      <c r="AV1002" s="18">
        <v>0</v>
      </c>
      <c r="AW1002" s="25">
        <f>2500/10558</f>
        <v>0.2367872703163478</v>
      </c>
      <c r="AX1002" s="25">
        <f>2500/12449</f>
        <v>0.20081934291910997</v>
      </c>
      <c r="AY1002" s="18">
        <v>0</v>
      </c>
      <c r="AZ1002" s="18">
        <v>0</v>
      </c>
      <c r="BA1002" s="18">
        <v>0</v>
      </c>
      <c r="BB1002" s="18">
        <v>0</v>
      </c>
      <c r="BC1002" s="18">
        <v>0</v>
      </c>
      <c r="BD1002" s="18">
        <v>0</v>
      </c>
      <c r="BE1002" s="18">
        <v>0</v>
      </c>
      <c r="BF1002" s="18">
        <v>0</v>
      </c>
      <c r="BG1002" s="18">
        <v>0</v>
      </c>
      <c r="BH1002" s="18">
        <v>0</v>
      </c>
      <c r="BI1002" s="18">
        <v>0</v>
      </c>
      <c r="BJ1002" s="18">
        <v>0</v>
      </c>
      <c r="BK1002" s="18">
        <v>0</v>
      </c>
      <c r="BL1002" s="18">
        <v>0</v>
      </c>
      <c r="BM1002" s="18">
        <v>0</v>
      </c>
      <c r="BN1002" s="18">
        <v>0</v>
      </c>
      <c r="BO1002" s="18">
        <v>0</v>
      </c>
      <c r="BP1002" s="260">
        <v>0</v>
      </c>
      <c r="BQ1002" s="260">
        <v>0</v>
      </c>
      <c r="BR1002" s="101"/>
      <c r="BS1002">
        <f t="shared" si="2004"/>
        <v>0</v>
      </c>
      <c r="BT1002">
        <f t="shared" si="2004"/>
        <v>0</v>
      </c>
      <c r="BU1002">
        <f t="shared" si="2004"/>
        <v>0</v>
      </c>
      <c r="BV1002">
        <f t="shared" si="2004"/>
        <v>0</v>
      </c>
      <c r="BW1002">
        <f t="shared" si="2004"/>
        <v>0</v>
      </c>
      <c r="BX1002">
        <f t="shared" si="2004"/>
        <v>0</v>
      </c>
      <c r="BY1002">
        <f t="shared" si="2004"/>
        <v>0</v>
      </c>
      <c r="BZ1002">
        <f t="shared" si="2004"/>
        <v>0</v>
      </c>
      <c r="CA1002">
        <f t="shared" si="2004"/>
        <v>0</v>
      </c>
      <c r="CB1002">
        <f t="shared" si="2004"/>
        <v>0</v>
      </c>
      <c r="CC1002">
        <f t="shared" si="2005"/>
        <v>0</v>
      </c>
      <c r="CD1002">
        <f t="shared" si="2005"/>
        <v>0</v>
      </c>
      <c r="CE1002">
        <f t="shared" si="2005"/>
        <v>0</v>
      </c>
      <c r="CF1002">
        <f t="shared" si="2005"/>
        <v>0</v>
      </c>
      <c r="CG1002">
        <f t="shared" si="2005"/>
        <v>0</v>
      </c>
      <c r="CH1002">
        <f t="shared" si="2005"/>
        <v>0</v>
      </c>
      <c r="CI1002">
        <f t="shared" si="2005"/>
        <v>0</v>
      </c>
      <c r="CJ1002">
        <f t="shared" si="2005"/>
        <v>0</v>
      </c>
      <c r="CK1002">
        <f t="shared" si="2005"/>
        <v>0</v>
      </c>
      <c r="CL1002">
        <f t="shared" si="2005"/>
        <v>0</v>
      </c>
      <c r="CM1002">
        <f t="shared" si="2006"/>
        <v>0</v>
      </c>
      <c r="CN1002">
        <f t="shared" si="2006"/>
        <v>0</v>
      </c>
      <c r="CO1002">
        <f t="shared" si="2006"/>
        <v>0</v>
      </c>
      <c r="CP1002">
        <f t="shared" si="2006"/>
        <v>0</v>
      </c>
      <c r="CQ1002">
        <f t="shared" si="2006"/>
        <v>0</v>
      </c>
      <c r="CR1002">
        <f t="shared" si="2006"/>
        <v>0</v>
      </c>
      <c r="CS1002">
        <f t="shared" si="2006"/>
        <v>0</v>
      </c>
      <c r="CT1002">
        <f t="shared" si="2006"/>
        <v>0</v>
      </c>
      <c r="CU1002">
        <f t="shared" si="2006"/>
        <v>0</v>
      </c>
      <c r="CV1002">
        <f t="shared" si="2006"/>
        <v>0</v>
      </c>
      <c r="CW1002">
        <f t="shared" si="2007"/>
        <v>0</v>
      </c>
      <c r="CX1002">
        <f t="shared" si="2007"/>
        <v>0</v>
      </c>
      <c r="CY1002">
        <f t="shared" si="2007"/>
        <v>0</v>
      </c>
      <c r="CZ1002">
        <f t="shared" si="2007"/>
        <v>0</v>
      </c>
      <c r="DA1002">
        <f t="shared" si="2007"/>
        <v>0</v>
      </c>
      <c r="DB1002">
        <f t="shared" si="2007"/>
        <v>0</v>
      </c>
      <c r="DC1002">
        <f t="shared" si="2007"/>
        <v>0</v>
      </c>
      <c r="DD1002">
        <f t="shared" si="2007"/>
        <v>0</v>
      </c>
      <c r="DE1002">
        <f t="shared" si="2007"/>
        <v>0</v>
      </c>
      <c r="DF1002">
        <f t="shared" si="2007"/>
        <v>0</v>
      </c>
      <c r="DG1002">
        <f t="shared" si="2008"/>
        <v>0</v>
      </c>
      <c r="DH1002">
        <f t="shared" si="2008"/>
        <v>0</v>
      </c>
      <c r="DI1002">
        <f t="shared" si="2008"/>
        <v>0</v>
      </c>
      <c r="DJ1002">
        <f t="shared" si="2008"/>
        <v>0</v>
      </c>
      <c r="DK1002">
        <f t="shared" si="2008"/>
        <v>0</v>
      </c>
      <c r="DL1002">
        <f t="shared" si="2008"/>
        <v>0</v>
      </c>
      <c r="DM1002">
        <f t="shared" si="2008"/>
        <v>0</v>
      </c>
      <c r="DN1002">
        <f t="shared" si="2008"/>
        <v>0</v>
      </c>
      <c r="DO1002">
        <f t="shared" si="2008"/>
        <v>0</v>
      </c>
      <c r="DP1002">
        <f t="shared" si="2008"/>
        <v>0</v>
      </c>
      <c r="DQ1002">
        <f t="shared" si="2009"/>
        <v>0</v>
      </c>
      <c r="DR1002">
        <f t="shared" si="2009"/>
        <v>0</v>
      </c>
      <c r="DS1002">
        <f t="shared" si="2009"/>
        <v>0</v>
      </c>
      <c r="DT1002">
        <f t="shared" si="2009"/>
        <v>0</v>
      </c>
      <c r="DU1002">
        <f t="shared" si="2009"/>
        <v>0</v>
      </c>
      <c r="DV1002">
        <f t="shared" si="2009"/>
        <v>0</v>
      </c>
      <c r="DW1002">
        <f t="shared" si="2009"/>
        <v>0</v>
      </c>
      <c r="DX1002">
        <f t="shared" si="2009"/>
        <v>0</v>
      </c>
      <c r="DY1002">
        <f t="shared" si="2009"/>
        <v>0</v>
      </c>
      <c r="DZ1002">
        <f t="shared" si="2009"/>
        <v>0</v>
      </c>
      <c r="EA1002">
        <f t="shared" si="2010"/>
        <v>0</v>
      </c>
      <c r="EB1002">
        <f t="shared" si="2010"/>
        <v>0</v>
      </c>
      <c r="EC1002">
        <f t="shared" si="2010"/>
        <v>0</v>
      </c>
      <c r="ED1002">
        <f t="shared" si="2010"/>
        <v>0</v>
      </c>
      <c r="EE1002">
        <f t="shared" si="2010"/>
        <v>0</v>
      </c>
      <c r="EF1002">
        <f t="shared" si="2010"/>
        <v>0</v>
      </c>
    </row>
    <row r="1003" spans="1:136" ht="15.5">
      <c r="A1003" s="90"/>
      <c r="B1003" s="57" t="s">
        <v>212</v>
      </c>
      <c r="C1003" s="94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  <c r="AA1003" s="18"/>
      <c r="AB1003" s="18"/>
      <c r="AC1003" s="18"/>
      <c r="AD1003" s="18"/>
      <c r="AE1003" s="18"/>
      <c r="AF1003" s="18"/>
      <c r="AG1003" s="18"/>
      <c r="AH1003" s="18">
        <v>2112.7627906976745</v>
      </c>
      <c r="AI1003" s="18">
        <v>1452.5399361022364</v>
      </c>
      <c r="AJ1003" s="18">
        <v>1252.465564738292</v>
      </c>
      <c r="AK1003" s="18">
        <v>658.03039073806076</v>
      </c>
      <c r="AL1003" s="18">
        <v>384.51476793248946</v>
      </c>
      <c r="AM1003" s="18">
        <v>321.25818489051608</v>
      </c>
      <c r="AN1003" s="18">
        <v>160.3247440875397</v>
      </c>
      <c r="AO1003" s="18">
        <v>65.657488844570068</v>
      </c>
      <c r="AP1003" s="18">
        <v>65.969498910675384</v>
      </c>
      <c r="AQ1003" s="18">
        <v>62.432989690721648</v>
      </c>
      <c r="AR1003" s="18">
        <v>53.023581601681066</v>
      </c>
      <c r="AS1003" s="18">
        <v>50.82811101163832</v>
      </c>
      <c r="AT1003" s="18">
        <v>49.690048939641109</v>
      </c>
      <c r="AU1003" s="18">
        <v>50.887890457851945</v>
      </c>
      <c r="AV1003" s="18">
        <v>50.787719652595435</v>
      </c>
      <c r="AW1003" s="25">
        <v>39.874976321272968</v>
      </c>
      <c r="AX1003" s="25">
        <v>33.817977347578122</v>
      </c>
      <c r="AY1003" s="25">
        <v>31.469306345571397</v>
      </c>
      <c r="AZ1003" s="25">
        <v>30.41850969717591</v>
      </c>
      <c r="BA1003" s="55">
        <v>27.578973346495559</v>
      </c>
      <c r="BB1003" s="25">
        <v>24.163468295583545</v>
      </c>
      <c r="BC1003" s="25">
        <v>29.052942177835781</v>
      </c>
      <c r="BD1003" s="25">
        <v>28.581917348437173</v>
      </c>
      <c r="BE1003" s="25">
        <v>27.208672086720867</v>
      </c>
      <c r="BF1003" s="25">
        <v>26.652769505658132</v>
      </c>
      <c r="BG1003" s="25">
        <v>20.290759900107027</v>
      </c>
      <c r="BH1003" s="25">
        <v>20.588235294117645</v>
      </c>
      <c r="BI1003" s="113">
        <v>21.342592592592592</v>
      </c>
      <c r="BJ1003" s="113">
        <v>25.81730769230769</v>
      </c>
      <c r="BK1003" s="113">
        <v>20.710900473933648</v>
      </c>
      <c r="BL1003" s="113">
        <v>12.930232558139535</v>
      </c>
      <c r="BM1003" s="113">
        <v>8.5714285714285712</v>
      </c>
      <c r="BN1003" s="113">
        <v>6.0209424083769632</v>
      </c>
      <c r="BO1003" s="168">
        <f>115/22.3</f>
        <v>5.1569506726457401</v>
      </c>
      <c r="BP1003" s="113">
        <v>4</v>
      </c>
      <c r="BQ1003" s="113">
        <v>3</v>
      </c>
      <c r="BR1003" s="101"/>
      <c r="BS1003">
        <f t="shared" si="2004"/>
        <v>0</v>
      </c>
      <c r="BT1003">
        <f t="shared" si="2004"/>
        <v>0</v>
      </c>
      <c r="BU1003">
        <f t="shared" si="2004"/>
        <v>0</v>
      </c>
      <c r="BV1003">
        <f t="shared" si="2004"/>
        <v>0</v>
      </c>
      <c r="BW1003">
        <f t="shared" si="2004"/>
        <v>0</v>
      </c>
      <c r="BX1003">
        <f t="shared" si="2004"/>
        <v>0</v>
      </c>
      <c r="BY1003">
        <f t="shared" si="2004"/>
        <v>0</v>
      </c>
      <c r="BZ1003">
        <f t="shared" si="2004"/>
        <v>0</v>
      </c>
      <c r="CA1003">
        <f t="shared" si="2004"/>
        <v>0</v>
      </c>
      <c r="CB1003">
        <f t="shared" si="2004"/>
        <v>0</v>
      </c>
      <c r="CC1003">
        <f t="shared" si="2005"/>
        <v>0</v>
      </c>
      <c r="CD1003">
        <f t="shared" si="2005"/>
        <v>0</v>
      </c>
      <c r="CE1003">
        <f t="shared" si="2005"/>
        <v>0</v>
      </c>
      <c r="CF1003">
        <f t="shared" si="2005"/>
        <v>0</v>
      </c>
      <c r="CG1003">
        <f t="shared" si="2005"/>
        <v>0</v>
      </c>
      <c r="CH1003">
        <f t="shared" si="2005"/>
        <v>0</v>
      </c>
      <c r="CI1003">
        <f t="shared" si="2005"/>
        <v>0</v>
      </c>
      <c r="CJ1003">
        <f t="shared" si="2005"/>
        <v>0</v>
      </c>
      <c r="CK1003">
        <f t="shared" si="2005"/>
        <v>0</v>
      </c>
      <c r="CL1003">
        <f t="shared" si="2005"/>
        <v>0</v>
      </c>
      <c r="CM1003">
        <f t="shared" si="2006"/>
        <v>0</v>
      </c>
      <c r="CN1003">
        <f t="shared" si="2006"/>
        <v>0</v>
      </c>
      <c r="CO1003">
        <f t="shared" si="2006"/>
        <v>0</v>
      </c>
      <c r="CP1003">
        <f t="shared" si="2006"/>
        <v>0</v>
      </c>
      <c r="CQ1003">
        <f t="shared" si="2006"/>
        <v>0</v>
      </c>
      <c r="CR1003">
        <f t="shared" si="2006"/>
        <v>0</v>
      </c>
      <c r="CS1003">
        <f t="shared" si="2006"/>
        <v>0</v>
      </c>
      <c r="CT1003">
        <f t="shared" si="2006"/>
        <v>0</v>
      </c>
      <c r="CU1003">
        <f t="shared" si="2006"/>
        <v>0</v>
      </c>
      <c r="CV1003">
        <f t="shared" si="2006"/>
        <v>0</v>
      </c>
      <c r="CW1003">
        <f t="shared" si="2007"/>
        <v>0</v>
      </c>
      <c r="CX1003">
        <f t="shared" si="2007"/>
        <v>0</v>
      </c>
      <c r="CY1003">
        <f t="shared" si="2007"/>
        <v>0</v>
      </c>
      <c r="CZ1003">
        <f t="shared" si="2007"/>
        <v>0</v>
      </c>
      <c r="DA1003">
        <f t="shared" si="2007"/>
        <v>0</v>
      </c>
      <c r="DB1003">
        <f t="shared" si="2007"/>
        <v>0</v>
      </c>
      <c r="DC1003">
        <f t="shared" si="2007"/>
        <v>0</v>
      </c>
      <c r="DD1003">
        <f t="shared" si="2007"/>
        <v>0</v>
      </c>
      <c r="DE1003">
        <f t="shared" si="2007"/>
        <v>0</v>
      </c>
      <c r="DF1003">
        <f t="shared" si="2007"/>
        <v>0</v>
      </c>
      <c r="DG1003">
        <f t="shared" si="2008"/>
        <v>0</v>
      </c>
      <c r="DH1003">
        <f t="shared" si="2008"/>
        <v>0</v>
      </c>
      <c r="DI1003">
        <f t="shared" si="2008"/>
        <v>0</v>
      </c>
      <c r="DJ1003">
        <f t="shared" si="2008"/>
        <v>0</v>
      </c>
      <c r="DK1003">
        <f t="shared" si="2008"/>
        <v>0</v>
      </c>
      <c r="DL1003">
        <f t="shared" si="2008"/>
        <v>0</v>
      </c>
      <c r="DM1003">
        <f t="shared" si="2008"/>
        <v>0</v>
      </c>
      <c r="DN1003">
        <f t="shared" si="2008"/>
        <v>0</v>
      </c>
      <c r="DO1003">
        <f t="shared" si="2008"/>
        <v>0</v>
      </c>
      <c r="DP1003">
        <f t="shared" si="2008"/>
        <v>0</v>
      </c>
      <c r="DQ1003">
        <f t="shared" si="2009"/>
        <v>0</v>
      </c>
      <c r="DR1003">
        <f t="shared" si="2009"/>
        <v>0</v>
      </c>
      <c r="DS1003">
        <f t="shared" si="2009"/>
        <v>0</v>
      </c>
      <c r="DT1003">
        <f t="shared" si="2009"/>
        <v>0</v>
      </c>
      <c r="DU1003">
        <f t="shared" si="2009"/>
        <v>0</v>
      </c>
      <c r="DV1003">
        <f t="shared" si="2009"/>
        <v>0</v>
      </c>
      <c r="DW1003">
        <f t="shared" si="2009"/>
        <v>0</v>
      </c>
      <c r="DX1003">
        <f t="shared" si="2009"/>
        <v>0</v>
      </c>
      <c r="DY1003">
        <f t="shared" si="2009"/>
        <v>0</v>
      </c>
      <c r="DZ1003">
        <f t="shared" si="2009"/>
        <v>0</v>
      </c>
      <c r="EA1003">
        <f t="shared" si="2010"/>
        <v>0</v>
      </c>
      <c r="EB1003">
        <f t="shared" si="2010"/>
        <v>0</v>
      </c>
      <c r="EC1003">
        <f t="shared" si="2010"/>
        <v>0</v>
      </c>
      <c r="ED1003">
        <f t="shared" si="2010"/>
        <v>0</v>
      </c>
      <c r="EE1003">
        <f t="shared" si="2010"/>
        <v>0</v>
      </c>
      <c r="EF1003">
        <f t="shared" si="2010"/>
        <v>0</v>
      </c>
    </row>
    <row r="1004" spans="1:136" ht="15.5">
      <c r="A1004" s="90"/>
      <c r="B1004" s="37"/>
      <c r="C1004" s="94"/>
      <c r="D1004" s="18"/>
      <c r="E1004" s="18"/>
      <c r="F1004" s="18"/>
      <c r="G1004" s="18"/>
      <c r="H1004" s="18"/>
      <c r="I1004" s="18"/>
      <c r="J1004" s="18"/>
      <c r="K1004" s="18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  <c r="Z1004" s="18"/>
      <c r="AA1004" s="18"/>
      <c r="AB1004" s="18"/>
      <c r="AC1004" s="18"/>
      <c r="AD1004" s="18"/>
      <c r="AE1004" s="18"/>
      <c r="AF1004" s="18"/>
      <c r="AG1004" s="18"/>
      <c r="AH1004" s="18"/>
      <c r="AI1004" s="18"/>
      <c r="AJ1004" s="18"/>
      <c r="AK1004" s="18"/>
      <c r="AL1004" s="18"/>
      <c r="AM1004" s="18"/>
      <c r="AN1004" s="18"/>
      <c r="AO1004" s="18"/>
      <c r="AP1004" s="18"/>
      <c r="AQ1004" s="18"/>
      <c r="AR1004" s="18"/>
      <c r="AS1004" s="147"/>
      <c r="AT1004" s="18"/>
      <c r="AU1004" s="18"/>
      <c r="AV1004" s="18"/>
      <c r="AW1004" s="18"/>
      <c r="AX1004" s="18"/>
      <c r="AY1004" s="18"/>
      <c r="AZ1004" s="18"/>
      <c r="BA1004" s="18"/>
      <c r="BB1004" s="18"/>
      <c r="BC1004" s="18"/>
      <c r="BD1004" s="18"/>
      <c r="BE1004" s="25"/>
      <c r="BF1004" s="18"/>
      <c r="BG1004" s="18"/>
      <c r="BH1004" s="113"/>
      <c r="BI1004" s="113"/>
      <c r="BJ1004" s="154"/>
      <c r="BK1004" s="113"/>
      <c r="BL1004" s="113"/>
      <c r="BM1004" s="113"/>
      <c r="BN1004" s="2"/>
      <c r="BO1004" s="2"/>
      <c r="BP1004" s="2"/>
      <c r="BQ1004" s="2"/>
      <c r="BR1004" s="101"/>
    </row>
    <row r="1005" spans="1:136" ht="15.5">
      <c r="A1005" s="93">
        <v>127</v>
      </c>
      <c r="B1005" s="122" t="s">
        <v>128</v>
      </c>
      <c r="C1005" s="94">
        <v>3</v>
      </c>
      <c r="D1005" s="22">
        <f t="shared" ref="D1005:AI1005" si="2011">SUM(D1006:D1010)</f>
        <v>0</v>
      </c>
      <c r="E1005" s="22">
        <f t="shared" si="2011"/>
        <v>0</v>
      </c>
      <c r="F1005" s="22">
        <f t="shared" si="2011"/>
        <v>0</v>
      </c>
      <c r="G1005" s="22">
        <f t="shared" si="2011"/>
        <v>0</v>
      </c>
      <c r="H1005" s="22">
        <f t="shared" si="2011"/>
        <v>0</v>
      </c>
      <c r="I1005" s="22">
        <f t="shared" si="2011"/>
        <v>0</v>
      </c>
      <c r="J1005" s="22">
        <f t="shared" si="2011"/>
        <v>0</v>
      </c>
      <c r="K1005" s="22">
        <f t="shared" si="2011"/>
        <v>0</v>
      </c>
      <c r="L1005" s="22">
        <f t="shared" si="2011"/>
        <v>0</v>
      </c>
      <c r="M1005" s="22">
        <f t="shared" si="2011"/>
        <v>0</v>
      </c>
      <c r="N1005" s="22">
        <f t="shared" si="2011"/>
        <v>0</v>
      </c>
      <c r="O1005" s="22">
        <f t="shared" si="2011"/>
        <v>0.23600000000000002</v>
      </c>
      <c r="P1005" s="22">
        <f t="shared" si="2011"/>
        <v>5.0000000000000001E-3</v>
      </c>
      <c r="Q1005" s="22">
        <f t="shared" si="2011"/>
        <v>0.20800000000000002</v>
      </c>
      <c r="R1005" s="22">
        <f t="shared" si="2011"/>
        <v>0.12400000000000001</v>
      </c>
      <c r="S1005" s="22">
        <f t="shared" si="2011"/>
        <v>0.05</v>
      </c>
      <c r="T1005" s="22">
        <f t="shared" si="2011"/>
        <v>0</v>
      </c>
      <c r="U1005" s="22">
        <f t="shared" si="2011"/>
        <v>0</v>
      </c>
      <c r="V1005" s="22">
        <f t="shared" si="2011"/>
        <v>0</v>
      </c>
      <c r="W1005" s="22">
        <f t="shared" si="2011"/>
        <v>0</v>
      </c>
      <c r="X1005" s="22">
        <f t="shared" si="2011"/>
        <v>0</v>
      </c>
      <c r="Y1005" s="22">
        <f t="shared" si="2011"/>
        <v>102.152</v>
      </c>
      <c r="Z1005" s="22">
        <f t="shared" si="2011"/>
        <v>152.16300000000001</v>
      </c>
      <c r="AA1005" s="22">
        <f t="shared" si="2011"/>
        <v>148.39300000000003</v>
      </c>
      <c r="AB1005" s="22">
        <f t="shared" si="2011"/>
        <v>106.369</v>
      </c>
      <c r="AC1005" s="22">
        <f t="shared" si="2011"/>
        <v>145.328</v>
      </c>
      <c r="AD1005" s="22">
        <f t="shared" si="2011"/>
        <v>94.03</v>
      </c>
      <c r="AE1005" s="22">
        <f t="shared" si="2011"/>
        <v>80.033999999999992</v>
      </c>
      <c r="AF1005" s="22">
        <f t="shared" si="2011"/>
        <v>5.032</v>
      </c>
      <c r="AG1005" s="22">
        <f t="shared" si="2011"/>
        <v>1060.0630000000001</v>
      </c>
      <c r="AH1005" s="22">
        <f t="shared" si="2011"/>
        <v>161.797</v>
      </c>
      <c r="AI1005" s="22">
        <f t="shared" si="2011"/>
        <v>263.423</v>
      </c>
      <c r="AJ1005" s="22">
        <f t="shared" ref="AJ1005:BP1005" si="2012">SUM(AJ1006:AJ1010)</f>
        <v>207.953</v>
      </c>
      <c r="AK1005" s="22">
        <f t="shared" si="2012"/>
        <v>363.66399999999999</v>
      </c>
      <c r="AL1005" s="22">
        <f t="shared" si="2012"/>
        <v>677</v>
      </c>
      <c r="AM1005" s="22">
        <f t="shared" si="2012"/>
        <v>331.12022990000003</v>
      </c>
      <c r="AN1005" s="22">
        <f t="shared" si="2012"/>
        <v>240.988</v>
      </c>
      <c r="AO1005" s="22">
        <f t="shared" si="2012"/>
        <v>11.088000000000001</v>
      </c>
      <c r="AP1005" s="22">
        <f t="shared" si="2012"/>
        <v>427</v>
      </c>
      <c r="AQ1005" s="22">
        <f t="shared" si="2012"/>
        <v>9.0489999999999995</v>
      </c>
      <c r="AR1005" s="22">
        <f t="shared" si="2012"/>
        <v>32.667234899999997</v>
      </c>
      <c r="AS1005" s="22">
        <f t="shared" si="2012"/>
        <v>40.231334500000003</v>
      </c>
      <c r="AT1005" s="22">
        <f t="shared" si="2012"/>
        <v>44.836714999999998</v>
      </c>
      <c r="AU1005" s="22">
        <f t="shared" si="2012"/>
        <v>41.820986700000006</v>
      </c>
      <c r="AV1005" s="22">
        <f t="shared" si="2012"/>
        <v>463</v>
      </c>
      <c r="AW1005" s="22">
        <f t="shared" si="2012"/>
        <v>56.085051</v>
      </c>
      <c r="AX1005" s="22">
        <f t="shared" si="2012"/>
        <v>2506.4130817</v>
      </c>
      <c r="AY1005" s="22">
        <f t="shared" si="2012"/>
        <v>161.60073800000001</v>
      </c>
      <c r="AZ1005" s="22">
        <f t="shared" si="2012"/>
        <v>7.5298027999999997</v>
      </c>
      <c r="BA1005" s="22">
        <f t="shared" si="2012"/>
        <v>4.5680472999999999</v>
      </c>
      <c r="BB1005" s="22">
        <f t="shared" si="2012"/>
        <v>26.833383100000002</v>
      </c>
      <c r="BC1005" s="22">
        <f t="shared" si="2012"/>
        <v>214.7630035</v>
      </c>
      <c r="BD1005" s="22">
        <f t="shared" si="2012"/>
        <v>0</v>
      </c>
      <c r="BE1005" s="22">
        <f t="shared" si="2012"/>
        <v>0.30532159999999997</v>
      </c>
      <c r="BF1005" s="22">
        <f t="shared" si="2012"/>
        <v>0</v>
      </c>
      <c r="BG1005" s="22">
        <f t="shared" si="2012"/>
        <v>1.1160000000000001</v>
      </c>
      <c r="BH1005" s="22">
        <f t="shared" si="2012"/>
        <v>0</v>
      </c>
      <c r="BI1005" s="22">
        <f t="shared" si="2012"/>
        <v>0</v>
      </c>
      <c r="BJ1005" s="22">
        <f t="shared" si="2012"/>
        <v>0</v>
      </c>
      <c r="BK1005" s="22">
        <f t="shared" si="2012"/>
        <v>0</v>
      </c>
      <c r="BL1005" s="22">
        <f t="shared" si="2012"/>
        <v>45.592958199999998</v>
      </c>
      <c r="BM1005" s="22">
        <f t="shared" si="2012"/>
        <v>73</v>
      </c>
      <c r="BN1005" s="22">
        <f t="shared" si="2012"/>
        <v>5</v>
      </c>
      <c r="BO1005" s="22">
        <f t="shared" si="2012"/>
        <v>0</v>
      </c>
      <c r="BP1005" s="22">
        <f t="shared" si="2012"/>
        <v>0</v>
      </c>
      <c r="BQ1005" s="22">
        <f t="shared" ref="BQ1005" si="2013">SUM(BQ1006:BQ1010)</f>
        <v>0</v>
      </c>
      <c r="BR1005" s="101"/>
      <c r="BS1005">
        <f t="shared" ref="BS1005:CX1005" si="2014">IF($C1005&lt;&gt;"",IF(D1005&gt;0,1,0),0)</f>
        <v>0</v>
      </c>
      <c r="BT1005">
        <f t="shared" si="2014"/>
        <v>0</v>
      </c>
      <c r="BU1005">
        <f t="shared" si="2014"/>
        <v>0</v>
      </c>
      <c r="BV1005">
        <f t="shared" si="2014"/>
        <v>0</v>
      </c>
      <c r="BW1005">
        <f t="shared" si="2014"/>
        <v>0</v>
      </c>
      <c r="BX1005">
        <f t="shared" si="2014"/>
        <v>0</v>
      </c>
      <c r="BY1005">
        <f t="shared" si="2014"/>
        <v>0</v>
      </c>
      <c r="BZ1005">
        <f t="shared" si="2014"/>
        <v>0</v>
      </c>
      <c r="CA1005">
        <f t="shared" si="2014"/>
        <v>0</v>
      </c>
      <c r="CB1005">
        <f t="shared" si="2014"/>
        <v>0</v>
      </c>
      <c r="CC1005">
        <f t="shared" si="2014"/>
        <v>0</v>
      </c>
      <c r="CD1005">
        <f t="shared" si="2014"/>
        <v>1</v>
      </c>
      <c r="CE1005">
        <f t="shared" si="2014"/>
        <v>1</v>
      </c>
      <c r="CF1005">
        <f t="shared" si="2014"/>
        <v>1</v>
      </c>
      <c r="CG1005">
        <f t="shared" si="2014"/>
        <v>1</v>
      </c>
      <c r="CH1005">
        <f t="shared" si="2014"/>
        <v>1</v>
      </c>
      <c r="CI1005">
        <f t="shared" si="2014"/>
        <v>0</v>
      </c>
      <c r="CJ1005">
        <f t="shared" si="2014"/>
        <v>0</v>
      </c>
      <c r="CK1005">
        <f t="shared" si="2014"/>
        <v>0</v>
      </c>
      <c r="CL1005">
        <f t="shared" si="2014"/>
        <v>0</v>
      </c>
      <c r="CM1005">
        <f t="shared" si="2014"/>
        <v>0</v>
      </c>
      <c r="CN1005">
        <f t="shared" si="2014"/>
        <v>1</v>
      </c>
      <c r="CO1005">
        <f t="shared" si="2014"/>
        <v>1</v>
      </c>
      <c r="CP1005">
        <f t="shared" si="2014"/>
        <v>1</v>
      </c>
      <c r="CQ1005">
        <f t="shared" si="2014"/>
        <v>1</v>
      </c>
      <c r="CR1005">
        <f t="shared" si="2014"/>
        <v>1</v>
      </c>
      <c r="CS1005">
        <f t="shared" si="2014"/>
        <v>1</v>
      </c>
      <c r="CT1005">
        <f t="shared" si="2014"/>
        <v>1</v>
      </c>
      <c r="CU1005">
        <f t="shared" si="2014"/>
        <v>1</v>
      </c>
      <c r="CV1005">
        <f t="shared" si="2014"/>
        <v>1</v>
      </c>
      <c r="CW1005">
        <f t="shared" si="2014"/>
        <v>1</v>
      </c>
      <c r="CX1005">
        <f t="shared" si="2014"/>
        <v>1</v>
      </c>
      <c r="CY1005">
        <f t="shared" ref="CY1005:ED1005" si="2015">IF($C1005&lt;&gt;"",IF(AJ1005&gt;0,1,0),0)</f>
        <v>1</v>
      </c>
      <c r="CZ1005">
        <f t="shared" si="2015"/>
        <v>1</v>
      </c>
      <c r="DA1005">
        <f t="shared" si="2015"/>
        <v>1</v>
      </c>
      <c r="DB1005">
        <f t="shared" si="2015"/>
        <v>1</v>
      </c>
      <c r="DC1005">
        <f t="shared" si="2015"/>
        <v>1</v>
      </c>
      <c r="DD1005">
        <f t="shared" si="2015"/>
        <v>1</v>
      </c>
      <c r="DE1005">
        <f t="shared" si="2015"/>
        <v>1</v>
      </c>
      <c r="DF1005">
        <f t="shared" si="2015"/>
        <v>1</v>
      </c>
      <c r="DG1005">
        <f t="shared" si="2015"/>
        <v>1</v>
      </c>
      <c r="DH1005">
        <f t="shared" si="2015"/>
        <v>1</v>
      </c>
      <c r="DI1005">
        <f t="shared" si="2015"/>
        <v>1</v>
      </c>
      <c r="DJ1005">
        <f t="shared" si="2015"/>
        <v>1</v>
      </c>
      <c r="DK1005">
        <f t="shared" si="2015"/>
        <v>1</v>
      </c>
      <c r="DL1005">
        <f t="shared" si="2015"/>
        <v>1</v>
      </c>
      <c r="DM1005">
        <f t="shared" si="2015"/>
        <v>1</v>
      </c>
      <c r="DN1005">
        <f t="shared" si="2015"/>
        <v>1</v>
      </c>
      <c r="DO1005">
        <f t="shared" si="2015"/>
        <v>1</v>
      </c>
      <c r="DP1005">
        <f t="shared" si="2015"/>
        <v>1</v>
      </c>
      <c r="DQ1005">
        <f t="shared" si="2015"/>
        <v>1</v>
      </c>
      <c r="DR1005">
        <f t="shared" si="2015"/>
        <v>1</v>
      </c>
      <c r="DS1005">
        <f t="shared" si="2015"/>
        <v>0</v>
      </c>
      <c r="DT1005">
        <f t="shared" si="2015"/>
        <v>1</v>
      </c>
      <c r="DU1005">
        <f t="shared" si="2015"/>
        <v>0</v>
      </c>
      <c r="DV1005">
        <f t="shared" si="2015"/>
        <v>1</v>
      </c>
      <c r="DW1005">
        <f t="shared" si="2015"/>
        <v>0</v>
      </c>
      <c r="DX1005">
        <f t="shared" si="2015"/>
        <v>0</v>
      </c>
      <c r="DY1005">
        <f t="shared" si="2015"/>
        <v>0</v>
      </c>
      <c r="DZ1005">
        <f t="shared" si="2015"/>
        <v>0</v>
      </c>
      <c r="EA1005">
        <f t="shared" si="2015"/>
        <v>1</v>
      </c>
      <c r="EB1005">
        <f t="shared" si="2015"/>
        <v>1</v>
      </c>
      <c r="EC1005">
        <f t="shared" si="2015"/>
        <v>1</v>
      </c>
      <c r="ED1005">
        <f t="shared" si="2015"/>
        <v>0</v>
      </c>
      <c r="EE1005">
        <f t="shared" ref="EE1005:EF1005" si="2016">IF($C1005&lt;&gt;"",IF(BP1005&gt;0,1,0),0)</f>
        <v>0</v>
      </c>
      <c r="EF1005">
        <f t="shared" si="2016"/>
        <v>0</v>
      </c>
    </row>
    <row r="1006" spans="1:136" ht="15.5">
      <c r="A1006" s="90"/>
      <c r="B1006" s="19" t="s">
        <v>2</v>
      </c>
      <c r="C1006" s="94"/>
      <c r="D1006" s="34">
        <v>0</v>
      </c>
      <c r="E1006" s="34">
        <v>0</v>
      </c>
      <c r="F1006" s="34">
        <v>0</v>
      </c>
      <c r="G1006" s="34">
        <v>0</v>
      </c>
      <c r="H1006" s="34">
        <v>0</v>
      </c>
      <c r="I1006" s="34">
        <v>0</v>
      </c>
      <c r="J1006" s="34">
        <v>0</v>
      </c>
      <c r="K1006" s="34">
        <v>0</v>
      </c>
      <c r="L1006" s="34">
        <v>0</v>
      </c>
      <c r="M1006" s="34">
        <v>0</v>
      </c>
      <c r="N1006" s="34">
        <v>0</v>
      </c>
      <c r="O1006" s="34">
        <v>0</v>
      </c>
      <c r="P1006" s="34">
        <v>0</v>
      </c>
      <c r="Q1006" s="34">
        <v>0</v>
      </c>
      <c r="R1006" s="34">
        <v>0</v>
      </c>
      <c r="S1006" s="34">
        <v>0</v>
      </c>
      <c r="T1006" s="34">
        <v>0</v>
      </c>
      <c r="U1006" s="34">
        <v>0</v>
      </c>
      <c r="V1006" s="34">
        <v>0</v>
      </c>
      <c r="W1006" s="34">
        <v>0</v>
      </c>
      <c r="X1006" s="34">
        <v>0</v>
      </c>
      <c r="Y1006" s="18">
        <v>78</v>
      </c>
      <c r="Z1006" s="18">
        <v>74</v>
      </c>
      <c r="AA1006" s="18">
        <v>70</v>
      </c>
      <c r="AB1006" s="18"/>
      <c r="AC1006" s="18">
        <v>106</v>
      </c>
      <c r="AD1006" s="18">
        <v>88</v>
      </c>
      <c r="AE1006" s="18">
        <v>74</v>
      </c>
      <c r="AF1006" s="18"/>
      <c r="AG1006" s="18">
        <v>136</v>
      </c>
      <c r="AH1006" s="18">
        <v>107</v>
      </c>
      <c r="AI1006" s="18">
        <v>233</v>
      </c>
      <c r="AJ1006" s="18"/>
      <c r="AK1006" s="18"/>
      <c r="AL1006" s="18">
        <v>233</v>
      </c>
      <c r="AM1006" s="18">
        <v>168</v>
      </c>
      <c r="AN1006" s="40" t="s">
        <v>16</v>
      </c>
      <c r="AO1006" s="40" t="s">
        <v>16</v>
      </c>
      <c r="AP1006" s="18">
        <v>427</v>
      </c>
      <c r="AQ1006" s="40" t="s">
        <v>16</v>
      </c>
      <c r="AR1006" s="18">
        <v>22</v>
      </c>
      <c r="AS1006" s="22"/>
      <c r="AT1006" s="18">
        <v>11</v>
      </c>
      <c r="AU1006" s="40" t="s">
        <v>16</v>
      </c>
      <c r="AV1006" s="18">
        <v>463</v>
      </c>
      <c r="AW1006" s="18">
        <v>0</v>
      </c>
      <c r="AX1006" s="18">
        <v>0</v>
      </c>
      <c r="AY1006" s="18">
        <v>0</v>
      </c>
      <c r="AZ1006" s="18">
        <v>0</v>
      </c>
      <c r="BA1006" s="18">
        <v>0</v>
      </c>
      <c r="BB1006" s="18">
        <v>0</v>
      </c>
      <c r="BC1006" s="18">
        <v>0</v>
      </c>
      <c r="BD1006" s="18">
        <v>0</v>
      </c>
      <c r="BE1006" s="25">
        <v>0</v>
      </c>
      <c r="BF1006" s="18">
        <v>0</v>
      </c>
      <c r="BG1006" s="18">
        <v>0</v>
      </c>
      <c r="BH1006" s="18">
        <v>0</v>
      </c>
      <c r="BI1006" s="18">
        <v>0</v>
      </c>
      <c r="BJ1006" s="113">
        <v>0</v>
      </c>
      <c r="BK1006" s="113">
        <v>0</v>
      </c>
      <c r="BL1006" s="113">
        <v>0</v>
      </c>
      <c r="BM1006" s="113">
        <v>0</v>
      </c>
      <c r="BN1006" s="113">
        <v>0</v>
      </c>
      <c r="BO1006" s="113">
        <v>0</v>
      </c>
      <c r="BP1006" s="113">
        <v>0</v>
      </c>
      <c r="BQ1006" s="113">
        <v>0</v>
      </c>
      <c r="BR1006" s="101"/>
      <c r="BS1006">
        <f t="shared" ref="BS1006:CB1011" si="2017">IF($C1006&lt;&gt;"",IF(D1006&gt;0,1,0),0)</f>
        <v>0</v>
      </c>
      <c r="BT1006">
        <f t="shared" si="2017"/>
        <v>0</v>
      </c>
      <c r="BU1006">
        <f t="shared" si="2017"/>
        <v>0</v>
      </c>
      <c r="BV1006">
        <f t="shared" si="2017"/>
        <v>0</v>
      </c>
      <c r="BW1006">
        <f t="shared" si="2017"/>
        <v>0</v>
      </c>
      <c r="BX1006">
        <f t="shared" si="2017"/>
        <v>0</v>
      </c>
      <c r="BY1006">
        <f t="shared" si="2017"/>
        <v>0</v>
      </c>
      <c r="BZ1006">
        <f t="shared" si="2017"/>
        <v>0</v>
      </c>
      <c r="CA1006">
        <f t="shared" si="2017"/>
        <v>0</v>
      </c>
      <c r="CB1006">
        <f t="shared" si="2017"/>
        <v>0</v>
      </c>
      <c r="CC1006">
        <f t="shared" ref="CC1006:CL1011" si="2018">IF($C1006&lt;&gt;"",IF(N1006&gt;0,1,0),0)</f>
        <v>0</v>
      </c>
      <c r="CD1006">
        <f t="shared" si="2018"/>
        <v>0</v>
      </c>
      <c r="CE1006">
        <f t="shared" si="2018"/>
        <v>0</v>
      </c>
      <c r="CF1006">
        <f t="shared" si="2018"/>
        <v>0</v>
      </c>
      <c r="CG1006">
        <f t="shared" si="2018"/>
        <v>0</v>
      </c>
      <c r="CH1006">
        <f t="shared" si="2018"/>
        <v>0</v>
      </c>
      <c r="CI1006">
        <f t="shared" si="2018"/>
        <v>0</v>
      </c>
      <c r="CJ1006">
        <f t="shared" si="2018"/>
        <v>0</v>
      </c>
      <c r="CK1006">
        <f t="shared" si="2018"/>
        <v>0</v>
      </c>
      <c r="CL1006">
        <f t="shared" si="2018"/>
        <v>0</v>
      </c>
      <c r="CM1006">
        <f t="shared" ref="CM1006:CV1011" si="2019">IF($C1006&lt;&gt;"",IF(X1006&gt;0,1,0),0)</f>
        <v>0</v>
      </c>
      <c r="CN1006">
        <f t="shared" si="2019"/>
        <v>0</v>
      </c>
      <c r="CO1006">
        <f t="shared" si="2019"/>
        <v>0</v>
      </c>
      <c r="CP1006">
        <f t="shared" si="2019"/>
        <v>0</v>
      </c>
      <c r="CQ1006">
        <f t="shared" si="2019"/>
        <v>0</v>
      </c>
      <c r="CR1006">
        <f t="shared" si="2019"/>
        <v>0</v>
      </c>
      <c r="CS1006">
        <f t="shared" si="2019"/>
        <v>0</v>
      </c>
      <c r="CT1006">
        <f t="shared" si="2019"/>
        <v>0</v>
      </c>
      <c r="CU1006">
        <f t="shared" si="2019"/>
        <v>0</v>
      </c>
      <c r="CV1006">
        <f t="shared" si="2019"/>
        <v>0</v>
      </c>
      <c r="CW1006">
        <f t="shared" ref="CW1006:DF1011" si="2020">IF($C1006&lt;&gt;"",IF(AH1006&gt;0,1,0),0)</f>
        <v>0</v>
      </c>
      <c r="CX1006">
        <f t="shared" si="2020"/>
        <v>0</v>
      </c>
      <c r="CY1006">
        <f t="shared" si="2020"/>
        <v>0</v>
      </c>
      <c r="CZ1006">
        <f t="shared" si="2020"/>
        <v>0</v>
      </c>
      <c r="DA1006">
        <f t="shared" si="2020"/>
        <v>0</v>
      </c>
      <c r="DB1006">
        <f t="shared" si="2020"/>
        <v>0</v>
      </c>
      <c r="DC1006">
        <f t="shared" si="2020"/>
        <v>0</v>
      </c>
      <c r="DD1006">
        <f t="shared" si="2020"/>
        <v>0</v>
      </c>
      <c r="DE1006">
        <f t="shared" si="2020"/>
        <v>0</v>
      </c>
      <c r="DF1006">
        <f t="shared" si="2020"/>
        <v>0</v>
      </c>
      <c r="DG1006">
        <f t="shared" ref="DG1006:DP1011" si="2021">IF($C1006&lt;&gt;"",IF(AR1006&gt;0,1,0),0)</f>
        <v>0</v>
      </c>
      <c r="DH1006">
        <f t="shared" si="2021"/>
        <v>0</v>
      </c>
      <c r="DI1006">
        <f t="shared" si="2021"/>
        <v>0</v>
      </c>
      <c r="DJ1006">
        <f t="shared" si="2021"/>
        <v>0</v>
      </c>
      <c r="DK1006">
        <f t="shared" si="2021"/>
        <v>0</v>
      </c>
      <c r="DL1006">
        <f t="shared" si="2021"/>
        <v>0</v>
      </c>
      <c r="DM1006">
        <f t="shared" si="2021"/>
        <v>0</v>
      </c>
      <c r="DN1006">
        <f t="shared" si="2021"/>
        <v>0</v>
      </c>
      <c r="DO1006">
        <f t="shared" si="2021"/>
        <v>0</v>
      </c>
      <c r="DP1006">
        <f t="shared" si="2021"/>
        <v>0</v>
      </c>
      <c r="DQ1006">
        <f t="shared" ref="DQ1006:DZ1011" si="2022">IF($C1006&lt;&gt;"",IF(BB1006&gt;0,1,0),0)</f>
        <v>0</v>
      </c>
      <c r="DR1006">
        <f t="shared" si="2022"/>
        <v>0</v>
      </c>
      <c r="DS1006">
        <f t="shared" si="2022"/>
        <v>0</v>
      </c>
      <c r="DT1006">
        <f t="shared" si="2022"/>
        <v>0</v>
      </c>
      <c r="DU1006">
        <f t="shared" si="2022"/>
        <v>0</v>
      </c>
      <c r="DV1006">
        <f t="shared" si="2022"/>
        <v>0</v>
      </c>
      <c r="DW1006">
        <f t="shared" si="2022"/>
        <v>0</v>
      </c>
      <c r="DX1006">
        <f t="shared" si="2022"/>
        <v>0</v>
      </c>
      <c r="DY1006">
        <f t="shared" si="2022"/>
        <v>0</v>
      </c>
      <c r="DZ1006">
        <f t="shared" si="2022"/>
        <v>0</v>
      </c>
      <c r="EA1006">
        <f t="shared" ref="EA1006:EF1010" si="2023">IF($C1006&lt;&gt;"",IF(BL1005&gt;0,1,0),0)</f>
        <v>0</v>
      </c>
      <c r="EB1006">
        <f t="shared" si="2023"/>
        <v>0</v>
      </c>
      <c r="EC1006">
        <f t="shared" si="2023"/>
        <v>0</v>
      </c>
      <c r="ED1006">
        <f t="shared" si="2023"/>
        <v>0</v>
      </c>
      <c r="EE1006">
        <f t="shared" si="2023"/>
        <v>0</v>
      </c>
      <c r="EF1006">
        <f t="shared" si="2023"/>
        <v>0</v>
      </c>
    </row>
    <row r="1007" spans="1:136" ht="15.5">
      <c r="A1007" s="90"/>
      <c r="B1007" s="19" t="s">
        <v>205</v>
      </c>
      <c r="C1007" s="94"/>
      <c r="D1007" s="34">
        <v>0</v>
      </c>
      <c r="E1007" s="34">
        <v>0</v>
      </c>
      <c r="F1007" s="34">
        <v>0</v>
      </c>
      <c r="G1007" s="34">
        <v>0</v>
      </c>
      <c r="H1007" s="34">
        <v>0</v>
      </c>
      <c r="I1007" s="34">
        <v>0</v>
      </c>
      <c r="J1007" s="34">
        <v>0</v>
      </c>
      <c r="K1007" s="34">
        <v>0</v>
      </c>
      <c r="L1007" s="34">
        <v>0</v>
      </c>
      <c r="M1007" s="34">
        <v>0</v>
      </c>
      <c r="N1007" s="34">
        <v>0</v>
      </c>
      <c r="O1007" s="34">
        <v>0</v>
      </c>
      <c r="P1007" s="34">
        <v>0</v>
      </c>
      <c r="Q1007" s="34">
        <v>0</v>
      </c>
      <c r="R1007" s="34">
        <v>0</v>
      </c>
      <c r="S1007" s="34">
        <v>0</v>
      </c>
      <c r="T1007" s="34">
        <v>0</v>
      </c>
      <c r="U1007" s="34">
        <v>0</v>
      </c>
      <c r="V1007" s="34">
        <v>0</v>
      </c>
      <c r="W1007" s="34">
        <v>0</v>
      </c>
      <c r="X1007" s="34">
        <v>0</v>
      </c>
      <c r="Y1007" s="34">
        <v>0</v>
      </c>
      <c r="Z1007" s="34">
        <v>0</v>
      </c>
      <c r="AA1007" s="34">
        <v>0</v>
      </c>
      <c r="AB1007" s="34">
        <v>0</v>
      </c>
      <c r="AC1007" s="18">
        <v>0.89238399999999996</v>
      </c>
      <c r="AD1007" s="18">
        <v>1.5942878</v>
      </c>
      <c r="AE1007" s="18">
        <v>1.6582003999999999</v>
      </c>
      <c r="AF1007" s="18">
        <v>1.8032794999999999</v>
      </c>
      <c r="AG1007" s="18">
        <v>2.1969020000000001</v>
      </c>
      <c r="AH1007" s="18">
        <v>0</v>
      </c>
      <c r="AI1007" s="18">
        <v>0</v>
      </c>
      <c r="AJ1007" s="18">
        <v>0</v>
      </c>
      <c r="AK1007" s="18">
        <v>0</v>
      </c>
      <c r="AL1007" s="18">
        <v>0.90774519999999992</v>
      </c>
      <c r="AM1007" s="18">
        <v>0.1202299</v>
      </c>
      <c r="AN1007" s="18">
        <v>0</v>
      </c>
      <c r="AO1007" s="18">
        <v>0</v>
      </c>
      <c r="AP1007" s="18">
        <v>0</v>
      </c>
      <c r="AQ1007" s="18">
        <v>0</v>
      </c>
      <c r="AR1007" s="18">
        <v>0</v>
      </c>
      <c r="AS1007" s="18">
        <v>0</v>
      </c>
      <c r="AT1007" s="18">
        <v>0</v>
      </c>
      <c r="AU1007" s="18">
        <v>0</v>
      </c>
      <c r="AV1007" s="18">
        <v>0</v>
      </c>
      <c r="AW1007" s="18">
        <v>0</v>
      </c>
      <c r="AX1007" s="18">
        <v>21</v>
      </c>
      <c r="AY1007" s="18">
        <v>6</v>
      </c>
      <c r="AZ1007" s="18">
        <v>0</v>
      </c>
      <c r="BA1007" s="18">
        <v>0</v>
      </c>
      <c r="BB1007" s="18">
        <v>0</v>
      </c>
      <c r="BC1007" s="18">
        <f>531/9.31</f>
        <v>57.035445757250265</v>
      </c>
      <c r="BD1007" s="18">
        <v>0</v>
      </c>
      <c r="BE1007" s="25">
        <v>0</v>
      </c>
      <c r="BF1007" s="18">
        <v>0</v>
      </c>
      <c r="BG1007" s="18">
        <v>0</v>
      </c>
      <c r="BH1007" s="18">
        <v>0</v>
      </c>
      <c r="BI1007" s="18">
        <v>0</v>
      </c>
      <c r="BJ1007" s="113">
        <v>0</v>
      </c>
      <c r="BK1007" s="113">
        <v>0</v>
      </c>
      <c r="BL1007" s="113">
        <v>0</v>
      </c>
      <c r="BM1007" s="113">
        <v>0</v>
      </c>
      <c r="BN1007" s="113">
        <v>0</v>
      </c>
      <c r="BO1007" s="113">
        <v>0</v>
      </c>
      <c r="BP1007" s="113">
        <v>0</v>
      </c>
      <c r="BQ1007" s="113">
        <v>0</v>
      </c>
      <c r="BR1007" s="101"/>
      <c r="BS1007">
        <f t="shared" si="2017"/>
        <v>0</v>
      </c>
      <c r="BT1007">
        <f t="shared" si="2017"/>
        <v>0</v>
      </c>
      <c r="BU1007">
        <f t="shared" si="2017"/>
        <v>0</v>
      </c>
      <c r="BV1007">
        <f t="shared" si="2017"/>
        <v>0</v>
      </c>
      <c r="BW1007">
        <f t="shared" si="2017"/>
        <v>0</v>
      </c>
      <c r="BX1007">
        <f t="shared" si="2017"/>
        <v>0</v>
      </c>
      <c r="BY1007">
        <f t="shared" si="2017"/>
        <v>0</v>
      </c>
      <c r="BZ1007">
        <f t="shared" si="2017"/>
        <v>0</v>
      </c>
      <c r="CA1007">
        <f t="shared" si="2017"/>
        <v>0</v>
      </c>
      <c r="CB1007">
        <f t="shared" si="2017"/>
        <v>0</v>
      </c>
      <c r="CC1007">
        <f t="shared" si="2018"/>
        <v>0</v>
      </c>
      <c r="CD1007">
        <f t="shared" si="2018"/>
        <v>0</v>
      </c>
      <c r="CE1007">
        <f t="shared" si="2018"/>
        <v>0</v>
      </c>
      <c r="CF1007">
        <f t="shared" si="2018"/>
        <v>0</v>
      </c>
      <c r="CG1007">
        <f t="shared" si="2018"/>
        <v>0</v>
      </c>
      <c r="CH1007">
        <f t="shared" si="2018"/>
        <v>0</v>
      </c>
      <c r="CI1007">
        <f t="shared" si="2018"/>
        <v>0</v>
      </c>
      <c r="CJ1007">
        <f t="shared" si="2018"/>
        <v>0</v>
      </c>
      <c r="CK1007">
        <f t="shared" si="2018"/>
        <v>0</v>
      </c>
      <c r="CL1007">
        <f t="shared" si="2018"/>
        <v>0</v>
      </c>
      <c r="CM1007">
        <f t="shared" si="2019"/>
        <v>0</v>
      </c>
      <c r="CN1007">
        <f t="shared" si="2019"/>
        <v>0</v>
      </c>
      <c r="CO1007">
        <f t="shared" si="2019"/>
        <v>0</v>
      </c>
      <c r="CP1007">
        <f t="shared" si="2019"/>
        <v>0</v>
      </c>
      <c r="CQ1007">
        <f t="shared" si="2019"/>
        <v>0</v>
      </c>
      <c r="CR1007">
        <f t="shared" si="2019"/>
        <v>0</v>
      </c>
      <c r="CS1007">
        <f t="shared" si="2019"/>
        <v>0</v>
      </c>
      <c r="CT1007">
        <f t="shared" si="2019"/>
        <v>0</v>
      </c>
      <c r="CU1007">
        <f t="shared" si="2019"/>
        <v>0</v>
      </c>
      <c r="CV1007">
        <f t="shared" si="2019"/>
        <v>0</v>
      </c>
      <c r="CW1007">
        <f t="shared" si="2020"/>
        <v>0</v>
      </c>
      <c r="CX1007">
        <f t="shared" si="2020"/>
        <v>0</v>
      </c>
      <c r="CY1007">
        <f t="shared" si="2020"/>
        <v>0</v>
      </c>
      <c r="CZ1007">
        <f t="shared" si="2020"/>
        <v>0</v>
      </c>
      <c r="DA1007">
        <f t="shared" si="2020"/>
        <v>0</v>
      </c>
      <c r="DB1007">
        <f t="shared" si="2020"/>
        <v>0</v>
      </c>
      <c r="DC1007">
        <f t="shared" si="2020"/>
        <v>0</v>
      </c>
      <c r="DD1007">
        <f t="shared" si="2020"/>
        <v>0</v>
      </c>
      <c r="DE1007">
        <f t="shared" si="2020"/>
        <v>0</v>
      </c>
      <c r="DF1007">
        <f t="shared" si="2020"/>
        <v>0</v>
      </c>
      <c r="DG1007">
        <f t="shared" si="2021"/>
        <v>0</v>
      </c>
      <c r="DH1007">
        <f t="shared" si="2021"/>
        <v>0</v>
      </c>
      <c r="DI1007">
        <f t="shared" si="2021"/>
        <v>0</v>
      </c>
      <c r="DJ1007">
        <f t="shared" si="2021"/>
        <v>0</v>
      </c>
      <c r="DK1007">
        <f t="shared" si="2021"/>
        <v>0</v>
      </c>
      <c r="DL1007">
        <f t="shared" si="2021"/>
        <v>0</v>
      </c>
      <c r="DM1007">
        <f t="shared" si="2021"/>
        <v>0</v>
      </c>
      <c r="DN1007">
        <f t="shared" si="2021"/>
        <v>0</v>
      </c>
      <c r="DO1007">
        <f t="shared" si="2021"/>
        <v>0</v>
      </c>
      <c r="DP1007">
        <f t="shared" si="2021"/>
        <v>0</v>
      </c>
      <c r="DQ1007">
        <f t="shared" si="2022"/>
        <v>0</v>
      </c>
      <c r="DR1007">
        <f t="shared" si="2022"/>
        <v>0</v>
      </c>
      <c r="DS1007">
        <f t="shared" si="2022"/>
        <v>0</v>
      </c>
      <c r="DT1007">
        <f t="shared" si="2022"/>
        <v>0</v>
      </c>
      <c r="DU1007">
        <f t="shared" si="2022"/>
        <v>0</v>
      </c>
      <c r="DV1007">
        <f t="shared" si="2022"/>
        <v>0</v>
      </c>
      <c r="DW1007">
        <f t="shared" si="2022"/>
        <v>0</v>
      </c>
      <c r="DX1007">
        <f t="shared" si="2022"/>
        <v>0</v>
      </c>
      <c r="DY1007">
        <f t="shared" si="2022"/>
        <v>0</v>
      </c>
      <c r="DZ1007">
        <f t="shared" si="2022"/>
        <v>0</v>
      </c>
      <c r="EA1007">
        <f t="shared" si="2023"/>
        <v>0</v>
      </c>
      <c r="EB1007">
        <f t="shared" si="2023"/>
        <v>0</v>
      </c>
      <c r="EC1007">
        <f t="shared" si="2023"/>
        <v>0</v>
      </c>
      <c r="ED1007">
        <f t="shared" si="2023"/>
        <v>0</v>
      </c>
      <c r="EE1007">
        <f t="shared" si="2023"/>
        <v>0</v>
      </c>
      <c r="EF1007">
        <f t="shared" si="2023"/>
        <v>0</v>
      </c>
    </row>
    <row r="1008" spans="1:136" ht="15.5">
      <c r="A1008" s="90"/>
      <c r="B1008" s="57" t="s">
        <v>3</v>
      </c>
      <c r="C1008" s="94"/>
      <c r="D1008" s="34">
        <v>0</v>
      </c>
      <c r="E1008" s="34">
        <v>0</v>
      </c>
      <c r="F1008" s="34">
        <v>0</v>
      </c>
      <c r="G1008" s="34">
        <v>0</v>
      </c>
      <c r="H1008" s="34">
        <v>0</v>
      </c>
      <c r="I1008" s="34">
        <v>0</v>
      </c>
      <c r="J1008" s="34">
        <v>0</v>
      </c>
      <c r="K1008" s="34">
        <v>0</v>
      </c>
      <c r="L1008" s="34">
        <v>0</v>
      </c>
      <c r="M1008" s="34">
        <v>0</v>
      </c>
      <c r="N1008" s="34">
        <v>0</v>
      </c>
      <c r="O1008" s="34">
        <v>0.22800000000000001</v>
      </c>
      <c r="P1008" s="34">
        <v>5.0000000000000001E-3</v>
      </c>
      <c r="Q1008" s="34">
        <v>1.7000000000000001E-2</v>
      </c>
      <c r="R1008" s="34">
        <v>1.7000000000000001E-2</v>
      </c>
      <c r="S1008" s="34">
        <v>2.7000000000000003E-2</v>
      </c>
      <c r="T1008" s="34">
        <v>0</v>
      </c>
      <c r="U1008" s="34">
        <v>0</v>
      </c>
      <c r="V1008" s="34">
        <v>0</v>
      </c>
      <c r="W1008" s="34">
        <v>0</v>
      </c>
      <c r="X1008" s="34">
        <v>0</v>
      </c>
      <c r="Y1008" s="34">
        <v>0</v>
      </c>
      <c r="Z1008" s="34">
        <v>0</v>
      </c>
      <c r="AA1008" s="34">
        <v>0.307</v>
      </c>
      <c r="AB1008" s="34">
        <v>18.544</v>
      </c>
      <c r="AC1008" s="34">
        <f>18.058-AC1007</f>
        <v>17.165616</v>
      </c>
      <c r="AD1008" s="34">
        <f>6.03-AD1007</f>
        <v>4.4357122000000002</v>
      </c>
      <c r="AE1008" s="34">
        <f>3.779-AE1007</f>
        <v>2.1207995999999998</v>
      </c>
      <c r="AF1008" s="34">
        <f>5.032-AF1007</f>
        <v>3.2287205000000001</v>
      </c>
      <c r="AG1008" s="34">
        <f>907-AG1007</f>
        <v>904.80309799999998</v>
      </c>
      <c r="AH1008" s="40" t="s">
        <v>16</v>
      </c>
      <c r="AI1008" s="40" t="s">
        <v>16</v>
      </c>
      <c r="AJ1008" s="34">
        <v>149.953</v>
      </c>
      <c r="AK1008" s="34">
        <v>271.66399999999999</v>
      </c>
      <c r="AL1008" s="34">
        <f>372-AL1007</f>
        <v>371.09225479999998</v>
      </c>
      <c r="AM1008" s="34">
        <v>81</v>
      </c>
      <c r="AN1008" s="34">
        <v>127.762</v>
      </c>
      <c r="AO1008" s="34">
        <v>11.088000000000001</v>
      </c>
      <c r="AP1008" s="40" t="s">
        <v>16</v>
      </c>
      <c r="AQ1008" s="34">
        <v>9.0489999999999995</v>
      </c>
      <c r="AR1008" s="34">
        <f>32.6672349-AR1006</f>
        <v>10.667234899999997</v>
      </c>
      <c r="AS1008" s="34">
        <v>40.231334500000003</v>
      </c>
      <c r="AT1008" s="34">
        <f>44.836715-AT1006</f>
        <v>33.836714999999998</v>
      </c>
      <c r="AU1008" s="34">
        <v>41.820986700000006</v>
      </c>
      <c r="AV1008" s="40" t="s">
        <v>16</v>
      </c>
      <c r="AW1008" s="34">
        <v>56.085051</v>
      </c>
      <c r="AX1008" s="34">
        <f>2506.4130817-AX1007</f>
        <v>2485.4130817</v>
      </c>
      <c r="AY1008" s="34">
        <f>161.600738-AY1007</f>
        <v>155.60073800000001</v>
      </c>
      <c r="AZ1008" s="34">
        <v>7.5298027999999997</v>
      </c>
      <c r="BA1008" s="34">
        <v>4.5680472999999999</v>
      </c>
      <c r="BB1008" s="34">
        <v>26.833383100000002</v>
      </c>
      <c r="BC1008" s="34">
        <f>214.7630035-BC1007</f>
        <v>157.72755774274972</v>
      </c>
      <c r="BD1008" s="34">
        <v>0</v>
      </c>
      <c r="BE1008" s="42">
        <v>0.30532159999999997</v>
      </c>
      <c r="BF1008" s="18">
        <v>0</v>
      </c>
      <c r="BG1008" s="18">
        <v>1.1160000000000001</v>
      </c>
      <c r="BH1008" s="18">
        <v>0</v>
      </c>
      <c r="BI1008" s="18">
        <v>0</v>
      </c>
      <c r="BJ1008" s="113">
        <v>0</v>
      </c>
      <c r="BK1008" s="113">
        <v>0</v>
      </c>
      <c r="BL1008" s="113">
        <v>45.592958199999998</v>
      </c>
      <c r="BM1008" s="113">
        <v>73</v>
      </c>
      <c r="BN1008" s="113">
        <v>5</v>
      </c>
      <c r="BO1008" s="113">
        <v>0</v>
      </c>
      <c r="BP1008" s="113">
        <v>0</v>
      </c>
      <c r="BQ1008" s="113">
        <v>0</v>
      </c>
      <c r="BR1008" s="101"/>
      <c r="BS1008">
        <f t="shared" si="2017"/>
        <v>0</v>
      </c>
      <c r="BT1008">
        <f t="shared" si="2017"/>
        <v>0</v>
      </c>
      <c r="BU1008">
        <f t="shared" si="2017"/>
        <v>0</v>
      </c>
      <c r="BV1008">
        <f t="shared" si="2017"/>
        <v>0</v>
      </c>
      <c r="BW1008">
        <f t="shared" si="2017"/>
        <v>0</v>
      </c>
      <c r="BX1008">
        <f t="shared" si="2017"/>
        <v>0</v>
      </c>
      <c r="BY1008">
        <f t="shared" si="2017"/>
        <v>0</v>
      </c>
      <c r="BZ1008">
        <f t="shared" si="2017"/>
        <v>0</v>
      </c>
      <c r="CA1008">
        <f t="shared" si="2017"/>
        <v>0</v>
      </c>
      <c r="CB1008">
        <f t="shared" si="2017"/>
        <v>0</v>
      </c>
      <c r="CC1008">
        <f t="shared" si="2018"/>
        <v>0</v>
      </c>
      <c r="CD1008">
        <f t="shared" si="2018"/>
        <v>0</v>
      </c>
      <c r="CE1008">
        <f t="shared" si="2018"/>
        <v>0</v>
      </c>
      <c r="CF1008">
        <f t="shared" si="2018"/>
        <v>0</v>
      </c>
      <c r="CG1008">
        <f t="shared" si="2018"/>
        <v>0</v>
      </c>
      <c r="CH1008">
        <f t="shared" si="2018"/>
        <v>0</v>
      </c>
      <c r="CI1008">
        <f t="shared" si="2018"/>
        <v>0</v>
      </c>
      <c r="CJ1008">
        <f t="shared" si="2018"/>
        <v>0</v>
      </c>
      <c r="CK1008">
        <f t="shared" si="2018"/>
        <v>0</v>
      </c>
      <c r="CL1008">
        <f t="shared" si="2018"/>
        <v>0</v>
      </c>
      <c r="CM1008">
        <f t="shared" si="2019"/>
        <v>0</v>
      </c>
      <c r="CN1008">
        <f t="shared" si="2019"/>
        <v>0</v>
      </c>
      <c r="CO1008">
        <f t="shared" si="2019"/>
        <v>0</v>
      </c>
      <c r="CP1008">
        <f t="shared" si="2019"/>
        <v>0</v>
      </c>
      <c r="CQ1008">
        <f t="shared" si="2019"/>
        <v>0</v>
      </c>
      <c r="CR1008">
        <f t="shared" si="2019"/>
        <v>0</v>
      </c>
      <c r="CS1008">
        <f t="shared" si="2019"/>
        <v>0</v>
      </c>
      <c r="CT1008">
        <f t="shared" si="2019"/>
        <v>0</v>
      </c>
      <c r="CU1008">
        <f t="shared" si="2019"/>
        <v>0</v>
      </c>
      <c r="CV1008">
        <f t="shared" si="2019"/>
        <v>0</v>
      </c>
      <c r="CW1008">
        <f t="shared" si="2020"/>
        <v>0</v>
      </c>
      <c r="CX1008">
        <f t="shared" si="2020"/>
        <v>0</v>
      </c>
      <c r="CY1008">
        <f t="shared" si="2020"/>
        <v>0</v>
      </c>
      <c r="CZ1008">
        <f t="shared" si="2020"/>
        <v>0</v>
      </c>
      <c r="DA1008">
        <f t="shared" si="2020"/>
        <v>0</v>
      </c>
      <c r="DB1008">
        <f t="shared" si="2020"/>
        <v>0</v>
      </c>
      <c r="DC1008">
        <f t="shared" si="2020"/>
        <v>0</v>
      </c>
      <c r="DD1008">
        <f t="shared" si="2020"/>
        <v>0</v>
      </c>
      <c r="DE1008">
        <f t="shared" si="2020"/>
        <v>0</v>
      </c>
      <c r="DF1008">
        <f t="shared" si="2020"/>
        <v>0</v>
      </c>
      <c r="DG1008">
        <f t="shared" si="2021"/>
        <v>0</v>
      </c>
      <c r="DH1008">
        <f t="shared" si="2021"/>
        <v>0</v>
      </c>
      <c r="DI1008">
        <f t="shared" si="2021"/>
        <v>0</v>
      </c>
      <c r="DJ1008">
        <f t="shared" si="2021"/>
        <v>0</v>
      </c>
      <c r="DK1008">
        <f t="shared" si="2021"/>
        <v>0</v>
      </c>
      <c r="DL1008">
        <f t="shared" si="2021"/>
        <v>0</v>
      </c>
      <c r="DM1008">
        <f t="shared" si="2021"/>
        <v>0</v>
      </c>
      <c r="DN1008">
        <f t="shared" si="2021"/>
        <v>0</v>
      </c>
      <c r="DO1008">
        <f t="shared" si="2021"/>
        <v>0</v>
      </c>
      <c r="DP1008">
        <f t="shared" si="2021"/>
        <v>0</v>
      </c>
      <c r="DQ1008">
        <f t="shared" si="2022"/>
        <v>0</v>
      </c>
      <c r="DR1008">
        <f t="shared" si="2022"/>
        <v>0</v>
      </c>
      <c r="DS1008">
        <f t="shared" si="2022"/>
        <v>0</v>
      </c>
      <c r="DT1008">
        <f t="shared" si="2022"/>
        <v>0</v>
      </c>
      <c r="DU1008">
        <f t="shared" si="2022"/>
        <v>0</v>
      </c>
      <c r="DV1008">
        <f t="shared" si="2022"/>
        <v>0</v>
      </c>
      <c r="DW1008">
        <f t="shared" si="2022"/>
        <v>0</v>
      </c>
      <c r="DX1008">
        <f t="shared" si="2022"/>
        <v>0</v>
      </c>
      <c r="DY1008">
        <f t="shared" si="2022"/>
        <v>0</v>
      </c>
      <c r="DZ1008">
        <f t="shared" si="2022"/>
        <v>0</v>
      </c>
      <c r="EA1008">
        <f t="shared" si="2023"/>
        <v>0</v>
      </c>
      <c r="EB1008">
        <f t="shared" si="2023"/>
        <v>0</v>
      </c>
      <c r="EC1008">
        <f t="shared" si="2023"/>
        <v>0</v>
      </c>
      <c r="ED1008">
        <f t="shared" si="2023"/>
        <v>0</v>
      </c>
      <c r="EE1008">
        <f t="shared" si="2023"/>
        <v>0</v>
      </c>
      <c r="EF1008">
        <f t="shared" si="2023"/>
        <v>0</v>
      </c>
    </row>
    <row r="1009" spans="1:136" ht="15.5">
      <c r="A1009" s="90"/>
      <c r="B1009" s="19" t="s">
        <v>18</v>
      </c>
      <c r="C1009" s="94"/>
      <c r="D1009" s="18">
        <v>0</v>
      </c>
      <c r="E1009" s="18">
        <v>0</v>
      </c>
      <c r="F1009" s="18">
        <v>0</v>
      </c>
      <c r="G1009" s="18">
        <v>0</v>
      </c>
      <c r="H1009" s="34">
        <v>0</v>
      </c>
      <c r="I1009" s="18">
        <v>0</v>
      </c>
      <c r="J1009" s="18">
        <v>0</v>
      </c>
      <c r="K1009" s="18">
        <v>0</v>
      </c>
      <c r="L1009" s="18">
        <v>0</v>
      </c>
      <c r="M1009" s="18">
        <v>0</v>
      </c>
      <c r="N1009" s="18">
        <v>0</v>
      </c>
      <c r="O1009" s="18">
        <v>0</v>
      </c>
      <c r="P1009" s="18">
        <v>0</v>
      </c>
      <c r="Q1009" s="18">
        <v>0</v>
      </c>
      <c r="R1009" s="18">
        <v>0</v>
      </c>
      <c r="S1009" s="18">
        <v>0</v>
      </c>
      <c r="T1009" s="18">
        <v>0</v>
      </c>
      <c r="U1009" s="18">
        <v>0</v>
      </c>
      <c r="V1009" s="18">
        <v>0</v>
      </c>
      <c r="W1009" s="18">
        <v>0</v>
      </c>
      <c r="X1009" s="18">
        <v>0</v>
      </c>
      <c r="Y1009" s="71">
        <v>24</v>
      </c>
      <c r="Z1009" s="18">
        <v>78</v>
      </c>
      <c r="AA1009" s="18">
        <v>78</v>
      </c>
      <c r="AB1009" s="18">
        <v>78</v>
      </c>
      <c r="AC1009" s="18">
        <v>20</v>
      </c>
      <c r="AD1009" s="18">
        <v>0</v>
      </c>
      <c r="AE1009" s="18">
        <v>0</v>
      </c>
      <c r="AF1009" s="18">
        <v>0</v>
      </c>
      <c r="AG1009" s="18">
        <v>0</v>
      </c>
      <c r="AH1009" s="18">
        <v>37</v>
      </c>
      <c r="AI1009" s="18">
        <v>0</v>
      </c>
      <c r="AJ1009" s="18">
        <v>58</v>
      </c>
      <c r="AK1009" s="18">
        <v>61</v>
      </c>
      <c r="AL1009" s="18">
        <v>68</v>
      </c>
      <c r="AM1009" s="18">
        <v>82</v>
      </c>
      <c r="AN1009" s="18">
        <v>112</v>
      </c>
      <c r="AO1009" s="18">
        <v>0</v>
      </c>
      <c r="AP1009" s="18">
        <v>0</v>
      </c>
      <c r="AQ1009" s="18">
        <v>0</v>
      </c>
      <c r="AR1009" s="18">
        <v>0</v>
      </c>
      <c r="AS1009" s="18">
        <v>0</v>
      </c>
      <c r="AT1009" s="18">
        <v>0</v>
      </c>
      <c r="AU1009" s="18">
        <v>0</v>
      </c>
      <c r="AV1009" s="18">
        <v>0</v>
      </c>
      <c r="AW1009" s="18">
        <v>0</v>
      </c>
      <c r="AX1009" s="18">
        <v>0</v>
      </c>
      <c r="AY1009" s="18">
        <v>0</v>
      </c>
      <c r="AZ1009" s="18">
        <v>0</v>
      </c>
      <c r="BA1009" s="18">
        <v>0</v>
      </c>
      <c r="BB1009" s="18">
        <v>0</v>
      </c>
      <c r="BC1009" s="18">
        <v>0</v>
      </c>
      <c r="BD1009" s="18">
        <v>0</v>
      </c>
      <c r="BE1009" s="25">
        <v>0</v>
      </c>
      <c r="BF1009" s="18">
        <v>0</v>
      </c>
      <c r="BG1009" s="18">
        <v>0</v>
      </c>
      <c r="BH1009" s="18">
        <v>0</v>
      </c>
      <c r="BI1009" s="18">
        <v>0</v>
      </c>
      <c r="BJ1009" s="113">
        <v>0</v>
      </c>
      <c r="BK1009" s="113">
        <v>0</v>
      </c>
      <c r="BL1009" s="113">
        <v>0</v>
      </c>
      <c r="BM1009" s="113">
        <v>0</v>
      </c>
      <c r="BN1009" s="113">
        <v>0</v>
      </c>
      <c r="BO1009" s="113">
        <v>0</v>
      </c>
      <c r="BP1009" s="113">
        <v>0</v>
      </c>
      <c r="BQ1009" s="113">
        <v>0</v>
      </c>
      <c r="BR1009" s="101"/>
      <c r="BS1009">
        <f t="shared" si="2017"/>
        <v>0</v>
      </c>
      <c r="BT1009">
        <f t="shared" si="2017"/>
        <v>0</v>
      </c>
      <c r="BU1009">
        <f t="shared" si="2017"/>
        <v>0</v>
      </c>
      <c r="BV1009">
        <f t="shared" si="2017"/>
        <v>0</v>
      </c>
      <c r="BW1009">
        <f t="shared" si="2017"/>
        <v>0</v>
      </c>
      <c r="BX1009">
        <f t="shared" si="2017"/>
        <v>0</v>
      </c>
      <c r="BY1009">
        <f t="shared" si="2017"/>
        <v>0</v>
      </c>
      <c r="BZ1009">
        <f t="shared" si="2017"/>
        <v>0</v>
      </c>
      <c r="CA1009">
        <f t="shared" si="2017"/>
        <v>0</v>
      </c>
      <c r="CB1009">
        <f t="shared" si="2017"/>
        <v>0</v>
      </c>
      <c r="CC1009">
        <f t="shared" si="2018"/>
        <v>0</v>
      </c>
      <c r="CD1009">
        <f t="shared" si="2018"/>
        <v>0</v>
      </c>
      <c r="CE1009">
        <f t="shared" si="2018"/>
        <v>0</v>
      </c>
      <c r="CF1009">
        <f t="shared" si="2018"/>
        <v>0</v>
      </c>
      <c r="CG1009">
        <f t="shared" si="2018"/>
        <v>0</v>
      </c>
      <c r="CH1009">
        <f t="shared" si="2018"/>
        <v>0</v>
      </c>
      <c r="CI1009">
        <f t="shared" si="2018"/>
        <v>0</v>
      </c>
      <c r="CJ1009">
        <f t="shared" si="2018"/>
        <v>0</v>
      </c>
      <c r="CK1009">
        <f t="shared" si="2018"/>
        <v>0</v>
      </c>
      <c r="CL1009">
        <f t="shared" si="2018"/>
        <v>0</v>
      </c>
      <c r="CM1009">
        <f t="shared" si="2019"/>
        <v>0</v>
      </c>
      <c r="CN1009">
        <f t="shared" si="2019"/>
        <v>0</v>
      </c>
      <c r="CO1009">
        <f t="shared" si="2019"/>
        <v>0</v>
      </c>
      <c r="CP1009">
        <f t="shared" si="2019"/>
        <v>0</v>
      </c>
      <c r="CQ1009">
        <f t="shared" si="2019"/>
        <v>0</v>
      </c>
      <c r="CR1009">
        <f t="shared" si="2019"/>
        <v>0</v>
      </c>
      <c r="CS1009">
        <f t="shared" si="2019"/>
        <v>0</v>
      </c>
      <c r="CT1009">
        <f t="shared" si="2019"/>
        <v>0</v>
      </c>
      <c r="CU1009">
        <f t="shared" si="2019"/>
        <v>0</v>
      </c>
      <c r="CV1009">
        <f t="shared" si="2019"/>
        <v>0</v>
      </c>
      <c r="CW1009">
        <f t="shared" si="2020"/>
        <v>0</v>
      </c>
      <c r="CX1009">
        <f t="shared" si="2020"/>
        <v>0</v>
      </c>
      <c r="CY1009">
        <f t="shared" si="2020"/>
        <v>0</v>
      </c>
      <c r="CZ1009">
        <f t="shared" si="2020"/>
        <v>0</v>
      </c>
      <c r="DA1009">
        <f t="shared" si="2020"/>
        <v>0</v>
      </c>
      <c r="DB1009">
        <f t="shared" si="2020"/>
        <v>0</v>
      </c>
      <c r="DC1009">
        <f t="shared" si="2020"/>
        <v>0</v>
      </c>
      <c r="DD1009">
        <f t="shared" si="2020"/>
        <v>0</v>
      </c>
      <c r="DE1009">
        <f t="shared" si="2020"/>
        <v>0</v>
      </c>
      <c r="DF1009">
        <f t="shared" si="2020"/>
        <v>0</v>
      </c>
      <c r="DG1009">
        <f t="shared" si="2021"/>
        <v>0</v>
      </c>
      <c r="DH1009">
        <f t="shared" si="2021"/>
        <v>0</v>
      </c>
      <c r="DI1009">
        <f t="shared" si="2021"/>
        <v>0</v>
      </c>
      <c r="DJ1009">
        <f t="shared" si="2021"/>
        <v>0</v>
      </c>
      <c r="DK1009">
        <f t="shared" si="2021"/>
        <v>0</v>
      </c>
      <c r="DL1009">
        <f t="shared" si="2021"/>
        <v>0</v>
      </c>
      <c r="DM1009">
        <f t="shared" si="2021"/>
        <v>0</v>
      </c>
      <c r="DN1009">
        <f t="shared" si="2021"/>
        <v>0</v>
      </c>
      <c r="DO1009">
        <f t="shared" si="2021"/>
        <v>0</v>
      </c>
      <c r="DP1009">
        <f t="shared" si="2021"/>
        <v>0</v>
      </c>
      <c r="DQ1009">
        <f t="shared" si="2022"/>
        <v>0</v>
      </c>
      <c r="DR1009">
        <f t="shared" si="2022"/>
        <v>0</v>
      </c>
      <c r="DS1009">
        <f t="shared" si="2022"/>
        <v>0</v>
      </c>
      <c r="DT1009">
        <f t="shared" si="2022"/>
        <v>0</v>
      </c>
      <c r="DU1009">
        <f t="shared" si="2022"/>
        <v>0</v>
      </c>
      <c r="DV1009">
        <f t="shared" si="2022"/>
        <v>0</v>
      </c>
      <c r="DW1009">
        <f t="shared" si="2022"/>
        <v>0</v>
      </c>
      <c r="DX1009">
        <f t="shared" si="2022"/>
        <v>0</v>
      </c>
      <c r="DY1009">
        <f t="shared" si="2022"/>
        <v>0</v>
      </c>
      <c r="DZ1009">
        <f t="shared" si="2022"/>
        <v>0</v>
      </c>
      <c r="EA1009">
        <f t="shared" si="2023"/>
        <v>0</v>
      </c>
      <c r="EB1009">
        <f t="shared" si="2023"/>
        <v>0</v>
      </c>
      <c r="EC1009">
        <f t="shared" si="2023"/>
        <v>0</v>
      </c>
      <c r="ED1009">
        <f t="shared" si="2023"/>
        <v>0</v>
      </c>
      <c r="EE1009">
        <f t="shared" si="2023"/>
        <v>0</v>
      </c>
      <c r="EF1009">
        <f t="shared" si="2023"/>
        <v>0</v>
      </c>
    </row>
    <row r="1010" spans="1:136" ht="15.5">
      <c r="A1010" s="90"/>
      <c r="B1010" s="57" t="s">
        <v>208</v>
      </c>
      <c r="C1010" s="94"/>
      <c r="D1010" s="34">
        <v>0</v>
      </c>
      <c r="E1010" s="34">
        <v>0</v>
      </c>
      <c r="F1010" s="34">
        <v>0</v>
      </c>
      <c r="G1010" s="34">
        <v>0</v>
      </c>
      <c r="H1010" s="34">
        <v>0</v>
      </c>
      <c r="I1010" s="34">
        <v>0</v>
      </c>
      <c r="J1010" s="34">
        <v>0</v>
      </c>
      <c r="K1010" s="34">
        <v>0</v>
      </c>
      <c r="L1010" s="34">
        <v>0</v>
      </c>
      <c r="M1010" s="34">
        <v>0</v>
      </c>
      <c r="N1010" s="34">
        <v>0</v>
      </c>
      <c r="O1010" s="34">
        <v>8.0000000000000002E-3</v>
      </c>
      <c r="P1010" s="34">
        <v>0</v>
      </c>
      <c r="Q1010" s="18">
        <v>0.191</v>
      </c>
      <c r="R1010" s="18">
        <v>0.10700000000000001</v>
      </c>
      <c r="S1010" s="34">
        <v>2.3E-2</v>
      </c>
      <c r="T1010" s="34">
        <v>0</v>
      </c>
      <c r="U1010" s="34">
        <v>0</v>
      </c>
      <c r="V1010" s="34">
        <v>0</v>
      </c>
      <c r="W1010" s="34">
        <v>0</v>
      </c>
      <c r="X1010" s="34">
        <v>0</v>
      </c>
      <c r="Y1010" s="34">
        <v>0.152</v>
      </c>
      <c r="Z1010" s="34">
        <v>0.16300000000000001</v>
      </c>
      <c r="AA1010" s="34">
        <v>8.5999999999999993E-2</v>
      </c>
      <c r="AB1010" s="34">
        <v>9.8249999999999993</v>
      </c>
      <c r="AC1010" s="34">
        <v>1.27</v>
      </c>
      <c r="AD1010" s="34">
        <v>0</v>
      </c>
      <c r="AE1010" s="34">
        <v>2.2549999999999999</v>
      </c>
      <c r="AF1010" s="34">
        <v>0</v>
      </c>
      <c r="AG1010" s="34">
        <v>17.063000000000002</v>
      </c>
      <c r="AH1010" s="34">
        <v>17.797000000000001</v>
      </c>
      <c r="AI1010" s="34">
        <v>30.423000000000002</v>
      </c>
      <c r="AJ1010" s="40" t="s">
        <v>16</v>
      </c>
      <c r="AK1010" s="18">
        <v>31</v>
      </c>
      <c r="AL1010" s="18">
        <v>4</v>
      </c>
      <c r="AM1010" s="40" t="s">
        <v>16</v>
      </c>
      <c r="AN1010" s="34">
        <v>1.226</v>
      </c>
      <c r="AO1010" s="34">
        <v>0</v>
      </c>
      <c r="AP1010" s="34">
        <v>0</v>
      </c>
      <c r="AQ1010" s="34">
        <v>0</v>
      </c>
      <c r="AR1010" s="34">
        <v>0</v>
      </c>
      <c r="AS1010" s="34">
        <v>0</v>
      </c>
      <c r="AT1010" s="34">
        <v>0</v>
      </c>
      <c r="AU1010" s="34">
        <v>0</v>
      </c>
      <c r="AV1010" s="34">
        <v>0</v>
      </c>
      <c r="AW1010" s="34">
        <v>0</v>
      </c>
      <c r="AX1010" s="34">
        <v>0</v>
      </c>
      <c r="AY1010" s="34">
        <v>0</v>
      </c>
      <c r="AZ1010" s="34">
        <v>0</v>
      </c>
      <c r="BA1010" s="34">
        <v>0</v>
      </c>
      <c r="BB1010" s="34">
        <v>0</v>
      </c>
      <c r="BC1010" s="34">
        <v>0</v>
      </c>
      <c r="BD1010" s="34">
        <v>0</v>
      </c>
      <c r="BE1010" s="42">
        <v>0</v>
      </c>
      <c r="BF1010" s="34">
        <v>0</v>
      </c>
      <c r="BG1010" s="34">
        <v>0</v>
      </c>
      <c r="BH1010" s="34">
        <v>0</v>
      </c>
      <c r="BI1010" s="34">
        <v>0</v>
      </c>
      <c r="BJ1010" s="113">
        <v>0</v>
      </c>
      <c r="BK1010" s="113">
        <v>0</v>
      </c>
      <c r="BL1010" s="113">
        <v>0</v>
      </c>
      <c r="BM1010" s="113">
        <v>0</v>
      </c>
      <c r="BN1010" s="18">
        <v>0</v>
      </c>
      <c r="BO1010" s="18">
        <v>0</v>
      </c>
      <c r="BP1010" s="18">
        <v>0</v>
      </c>
      <c r="BQ1010" s="18">
        <v>0</v>
      </c>
      <c r="BR1010" s="101"/>
      <c r="BS1010">
        <f t="shared" si="2017"/>
        <v>0</v>
      </c>
      <c r="BT1010">
        <f t="shared" si="2017"/>
        <v>0</v>
      </c>
      <c r="BU1010">
        <f t="shared" si="2017"/>
        <v>0</v>
      </c>
      <c r="BV1010">
        <f t="shared" si="2017"/>
        <v>0</v>
      </c>
      <c r="BW1010">
        <f t="shared" si="2017"/>
        <v>0</v>
      </c>
      <c r="BX1010">
        <f t="shared" si="2017"/>
        <v>0</v>
      </c>
      <c r="BY1010">
        <f t="shared" si="2017"/>
        <v>0</v>
      </c>
      <c r="BZ1010">
        <f t="shared" si="2017"/>
        <v>0</v>
      </c>
      <c r="CA1010">
        <f t="shared" si="2017"/>
        <v>0</v>
      </c>
      <c r="CB1010">
        <f t="shared" si="2017"/>
        <v>0</v>
      </c>
      <c r="CC1010">
        <f t="shared" si="2018"/>
        <v>0</v>
      </c>
      <c r="CD1010">
        <f t="shared" si="2018"/>
        <v>0</v>
      </c>
      <c r="CE1010">
        <f t="shared" si="2018"/>
        <v>0</v>
      </c>
      <c r="CF1010">
        <f t="shared" si="2018"/>
        <v>0</v>
      </c>
      <c r="CG1010">
        <f t="shared" si="2018"/>
        <v>0</v>
      </c>
      <c r="CH1010">
        <f t="shared" si="2018"/>
        <v>0</v>
      </c>
      <c r="CI1010">
        <f t="shared" si="2018"/>
        <v>0</v>
      </c>
      <c r="CJ1010">
        <f t="shared" si="2018"/>
        <v>0</v>
      </c>
      <c r="CK1010">
        <f t="shared" si="2018"/>
        <v>0</v>
      </c>
      <c r="CL1010">
        <f t="shared" si="2018"/>
        <v>0</v>
      </c>
      <c r="CM1010">
        <f t="shared" si="2019"/>
        <v>0</v>
      </c>
      <c r="CN1010">
        <f t="shared" si="2019"/>
        <v>0</v>
      </c>
      <c r="CO1010">
        <f t="shared" si="2019"/>
        <v>0</v>
      </c>
      <c r="CP1010">
        <f t="shared" si="2019"/>
        <v>0</v>
      </c>
      <c r="CQ1010">
        <f t="shared" si="2019"/>
        <v>0</v>
      </c>
      <c r="CR1010">
        <f t="shared" si="2019"/>
        <v>0</v>
      </c>
      <c r="CS1010">
        <f t="shared" si="2019"/>
        <v>0</v>
      </c>
      <c r="CT1010">
        <f t="shared" si="2019"/>
        <v>0</v>
      </c>
      <c r="CU1010">
        <f t="shared" si="2019"/>
        <v>0</v>
      </c>
      <c r="CV1010">
        <f t="shared" si="2019"/>
        <v>0</v>
      </c>
      <c r="CW1010">
        <f t="shared" si="2020"/>
        <v>0</v>
      </c>
      <c r="CX1010">
        <f t="shared" si="2020"/>
        <v>0</v>
      </c>
      <c r="CY1010">
        <f t="shared" si="2020"/>
        <v>0</v>
      </c>
      <c r="CZ1010">
        <f t="shared" si="2020"/>
        <v>0</v>
      </c>
      <c r="DA1010">
        <f t="shared" si="2020"/>
        <v>0</v>
      </c>
      <c r="DB1010">
        <f t="shared" si="2020"/>
        <v>0</v>
      </c>
      <c r="DC1010">
        <f t="shared" si="2020"/>
        <v>0</v>
      </c>
      <c r="DD1010">
        <f t="shared" si="2020"/>
        <v>0</v>
      </c>
      <c r="DE1010">
        <f t="shared" si="2020"/>
        <v>0</v>
      </c>
      <c r="DF1010">
        <f t="shared" si="2020"/>
        <v>0</v>
      </c>
      <c r="DG1010">
        <f t="shared" si="2021"/>
        <v>0</v>
      </c>
      <c r="DH1010">
        <f t="shared" si="2021"/>
        <v>0</v>
      </c>
      <c r="DI1010">
        <f t="shared" si="2021"/>
        <v>0</v>
      </c>
      <c r="DJ1010">
        <f t="shared" si="2021"/>
        <v>0</v>
      </c>
      <c r="DK1010">
        <f t="shared" si="2021"/>
        <v>0</v>
      </c>
      <c r="DL1010">
        <f t="shared" si="2021"/>
        <v>0</v>
      </c>
      <c r="DM1010">
        <f t="shared" si="2021"/>
        <v>0</v>
      </c>
      <c r="DN1010">
        <f t="shared" si="2021"/>
        <v>0</v>
      </c>
      <c r="DO1010">
        <f t="shared" si="2021"/>
        <v>0</v>
      </c>
      <c r="DP1010">
        <f t="shared" si="2021"/>
        <v>0</v>
      </c>
      <c r="DQ1010">
        <f t="shared" si="2022"/>
        <v>0</v>
      </c>
      <c r="DR1010">
        <f t="shared" si="2022"/>
        <v>0</v>
      </c>
      <c r="DS1010">
        <f t="shared" si="2022"/>
        <v>0</v>
      </c>
      <c r="DT1010">
        <f t="shared" si="2022"/>
        <v>0</v>
      </c>
      <c r="DU1010">
        <f t="shared" si="2022"/>
        <v>0</v>
      </c>
      <c r="DV1010">
        <f t="shared" si="2022"/>
        <v>0</v>
      </c>
      <c r="DW1010">
        <f t="shared" si="2022"/>
        <v>0</v>
      </c>
      <c r="DX1010">
        <f t="shared" si="2022"/>
        <v>0</v>
      </c>
      <c r="DY1010">
        <f t="shared" si="2022"/>
        <v>0</v>
      </c>
      <c r="DZ1010">
        <f t="shared" si="2022"/>
        <v>0</v>
      </c>
      <c r="EA1010">
        <f t="shared" si="2023"/>
        <v>0</v>
      </c>
      <c r="EB1010">
        <f t="shared" si="2023"/>
        <v>0</v>
      </c>
      <c r="EC1010">
        <f t="shared" si="2023"/>
        <v>0</v>
      </c>
      <c r="ED1010">
        <f t="shared" si="2023"/>
        <v>0</v>
      </c>
      <c r="EE1010">
        <f t="shared" si="2023"/>
        <v>0</v>
      </c>
      <c r="EF1010">
        <f t="shared" si="2023"/>
        <v>0</v>
      </c>
    </row>
    <row r="1011" spans="1:136" ht="15.5">
      <c r="A1011" s="90"/>
      <c r="B1011" s="57" t="s">
        <v>212</v>
      </c>
      <c r="C1011" s="94"/>
      <c r="D1011" s="34"/>
      <c r="E1011" s="34"/>
      <c r="F1011" s="34"/>
      <c r="G1011" s="34"/>
      <c r="H1011" s="34"/>
      <c r="I1011" s="34"/>
      <c r="J1011" s="34"/>
      <c r="K1011" s="34"/>
      <c r="L1011" s="34"/>
      <c r="M1011" s="34"/>
      <c r="N1011" s="34"/>
      <c r="O1011" s="34"/>
      <c r="P1011" s="34"/>
      <c r="Q1011" s="18"/>
      <c r="R1011" s="18"/>
      <c r="S1011" s="34"/>
      <c r="T1011" s="34"/>
      <c r="U1011" s="34"/>
      <c r="V1011" s="34"/>
      <c r="W1011" s="34"/>
      <c r="X1011" s="34"/>
      <c r="Y1011" s="34"/>
      <c r="Z1011" s="34">
        <v>135.06955677774184</v>
      </c>
      <c r="AA1011" s="34">
        <v>110.07620660457239</v>
      </c>
      <c r="AB1011" s="34">
        <v>84.445371142618839</v>
      </c>
      <c r="AC1011" s="34">
        <v>81.724411531340905</v>
      </c>
      <c r="AD1011" s="34">
        <v>52.3543990086741</v>
      </c>
      <c r="AE1011" s="34">
        <v>10.861423220973784</v>
      </c>
      <c r="AF1011" s="34">
        <v>9.5709570957095718</v>
      </c>
      <c r="AG1011" s="34">
        <v>84.312370421561852</v>
      </c>
      <c r="AH1011" s="34">
        <v>38.98635477582846</v>
      </c>
      <c r="AI1011" s="34">
        <v>124.0650809967743</v>
      </c>
      <c r="AJ1011" s="71">
        <v>177.56620952812725</v>
      </c>
      <c r="AK1011" s="18">
        <v>165.98389603051277</v>
      </c>
      <c r="AL1011" s="18">
        <v>27.871305649083425</v>
      </c>
      <c r="AM1011" s="71">
        <v>0</v>
      </c>
      <c r="AN1011" s="34">
        <v>0</v>
      </c>
      <c r="AO1011" s="34">
        <v>0</v>
      </c>
      <c r="AP1011" s="34">
        <v>0</v>
      </c>
      <c r="AQ1011" s="34">
        <v>0</v>
      </c>
      <c r="AR1011" s="34">
        <v>56.746455252325056</v>
      </c>
      <c r="AS1011" s="34">
        <v>0</v>
      </c>
      <c r="AT1011" s="34">
        <v>0</v>
      </c>
      <c r="AU1011" s="34">
        <v>0</v>
      </c>
      <c r="AV1011" s="34">
        <v>56.13076952250919</v>
      </c>
      <c r="AW1011" s="34">
        <v>63.995442461071022</v>
      </c>
      <c r="AX1011" s="34">
        <v>68.390804597701148</v>
      </c>
      <c r="AY1011" s="34">
        <v>465.55323590814197</v>
      </c>
      <c r="AZ1011" s="34">
        <v>300.86580086580085</v>
      </c>
      <c r="BA1011" s="34">
        <v>90.909090909090907</v>
      </c>
      <c r="BB1011" s="34">
        <v>65.817409766454347</v>
      </c>
      <c r="BC1011" s="34">
        <v>104.83870967741936</v>
      </c>
      <c r="BD1011" s="34">
        <v>98.504342232229007</v>
      </c>
      <c r="BE1011" s="42">
        <v>133.33333333333334</v>
      </c>
      <c r="BF1011" s="34">
        <v>1347.4264705882354</v>
      </c>
      <c r="BG1011" s="34">
        <v>1132.1070234113713</v>
      </c>
      <c r="BH1011" s="34">
        <v>739.96789727126804</v>
      </c>
      <c r="BI1011" s="34">
        <v>522.60397830018087</v>
      </c>
      <c r="BJ1011" s="113">
        <v>370.88388214904677</v>
      </c>
      <c r="BK1011" s="113">
        <v>194.87179487179486</v>
      </c>
      <c r="BL1011" s="18">
        <v>278.50467289719626</v>
      </c>
      <c r="BM1011" s="18">
        <v>256.45438898450948</v>
      </c>
      <c r="BN1011" s="113">
        <v>222.38805970149255</v>
      </c>
      <c r="BO1011" s="18">
        <v>66.555740432612311</v>
      </c>
      <c r="BP1011" s="18">
        <v>0</v>
      </c>
      <c r="BQ1011" s="18">
        <v>0</v>
      </c>
      <c r="BR1011" s="101"/>
      <c r="BS1011">
        <f t="shared" si="2017"/>
        <v>0</v>
      </c>
      <c r="BT1011">
        <f t="shared" si="2017"/>
        <v>0</v>
      </c>
      <c r="BU1011">
        <f t="shared" si="2017"/>
        <v>0</v>
      </c>
      <c r="BV1011">
        <f t="shared" si="2017"/>
        <v>0</v>
      </c>
      <c r="BW1011">
        <f t="shared" si="2017"/>
        <v>0</v>
      </c>
      <c r="BX1011">
        <f t="shared" si="2017"/>
        <v>0</v>
      </c>
      <c r="BY1011">
        <f t="shared" si="2017"/>
        <v>0</v>
      </c>
      <c r="BZ1011">
        <f t="shared" si="2017"/>
        <v>0</v>
      </c>
      <c r="CA1011">
        <f t="shared" si="2017"/>
        <v>0</v>
      </c>
      <c r="CB1011">
        <f t="shared" si="2017"/>
        <v>0</v>
      </c>
      <c r="CC1011">
        <f t="shared" si="2018"/>
        <v>0</v>
      </c>
      <c r="CD1011">
        <f t="shared" si="2018"/>
        <v>0</v>
      </c>
      <c r="CE1011">
        <f t="shared" si="2018"/>
        <v>0</v>
      </c>
      <c r="CF1011">
        <f t="shared" si="2018"/>
        <v>0</v>
      </c>
      <c r="CG1011">
        <f t="shared" si="2018"/>
        <v>0</v>
      </c>
      <c r="CH1011">
        <f t="shared" si="2018"/>
        <v>0</v>
      </c>
      <c r="CI1011">
        <f t="shared" si="2018"/>
        <v>0</v>
      </c>
      <c r="CJ1011">
        <f t="shared" si="2018"/>
        <v>0</v>
      </c>
      <c r="CK1011">
        <f t="shared" si="2018"/>
        <v>0</v>
      </c>
      <c r="CL1011">
        <f t="shared" si="2018"/>
        <v>0</v>
      </c>
      <c r="CM1011">
        <f t="shared" si="2019"/>
        <v>0</v>
      </c>
      <c r="CN1011">
        <f t="shared" si="2019"/>
        <v>0</v>
      </c>
      <c r="CO1011">
        <f t="shared" si="2019"/>
        <v>0</v>
      </c>
      <c r="CP1011">
        <f t="shared" si="2019"/>
        <v>0</v>
      </c>
      <c r="CQ1011">
        <f t="shared" si="2019"/>
        <v>0</v>
      </c>
      <c r="CR1011">
        <f t="shared" si="2019"/>
        <v>0</v>
      </c>
      <c r="CS1011">
        <f t="shared" si="2019"/>
        <v>0</v>
      </c>
      <c r="CT1011">
        <f t="shared" si="2019"/>
        <v>0</v>
      </c>
      <c r="CU1011">
        <f t="shared" si="2019"/>
        <v>0</v>
      </c>
      <c r="CV1011">
        <f t="shared" si="2019"/>
        <v>0</v>
      </c>
      <c r="CW1011">
        <f t="shared" si="2020"/>
        <v>0</v>
      </c>
      <c r="CX1011">
        <f t="shared" si="2020"/>
        <v>0</v>
      </c>
      <c r="CY1011">
        <f t="shared" si="2020"/>
        <v>0</v>
      </c>
      <c r="CZ1011">
        <f t="shared" si="2020"/>
        <v>0</v>
      </c>
      <c r="DA1011">
        <f t="shared" si="2020"/>
        <v>0</v>
      </c>
      <c r="DB1011">
        <f t="shared" si="2020"/>
        <v>0</v>
      </c>
      <c r="DC1011">
        <f t="shared" si="2020"/>
        <v>0</v>
      </c>
      <c r="DD1011">
        <f t="shared" si="2020"/>
        <v>0</v>
      </c>
      <c r="DE1011">
        <f t="shared" si="2020"/>
        <v>0</v>
      </c>
      <c r="DF1011">
        <f t="shared" si="2020"/>
        <v>0</v>
      </c>
      <c r="DG1011">
        <f t="shared" si="2021"/>
        <v>0</v>
      </c>
      <c r="DH1011">
        <f t="shared" si="2021"/>
        <v>0</v>
      </c>
      <c r="DI1011">
        <f t="shared" si="2021"/>
        <v>0</v>
      </c>
      <c r="DJ1011">
        <f t="shared" si="2021"/>
        <v>0</v>
      </c>
      <c r="DK1011">
        <f t="shared" si="2021"/>
        <v>0</v>
      </c>
      <c r="DL1011">
        <f t="shared" si="2021"/>
        <v>0</v>
      </c>
      <c r="DM1011">
        <f t="shared" si="2021"/>
        <v>0</v>
      </c>
      <c r="DN1011">
        <f t="shared" si="2021"/>
        <v>0</v>
      </c>
      <c r="DO1011">
        <f t="shared" si="2021"/>
        <v>0</v>
      </c>
      <c r="DP1011">
        <f t="shared" si="2021"/>
        <v>0</v>
      </c>
      <c r="DQ1011">
        <f t="shared" si="2022"/>
        <v>0</v>
      </c>
      <c r="DR1011">
        <f t="shared" si="2022"/>
        <v>0</v>
      </c>
      <c r="DS1011">
        <f t="shared" si="2022"/>
        <v>0</v>
      </c>
      <c r="DT1011">
        <f t="shared" si="2022"/>
        <v>0</v>
      </c>
      <c r="DU1011">
        <f t="shared" si="2022"/>
        <v>0</v>
      </c>
      <c r="DV1011">
        <f t="shared" si="2022"/>
        <v>0</v>
      </c>
      <c r="DW1011">
        <f t="shared" si="2022"/>
        <v>0</v>
      </c>
      <c r="DX1011">
        <f t="shared" si="2022"/>
        <v>0</v>
      </c>
      <c r="DY1011">
        <f t="shared" si="2022"/>
        <v>0</v>
      </c>
      <c r="DZ1011">
        <f t="shared" si="2022"/>
        <v>0</v>
      </c>
      <c r="EA1011">
        <f t="shared" ref="EA1011:EF1011" si="2024">IF($C1011&lt;&gt;"",IF(BL1011&gt;0,1,0),0)</f>
        <v>0</v>
      </c>
      <c r="EB1011">
        <f t="shared" si="2024"/>
        <v>0</v>
      </c>
      <c r="EC1011">
        <f t="shared" si="2024"/>
        <v>0</v>
      </c>
      <c r="ED1011">
        <f t="shared" si="2024"/>
        <v>0</v>
      </c>
      <c r="EE1011">
        <f t="shared" si="2024"/>
        <v>0</v>
      </c>
      <c r="EF1011">
        <f t="shared" si="2024"/>
        <v>0</v>
      </c>
    </row>
    <row r="1012" spans="1:136" ht="15.5">
      <c r="A1012" s="90"/>
      <c r="B1012" s="37"/>
      <c r="C1012" s="94"/>
      <c r="D1012" s="18"/>
      <c r="E1012" s="18"/>
      <c r="F1012" s="18"/>
      <c r="G1012" s="18"/>
      <c r="H1012" s="18"/>
      <c r="I1012" s="18"/>
      <c r="J1012" s="18"/>
      <c r="K1012" s="18"/>
      <c r="L1012" s="18"/>
      <c r="M1012" s="18"/>
      <c r="N1012" s="18"/>
      <c r="O1012" s="18"/>
      <c r="P1012" s="18"/>
      <c r="Q1012" s="18"/>
      <c r="R1012" s="18"/>
      <c r="S1012" s="18"/>
      <c r="T1012" s="18"/>
      <c r="U1012" s="18"/>
      <c r="V1012" s="18"/>
      <c r="W1012" s="18"/>
      <c r="X1012" s="18"/>
      <c r="Y1012" s="18"/>
      <c r="Z1012" s="18"/>
      <c r="AA1012" s="18"/>
      <c r="AB1012" s="18"/>
      <c r="AC1012" s="18"/>
      <c r="AD1012" s="18"/>
      <c r="AE1012" s="18"/>
      <c r="AF1012" s="18"/>
      <c r="AG1012" s="18"/>
      <c r="AH1012" s="18"/>
      <c r="AI1012" s="18"/>
      <c r="AJ1012" s="18"/>
      <c r="AK1012" s="18"/>
      <c r="AL1012" s="18"/>
      <c r="AM1012" s="18"/>
      <c r="AN1012" s="18"/>
      <c r="AO1012" s="18"/>
      <c r="AP1012" s="18"/>
      <c r="AQ1012" s="18"/>
      <c r="AR1012" s="18"/>
      <c r="AS1012" s="18"/>
      <c r="AT1012" s="18"/>
      <c r="AU1012" s="18"/>
      <c r="AV1012" s="18"/>
      <c r="AW1012" s="18"/>
      <c r="AX1012" s="18"/>
      <c r="AY1012" s="18"/>
      <c r="AZ1012" s="18"/>
      <c r="BA1012" s="18"/>
      <c r="BB1012" s="18"/>
      <c r="BC1012" s="18"/>
      <c r="BD1012" s="18"/>
      <c r="BE1012" s="25"/>
      <c r="BF1012" s="34"/>
      <c r="BG1012" s="18"/>
      <c r="BH1012" s="2"/>
      <c r="BI1012" s="2"/>
      <c r="BJ1012" s="2"/>
      <c r="BK1012" s="2"/>
      <c r="BL1012" s="22"/>
      <c r="BM1012" s="22"/>
      <c r="BN1012" s="173"/>
      <c r="BO1012" s="2"/>
      <c r="BP1012" s="2"/>
      <c r="BQ1012" s="2"/>
      <c r="BR1012" s="101"/>
      <c r="DM1012">
        <f t="shared" ref="DM1012:DM1023" si="2025">IF($C1012&lt;&gt;"",IF(AX1012&gt;0,1,0),0)</f>
        <v>0</v>
      </c>
    </row>
    <row r="1013" spans="1:136" ht="15.5">
      <c r="A1013" s="93">
        <v>128</v>
      </c>
      <c r="B1013" s="52" t="s">
        <v>129</v>
      </c>
      <c r="C1013" s="94">
        <v>3</v>
      </c>
      <c r="D1013" s="22"/>
      <c r="E1013" s="22"/>
      <c r="F1013" s="22"/>
      <c r="G1013" s="22"/>
      <c r="H1013" s="22"/>
      <c r="I1013" s="22"/>
      <c r="J1013" s="22"/>
      <c r="K1013" s="22"/>
      <c r="L1013" s="22"/>
      <c r="M1013" s="22"/>
      <c r="N1013" s="22"/>
      <c r="O1013" s="22"/>
      <c r="P1013" s="22"/>
      <c r="Q1013" s="22"/>
      <c r="R1013" s="22"/>
      <c r="S1013" s="22"/>
      <c r="T1013" s="22"/>
      <c r="U1013" s="22"/>
      <c r="V1013" s="22"/>
      <c r="W1013" s="22"/>
      <c r="X1013" s="22"/>
      <c r="Y1013" s="22"/>
      <c r="Z1013" s="22"/>
      <c r="AA1013" s="22"/>
      <c r="AB1013" s="22"/>
      <c r="AC1013" s="22"/>
      <c r="AD1013" s="22"/>
      <c r="AE1013" s="22"/>
      <c r="AF1013" s="22"/>
      <c r="AG1013" s="22"/>
      <c r="AH1013" s="22"/>
      <c r="AI1013" s="22"/>
      <c r="AJ1013" s="22">
        <f>SUM(AJ1014:AJ1022)</f>
        <v>6996.4840980960016</v>
      </c>
      <c r="AK1013" s="22">
        <f t="shared" ref="AK1013:BO1013" si="2026">SUM(AK1014:AK1022)</f>
        <v>3982.2872274286883</v>
      </c>
      <c r="AL1013" s="22">
        <f t="shared" si="2026"/>
        <v>6438.4926621669929</v>
      </c>
      <c r="AM1013" s="22">
        <f t="shared" si="2026"/>
        <v>7408.8445076885537</v>
      </c>
      <c r="AN1013" s="22">
        <f t="shared" si="2026"/>
        <v>6917.8778858408969</v>
      </c>
      <c r="AO1013" s="22">
        <f t="shared" si="2026"/>
        <v>7231.4862303089649</v>
      </c>
      <c r="AP1013" s="22">
        <f t="shared" si="2026"/>
        <v>9178.7389917707078</v>
      </c>
      <c r="AQ1013" s="22">
        <f t="shared" si="2026"/>
        <v>9811.9835399419026</v>
      </c>
      <c r="AR1013" s="22">
        <f t="shared" si="2026"/>
        <v>11058.09719960632</v>
      </c>
      <c r="AS1013" s="22">
        <f t="shared" si="2026"/>
        <v>16761.321607499998</v>
      </c>
      <c r="AT1013" s="22">
        <f t="shared" si="2026"/>
        <v>10373.822100000001</v>
      </c>
      <c r="AU1013" s="22">
        <f t="shared" si="2026"/>
        <v>4166.5768145000002</v>
      </c>
      <c r="AV1013" s="22">
        <f t="shared" si="2026"/>
        <v>3228.6508001000002</v>
      </c>
      <c r="AW1013" s="22">
        <f t="shared" si="2026"/>
        <v>1629.6512913000001</v>
      </c>
      <c r="AX1013" s="22">
        <f t="shared" si="2026"/>
        <v>1924.7883194999999</v>
      </c>
      <c r="AY1013" s="22">
        <f t="shared" si="2026"/>
        <v>3118.12347</v>
      </c>
      <c r="AZ1013" s="22">
        <f t="shared" si="2026"/>
        <v>198.72</v>
      </c>
      <c r="BA1013" s="22">
        <f t="shared" si="2026"/>
        <v>1013.765</v>
      </c>
      <c r="BB1013" s="22">
        <f t="shared" si="2026"/>
        <v>0</v>
      </c>
      <c r="BC1013" s="22">
        <f t="shared" si="2026"/>
        <v>0</v>
      </c>
      <c r="BD1013" s="22">
        <f t="shared" si="2026"/>
        <v>0</v>
      </c>
      <c r="BE1013" s="22">
        <f t="shared" si="2026"/>
        <v>0</v>
      </c>
      <c r="BF1013" s="22">
        <f t="shared" si="2026"/>
        <v>0</v>
      </c>
      <c r="BG1013" s="22">
        <f t="shared" si="2026"/>
        <v>0</v>
      </c>
      <c r="BH1013" s="22">
        <f t="shared" si="2026"/>
        <v>0</v>
      </c>
      <c r="BI1013" s="22">
        <f t="shared" si="2026"/>
        <v>0</v>
      </c>
      <c r="BJ1013" s="22">
        <f t="shared" si="2026"/>
        <v>0</v>
      </c>
      <c r="BK1013" s="22">
        <f t="shared" si="2026"/>
        <v>0</v>
      </c>
      <c r="BL1013" s="22">
        <f t="shared" si="2026"/>
        <v>0</v>
      </c>
      <c r="BM1013" s="22">
        <f t="shared" si="2026"/>
        <v>0</v>
      </c>
      <c r="BN1013" s="22">
        <f t="shared" si="2026"/>
        <v>0</v>
      </c>
      <c r="BO1013" s="22">
        <f t="shared" si="2026"/>
        <v>0</v>
      </c>
      <c r="BP1013" s="22">
        <f>SUM(BP1014:BP1022)</f>
        <v>0</v>
      </c>
      <c r="BQ1013" s="22">
        <f>SUM(BQ1014:BQ1022)</f>
        <v>0</v>
      </c>
      <c r="BR1013" s="101"/>
      <c r="BS1013">
        <f t="shared" ref="BS1013:BS1023" si="2027">IF($C1013&lt;&gt;"",IF(D1013&gt;0,1,0),0)</f>
        <v>0</v>
      </c>
      <c r="BT1013">
        <f t="shared" ref="BT1013:BT1023" si="2028">IF($C1013&lt;&gt;"",IF(E1013&gt;0,1,0),0)</f>
        <v>0</v>
      </c>
      <c r="BU1013">
        <f t="shared" ref="BU1013:BU1023" si="2029">IF($C1013&lt;&gt;"",IF(F1013&gt;0,1,0),0)</f>
        <v>0</v>
      </c>
      <c r="BV1013">
        <f t="shared" ref="BV1013:BV1023" si="2030">IF($C1013&lt;&gt;"",IF(G1013&gt;0,1,0),0)</f>
        <v>0</v>
      </c>
      <c r="BW1013">
        <f t="shared" ref="BW1013:BW1023" si="2031">IF($C1013&lt;&gt;"",IF(H1013&gt;0,1,0),0)</f>
        <v>0</v>
      </c>
      <c r="BX1013">
        <f t="shared" ref="BX1013:BX1023" si="2032">IF($C1013&lt;&gt;"",IF(I1013&gt;0,1,0),0)</f>
        <v>0</v>
      </c>
      <c r="BY1013">
        <f t="shared" ref="BY1013:BY1023" si="2033">IF($C1013&lt;&gt;"",IF(J1013&gt;0,1,0),0)</f>
        <v>0</v>
      </c>
      <c r="BZ1013">
        <f t="shared" ref="BZ1013:BZ1023" si="2034">IF($C1013&lt;&gt;"",IF(K1013&gt;0,1,0),0)</f>
        <v>0</v>
      </c>
      <c r="CA1013">
        <f t="shared" ref="CA1013:CA1023" si="2035">IF($C1013&lt;&gt;"",IF(L1013&gt;0,1,0),0)</f>
        <v>0</v>
      </c>
      <c r="CB1013">
        <f t="shared" ref="CB1013:CB1023" si="2036">IF($C1013&lt;&gt;"",IF(M1013&gt;0,1,0),0)</f>
        <v>0</v>
      </c>
      <c r="CC1013">
        <f t="shared" ref="CC1013:CC1023" si="2037">IF($C1013&lt;&gt;"",IF(N1013&gt;0,1,0),0)</f>
        <v>0</v>
      </c>
      <c r="CD1013">
        <f t="shared" ref="CD1013:CD1023" si="2038">IF($C1013&lt;&gt;"",IF(O1013&gt;0,1,0),0)</f>
        <v>0</v>
      </c>
      <c r="CE1013">
        <f t="shared" ref="CE1013:CE1023" si="2039">IF($C1013&lt;&gt;"",IF(P1013&gt;0,1,0),0)</f>
        <v>0</v>
      </c>
      <c r="CF1013">
        <f t="shared" ref="CF1013:CF1023" si="2040">IF($C1013&lt;&gt;"",IF(Q1013&gt;0,1,0),0)</f>
        <v>0</v>
      </c>
      <c r="CG1013">
        <f t="shared" ref="CG1013:CG1023" si="2041">IF($C1013&lt;&gt;"",IF(R1013&gt;0,1,0),0)</f>
        <v>0</v>
      </c>
      <c r="CH1013">
        <f t="shared" ref="CH1013:CH1023" si="2042">IF($C1013&lt;&gt;"",IF(S1013&gt;0,1,0),0)</f>
        <v>0</v>
      </c>
      <c r="CI1013">
        <f t="shared" ref="CI1013:CI1023" si="2043">IF($C1013&lt;&gt;"",IF(T1013&gt;0,1,0),0)</f>
        <v>0</v>
      </c>
      <c r="CJ1013">
        <f t="shared" ref="CJ1013:CJ1023" si="2044">IF($C1013&lt;&gt;"",IF(U1013&gt;0,1,0),0)</f>
        <v>0</v>
      </c>
      <c r="CK1013">
        <f t="shared" ref="CK1013:CK1023" si="2045">IF($C1013&lt;&gt;"",IF(V1013&gt;0,1,0),0)</f>
        <v>0</v>
      </c>
      <c r="CL1013">
        <f t="shared" ref="CL1013:CL1023" si="2046">IF($C1013&lt;&gt;"",IF(W1013&gt;0,1,0),0)</f>
        <v>0</v>
      </c>
      <c r="CM1013">
        <f t="shared" ref="CM1013:CM1023" si="2047">IF($C1013&lt;&gt;"",IF(X1013&gt;0,1,0),0)</f>
        <v>0</v>
      </c>
      <c r="CN1013">
        <f t="shared" ref="CN1013:CN1023" si="2048">IF($C1013&lt;&gt;"",IF(Y1013&gt;0,1,0),0)</f>
        <v>0</v>
      </c>
      <c r="CO1013">
        <f t="shared" ref="CO1013:CO1023" si="2049">IF($C1013&lt;&gt;"",IF(Z1013&gt;0,1,0),0)</f>
        <v>0</v>
      </c>
      <c r="CP1013">
        <f t="shared" ref="CP1013:CP1023" si="2050">IF($C1013&lt;&gt;"",IF(AA1013&gt;0,1,0),0)</f>
        <v>0</v>
      </c>
      <c r="CQ1013">
        <f t="shared" ref="CQ1013:CQ1023" si="2051">IF($C1013&lt;&gt;"",IF(AB1013&gt;0,1,0),0)</f>
        <v>0</v>
      </c>
      <c r="CR1013">
        <f t="shared" ref="CR1013:CR1023" si="2052">IF($C1013&lt;&gt;"",IF(AC1013&gt;0,1,0),0)</f>
        <v>0</v>
      </c>
      <c r="CS1013">
        <f t="shared" ref="CS1013:CS1023" si="2053">IF($C1013&lt;&gt;"",IF(AD1013&gt;0,1,0),0)</f>
        <v>0</v>
      </c>
      <c r="CT1013">
        <f t="shared" ref="CT1013:CT1023" si="2054">IF($C1013&lt;&gt;"",IF(AE1013&gt;0,1,0),0)</f>
        <v>0</v>
      </c>
      <c r="CU1013">
        <f t="shared" ref="CU1013:CU1023" si="2055">IF($C1013&lt;&gt;"",IF(AF1013&gt;0,1,0),0)</f>
        <v>0</v>
      </c>
      <c r="CV1013">
        <f t="shared" ref="CV1013:CV1023" si="2056">IF($C1013&lt;&gt;"",IF(AG1013&gt;0,1,0),0)</f>
        <v>0</v>
      </c>
      <c r="CW1013">
        <f t="shared" ref="CW1013:CW1023" si="2057">IF($C1013&lt;&gt;"",IF(AH1013&gt;0,1,0),0)</f>
        <v>0</v>
      </c>
      <c r="CX1013">
        <f t="shared" ref="CX1013:CX1023" si="2058">IF($C1013&lt;&gt;"",IF(AI1013&gt;0,1,0),0)</f>
        <v>0</v>
      </c>
      <c r="CY1013">
        <f t="shared" ref="CY1013:CY1023" si="2059">IF($C1013&lt;&gt;"",IF(AJ1013&gt;0,1,0),0)</f>
        <v>1</v>
      </c>
      <c r="CZ1013">
        <f t="shared" ref="CZ1013:CZ1023" si="2060">IF($C1013&lt;&gt;"",IF(AK1013&gt;0,1,0),0)</f>
        <v>1</v>
      </c>
      <c r="DA1013">
        <f t="shared" ref="DA1013:DA1023" si="2061">IF($C1013&lt;&gt;"",IF(AL1013&gt;0,1,0),0)</f>
        <v>1</v>
      </c>
      <c r="DB1013">
        <f t="shared" ref="DB1013:DB1023" si="2062">IF($C1013&lt;&gt;"",IF(AM1013&gt;0,1,0),0)</f>
        <v>1</v>
      </c>
      <c r="DC1013">
        <f t="shared" ref="DC1013:DC1023" si="2063">IF($C1013&lt;&gt;"",IF(AN1013&gt;0,1,0),0)</f>
        <v>1</v>
      </c>
      <c r="DD1013">
        <f t="shared" ref="DD1013:DD1023" si="2064">IF($C1013&lt;&gt;"",IF(AO1013&gt;0,1,0),0)</f>
        <v>1</v>
      </c>
      <c r="DE1013">
        <f t="shared" ref="DE1013:DE1023" si="2065">IF($C1013&lt;&gt;"",IF(AP1013&gt;0,1,0),0)</f>
        <v>1</v>
      </c>
      <c r="DF1013">
        <f t="shared" ref="DF1013:DF1023" si="2066">IF($C1013&lt;&gt;"",IF(AQ1013&gt;0,1,0),0)</f>
        <v>1</v>
      </c>
      <c r="DG1013">
        <f t="shared" ref="DG1013:DG1023" si="2067">IF($C1013&lt;&gt;"",IF(AR1013&gt;0,1,0),0)</f>
        <v>1</v>
      </c>
      <c r="DH1013">
        <f t="shared" ref="DH1013:DH1023" si="2068">IF($C1013&lt;&gt;"",IF(AS1013&gt;0,1,0),0)</f>
        <v>1</v>
      </c>
      <c r="DI1013">
        <f t="shared" ref="DI1013:DI1023" si="2069">IF($C1013&lt;&gt;"",IF(AT1013&gt;0,1,0),0)</f>
        <v>1</v>
      </c>
      <c r="DJ1013">
        <f t="shared" ref="DJ1013:DJ1023" si="2070">IF($C1013&lt;&gt;"",IF(AU1013&gt;0,1,0),0)</f>
        <v>1</v>
      </c>
      <c r="DK1013">
        <f t="shared" ref="DK1013:DK1023" si="2071">IF($C1013&lt;&gt;"",IF(AV1013&gt;0,1,0),0)</f>
        <v>1</v>
      </c>
      <c r="DL1013">
        <f t="shared" ref="DL1013:DL1023" si="2072">IF($C1013&lt;&gt;"",IF(AW1013&gt;0,1,0),0)</f>
        <v>1</v>
      </c>
      <c r="DM1013">
        <f t="shared" si="2025"/>
        <v>1</v>
      </c>
      <c r="DN1013">
        <f t="shared" ref="DN1013:EF1013" si="2073">IF($C1013&lt;&gt;"",IF(AY1013&gt;0,1,0),0)</f>
        <v>1</v>
      </c>
      <c r="DO1013">
        <f t="shared" si="2073"/>
        <v>1</v>
      </c>
      <c r="DP1013">
        <f t="shared" si="2073"/>
        <v>1</v>
      </c>
      <c r="DQ1013">
        <f t="shared" si="2073"/>
        <v>0</v>
      </c>
      <c r="DR1013">
        <f t="shared" si="2073"/>
        <v>0</v>
      </c>
      <c r="DS1013">
        <f t="shared" si="2073"/>
        <v>0</v>
      </c>
      <c r="DT1013">
        <f t="shared" si="2073"/>
        <v>0</v>
      </c>
      <c r="DU1013">
        <f t="shared" si="2073"/>
        <v>0</v>
      </c>
      <c r="DV1013">
        <f t="shared" si="2073"/>
        <v>0</v>
      </c>
      <c r="DW1013">
        <f t="shared" si="2073"/>
        <v>0</v>
      </c>
      <c r="DX1013">
        <f t="shared" si="2073"/>
        <v>0</v>
      </c>
      <c r="DY1013">
        <f t="shared" si="2073"/>
        <v>0</v>
      </c>
      <c r="DZ1013">
        <f t="shared" si="2073"/>
        <v>0</v>
      </c>
      <c r="EA1013">
        <f t="shared" si="2073"/>
        <v>0</v>
      </c>
      <c r="EB1013">
        <f t="shared" si="2073"/>
        <v>0</v>
      </c>
      <c r="EC1013">
        <f t="shared" si="2073"/>
        <v>0</v>
      </c>
      <c r="ED1013">
        <f t="shared" si="2073"/>
        <v>0</v>
      </c>
      <c r="EE1013">
        <f t="shared" si="2073"/>
        <v>0</v>
      </c>
      <c r="EF1013">
        <f t="shared" si="2073"/>
        <v>0</v>
      </c>
    </row>
    <row r="1014" spans="1:136" ht="15.5">
      <c r="A1014" s="90"/>
      <c r="B1014" s="24" t="s">
        <v>15</v>
      </c>
      <c r="C1014" s="94"/>
      <c r="D1014" s="18"/>
      <c r="E1014" s="18"/>
      <c r="F1014" s="18"/>
      <c r="G1014" s="18"/>
      <c r="H1014" s="18"/>
      <c r="I1014" s="18"/>
      <c r="J1014" s="18"/>
      <c r="K1014" s="18"/>
      <c r="L1014" s="18"/>
      <c r="M1014" s="18"/>
      <c r="N1014" s="18"/>
      <c r="O1014" s="18"/>
      <c r="P1014" s="18"/>
      <c r="Q1014" s="18"/>
      <c r="R1014" s="18"/>
      <c r="S1014" s="18"/>
      <c r="T1014" s="18"/>
      <c r="U1014" s="18"/>
      <c r="V1014" s="18"/>
      <c r="W1014" s="18"/>
      <c r="X1014" s="18"/>
      <c r="Y1014" s="18"/>
      <c r="Z1014" s="18"/>
      <c r="AA1014" s="18"/>
      <c r="AB1014" s="18"/>
      <c r="AC1014" s="18"/>
      <c r="AD1014" s="18"/>
      <c r="AE1014" s="18"/>
      <c r="AF1014" s="18"/>
      <c r="AG1014" s="18"/>
      <c r="AH1014" s="18"/>
      <c r="AI1014" s="18"/>
      <c r="AJ1014" s="34">
        <f>19.5*1.3895</f>
        <v>27.09525</v>
      </c>
      <c r="AK1014" s="18">
        <v>257.24233517282914</v>
      </c>
      <c r="AL1014" s="18">
        <v>287.7186175294936</v>
      </c>
      <c r="AM1014" s="18">
        <v>307.58672938855375</v>
      </c>
      <c r="AN1014" s="34">
        <v>311.12143394089657</v>
      </c>
      <c r="AO1014" s="18">
        <v>305.17033620896524</v>
      </c>
      <c r="AP1014" s="18">
        <v>332.68841507070624</v>
      </c>
      <c r="AQ1014" s="18">
        <v>338.09858214190336</v>
      </c>
      <c r="AR1014" s="18">
        <v>337.8633280063188</v>
      </c>
      <c r="AS1014" s="18">
        <v>0</v>
      </c>
      <c r="AT1014" s="18">
        <v>0</v>
      </c>
      <c r="AU1014" s="18">
        <v>0</v>
      </c>
      <c r="AV1014" s="18">
        <v>0</v>
      </c>
      <c r="AW1014" s="18">
        <v>0</v>
      </c>
      <c r="AX1014" s="18">
        <v>0</v>
      </c>
      <c r="AY1014" s="18">
        <v>0</v>
      </c>
      <c r="AZ1014" s="18">
        <v>0</v>
      </c>
      <c r="BA1014" s="18">
        <v>0</v>
      </c>
      <c r="BB1014" s="18">
        <v>0</v>
      </c>
      <c r="BC1014" s="18">
        <v>0</v>
      </c>
      <c r="BD1014" s="18">
        <v>0</v>
      </c>
      <c r="BE1014" s="25">
        <v>0</v>
      </c>
      <c r="BF1014" s="18">
        <v>0</v>
      </c>
      <c r="BG1014" s="18">
        <v>0</v>
      </c>
      <c r="BH1014" s="18">
        <v>0</v>
      </c>
      <c r="BI1014" s="18">
        <v>0</v>
      </c>
      <c r="BJ1014" s="113">
        <v>0</v>
      </c>
      <c r="BK1014" s="113">
        <v>0</v>
      </c>
      <c r="BL1014" s="113">
        <v>0</v>
      </c>
      <c r="BM1014" s="113">
        <v>0</v>
      </c>
      <c r="BN1014" s="124">
        <v>0</v>
      </c>
      <c r="BO1014" s="124">
        <v>0</v>
      </c>
      <c r="BP1014" s="124">
        <v>0</v>
      </c>
      <c r="BQ1014" s="124">
        <v>0</v>
      </c>
      <c r="BR1014" s="101"/>
      <c r="BS1014">
        <f t="shared" si="2027"/>
        <v>0</v>
      </c>
      <c r="BT1014">
        <f t="shared" si="2028"/>
        <v>0</v>
      </c>
      <c r="BU1014">
        <f t="shared" si="2029"/>
        <v>0</v>
      </c>
      <c r="BV1014">
        <f t="shared" si="2030"/>
        <v>0</v>
      </c>
      <c r="BW1014">
        <f t="shared" si="2031"/>
        <v>0</v>
      </c>
      <c r="BX1014">
        <f t="shared" si="2032"/>
        <v>0</v>
      </c>
      <c r="BY1014">
        <f t="shared" si="2033"/>
        <v>0</v>
      </c>
      <c r="BZ1014">
        <f t="shared" si="2034"/>
        <v>0</v>
      </c>
      <c r="CA1014">
        <f t="shared" si="2035"/>
        <v>0</v>
      </c>
      <c r="CB1014">
        <f t="shared" si="2036"/>
        <v>0</v>
      </c>
      <c r="CC1014">
        <f t="shared" si="2037"/>
        <v>0</v>
      </c>
      <c r="CD1014">
        <f t="shared" si="2038"/>
        <v>0</v>
      </c>
      <c r="CE1014">
        <f t="shared" si="2039"/>
        <v>0</v>
      </c>
      <c r="CF1014">
        <f t="shared" si="2040"/>
        <v>0</v>
      </c>
      <c r="CG1014">
        <f t="shared" si="2041"/>
        <v>0</v>
      </c>
      <c r="CH1014">
        <f t="shared" si="2042"/>
        <v>0</v>
      </c>
      <c r="CI1014">
        <f t="shared" si="2043"/>
        <v>0</v>
      </c>
      <c r="CJ1014">
        <f t="shared" si="2044"/>
        <v>0</v>
      </c>
      <c r="CK1014">
        <f t="shared" si="2045"/>
        <v>0</v>
      </c>
      <c r="CL1014">
        <f t="shared" si="2046"/>
        <v>0</v>
      </c>
      <c r="CM1014">
        <f t="shared" si="2047"/>
        <v>0</v>
      </c>
      <c r="CN1014">
        <f t="shared" si="2048"/>
        <v>0</v>
      </c>
      <c r="CO1014">
        <f t="shared" si="2049"/>
        <v>0</v>
      </c>
      <c r="CP1014">
        <f t="shared" si="2050"/>
        <v>0</v>
      </c>
      <c r="CQ1014">
        <f t="shared" si="2051"/>
        <v>0</v>
      </c>
      <c r="CR1014">
        <f t="shared" si="2052"/>
        <v>0</v>
      </c>
      <c r="CS1014">
        <f t="shared" si="2053"/>
        <v>0</v>
      </c>
      <c r="CT1014">
        <f t="shared" si="2054"/>
        <v>0</v>
      </c>
      <c r="CU1014">
        <f t="shared" si="2055"/>
        <v>0</v>
      </c>
      <c r="CV1014">
        <f t="shared" si="2056"/>
        <v>0</v>
      </c>
      <c r="CW1014">
        <f t="shared" si="2057"/>
        <v>0</v>
      </c>
      <c r="CX1014">
        <f t="shared" si="2058"/>
        <v>0</v>
      </c>
      <c r="CY1014">
        <f t="shared" si="2059"/>
        <v>0</v>
      </c>
      <c r="CZ1014">
        <f t="shared" si="2060"/>
        <v>0</v>
      </c>
      <c r="DA1014">
        <f t="shared" si="2061"/>
        <v>0</v>
      </c>
      <c r="DB1014">
        <f t="shared" si="2062"/>
        <v>0</v>
      </c>
      <c r="DC1014">
        <f t="shared" si="2063"/>
        <v>0</v>
      </c>
      <c r="DD1014">
        <f t="shared" si="2064"/>
        <v>0</v>
      </c>
      <c r="DE1014">
        <f t="shared" si="2065"/>
        <v>0</v>
      </c>
      <c r="DF1014">
        <f t="shared" si="2066"/>
        <v>0</v>
      </c>
      <c r="DG1014">
        <f t="shared" si="2067"/>
        <v>0</v>
      </c>
      <c r="DH1014">
        <f t="shared" si="2068"/>
        <v>0</v>
      </c>
      <c r="DI1014">
        <f t="shared" si="2069"/>
        <v>0</v>
      </c>
      <c r="DJ1014">
        <f t="shared" si="2070"/>
        <v>0</v>
      </c>
      <c r="DK1014">
        <f t="shared" si="2071"/>
        <v>0</v>
      </c>
      <c r="DL1014">
        <f t="shared" si="2072"/>
        <v>0</v>
      </c>
      <c r="DM1014">
        <f t="shared" si="2025"/>
        <v>0</v>
      </c>
      <c r="DN1014">
        <f t="shared" ref="DN1014:DN1023" si="2074">IF($C1014&lt;&gt;"",IF(AY1014&gt;0,1,0),0)</f>
        <v>0</v>
      </c>
      <c r="DO1014">
        <f t="shared" ref="DO1014:DO1023" si="2075">IF($C1014&lt;&gt;"",IF(AZ1014&gt;0,1,0),0)</f>
        <v>0</v>
      </c>
      <c r="DP1014">
        <f t="shared" ref="DP1014:DP1023" si="2076">IF($C1014&lt;&gt;"",IF(BA1014&gt;0,1,0),0)</f>
        <v>0</v>
      </c>
      <c r="DQ1014">
        <f t="shared" ref="DQ1014:DQ1023" si="2077">IF($C1014&lt;&gt;"",IF(BB1014&gt;0,1,0),0)</f>
        <v>0</v>
      </c>
      <c r="DR1014">
        <f t="shared" ref="DR1014:DR1023" si="2078">IF($C1014&lt;&gt;"",IF(BC1014&gt;0,1,0),0)</f>
        <v>0</v>
      </c>
      <c r="DS1014">
        <f t="shared" ref="DS1014:DS1023" si="2079">IF($C1014&lt;&gt;"",IF(BD1014&gt;0,1,0),0)</f>
        <v>0</v>
      </c>
      <c r="DT1014">
        <f t="shared" ref="DT1014:DT1023" si="2080">IF($C1014&lt;&gt;"",IF(BE1014&gt;0,1,0),0)</f>
        <v>0</v>
      </c>
      <c r="DU1014">
        <f t="shared" ref="DU1014:DU1023" si="2081">IF($C1014&lt;&gt;"",IF(BF1014&gt;0,1,0),0)</f>
        <v>0</v>
      </c>
      <c r="DV1014">
        <f t="shared" ref="DV1014:DV1023" si="2082">IF($C1014&lt;&gt;"",IF(BG1014&gt;0,1,0),0)</f>
        <v>0</v>
      </c>
      <c r="DW1014">
        <f t="shared" ref="DW1014:DW1023" si="2083">IF($C1014&lt;&gt;"",IF(BH1014&gt;0,1,0),0)</f>
        <v>0</v>
      </c>
      <c r="DX1014">
        <f t="shared" ref="DX1014:DX1023" si="2084">IF($C1014&lt;&gt;"",IF(BI1014&gt;0,1,0),0)</f>
        <v>0</v>
      </c>
      <c r="DY1014">
        <f t="shared" ref="DY1014:DY1023" si="2085">IF($C1014&lt;&gt;"",IF(BJ1014&gt;0,1,0),0)</f>
        <v>0</v>
      </c>
      <c r="DZ1014">
        <f t="shared" ref="DZ1014:DZ1023" si="2086">IF($C1014&lt;&gt;"",IF(BK1014&gt;0,1,0),0)</f>
        <v>0</v>
      </c>
      <c r="EA1014">
        <f t="shared" ref="EA1014:EF1018" si="2087">IF($C1014&lt;&gt;"",IF(BL1013&gt;0,1,0),0)</f>
        <v>0</v>
      </c>
      <c r="EB1014">
        <f t="shared" si="2087"/>
        <v>0</v>
      </c>
      <c r="EC1014">
        <f t="shared" si="2087"/>
        <v>0</v>
      </c>
      <c r="ED1014">
        <f t="shared" si="2087"/>
        <v>0</v>
      </c>
      <c r="EE1014">
        <f t="shared" si="2087"/>
        <v>0</v>
      </c>
      <c r="EF1014">
        <f t="shared" si="2087"/>
        <v>0</v>
      </c>
    </row>
    <row r="1015" spans="1:136" ht="15.5">
      <c r="A1015" s="90"/>
      <c r="B1015" s="57" t="s">
        <v>184</v>
      </c>
      <c r="C1015" s="94"/>
      <c r="D1015" s="34"/>
      <c r="E1015" s="34"/>
      <c r="F1015" s="34"/>
      <c r="G1015" s="34"/>
      <c r="H1015" s="34"/>
      <c r="I1015" s="34"/>
      <c r="J1015" s="34"/>
      <c r="K1015" s="34"/>
      <c r="L1015" s="34"/>
      <c r="M1015" s="34"/>
      <c r="N1015" s="34"/>
      <c r="O1015" s="34"/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>
        <v>395</v>
      </c>
      <c r="AK1015" s="34">
        <v>530</v>
      </c>
      <c r="AL1015" s="34">
        <v>942</v>
      </c>
      <c r="AM1015" s="34">
        <v>1405</v>
      </c>
      <c r="AN1015" s="34">
        <v>1143</v>
      </c>
      <c r="AO1015" s="34">
        <v>1298</v>
      </c>
      <c r="AP1015" s="34">
        <v>1428</v>
      </c>
      <c r="AQ1015" s="34">
        <v>1590</v>
      </c>
      <c r="AR1015" s="34">
        <v>1707</v>
      </c>
      <c r="AS1015" s="34">
        <v>1745</v>
      </c>
      <c r="AT1015" s="34">
        <v>0</v>
      </c>
      <c r="AU1015" s="34">
        <v>0</v>
      </c>
      <c r="AV1015" s="34">
        <v>0</v>
      </c>
      <c r="AW1015" s="34">
        <v>0</v>
      </c>
      <c r="AX1015" s="34">
        <v>19</v>
      </c>
      <c r="AY1015" s="34">
        <v>0</v>
      </c>
      <c r="AZ1015" s="34">
        <v>0</v>
      </c>
      <c r="BA1015" s="34">
        <v>0</v>
      </c>
      <c r="BB1015" s="34">
        <v>0</v>
      </c>
      <c r="BC1015" s="34">
        <v>0</v>
      </c>
      <c r="BD1015" s="34">
        <v>0</v>
      </c>
      <c r="BE1015" s="42">
        <v>0</v>
      </c>
      <c r="BF1015" s="34">
        <v>0</v>
      </c>
      <c r="BG1015" s="34">
        <v>0</v>
      </c>
      <c r="BH1015" s="34">
        <v>0</v>
      </c>
      <c r="BI1015" s="34">
        <v>0</v>
      </c>
      <c r="BJ1015" s="113">
        <v>0</v>
      </c>
      <c r="BK1015" s="113">
        <v>0</v>
      </c>
      <c r="BL1015" s="113">
        <v>0</v>
      </c>
      <c r="BM1015" s="113">
        <v>0</v>
      </c>
      <c r="BN1015" s="113">
        <v>0</v>
      </c>
      <c r="BO1015" s="113">
        <v>0</v>
      </c>
      <c r="BP1015" s="113">
        <v>0</v>
      </c>
      <c r="BQ1015" s="113">
        <v>0</v>
      </c>
      <c r="BR1015" s="101"/>
      <c r="BS1015">
        <f t="shared" si="2027"/>
        <v>0</v>
      </c>
      <c r="BT1015">
        <f t="shared" si="2028"/>
        <v>0</v>
      </c>
      <c r="BU1015">
        <f t="shared" si="2029"/>
        <v>0</v>
      </c>
      <c r="BV1015">
        <f t="shared" si="2030"/>
        <v>0</v>
      </c>
      <c r="BW1015">
        <f t="shared" si="2031"/>
        <v>0</v>
      </c>
      <c r="BX1015">
        <f t="shared" si="2032"/>
        <v>0</v>
      </c>
      <c r="BY1015">
        <f t="shared" si="2033"/>
        <v>0</v>
      </c>
      <c r="BZ1015">
        <f t="shared" si="2034"/>
        <v>0</v>
      </c>
      <c r="CA1015">
        <f t="shared" si="2035"/>
        <v>0</v>
      </c>
      <c r="CB1015">
        <f t="shared" si="2036"/>
        <v>0</v>
      </c>
      <c r="CC1015">
        <f t="shared" si="2037"/>
        <v>0</v>
      </c>
      <c r="CD1015">
        <f t="shared" si="2038"/>
        <v>0</v>
      </c>
      <c r="CE1015">
        <f t="shared" si="2039"/>
        <v>0</v>
      </c>
      <c r="CF1015">
        <f t="shared" si="2040"/>
        <v>0</v>
      </c>
      <c r="CG1015">
        <f t="shared" si="2041"/>
        <v>0</v>
      </c>
      <c r="CH1015">
        <f t="shared" si="2042"/>
        <v>0</v>
      </c>
      <c r="CI1015">
        <f t="shared" si="2043"/>
        <v>0</v>
      </c>
      <c r="CJ1015">
        <f t="shared" si="2044"/>
        <v>0</v>
      </c>
      <c r="CK1015">
        <f t="shared" si="2045"/>
        <v>0</v>
      </c>
      <c r="CL1015">
        <f t="shared" si="2046"/>
        <v>0</v>
      </c>
      <c r="CM1015">
        <f t="shared" si="2047"/>
        <v>0</v>
      </c>
      <c r="CN1015">
        <f t="shared" si="2048"/>
        <v>0</v>
      </c>
      <c r="CO1015">
        <f t="shared" si="2049"/>
        <v>0</v>
      </c>
      <c r="CP1015">
        <f t="shared" si="2050"/>
        <v>0</v>
      </c>
      <c r="CQ1015">
        <f t="shared" si="2051"/>
        <v>0</v>
      </c>
      <c r="CR1015">
        <f t="shared" si="2052"/>
        <v>0</v>
      </c>
      <c r="CS1015">
        <f t="shared" si="2053"/>
        <v>0</v>
      </c>
      <c r="CT1015">
        <f t="shared" si="2054"/>
        <v>0</v>
      </c>
      <c r="CU1015">
        <f t="shared" si="2055"/>
        <v>0</v>
      </c>
      <c r="CV1015">
        <f t="shared" si="2056"/>
        <v>0</v>
      </c>
      <c r="CW1015">
        <f t="shared" si="2057"/>
        <v>0</v>
      </c>
      <c r="CX1015">
        <f t="shared" si="2058"/>
        <v>0</v>
      </c>
      <c r="CY1015">
        <f t="shared" si="2059"/>
        <v>0</v>
      </c>
      <c r="CZ1015">
        <f t="shared" si="2060"/>
        <v>0</v>
      </c>
      <c r="DA1015">
        <f t="shared" si="2061"/>
        <v>0</v>
      </c>
      <c r="DB1015">
        <f t="shared" si="2062"/>
        <v>0</v>
      </c>
      <c r="DC1015">
        <f t="shared" si="2063"/>
        <v>0</v>
      </c>
      <c r="DD1015">
        <f t="shared" si="2064"/>
        <v>0</v>
      </c>
      <c r="DE1015">
        <f t="shared" si="2065"/>
        <v>0</v>
      </c>
      <c r="DF1015">
        <f t="shared" si="2066"/>
        <v>0</v>
      </c>
      <c r="DG1015">
        <f t="shared" si="2067"/>
        <v>0</v>
      </c>
      <c r="DH1015">
        <f t="shared" si="2068"/>
        <v>0</v>
      </c>
      <c r="DI1015">
        <f t="shared" si="2069"/>
        <v>0</v>
      </c>
      <c r="DJ1015">
        <f t="shared" si="2070"/>
        <v>0</v>
      </c>
      <c r="DK1015">
        <f t="shared" si="2071"/>
        <v>0</v>
      </c>
      <c r="DL1015">
        <f t="shared" si="2072"/>
        <v>0</v>
      </c>
      <c r="DM1015">
        <f t="shared" si="2025"/>
        <v>0</v>
      </c>
      <c r="DN1015">
        <f t="shared" si="2074"/>
        <v>0</v>
      </c>
      <c r="DO1015">
        <f t="shared" si="2075"/>
        <v>0</v>
      </c>
      <c r="DP1015">
        <f t="shared" si="2076"/>
        <v>0</v>
      </c>
      <c r="DQ1015">
        <f t="shared" si="2077"/>
        <v>0</v>
      </c>
      <c r="DR1015">
        <f t="shared" si="2078"/>
        <v>0</v>
      </c>
      <c r="DS1015">
        <f t="shared" si="2079"/>
        <v>0</v>
      </c>
      <c r="DT1015">
        <f t="shared" si="2080"/>
        <v>0</v>
      </c>
      <c r="DU1015">
        <f t="shared" si="2081"/>
        <v>0</v>
      </c>
      <c r="DV1015">
        <f t="shared" si="2082"/>
        <v>0</v>
      </c>
      <c r="DW1015">
        <f t="shared" si="2083"/>
        <v>0</v>
      </c>
      <c r="DX1015">
        <f t="shared" si="2084"/>
        <v>0</v>
      </c>
      <c r="DY1015">
        <f t="shared" si="2085"/>
        <v>0</v>
      </c>
      <c r="DZ1015">
        <f t="shared" si="2086"/>
        <v>0</v>
      </c>
      <c r="EA1015">
        <f t="shared" si="2087"/>
        <v>0</v>
      </c>
      <c r="EB1015">
        <f t="shared" si="2087"/>
        <v>0</v>
      </c>
      <c r="EC1015">
        <f t="shared" si="2087"/>
        <v>0</v>
      </c>
      <c r="ED1015">
        <f t="shared" si="2087"/>
        <v>0</v>
      </c>
      <c r="EE1015">
        <f t="shared" si="2087"/>
        <v>0</v>
      </c>
      <c r="EF1015">
        <f t="shared" si="2087"/>
        <v>0</v>
      </c>
    </row>
    <row r="1016" spans="1:136" ht="15.5">
      <c r="A1016" s="90"/>
      <c r="B1016" s="19" t="s">
        <v>2</v>
      </c>
      <c r="C1016" s="94"/>
      <c r="D1016" s="34"/>
      <c r="E1016" s="34"/>
      <c r="F1016" s="34"/>
      <c r="G1016" s="34"/>
      <c r="H1016" s="34"/>
      <c r="I1016" s="34"/>
      <c r="J1016" s="34"/>
      <c r="K1016" s="34"/>
      <c r="L1016" s="34"/>
      <c r="M1016" s="34"/>
      <c r="N1016" s="34"/>
      <c r="O1016" s="34"/>
      <c r="P1016" s="34"/>
      <c r="Q1016" s="34"/>
      <c r="R1016" s="34"/>
      <c r="S1016" s="34"/>
      <c r="T1016" s="34"/>
      <c r="U1016" s="34"/>
      <c r="V1016" s="34"/>
      <c r="W1016" s="34"/>
      <c r="X1016" s="34"/>
      <c r="Y1016" s="34"/>
      <c r="Z1016" s="34"/>
      <c r="AA1016" s="34"/>
      <c r="AB1016" s="34"/>
      <c r="AC1016" s="34"/>
      <c r="AD1016" s="34"/>
      <c r="AE1016" s="34"/>
      <c r="AF1016" s="34"/>
      <c r="AG1016" s="34"/>
      <c r="AH1016" s="34"/>
      <c r="AI1016" s="34"/>
      <c r="AJ1016" s="34"/>
      <c r="AK1016" s="34"/>
      <c r="AL1016" s="34"/>
      <c r="AM1016" s="34"/>
      <c r="AN1016" s="34"/>
      <c r="AO1016" s="34"/>
      <c r="AP1016" s="34"/>
      <c r="AQ1016" s="34"/>
      <c r="AR1016" s="40" t="s">
        <v>16</v>
      </c>
      <c r="AS1016" s="34">
        <v>4324</v>
      </c>
      <c r="AT1016" s="40" t="s">
        <v>16</v>
      </c>
      <c r="AU1016" s="34"/>
      <c r="AV1016" s="34"/>
      <c r="AW1016" s="34"/>
      <c r="AX1016" s="34"/>
      <c r="AY1016" s="34"/>
      <c r="AZ1016" s="34"/>
      <c r="BA1016" s="34">
        <v>0</v>
      </c>
      <c r="BB1016" s="34">
        <v>0</v>
      </c>
      <c r="BC1016" s="34">
        <v>0</v>
      </c>
      <c r="BD1016" s="34">
        <v>0</v>
      </c>
      <c r="BE1016" s="34">
        <v>0</v>
      </c>
      <c r="BF1016" s="34">
        <v>0</v>
      </c>
      <c r="BG1016" s="34">
        <v>0</v>
      </c>
      <c r="BH1016" s="34">
        <v>0</v>
      </c>
      <c r="BI1016" s="34">
        <v>0</v>
      </c>
      <c r="BJ1016" s="113">
        <v>0</v>
      </c>
      <c r="BK1016" s="113">
        <v>0</v>
      </c>
      <c r="BL1016" s="113">
        <v>0</v>
      </c>
      <c r="BM1016" s="113">
        <v>0</v>
      </c>
      <c r="BN1016" s="113">
        <v>0</v>
      </c>
      <c r="BO1016" s="113">
        <v>0</v>
      </c>
      <c r="BP1016" s="113">
        <v>0</v>
      </c>
      <c r="BQ1016" s="113">
        <v>0</v>
      </c>
      <c r="BR1016" s="101"/>
      <c r="BS1016">
        <f t="shared" si="2027"/>
        <v>0</v>
      </c>
      <c r="BT1016">
        <f t="shared" si="2028"/>
        <v>0</v>
      </c>
      <c r="BU1016">
        <f t="shared" si="2029"/>
        <v>0</v>
      </c>
      <c r="BV1016">
        <f t="shared" si="2030"/>
        <v>0</v>
      </c>
      <c r="BW1016">
        <f t="shared" si="2031"/>
        <v>0</v>
      </c>
      <c r="BX1016">
        <f t="shared" si="2032"/>
        <v>0</v>
      </c>
      <c r="BY1016">
        <f t="shared" si="2033"/>
        <v>0</v>
      </c>
      <c r="BZ1016">
        <f t="shared" si="2034"/>
        <v>0</v>
      </c>
      <c r="CA1016">
        <f t="shared" si="2035"/>
        <v>0</v>
      </c>
      <c r="CB1016">
        <f t="shared" si="2036"/>
        <v>0</v>
      </c>
      <c r="CC1016">
        <f t="shared" si="2037"/>
        <v>0</v>
      </c>
      <c r="CD1016">
        <f t="shared" si="2038"/>
        <v>0</v>
      </c>
      <c r="CE1016">
        <f t="shared" si="2039"/>
        <v>0</v>
      </c>
      <c r="CF1016">
        <f t="shared" si="2040"/>
        <v>0</v>
      </c>
      <c r="CG1016">
        <f t="shared" si="2041"/>
        <v>0</v>
      </c>
      <c r="CH1016">
        <f t="shared" si="2042"/>
        <v>0</v>
      </c>
      <c r="CI1016">
        <f t="shared" si="2043"/>
        <v>0</v>
      </c>
      <c r="CJ1016">
        <f t="shared" si="2044"/>
        <v>0</v>
      </c>
      <c r="CK1016">
        <f t="shared" si="2045"/>
        <v>0</v>
      </c>
      <c r="CL1016">
        <f t="shared" si="2046"/>
        <v>0</v>
      </c>
      <c r="CM1016">
        <f t="shared" si="2047"/>
        <v>0</v>
      </c>
      <c r="CN1016">
        <f t="shared" si="2048"/>
        <v>0</v>
      </c>
      <c r="CO1016">
        <f t="shared" si="2049"/>
        <v>0</v>
      </c>
      <c r="CP1016">
        <f t="shared" si="2050"/>
        <v>0</v>
      </c>
      <c r="CQ1016">
        <f t="shared" si="2051"/>
        <v>0</v>
      </c>
      <c r="CR1016">
        <f t="shared" si="2052"/>
        <v>0</v>
      </c>
      <c r="CS1016">
        <f t="shared" si="2053"/>
        <v>0</v>
      </c>
      <c r="CT1016">
        <f t="shared" si="2054"/>
        <v>0</v>
      </c>
      <c r="CU1016">
        <f t="shared" si="2055"/>
        <v>0</v>
      </c>
      <c r="CV1016">
        <f t="shared" si="2056"/>
        <v>0</v>
      </c>
      <c r="CW1016">
        <f t="shared" si="2057"/>
        <v>0</v>
      </c>
      <c r="CX1016">
        <f t="shared" si="2058"/>
        <v>0</v>
      </c>
      <c r="CY1016">
        <f t="shared" si="2059"/>
        <v>0</v>
      </c>
      <c r="CZ1016">
        <f t="shared" si="2060"/>
        <v>0</v>
      </c>
      <c r="DA1016">
        <f t="shared" si="2061"/>
        <v>0</v>
      </c>
      <c r="DB1016">
        <f t="shared" si="2062"/>
        <v>0</v>
      </c>
      <c r="DC1016">
        <f t="shared" si="2063"/>
        <v>0</v>
      </c>
      <c r="DD1016">
        <f t="shared" si="2064"/>
        <v>0</v>
      </c>
      <c r="DE1016">
        <f t="shared" si="2065"/>
        <v>0</v>
      </c>
      <c r="DF1016">
        <f t="shared" si="2066"/>
        <v>0</v>
      </c>
      <c r="DG1016">
        <f t="shared" si="2067"/>
        <v>0</v>
      </c>
      <c r="DH1016">
        <f t="shared" si="2068"/>
        <v>0</v>
      </c>
      <c r="DI1016">
        <f t="shared" si="2069"/>
        <v>0</v>
      </c>
      <c r="DJ1016">
        <f t="shared" si="2070"/>
        <v>0</v>
      </c>
      <c r="DK1016">
        <f t="shared" si="2071"/>
        <v>0</v>
      </c>
      <c r="DL1016">
        <f t="shared" si="2072"/>
        <v>0</v>
      </c>
      <c r="DM1016">
        <f t="shared" si="2025"/>
        <v>0</v>
      </c>
      <c r="DN1016">
        <f t="shared" si="2074"/>
        <v>0</v>
      </c>
      <c r="DO1016">
        <f t="shared" si="2075"/>
        <v>0</v>
      </c>
      <c r="DP1016">
        <f t="shared" si="2076"/>
        <v>0</v>
      </c>
      <c r="DQ1016">
        <f t="shared" si="2077"/>
        <v>0</v>
      </c>
      <c r="DR1016">
        <f t="shared" si="2078"/>
        <v>0</v>
      </c>
      <c r="DS1016">
        <f t="shared" si="2079"/>
        <v>0</v>
      </c>
      <c r="DT1016">
        <f t="shared" si="2080"/>
        <v>0</v>
      </c>
      <c r="DU1016">
        <f t="shared" si="2081"/>
        <v>0</v>
      </c>
      <c r="DV1016">
        <f t="shared" si="2082"/>
        <v>0</v>
      </c>
      <c r="DW1016">
        <f t="shared" si="2083"/>
        <v>0</v>
      </c>
      <c r="DX1016">
        <f t="shared" si="2084"/>
        <v>0</v>
      </c>
      <c r="DY1016">
        <f t="shared" si="2085"/>
        <v>0</v>
      </c>
      <c r="DZ1016">
        <f t="shared" si="2086"/>
        <v>0</v>
      </c>
      <c r="EA1016">
        <f t="shared" si="2087"/>
        <v>0</v>
      </c>
      <c r="EB1016">
        <f t="shared" si="2087"/>
        <v>0</v>
      </c>
      <c r="EC1016">
        <f t="shared" si="2087"/>
        <v>0</v>
      </c>
      <c r="ED1016">
        <f t="shared" si="2087"/>
        <v>0</v>
      </c>
      <c r="EE1016">
        <f t="shared" si="2087"/>
        <v>0</v>
      </c>
      <c r="EF1016">
        <f t="shared" si="2087"/>
        <v>0</v>
      </c>
    </row>
    <row r="1017" spans="1:136" ht="15.5">
      <c r="A1017" s="90"/>
      <c r="B1017" s="19" t="s">
        <v>205</v>
      </c>
      <c r="C1017" s="94"/>
      <c r="D1017" s="34"/>
      <c r="E1017" s="34"/>
      <c r="F1017" s="34"/>
      <c r="G1017" s="34"/>
      <c r="H1017" s="34"/>
      <c r="I1017" s="34"/>
      <c r="J1017" s="34"/>
      <c r="K1017" s="34"/>
      <c r="L1017" s="34"/>
      <c r="M1017" s="34"/>
      <c r="N1017" s="34"/>
      <c r="O1017" s="34"/>
      <c r="P1017" s="34"/>
      <c r="Q1017" s="34"/>
      <c r="R1017" s="34"/>
      <c r="S1017" s="34"/>
      <c r="T1017" s="34"/>
      <c r="U1017" s="34"/>
      <c r="V1017" s="34"/>
      <c r="W1017" s="34"/>
      <c r="X1017" s="34"/>
      <c r="Y1017" s="34"/>
      <c r="Z1017" s="34"/>
      <c r="AA1017" s="34"/>
      <c r="AB1017" s="34"/>
      <c r="AC1017" s="34"/>
      <c r="AD1017" s="34"/>
      <c r="AE1017" s="34"/>
      <c r="AF1017" s="34"/>
      <c r="AG1017" s="34"/>
      <c r="AH1017" s="34"/>
      <c r="AI1017" s="34"/>
      <c r="AJ1017" s="18">
        <v>0</v>
      </c>
      <c r="AK1017" s="18">
        <v>0</v>
      </c>
      <c r="AL1017" s="18">
        <v>0</v>
      </c>
      <c r="AM1017" s="18">
        <v>0</v>
      </c>
      <c r="AN1017" s="18">
        <v>0</v>
      </c>
      <c r="AO1017" s="18">
        <v>0</v>
      </c>
      <c r="AP1017" s="18">
        <v>0</v>
      </c>
      <c r="AQ1017" s="34">
        <v>0</v>
      </c>
      <c r="AR1017" s="40">
        <v>0</v>
      </c>
      <c r="AS1017" s="34">
        <v>0</v>
      </c>
      <c r="AT1017" s="18">
        <v>36.162999999999997</v>
      </c>
      <c r="AU1017" s="34">
        <v>81.539000000000001</v>
      </c>
      <c r="AV1017" s="34">
        <v>130.33000000000001</v>
      </c>
      <c r="AW1017" s="34">
        <v>169.09</v>
      </c>
      <c r="AX1017" s="34">
        <v>184.62799999999999</v>
      </c>
      <c r="AY1017" s="34">
        <v>191.67400000000001</v>
      </c>
      <c r="AZ1017" s="34">
        <v>198.72</v>
      </c>
      <c r="BA1017" s="34">
        <v>205.76499999999999</v>
      </c>
      <c r="BB1017" s="34">
        <v>0</v>
      </c>
      <c r="BC1017" s="34">
        <v>0</v>
      </c>
      <c r="BD1017" s="34">
        <v>0</v>
      </c>
      <c r="BE1017" s="34">
        <v>0</v>
      </c>
      <c r="BF1017" s="34">
        <v>0</v>
      </c>
      <c r="BG1017" s="34">
        <v>0</v>
      </c>
      <c r="BH1017" s="34">
        <v>0</v>
      </c>
      <c r="BI1017" s="34">
        <v>0</v>
      </c>
      <c r="BJ1017" s="113">
        <v>0</v>
      </c>
      <c r="BK1017" s="113">
        <v>0</v>
      </c>
      <c r="BL1017" s="113">
        <v>0</v>
      </c>
      <c r="BM1017" s="113">
        <v>0</v>
      </c>
      <c r="BN1017" s="113">
        <v>0</v>
      </c>
      <c r="BO1017" s="113">
        <v>0</v>
      </c>
      <c r="BP1017" s="113">
        <v>0</v>
      </c>
      <c r="BQ1017" s="113">
        <v>0</v>
      </c>
      <c r="BR1017" s="101"/>
      <c r="BS1017">
        <f t="shared" si="2027"/>
        <v>0</v>
      </c>
      <c r="BT1017">
        <f t="shared" si="2028"/>
        <v>0</v>
      </c>
      <c r="BU1017">
        <f t="shared" si="2029"/>
        <v>0</v>
      </c>
      <c r="BV1017">
        <f t="shared" si="2030"/>
        <v>0</v>
      </c>
      <c r="BW1017">
        <f t="shared" si="2031"/>
        <v>0</v>
      </c>
      <c r="BX1017">
        <f t="shared" si="2032"/>
        <v>0</v>
      </c>
      <c r="BY1017">
        <f t="shared" si="2033"/>
        <v>0</v>
      </c>
      <c r="BZ1017">
        <f t="shared" si="2034"/>
        <v>0</v>
      </c>
      <c r="CA1017">
        <f t="shared" si="2035"/>
        <v>0</v>
      </c>
      <c r="CB1017">
        <f t="shared" si="2036"/>
        <v>0</v>
      </c>
      <c r="CC1017">
        <f t="shared" si="2037"/>
        <v>0</v>
      </c>
      <c r="CD1017">
        <f t="shared" si="2038"/>
        <v>0</v>
      </c>
      <c r="CE1017">
        <f t="shared" si="2039"/>
        <v>0</v>
      </c>
      <c r="CF1017">
        <f t="shared" si="2040"/>
        <v>0</v>
      </c>
      <c r="CG1017">
        <f t="shared" si="2041"/>
        <v>0</v>
      </c>
      <c r="CH1017">
        <f t="shared" si="2042"/>
        <v>0</v>
      </c>
      <c r="CI1017">
        <f t="shared" si="2043"/>
        <v>0</v>
      </c>
      <c r="CJ1017">
        <f t="shared" si="2044"/>
        <v>0</v>
      </c>
      <c r="CK1017">
        <f t="shared" si="2045"/>
        <v>0</v>
      </c>
      <c r="CL1017">
        <f t="shared" si="2046"/>
        <v>0</v>
      </c>
      <c r="CM1017">
        <f t="shared" si="2047"/>
        <v>0</v>
      </c>
      <c r="CN1017">
        <f t="shared" si="2048"/>
        <v>0</v>
      </c>
      <c r="CO1017">
        <f t="shared" si="2049"/>
        <v>0</v>
      </c>
      <c r="CP1017">
        <f t="shared" si="2050"/>
        <v>0</v>
      </c>
      <c r="CQ1017">
        <f t="shared" si="2051"/>
        <v>0</v>
      </c>
      <c r="CR1017">
        <f t="shared" si="2052"/>
        <v>0</v>
      </c>
      <c r="CS1017">
        <f t="shared" si="2053"/>
        <v>0</v>
      </c>
      <c r="CT1017">
        <f t="shared" si="2054"/>
        <v>0</v>
      </c>
      <c r="CU1017">
        <f t="shared" si="2055"/>
        <v>0</v>
      </c>
      <c r="CV1017">
        <f t="shared" si="2056"/>
        <v>0</v>
      </c>
      <c r="CW1017">
        <f t="shared" si="2057"/>
        <v>0</v>
      </c>
      <c r="CX1017">
        <f t="shared" si="2058"/>
        <v>0</v>
      </c>
      <c r="CY1017">
        <f t="shared" si="2059"/>
        <v>0</v>
      </c>
      <c r="CZ1017">
        <f t="shared" si="2060"/>
        <v>0</v>
      </c>
      <c r="DA1017">
        <f t="shared" si="2061"/>
        <v>0</v>
      </c>
      <c r="DB1017">
        <f t="shared" si="2062"/>
        <v>0</v>
      </c>
      <c r="DC1017">
        <f t="shared" si="2063"/>
        <v>0</v>
      </c>
      <c r="DD1017">
        <f t="shared" si="2064"/>
        <v>0</v>
      </c>
      <c r="DE1017">
        <f t="shared" si="2065"/>
        <v>0</v>
      </c>
      <c r="DF1017">
        <f t="shared" si="2066"/>
        <v>0</v>
      </c>
      <c r="DG1017">
        <f t="shared" si="2067"/>
        <v>0</v>
      </c>
      <c r="DH1017">
        <f t="shared" si="2068"/>
        <v>0</v>
      </c>
      <c r="DI1017">
        <f t="shared" si="2069"/>
        <v>0</v>
      </c>
      <c r="DJ1017">
        <f t="shared" si="2070"/>
        <v>0</v>
      </c>
      <c r="DK1017">
        <f t="shared" si="2071"/>
        <v>0</v>
      </c>
      <c r="DL1017">
        <f t="shared" si="2072"/>
        <v>0</v>
      </c>
      <c r="DM1017">
        <f t="shared" si="2025"/>
        <v>0</v>
      </c>
      <c r="DN1017">
        <f t="shared" si="2074"/>
        <v>0</v>
      </c>
      <c r="DO1017">
        <f t="shared" si="2075"/>
        <v>0</v>
      </c>
      <c r="DP1017">
        <f t="shared" si="2076"/>
        <v>0</v>
      </c>
      <c r="DQ1017">
        <f t="shared" si="2077"/>
        <v>0</v>
      </c>
      <c r="DR1017">
        <f t="shared" si="2078"/>
        <v>0</v>
      </c>
      <c r="DS1017">
        <f t="shared" si="2079"/>
        <v>0</v>
      </c>
      <c r="DT1017">
        <f t="shared" si="2080"/>
        <v>0</v>
      </c>
      <c r="DU1017">
        <f t="shared" si="2081"/>
        <v>0</v>
      </c>
      <c r="DV1017">
        <f t="shared" si="2082"/>
        <v>0</v>
      </c>
      <c r="DW1017">
        <f t="shared" si="2083"/>
        <v>0</v>
      </c>
      <c r="DX1017">
        <f t="shared" si="2084"/>
        <v>0</v>
      </c>
      <c r="DY1017">
        <f t="shared" si="2085"/>
        <v>0</v>
      </c>
      <c r="DZ1017">
        <f t="shared" si="2086"/>
        <v>0</v>
      </c>
      <c r="EA1017">
        <f t="shared" si="2087"/>
        <v>0</v>
      </c>
      <c r="EB1017">
        <f t="shared" si="2087"/>
        <v>0</v>
      </c>
      <c r="EC1017">
        <f t="shared" si="2087"/>
        <v>0</v>
      </c>
      <c r="ED1017">
        <f t="shared" si="2087"/>
        <v>0</v>
      </c>
      <c r="EE1017">
        <f t="shared" si="2087"/>
        <v>0</v>
      </c>
      <c r="EF1017">
        <f t="shared" si="2087"/>
        <v>0</v>
      </c>
    </row>
    <row r="1018" spans="1:136" ht="15.5">
      <c r="A1018" s="90"/>
      <c r="B1018" s="57" t="s">
        <v>3</v>
      </c>
      <c r="C1018" s="94"/>
      <c r="D1018" s="34"/>
      <c r="E1018" s="34"/>
      <c r="F1018" s="34"/>
      <c r="G1018" s="34"/>
      <c r="H1018" s="34"/>
      <c r="I1018" s="34"/>
      <c r="J1018" s="34"/>
      <c r="K1018" s="34"/>
      <c r="L1018" s="34"/>
      <c r="M1018" s="34"/>
      <c r="N1018" s="34"/>
      <c r="O1018" s="34"/>
      <c r="P1018" s="34"/>
      <c r="Q1018" s="34"/>
      <c r="R1018" s="34"/>
      <c r="S1018" s="34"/>
      <c r="T1018" s="34"/>
      <c r="U1018" s="34"/>
      <c r="V1018" s="34"/>
      <c r="W1018" s="34"/>
      <c r="X1018" s="34"/>
      <c r="Y1018" s="34"/>
      <c r="Z1018" s="34"/>
      <c r="AA1018" s="34"/>
      <c r="AB1018" s="34"/>
      <c r="AC1018" s="34"/>
      <c r="AD1018" s="34"/>
      <c r="AE1018" s="34"/>
      <c r="AF1018" s="34"/>
      <c r="AG1018" s="34"/>
      <c r="AH1018" s="34"/>
      <c r="AI1018" s="34"/>
      <c r="AJ1018" s="34">
        <f>(1061.9119413)+ 48+70</f>
        <v>1179.9119413000001</v>
      </c>
      <c r="AK1018" s="34">
        <f>1475.7123519+48+70</f>
        <v>1593.7123518999999</v>
      </c>
      <c r="AL1018" s="34">
        <f>2145.8963212+48+70</f>
        <v>2263.8963211999999</v>
      </c>
      <c r="AM1018" s="34">
        <f>3037.1810283+48+70</f>
        <v>3155.1810283</v>
      </c>
      <c r="AN1018" s="34">
        <f>3402.7564519+48+70</f>
        <v>3520.7564518999998</v>
      </c>
      <c r="AO1018" s="34">
        <f>3462.3158941+48+70</f>
        <v>3580.3158941000002</v>
      </c>
      <c r="AP1018" s="34">
        <f>5135.0505767+48+70</f>
        <v>5253.0505767000004</v>
      </c>
      <c r="AQ1018" s="34">
        <f>5451.8099578+48+70</f>
        <v>5569.8099578000001</v>
      </c>
      <c r="AR1018" s="34">
        <f>6159.8278716+70</f>
        <v>6229.8278716000004</v>
      </c>
      <c r="AS1018" s="18">
        <f>7838.9156075+70</f>
        <v>7908.9156075000001</v>
      </c>
      <c r="AT1018" s="34">
        <f>3540.8021+70</f>
        <v>3610.8020999999999</v>
      </c>
      <c r="AU1018" s="34">
        <f>420.9078145+70-AU1017</f>
        <v>409.36881449999998</v>
      </c>
      <c r="AV1018" s="18">
        <f>458.6508001+70-AV1017</f>
        <v>398.32080009999993</v>
      </c>
      <c r="AW1018" s="34">
        <f>521.5752913+70-AW1017</f>
        <v>422.48529129999997</v>
      </c>
      <c r="AX1018" s="34">
        <f>794.1463195-AX1015-AX1017</f>
        <v>590.51831949999996</v>
      </c>
      <c r="AY1018" s="34">
        <f>205.77647-AY1017</f>
        <v>14.102469999999983</v>
      </c>
      <c r="AZ1018" s="34">
        <f>198.72-AZ1017</f>
        <v>0</v>
      </c>
      <c r="BA1018" s="34">
        <f>205.765-BA1017</f>
        <v>0</v>
      </c>
      <c r="BB1018" s="34">
        <v>0</v>
      </c>
      <c r="BC1018" s="34">
        <v>0</v>
      </c>
      <c r="BD1018" s="34">
        <v>0</v>
      </c>
      <c r="BE1018" s="34">
        <v>0</v>
      </c>
      <c r="BF1018" s="34">
        <v>0</v>
      </c>
      <c r="BG1018" s="34">
        <v>0</v>
      </c>
      <c r="BH1018" s="34">
        <v>0</v>
      </c>
      <c r="BI1018" s="34">
        <v>0</v>
      </c>
      <c r="BJ1018" s="113">
        <v>0</v>
      </c>
      <c r="BK1018" s="113">
        <v>0</v>
      </c>
      <c r="BL1018" s="113">
        <v>0</v>
      </c>
      <c r="BM1018" s="113">
        <v>0</v>
      </c>
      <c r="BN1018" s="113">
        <v>0</v>
      </c>
      <c r="BO1018" s="113">
        <v>0</v>
      </c>
      <c r="BP1018" s="113">
        <v>0</v>
      </c>
      <c r="BQ1018" s="113">
        <v>0</v>
      </c>
      <c r="BR1018" s="101"/>
      <c r="BS1018">
        <f t="shared" si="2027"/>
        <v>0</v>
      </c>
      <c r="BT1018">
        <f t="shared" si="2028"/>
        <v>0</v>
      </c>
      <c r="BU1018">
        <f t="shared" si="2029"/>
        <v>0</v>
      </c>
      <c r="BV1018">
        <f t="shared" si="2030"/>
        <v>0</v>
      </c>
      <c r="BW1018">
        <f t="shared" si="2031"/>
        <v>0</v>
      </c>
      <c r="BX1018">
        <f t="shared" si="2032"/>
        <v>0</v>
      </c>
      <c r="BY1018">
        <f t="shared" si="2033"/>
        <v>0</v>
      </c>
      <c r="BZ1018">
        <f t="shared" si="2034"/>
        <v>0</v>
      </c>
      <c r="CA1018">
        <f t="shared" si="2035"/>
        <v>0</v>
      </c>
      <c r="CB1018">
        <f t="shared" si="2036"/>
        <v>0</v>
      </c>
      <c r="CC1018">
        <f t="shared" si="2037"/>
        <v>0</v>
      </c>
      <c r="CD1018">
        <f t="shared" si="2038"/>
        <v>0</v>
      </c>
      <c r="CE1018">
        <f t="shared" si="2039"/>
        <v>0</v>
      </c>
      <c r="CF1018">
        <f t="shared" si="2040"/>
        <v>0</v>
      </c>
      <c r="CG1018">
        <f t="shared" si="2041"/>
        <v>0</v>
      </c>
      <c r="CH1018">
        <f t="shared" si="2042"/>
        <v>0</v>
      </c>
      <c r="CI1018">
        <f t="shared" si="2043"/>
        <v>0</v>
      </c>
      <c r="CJ1018">
        <f t="shared" si="2044"/>
        <v>0</v>
      </c>
      <c r="CK1018">
        <f t="shared" si="2045"/>
        <v>0</v>
      </c>
      <c r="CL1018">
        <f t="shared" si="2046"/>
        <v>0</v>
      </c>
      <c r="CM1018">
        <f t="shared" si="2047"/>
        <v>0</v>
      </c>
      <c r="CN1018">
        <f t="shared" si="2048"/>
        <v>0</v>
      </c>
      <c r="CO1018">
        <f t="shared" si="2049"/>
        <v>0</v>
      </c>
      <c r="CP1018">
        <f t="shared" si="2050"/>
        <v>0</v>
      </c>
      <c r="CQ1018">
        <f t="shared" si="2051"/>
        <v>0</v>
      </c>
      <c r="CR1018">
        <f t="shared" si="2052"/>
        <v>0</v>
      </c>
      <c r="CS1018">
        <f t="shared" si="2053"/>
        <v>0</v>
      </c>
      <c r="CT1018">
        <f t="shared" si="2054"/>
        <v>0</v>
      </c>
      <c r="CU1018">
        <f t="shared" si="2055"/>
        <v>0</v>
      </c>
      <c r="CV1018">
        <f t="shared" si="2056"/>
        <v>0</v>
      </c>
      <c r="CW1018">
        <f t="shared" si="2057"/>
        <v>0</v>
      </c>
      <c r="CX1018">
        <f t="shared" si="2058"/>
        <v>0</v>
      </c>
      <c r="CY1018">
        <f t="shared" si="2059"/>
        <v>0</v>
      </c>
      <c r="CZ1018">
        <f t="shared" si="2060"/>
        <v>0</v>
      </c>
      <c r="DA1018">
        <f t="shared" si="2061"/>
        <v>0</v>
      </c>
      <c r="DB1018">
        <f t="shared" si="2062"/>
        <v>0</v>
      </c>
      <c r="DC1018">
        <f t="shared" si="2063"/>
        <v>0</v>
      </c>
      <c r="DD1018">
        <f t="shared" si="2064"/>
        <v>0</v>
      </c>
      <c r="DE1018">
        <f t="shared" si="2065"/>
        <v>0</v>
      </c>
      <c r="DF1018">
        <f t="shared" si="2066"/>
        <v>0</v>
      </c>
      <c r="DG1018">
        <f t="shared" si="2067"/>
        <v>0</v>
      </c>
      <c r="DH1018">
        <f t="shared" si="2068"/>
        <v>0</v>
      </c>
      <c r="DI1018">
        <f t="shared" si="2069"/>
        <v>0</v>
      </c>
      <c r="DJ1018">
        <f t="shared" si="2070"/>
        <v>0</v>
      </c>
      <c r="DK1018">
        <f t="shared" si="2071"/>
        <v>0</v>
      </c>
      <c r="DL1018">
        <f t="shared" si="2072"/>
        <v>0</v>
      </c>
      <c r="DM1018">
        <f t="shared" si="2025"/>
        <v>0</v>
      </c>
      <c r="DN1018">
        <f t="shared" si="2074"/>
        <v>0</v>
      </c>
      <c r="DO1018">
        <f t="shared" si="2075"/>
        <v>0</v>
      </c>
      <c r="DP1018">
        <f t="shared" si="2076"/>
        <v>0</v>
      </c>
      <c r="DQ1018">
        <f t="shared" si="2077"/>
        <v>0</v>
      </c>
      <c r="DR1018">
        <f t="shared" si="2078"/>
        <v>0</v>
      </c>
      <c r="DS1018">
        <f t="shared" si="2079"/>
        <v>0</v>
      </c>
      <c r="DT1018">
        <f t="shared" si="2080"/>
        <v>0</v>
      </c>
      <c r="DU1018">
        <f t="shared" si="2081"/>
        <v>0</v>
      </c>
      <c r="DV1018">
        <f t="shared" si="2082"/>
        <v>0</v>
      </c>
      <c r="DW1018">
        <f t="shared" si="2083"/>
        <v>0</v>
      </c>
      <c r="DX1018">
        <f t="shared" si="2084"/>
        <v>0</v>
      </c>
      <c r="DY1018">
        <f t="shared" si="2085"/>
        <v>0</v>
      </c>
      <c r="DZ1018">
        <f t="shared" si="2086"/>
        <v>0</v>
      </c>
      <c r="EA1018">
        <f t="shared" si="2087"/>
        <v>0</v>
      </c>
      <c r="EB1018">
        <f t="shared" si="2087"/>
        <v>0</v>
      </c>
      <c r="EC1018">
        <f t="shared" si="2087"/>
        <v>0</v>
      </c>
      <c r="ED1018">
        <f t="shared" si="2087"/>
        <v>0</v>
      </c>
      <c r="EE1018">
        <f t="shared" si="2087"/>
        <v>0</v>
      </c>
      <c r="EF1018">
        <f t="shared" si="2087"/>
        <v>0</v>
      </c>
    </row>
    <row r="1019" spans="1:136" ht="15.5">
      <c r="A1019" s="90"/>
      <c r="B1019" s="57" t="s">
        <v>25</v>
      </c>
      <c r="C1019" s="94"/>
      <c r="D1019" s="34"/>
      <c r="E1019" s="34"/>
      <c r="F1019" s="34"/>
      <c r="G1019" s="34"/>
      <c r="H1019" s="34"/>
      <c r="I1019" s="34"/>
      <c r="J1019" s="34"/>
      <c r="K1019" s="34"/>
      <c r="L1019" s="34"/>
      <c r="M1019" s="34"/>
      <c r="N1019" s="34"/>
      <c r="O1019" s="34"/>
      <c r="P1019" s="34"/>
      <c r="Q1019" s="34"/>
      <c r="R1019" s="34"/>
      <c r="S1019" s="34"/>
      <c r="T1019" s="34"/>
      <c r="U1019" s="34"/>
      <c r="V1019" s="34"/>
      <c r="W1019" s="34"/>
      <c r="X1019" s="34"/>
      <c r="Y1019" s="34"/>
      <c r="Z1019" s="34"/>
      <c r="AA1019" s="34"/>
      <c r="AB1019" s="34"/>
      <c r="AC1019" s="34"/>
      <c r="AD1019" s="34"/>
      <c r="AE1019" s="34"/>
      <c r="AF1019" s="34"/>
      <c r="AG1019" s="34"/>
      <c r="AH1019" s="34"/>
      <c r="AI1019" s="34"/>
      <c r="AJ1019" s="34">
        <f>3736+124</f>
        <v>3860</v>
      </c>
      <c r="AK1019" s="34">
        <v>0</v>
      </c>
      <c r="AL1019" s="34">
        <v>0</v>
      </c>
      <c r="AM1019" s="34">
        <v>0</v>
      </c>
      <c r="AN1019" s="34">
        <v>0</v>
      </c>
      <c r="AO1019" s="34">
        <v>0</v>
      </c>
      <c r="AP1019" s="34">
        <v>0</v>
      </c>
      <c r="AQ1019" s="34">
        <v>0</v>
      </c>
      <c r="AR1019" s="34">
        <v>0</v>
      </c>
      <c r="AS1019" s="18">
        <v>0</v>
      </c>
      <c r="AT1019" s="34">
        <v>0</v>
      </c>
      <c r="AU1019" s="34">
        <v>0</v>
      </c>
      <c r="AV1019" s="18">
        <v>0</v>
      </c>
      <c r="AW1019" s="34">
        <v>0</v>
      </c>
      <c r="AX1019" s="34">
        <v>0</v>
      </c>
      <c r="AY1019" s="34">
        <v>0</v>
      </c>
      <c r="AZ1019" s="34">
        <v>0</v>
      </c>
      <c r="BA1019" s="34">
        <v>0</v>
      </c>
      <c r="BB1019" s="34">
        <v>0</v>
      </c>
      <c r="BC1019" s="34">
        <v>0</v>
      </c>
      <c r="BD1019" s="34">
        <v>0</v>
      </c>
      <c r="BE1019" s="42">
        <v>0</v>
      </c>
      <c r="BF1019" s="34">
        <v>0</v>
      </c>
      <c r="BG1019" s="34">
        <v>0</v>
      </c>
      <c r="BH1019" s="34">
        <v>0</v>
      </c>
      <c r="BI1019" s="34">
        <v>0</v>
      </c>
      <c r="BJ1019" s="113">
        <v>0</v>
      </c>
      <c r="BK1019" s="113">
        <v>0</v>
      </c>
      <c r="BL1019" s="113">
        <v>0</v>
      </c>
      <c r="BM1019" s="113">
        <v>0</v>
      </c>
      <c r="BN1019" s="113">
        <v>0</v>
      </c>
      <c r="BO1019" s="113">
        <v>0</v>
      </c>
      <c r="BP1019" s="113">
        <v>0</v>
      </c>
      <c r="BQ1019" s="113">
        <v>0</v>
      </c>
      <c r="BR1019" s="101"/>
      <c r="BS1019">
        <f t="shared" si="2027"/>
        <v>0</v>
      </c>
      <c r="BT1019">
        <f t="shared" si="2028"/>
        <v>0</v>
      </c>
      <c r="BU1019">
        <f t="shared" si="2029"/>
        <v>0</v>
      </c>
      <c r="BV1019">
        <f t="shared" si="2030"/>
        <v>0</v>
      </c>
      <c r="BW1019">
        <f t="shared" si="2031"/>
        <v>0</v>
      </c>
      <c r="BX1019">
        <f t="shared" si="2032"/>
        <v>0</v>
      </c>
      <c r="BY1019">
        <f t="shared" si="2033"/>
        <v>0</v>
      </c>
      <c r="BZ1019">
        <f t="shared" si="2034"/>
        <v>0</v>
      </c>
      <c r="CA1019">
        <f t="shared" si="2035"/>
        <v>0</v>
      </c>
      <c r="CB1019">
        <f t="shared" si="2036"/>
        <v>0</v>
      </c>
      <c r="CC1019">
        <f t="shared" si="2037"/>
        <v>0</v>
      </c>
      <c r="CD1019">
        <f t="shared" si="2038"/>
        <v>0</v>
      </c>
      <c r="CE1019">
        <f t="shared" si="2039"/>
        <v>0</v>
      </c>
      <c r="CF1019">
        <f t="shared" si="2040"/>
        <v>0</v>
      </c>
      <c r="CG1019">
        <f t="shared" si="2041"/>
        <v>0</v>
      </c>
      <c r="CH1019">
        <f t="shared" si="2042"/>
        <v>0</v>
      </c>
      <c r="CI1019">
        <f t="shared" si="2043"/>
        <v>0</v>
      </c>
      <c r="CJ1019">
        <f t="shared" si="2044"/>
        <v>0</v>
      </c>
      <c r="CK1019">
        <f t="shared" si="2045"/>
        <v>0</v>
      </c>
      <c r="CL1019">
        <f t="shared" si="2046"/>
        <v>0</v>
      </c>
      <c r="CM1019">
        <f t="shared" si="2047"/>
        <v>0</v>
      </c>
      <c r="CN1019">
        <f t="shared" si="2048"/>
        <v>0</v>
      </c>
      <c r="CO1019">
        <f t="shared" si="2049"/>
        <v>0</v>
      </c>
      <c r="CP1019">
        <f t="shared" si="2050"/>
        <v>0</v>
      </c>
      <c r="CQ1019">
        <f t="shared" si="2051"/>
        <v>0</v>
      </c>
      <c r="CR1019">
        <f t="shared" si="2052"/>
        <v>0</v>
      </c>
      <c r="CS1019">
        <f t="shared" si="2053"/>
        <v>0</v>
      </c>
      <c r="CT1019">
        <f t="shared" si="2054"/>
        <v>0</v>
      </c>
      <c r="CU1019">
        <f t="shared" si="2055"/>
        <v>0</v>
      </c>
      <c r="CV1019">
        <f t="shared" si="2056"/>
        <v>0</v>
      </c>
      <c r="CW1019">
        <f t="shared" si="2057"/>
        <v>0</v>
      </c>
      <c r="CX1019">
        <f t="shared" si="2058"/>
        <v>0</v>
      </c>
      <c r="CY1019">
        <f t="shared" si="2059"/>
        <v>0</v>
      </c>
      <c r="CZ1019">
        <f t="shared" si="2060"/>
        <v>0</v>
      </c>
      <c r="DA1019">
        <f t="shared" si="2061"/>
        <v>0</v>
      </c>
      <c r="DB1019">
        <f t="shared" si="2062"/>
        <v>0</v>
      </c>
      <c r="DC1019">
        <f t="shared" si="2063"/>
        <v>0</v>
      </c>
      <c r="DD1019">
        <f t="shared" si="2064"/>
        <v>0</v>
      </c>
      <c r="DE1019">
        <f t="shared" si="2065"/>
        <v>0</v>
      </c>
      <c r="DF1019">
        <f t="shared" si="2066"/>
        <v>0</v>
      </c>
      <c r="DG1019">
        <f t="shared" si="2067"/>
        <v>0</v>
      </c>
      <c r="DH1019">
        <f t="shared" si="2068"/>
        <v>0</v>
      </c>
      <c r="DI1019">
        <f t="shared" si="2069"/>
        <v>0</v>
      </c>
      <c r="DJ1019">
        <f t="shared" si="2070"/>
        <v>0</v>
      </c>
      <c r="DK1019">
        <f t="shared" si="2071"/>
        <v>0</v>
      </c>
      <c r="DL1019">
        <f t="shared" si="2072"/>
        <v>0</v>
      </c>
      <c r="DM1019">
        <f t="shared" si="2025"/>
        <v>0</v>
      </c>
      <c r="DN1019">
        <f t="shared" si="2074"/>
        <v>0</v>
      </c>
      <c r="DO1019">
        <f t="shared" si="2075"/>
        <v>0</v>
      </c>
      <c r="DP1019">
        <f t="shared" si="2076"/>
        <v>0</v>
      </c>
      <c r="DQ1019">
        <f t="shared" si="2077"/>
        <v>0</v>
      </c>
      <c r="DR1019">
        <f t="shared" si="2078"/>
        <v>0</v>
      </c>
      <c r="DS1019">
        <f t="shared" si="2079"/>
        <v>0</v>
      </c>
      <c r="DT1019">
        <f t="shared" si="2080"/>
        <v>0</v>
      </c>
      <c r="DU1019">
        <f t="shared" si="2081"/>
        <v>0</v>
      </c>
      <c r="DV1019">
        <f t="shared" si="2082"/>
        <v>0</v>
      </c>
      <c r="DW1019">
        <f t="shared" si="2083"/>
        <v>0</v>
      </c>
      <c r="DX1019">
        <f t="shared" si="2084"/>
        <v>0</v>
      </c>
      <c r="DY1019">
        <f t="shared" si="2085"/>
        <v>0</v>
      </c>
      <c r="DZ1019">
        <f t="shared" si="2086"/>
        <v>0</v>
      </c>
      <c r="EA1019">
        <f t="shared" ref="EA1019:EF1019" si="2088">IF($C1019&lt;&gt;"",IF(BL1019&gt;0,1,0),0)</f>
        <v>0</v>
      </c>
      <c r="EB1019">
        <f t="shared" si="2088"/>
        <v>0</v>
      </c>
      <c r="EC1019">
        <f t="shared" si="2088"/>
        <v>0</v>
      </c>
      <c r="ED1019">
        <f t="shared" si="2088"/>
        <v>0</v>
      </c>
      <c r="EE1019">
        <f t="shared" si="2088"/>
        <v>0</v>
      </c>
      <c r="EF1019">
        <f t="shared" si="2088"/>
        <v>0</v>
      </c>
    </row>
    <row r="1020" spans="1:136" ht="15.5">
      <c r="A1020" s="90"/>
      <c r="B1020" s="19" t="s">
        <v>18</v>
      </c>
      <c r="C1020" s="94"/>
      <c r="D1020" s="18"/>
      <c r="E1020" s="18"/>
      <c r="F1020" s="18"/>
      <c r="G1020" s="18"/>
      <c r="H1020" s="18"/>
      <c r="I1020" s="18"/>
      <c r="J1020" s="18"/>
      <c r="K1020" s="18"/>
      <c r="L1020" s="18"/>
      <c r="M1020" s="18"/>
      <c r="N1020" s="18"/>
      <c r="O1020" s="18"/>
      <c r="P1020" s="18"/>
      <c r="Q1020" s="18"/>
      <c r="R1020" s="18"/>
      <c r="S1020" s="18"/>
      <c r="T1020" s="18"/>
      <c r="U1020" s="18"/>
      <c r="V1020" s="18"/>
      <c r="W1020" s="18"/>
      <c r="X1020" s="18"/>
      <c r="Y1020" s="18"/>
      <c r="Z1020" s="18"/>
      <c r="AA1020" s="18"/>
      <c r="AB1020" s="18"/>
      <c r="AC1020" s="18"/>
      <c r="AD1020" s="18"/>
      <c r="AE1020" s="18"/>
      <c r="AF1020" s="18"/>
      <c r="AG1020" s="18"/>
      <c r="AH1020" s="18"/>
      <c r="AI1020" s="18"/>
      <c r="AJ1020" s="18">
        <v>1534.4769067960017</v>
      </c>
      <c r="AK1020" s="18">
        <v>1601.332540355859</v>
      </c>
      <c r="AL1020" s="18">
        <v>1695.8777234374998</v>
      </c>
      <c r="AM1020" s="18">
        <v>1821.0767499999999</v>
      </c>
      <c r="AN1020" s="18">
        <v>1943</v>
      </c>
      <c r="AO1020" s="18">
        <v>2048</v>
      </c>
      <c r="AP1020" s="18">
        <v>2165</v>
      </c>
      <c r="AQ1020" s="18">
        <v>2284.0749999999998</v>
      </c>
      <c r="AR1020" s="18">
        <v>2432.5398749999995</v>
      </c>
      <c r="AS1020" s="18">
        <v>2522.5438503749992</v>
      </c>
      <c r="AT1020" s="18">
        <v>2572.9947273824991</v>
      </c>
      <c r="AU1020" s="18">
        <v>2605.1571614747804</v>
      </c>
      <c r="AV1020" s="18">
        <v>2700</v>
      </c>
      <c r="AW1020" s="18">
        <v>0</v>
      </c>
      <c r="AX1020" s="18">
        <v>0</v>
      </c>
      <c r="AY1020" s="18">
        <v>1151</v>
      </c>
      <c r="AZ1020" s="18">
        <v>0</v>
      </c>
      <c r="BA1020" s="18">
        <v>808</v>
      </c>
      <c r="BB1020" s="18">
        <v>0</v>
      </c>
      <c r="BC1020" s="18">
        <v>0</v>
      </c>
      <c r="BD1020" s="18">
        <v>0</v>
      </c>
      <c r="BE1020" s="25">
        <v>0</v>
      </c>
      <c r="BF1020" s="34">
        <v>0</v>
      </c>
      <c r="BG1020" s="34">
        <v>0</v>
      </c>
      <c r="BH1020" s="34">
        <v>0</v>
      </c>
      <c r="BI1020" s="34">
        <v>0</v>
      </c>
      <c r="BJ1020" s="113">
        <v>0</v>
      </c>
      <c r="BK1020" s="113">
        <v>0</v>
      </c>
      <c r="BL1020" s="113">
        <v>0</v>
      </c>
      <c r="BM1020" s="113">
        <v>0</v>
      </c>
      <c r="BN1020" s="113">
        <v>0</v>
      </c>
      <c r="BO1020" s="113">
        <v>0</v>
      </c>
      <c r="BP1020" s="113">
        <v>0</v>
      </c>
      <c r="BQ1020" s="113">
        <v>0</v>
      </c>
      <c r="BR1020" s="101"/>
      <c r="BS1020">
        <f t="shared" si="2027"/>
        <v>0</v>
      </c>
      <c r="BT1020">
        <f t="shared" si="2028"/>
        <v>0</v>
      </c>
      <c r="BU1020">
        <f t="shared" si="2029"/>
        <v>0</v>
      </c>
      <c r="BV1020">
        <f t="shared" si="2030"/>
        <v>0</v>
      </c>
      <c r="BW1020">
        <f t="shared" si="2031"/>
        <v>0</v>
      </c>
      <c r="BX1020">
        <f t="shared" si="2032"/>
        <v>0</v>
      </c>
      <c r="BY1020">
        <f t="shared" si="2033"/>
        <v>0</v>
      </c>
      <c r="BZ1020">
        <f t="shared" si="2034"/>
        <v>0</v>
      </c>
      <c r="CA1020">
        <f t="shared" si="2035"/>
        <v>0</v>
      </c>
      <c r="CB1020">
        <f t="shared" si="2036"/>
        <v>0</v>
      </c>
      <c r="CC1020">
        <f t="shared" si="2037"/>
        <v>0</v>
      </c>
      <c r="CD1020">
        <f t="shared" si="2038"/>
        <v>0</v>
      </c>
      <c r="CE1020">
        <f t="shared" si="2039"/>
        <v>0</v>
      </c>
      <c r="CF1020">
        <f t="shared" si="2040"/>
        <v>0</v>
      </c>
      <c r="CG1020">
        <f t="shared" si="2041"/>
        <v>0</v>
      </c>
      <c r="CH1020">
        <f t="shared" si="2042"/>
        <v>0</v>
      </c>
      <c r="CI1020">
        <f t="shared" si="2043"/>
        <v>0</v>
      </c>
      <c r="CJ1020">
        <f t="shared" si="2044"/>
        <v>0</v>
      </c>
      <c r="CK1020">
        <f t="shared" si="2045"/>
        <v>0</v>
      </c>
      <c r="CL1020">
        <f t="shared" si="2046"/>
        <v>0</v>
      </c>
      <c r="CM1020">
        <f t="shared" si="2047"/>
        <v>0</v>
      </c>
      <c r="CN1020">
        <f t="shared" si="2048"/>
        <v>0</v>
      </c>
      <c r="CO1020">
        <f t="shared" si="2049"/>
        <v>0</v>
      </c>
      <c r="CP1020">
        <f t="shared" si="2050"/>
        <v>0</v>
      </c>
      <c r="CQ1020">
        <f t="shared" si="2051"/>
        <v>0</v>
      </c>
      <c r="CR1020">
        <f t="shared" si="2052"/>
        <v>0</v>
      </c>
      <c r="CS1020">
        <f t="shared" si="2053"/>
        <v>0</v>
      </c>
      <c r="CT1020">
        <f t="shared" si="2054"/>
        <v>0</v>
      </c>
      <c r="CU1020">
        <f t="shared" si="2055"/>
        <v>0</v>
      </c>
      <c r="CV1020">
        <f t="shared" si="2056"/>
        <v>0</v>
      </c>
      <c r="CW1020">
        <f t="shared" si="2057"/>
        <v>0</v>
      </c>
      <c r="CX1020">
        <f t="shared" si="2058"/>
        <v>0</v>
      </c>
      <c r="CY1020">
        <f t="shared" si="2059"/>
        <v>0</v>
      </c>
      <c r="CZ1020">
        <f t="shared" si="2060"/>
        <v>0</v>
      </c>
      <c r="DA1020">
        <f t="shared" si="2061"/>
        <v>0</v>
      </c>
      <c r="DB1020">
        <f t="shared" si="2062"/>
        <v>0</v>
      </c>
      <c r="DC1020">
        <f t="shared" si="2063"/>
        <v>0</v>
      </c>
      <c r="DD1020">
        <f t="shared" si="2064"/>
        <v>0</v>
      </c>
      <c r="DE1020">
        <f t="shared" si="2065"/>
        <v>0</v>
      </c>
      <c r="DF1020">
        <f t="shared" si="2066"/>
        <v>0</v>
      </c>
      <c r="DG1020">
        <f t="shared" si="2067"/>
        <v>0</v>
      </c>
      <c r="DH1020">
        <f t="shared" si="2068"/>
        <v>0</v>
      </c>
      <c r="DI1020">
        <f t="shared" si="2069"/>
        <v>0</v>
      </c>
      <c r="DJ1020">
        <f t="shared" si="2070"/>
        <v>0</v>
      </c>
      <c r="DK1020">
        <f t="shared" si="2071"/>
        <v>0</v>
      </c>
      <c r="DL1020">
        <f t="shared" si="2072"/>
        <v>0</v>
      </c>
      <c r="DM1020">
        <f t="shared" si="2025"/>
        <v>0</v>
      </c>
      <c r="DN1020">
        <f t="shared" si="2074"/>
        <v>0</v>
      </c>
      <c r="DO1020">
        <f t="shared" si="2075"/>
        <v>0</v>
      </c>
      <c r="DP1020">
        <f t="shared" si="2076"/>
        <v>0</v>
      </c>
      <c r="DQ1020">
        <f t="shared" si="2077"/>
        <v>0</v>
      </c>
      <c r="DR1020">
        <f t="shared" si="2078"/>
        <v>0</v>
      </c>
      <c r="DS1020">
        <f t="shared" si="2079"/>
        <v>0</v>
      </c>
      <c r="DT1020">
        <f t="shared" si="2080"/>
        <v>0</v>
      </c>
      <c r="DU1020">
        <f t="shared" si="2081"/>
        <v>0</v>
      </c>
      <c r="DV1020">
        <f t="shared" si="2082"/>
        <v>0</v>
      </c>
      <c r="DW1020">
        <f t="shared" si="2083"/>
        <v>0</v>
      </c>
      <c r="DX1020">
        <f t="shared" si="2084"/>
        <v>0</v>
      </c>
      <c r="DY1020">
        <f t="shared" si="2085"/>
        <v>0</v>
      </c>
      <c r="DZ1020">
        <f t="shared" si="2086"/>
        <v>0</v>
      </c>
      <c r="EA1020">
        <f t="shared" ref="EA1020:EF1020" si="2089">IF($C1020&lt;&gt;"",IF(BL1018&gt;0,1,0),0)</f>
        <v>0</v>
      </c>
      <c r="EB1020">
        <f t="shared" si="2089"/>
        <v>0</v>
      </c>
      <c r="EC1020">
        <f t="shared" si="2089"/>
        <v>0</v>
      </c>
      <c r="ED1020">
        <f t="shared" si="2089"/>
        <v>0</v>
      </c>
      <c r="EE1020">
        <f t="shared" si="2089"/>
        <v>0</v>
      </c>
      <c r="EF1020">
        <f t="shared" si="2089"/>
        <v>0</v>
      </c>
    </row>
    <row r="1021" spans="1:136" ht="15.5">
      <c r="A1021" s="90"/>
      <c r="B1021" s="57" t="s">
        <v>208</v>
      </c>
      <c r="C1021" s="94"/>
      <c r="D1021" s="34"/>
      <c r="E1021" s="34"/>
      <c r="F1021" s="34"/>
      <c r="G1021" s="34"/>
      <c r="H1021" s="34"/>
      <c r="I1021" s="34"/>
      <c r="J1021" s="34"/>
      <c r="K1021" s="34"/>
      <c r="L1021" s="34"/>
      <c r="M1021" s="34"/>
      <c r="N1021" s="34"/>
      <c r="O1021" s="34"/>
      <c r="P1021" s="34"/>
      <c r="Q1021" s="34"/>
      <c r="R1021" s="34"/>
      <c r="S1021" s="34"/>
      <c r="T1021" s="34"/>
      <c r="U1021" s="34"/>
      <c r="V1021" s="34"/>
      <c r="W1021" s="34"/>
      <c r="X1021" s="34"/>
      <c r="Y1021" s="34"/>
      <c r="Z1021" s="34"/>
      <c r="AA1021" s="34"/>
      <c r="AB1021" s="34"/>
      <c r="AC1021" s="34"/>
      <c r="AD1021" s="34"/>
      <c r="AE1021" s="34"/>
      <c r="AF1021" s="34"/>
      <c r="AG1021" s="34"/>
      <c r="AH1021" s="34"/>
      <c r="AI1021" s="34"/>
      <c r="AJ1021" s="40" t="s">
        <v>16</v>
      </c>
      <c r="AK1021" s="40" t="s">
        <v>16</v>
      </c>
      <c r="AL1021" s="18">
        <v>1249</v>
      </c>
      <c r="AM1021" s="18">
        <v>720</v>
      </c>
      <c r="AN1021" s="40" t="s">
        <v>16</v>
      </c>
      <c r="AO1021" s="185" t="s">
        <v>16</v>
      </c>
      <c r="AP1021" s="40" t="s">
        <v>16</v>
      </c>
      <c r="AQ1021" s="18">
        <v>30</v>
      </c>
      <c r="AR1021" s="18">
        <f>2783.406-AR1020</f>
        <v>350.86612500000047</v>
      </c>
      <c r="AS1021" s="18">
        <f>2783.406-AS1020</f>
        <v>260.86214962500071</v>
      </c>
      <c r="AT1021" s="18">
        <f>2990.857-AT1020</f>
        <v>417.86227261750082</v>
      </c>
      <c r="AU1021" s="18">
        <f>3675.669-AU1020</f>
        <v>1070.5118385252194</v>
      </c>
      <c r="AV1021" s="40" t="s">
        <v>16</v>
      </c>
      <c r="AW1021" s="34">
        <v>1038.076</v>
      </c>
      <c r="AX1021" s="34">
        <v>1130.6420000000001</v>
      </c>
      <c r="AY1021" s="34">
        <v>1761.347</v>
      </c>
      <c r="AZ1021" s="34">
        <v>0</v>
      </c>
      <c r="BA1021" s="34">
        <v>0</v>
      </c>
      <c r="BB1021" s="34">
        <v>0</v>
      </c>
      <c r="BC1021" s="34">
        <v>0</v>
      </c>
      <c r="BD1021" s="18">
        <v>0</v>
      </c>
      <c r="BE1021" s="18">
        <v>0</v>
      </c>
      <c r="BF1021" s="18">
        <v>0</v>
      </c>
      <c r="BG1021" s="18">
        <v>0</v>
      </c>
      <c r="BH1021" s="18">
        <v>0</v>
      </c>
      <c r="BI1021" s="18">
        <v>0</v>
      </c>
      <c r="BJ1021" s="113">
        <v>0</v>
      </c>
      <c r="BK1021" s="113">
        <v>0</v>
      </c>
      <c r="BL1021" s="113">
        <v>0</v>
      </c>
      <c r="BM1021" s="113">
        <v>0</v>
      </c>
      <c r="BN1021" s="113">
        <v>0</v>
      </c>
      <c r="BO1021" s="113">
        <v>0</v>
      </c>
      <c r="BP1021" s="113">
        <v>0</v>
      </c>
      <c r="BQ1021" s="113">
        <v>0</v>
      </c>
      <c r="BR1021" s="101"/>
      <c r="BS1021">
        <f t="shared" si="2027"/>
        <v>0</v>
      </c>
      <c r="BT1021">
        <f t="shared" si="2028"/>
        <v>0</v>
      </c>
      <c r="BU1021">
        <f t="shared" si="2029"/>
        <v>0</v>
      </c>
      <c r="BV1021">
        <f t="shared" si="2030"/>
        <v>0</v>
      </c>
      <c r="BW1021">
        <f t="shared" si="2031"/>
        <v>0</v>
      </c>
      <c r="BX1021">
        <f t="shared" si="2032"/>
        <v>0</v>
      </c>
      <c r="BY1021">
        <f t="shared" si="2033"/>
        <v>0</v>
      </c>
      <c r="BZ1021">
        <f t="shared" si="2034"/>
        <v>0</v>
      </c>
      <c r="CA1021">
        <f t="shared" si="2035"/>
        <v>0</v>
      </c>
      <c r="CB1021">
        <f t="shared" si="2036"/>
        <v>0</v>
      </c>
      <c r="CC1021">
        <f t="shared" si="2037"/>
        <v>0</v>
      </c>
      <c r="CD1021">
        <f t="shared" si="2038"/>
        <v>0</v>
      </c>
      <c r="CE1021">
        <f t="shared" si="2039"/>
        <v>0</v>
      </c>
      <c r="CF1021">
        <f t="shared" si="2040"/>
        <v>0</v>
      </c>
      <c r="CG1021">
        <f t="shared" si="2041"/>
        <v>0</v>
      </c>
      <c r="CH1021">
        <f t="shared" si="2042"/>
        <v>0</v>
      </c>
      <c r="CI1021">
        <f t="shared" si="2043"/>
        <v>0</v>
      </c>
      <c r="CJ1021">
        <f t="shared" si="2044"/>
        <v>0</v>
      </c>
      <c r="CK1021">
        <f t="shared" si="2045"/>
        <v>0</v>
      </c>
      <c r="CL1021">
        <f t="shared" si="2046"/>
        <v>0</v>
      </c>
      <c r="CM1021">
        <f t="shared" si="2047"/>
        <v>0</v>
      </c>
      <c r="CN1021">
        <f t="shared" si="2048"/>
        <v>0</v>
      </c>
      <c r="CO1021">
        <f t="shared" si="2049"/>
        <v>0</v>
      </c>
      <c r="CP1021">
        <f t="shared" si="2050"/>
        <v>0</v>
      </c>
      <c r="CQ1021">
        <f t="shared" si="2051"/>
        <v>0</v>
      </c>
      <c r="CR1021">
        <f t="shared" si="2052"/>
        <v>0</v>
      </c>
      <c r="CS1021">
        <f t="shared" si="2053"/>
        <v>0</v>
      </c>
      <c r="CT1021">
        <f t="shared" si="2054"/>
        <v>0</v>
      </c>
      <c r="CU1021">
        <f t="shared" si="2055"/>
        <v>0</v>
      </c>
      <c r="CV1021">
        <f t="shared" si="2056"/>
        <v>0</v>
      </c>
      <c r="CW1021">
        <f t="shared" si="2057"/>
        <v>0</v>
      </c>
      <c r="CX1021">
        <f t="shared" si="2058"/>
        <v>0</v>
      </c>
      <c r="CY1021">
        <f t="shared" si="2059"/>
        <v>0</v>
      </c>
      <c r="CZ1021">
        <f t="shared" si="2060"/>
        <v>0</v>
      </c>
      <c r="DA1021">
        <f t="shared" si="2061"/>
        <v>0</v>
      </c>
      <c r="DB1021">
        <f t="shared" si="2062"/>
        <v>0</v>
      </c>
      <c r="DC1021">
        <f t="shared" si="2063"/>
        <v>0</v>
      </c>
      <c r="DD1021">
        <f t="shared" si="2064"/>
        <v>0</v>
      </c>
      <c r="DE1021">
        <f t="shared" si="2065"/>
        <v>0</v>
      </c>
      <c r="DF1021">
        <f t="shared" si="2066"/>
        <v>0</v>
      </c>
      <c r="DG1021">
        <f t="shared" si="2067"/>
        <v>0</v>
      </c>
      <c r="DH1021">
        <f t="shared" si="2068"/>
        <v>0</v>
      </c>
      <c r="DI1021">
        <f t="shared" si="2069"/>
        <v>0</v>
      </c>
      <c r="DJ1021">
        <f t="shared" si="2070"/>
        <v>0</v>
      </c>
      <c r="DK1021">
        <f t="shared" si="2071"/>
        <v>0</v>
      </c>
      <c r="DL1021">
        <f t="shared" si="2072"/>
        <v>0</v>
      </c>
      <c r="DM1021">
        <f t="shared" si="2025"/>
        <v>0</v>
      </c>
      <c r="DN1021">
        <f t="shared" si="2074"/>
        <v>0</v>
      </c>
      <c r="DO1021">
        <f t="shared" si="2075"/>
        <v>0</v>
      </c>
      <c r="DP1021">
        <f t="shared" si="2076"/>
        <v>0</v>
      </c>
      <c r="DQ1021">
        <f t="shared" si="2077"/>
        <v>0</v>
      </c>
      <c r="DR1021">
        <f t="shared" si="2078"/>
        <v>0</v>
      </c>
      <c r="DS1021">
        <f t="shared" si="2079"/>
        <v>0</v>
      </c>
      <c r="DT1021">
        <f t="shared" si="2080"/>
        <v>0</v>
      </c>
      <c r="DU1021">
        <f t="shared" si="2081"/>
        <v>0</v>
      </c>
      <c r="DV1021">
        <f t="shared" si="2082"/>
        <v>0</v>
      </c>
      <c r="DW1021">
        <f t="shared" si="2083"/>
        <v>0</v>
      </c>
      <c r="DX1021">
        <f t="shared" si="2084"/>
        <v>0</v>
      </c>
      <c r="DY1021">
        <f t="shared" si="2085"/>
        <v>0</v>
      </c>
      <c r="DZ1021">
        <f t="shared" si="2086"/>
        <v>0</v>
      </c>
      <c r="EA1021">
        <f t="shared" ref="EA1021:EF1021" si="2090">IF($C1021&lt;&gt;"",IF(BL1020&gt;0,1,0),0)</f>
        <v>0</v>
      </c>
      <c r="EB1021">
        <f t="shared" si="2090"/>
        <v>0</v>
      </c>
      <c r="EC1021">
        <f t="shared" si="2090"/>
        <v>0</v>
      </c>
      <c r="ED1021">
        <f t="shared" si="2090"/>
        <v>0</v>
      </c>
      <c r="EE1021">
        <f t="shared" si="2090"/>
        <v>0</v>
      </c>
      <c r="EF1021">
        <f t="shared" si="2090"/>
        <v>0</v>
      </c>
    </row>
    <row r="1022" spans="1:136" ht="15.5">
      <c r="A1022" s="90"/>
      <c r="B1022" s="57" t="s">
        <v>21</v>
      </c>
      <c r="C1022" s="94"/>
      <c r="D1022" s="34"/>
      <c r="E1022" s="34"/>
      <c r="F1022" s="34"/>
      <c r="G1022" s="34"/>
      <c r="H1022" s="34"/>
      <c r="I1022" s="34"/>
      <c r="J1022" s="34"/>
      <c r="K1022" s="34"/>
      <c r="L1022" s="34"/>
      <c r="M1022" s="34"/>
      <c r="N1022" s="34"/>
      <c r="O1022" s="34"/>
      <c r="P1022" s="34"/>
      <c r="Q1022" s="34"/>
      <c r="R1022" s="34"/>
      <c r="S1022" s="34"/>
      <c r="T1022" s="34"/>
      <c r="U1022" s="34"/>
      <c r="V1022" s="34"/>
      <c r="W1022" s="34"/>
      <c r="X1022" s="34"/>
      <c r="Y1022" s="34"/>
      <c r="Z1022" s="34"/>
      <c r="AA1022" s="34"/>
      <c r="AB1022" s="34"/>
      <c r="AC1022" s="34"/>
      <c r="AD1022" s="34"/>
      <c r="AE1022" s="34"/>
      <c r="AF1022" s="34"/>
      <c r="AG1022" s="34"/>
      <c r="AH1022" s="34"/>
      <c r="AI1022" s="34"/>
      <c r="AJ1022" s="18">
        <v>0</v>
      </c>
      <c r="AK1022" s="18">
        <v>0</v>
      </c>
      <c r="AL1022" s="18">
        <v>0</v>
      </c>
      <c r="AM1022" s="18">
        <v>0</v>
      </c>
      <c r="AN1022" s="18">
        <v>0</v>
      </c>
      <c r="AO1022" s="147">
        <v>0</v>
      </c>
      <c r="AP1022" s="18">
        <v>0</v>
      </c>
      <c r="AQ1022" s="18">
        <v>0</v>
      </c>
      <c r="AR1022" s="18">
        <v>0</v>
      </c>
      <c r="AS1022" s="18">
        <v>0</v>
      </c>
      <c r="AT1022" s="18">
        <v>3736</v>
      </c>
      <c r="AU1022" s="18">
        <v>0</v>
      </c>
      <c r="AV1022" s="18">
        <v>0</v>
      </c>
      <c r="AW1022" s="34">
        <v>0</v>
      </c>
      <c r="AX1022" s="34">
        <v>0</v>
      </c>
      <c r="AY1022" s="34">
        <v>0</v>
      </c>
      <c r="AZ1022" s="34">
        <v>0</v>
      </c>
      <c r="BA1022" s="34">
        <v>0</v>
      </c>
      <c r="BB1022" s="34">
        <v>0</v>
      </c>
      <c r="BC1022" s="34">
        <v>0</v>
      </c>
      <c r="BD1022" s="18">
        <v>0</v>
      </c>
      <c r="BE1022" s="18">
        <v>0</v>
      </c>
      <c r="BF1022" s="18">
        <v>0</v>
      </c>
      <c r="BG1022" s="18">
        <v>0</v>
      </c>
      <c r="BH1022" s="18">
        <v>0</v>
      </c>
      <c r="BI1022" s="18">
        <v>0</v>
      </c>
      <c r="BJ1022" s="113">
        <v>0</v>
      </c>
      <c r="BK1022" s="113">
        <v>0</v>
      </c>
      <c r="BL1022" s="113">
        <v>0</v>
      </c>
      <c r="BM1022" s="113">
        <v>0</v>
      </c>
      <c r="BN1022" s="113">
        <v>0</v>
      </c>
      <c r="BO1022" s="113">
        <v>0</v>
      </c>
      <c r="BP1022" s="113">
        <v>0</v>
      </c>
      <c r="BQ1022" s="113">
        <v>0</v>
      </c>
      <c r="BR1022" s="101"/>
      <c r="BS1022">
        <f t="shared" si="2027"/>
        <v>0</v>
      </c>
      <c r="BT1022">
        <f t="shared" si="2028"/>
        <v>0</v>
      </c>
      <c r="BU1022">
        <f t="shared" si="2029"/>
        <v>0</v>
      </c>
      <c r="BV1022">
        <f t="shared" si="2030"/>
        <v>0</v>
      </c>
      <c r="BW1022">
        <f t="shared" si="2031"/>
        <v>0</v>
      </c>
      <c r="BX1022">
        <f t="shared" si="2032"/>
        <v>0</v>
      </c>
      <c r="BY1022">
        <f t="shared" si="2033"/>
        <v>0</v>
      </c>
      <c r="BZ1022">
        <f t="shared" si="2034"/>
        <v>0</v>
      </c>
      <c r="CA1022">
        <f t="shared" si="2035"/>
        <v>0</v>
      </c>
      <c r="CB1022">
        <f t="shared" si="2036"/>
        <v>0</v>
      </c>
      <c r="CC1022">
        <f t="shared" si="2037"/>
        <v>0</v>
      </c>
      <c r="CD1022">
        <f t="shared" si="2038"/>
        <v>0</v>
      </c>
      <c r="CE1022">
        <f t="shared" si="2039"/>
        <v>0</v>
      </c>
      <c r="CF1022">
        <f t="shared" si="2040"/>
        <v>0</v>
      </c>
      <c r="CG1022">
        <f t="shared" si="2041"/>
        <v>0</v>
      </c>
      <c r="CH1022">
        <f t="shared" si="2042"/>
        <v>0</v>
      </c>
      <c r="CI1022">
        <f t="shared" si="2043"/>
        <v>0</v>
      </c>
      <c r="CJ1022">
        <f t="shared" si="2044"/>
        <v>0</v>
      </c>
      <c r="CK1022">
        <f t="shared" si="2045"/>
        <v>0</v>
      </c>
      <c r="CL1022">
        <f t="shared" si="2046"/>
        <v>0</v>
      </c>
      <c r="CM1022">
        <f t="shared" si="2047"/>
        <v>0</v>
      </c>
      <c r="CN1022">
        <f t="shared" si="2048"/>
        <v>0</v>
      </c>
      <c r="CO1022">
        <f t="shared" si="2049"/>
        <v>0</v>
      </c>
      <c r="CP1022">
        <f t="shared" si="2050"/>
        <v>0</v>
      </c>
      <c r="CQ1022">
        <f t="shared" si="2051"/>
        <v>0</v>
      </c>
      <c r="CR1022">
        <f t="shared" si="2052"/>
        <v>0</v>
      </c>
      <c r="CS1022">
        <f t="shared" si="2053"/>
        <v>0</v>
      </c>
      <c r="CT1022">
        <f t="shared" si="2054"/>
        <v>0</v>
      </c>
      <c r="CU1022">
        <f t="shared" si="2055"/>
        <v>0</v>
      </c>
      <c r="CV1022">
        <f t="shared" si="2056"/>
        <v>0</v>
      </c>
      <c r="CW1022">
        <f t="shared" si="2057"/>
        <v>0</v>
      </c>
      <c r="CX1022">
        <f t="shared" si="2058"/>
        <v>0</v>
      </c>
      <c r="CY1022">
        <f t="shared" si="2059"/>
        <v>0</v>
      </c>
      <c r="CZ1022">
        <f t="shared" si="2060"/>
        <v>0</v>
      </c>
      <c r="DA1022">
        <f t="shared" si="2061"/>
        <v>0</v>
      </c>
      <c r="DB1022">
        <f t="shared" si="2062"/>
        <v>0</v>
      </c>
      <c r="DC1022">
        <f t="shared" si="2063"/>
        <v>0</v>
      </c>
      <c r="DD1022">
        <f t="shared" si="2064"/>
        <v>0</v>
      </c>
      <c r="DE1022">
        <f t="shared" si="2065"/>
        <v>0</v>
      </c>
      <c r="DF1022">
        <f t="shared" si="2066"/>
        <v>0</v>
      </c>
      <c r="DG1022">
        <f t="shared" si="2067"/>
        <v>0</v>
      </c>
      <c r="DH1022">
        <f t="shared" si="2068"/>
        <v>0</v>
      </c>
      <c r="DI1022">
        <f t="shared" si="2069"/>
        <v>0</v>
      </c>
      <c r="DJ1022">
        <f t="shared" si="2070"/>
        <v>0</v>
      </c>
      <c r="DK1022">
        <f t="shared" si="2071"/>
        <v>0</v>
      </c>
      <c r="DL1022">
        <f t="shared" si="2072"/>
        <v>0</v>
      </c>
      <c r="DM1022">
        <f t="shared" si="2025"/>
        <v>0</v>
      </c>
      <c r="DN1022">
        <f t="shared" si="2074"/>
        <v>0</v>
      </c>
      <c r="DO1022">
        <f t="shared" si="2075"/>
        <v>0</v>
      </c>
      <c r="DP1022">
        <f t="shared" si="2076"/>
        <v>0</v>
      </c>
      <c r="DQ1022">
        <f t="shared" si="2077"/>
        <v>0</v>
      </c>
      <c r="DR1022">
        <f t="shared" si="2078"/>
        <v>0</v>
      </c>
      <c r="DS1022">
        <f t="shared" si="2079"/>
        <v>0</v>
      </c>
      <c r="DT1022">
        <f t="shared" si="2080"/>
        <v>0</v>
      </c>
      <c r="DU1022">
        <f t="shared" si="2081"/>
        <v>0</v>
      </c>
      <c r="DV1022">
        <f t="shared" si="2082"/>
        <v>0</v>
      </c>
      <c r="DW1022">
        <f t="shared" si="2083"/>
        <v>0</v>
      </c>
      <c r="DX1022">
        <f t="shared" si="2084"/>
        <v>0</v>
      </c>
      <c r="DY1022">
        <f t="shared" si="2085"/>
        <v>0</v>
      </c>
      <c r="DZ1022">
        <f t="shared" si="2086"/>
        <v>0</v>
      </c>
      <c r="EA1022">
        <f t="shared" ref="EA1022:EF1023" si="2091">IF($C1022&lt;&gt;"",IF(BL1022&gt;0,1,0),0)</f>
        <v>0</v>
      </c>
      <c r="EB1022">
        <f t="shared" si="2091"/>
        <v>0</v>
      </c>
      <c r="EC1022">
        <f t="shared" si="2091"/>
        <v>0</v>
      </c>
      <c r="ED1022">
        <f t="shared" si="2091"/>
        <v>0</v>
      </c>
      <c r="EE1022">
        <f t="shared" si="2091"/>
        <v>0</v>
      </c>
      <c r="EF1022">
        <f t="shared" si="2091"/>
        <v>0</v>
      </c>
    </row>
    <row r="1023" spans="1:136" ht="15.5">
      <c r="A1023" s="90"/>
      <c r="B1023" s="57" t="s">
        <v>212</v>
      </c>
      <c r="C1023" s="94"/>
      <c r="D1023" s="34"/>
      <c r="E1023" s="34"/>
      <c r="F1023" s="34"/>
      <c r="G1023" s="34"/>
      <c r="H1023" s="34"/>
      <c r="I1023" s="34"/>
      <c r="J1023" s="34"/>
      <c r="K1023" s="34"/>
      <c r="L1023" s="34"/>
      <c r="M1023" s="34"/>
      <c r="N1023" s="34"/>
      <c r="O1023" s="34"/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/>
      <c r="AB1023" s="34"/>
      <c r="AC1023" s="34"/>
      <c r="AD1023" s="34"/>
      <c r="AE1023" s="34"/>
      <c r="AF1023" s="34"/>
      <c r="AG1023" s="34"/>
      <c r="AH1023" s="34"/>
      <c r="AI1023" s="34"/>
      <c r="AJ1023" s="18">
        <v>3860</v>
      </c>
      <c r="AK1023" s="18">
        <v>0</v>
      </c>
      <c r="AL1023" s="18">
        <v>0</v>
      </c>
      <c r="AM1023" s="18">
        <v>0</v>
      </c>
      <c r="AN1023" s="18">
        <v>0</v>
      </c>
      <c r="AO1023" s="18">
        <f>2570/6.6</f>
        <v>389.39393939393943</v>
      </c>
      <c r="AP1023" s="18">
        <f>5350/9.58</f>
        <v>558.45511482254699</v>
      </c>
      <c r="AQ1023" s="18">
        <f>6270/18.94</f>
        <v>331.04540654699048</v>
      </c>
      <c r="AR1023" s="18">
        <v>1294.3680000000002</v>
      </c>
      <c r="AS1023" s="18">
        <v>861.91000000000008</v>
      </c>
      <c r="AT1023" s="18">
        <v>744.14199999999994</v>
      </c>
      <c r="AU1023" s="18">
        <v>1167.0450000000001</v>
      </c>
      <c r="AV1023" s="18">
        <v>1286.636</v>
      </c>
      <c r="AW1023" s="18">
        <v>632.40800000000002</v>
      </c>
      <c r="AX1023" s="18">
        <v>749.846</v>
      </c>
      <c r="AY1023" s="18">
        <v>824.505</v>
      </c>
      <c r="AZ1023" s="18">
        <v>989.78599999999994</v>
      </c>
      <c r="BA1023" s="18">
        <v>406.404</v>
      </c>
      <c r="BB1023" s="18">
        <v>205</v>
      </c>
      <c r="BC1023" s="18">
        <v>269.23076923076923</v>
      </c>
      <c r="BD1023" s="18">
        <v>164.70588235294119</v>
      </c>
      <c r="BE1023" s="18">
        <v>178.57142857142858</v>
      </c>
      <c r="BF1023" s="18">
        <v>108.43373493975903</v>
      </c>
      <c r="BG1023" s="18">
        <v>57.142857142857146</v>
      </c>
      <c r="BH1023" s="18">
        <v>42.735042735042732</v>
      </c>
      <c r="BI1023" s="18">
        <v>40.816326530612244</v>
      </c>
      <c r="BJ1023" s="113">
        <v>48.543689320388353</v>
      </c>
      <c r="BK1023" s="113">
        <v>66.666666666666671</v>
      </c>
      <c r="BL1023" s="113">
        <v>41.237113402061858</v>
      </c>
      <c r="BM1023" s="113">
        <v>38.688461166457103</v>
      </c>
      <c r="BN1023" s="113">
        <v>34.722222222222221</v>
      </c>
      <c r="BO1023" s="113">
        <v>46.296296296296298</v>
      </c>
      <c r="BP1023" s="113">
        <v>168</v>
      </c>
      <c r="BQ1023" s="113">
        <v>183</v>
      </c>
      <c r="BR1023" s="101"/>
      <c r="BS1023">
        <f t="shared" si="2027"/>
        <v>0</v>
      </c>
      <c r="BT1023">
        <f t="shared" si="2028"/>
        <v>0</v>
      </c>
      <c r="BU1023">
        <f t="shared" si="2029"/>
        <v>0</v>
      </c>
      <c r="BV1023">
        <f t="shared" si="2030"/>
        <v>0</v>
      </c>
      <c r="BW1023">
        <f t="shared" si="2031"/>
        <v>0</v>
      </c>
      <c r="BX1023">
        <f t="shared" si="2032"/>
        <v>0</v>
      </c>
      <c r="BY1023">
        <f t="shared" si="2033"/>
        <v>0</v>
      </c>
      <c r="BZ1023">
        <f t="shared" si="2034"/>
        <v>0</v>
      </c>
      <c r="CA1023">
        <f t="shared" si="2035"/>
        <v>0</v>
      </c>
      <c r="CB1023">
        <f t="shared" si="2036"/>
        <v>0</v>
      </c>
      <c r="CC1023">
        <f t="shared" si="2037"/>
        <v>0</v>
      </c>
      <c r="CD1023">
        <f t="shared" si="2038"/>
        <v>0</v>
      </c>
      <c r="CE1023">
        <f t="shared" si="2039"/>
        <v>0</v>
      </c>
      <c r="CF1023">
        <f t="shared" si="2040"/>
        <v>0</v>
      </c>
      <c r="CG1023">
        <f t="shared" si="2041"/>
        <v>0</v>
      </c>
      <c r="CH1023">
        <f t="shared" si="2042"/>
        <v>0</v>
      </c>
      <c r="CI1023">
        <f t="shared" si="2043"/>
        <v>0</v>
      </c>
      <c r="CJ1023">
        <f t="shared" si="2044"/>
        <v>0</v>
      </c>
      <c r="CK1023">
        <f t="shared" si="2045"/>
        <v>0</v>
      </c>
      <c r="CL1023">
        <f t="shared" si="2046"/>
        <v>0</v>
      </c>
      <c r="CM1023">
        <f t="shared" si="2047"/>
        <v>0</v>
      </c>
      <c r="CN1023">
        <f t="shared" si="2048"/>
        <v>0</v>
      </c>
      <c r="CO1023">
        <f t="shared" si="2049"/>
        <v>0</v>
      </c>
      <c r="CP1023">
        <f t="shared" si="2050"/>
        <v>0</v>
      </c>
      <c r="CQ1023">
        <f t="shared" si="2051"/>
        <v>0</v>
      </c>
      <c r="CR1023">
        <f t="shared" si="2052"/>
        <v>0</v>
      </c>
      <c r="CS1023">
        <f t="shared" si="2053"/>
        <v>0</v>
      </c>
      <c r="CT1023">
        <f t="shared" si="2054"/>
        <v>0</v>
      </c>
      <c r="CU1023">
        <f t="shared" si="2055"/>
        <v>0</v>
      </c>
      <c r="CV1023">
        <f t="shared" si="2056"/>
        <v>0</v>
      </c>
      <c r="CW1023">
        <f t="shared" si="2057"/>
        <v>0</v>
      </c>
      <c r="CX1023">
        <f t="shared" si="2058"/>
        <v>0</v>
      </c>
      <c r="CY1023">
        <f t="shared" si="2059"/>
        <v>0</v>
      </c>
      <c r="CZ1023">
        <f t="shared" si="2060"/>
        <v>0</v>
      </c>
      <c r="DA1023">
        <f t="shared" si="2061"/>
        <v>0</v>
      </c>
      <c r="DB1023">
        <f t="shared" si="2062"/>
        <v>0</v>
      </c>
      <c r="DC1023">
        <f t="shared" si="2063"/>
        <v>0</v>
      </c>
      <c r="DD1023">
        <f t="shared" si="2064"/>
        <v>0</v>
      </c>
      <c r="DE1023">
        <f t="shared" si="2065"/>
        <v>0</v>
      </c>
      <c r="DF1023">
        <f t="shared" si="2066"/>
        <v>0</v>
      </c>
      <c r="DG1023">
        <f t="shared" si="2067"/>
        <v>0</v>
      </c>
      <c r="DH1023">
        <f t="shared" si="2068"/>
        <v>0</v>
      </c>
      <c r="DI1023">
        <f t="shared" si="2069"/>
        <v>0</v>
      </c>
      <c r="DJ1023">
        <f t="shared" si="2070"/>
        <v>0</v>
      </c>
      <c r="DK1023">
        <f t="shared" si="2071"/>
        <v>0</v>
      </c>
      <c r="DL1023">
        <f t="shared" si="2072"/>
        <v>0</v>
      </c>
      <c r="DM1023">
        <f t="shared" si="2025"/>
        <v>0</v>
      </c>
      <c r="DN1023">
        <f t="shared" si="2074"/>
        <v>0</v>
      </c>
      <c r="DO1023">
        <f t="shared" si="2075"/>
        <v>0</v>
      </c>
      <c r="DP1023">
        <f t="shared" si="2076"/>
        <v>0</v>
      </c>
      <c r="DQ1023">
        <f t="shared" si="2077"/>
        <v>0</v>
      </c>
      <c r="DR1023">
        <f t="shared" si="2078"/>
        <v>0</v>
      </c>
      <c r="DS1023">
        <f t="shared" si="2079"/>
        <v>0</v>
      </c>
      <c r="DT1023">
        <f t="shared" si="2080"/>
        <v>0</v>
      </c>
      <c r="DU1023">
        <f t="shared" si="2081"/>
        <v>0</v>
      </c>
      <c r="DV1023">
        <f t="shared" si="2082"/>
        <v>0</v>
      </c>
      <c r="DW1023">
        <f t="shared" si="2083"/>
        <v>0</v>
      </c>
      <c r="DX1023">
        <f t="shared" si="2084"/>
        <v>0</v>
      </c>
      <c r="DY1023">
        <f t="shared" si="2085"/>
        <v>0</v>
      </c>
      <c r="DZ1023">
        <f t="shared" si="2086"/>
        <v>0</v>
      </c>
      <c r="EA1023">
        <f t="shared" si="2091"/>
        <v>0</v>
      </c>
      <c r="EB1023">
        <f t="shared" si="2091"/>
        <v>0</v>
      </c>
      <c r="EC1023">
        <f t="shared" si="2091"/>
        <v>0</v>
      </c>
      <c r="ED1023">
        <f t="shared" si="2091"/>
        <v>0</v>
      </c>
      <c r="EE1023">
        <f t="shared" si="2091"/>
        <v>0</v>
      </c>
      <c r="EF1023">
        <f t="shared" si="2091"/>
        <v>0</v>
      </c>
    </row>
    <row r="1024" spans="1:136" ht="15.5">
      <c r="A1024" s="90"/>
      <c r="B1024" s="37"/>
      <c r="C1024" s="94"/>
      <c r="D1024" s="31"/>
      <c r="E1024" s="31"/>
      <c r="F1024" s="31"/>
      <c r="G1024" s="31"/>
      <c r="H1024" s="31"/>
      <c r="I1024" s="31"/>
      <c r="J1024" s="31"/>
      <c r="K1024" s="31"/>
      <c r="L1024" s="31"/>
      <c r="M1024" s="31"/>
      <c r="N1024" s="31"/>
      <c r="O1024" s="31"/>
      <c r="P1024" s="31"/>
      <c r="Q1024" s="31"/>
      <c r="R1024" s="31"/>
      <c r="S1024" s="31"/>
      <c r="T1024" s="31"/>
      <c r="U1024" s="31"/>
      <c r="V1024" s="31"/>
      <c r="W1024" s="31"/>
      <c r="X1024" s="31"/>
      <c r="Y1024" s="31"/>
      <c r="Z1024" s="31"/>
      <c r="AA1024" s="31"/>
      <c r="AB1024" s="31"/>
      <c r="AC1024" s="31"/>
      <c r="AD1024" s="31"/>
      <c r="AE1024" s="31"/>
      <c r="AF1024" s="31"/>
      <c r="AG1024" s="31"/>
      <c r="AH1024" s="31"/>
      <c r="AI1024" s="31"/>
      <c r="AJ1024" s="31"/>
      <c r="AK1024" s="31"/>
      <c r="AL1024" s="31"/>
      <c r="AM1024" s="31"/>
      <c r="AN1024" s="31"/>
      <c r="AO1024" s="31"/>
      <c r="AP1024" s="31"/>
      <c r="AQ1024" s="31"/>
      <c r="AR1024" s="31"/>
      <c r="AS1024" s="31"/>
      <c r="AT1024" s="31"/>
      <c r="AU1024" s="31"/>
      <c r="AV1024" s="31"/>
      <c r="AW1024" s="31"/>
      <c r="AX1024" s="31"/>
      <c r="AY1024" s="31"/>
      <c r="AZ1024" s="31"/>
      <c r="BA1024" s="31"/>
      <c r="BB1024" s="31"/>
      <c r="BC1024" s="31"/>
      <c r="BD1024" s="18"/>
      <c r="BE1024" s="25"/>
      <c r="BF1024" s="18"/>
      <c r="BG1024" s="18"/>
      <c r="BH1024" s="113"/>
      <c r="BI1024" s="113"/>
      <c r="BJ1024" s="113"/>
      <c r="BK1024" s="113"/>
      <c r="BL1024" s="113"/>
      <c r="BM1024" s="154"/>
      <c r="BN1024" s="2"/>
      <c r="BO1024" s="2"/>
      <c r="BP1024" s="2"/>
      <c r="BQ1024" s="2"/>
      <c r="BR1024" s="101"/>
    </row>
    <row r="1025" spans="1:136" ht="15.5">
      <c r="A1025" s="93">
        <v>129</v>
      </c>
      <c r="B1025" s="32" t="s">
        <v>130</v>
      </c>
      <c r="C1025" s="94">
        <v>3</v>
      </c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>
        <f t="shared" ref="T1025:BO1025" si="2092">SUM(T1026:T1032)</f>
        <v>0</v>
      </c>
      <c r="U1025" s="9">
        <f t="shared" si="2092"/>
        <v>0</v>
      </c>
      <c r="V1025" s="9">
        <f t="shared" si="2092"/>
        <v>0</v>
      </c>
      <c r="W1025" s="9">
        <f t="shared" si="2092"/>
        <v>0</v>
      </c>
      <c r="X1025" s="9">
        <f t="shared" si="2092"/>
        <v>0</v>
      </c>
      <c r="Y1025" s="9">
        <f t="shared" si="2092"/>
        <v>0</v>
      </c>
      <c r="Z1025" s="9">
        <f t="shared" si="2092"/>
        <v>0</v>
      </c>
      <c r="AA1025" s="9">
        <f t="shared" si="2092"/>
        <v>0</v>
      </c>
      <c r="AB1025" s="9">
        <f t="shared" si="2092"/>
        <v>0.79999999999999993</v>
      </c>
      <c r="AC1025" s="9">
        <f t="shared" si="2092"/>
        <v>0</v>
      </c>
      <c r="AD1025" s="9">
        <f t="shared" si="2092"/>
        <v>2.5999999999999996</v>
      </c>
      <c r="AE1025" s="9">
        <f t="shared" si="2092"/>
        <v>5.4</v>
      </c>
      <c r="AF1025" s="9">
        <f t="shared" si="2092"/>
        <v>7.6999999999999993</v>
      </c>
      <c r="AG1025" s="9">
        <f t="shared" si="2092"/>
        <v>7.1</v>
      </c>
      <c r="AH1025" s="9">
        <f t="shared" si="2092"/>
        <v>10.5</v>
      </c>
      <c r="AI1025" s="9">
        <f t="shared" si="2092"/>
        <v>16.100000000000001</v>
      </c>
      <c r="AJ1025" s="9">
        <f t="shared" si="2092"/>
        <v>16.600000000000001</v>
      </c>
      <c r="AK1025" s="9">
        <f t="shared" si="2092"/>
        <v>16.7</v>
      </c>
      <c r="AL1025" s="9">
        <f t="shared" si="2092"/>
        <v>20.6</v>
      </c>
      <c r="AM1025" s="9">
        <f t="shared" si="2092"/>
        <v>22.3</v>
      </c>
      <c r="AN1025" s="9">
        <f t="shared" si="2092"/>
        <v>24.5</v>
      </c>
      <c r="AO1025" s="9">
        <f t="shared" si="2092"/>
        <v>29</v>
      </c>
      <c r="AP1025" s="9">
        <f t="shared" si="2092"/>
        <v>26.700000000000003</v>
      </c>
      <c r="AQ1025" s="9">
        <f t="shared" si="2092"/>
        <v>24.5</v>
      </c>
      <c r="AR1025" s="9">
        <f t="shared" si="2092"/>
        <v>61.938647342995168</v>
      </c>
      <c r="AS1025" s="9">
        <f t="shared" si="2092"/>
        <v>113.33864734299516</v>
      </c>
      <c r="AT1025" s="9">
        <f t="shared" si="2092"/>
        <v>132.4</v>
      </c>
      <c r="AU1025" s="9">
        <f t="shared" si="2092"/>
        <v>131.33864734299516</v>
      </c>
      <c r="AV1025" s="9">
        <f t="shared" si="2092"/>
        <v>144.9</v>
      </c>
      <c r="AW1025" s="9">
        <f t="shared" si="2092"/>
        <v>172.6</v>
      </c>
      <c r="AX1025" s="9">
        <f t="shared" si="2092"/>
        <v>155.23864734299516</v>
      </c>
      <c r="AY1025" s="9">
        <f t="shared" si="2092"/>
        <v>172.3</v>
      </c>
      <c r="AZ1025" s="9">
        <f t="shared" si="2092"/>
        <v>217.60000000000002</v>
      </c>
      <c r="BA1025" s="9">
        <f t="shared" si="2092"/>
        <v>483</v>
      </c>
      <c r="BB1025" s="9">
        <f t="shared" si="2092"/>
        <v>463.8</v>
      </c>
      <c r="BC1025" s="9">
        <f t="shared" si="2092"/>
        <v>76.400000000000006</v>
      </c>
      <c r="BD1025" s="9">
        <f t="shared" si="2092"/>
        <v>37.699999999999996</v>
      </c>
      <c r="BE1025" s="9">
        <f t="shared" si="2092"/>
        <v>35.199999999999996</v>
      </c>
      <c r="BF1025" s="9">
        <f t="shared" si="2092"/>
        <v>0</v>
      </c>
      <c r="BG1025" s="9">
        <f t="shared" si="2092"/>
        <v>30</v>
      </c>
      <c r="BH1025" s="9">
        <f t="shared" si="2092"/>
        <v>0</v>
      </c>
      <c r="BI1025" s="9">
        <f t="shared" si="2092"/>
        <v>0</v>
      </c>
      <c r="BJ1025" s="9">
        <f t="shared" si="2092"/>
        <v>6</v>
      </c>
      <c r="BK1025" s="9">
        <f t="shared" si="2092"/>
        <v>0</v>
      </c>
      <c r="BL1025" s="9">
        <f t="shared" si="2092"/>
        <v>0</v>
      </c>
      <c r="BM1025" s="9">
        <f t="shared" si="2092"/>
        <v>0</v>
      </c>
      <c r="BN1025" s="9">
        <f t="shared" si="2092"/>
        <v>0</v>
      </c>
      <c r="BO1025" s="9">
        <f t="shared" si="2092"/>
        <v>0</v>
      </c>
      <c r="BP1025" s="9">
        <f>SUM(BP1026:BP1032)</f>
        <v>0</v>
      </c>
      <c r="BQ1025" s="9">
        <f>SUM(BQ1026:BQ1032)</f>
        <v>0</v>
      </c>
      <c r="BR1025" s="101"/>
      <c r="BS1025">
        <f t="shared" ref="BS1025:CX1025" si="2093">IF($C1025&lt;&gt;"",IF(D1025&gt;0,1,0),0)</f>
        <v>0</v>
      </c>
      <c r="BT1025">
        <f t="shared" si="2093"/>
        <v>0</v>
      </c>
      <c r="BU1025">
        <f t="shared" si="2093"/>
        <v>0</v>
      </c>
      <c r="BV1025">
        <f t="shared" si="2093"/>
        <v>0</v>
      </c>
      <c r="BW1025">
        <f t="shared" si="2093"/>
        <v>0</v>
      </c>
      <c r="BX1025">
        <f t="shared" si="2093"/>
        <v>0</v>
      </c>
      <c r="BY1025">
        <f t="shared" si="2093"/>
        <v>0</v>
      </c>
      <c r="BZ1025">
        <f t="shared" si="2093"/>
        <v>0</v>
      </c>
      <c r="CA1025">
        <f t="shared" si="2093"/>
        <v>0</v>
      </c>
      <c r="CB1025">
        <f t="shared" si="2093"/>
        <v>0</v>
      </c>
      <c r="CC1025">
        <f t="shared" si="2093"/>
        <v>0</v>
      </c>
      <c r="CD1025">
        <f t="shared" si="2093"/>
        <v>0</v>
      </c>
      <c r="CE1025">
        <f t="shared" si="2093"/>
        <v>0</v>
      </c>
      <c r="CF1025">
        <f t="shared" si="2093"/>
        <v>0</v>
      </c>
      <c r="CG1025">
        <f t="shared" si="2093"/>
        <v>0</v>
      </c>
      <c r="CH1025">
        <f t="shared" si="2093"/>
        <v>0</v>
      </c>
      <c r="CI1025">
        <f t="shared" si="2093"/>
        <v>0</v>
      </c>
      <c r="CJ1025">
        <f t="shared" si="2093"/>
        <v>0</v>
      </c>
      <c r="CK1025">
        <f t="shared" si="2093"/>
        <v>0</v>
      </c>
      <c r="CL1025">
        <f t="shared" si="2093"/>
        <v>0</v>
      </c>
      <c r="CM1025">
        <f t="shared" si="2093"/>
        <v>0</v>
      </c>
      <c r="CN1025">
        <f t="shared" si="2093"/>
        <v>0</v>
      </c>
      <c r="CO1025">
        <f t="shared" si="2093"/>
        <v>0</v>
      </c>
      <c r="CP1025">
        <f t="shared" si="2093"/>
        <v>0</v>
      </c>
      <c r="CQ1025">
        <f t="shared" si="2093"/>
        <v>1</v>
      </c>
      <c r="CR1025">
        <f t="shared" si="2093"/>
        <v>0</v>
      </c>
      <c r="CS1025">
        <f t="shared" si="2093"/>
        <v>1</v>
      </c>
      <c r="CT1025">
        <f t="shared" si="2093"/>
        <v>1</v>
      </c>
      <c r="CU1025">
        <f t="shared" si="2093"/>
        <v>1</v>
      </c>
      <c r="CV1025">
        <f t="shared" si="2093"/>
        <v>1</v>
      </c>
      <c r="CW1025">
        <f t="shared" si="2093"/>
        <v>1</v>
      </c>
      <c r="CX1025">
        <f t="shared" si="2093"/>
        <v>1</v>
      </c>
      <c r="CY1025">
        <f t="shared" ref="CY1025:ED1025" si="2094">IF($C1025&lt;&gt;"",IF(AJ1025&gt;0,1,0),0)</f>
        <v>1</v>
      </c>
      <c r="CZ1025">
        <f t="shared" si="2094"/>
        <v>1</v>
      </c>
      <c r="DA1025">
        <f t="shared" si="2094"/>
        <v>1</v>
      </c>
      <c r="DB1025">
        <f t="shared" si="2094"/>
        <v>1</v>
      </c>
      <c r="DC1025">
        <f t="shared" si="2094"/>
        <v>1</v>
      </c>
      <c r="DD1025">
        <f t="shared" si="2094"/>
        <v>1</v>
      </c>
      <c r="DE1025">
        <f t="shared" si="2094"/>
        <v>1</v>
      </c>
      <c r="DF1025">
        <f t="shared" si="2094"/>
        <v>1</v>
      </c>
      <c r="DG1025">
        <f t="shared" si="2094"/>
        <v>1</v>
      </c>
      <c r="DH1025">
        <f t="shared" si="2094"/>
        <v>1</v>
      </c>
      <c r="DI1025">
        <f t="shared" si="2094"/>
        <v>1</v>
      </c>
      <c r="DJ1025">
        <f t="shared" si="2094"/>
        <v>1</v>
      </c>
      <c r="DK1025">
        <f t="shared" si="2094"/>
        <v>1</v>
      </c>
      <c r="DL1025">
        <f t="shared" si="2094"/>
        <v>1</v>
      </c>
      <c r="DM1025">
        <f t="shared" si="2094"/>
        <v>1</v>
      </c>
      <c r="DN1025">
        <f t="shared" si="2094"/>
        <v>1</v>
      </c>
      <c r="DO1025">
        <f t="shared" si="2094"/>
        <v>1</v>
      </c>
      <c r="DP1025">
        <f t="shared" si="2094"/>
        <v>1</v>
      </c>
      <c r="DQ1025">
        <f t="shared" si="2094"/>
        <v>1</v>
      </c>
      <c r="DR1025">
        <f t="shared" si="2094"/>
        <v>1</v>
      </c>
      <c r="DS1025">
        <f t="shared" si="2094"/>
        <v>1</v>
      </c>
      <c r="DT1025">
        <f t="shared" si="2094"/>
        <v>1</v>
      </c>
      <c r="DU1025">
        <f t="shared" si="2094"/>
        <v>0</v>
      </c>
      <c r="DV1025">
        <f t="shared" si="2094"/>
        <v>1</v>
      </c>
      <c r="DW1025">
        <f t="shared" si="2094"/>
        <v>0</v>
      </c>
      <c r="DX1025">
        <f t="shared" si="2094"/>
        <v>0</v>
      </c>
      <c r="DY1025">
        <f t="shared" si="2094"/>
        <v>1</v>
      </c>
      <c r="DZ1025">
        <f t="shared" si="2094"/>
        <v>0</v>
      </c>
      <c r="EA1025">
        <f t="shared" si="2094"/>
        <v>0</v>
      </c>
      <c r="EB1025">
        <f t="shared" si="2094"/>
        <v>0</v>
      </c>
      <c r="EC1025">
        <f t="shared" si="2094"/>
        <v>0</v>
      </c>
      <c r="ED1025">
        <f t="shared" si="2094"/>
        <v>0</v>
      </c>
      <c r="EE1025">
        <f t="shared" ref="EE1025:EF1025" si="2095">IF($C1025&lt;&gt;"",IF(BP1025&gt;0,1,0),0)</f>
        <v>0</v>
      </c>
      <c r="EF1025">
        <f t="shared" si="2095"/>
        <v>0</v>
      </c>
    </row>
    <row r="1026" spans="1:136" ht="15.5">
      <c r="A1026" s="90"/>
      <c r="B1026" s="57" t="s">
        <v>184</v>
      </c>
      <c r="C1026" s="94"/>
      <c r="D1026" s="58"/>
      <c r="E1026" s="58"/>
      <c r="F1026" s="58"/>
      <c r="G1026" s="58"/>
      <c r="H1026" s="58"/>
      <c r="I1026" s="58"/>
      <c r="J1026" s="58"/>
      <c r="K1026" s="58"/>
      <c r="L1026" s="58"/>
      <c r="M1026" s="58"/>
      <c r="N1026" s="58"/>
      <c r="O1026" s="58"/>
      <c r="P1026" s="58"/>
      <c r="Q1026" s="58"/>
      <c r="R1026" s="58"/>
      <c r="S1026" s="58"/>
      <c r="T1026" s="58">
        <v>0</v>
      </c>
      <c r="U1026" s="58">
        <v>0</v>
      </c>
      <c r="V1026" s="58">
        <v>0</v>
      </c>
      <c r="W1026" s="58">
        <v>0</v>
      </c>
      <c r="X1026" s="58">
        <v>0</v>
      </c>
      <c r="Y1026" s="58">
        <v>0</v>
      </c>
      <c r="Z1026" s="58">
        <v>0</v>
      </c>
      <c r="AA1026" s="58">
        <v>0</v>
      </c>
      <c r="AB1026" s="58">
        <v>0</v>
      </c>
      <c r="AC1026" s="58">
        <v>0</v>
      </c>
      <c r="AD1026" s="58">
        <v>0</v>
      </c>
      <c r="AE1026" s="58">
        <v>0</v>
      </c>
      <c r="AF1026" s="58">
        <v>0</v>
      </c>
      <c r="AG1026" s="58">
        <v>0</v>
      </c>
      <c r="AH1026" s="58">
        <v>0</v>
      </c>
      <c r="AI1026" s="58">
        <v>0</v>
      </c>
      <c r="AJ1026" s="58">
        <v>0</v>
      </c>
      <c r="AK1026" s="58">
        <v>0</v>
      </c>
      <c r="AL1026" s="58">
        <v>0</v>
      </c>
      <c r="AM1026" s="58">
        <v>0</v>
      </c>
      <c r="AN1026" s="58">
        <v>0</v>
      </c>
      <c r="AO1026" s="58">
        <v>0</v>
      </c>
      <c r="AP1026" s="58">
        <v>0</v>
      </c>
      <c r="AQ1026" s="58">
        <v>0</v>
      </c>
      <c r="AR1026" s="18">
        <v>0</v>
      </c>
      <c r="AS1026" s="18">
        <v>0</v>
      </c>
      <c r="AT1026" s="18">
        <v>0</v>
      </c>
      <c r="AU1026" s="18">
        <v>1</v>
      </c>
      <c r="AV1026" s="18">
        <v>1</v>
      </c>
      <c r="AW1026" s="18">
        <v>1</v>
      </c>
      <c r="AX1026" s="18">
        <v>1</v>
      </c>
      <c r="AY1026" s="18">
        <v>1</v>
      </c>
      <c r="AZ1026" s="18">
        <v>0</v>
      </c>
      <c r="BA1026" s="18">
        <v>0</v>
      </c>
      <c r="BB1026" s="18">
        <v>0</v>
      </c>
      <c r="BC1026" s="18">
        <v>0</v>
      </c>
      <c r="BD1026" s="25">
        <v>0</v>
      </c>
      <c r="BE1026" s="18">
        <v>0</v>
      </c>
      <c r="BF1026" s="18">
        <v>0</v>
      </c>
      <c r="BG1026" s="18">
        <v>0</v>
      </c>
      <c r="BH1026" s="113">
        <v>0</v>
      </c>
      <c r="BI1026" s="113">
        <v>0</v>
      </c>
      <c r="BJ1026" s="113">
        <v>0</v>
      </c>
      <c r="BK1026" s="113">
        <v>0</v>
      </c>
      <c r="BL1026" s="113">
        <v>0</v>
      </c>
      <c r="BM1026" s="113">
        <v>0</v>
      </c>
      <c r="BN1026" s="113">
        <v>0</v>
      </c>
      <c r="BO1026" s="113">
        <v>0</v>
      </c>
      <c r="BP1026" s="113">
        <v>0</v>
      </c>
      <c r="BQ1026" s="113">
        <v>0</v>
      </c>
      <c r="BR1026" s="101"/>
      <c r="BS1026">
        <f t="shared" ref="BS1026:CB1033" si="2096">IF($C1026&lt;&gt;"",IF(D1026&gt;0,1,0),0)</f>
        <v>0</v>
      </c>
      <c r="BT1026">
        <f t="shared" si="2096"/>
        <v>0</v>
      </c>
      <c r="BU1026">
        <f t="shared" si="2096"/>
        <v>0</v>
      </c>
      <c r="BV1026">
        <f t="shared" si="2096"/>
        <v>0</v>
      </c>
      <c r="BW1026">
        <f t="shared" si="2096"/>
        <v>0</v>
      </c>
      <c r="BX1026">
        <f t="shared" si="2096"/>
        <v>0</v>
      </c>
      <c r="BY1026">
        <f t="shared" si="2096"/>
        <v>0</v>
      </c>
      <c r="BZ1026">
        <f t="shared" si="2096"/>
        <v>0</v>
      </c>
      <c r="CA1026">
        <f t="shared" si="2096"/>
        <v>0</v>
      </c>
      <c r="CB1026">
        <f t="shared" si="2096"/>
        <v>0</v>
      </c>
      <c r="CC1026">
        <f t="shared" ref="CC1026:CL1033" si="2097">IF($C1026&lt;&gt;"",IF(N1026&gt;0,1,0),0)</f>
        <v>0</v>
      </c>
      <c r="CD1026">
        <f t="shared" si="2097"/>
        <v>0</v>
      </c>
      <c r="CE1026">
        <f t="shared" si="2097"/>
        <v>0</v>
      </c>
      <c r="CF1026">
        <f t="shared" si="2097"/>
        <v>0</v>
      </c>
      <c r="CG1026">
        <f t="shared" si="2097"/>
        <v>0</v>
      </c>
      <c r="CH1026">
        <f t="shared" si="2097"/>
        <v>0</v>
      </c>
      <c r="CI1026">
        <f t="shared" si="2097"/>
        <v>0</v>
      </c>
      <c r="CJ1026">
        <f t="shared" si="2097"/>
        <v>0</v>
      </c>
      <c r="CK1026">
        <f t="shared" si="2097"/>
        <v>0</v>
      </c>
      <c r="CL1026">
        <f t="shared" si="2097"/>
        <v>0</v>
      </c>
      <c r="CM1026">
        <f t="shared" ref="CM1026:CV1033" si="2098">IF($C1026&lt;&gt;"",IF(X1026&gt;0,1,0),0)</f>
        <v>0</v>
      </c>
      <c r="CN1026">
        <f t="shared" si="2098"/>
        <v>0</v>
      </c>
      <c r="CO1026">
        <f t="shared" si="2098"/>
        <v>0</v>
      </c>
      <c r="CP1026">
        <f t="shared" si="2098"/>
        <v>0</v>
      </c>
      <c r="CQ1026">
        <f t="shared" si="2098"/>
        <v>0</v>
      </c>
      <c r="CR1026">
        <f t="shared" si="2098"/>
        <v>0</v>
      </c>
      <c r="CS1026">
        <f t="shared" si="2098"/>
        <v>0</v>
      </c>
      <c r="CT1026">
        <f t="shared" si="2098"/>
        <v>0</v>
      </c>
      <c r="CU1026">
        <f t="shared" si="2098"/>
        <v>0</v>
      </c>
      <c r="CV1026">
        <f t="shared" si="2098"/>
        <v>0</v>
      </c>
      <c r="CW1026">
        <f t="shared" ref="CW1026:DF1033" si="2099">IF($C1026&lt;&gt;"",IF(AH1026&gt;0,1,0),0)</f>
        <v>0</v>
      </c>
      <c r="CX1026">
        <f t="shared" si="2099"/>
        <v>0</v>
      </c>
      <c r="CY1026">
        <f t="shared" si="2099"/>
        <v>0</v>
      </c>
      <c r="CZ1026">
        <f t="shared" si="2099"/>
        <v>0</v>
      </c>
      <c r="DA1026">
        <f t="shared" si="2099"/>
        <v>0</v>
      </c>
      <c r="DB1026">
        <f t="shared" si="2099"/>
        <v>0</v>
      </c>
      <c r="DC1026">
        <f t="shared" si="2099"/>
        <v>0</v>
      </c>
      <c r="DD1026">
        <f t="shared" si="2099"/>
        <v>0</v>
      </c>
      <c r="DE1026">
        <f t="shared" si="2099"/>
        <v>0</v>
      </c>
      <c r="DF1026">
        <f t="shared" si="2099"/>
        <v>0</v>
      </c>
      <c r="DG1026">
        <f t="shared" ref="DG1026:DP1033" si="2100">IF($C1026&lt;&gt;"",IF(AR1026&gt;0,1,0),0)</f>
        <v>0</v>
      </c>
      <c r="DH1026">
        <f t="shared" si="2100"/>
        <v>0</v>
      </c>
      <c r="DI1026">
        <f t="shared" si="2100"/>
        <v>0</v>
      </c>
      <c r="DJ1026">
        <f t="shared" si="2100"/>
        <v>0</v>
      </c>
      <c r="DK1026">
        <f t="shared" si="2100"/>
        <v>0</v>
      </c>
      <c r="DL1026">
        <f t="shared" si="2100"/>
        <v>0</v>
      </c>
      <c r="DM1026">
        <f t="shared" si="2100"/>
        <v>0</v>
      </c>
      <c r="DN1026">
        <f t="shared" si="2100"/>
        <v>0</v>
      </c>
      <c r="DO1026">
        <f t="shared" si="2100"/>
        <v>0</v>
      </c>
      <c r="DP1026">
        <f t="shared" si="2100"/>
        <v>0</v>
      </c>
      <c r="DQ1026">
        <f t="shared" ref="DQ1026:DZ1033" si="2101">IF($C1026&lt;&gt;"",IF(BB1026&gt;0,1,0),0)</f>
        <v>0</v>
      </c>
      <c r="DR1026">
        <f t="shared" si="2101"/>
        <v>0</v>
      </c>
      <c r="DS1026">
        <f t="shared" si="2101"/>
        <v>0</v>
      </c>
      <c r="DT1026">
        <f t="shared" si="2101"/>
        <v>0</v>
      </c>
      <c r="DU1026">
        <f t="shared" si="2101"/>
        <v>0</v>
      </c>
      <c r="DV1026">
        <f t="shared" si="2101"/>
        <v>0</v>
      </c>
      <c r="DW1026">
        <f t="shared" si="2101"/>
        <v>0</v>
      </c>
      <c r="DX1026">
        <f t="shared" si="2101"/>
        <v>0</v>
      </c>
      <c r="DY1026">
        <f t="shared" si="2101"/>
        <v>0</v>
      </c>
      <c r="DZ1026">
        <f t="shared" si="2101"/>
        <v>0</v>
      </c>
      <c r="EA1026">
        <f t="shared" ref="EA1026:EF1032" si="2102">IF($C1026&lt;&gt;"",IF(BL1025&gt;0,1,0),0)</f>
        <v>0</v>
      </c>
      <c r="EB1026">
        <f t="shared" si="2102"/>
        <v>0</v>
      </c>
      <c r="EC1026">
        <f t="shared" si="2102"/>
        <v>0</v>
      </c>
      <c r="ED1026">
        <f t="shared" si="2102"/>
        <v>0</v>
      </c>
      <c r="EE1026">
        <f t="shared" si="2102"/>
        <v>0</v>
      </c>
      <c r="EF1026">
        <f t="shared" si="2102"/>
        <v>0</v>
      </c>
    </row>
    <row r="1027" spans="1:136" ht="15.5">
      <c r="A1027" s="90"/>
      <c r="B1027" s="19" t="s">
        <v>2</v>
      </c>
      <c r="C1027" s="94"/>
      <c r="D1027" s="58"/>
      <c r="E1027" s="58"/>
      <c r="F1027" s="58"/>
      <c r="G1027" s="58"/>
      <c r="H1027" s="58"/>
      <c r="I1027" s="58"/>
      <c r="J1027" s="58"/>
      <c r="K1027" s="58"/>
      <c r="L1027" s="58"/>
      <c r="M1027" s="58"/>
      <c r="N1027" s="58"/>
      <c r="O1027" s="58"/>
      <c r="P1027" s="58"/>
      <c r="Q1027" s="58"/>
      <c r="R1027" s="58"/>
      <c r="S1027" s="58"/>
      <c r="T1027" s="58">
        <v>0</v>
      </c>
      <c r="U1027" s="58">
        <v>0</v>
      </c>
      <c r="V1027" s="58">
        <v>0</v>
      </c>
      <c r="W1027" s="58">
        <v>0</v>
      </c>
      <c r="X1027" s="58">
        <v>0</v>
      </c>
      <c r="Y1027" s="58">
        <v>0</v>
      </c>
      <c r="Z1027" s="58">
        <v>0</v>
      </c>
      <c r="AA1027" s="58">
        <v>0</v>
      </c>
      <c r="AB1027" s="58">
        <v>0</v>
      </c>
      <c r="AC1027" s="18">
        <v>0</v>
      </c>
      <c r="AD1027" s="18">
        <v>0</v>
      </c>
      <c r="AE1027" s="18">
        <v>0</v>
      </c>
      <c r="AF1027" s="18">
        <v>0</v>
      </c>
      <c r="AG1027" s="18">
        <v>0</v>
      </c>
      <c r="AH1027" s="18">
        <v>0</v>
      </c>
      <c r="AI1027" s="18">
        <v>0</v>
      </c>
      <c r="AJ1027" s="18">
        <v>0</v>
      </c>
      <c r="AK1027" s="18">
        <v>0</v>
      </c>
      <c r="AL1027" s="18">
        <v>0</v>
      </c>
      <c r="AM1027" s="18">
        <v>0</v>
      </c>
      <c r="AN1027" s="18">
        <v>0</v>
      </c>
      <c r="AO1027" s="18">
        <v>0</v>
      </c>
      <c r="AP1027" s="18">
        <v>0</v>
      </c>
      <c r="AQ1027" s="18">
        <v>0</v>
      </c>
      <c r="AR1027" s="18">
        <v>0</v>
      </c>
      <c r="AS1027" s="18">
        <v>0</v>
      </c>
      <c r="AT1027" s="18">
        <v>0</v>
      </c>
      <c r="AU1027" s="18">
        <v>0</v>
      </c>
      <c r="AV1027" s="18">
        <v>0</v>
      </c>
      <c r="AW1027" s="18">
        <v>0</v>
      </c>
      <c r="AX1027" s="18">
        <v>0</v>
      </c>
      <c r="AY1027" s="18">
        <v>0</v>
      </c>
      <c r="AZ1027" s="40" t="s">
        <v>16</v>
      </c>
      <c r="BA1027" s="18">
        <v>163</v>
      </c>
      <c r="BB1027" s="40" t="s">
        <v>16</v>
      </c>
      <c r="BC1027" s="18">
        <v>0</v>
      </c>
      <c r="BD1027" s="25">
        <v>0</v>
      </c>
      <c r="BE1027" s="18">
        <v>0</v>
      </c>
      <c r="BF1027" s="18">
        <v>0</v>
      </c>
      <c r="BG1027" s="18">
        <v>30</v>
      </c>
      <c r="BH1027" s="113">
        <v>0</v>
      </c>
      <c r="BI1027" s="113">
        <v>0</v>
      </c>
      <c r="BJ1027" s="113">
        <v>0</v>
      </c>
      <c r="BK1027" s="113">
        <v>0</v>
      </c>
      <c r="BL1027" s="113">
        <v>0</v>
      </c>
      <c r="BM1027" s="113">
        <v>0</v>
      </c>
      <c r="BN1027" s="113">
        <v>0</v>
      </c>
      <c r="BO1027" s="113">
        <v>0</v>
      </c>
      <c r="BP1027" s="113">
        <v>0</v>
      </c>
      <c r="BQ1027" s="113">
        <v>0</v>
      </c>
      <c r="BR1027" s="101"/>
      <c r="BS1027">
        <f t="shared" si="2096"/>
        <v>0</v>
      </c>
      <c r="BT1027">
        <f t="shared" si="2096"/>
        <v>0</v>
      </c>
      <c r="BU1027">
        <f t="shared" si="2096"/>
        <v>0</v>
      </c>
      <c r="BV1027">
        <f t="shared" si="2096"/>
        <v>0</v>
      </c>
      <c r="BW1027">
        <f t="shared" si="2096"/>
        <v>0</v>
      </c>
      <c r="BX1027">
        <f t="shared" si="2096"/>
        <v>0</v>
      </c>
      <c r="BY1027">
        <f t="shared" si="2096"/>
        <v>0</v>
      </c>
      <c r="BZ1027">
        <f t="shared" si="2096"/>
        <v>0</v>
      </c>
      <c r="CA1027">
        <f t="shared" si="2096"/>
        <v>0</v>
      </c>
      <c r="CB1027">
        <f t="shared" si="2096"/>
        <v>0</v>
      </c>
      <c r="CC1027">
        <f t="shared" si="2097"/>
        <v>0</v>
      </c>
      <c r="CD1027">
        <f t="shared" si="2097"/>
        <v>0</v>
      </c>
      <c r="CE1027">
        <f t="shared" si="2097"/>
        <v>0</v>
      </c>
      <c r="CF1027">
        <f t="shared" si="2097"/>
        <v>0</v>
      </c>
      <c r="CG1027">
        <f t="shared" si="2097"/>
        <v>0</v>
      </c>
      <c r="CH1027">
        <f t="shared" si="2097"/>
        <v>0</v>
      </c>
      <c r="CI1027">
        <f t="shared" si="2097"/>
        <v>0</v>
      </c>
      <c r="CJ1027">
        <f t="shared" si="2097"/>
        <v>0</v>
      </c>
      <c r="CK1027">
        <f t="shared" si="2097"/>
        <v>0</v>
      </c>
      <c r="CL1027">
        <f t="shared" si="2097"/>
        <v>0</v>
      </c>
      <c r="CM1027">
        <f t="shared" si="2098"/>
        <v>0</v>
      </c>
      <c r="CN1027">
        <f t="shared" si="2098"/>
        <v>0</v>
      </c>
      <c r="CO1027">
        <f t="shared" si="2098"/>
        <v>0</v>
      </c>
      <c r="CP1027">
        <f t="shared" si="2098"/>
        <v>0</v>
      </c>
      <c r="CQ1027">
        <f t="shared" si="2098"/>
        <v>0</v>
      </c>
      <c r="CR1027">
        <f t="shared" si="2098"/>
        <v>0</v>
      </c>
      <c r="CS1027">
        <f t="shared" si="2098"/>
        <v>0</v>
      </c>
      <c r="CT1027">
        <f t="shared" si="2098"/>
        <v>0</v>
      </c>
      <c r="CU1027">
        <f t="shared" si="2098"/>
        <v>0</v>
      </c>
      <c r="CV1027">
        <f t="shared" si="2098"/>
        <v>0</v>
      </c>
      <c r="CW1027">
        <f t="shared" si="2099"/>
        <v>0</v>
      </c>
      <c r="CX1027">
        <f t="shared" si="2099"/>
        <v>0</v>
      </c>
      <c r="CY1027">
        <f t="shared" si="2099"/>
        <v>0</v>
      </c>
      <c r="CZ1027">
        <f t="shared" si="2099"/>
        <v>0</v>
      </c>
      <c r="DA1027">
        <f t="shared" si="2099"/>
        <v>0</v>
      </c>
      <c r="DB1027">
        <f t="shared" si="2099"/>
        <v>0</v>
      </c>
      <c r="DC1027">
        <f t="shared" si="2099"/>
        <v>0</v>
      </c>
      <c r="DD1027">
        <f t="shared" si="2099"/>
        <v>0</v>
      </c>
      <c r="DE1027">
        <f t="shared" si="2099"/>
        <v>0</v>
      </c>
      <c r="DF1027">
        <f t="shared" si="2099"/>
        <v>0</v>
      </c>
      <c r="DG1027">
        <f t="shared" si="2100"/>
        <v>0</v>
      </c>
      <c r="DH1027">
        <f t="shared" si="2100"/>
        <v>0</v>
      </c>
      <c r="DI1027">
        <f t="shared" si="2100"/>
        <v>0</v>
      </c>
      <c r="DJ1027">
        <f t="shared" si="2100"/>
        <v>0</v>
      </c>
      <c r="DK1027">
        <f t="shared" si="2100"/>
        <v>0</v>
      </c>
      <c r="DL1027">
        <f t="shared" si="2100"/>
        <v>0</v>
      </c>
      <c r="DM1027">
        <f t="shared" si="2100"/>
        <v>0</v>
      </c>
      <c r="DN1027">
        <f t="shared" si="2100"/>
        <v>0</v>
      </c>
      <c r="DO1027">
        <f t="shared" si="2100"/>
        <v>0</v>
      </c>
      <c r="DP1027">
        <f t="shared" si="2100"/>
        <v>0</v>
      </c>
      <c r="DQ1027">
        <f t="shared" si="2101"/>
        <v>0</v>
      </c>
      <c r="DR1027">
        <f t="shared" si="2101"/>
        <v>0</v>
      </c>
      <c r="DS1027">
        <f t="shared" si="2101"/>
        <v>0</v>
      </c>
      <c r="DT1027">
        <f t="shared" si="2101"/>
        <v>0</v>
      </c>
      <c r="DU1027">
        <f t="shared" si="2101"/>
        <v>0</v>
      </c>
      <c r="DV1027">
        <f t="shared" si="2101"/>
        <v>0</v>
      </c>
      <c r="DW1027">
        <f t="shared" si="2101"/>
        <v>0</v>
      </c>
      <c r="DX1027">
        <f t="shared" si="2101"/>
        <v>0</v>
      </c>
      <c r="DY1027">
        <f t="shared" si="2101"/>
        <v>0</v>
      </c>
      <c r="DZ1027">
        <f t="shared" si="2101"/>
        <v>0</v>
      </c>
      <c r="EA1027">
        <f t="shared" si="2102"/>
        <v>0</v>
      </c>
      <c r="EB1027">
        <f t="shared" si="2102"/>
        <v>0</v>
      </c>
      <c r="EC1027">
        <f t="shared" si="2102"/>
        <v>0</v>
      </c>
      <c r="ED1027">
        <f t="shared" si="2102"/>
        <v>0</v>
      </c>
      <c r="EE1027">
        <f t="shared" si="2102"/>
        <v>0</v>
      </c>
      <c r="EF1027">
        <f t="shared" si="2102"/>
        <v>0</v>
      </c>
    </row>
    <row r="1028" spans="1:136" ht="15.5">
      <c r="A1028" s="90"/>
      <c r="B1028" s="19" t="s">
        <v>205</v>
      </c>
      <c r="C1028" s="94"/>
      <c r="D1028" s="58"/>
      <c r="E1028" s="58"/>
      <c r="F1028" s="58"/>
      <c r="G1028" s="58"/>
      <c r="H1028" s="58"/>
      <c r="I1028" s="58"/>
      <c r="J1028" s="58"/>
      <c r="K1028" s="58"/>
      <c r="L1028" s="58"/>
      <c r="M1028" s="58"/>
      <c r="N1028" s="58"/>
      <c r="O1028" s="58"/>
      <c r="P1028" s="58"/>
      <c r="Q1028" s="58"/>
      <c r="R1028" s="58"/>
      <c r="S1028" s="58"/>
      <c r="T1028" s="58">
        <v>0</v>
      </c>
      <c r="U1028" s="58">
        <v>0</v>
      </c>
      <c r="V1028" s="58">
        <v>0</v>
      </c>
      <c r="W1028" s="58">
        <v>0</v>
      </c>
      <c r="X1028" s="58">
        <v>0</v>
      </c>
      <c r="Y1028" s="58">
        <v>0</v>
      </c>
      <c r="Z1028" s="58">
        <v>0</v>
      </c>
      <c r="AA1028" s="58">
        <v>0</v>
      </c>
      <c r="AB1028" s="58">
        <v>0</v>
      </c>
      <c r="AC1028" s="18">
        <v>0</v>
      </c>
      <c r="AD1028" s="18">
        <v>0</v>
      </c>
      <c r="AE1028" s="18">
        <v>0</v>
      </c>
      <c r="AF1028" s="18">
        <v>0</v>
      </c>
      <c r="AG1028" s="18">
        <v>0</v>
      </c>
      <c r="AH1028" s="18">
        <v>0</v>
      </c>
      <c r="AI1028" s="18">
        <v>0</v>
      </c>
      <c r="AJ1028" s="18">
        <v>0</v>
      </c>
      <c r="AK1028" s="18">
        <v>0</v>
      </c>
      <c r="AL1028" s="18">
        <v>0</v>
      </c>
      <c r="AM1028" s="18">
        <v>0</v>
      </c>
      <c r="AN1028" s="18">
        <v>0</v>
      </c>
      <c r="AO1028" s="18">
        <f>50/8.31</f>
        <v>6.0168471720818291</v>
      </c>
      <c r="AP1028" s="18">
        <f>88/8.28</f>
        <v>10.628019323671499</v>
      </c>
      <c r="AQ1028" s="18">
        <v>0</v>
      </c>
      <c r="AR1028" s="18">
        <f>50/8.28</f>
        <v>6.0386473429951693</v>
      </c>
      <c r="AS1028" s="18">
        <f>50/8.28</f>
        <v>6.0386473429951693</v>
      </c>
      <c r="AT1028" s="18">
        <v>0</v>
      </c>
      <c r="AU1028" s="18">
        <f>50/8.28</f>
        <v>6.0386473429951693</v>
      </c>
      <c r="AV1028" s="18">
        <f>88/8.28</f>
        <v>10.628019323671499</v>
      </c>
      <c r="AW1028" s="18">
        <v>0</v>
      </c>
      <c r="AX1028" s="18">
        <f>50/8.28</f>
        <v>6.0386473429951693</v>
      </c>
      <c r="AY1028" s="18">
        <v>0</v>
      </c>
      <c r="AZ1028" s="40">
        <v>0</v>
      </c>
      <c r="BA1028" s="18">
        <v>0</v>
      </c>
      <c r="BB1028" s="71">
        <v>0</v>
      </c>
      <c r="BC1028" s="18">
        <v>6</v>
      </c>
      <c r="BD1028" s="25">
        <v>0</v>
      </c>
      <c r="BE1028" s="18">
        <v>0</v>
      </c>
      <c r="BF1028" s="18">
        <v>0</v>
      </c>
      <c r="BG1028" s="18">
        <v>0</v>
      </c>
      <c r="BH1028" s="113">
        <v>0</v>
      </c>
      <c r="BI1028" s="113">
        <v>0</v>
      </c>
      <c r="BJ1028" s="113">
        <v>6</v>
      </c>
      <c r="BK1028" s="113">
        <v>0</v>
      </c>
      <c r="BL1028" s="113">
        <v>0</v>
      </c>
      <c r="BM1028" s="113">
        <v>0</v>
      </c>
      <c r="BN1028" s="113">
        <v>0</v>
      </c>
      <c r="BO1028" s="113">
        <v>0</v>
      </c>
      <c r="BP1028" s="113">
        <v>0</v>
      </c>
      <c r="BQ1028" s="113">
        <v>0</v>
      </c>
      <c r="BR1028" s="101"/>
      <c r="BS1028">
        <f t="shared" si="2096"/>
        <v>0</v>
      </c>
      <c r="BT1028">
        <f t="shared" si="2096"/>
        <v>0</v>
      </c>
      <c r="BU1028">
        <f t="shared" si="2096"/>
        <v>0</v>
      </c>
      <c r="BV1028">
        <f t="shared" si="2096"/>
        <v>0</v>
      </c>
      <c r="BW1028">
        <f t="shared" si="2096"/>
        <v>0</v>
      </c>
      <c r="BX1028">
        <f t="shared" si="2096"/>
        <v>0</v>
      </c>
      <c r="BY1028">
        <f t="shared" si="2096"/>
        <v>0</v>
      </c>
      <c r="BZ1028">
        <f t="shared" si="2096"/>
        <v>0</v>
      </c>
      <c r="CA1028">
        <f t="shared" si="2096"/>
        <v>0</v>
      </c>
      <c r="CB1028">
        <f t="shared" si="2096"/>
        <v>0</v>
      </c>
      <c r="CC1028">
        <f t="shared" si="2097"/>
        <v>0</v>
      </c>
      <c r="CD1028">
        <f t="shared" si="2097"/>
        <v>0</v>
      </c>
      <c r="CE1028">
        <f t="shared" si="2097"/>
        <v>0</v>
      </c>
      <c r="CF1028">
        <f t="shared" si="2097"/>
        <v>0</v>
      </c>
      <c r="CG1028">
        <f t="shared" si="2097"/>
        <v>0</v>
      </c>
      <c r="CH1028">
        <f t="shared" si="2097"/>
        <v>0</v>
      </c>
      <c r="CI1028">
        <f t="shared" si="2097"/>
        <v>0</v>
      </c>
      <c r="CJ1028">
        <f t="shared" si="2097"/>
        <v>0</v>
      </c>
      <c r="CK1028">
        <f t="shared" si="2097"/>
        <v>0</v>
      </c>
      <c r="CL1028">
        <f t="shared" si="2097"/>
        <v>0</v>
      </c>
      <c r="CM1028">
        <f t="shared" si="2098"/>
        <v>0</v>
      </c>
      <c r="CN1028">
        <f t="shared" si="2098"/>
        <v>0</v>
      </c>
      <c r="CO1028">
        <f t="shared" si="2098"/>
        <v>0</v>
      </c>
      <c r="CP1028">
        <f t="shared" si="2098"/>
        <v>0</v>
      </c>
      <c r="CQ1028">
        <f t="shared" si="2098"/>
        <v>0</v>
      </c>
      <c r="CR1028">
        <f t="shared" si="2098"/>
        <v>0</v>
      </c>
      <c r="CS1028">
        <f t="shared" si="2098"/>
        <v>0</v>
      </c>
      <c r="CT1028">
        <f t="shared" si="2098"/>
        <v>0</v>
      </c>
      <c r="CU1028">
        <f t="shared" si="2098"/>
        <v>0</v>
      </c>
      <c r="CV1028">
        <f t="shared" si="2098"/>
        <v>0</v>
      </c>
      <c r="CW1028">
        <f t="shared" si="2099"/>
        <v>0</v>
      </c>
      <c r="CX1028">
        <f t="shared" si="2099"/>
        <v>0</v>
      </c>
      <c r="CY1028">
        <f t="shared" si="2099"/>
        <v>0</v>
      </c>
      <c r="CZ1028">
        <f t="shared" si="2099"/>
        <v>0</v>
      </c>
      <c r="DA1028">
        <f t="shared" si="2099"/>
        <v>0</v>
      </c>
      <c r="DB1028">
        <f t="shared" si="2099"/>
        <v>0</v>
      </c>
      <c r="DC1028">
        <f t="shared" si="2099"/>
        <v>0</v>
      </c>
      <c r="DD1028">
        <f t="shared" si="2099"/>
        <v>0</v>
      </c>
      <c r="DE1028">
        <f t="shared" si="2099"/>
        <v>0</v>
      </c>
      <c r="DF1028">
        <f t="shared" si="2099"/>
        <v>0</v>
      </c>
      <c r="DG1028">
        <f t="shared" si="2100"/>
        <v>0</v>
      </c>
      <c r="DH1028">
        <f t="shared" si="2100"/>
        <v>0</v>
      </c>
      <c r="DI1028">
        <f t="shared" si="2100"/>
        <v>0</v>
      </c>
      <c r="DJ1028">
        <f t="shared" si="2100"/>
        <v>0</v>
      </c>
      <c r="DK1028">
        <f t="shared" si="2100"/>
        <v>0</v>
      </c>
      <c r="DL1028">
        <f t="shared" si="2100"/>
        <v>0</v>
      </c>
      <c r="DM1028">
        <f t="shared" si="2100"/>
        <v>0</v>
      </c>
      <c r="DN1028">
        <f t="shared" si="2100"/>
        <v>0</v>
      </c>
      <c r="DO1028">
        <f t="shared" si="2100"/>
        <v>0</v>
      </c>
      <c r="DP1028">
        <f t="shared" si="2100"/>
        <v>0</v>
      </c>
      <c r="DQ1028">
        <f t="shared" si="2101"/>
        <v>0</v>
      </c>
      <c r="DR1028">
        <f t="shared" si="2101"/>
        <v>0</v>
      </c>
      <c r="DS1028">
        <f t="shared" si="2101"/>
        <v>0</v>
      </c>
      <c r="DT1028">
        <f t="shared" si="2101"/>
        <v>0</v>
      </c>
      <c r="DU1028">
        <f t="shared" si="2101"/>
        <v>0</v>
      </c>
      <c r="DV1028">
        <f t="shared" si="2101"/>
        <v>0</v>
      </c>
      <c r="DW1028">
        <f t="shared" si="2101"/>
        <v>0</v>
      </c>
      <c r="DX1028">
        <f t="shared" si="2101"/>
        <v>0</v>
      </c>
      <c r="DY1028">
        <f t="shared" si="2101"/>
        <v>0</v>
      </c>
      <c r="DZ1028">
        <f t="shared" si="2101"/>
        <v>0</v>
      </c>
      <c r="EA1028">
        <f t="shared" si="2102"/>
        <v>0</v>
      </c>
      <c r="EB1028">
        <f t="shared" si="2102"/>
        <v>0</v>
      </c>
      <c r="EC1028">
        <f t="shared" si="2102"/>
        <v>0</v>
      </c>
      <c r="ED1028">
        <f t="shared" si="2102"/>
        <v>0</v>
      </c>
      <c r="EE1028">
        <f t="shared" si="2102"/>
        <v>0</v>
      </c>
      <c r="EF1028">
        <f t="shared" si="2102"/>
        <v>0</v>
      </c>
    </row>
    <row r="1029" spans="1:136" ht="15.5">
      <c r="A1029" s="90"/>
      <c r="B1029" s="57" t="s">
        <v>3</v>
      </c>
      <c r="C1029" s="94"/>
      <c r="D1029" s="58"/>
      <c r="E1029" s="58"/>
      <c r="F1029" s="58"/>
      <c r="G1029" s="58"/>
      <c r="H1029" s="58"/>
      <c r="I1029" s="58"/>
      <c r="J1029" s="58"/>
      <c r="K1029" s="58"/>
      <c r="L1029" s="58"/>
      <c r="M1029" s="58"/>
      <c r="N1029" s="58"/>
      <c r="O1029" s="58"/>
      <c r="P1029" s="58"/>
      <c r="Q1029" s="58"/>
      <c r="R1029" s="58"/>
      <c r="S1029" s="58"/>
      <c r="T1029" s="58">
        <v>0</v>
      </c>
      <c r="U1029" s="58">
        <v>0</v>
      </c>
      <c r="V1029" s="58">
        <v>0</v>
      </c>
      <c r="W1029" s="58">
        <v>0</v>
      </c>
      <c r="X1029" s="58">
        <v>0</v>
      </c>
      <c r="Y1029" s="58">
        <v>0</v>
      </c>
      <c r="Z1029" s="58">
        <v>0</v>
      </c>
      <c r="AA1029" s="58">
        <v>0</v>
      </c>
      <c r="AB1029" s="58">
        <v>0.79999999999999993</v>
      </c>
      <c r="AC1029" s="18">
        <v>0</v>
      </c>
      <c r="AD1029" s="18">
        <v>1.4</v>
      </c>
      <c r="AE1029" s="18">
        <v>2.9</v>
      </c>
      <c r="AF1029" s="18">
        <v>4.5999999999999996</v>
      </c>
      <c r="AG1029" s="18">
        <v>5.5</v>
      </c>
      <c r="AH1029" s="18">
        <v>7.6999999999999993</v>
      </c>
      <c r="AI1029" s="18">
        <v>7.2</v>
      </c>
      <c r="AJ1029" s="18">
        <v>6.8999999999999995</v>
      </c>
      <c r="AK1029" s="18">
        <v>7.1000000000000005</v>
      </c>
      <c r="AL1029" s="18">
        <v>9.1</v>
      </c>
      <c r="AM1029" s="18">
        <v>9.5</v>
      </c>
      <c r="AN1029" s="18">
        <v>12.2</v>
      </c>
      <c r="AO1029" s="18">
        <f>17.1-AO1028</f>
        <v>11.083152827918173</v>
      </c>
      <c r="AP1029" s="18">
        <f>16.3-AP1028</f>
        <v>5.6719806763285021</v>
      </c>
      <c r="AQ1029" s="18">
        <v>15.6</v>
      </c>
      <c r="AR1029" s="18">
        <v>25.9</v>
      </c>
      <c r="AS1029" s="18">
        <v>35.700000000000003</v>
      </c>
      <c r="AT1029" s="18">
        <v>57.900000000000006</v>
      </c>
      <c r="AU1029" s="18">
        <v>117.2</v>
      </c>
      <c r="AV1029" s="18">
        <f>123.7-AV1028</f>
        <v>113.07198067632851</v>
      </c>
      <c r="AW1029" s="18">
        <v>145</v>
      </c>
      <c r="AX1029" s="18">
        <v>124.8</v>
      </c>
      <c r="AY1029" s="18">
        <v>138</v>
      </c>
      <c r="AZ1029" s="18">
        <v>132.60000000000002</v>
      </c>
      <c r="BA1029" s="40" t="s">
        <v>16</v>
      </c>
      <c r="BB1029" s="18">
        <v>33.799999999999997</v>
      </c>
      <c r="BC1029" s="18">
        <f>44-BC1028</f>
        <v>38</v>
      </c>
      <c r="BD1029" s="25">
        <v>4.3</v>
      </c>
      <c r="BE1029" s="18">
        <v>1.7999999999999998</v>
      </c>
      <c r="BF1029" s="18">
        <v>0</v>
      </c>
      <c r="BG1029" s="18">
        <v>0</v>
      </c>
      <c r="BH1029" s="113">
        <v>0</v>
      </c>
      <c r="BI1029" s="113">
        <v>0</v>
      </c>
      <c r="BJ1029" s="113">
        <v>0</v>
      </c>
      <c r="BK1029" s="113">
        <v>0</v>
      </c>
      <c r="BL1029" s="113">
        <v>0</v>
      </c>
      <c r="BM1029" s="113">
        <v>0</v>
      </c>
      <c r="BN1029" s="113">
        <v>0</v>
      </c>
      <c r="BO1029" s="113">
        <v>0</v>
      </c>
      <c r="BP1029" s="113">
        <v>0</v>
      </c>
      <c r="BQ1029" s="113">
        <v>0</v>
      </c>
      <c r="BR1029" s="101"/>
      <c r="BS1029">
        <f t="shared" si="2096"/>
        <v>0</v>
      </c>
      <c r="BT1029">
        <f t="shared" si="2096"/>
        <v>0</v>
      </c>
      <c r="BU1029">
        <f t="shared" si="2096"/>
        <v>0</v>
      </c>
      <c r="BV1029">
        <f t="shared" si="2096"/>
        <v>0</v>
      </c>
      <c r="BW1029">
        <f t="shared" si="2096"/>
        <v>0</v>
      </c>
      <c r="BX1029">
        <f t="shared" si="2096"/>
        <v>0</v>
      </c>
      <c r="BY1029">
        <f t="shared" si="2096"/>
        <v>0</v>
      </c>
      <c r="BZ1029">
        <f t="shared" si="2096"/>
        <v>0</v>
      </c>
      <c r="CA1029">
        <f t="shared" si="2096"/>
        <v>0</v>
      </c>
      <c r="CB1029">
        <f t="shared" si="2096"/>
        <v>0</v>
      </c>
      <c r="CC1029">
        <f t="shared" si="2097"/>
        <v>0</v>
      </c>
      <c r="CD1029">
        <f t="shared" si="2097"/>
        <v>0</v>
      </c>
      <c r="CE1029">
        <f t="shared" si="2097"/>
        <v>0</v>
      </c>
      <c r="CF1029">
        <f t="shared" si="2097"/>
        <v>0</v>
      </c>
      <c r="CG1029">
        <f t="shared" si="2097"/>
        <v>0</v>
      </c>
      <c r="CH1029">
        <f t="shared" si="2097"/>
        <v>0</v>
      </c>
      <c r="CI1029">
        <f t="shared" si="2097"/>
        <v>0</v>
      </c>
      <c r="CJ1029">
        <f t="shared" si="2097"/>
        <v>0</v>
      </c>
      <c r="CK1029">
        <f t="shared" si="2097"/>
        <v>0</v>
      </c>
      <c r="CL1029">
        <f t="shared" si="2097"/>
        <v>0</v>
      </c>
      <c r="CM1029">
        <f t="shared" si="2098"/>
        <v>0</v>
      </c>
      <c r="CN1029">
        <f t="shared" si="2098"/>
        <v>0</v>
      </c>
      <c r="CO1029">
        <f t="shared" si="2098"/>
        <v>0</v>
      </c>
      <c r="CP1029">
        <f t="shared" si="2098"/>
        <v>0</v>
      </c>
      <c r="CQ1029">
        <f t="shared" si="2098"/>
        <v>0</v>
      </c>
      <c r="CR1029">
        <f t="shared" si="2098"/>
        <v>0</v>
      </c>
      <c r="CS1029">
        <f t="shared" si="2098"/>
        <v>0</v>
      </c>
      <c r="CT1029">
        <f t="shared" si="2098"/>
        <v>0</v>
      </c>
      <c r="CU1029">
        <f t="shared" si="2098"/>
        <v>0</v>
      </c>
      <c r="CV1029">
        <f t="shared" si="2098"/>
        <v>0</v>
      </c>
      <c r="CW1029">
        <f t="shared" si="2099"/>
        <v>0</v>
      </c>
      <c r="CX1029">
        <f t="shared" si="2099"/>
        <v>0</v>
      </c>
      <c r="CY1029">
        <f t="shared" si="2099"/>
        <v>0</v>
      </c>
      <c r="CZ1029">
        <f t="shared" si="2099"/>
        <v>0</v>
      </c>
      <c r="DA1029">
        <f t="shared" si="2099"/>
        <v>0</v>
      </c>
      <c r="DB1029">
        <f t="shared" si="2099"/>
        <v>0</v>
      </c>
      <c r="DC1029">
        <f t="shared" si="2099"/>
        <v>0</v>
      </c>
      <c r="DD1029">
        <f t="shared" si="2099"/>
        <v>0</v>
      </c>
      <c r="DE1029">
        <f t="shared" si="2099"/>
        <v>0</v>
      </c>
      <c r="DF1029">
        <f t="shared" si="2099"/>
        <v>0</v>
      </c>
      <c r="DG1029">
        <f t="shared" si="2100"/>
        <v>0</v>
      </c>
      <c r="DH1029">
        <f t="shared" si="2100"/>
        <v>0</v>
      </c>
      <c r="DI1029">
        <f t="shared" si="2100"/>
        <v>0</v>
      </c>
      <c r="DJ1029">
        <f t="shared" si="2100"/>
        <v>0</v>
      </c>
      <c r="DK1029">
        <f t="shared" si="2100"/>
        <v>0</v>
      </c>
      <c r="DL1029">
        <f t="shared" si="2100"/>
        <v>0</v>
      </c>
      <c r="DM1029">
        <f t="shared" si="2100"/>
        <v>0</v>
      </c>
      <c r="DN1029">
        <f t="shared" si="2100"/>
        <v>0</v>
      </c>
      <c r="DO1029">
        <f t="shared" si="2100"/>
        <v>0</v>
      </c>
      <c r="DP1029">
        <f t="shared" si="2100"/>
        <v>0</v>
      </c>
      <c r="DQ1029">
        <f t="shared" si="2101"/>
        <v>0</v>
      </c>
      <c r="DR1029">
        <f t="shared" si="2101"/>
        <v>0</v>
      </c>
      <c r="DS1029">
        <f t="shared" si="2101"/>
        <v>0</v>
      </c>
      <c r="DT1029">
        <f t="shared" si="2101"/>
        <v>0</v>
      </c>
      <c r="DU1029">
        <f t="shared" si="2101"/>
        <v>0</v>
      </c>
      <c r="DV1029">
        <f t="shared" si="2101"/>
        <v>0</v>
      </c>
      <c r="DW1029">
        <f t="shared" si="2101"/>
        <v>0</v>
      </c>
      <c r="DX1029">
        <f t="shared" si="2101"/>
        <v>0</v>
      </c>
      <c r="DY1029">
        <f t="shared" si="2101"/>
        <v>0</v>
      </c>
      <c r="DZ1029">
        <f t="shared" si="2101"/>
        <v>0</v>
      </c>
      <c r="EA1029">
        <f t="shared" si="2102"/>
        <v>0</v>
      </c>
      <c r="EB1029">
        <f t="shared" si="2102"/>
        <v>0</v>
      </c>
      <c r="EC1029">
        <f t="shared" si="2102"/>
        <v>0</v>
      </c>
      <c r="ED1029">
        <f t="shared" si="2102"/>
        <v>0</v>
      </c>
      <c r="EE1029">
        <f t="shared" si="2102"/>
        <v>0</v>
      </c>
      <c r="EF1029">
        <f t="shared" si="2102"/>
        <v>0</v>
      </c>
    </row>
    <row r="1030" spans="1:136" ht="15.5">
      <c r="A1030" s="90"/>
      <c r="B1030" s="19" t="s">
        <v>18</v>
      </c>
      <c r="C1030" s="94"/>
      <c r="D1030" s="18"/>
      <c r="E1030" s="18"/>
      <c r="F1030" s="18"/>
      <c r="G1030" s="18"/>
      <c r="H1030" s="18"/>
      <c r="I1030" s="18"/>
      <c r="J1030" s="18"/>
      <c r="K1030" s="18"/>
      <c r="L1030" s="18"/>
      <c r="M1030" s="18"/>
      <c r="N1030" s="18"/>
      <c r="O1030" s="18"/>
      <c r="P1030" s="18"/>
      <c r="Q1030" s="18"/>
      <c r="R1030" s="18"/>
      <c r="S1030" s="18"/>
      <c r="T1030" s="18">
        <v>0</v>
      </c>
      <c r="U1030" s="18">
        <v>0</v>
      </c>
      <c r="V1030" s="18">
        <v>0</v>
      </c>
      <c r="W1030" s="18">
        <v>0</v>
      </c>
      <c r="X1030" s="18">
        <v>0</v>
      </c>
      <c r="Y1030" s="18">
        <v>0</v>
      </c>
      <c r="Z1030" s="18">
        <v>0</v>
      </c>
      <c r="AA1030" s="18">
        <v>0</v>
      </c>
      <c r="AB1030" s="18">
        <v>0</v>
      </c>
      <c r="AC1030" s="18">
        <v>0</v>
      </c>
      <c r="AD1030" s="18">
        <v>0</v>
      </c>
      <c r="AE1030" s="18">
        <v>0</v>
      </c>
      <c r="AF1030" s="18">
        <v>0</v>
      </c>
      <c r="AG1030" s="18">
        <v>0</v>
      </c>
      <c r="AH1030" s="18">
        <v>0</v>
      </c>
      <c r="AI1030" s="18">
        <v>0</v>
      </c>
      <c r="AJ1030" s="18">
        <v>0</v>
      </c>
      <c r="AK1030" s="18">
        <v>0</v>
      </c>
      <c r="AL1030" s="18">
        <v>0</v>
      </c>
      <c r="AM1030" s="18">
        <v>0</v>
      </c>
      <c r="AN1030" s="18">
        <v>0</v>
      </c>
      <c r="AO1030" s="18">
        <v>0</v>
      </c>
      <c r="AP1030" s="18">
        <v>0</v>
      </c>
      <c r="AQ1030" s="18">
        <v>0</v>
      </c>
      <c r="AR1030" s="18">
        <v>30</v>
      </c>
      <c r="AS1030" s="18">
        <v>70</v>
      </c>
      <c r="AT1030" s="18">
        <v>71</v>
      </c>
      <c r="AU1030" s="18">
        <v>0</v>
      </c>
      <c r="AV1030" s="18">
        <v>0</v>
      </c>
      <c r="AW1030" s="18">
        <v>0</v>
      </c>
      <c r="AX1030" s="18">
        <v>0</v>
      </c>
      <c r="AY1030" s="18">
        <v>0</v>
      </c>
      <c r="AZ1030" s="18">
        <v>0</v>
      </c>
      <c r="BA1030" s="18">
        <v>0</v>
      </c>
      <c r="BB1030" s="18">
        <v>110</v>
      </c>
      <c r="BC1030" s="18">
        <v>0</v>
      </c>
      <c r="BD1030" s="25">
        <v>0</v>
      </c>
      <c r="BE1030" s="18">
        <v>0</v>
      </c>
      <c r="BF1030" s="18">
        <v>0</v>
      </c>
      <c r="BG1030" s="18">
        <v>0</v>
      </c>
      <c r="BH1030" s="113">
        <v>0</v>
      </c>
      <c r="BI1030" s="113">
        <v>0</v>
      </c>
      <c r="BJ1030" s="113">
        <v>0</v>
      </c>
      <c r="BK1030" s="113">
        <v>0</v>
      </c>
      <c r="BL1030" s="113">
        <v>0</v>
      </c>
      <c r="BM1030" s="113">
        <v>0</v>
      </c>
      <c r="BN1030" s="113">
        <v>0</v>
      </c>
      <c r="BO1030" s="113">
        <v>0</v>
      </c>
      <c r="BP1030" s="113">
        <v>0</v>
      </c>
      <c r="BQ1030" s="113">
        <v>0</v>
      </c>
      <c r="BR1030" s="101"/>
      <c r="BS1030">
        <f t="shared" si="2096"/>
        <v>0</v>
      </c>
      <c r="BT1030">
        <f t="shared" si="2096"/>
        <v>0</v>
      </c>
      <c r="BU1030">
        <f t="shared" si="2096"/>
        <v>0</v>
      </c>
      <c r="BV1030">
        <f t="shared" si="2096"/>
        <v>0</v>
      </c>
      <c r="BW1030">
        <f t="shared" si="2096"/>
        <v>0</v>
      </c>
      <c r="BX1030">
        <f t="shared" si="2096"/>
        <v>0</v>
      </c>
      <c r="BY1030">
        <f t="shared" si="2096"/>
        <v>0</v>
      </c>
      <c r="BZ1030">
        <f t="shared" si="2096"/>
        <v>0</v>
      </c>
      <c r="CA1030">
        <f t="shared" si="2096"/>
        <v>0</v>
      </c>
      <c r="CB1030">
        <f t="shared" si="2096"/>
        <v>0</v>
      </c>
      <c r="CC1030">
        <f t="shared" si="2097"/>
        <v>0</v>
      </c>
      <c r="CD1030">
        <f t="shared" si="2097"/>
        <v>0</v>
      </c>
      <c r="CE1030">
        <f t="shared" si="2097"/>
        <v>0</v>
      </c>
      <c r="CF1030">
        <f t="shared" si="2097"/>
        <v>0</v>
      </c>
      <c r="CG1030">
        <f t="shared" si="2097"/>
        <v>0</v>
      </c>
      <c r="CH1030">
        <f t="shared" si="2097"/>
        <v>0</v>
      </c>
      <c r="CI1030">
        <f t="shared" si="2097"/>
        <v>0</v>
      </c>
      <c r="CJ1030">
        <f t="shared" si="2097"/>
        <v>0</v>
      </c>
      <c r="CK1030">
        <f t="shared" si="2097"/>
        <v>0</v>
      </c>
      <c r="CL1030">
        <f t="shared" si="2097"/>
        <v>0</v>
      </c>
      <c r="CM1030">
        <f t="shared" si="2098"/>
        <v>0</v>
      </c>
      <c r="CN1030">
        <f t="shared" si="2098"/>
        <v>0</v>
      </c>
      <c r="CO1030">
        <f t="shared" si="2098"/>
        <v>0</v>
      </c>
      <c r="CP1030">
        <f t="shared" si="2098"/>
        <v>0</v>
      </c>
      <c r="CQ1030">
        <f t="shared" si="2098"/>
        <v>0</v>
      </c>
      <c r="CR1030">
        <f t="shared" si="2098"/>
        <v>0</v>
      </c>
      <c r="CS1030">
        <f t="shared" si="2098"/>
        <v>0</v>
      </c>
      <c r="CT1030">
        <f t="shared" si="2098"/>
        <v>0</v>
      </c>
      <c r="CU1030">
        <f t="shared" si="2098"/>
        <v>0</v>
      </c>
      <c r="CV1030">
        <f t="shared" si="2098"/>
        <v>0</v>
      </c>
      <c r="CW1030">
        <f t="shared" si="2099"/>
        <v>0</v>
      </c>
      <c r="CX1030">
        <f t="shared" si="2099"/>
        <v>0</v>
      </c>
      <c r="CY1030">
        <f t="shared" si="2099"/>
        <v>0</v>
      </c>
      <c r="CZ1030">
        <f t="shared" si="2099"/>
        <v>0</v>
      </c>
      <c r="DA1030">
        <f t="shared" si="2099"/>
        <v>0</v>
      </c>
      <c r="DB1030">
        <f t="shared" si="2099"/>
        <v>0</v>
      </c>
      <c r="DC1030">
        <f t="shared" si="2099"/>
        <v>0</v>
      </c>
      <c r="DD1030">
        <f t="shared" si="2099"/>
        <v>0</v>
      </c>
      <c r="DE1030">
        <f t="shared" si="2099"/>
        <v>0</v>
      </c>
      <c r="DF1030">
        <f t="shared" si="2099"/>
        <v>0</v>
      </c>
      <c r="DG1030">
        <f t="shared" si="2100"/>
        <v>0</v>
      </c>
      <c r="DH1030">
        <f t="shared" si="2100"/>
        <v>0</v>
      </c>
      <c r="DI1030">
        <f t="shared" si="2100"/>
        <v>0</v>
      </c>
      <c r="DJ1030">
        <f t="shared" si="2100"/>
        <v>0</v>
      </c>
      <c r="DK1030">
        <f t="shared" si="2100"/>
        <v>0</v>
      </c>
      <c r="DL1030">
        <f t="shared" si="2100"/>
        <v>0</v>
      </c>
      <c r="DM1030">
        <f t="shared" si="2100"/>
        <v>0</v>
      </c>
      <c r="DN1030">
        <f t="shared" si="2100"/>
        <v>0</v>
      </c>
      <c r="DO1030">
        <f t="shared" si="2100"/>
        <v>0</v>
      </c>
      <c r="DP1030">
        <f t="shared" si="2100"/>
        <v>0</v>
      </c>
      <c r="DQ1030">
        <f t="shared" si="2101"/>
        <v>0</v>
      </c>
      <c r="DR1030">
        <f t="shared" si="2101"/>
        <v>0</v>
      </c>
      <c r="DS1030">
        <f t="shared" si="2101"/>
        <v>0</v>
      </c>
      <c r="DT1030">
        <f t="shared" si="2101"/>
        <v>0</v>
      </c>
      <c r="DU1030">
        <f t="shared" si="2101"/>
        <v>0</v>
      </c>
      <c r="DV1030">
        <f t="shared" si="2101"/>
        <v>0</v>
      </c>
      <c r="DW1030">
        <f t="shared" si="2101"/>
        <v>0</v>
      </c>
      <c r="DX1030">
        <f t="shared" si="2101"/>
        <v>0</v>
      </c>
      <c r="DY1030">
        <f t="shared" si="2101"/>
        <v>0</v>
      </c>
      <c r="DZ1030">
        <f t="shared" si="2101"/>
        <v>0</v>
      </c>
      <c r="EA1030">
        <f t="shared" si="2102"/>
        <v>0</v>
      </c>
      <c r="EB1030">
        <f t="shared" si="2102"/>
        <v>0</v>
      </c>
      <c r="EC1030">
        <f t="shared" si="2102"/>
        <v>0</v>
      </c>
      <c r="ED1030">
        <f t="shared" si="2102"/>
        <v>0</v>
      </c>
      <c r="EE1030">
        <f t="shared" si="2102"/>
        <v>0</v>
      </c>
      <c r="EF1030">
        <f t="shared" si="2102"/>
        <v>0</v>
      </c>
    </row>
    <row r="1031" spans="1:136" ht="15.5">
      <c r="A1031" s="90"/>
      <c r="B1031" s="53" t="s">
        <v>25</v>
      </c>
      <c r="C1031" s="94"/>
      <c r="D1031" s="58"/>
      <c r="E1031" s="58"/>
      <c r="F1031" s="58"/>
      <c r="G1031" s="58"/>
      <c r="H1031" s="58"/>
      <c r="I1031" s="58"/>
      <c r="J1031" s="58"/>
      <c r="K1031" s="58"/>
      <c r="L1031" s="58"/>
      <c r="M1031" s="58"/>
      <c r="N1031" s="58"/>
      <c r="O1031" s="58"/>
      <c r="P1031" s="58"/>
      <c r="Q1031" s="58"/>
      <c r="R1031" s="58"/>
      <c r="S1031" s="58"/>
      <c r="T1031" s="58">
        <v>0</v>
      </c>
      <c r="U1031" s="58">
        <v>0</v>
      </c>
      <c r="V1031" s="58">
        <v>0</v>
      </c>
      <c r="W1031" s="58">
        <v>0</v>
      </c>
      <c r="X1031" s="58">
        <v>0</v>
      </c>
      <c r="Y1031" s="58">
        <v>0</v>
      </c>
      <c r="Z1031" s="58">
        <v>0</v>
      </c>
      <c r="AA1031" s="58">
        <v>0</v>
      </c>
      <c r="AB1031" s="58">
        <v>0</v>
      </c>
      <c r="AC1031" s="58">
        <v>0</v>
      </c>
      <c r="AD1031" s="58">
        <v>0</v>
      </c>
      <c r="AE1031" s="58">
        <v>0</v>
      </c>
      <c r="AF1031" s="58">
        <v>0</v>
      </c>
      <c r="AG1031" s="58">
        <v>0</v>
      </c>
      <c r="AH1031" s="58">
        <v>0</v>
      </c>
      <c r="AI1031" s="58">
        <v>0</v>
      </c>
      <c r="AJ1031" s="58">
        <v>0</v>
      </c>
      <c r="AK1031" s="58">
        <v>0</v>
      </c>
      <c r="AL1031" s="58">
        <v>0</v>
      </c>
      <c r="AM1031" s="58">
        <v>0</v>
      </c>
      <c r="AN1031" s="58">
        <v>0</v>
      </c>
      <c r="AO1031" s="58">
        <v>0</v>
      </c>
      <c r="AP1031" s="58">
        <v>0</v>
      </c>
      <c r="AQ1031" s="58">
        <v>0</v>
      </c>
      <c r="AR1031" s="58">
        <v>0</v>
      </c>
      <c r="AS1031" s="58">
        <v>0</v>
      </c>
      <c r="AT1031" s="58">
        <v>0</v>
      </c>
      <c r="AU1031" s="58">
        <v>0</v>
      </c>
      <c r="AV1031" s="58">
        <v>0</v>
      </c>
      <c r="AW1031" s="58">
        <v>0</v>
      </c>
      <c r="AX1031" s="58">
        <v>0</v>
      </c>
      <c r="AY1031" s="58">
        <v>0</v>
      </c>
      <c r="AZ1031" s="58">
        <v>85</v>
      </c>
      <c r="BA1031" s="58">
        <v>320</v>
      </c>
      <c r="BB1031" s="58">
        <v>320</v>
      </c>
      <c r="BC1031" s="58">
        <v>0</v>
      </c>
      <c r="BD1031" s="25">
        <v>0</v>
      </c>
      <c r="BE1031" s="18">
        <v>0</v>
      </c>
      <c r="BF1031" s="18">
        <v>0</v>
      </c>
      <c r="BG1031" s="18">
        <v>0</v>
      </c>
      <c r="BH1031" s="113">
        <v>0</v>
      </c>
      <c r="BI1031" s="113">
        <v>0</v>
      </c>
      <c r="BJ1031" s="113">
        <v>0</v>
      </c>
      <c r="BK1031" s="113">
        <v>0</v>
      </c>
      <c r="BL1031" s="113">
        <v>0</v>
      </c>
      <c r="BM1031" s="113">
        <v>0</v>
      </c>
      <c r="BN1031" s="113">
        <v>0</v>
      </c>
      <c r="BO1031" s="113">
        <v>0</v>
      </c>
      <c r="BP1031" s="113">
        <v>0</v>
      </c>
      <c r="BQ1031" s="113">
        <v>0</v>
      </c>
      <c r="BR1031" s="101"/>
      <c r="BS1031">
        <f t="shared" si="2096"/>
        <v>0</v>
      </c>
      <c r="BT1031">
        <f t="shared" si="2096"/>
        <v>0</v>
      </c>
      <c r="BU1031">
        <f t="shared" si="2096"/>
        <v>0</v>
      </c>
      <c r="BV1031">
        <f t="shared" si="2096"/>
        <v>0</v>
      </c>
      <c r="BW1031">
        <f t="shared" si="2096"/>
        <v>0</v>
      </c>
      <c r="BX1031">
        <f t="shared" si="2096"/>
        <v>0</v>
      </c>
      <c r="BY1031">
        <f t="shared" si="2096"/>
        <v>0</v>
      </c>
      <c r="BZ1031">
        <f t="shared" si="2096"/>
        <v>0</v>
      </c>
      <c r="CA1031">
        <f t="shared" si="2096"/>
        <v>0</v>
      </c>
      <c r="CB1031">
        <f t="shared" si="2096"/>
        <v>0</v>
      </c>
      <c r="CC1031">
        <f t="shared" si="2097"/>
        <v>0</v>
      </c>
      <c r="CD1031">
        <f t="shared" si="2097"/>
        <v>0</v>
      </c>
      <c r="CE1031">
        <f t="shared" si="2097"/>
        <v>0</v>
      </c>
      <c r="CF1031">
        <f t="shared" si="2097"/>
        <v>0</v>
      </c>
      <c r="CG1031">
        <f t="shared" si="2097"/>
        <v>0</v>
      </c>
      <c r="CH1031">
        <f t="shared" si="2097"/>
        <v>0</v>
      </c>
      <c r="CI1031">
        <f t="shared" si="2097"/>
        <v>0</v>
      </c>
      <c r="CJ1031">
        <f t="shared" si="2097"/>
        <v>0</v>
      </c>
      <c r="CK1031">
        <f t="shared" si="2097"/>
        <v>0</v>
      </c>
      <c r="CL1031">
        <f t="shared" si="2097"/>
        <v>0</v>
      </c>
      <c r="CM1031">
        <f t="shared" si="2098"/>
        <v>0</v>
      </c>
      <c r="CN1031">
        <f t="shared" si="2098"/>
        <v>0</v>
      </c>
      <c r="CO1031">
        <f t="shared" si="2098"/>
        <v>0</v>
      </c>
      <c r="CP1031">
        <f t="shared" si="2098"/>
        <v>0</v>
      </c>
      <c r="CQ1031">
        <f t="shared" si="2098"/>
        <v>0</v>
      </c>
      <c r="CR1031">
        <f t="shared" si="2098"/>
        <v>0</v>
      </c>
      <c r="CS1031">
        <f t="shared" si="2098"/>
        <v>0</v>
      </c>
      <c r="CT1031">
        <f t="shared" si="2098"/>
        <v>0</v>
      </c>
      <c r="CU1031">
        <f t="shared" si="2098"/>
        <v>0</v>
      </c>
      <c r="CV1031">
        <f t="shared" si="2098"/>
        <v>0</v>
      </c>
      <c r="CW1031">
        <f t="shared" si="2099"/>
        <v>0</v>
      </c>
      <c r="CX1031">
        <f t="shared" si="2099"/>
        <v>0</v>
      </c>
      <c r="CY1031">
        <f t="shared" si="2099"/>
        <v>0</v>
      </c>
      <c r="CZ1031">
        <f t="shared" si="2099"/>
        <v>0</v>
      </c>
      <c r="DA1031">
        <f t="shared" si="2099"/>
        <v>0</v>
      </c>
      <c r="DB1031">
        <f t="shared" si="2099"/>
        <v>0</v>
      </c>
      <c r="DC1031">
        <f t="shared" si="2099"/>
        <v>0</v>
      </c>
      <c r="DD1031">
        <f t="shared" si="2099"/>
        <v>0</v>
      </c>
      <c r="DE1031">
        <f t="shared" si="2099"/>
        <v>0</v>
      </c>
      <c r="DF1031">
        <f t="shared" si="2099"/>
        <v>0</v>
      </c>
      <c r="DG1031">
        <f t="shared" si="2100"/>
        <v>0</v>
      </c>
      <c r="DH1031">
        <f t="shared" si="2100"/>
        <v>0</v>
      </c>
      <c r="DI1031">
        <f t="shared" si="2100"/>
        <v>0</v>
      </c>
      <c r="DJ1031">
        <f t="shared" si="2100"/>
        <v>0</v>
      </c>
      <c r="DK1031">
        <f t="shared" si="2100"/>
        <v>0</v>
      </c>
      <c r="DL1031">
        <f t="shared" si="2100"/>
        <v>0</v>
      </c>
      <c r="DM1031">
        <f t="shared" si="2100"/>
        <v>0</v>
      </c>
      <c r="DN1031">
        <f t="shared" si="2100"/>
        <v>0</v>
      </c>
      <c r="DO1031">
        <f t="shared" si="2100"/>
        <v>0</v>
      </c>
      <c r="DP1031">
        <f t="shared" si="2100"/>
        <v>0</v>
      </c>
      <c r="DQ1031">
        <f t="shared" si="2101"/>
        <v>0</v>
      </c>
      <c r="DR1031">
        <f t="shared" si="2101"/>
        <v>0</v>
      </c>
      <c r="DS1031">
        <f t="shared" si="2101"/>
        <v>0</v>
      </c>
      <c r="DT1031">
        <f t="shared" si="2101"/>
        <v>0</v>
      </c>
      <c r="DU1031">
        <f t="shared" si="2101"/>
        <v>0</v>
      </c>
      <c r="DV1031">
        <f t="shared" si="2101"/>
        <v>0</v>
      </c>
      <c r="DW1031">
        <f t="shared" si="2101"/>
        <v>0</v>
      </c>
      <c r="DX1031">
        <f t="shared" si="2101"/>
        <v>0</v>
      </c>
      <c r="DY1031">
        <f t="shared" si="2101"/>
        <v>0</v>
      </c>
      <c r="DZ1031">
        <f t="shared" si="2101"/>
        <v>0</v>
      </c>
      <c r="EA1031">
        <f t="shared" si="2102"/>
        <v>0</v>
      </c>
      <c r="EB1031">
        <f t="shared" si="2102"/>
        <v>0</v>
      </c>
      <c r="EC1031">
        <f t="shared" si="2102"/>
        <v>0</v>
      </c>
      <c r="ED1031">
        <f t="shared" si="2102"/>
        <v>0</v>
      </c>
      <c r="EE1031">
        <f t="shared" si="2102"/>
        <v>0</v>
      </c>
      <c r="EF1031">
        <f t="shared" si="2102"/>
        <v>0</v>
      </c>
    </row>
    <row r="1032" spans="1:136" ht="15.5">
      <c r="A1032" s="90"/>
      <c r="B1032" s="57" t="s">
        <v>208</v>
      </c>
      <c r="C1032" s="94"/>
      <c r="D1032" s="58"/>
      <c r="E1032" s="58"/>
      <c r="F1032" s="58"/>
      <c r="G1032" s="58"/>
      <c r="H1032" s="58"/>
      <c r="I1032" s="58"/>
      <c r="J1032" s="58"/>
      <c r="K1032" s="58"/>
      <c r="L1032" s="58"/>
      <c r="M1032" s="58"/>
      <c r="N1032" s="58"/>
      <c r="O1032" s="58"/>
      <c r="P1032" s="58"/>
      <c r="Q1032" s="58"/>
      <c r="R1032" s="58"/>
      <c r="S1032" s="58"/>
      <c r="T1032" s="58">
        <v>0</v>
      </c>
      <c r="U1032" s="58">
        <v>0</v>
      </c>
      <c r="V1032" s="58">
        <v>0</v>
      </c>
      <c r="W1032" s="58">
        <v>0</v>
      </c>
      <c r="X1032" s="58">
        <v>0</v>
      </c>
      <c r="Y1032" s="58">
        <v>0</v>
      </c>
      <c r="Z1032" s="58">
        <v>0</v>
      </c>
      <c r="AA1032" s="58">
        <v>0</v>
      </c>
      <c r="AB1032" s="58">
        <v>0</v>
      </c>
      <c r="AC1032" s="18">
        <v>0</v>
      </c>
      <c r="AD1032" s="18">
        <v>1.2</v>
      </c>
      <c r="AE1032" s="18">
        <v>2.5</v>
      </c>
      <c r="AF1032" s="18">
        <v>3.1</v>
      </c>
      <c r="AG1032" s="18">
        <v>1.6</v>
      </c>
      <c r="AH1032" s="18">
        <v>2.8</v>
      </c>
      <c r="AI1032" s="18">
        <v>8.9</v>
      </c>
      <c r="AJ1032" s="18">
        <v>9.7000000000000011</v>
      </c>
      <c r="AK1032" s="18">
        <v>9.6</v>
      </c>
      <c r="AL1032" s="18">
        <v>11.5</v>
      </c>
      <c r="AM1032" s="18">
        <v>12.8</v>
      </c>
      <c r="AN1032" s="18">
        <v>12.3</v>
      </c>
      <c r="AO1032" s="18">
        <v>11.9</v>
      </c>
      <c r="AP1032" s="18">
        <v>10.4</v>
      </c>
      <c r="AQ1032" s="18">
        <v>8.9</v>
      </c>
      <c r="AR1032" s="18">
        <v>0</v>
      </c>
      <c r="AS1032" s="18">
        <v>1.6</v>
      </c>
      <c r="AT1032" s="18">
        <v>3.5</v>
      </c>
      <c r="AU1032" s="18">
        <v>7.1000000000000005</v>
      </c>
      <c r="AV1032" s="18">
        <v>20.2</v>
      </c>
      <c r="AW1032" s="18">
        <v>26.6</v>
      </c>
      <c r="AX1032" s="18">
        <v>23.4</v>
      </c>
      <c r="AY1032" s="18">
        <v>33.299999999999997</v>
      </c>
      <c r="AZ1032" s="40" t="s">
        <v>16</v>
      </c>
      <c r="BA1032" s="40" t="s">
        <v>16</v>
      </c>
      <c r="BB1032" s="40" t="s">
        <v>16</v>
      </c>
      <c r="BC1032" s="18">
        <v>32.4</v>
      </c>
      <c r="BD1032" s="25">
        <v>33.4</v>
      </c>
      <c r="BE1032" s="18">
        <v>33.4</v>
      </c>
      <c r="BF1032" s="18">
        <v>0</v>
      </c>
      <c r="BG1032" s="18">
        <v>0</v>
      </c>
      <c r="BH1032" s="113">
        <v>0</v>
      </c>
      <c r="BI1032" s="113">
        <v>0</v>
      </c>
      <c r="BJ1032" s="113">
        <v>0</v>
      </c>
      <c r="BK1032" s="113">
        <v>0</v>
      </c>
      <c r="BL1032" s="113">
        <v>0</v>
      </c>
      <c r="BM1032" s="113">
        <v>0</v>
      </c>
      <c r="BN1032" s="113">
        <v>0</v>
      </c>
      <c r="BO1032" s="113">
        <v>0</v>
      </c>
      <c r="BP1032" s="113">
        <v>0</v>
      </c>
      <c r="BQ1032" s="113">
        <v>0</v>
      </c>
      <c r="BR1032" s="101"/>
      <c r="BS1032">
        <f t="shared" si="2096"/>
        <v>0</v>
      </c>
      <c r="BT1032">
        <f t="shared" si="2096"/>
        <v>0</v>
      </c>
      <c r="BU1032">
        <f t="shared" si="2096"/>
        <v>0</v>
      </c>
      <c r="BV1032">
        <f t="shared" si="2096"/>
        <v>0</v>
      </c>
      <c r="BW1032">
        <f t="shared" si="2096"/>
        <v>0</v>
      </c>
      <c r="BX1032">
        <f t="shared" si="2096"/>
        <v>0</v>
      </c>
      <c r="BY1032">
        <f t="shared" si="2096"/>
        <v>0</v>
      </c>
      <c r="BZ1032">
        <f t="shared" si="2096"/>
        <v>0</v>
      </c>
      <c r="CA1032">
        <f t="shared" si="2096"/>
        <v>0</v>
      </c>
      <c r="CB1032">
        <f t="shared" si="2096"/>
        <v>0</v>
      </c>
      <c r="CC1032">
        <f t="shared" si="2097"/>
        <v>0</v>
      </c>
      <c r="CD1032">
        <f t="shared" si="2097"/>
        <v>0</v>
      </c>
      <c r="CE1032">
        <f t="shared" si="2097"/>
        <v>0</v>
      </c>
      <c r="CF1032">
        <f t="shared" si="2097"/>
        <v>0</v>
      </c>
      <c r="CG1032">
        <f t="shared" si="2097"/>
        <v>0</v>
      </c>
      <c r="CH1032">
        <f t="shared" si="2097"/>
        <v>0</v>
      </c>
      <c r="CI1032">
        <f t="shared" si="2097"/>
        <v>0</v>
      </c>
      <c r="CJ1032">
        <f t="shared" si="2097"/>
        <v>0</v>
      </c>
      <c r="CK1032">
        <f t="shared" si="2097"/>
        <v>0</v>
      </c>
      <c r="CL1032">
        <f t="shared" si="2097"/>
        <v>0</v>
      </c>
      <c r="CM1032">
        <f t="shared" si="2098"/>
        <v>0</v>
      </c>
      <c r="CN1032">
        <f t="shared" si="2098"/>
        <v>0</v>
      </c>
      <c r="CO1032">
        <f t="shared" si="2098"/>
        <v>0</v>
      </c>
      <c r="CP1032">
        <f t="shared" si="2098"/>
        <v>0</v>
      </c>
      <c r="CQ1032">
        <f t="shared" si="2098"/>
        <v>0</v>
      </c>
      <c r="CR1032">
        <f t="shared" si="2098"/>
        <v>0</v>
      </c>
      <c r="CS1032">
        <f t="shared" si="2098"/>
        <v>0</v>
      </c>
      <c r="CT1032">
        <f t="shared" si="2098"/>
        <v>0</v>
      </c>
      <c r="CU1032">
        <f t="shared" si="2098"/>
        <v>0</v>
      </c>
      <c r="CV1032">
        <f t="shared" si="2098"/>
        <v>0</v>
      </c>
      <c r="CW1032">
        <f t="shared" si="2099"/>
        <v>0</v>
      </c>
      <c r="CX1032">
        <f t="shared" si="2099"/>
        <v>0</v>
      </c>
      <c r="CY1032">
        <f t="shared" si="2099"/>
        <v>0</v>
      </c>
      <c r="CZ1032">
        <f t="shared" si="2099"/>
        <v>0</v>
      </c>
      <c r="DA1032">
        <f t="shared" si="2099"/>
        <v>0</v>
      </c>
      <c r="DB1032">
        <f t="shared" si="2099"/>
        <v>0</v>
      </c>
      <c r="DC1032">
        <f t="shared" si="2099"/>
        <v>0</v>
      </c>
      <c r="DD1032">
        <f t="shared" si="2099"/>
        <v>0</v>
      </c>
      <c r="DE1032">
        <f t="shared" si="2099"/>
        <v>0</v>
      </c>
      <c r="DF1032">
        <f t="shared" si="2099"/>
        <v>0</v>
      </c>
      <c r="DG1032">
        <f t="shared" si="2100"/>
        <v>0</v>
      </c>
      <c r="DH1032">
        <f t="shared" si="2100"/>
        <v>0</v>
      </c>
      <c r="DI1032">
        <f t="shared" si="2100"/>
        <v>0</v>
      </c>
      <c r="DJ1032">
        <f t="shared" si="2100"/>
        <v>0</v>
      </c>
      <c r="DK1032">
        <f t="shared" si="2100"/>
        <v>0</v>
      </c>
      <c r="DL1032">
        <f t="shared" si="2100"/>
        <v>0</v>
      </c>
      <c r="DM1032">
        <f t="shared" si="2100"/>
        <v>0</v>
      </c>
      <c r="DN1032">
        <f t="shared" si="2100"/>
        <v>0</v>
      </c>
      <c r="DO1032">
        <f t="shared" si="2100"/>
        <v>0</v>
      </c>
      <c r="DP1032">
        <f t="shared" si="2100"/>
        <v>0</v>
      </c>
      <c r="DQ1032">
        <f t="shared" si="2101"/>
        <v>0</v>
      </c>
      <c r="DR1032">
        <f t="shared" si="2101"/>
        <v>0</v>
      </c>
      <c r="DS1032">
        <f t="shared" si="2101"/>
        <v>0</v>
      </c>
      <c r="DT1032">
        <f t="shared" si="2101"/>
        <v>0</v>
      </c>
      <c r="DU1032">
        <f t="shared" si="2101"/>
        <v>0</v>
      </c>
      <c r="DV1032">
        <f t="shared" si="2101"/>
        <v>0</v>
      </c>
      <c r="DW1032">
        <f t="shared" si="2101"/>
        <v>0</v>
      </c>
      <c r="DX1032">
        <f t="shared" si="2101"/>
        <v>0</v>
      </c>
      <c r="DY1032">
        <f t="shared" si="2101"/>
        <v>0</v>
      </c>
      <c r="DZ1032">
        <f t="shared" si="2101"/>
        <v>0</v>
      </c>
      <c r="EA1032">
        <f t="shared" si="2102"/>
        <v>0</v>
      </c>
      <c r="EB1032">
        <f t="shared" si="2102"/>
        <v>0</v>
      </c>
      <c r="EC1032">
        <f t="shared" si="2102"/>
        <v>0</v>
      </c>
      <c r="ED1032">
        <f t="shared" si="2102"/>
        <v>0</v>
      </c>
      <c r="EE1032">
        <f t="shared" si="2102"/>
        <v>0</v>
      </c>
      <c r="EF1032">
        <f t="shared" si="2102"/>
        <v>0</v>
      </c>
    </row>
    <row r="1033" spans="1:136" ht="15.5">
      <c r="A1033" s="90"/>
      <c r="B1033" s="57" t="s">
        <v>212</v>
      </c>
      <c r="C1033" s="94"/>
      <c r="D1033" s="58"/>
      <c r="E1033" s="58"/>
      <c r="F1033" s="58"/>
      <c r="G1033" s="58"/>
      <c r="H1033" s="58"/>
      <c r="I1033" s="58"/>
      <c r="J1033" s="58"/>
      <c r="K1033" s="58"/>
      <c r="L1033" s="58"/>
      <c r="M1033" s="58"/>
      <c r="N1033" s="58"/>
      <c r="O1033" s="58"/>
      <c r="P1033" s="58"/>
      <c r="Q1033" s="58"/>
      <c r="R1033" s="58"/>
      <c r="S1033" s="58"/>
      <c r="T1033" s="58"/>
      <c r="U1033" s="58"/>
      <c r="V1033" s="58"/>
      <c r="W1033" s="58"/>
      <c r="X1033" s="58"/>
      <c r="Y1033" s="58"/>
      <c r="Z1033" s="58"/>
      <c r="AA1033" s="58"/>
      <c r="AB1033" s="58"/>
      <c r="AC1033" s="18"/>
      <c r="AD1033" s="18"/>
      <c r="AE1033" s="18"/>
      <c r="AF1033" s="18"/>
      <c r="AG1033" s="18"/>
      <c r="AH1033" s="18">
        <v>0</v>
      </c>
      <c r="AI1033" s="18">
        <v>0</v>
      </c>
      <c r="AJ1033" s="18">
        <v>0</v>
      </c>
      <c r="AK1033" s="18">
        <v>0</v>
      </c>
      <c r="AL1033" s="18">
        <v>0</v>
      </c>
      <c r="AM1033" s="18">
        <v>0</v>
      </c>
      <c r="AN1033" s="18">
        <v>0</v>
      </c>
      <c r="AO1033" s="18">
        <v>0</v>
      </c>
      <c r="AP1033" s="18">
        <v>0</v>
      </c>
      <c r="AQ1033" s="18">
        <v>0</v>
      </c>
      <c r="AR1033" s="18">
        <v>0</v>
      </c>
      <c r="AS1033" s="18">
        <v>0</v>
      </c>
      <c r="AT1033" s="18">
        <v>0</v>
      </c>
      <c r="AU1033" s="18">
        <v>0</v>
      </c>
      <c r="AV1033" s="18">
        <v>0</v>
      </c>
      <c r="AW1033" s="18">
        <v>0</v>
      </c>
      <c r="AX1033" s="18">
        <f>(181.4-55.5)/5.8</f>
        <v>21.706896551724139</v>
      </c>
      <c r="AY1033" s="18">
        <f>181.4/8</f>
        <v>22.675000000000001</v>
      </c>
      <c r="AZ1033" s="147">
        <v>15.722891566265059</v>
      </c>
      <c r="BA1033" s="18">
        <v>23.09734513274336</v>
      </c>
      <c r="BB1033" s="18">
        <v>40.082644628099175</v>
      </c>
      <c r="BC1033" s="18">
        <v>19.56204379562044</v>
      </c>
      <c r="BD1033" s="25">
        <v>20.615384615384617</v>
      </c>
      <c r="BE1033" s="25">
        <v>28.255093002657222</v>
      </c>
      <c r="BF1033" s="18">
        <v>20.04830917874396</v>
      </c>
      <c r="BG1033" s="18">
        <v>16.529605263157894</v>
      </c>
      <c r="BH1033" s="113">
        <v>0</v>
      </c>
      <c r="BI1033" s="113">
        <v>0.2293577981651376</v>
      </c>
      <c r="BJ1033" s="113">
        <v>36.117216117216117</v>
      </c>
      <c r="BK1033" s="113">
        <v>18.828125</v>
      </c>
      <c r="BL1033" s="113">
        <v>2.5502697400686611</v>
      </c>
      <c r="BM1033" s="113">
        <v>10.368144252441773</v>
      </c>
      <c r="BN1033" s="113">
        <v>10.966257668711657</v>
      </c>
      <c r="BO1033" s="113">
        <v>10.825132475397426</v>
      </c>
      <c r="BP1033" s="113">
        <v>11</v>
      </c>
      <c r="BQ1033" s="113">
        <v>11</v>
      </c>
      <c r="BR1033" s="101"/>
      <c r="BS1033">
        <f t="shared" si="2096"/>
        <v>0</v>
      </c>
      <c r="BT1033">
        <f t="shared" si="2096"/>
        <v>0</v>
      </c>
      <c r="BU1033">
        <f t="shared" si="2096"/>
        <v>0</v>
      </c>
      <c r="BV1033">
        <f t="shared" si="2096"/>
        <v>0</v>
      </c>
      <c r="BW1033">
        <f t="shared" si="2096"/>
        <v>0</v>
      </c>
      <c r="BX1033">
        <f t="shared" si="2096"/>
        <v>0</v>
      </c>
      <c r="BY1033">
        <f t="shared" si="2096"/>
        <v>0</v>
      </c>
      <c r="BZ1033">
        <f t="shared" si="2096"/>
        <v>0</v>
      </c>
      <c r="CA1033">
        <f t="shared" si="2096"/>
        <v>0</v>
      </c>
      <c r="CB1033">
        <f t="shared" si="2096"/>
        <v>0</v>
      </c>
      <c r="CC1033">
        <f t="shared" si="2097"/>
        <v>0</v>
      </c>
      <c r="CD1033">
        <f t="shared" si="2097"/>
        <v>0</v>
      </c>
      <c r="CE1033">
        <f t="shared" si="2097"/>
        <v>0</v>
      </c>
      <c r="CF1033">
        <f t="shared" si="2097"/>
        <v>0</v>
      </c>
      <c r="CG1033">
        <f t="shared" si="2097"/>
        <v>0</v>
      </c>
      <c r="CH1033">
        <f t="shared" si="2097"/>
        <v>0</v>
      </c>
      <c r="CI1033">
        <f t="shared" si="2097"/>
        <v>0</v>
      </c>
      <c r="CJ1033">
        <f t="shared" si="2097"/>
        <v>0</v>
      </c>
      <c r="CK1033">
        <f t="shared" si="2097"/>
        <v>0</v>
      </c>
      <c r="CL1033">
        <f t="shared" si="2097"/>
        <v>0</v>
      </c>
      <c r="CM1033">
        <f t="shared" si="2098"/>
        <v>0</v>
      </c>
      <c r="CN1033">
        <f t="shared" si="2098"/>
        <v>0</v>
      </c>
      <c r="CO1033">
        <f t="shared" si="2098"/>
        <v>0</v>
      </c>
      <c r="CP1033">
        <f t="shared" si="2098"/>
        <v>0</v>
      </c>
      <c r="CQ1033">
        <f t="shared" si="2098"/>
        <v>0</v>
      </c>
      <c r="CR1033">
        <f t="shared" si="2098"/>
        <v>0</v>
      </c>
      <c r="CS1033">
        <f t="shared" si="2098"/>
        <v>0</v>
      </c>
      <c r="CT1033">
        <f t="shared" si="2098"/>
        <v>0</v>
      </c>
      <c r="CU1033">
        <f t="shared" si="2098"/>
        <v>0</v>
      </c>
      <c r="CV1033">
        <f t="shared" si="2098"/>
        <v>0</v>
      </c>
      <c r="CW1033">
        <f t="shared" si="2099"/>
        <v>0</v>
      </c>
      <c r="CX1033">
        <f t="shared" si="2099"/>
        <v>0</v>
      </c>
      <c r="CY1033">
        <f t="shared" si="2099"/>
        <v>0</v>
      </c>
      <c r="CZ1033">
        <f t="shared" si="2099"/>
        <v>0</v>
      </c>
      <c r="DA1033">
        <f t="shared" si="2099"/>
        <v>0</v>
      </c>
      <c r="DB1033">
        <f t="shared" si="2099"/>
        <v>0</v>
      </c>
      <c r="DC1033">
        <f t="shared" si="2099"/>
        <v>0</v>
      </c>
      <c r="DD1033">
        <f t="shared" si="2099"/>
        <v>0</v>
      </c>
      <c r="DE1033">
        <f t="shared" si="2099"/>
        <v>0</v>
      </c>
      <c r="DF1033">
        <f t="shared" si="2099"/>
        <v>0</v>
      </c>
      <c r="DG1033">
        <f t="shared" si="2100"/>
        <v>0</v>
      </c>
      <c r="DH1033">
        <f t="shared" si="2100"/>
        <v>0</v>
      </c>
      <c r="DI1033">
        <f t="shared" si="2100"/>
        <v>0</v>
      </c>
      <c r="DJ1033">
        <f t="shared" si="2100"/>
        <v>0</v>
      </c>
      <c r="DK1033">
        <f t="shared" si="2100"/>
        <v>0</v>
      </c>
      <c r="DL1033">
        <f t="shared" si="2100"/>
        <v>0</v>
      </c>
      <c r="DM1033">
        <f t="shared" si="2100"/>
        <v>0</v>
      </c>
      <c r="DN1033">
        <f t="shared" si="2100"/>
        <v>0</v>
      </c>
      <c r="DO1033">
        <f t="shared" si="2100"/>
        <v>0</v>
      </c>
      <c r="DP1033">
        <f t="shared" si="2100"/>
        <v>0</v>
      </c>
      <c r="DQ1033">
        <f t="shared" si="2101"/>
        <v>0</v>
      </c>
      <c r="DR1033">
        <f t="shared" si="2101"/>
        <v>0</v>
      </c>
      <c r="DS1033">
        <f t="shared" si="2101"/>
        <v>0</v>
      </c>
      <c r="DT1033">
        <f t="shared" si="2101"/>
        <v>0</v>
      </c>
      <c r="DU1033">
        <f t="shared" si="2101"/>
        <v>0</v>
      </c>
      <c r="DV1033">
        <f t="shared" si="2101"/>
        <v>0</v>
      </c>
      <c r="DW1033">
        <f t="shared" si="2101"/>
        <v>0</v>
      </c>
      <c r="DX1033">
        <f t="shared" si="2101"/>
        <v>0</v>
      </c>
      <c r="DY1033">
        <f t="shared" si="2101"/>
        <v>0</v>
      </c>
      <c r="DZ1033">
        <f t="shared" si="2101"/>
        <v>0</v>
      </c>
      <c r="EA1033">
        <f t="shared" ref="EA1033:EF1033" si="2103">IF($C1033&lt;&gt;"",IF(BL1033&gt;0,1,0),0)</f>
        <v>0</v>
      </c>
      <c r="EB1033">
        <f t="shared" si="2103"/>
        <v>0</v>
      </c>
      <c r="EC1033">
        <f t="shared" si="2103"/>
        <v>0</v>
      </c>
      <c r="ED1033">
        <f t="shared" si="2103"/>
        <v>0</v>
      </c>
      <c r="EE1033">
        <f t="shared" si="2103"/>
        <v>0</v>
      </c>
      <c r="EF1033">
        <f t="shared" si="2103"/>
        <v>0</v>
      </c>
    </row>
    <row r="1034" spans="1:136" ht="15.5">
      <c r="A1034" s="90"/>
      <c r="B1034" s="37"/>
      <c r="C1034" s="94"/>
      <c r="D1034" s="31"/>
      <c r="E1034" s="31"/>
      <c r="F1034" s="31"/>
      <c r="G1034" s="31"/>
      <c r="H1034" s="31"/>
      <c r="I1034" s="31"/>
      <c r="J1034" s="31"/>
      <c r="K1034" s="31"/>
      <c r="L1034" s="31"/>
      <c r="M1034" s="31"/>
      <c r="N1034" s="31"/>
      <c r="O1034" s="31"/>
      <c r="P1034" s="31"/>
      <c r="Q1034" s="31"/>
      <c r="R1034" s="31"/>
      <c r="S1034" s="31"/>
      <c r="T1034" s="31"/>
      <c r="U1034" s="31"/>
      <c r="V1034" s="31"/>
      <c r="W1034" s="31"/>
      <c r="X1034" s="31"/>
      <c r="Y1034" s="31"/>
      <c r="Z1034" s="31"/>
      <c r="AA1034" s="31"/>
      <c r="AB1034" s="31"/>
      <c r="AC1034" s="31"/>
      <c r="AD1034" s="31"/>
      <c r="AE1034" s="31"/>
      <c r="AF1034" s="31"/>
      <c r="AG1034" s="31"/>
      <c r="AH1034" s="31"/>
      <c r="AI1034" s="31"/>
      <c r="AJ1034" s="31"/>
      <c r="AK1034" s="31"/>
      <c r="AL1034" s="31"/>
      <c r="AM1034" s="31"/>
      <c r="AN1034" s="31"/>
      <c r="AO1034" s="31"/>
      <c r="AP1034" s="31"/>
      <c r="AQ1034" s="31"/>
      <c r="AR1034" s="31"/>
      <c r="AS1034" s="31"/>
      <c r="AT1034" s="31"/>
      <c r="AU1034" s="31"/>
      <c r="AV1034" s="31"/>
      <c r="AW1034" s="31"/>
      <c r="AX1034" s="31"/>
      <c r="AY1034" s="31"/>
      <c r="AZ1034" s="31"/>
      <c r="BA1034" s="31"/>
      <c r="BB1034" s="31"/>
      <c r="BC1034" s="31"/>
      <c r="BD1034" s="31"/>
      <c r="BE1034" s="55"/>
      <c r="BF1034" s="18"/>
      <c r="BG1034" s="31" t="s">
        <v>172</v>
      </c>
      <c r="BH1034" s="2"/>
      <c r="BI1034" s="2"/>
      <c r="BJ1034" s="2"/>
      <c r="BK1034" s="2"/>
      <c r="BL1034" s="22"/>
      <c r="BM1034" s="2"/>
      <c r="BN1034" s="2"/>
      <c r="BO1034" s="2"/>
      <c r="BP1034" s="2"/>
      <c r="BQ1034" s="2"/>
      <c r="BR1034" s="101"/>
    </row>
    <row r="1035" spans="1:136" ht="15.5">
      <c r="A1035" s="93">
        <v>130</v>
      </c>
      <c r="B1035" s="108" t="s">
        <v>131</v>
      </c>
      <c r="C1035" s="94">
        <v>4</v>
      </c>
      <c r="D1035" s="18"/>
      <c r="E1035" s="22">
        <f t="shared" ref="E1035:AJ1035" si="2104">SUM(E1036:E1043)</f>
        <v>0</v>
      </c>
      <c r="F1035" s="22">
        <f t="shared" si="2104"/>
        <v>0</v>
      </c>
      <c r="G1035" s="22">
        <f t="shared" si="2104"/>
        <v>0</v>
      </c>
      <c r="H1035" s="22">
        <f t="shared" si="2104"/>
        <v>0</v>
      </c>
      <c r="I1035" s="22">
        <f t="shared" si="2104"/>
        <v>0</v>
      </c>
      <c r="J1035" s="22">
        <f t="shared" si="2104"/>
        <v>0</v>
      </c>
      <c r="K1035" s="22">
        <f t="shared" si="2104"/>
        <v>0</v>
      </c>
      <c r="L1035" s="22">
        <f t="shared" si="2104"/>
        <v>0</v>
      </c>
      <c r="M1035" s="22">
        <f t="shared" si="2104"/>
        <v>0</v>
      </c>
      <c r="N1035" s="22">
        <f t="shared" si="2104"/>
        <v>2.6286400000000001E-2</v>
      </c>
      <c r="O1035" s="22">
        <f t="shared" si="2104"/>
        <v>8.3843699999999993E-2</v>
      </c>
      <c r="P1035" s="22">
        <f t="shared" si="2104"/>
        <v>8.5463399999999995E-2</v>
      </c>
      <c r="Q1035" s="22">
        <f t="shared" si="2104"/>
        <v>9.3033000000000005E-2</v>
      </c>
      <c r="R1035" s="22">
        <f t="shared" si="2104"/>
        <v>0.816222</v>
      </c>
      <c r="S1035" s="22">
        <f t="shared" si="2104"/>
        <v>5.3542129000000003</v>
      </c>
      <c r="T1035" s="22">
        <f t="shared" si="2104"/>
        <v>18.693652199999999</v>
      </c>
      <c r="U1035" s="22">
        <f t="shared" si="2104"/>
        <v>65.523852199999993</v>
      </c>
      <c r="V1035" s="22">
        <f t="shared" si="2104"/>
        <v>25.919892700000002</v>
      </c>
      <c r="W1035" s="22">
        <f t="shared" si="2104"/>
        <v>40.319982299999999</v>
      </c>
      <c r="X1035" s="22">
        <f t="shared" si="2104"/>
        <v>60.901848899999997</v>
      </c>
      <c r="Y1035" s="22">
        <f t="shared" si="2104"/>
        <v>129.4434177</v>
      </c>
      <c r="Z1035" s="22">
        <f t="shared" si="2104"/>
        <v>174.2058409</v>
      </c>
      <c r="AA1035" s="22">
        <f t="shared" si="2104"/>
        <v>55.702724699999997</v>
      </c>
      <c r="AB1035" s="22">
        <f t="shared" si="2104"/>
        <v>59</v>
      </c>
      <c r="AC1035" s="22">
        <f t="shared" si="2104"/>
        <v>220.47591741861777</v>
      </c>
      <c r="AD1035" s="22">
        <f t="shared" si="2104"/>
        <v>269.12613147780814</v>
      </c>
      <c r="AE1035" s="22">
        <f t="shared" si="2104"/>
        <v>350.71932487274813</v>
      </c>
      <c r="AF1035" s="22">
        <f t="shared" si="2104"/>
        <v>468.03388728659553</v>
      </c>
      <c r="AG1035" s="22">
        <f t="shared" si="2104"/>
        <v>771.53779952507466</v>
      </c>
      <c r="AH1035" s="22">
        <f t="shared" si="2104"/>
        <v>886.14356811003324</v>
      </c>
      <c r="AI1035" s="22">
        <f t="shared" si="2104"/>
        <v>977.00396948806031</v>
      </c>
      <c r="AJ1035" s="22">
        <f t="shared" si="2104"/>
        <v>1004.9448744449007</v>
      </c>
      <c r="AK1035" s="22">
        <f t="shared" ref="AK1035:BQ1035" si="2105">SUM(AK1036:AK1043)</f>
        <v>446.72684440117166</v>
      </c>
      <c r="AL1035" s="22">
        <f t="shared" si="2105"/>
        <v>715.70169623430968</v>
      </c>
      <c r="AM1035" s="22">
        <f t="shared" si="2105"/>
        <v>609.93217759999993</v>
      </c>
      <c r="AN1035" s="22">
        <f t="shared" si="2105"/>
        <v>144.85952950000001</v>
      </c>
      <c r="AO1035" s="22">
        <f t="shared" si="2105"/>
        <v>178.15665580000001</v>
      </c>
      <c r="AP1035" s="22">
        <f t="shared" si="2105"/>
        <v>144.08461160000002</v>
      </c>
      <c r="AQ1035" s="22">
        <f t="shared" si="2105"/>
        <v>165.9749515</v>
      </c>
      <c r="AR1035" s="22">
        <f t="shared" si="2105"/>
        <v>107.22267119999999</v>
      </c>
      <c r="AS1035" s="22">
        <f t="shared" si="2105"/>
        <v>208.4304473</v>
      </c>
      <c r="AT1035" s="22">
        <f t="shared" si="2105"/>
        <v>89.013896000000003</v>
      </c>
      <c r="AU1035" s="22">
        <f t="shared" si="2105"/>
        <v>109.4845526</v>
      </c>
      <c r="AV1035" s="22">
        <f t="shared" si="2105"/>
        <v>100.78696839999999</v>
      </c>
      <c r="AW1035" s="22">
        <f t="shared" si="2105"/>
        <v>294.07047180000001</v>
      </c>
      <c r="AX1035" s="22">
        <f t="shared" si="2105"/>
        <v>519.81675079999991</v>
      </c>
      <c r="AY1035" s="22">
        <f t="shared" si="2105"/>
        <v>1176.0695449</v>
      </c>
      <c r="AZ1035" s="22">
        <f t="shared" si="2105"/>
        <v>219.52939699999999</v>
      </c>
      <c r="BA1035" s="22">
        <f t="shared" si="2105"/>
        <v>232.776804</v>
      </c>
      <c r="BB1035" s="22">
        <f t="shared" si="2105"/>
        <v>222.80443769999999</v>
      </c>
      <c r="BC1035" s="22">
        <f t="shared" si="2105"/>
        <v>219.72673069999999</v>
      </c>
      <c r="BD1035" s="22">
        <f t="shared" si="2105"/>
        <v>220.69128409999999</v>
      </c>
      <c r="BE1035" s="22">
        <f t="shared" si="2105"/>
        <v>205.5219218</v>
      </c>
      <c r="BF1035" s="22">
        <f t="shared" si="2105"/>
        <v>205.98249959999998</v>
      </c>
      <c r="BG1035" s="22">
        <f t="shared" si="2105"/>
        <v>202.2440239</v>
      </c>
      <c r="BH1035" s="22">
        <f t="shared" si="2105"/>
        <v>202.4386221</v>
      </c>
      <c r="BI1035" s="22">
        <f t="shared" si="2105"/>
        <v>202.7764325</v>
      </c>
      <c r="BJ1035" s="22">
        <f t="shared" si="2105"/>
        <v>203.02237199999999</v>
      </c>
      <c r="BK1035" s="22">
        <f t="shared" si="2105"/>
        <v>196.946212</v>
      </c>
      <c r="BL1035" s="22">
        <f t="shared" si="2105"/>
        <v>195.25400350000001</v>
      </c>
      <c r="BM1035" s="22">
        <f t="shared" si="2105"/>
        <v>203.10926369999999</v>
      </c>
      <c r="BN1035" s="22">
        <f t="shared" si="2105"/>
        <v>202.93</v>
      </c>
      <c r="BO1035" s="22">
        <f t="shared" si="2105"/>
        <v>213</v>
      </c>
      <c r="BP1035" s="22">
        <f t="shared" si="2105"/>
        <v>239.00702100000001</v>
      </c>
      <c r="BQ1035" s="22">
        <f t="shared" si="2105"/>
        <v>239.4</v>
      </c>
      <c r="BR1035" s="101"/>
      <c r="BS1035">
        <f t="shared" ref="BS1035:CX1035" si="2106">IF($C1035&lt;&gt;"",IF(D1035&gt;0,1,0),0)</f>
        <v>0</v>
      </c>
      <c r="BT1035">
        <f t="shared" si="2106"/>
        <v>0</v>
      </c>
      <c r="BU1035">
        <f t="shared" si="2106"/>
        <v>0</v>
      </c>
      <c r="BV1035">
        <f t="shared" si="2106"/>
        <v>0</v>
      </c>
      <c r="BW1035">
        <f t="shared" si="2106"/>
        <v>0</v>
      </c>
      <c r="BX1035">
        <f t="shared" si="2106"/>
        <v>0</v>
      </c>
      <c r="BY1035">
        <f t="shared" si="2106"/>
        <v>0</v>
      </c>
      <c r="BZ1035">
        <f t="shared" si="2106"/>
        <v>0</v>
      </c>
      <c r="CA1035">
        <f t="shared" si="2106"/>
        <v>0</v>
      </c>
      <c r="CB1035">
        <f t="shared" si="2106"/>
        <v>0</v>
      </c>
      <c r="CC1035">
        <f t="shared" si="2106"/>
        <v>1</v>
      </c>
      <c r="CD1035">
        <f t="shared" si="2106"/>
        <v>1</v>
      </c>
      <c r="CE1035">
        <f t="shared" si="2106"/>
        <v>1</v>
      </c>
      <c r="CF1035">
        <f t="shared" si="2106"/>
        <v>1</v>
      </c>
      <c r="CG1035">
        <f t="shared" si="2106"/>
        <v>1</v>
      </c>
      <c r="CH1035">
        <f t="shared" si="2106"/>
        <v>1</v>
      </c>
      <c r="CI1035">
        <f t="shared" si="2106"/>
        <v>1</v>
      </c>
      <c r="CJ1035">
        <f t="shared" si="2106"/>
        <v>1</v>
      </c>
      <c r="CK1035">
        <f t="shared" si="2106"/>
        <v>1</v>
      </c>
      <c r="CL1035">
        <f t="shared" si="2106"/>
        <v>1</v>
      </c>
      <c r="CM1035">
        <f t="shared" si="2106"/>
        <v>1</v>
      </c>
      <c r="CN1035">
        <f t="shared" si="2106"/>
        <v>1</v>
      </c>
      <c r="CO1035">
        <f t="shared" si="2106"/>
        <v>1</v>
      </c>
      <c r="CP1035">
        <f t="shared" si="2106"/>
        <v>1</v>
      </c>
      <c r="CQ1035">
        <f t="shared" si="2106"/>
        <v>1</v>
      </c>
      <c r="CR1035">
        <f t="shared" si="2106"/>
        <v>1</v>
      </c>
      <c r="CS1035">
        <f t="shared" si="2106"/>
        <v>1</v>
      </c>
      <c r="CT1035">
        <f t="shared" si="2106"/>
        <v>1</v>
      </c>
      <c r="CU1035">
        <f t="shared" si="2106"/>
        <v>1</v>
      </c>
      <c r="CV1035">
        <f t="shared" si="2106"/>
        <v>1</v>
      </c>
      <c r="CW1035">
        <f t="shared" si="2106"/>
        <v>1</v>
      </c>
      <c r="CX1035">
        <f t="shared" si="2106"/>
        <v>1</v>
      </c>
      <c r="CY1035">
        <f t="shared" ref="CY1035:ED1035" si="2107">IF($C1035&lt;&gt;"",IF(AJ1035&gt;0,1,0),0)</f>
        <v>1</v>
      </c>
      <c r="CZ1035">
        <f t="shared" si="2107"/>
        <v>1</v>
      </c>
      <c r="DA1035">
        <f t="shared" si="2107"/>
        <v>1</v>
      </c>
      <c r="DB1035">
        <f t="shared" si="2107"/>
        <v>1</v>
      </c>
      <c r="DC1035">
        <f t="shared" si="2107"/>
        <v>1</v>
      </c>
      <c r="DD1035">
        <f t="shared" si="2107"/>
        <v>1</v>
      </c>
      <c r="DE1035">
        <f t="shared" si="2107"/>
        <v>1</v>
      </c>
      <c r="DF1035">
        <f t="shared" si="2107"/>
        <v>1</v>
      </c>
      <c r="DG1035">
        <f t="shared" si="2107"/>
        <v>1</v>
      </c>
      <c r="DH1035">
        <f t="shared" si="2107"/>
        <v>1</v>
      </c>
      <c r="DI1035">
        <f t="shared" si="2107"/>
        <v>1</v>
      </c>
      <c r="DJ1035">
        <f t="shared" si="2107"/>
        <v>1</v>
      </c>
      <c r="DK1035">
        <f t="shared" si="2107"/>
        <v>1</v>
      </c>
      <c r="DL1035">
        <f t="shared" si="2107"/>
        <v>1</v>
      </c>
      <c r="DM1035">
        <f t="shared" si="2107"/>
        <v>1</v>
      </c>
      <c r="DN1035">
        <f t="shared" si="2107"/>
        <v>1</v>
      </c>
      <c r="DO1035">
        <f t="shared" si="2107"/>
        <v>1</v>
      </c>
      <c r="DP1035">
        <f t="shared" si="2107"/>
        <v>1</v>
      </c>
      <c r="DQ1035">
        <f t="shared" si="2107"/>
        <v>1</v>
      </c>
      <c r="DR1035">
        <f t="shared" si="2107"/>
        <v>1</v>
      </c>
      <c r="DS1035">
        <f t="shared" si="2107"/>
        <v>1</v>
      </c>
      <c r="DT1035">
        <f t="shared" si="2107"/>
        <v>1</v>
      </c>
      <c r="DU1035">
        <f t="shared" si="2107"/>
        <v>1</v>
      </c>
      <c r="DV1035">
        <f t="shared" si="2107"/>
        <v>1</v>
      </c>
      <c r="DW1035">
        <f t="shared" si="2107"/>
        <v>1</v>
      </c>
      <c r="DX1035">
        <f t="shared" si="2107"/>
        <v>1</v>
      </c>
      <c r="DY1035">
        <f t="shared" si="2107"/>
        <v>1</v>
      </c>
      <c r="DZ1035">
        <f t="shared" si="2107"/>
        <v>1</v>
      </c>
      <c r="EA1035">
        <f t="shared" si="2107"/>
        <v>1</v>
      </c>
      <c r="EB1035">
        <f t="shared" si="2107"/>
        <v>1</v>
      </c>
      <c r="EC1035">
        <f t="shared" si="2107"/>
        <v>1</v>
      </c>
      <c r="ED1035">
        <f t="shared" si="2107"/>
        <v>1</v>
      </c>
      <c r="EE1035">
        <f t="shared" ref="EE1035:EF1035" si="2108">IF($C1035&lt;&gt;"",IF(BP1035&gt;0,1,0),0)</f>
        <v>1</v>
      </c>
      <c r="EF1035">
        <f t="shared" si="2108"/>
        <v>1</v>
      </c>
    </row>
    <row r="1036" spans="1:136" ht="15.5">
      <c r="A1036" s="90"/>
      <c r="B1036" s="24" t="s">
        <v>15</v>
      </c>
      <c r="C1036" s="94"/>
      <c r="D1036" s="58"/>
      <c r="E1036" s="58">
        <v>0</v>
      </c>
      <c r="F1036" s="58">
        <v>0</v>
      </c>
      <c r="G1036" s="58">
        <v>0</v>
      </c>
      <c r="H1036" s="58">
        <v>0</v>
      </c>
      <c r="I1036" s="58">
        <v>0</v>
      </c>
      <c r="J1036" s="58">
        <v>0</v>
      </c>
      <c r="K1036" s="58">
        <v>0</v>
      </c>
      <c r="L1036" s="58">
        <v>0</v>
      </c>
      <c r="M1036" s="58">
        <v>0</v>
      </c>
      <c r="N1036" s="58">
        <v>0</v>
      </c>
      <c r="O1036" s="58">
        <v>0</v>
      </c>
      <c r="P1036" s="58">
        <v>0</v>
      </c>
      <c r="Q1036" s="58">
        <v>0</v>
      </c>
      <c r="R1036" s="58">
        <v>0</v>
      </c>
      <c r="S1036" s="58">
        <v>0</v>
      </c>
      <c r="T1036" s="58">
        <v>0</v>
      </c>
      <c r="U1036" s="58">
        <v>0</v>
      </c>
      <c r="V1036" s="58">
        <v>0</v>
      </c>
      <c r="W1036" s="58">
        <v>0</v>
      </c>
      <c r="X1036" s="58">
        <v>6.6</v>
      </c>
      <c r="Y1036" s="58">
        <v>0</v>
      </c>
      <c r="Z1036" s="58">
        <v>6.2</v>
      </c>
      <c r="AA1036" s="58">
        <v>0</v>
      </c>
      <c r="AB1036" s="58">
        <v>0</v>
      </c>
      <c r="AC1036" s="34">
        <v>112.52049831861778</v>
      </c>
      <c r="AD1036" s="34">
        <v>136.05991777780815</v>
      </c>
      <c r="AE1036" s="34">
        <v>153.67299587274815</v>
      </c>
      <c r="AF1036" s="34">
        <v>156.05915048659554</v>
      </c>
      <c r="AG1036" s="34">
        <v>162.99960642507469</v>
      </c>
      <c r="AH1036" s="34">
        <v>186.86948301003324</v>
      </c>
      <c r="AI1036" s="34">
        <v>196.5437298880604</v>
      </c>
      <c r="AJ1036" s="34">
        <v>197.93545944490066</v>
      </c>
      <c r="AK1036" s="34">
        <v>201.69422540117168</v>
      </c>
      <c r="AL1036" s="34">
        <v>225.58955413430971</v>
      </c>
      <c r="AM1036" s="34">
        <v>0</v>
      </c>
      <c r="AN1036" s="34">
        <v>0</v>
      </c>
      <c r="AO1036" s="34">
        <v>0</v>
      </c>
      <c r="AP1036" s="34">
        <v>0</v>
      </c>
      <c r="AQ1036" s="34">
        <v>0</v>
      </c>
      <c r="AR1036" s="34">
        <v>0</v>
      </c>
      <c r="AS1036" s="34">
        <v>0</v>
      </c>
      <c r="AT1036" s="34">
        <v>0</v>
      </c>
      <c r="AU1036" s="34">
        <v>0</v>
      </c>
      <c r="AV1036" s="34">
        <v>0</v>
      </c>
      <c r="AW1036" s="34">
        <v>0</v>
      </c>
      <c r="AX1036" s="34">
        <v>0</v>
      </c>
      <c r="AY1036" s="34">
        <v>0</v>
      </c>
      <c r="AZ1036" s="34">
        <v>0</v>
      </c>
      <c r="BA1036" s="34">
        <v>0</v>
      </c>
      <c r="BB1036" s="34">
        <v>0</v>
      </c>
      <c r="BC1036" s="34">
        <v>0</v>
      </c>
      <c r="BD1036" s="18">
        <v>0</v>
      </c>
      <c r="BE1036" s="25">
        <v>0</v>
      </c>
      <c r="BF1036" s="18">
        <v>0</v>
      </c>
      <c r="BG1036" s="18">
        <v>0</v>
      </c>
      <c r="BH1036" s="18">
        <v>0</v>
      </c>
      <c r="BI1036" s="18">
        <v>0</v>
      </c>
      <c r="BJ1036" s="113">
        <v>0</v>
      </c>
      <c r="BK1036" s="113">
        <v>0</v>
      </c>
      <c r="BL1036" s="113">
        <v>0</v>
      </c>
      <c r="BM1036" s="113">
        <v>0</v>
      </c>
      <c r="BN1036" s="113">
        <v>0</v>
      </c>
      <c r="BO1036" s="113">
        <v>0</v>
      </c>
      <c r="BP1036" s="113">
        <v>0</v>
      </c>
      <c r="BQ1036" s="113">
        <v>0</v>
      </c>
      <c r="BR1036" s="101"/>
      <c r="BS1036">
        <f t="shared" ref="BS1036:BS1044" si="2109">IF($C1036&lt;&gt;"",IF(D1036&gt;0,1,0),0)</f>
        <v>0</v>
      </c>
      <c r="BT1036">
        <f t="shared" ref="BT1036:BT1044" si="2110">IF($C1036&lt;&gt;"",IF(E1036&gt;0,1,0),0)</f>
        <v>0</v>
      </c>
      <c r="BU1036">
        <f t="shared" ref="BU1036:BU1044" si="2111">IF($C1036&lt;&gt;"",IF(F1036&gt;0,1,0),0)</f>
        <v>0</v>
      </c>
      <c r="BV1036">
        <f t="shared" ref="BV1036:BV1044" si="2112">IF($C1036&lt;&gt;"",IF(G1036&gt;0,1,0),0)</f>
        <v>0</v>
      </c>
      <c r="BW1036">
        <f t="shared" ref="BW1036:BW1044" si="2113">IF($C1036&lt;&gt;"",IF(H1036&gt;0,1,0),0)</f>
        <v>0</v>
      </c>
      <c r="BX1036">
        <f t="shared" ref="BX1036:BX1044" si="2114">IF($C1036&lt;&gt;"",IF(I1036&gt;0,1,0),0)</f>
        <v>0</v>
      </c>
      <c r="BY1036">
        <f t="shared" ref="BY1036:BY1044" si="2115">IF($C1036&lt;&gt;"",IF(J1036&gt;0,1,0),0)</f>
        <v>0</v>
      </c>
      <c r="BZ1036">
        <f t="shared" ref="BZ1036:BZ1044" si="2116">IF($C1036&lt;&gt;"",IF(K1036&gt;0,1,0),0)</f>
        <v>0</v>
      </c>
      <c r="CA1036">
        <f t="shared" ref="CA1036:CA1044" si="2117">IF($C1036&lt;&gt;"",IF(L1036&gt;0,1,0),0)</f>
        <v>0</v>
      </c>
      <c r="CB1036">
        <f t="shared" ref="CB1036:CB1044" si="2118">IF($C1036&lt;&gt;"",IF(M1036&gt;0,1,0),0)</f>
        <v>0</v>
      </c>
      <c r="CC1036">
        <f t="shared" ref="CC1036:CC1044" si="2119">IF($C1036&lt;&gt;"",IF(N1036&gt;0,1,0),0)</f>
        <v>0</v>
      </c>
      <c r="CD1036">
        <f t="shared" ref="CD1036:CD1044" si="2120">IF($C1036&lt;&gt;"",IF(O1036&gt;0,1,0),0)</f>
        <v>0</v>
      </c>
      <c r="CE1036">
        <f t="shared" ref="CE1036:CE1044" si="2121">IF($C1036&lt;&gt;"",IF(P1036&gt;0,1,0),0)</f>
        <v>0</v>
      </c>
      <c r="CF1036">
        <f t="shared" ref="CF1036:CF1044" si="2122">IF($C1036&lt;&gt;"",IF(Q1036&gt;0,1,0),0)</f>
        <v>0</v>
      </c>
      <c r="CG1036">
        <f t="shared" ref="CG1036:CG1044" si="2123">IF($C1036&lt;&gt;"",IF(R1036&gt;0,1,0),0)</f>
        <v>0</v>
      </c>
      <c r="CH1036">
        <f t="shared" ref="CH1036:CH1044" si="2124">IF($C1036&lt;&gt;"",IF(S1036&gt;0,1,0),0)</f>
        <v>0</v>
      </c>
      <c r="CI1036">
        <f t="shared" ref="CI1036:CI1044" si="2125">IF($C1036&lt;&gt;"",IF(T1036&gt;0,1,0),0)</f>
        <v>0</v>
      </c>
      <c r="CJ1036">
        <f t="shared" ref="CJ1036:CJ1044" si="2126">IF($C1036&lt;&gt;"",IF(U1036&gt;0,1,0),0)</f>
        <v>0</v>
      </c>
      <c r="CK1036">
        <f t="shared" ref="CK1036:CK1044" si="2127">IF($C1036&lt;&gt;"",IF(V1036&gt;0,1,0),0)</f>
        <v>0</v>
      </c>
      <c r="CL1036">
        <f t="shared" ref="CL1036:CL1044" si="2128">IF($C1036&lt;&gt;"",IF(W1036&gt;0,1,0),0)</f>
        <v>0</v>
      </c>
      <c r="CM1036">
        <f t="shared" ref="CM1036:CM1044" si="2129">IF($C1036&lt;&gt;"",IF(X1036&gt;0,1,0),0)</f>
        <v>0</v>
      </c>
      <c r="CN1036">
        <f t="shared" ref="CN1036:CN1044" si="2130">IF($C1036&lt;&gt;"",IF(Y1036&gt;0,1,0),0)</f>
        <v>0</v>
      </c>
      <c r="CO1036">
        <f t="shared" ref="CO1036:CO1044" si="2131">IF($C1036&lt;&gt;"",IF(Z1036&gt;0,1,0),0)</f>
        <v>0</v>
      </c>
      <c r="CP1036">
        <f t="shared" ref="CP1036:CP1044" si="2132">IF($C1036&lt;&gt;"",IF(AA1036&gt;0,1,0),0)</f>
        <v>0</v>
      </c>
      <c r="CQ1036">
        <f t="shared" ref="CQ1036:CQ1044" si="2133">IF($C1036&lt;&gt;"",IF(AB1036&gt;0,1,0),0)</f>
        <v>0</v>
      </c>
      <c r="CR1036">
        <f t="shared" ref="CR1036:CR1044" si="2134">IF($C1036&lt;&gt;"",IF(AC1036&gt;0,1,0),0)</f>
        <v>0</v>
      </c>
      <c r="CS1036">
        <f t="shared" ref="CS1036:CS1044" si="2135">IF($C1036&lt;&gt;"",IF(AD1036&gt;0,1,0),0)</f>
        <v>0</v>
      </c>
      <c r="CT1036">
        <f t="shared" ref="CT1036:CT1044" si="2136">IF($C1036&lt;&gt;"",IF(AE1036&gt;0,1,0),0)</f>
        <v>0</v>
      </c>
      <c r="CU1036">
        <f t="shared" ref="CU1036:CU1044" si="2137">IF($C1036&lt;&gt;"",IF(AF1036&gt;0,1,0),0)</f>
        <v>0</v>
      </c>
      <c r="CV1036">
        <f t="shared" ref="CV1036:CV1044" si="2138">IF($C1036&lt;&gt;"",IF(AG1036&gt;0,1,0),0)</f>
        <v>0</v>
      </c>
      <c r="CW1036">
        <f t="shared" ref="CW1036:CW1044" si="2139">IF($C1036&lt;&gt;"",IF(AH1036&gt;0,1,0),0)</f>
        <v>0</v>
      </c>
      <c r="CX1036">
        <f t="shared" ref="CX1036:CX1044" si="2140">IF($C1036&lt;&gt;"",IF(AI1036&gt;0,1,0),0)</f>
        <v>0</v>
      </c>
      <c r="CY1036">
        <f t="shared" ref="CY1036:CY1044" si="2141">IF($C1036&lt;&gt;"",IF(AJ1036&gt;0,1,0),0)</f>
        <v>0</v>
      </c>
      <c r="CZ1036">
        <f t="shared" ref="CZ1036:CZ1044" si="2142">IF($C1036&lt;&gt;"",IF(AK1036&gt;0,1,0),0)</f>
        <v>0</v>
      </c>
      <c r="DA1036">
        <f t="shared" ref="DA1036:DA1044" si="2143">IF($C1036&lt;&gt;"",IF(AL1036&gt;0,1,0),0)</f>
        <v>0</v>
      </c>
      <c r="DB1036">
        <f t="shared" ref="DB1036:DB1044" si="2144">IF($C1036&lt;&gt;"",IF(AM1036&gt;0,1,0),0)</f>
        <v>0</v>
      </c>
      <c r="DC1036">
        <f t="shared" ref="DC1036:DC1044" si="2145">IF($C1036&lt;&gt;"",IF(AN1036&gt;0,1,0),0)</f>
        <v>0</v>
      </c>
      <c r="DD1036">
        <f t="shared" ref="DD1036:DD1044" si="2146">IF($C1036&lt;&gt;"",IF(AO1036&gt;0,1,0),0)</f>
        <v>0</v>
      </c>
      <c r="DE1036">
        <f t="shared" ref="DE1036:DE1044" si="2147">IF($C1036&lt;&gt;"",IF(AP1036&gt;0,1,0),0)</f>
        <v>0</v>
      </c>
      <c r="DF1036">
        <f t="shared" ref="DF1036:DF1044" si="2148">IF($C1036&lt;&gt;"",IF(AQ1036&gt;0,1,0),0)</f>
        <v>0</v>
      </c>
      <c r="DG1036">
        <f t="shared" ref="DG1036:DG1044" si="2149">IF($C1036&lt;&gt;"",IF(AR1036&gt;0,1,0),0)</f>
        <v>0</v>
      </c>
      <c r="DH1036">
        <f t="shared" ref="DH1036:DH1044" si="2150">IF($C1036&lt;&gt;"",IF(AS1036&gt;0,1,0),0)</f>
        <v>0</v>
      </c>
      <c r="DI1036">
        <f t="shared" ref="DI1036:DI1044" si="2151">IF($C1036&lt;&gt;"",IF(AT1036&gt;0,1,0),0)</f>
        <v>0</v>
      </c>
      <c r="DJ1036">
        <f t="shared" ref="DJ1036:DJ1044" si="2152">IF($C1036&lt;&gt;"",IF(AU1036&gt;0,1,0),0)</f>
        <v>0</v>
      </c>
      <c r="DK1036">
        <f t="shared" ref="DK1036:DK1044" si="2153">IF($C1036&lt;&gt;"",IF(AV1036&gt;0,1,0),0)</f>
        <v>0</v>
      </c>
      <c r="DL1036">
        <f t="shared" ref="DL1036:DL1044" si="2154">IF($C1036&lt;&gt;"",IF(AW1036&gt;0,1,0),0)</f>
        <v>0</v>
      </c>
      <c r="DM1036">
        <f t="shared" ref="DM1036:DM1044" si="2155">IF($C1036&lt;&gt;"",IF(AX1036&gt;0,1,0),0)</f>
        <v>0</v>
      </c>
      <c r="DN1036">
        <f t="shared" ref="DN1036:DN1044" si="2156">IF($C1036&lt;&gt;"",IF(AY1036&gt;0,1,0),0)</f>
        <v>0</v>
      </c>
      <c r="DO1036">
        <f t="shared" ref="DO1036:DO1044" si="2157">IF($C1036&lt;&gt;"",IF(AZ1036&gt;0,1,0),0)</f>
        <v>0</v>
      </c>
      <c r="DP1036">
        <f t="shared" ref="DP1036:DP1044" si="2158">IF($C1036&lt;&gt;"",IF(BA1036&gt;0,1,0),0)</f>
        <v>0</v>
      </c>
      <c r="DQ1036">
        <f t="shared" ref="DQ1036:DQ1044" si="2159">IF($C1036&lt;&gt;"",IF(BB1036&gt;0,1,0),0)</f>
        <v>0</v>
      </c>
      <c r="DR1036">
        <f t="shared" ref="DR1036:DR1044" si="2160">IF($C1036&lt;&gt;"",IF(BC1036&gt;0,1,0),0)</f>
        <v>0</v>
      </c>
      <c r="DS1036">
        <f t="shared" ref="DS1036:DS1044" si="2161">IF($C1036&lt;&gt;"",IF(BD1036&gt;0,1,0),0)</f>
        <v>0</v>
      </c>
      <c r="DT1036">
        <f t="shared" ref="DT1036:DT1044" si="2162">IF($C1036&lt;&gt;"",IF(BE1036&gt;0,1,0),0)</f>
        <v>0</v>
      </c>
      <c r="DU1036">
        <f t="shared" ref="DU1036:DU1044" si="2163">IF($C1036&lt;&gt;"",IF(BF1036&gt;0,1,0),0)</f>
        <v>0</v>
      </c>
      <c r="DV1036">
        <f t="shared" ref="DV1036:DV1044" si="2164">IF($C1036&lt;&gt;"",IF(BG1036&gt;0,1,0),0)</f>
        <v>0</v>
      </c>
      <c r="DW1036">
        <f t="shared" ref="DW1036:DW1044" si="2165">IF($C1036&lt;&gt;"",IF(BH1036&gt;0,1,0),0)</f>
        <v>0</v>
      </c>
      <c r="DX1036">
        <f t="shared" ref="DX1036:DX1044" si="2166">IF($C1036&lt;&gt;"",IF(BI1036&gt;0,1,0),0)</f>
        <v>0</v>
      </c>
      <c r="DY1036">
        <f t="shared" ref="DY1036:DY1044" si="2167">IF($C1036&lt;&gt;"",IF(BJ1036&gt;0,1,0),0)</f>
        <v>0</v>
      </c>
      <c r="DZ1036">
        <f t="shared" ref="DZ1036:DZ1044" si="2168">IF($C1036&lt;&gt;"",IF(BK1036&gt;0,1,0),0)</f>
        <v>0</v>
      </c>
      <c r="EA1036">
        <f t="shared" ref="EA1036:EF1043" si="2169">IF($C1036&lt;&gt;"",IF(BL1035&gt;0,1,0),0)</f>
        <v>0</v>
      </c>
      <c r="EB1036">
        <f t="shared" si="2169"/>
        <v>0</v>
      </c>
      <c r="EC1036">
        <f t="shared" si="2169"/>
        <v>0</v>
      </c>
      <c r="ED1036">
        <f t="shared" si="2169"/>
        <v>0</v>
      </c>
      <c r="EE1036">
        <f t="shared" si="2169"/>
        <v>0</v>
      </c>
      <c r="EF1036">
        <f t="shared" si="2169"/>
        <v>0</v>
      </c>
    </row>
    <row r="1037" spans="1:136" ht="15.5">
      <c r="A1037" s="90"/>
      <c r="B1037" s="57" t="s">
        <v>184</v>
      </c>
      <c r="C1037" s="94"/>
      <c r="D1037" s="58"/>
      <c r="E1037" s="58">
        <v>0</v>
      </c>
      <c r="F1037" s="58">
        <v>0</v>
      </c>
      <c r="G1037" s="58">
        <v>0</v>
      </c>
      <c r="H1037" s="58">
        <v>0</v>
      </c>
      <c r="I1037" s="58">
        <v>0</v>
      </c>
      <c r="J1037" s="58">
        <v>0</v>
      </c>
      <c r="K1037" s="58">
        <v>0</v>
      </c>
      <c r="L1037" s="58">
        <v>0</v>
      </c>
      <c r="M1037" s="58">
        <v>0</v>
      </c>
      <c r="N1037" s="58">
        <v>0</v>
      </c>
      <c r="O1037" s="58">
        <v>0</v>
      </c>
      <c r="P1037" s="58">
        <v>0</v>
      </c>
      <c r="Q1037" s="58">
        <v>0</v>
      </c>
      <c r="R1037" s="58">
        <v>0</v>
      </c>
      <c r="S1037" s="58">
        <v>0</v>
      </c>
      <c r="T1037" s="58">
        <v>0</v>
      </c>
      <c r="U1037" s="58">
        <v>0</v>
      </c>
      <c r="V1037" s="58">
        <v>0</v>
      </c>
      <c r="W1037" s="58">
        <v>0</v>
      </c>
      <c r="X1037" s="58">
        <v>0</v>
      </c>
      <c r="Y1037" s="58">
        <v>0</v>
      </c>
      <c r="Z1037" s="58">
        <v>0</v>
      </c>
      <c r="AA1037" s="58">
        <v>0</v>
      </c>
      <c r="AB1037" s="58">
        <v>0</v>
      </c>
      <c r="AC1037" s="58">
        <v>0</v>
      </c>
      <c r="AD1037" s="58">
        <v>0</v>
      </c>
      <c r="AE1037" s="34">
        <v>0</v>
      </c>
      <c r="AF1037" s="34">
        <v>0</v>
      </c>
      <c r="AG1037" s="34">
        <v>0</v>
      </c>
      <c r="AH1037" s="34">
        <v>0</v>
      </c>
      <c r="AI1037" s="34">
        <v>0</v>
      </c>
      <c r="AJ1037" s="34">
        <v>9.65</v>
      </c>
      <c r="AK1037" s="34">
        <v>0</v>
      </c>
      <c r="AL1037" s="34">
        <v>0</v>
      </c>
      <c r="AM1037" s="34">
        <v>0</v>
      </c>
      <c r="AN1037" s="34">
        <v>0</v>
      </c>
      <c r="AO1037" s="34">
        <v>0</v>
      </c>
      <c r="AP1037" s="34">
        <v>0</v>
      </c>
      <c r="AQ1037" s="34">
        <v>0</v>
      </c>
      <c r="AR1037" s="34">
        <v>0</v>
      </c>
      <c r="AS1037" s="34">
        <v>0</v>
      </c>
      <c r="AT1037" s="34">
        <v>0</v>
      </c>
      <c r="AU1037" s="34">
        <v>0</v>
      </c>
      <c r="AV1037" s="34">
        <v>0</v>
      </c>
      <c r="AW1037" s="34">
        <v>0</v>
      </c>
      <c r="AX1037" s="34">
        <v>0</v>
      </c>
      <c r="AY1037" s="34">
        <v>0</v>
      </c>
      <c r="AZ1037" s="34">
        <v>0</v>
      </c>
      <c r="BA1037" s="34">
        <v>0</v>
      </c>
      <c r="BB1037" s="34">
        <v>0</v>
      </c>
      <c r="BC1037" s="34">
        <v>0</v>
      </c>
      <c r="BD1037" s="34">
        <v>0</v>
      </c>
      <c r="BE1037" s="34">
        <v>0</v>
      </c>
      <c r="BF1037" s="34">
        <v>0</v>
      </c>
      <c r="BG1037" s="34">
        <v>0</v>
      </c>
      <c r="BH1037" s="34">
        <v>0</v>
      </c>
      <c r="BI1037" s="34">
        <v>0</v>
      </c>
      <c r="BJ1037" s="113">
        <v>0</v>
      </c>
      <c r="BK1037" s="113">
        <v>0</v>
      </c>
      <c r="BL1037" s="113">
        <v>0</v>
      </c>
      <c r="BM1037" s="113">
        <v>0</v>
      </c>
      <c r="BN1037" s="113">
        <v>0</v>
      </c>
      <c r="BO1037" s="113">
        <v>0</v>
      </c>
      <c r="BP1037" s="113">
        <v>0</v>
      </c>
      <c r="BQ1037" s="113">
        <v>0</v>
      </c>
      <c r="BR1037" s="101"/>
      <c r="BS1037">
        <f t="shared" si="2109"/>
        <v>0</v>
      </c>
      <c r="BT1037">
        <f t="shared" si="2110"/>
        <v>0</v>
      </c>
      <c r="BU1037">
        <f t="shared" si="2111"/>
        <v>0</v>
      </c>
      <c r="BV1037">
        <f t="shared" si="2112"/>
        <v>0</v>
      </c>
      <c r="BW1037">
        <f t="shared" si="2113"/>
        <v>0</v>
      </c>
      <c r="BX1037">
        <f t="shared" si="2114"/>
        <v>0</v>
      </c>
      <c r="BY1037">
        <f t="shared" si="2115"/>
        <v>0</v>
      </c>
      <c r="BZ1037">
        <f t="shared" si="2116"/>
        <v>0</v>
      </c>
      <c r="CA1037">
        <f t="shared" si="2117"/>
        <v>0</v>
      </c>
      <c r="CB1037">
        <f t="shared" si="2118"/>
        <v>0</v>
      </c>
      <c r="CC1037">
        <f t="shared" si="2119"/>
        <v>0</v>
      </c>
      <c r="CD1037">
        <f t="shared" si="2120"/>
        <v>0</v>
      </c>
      <c r="CE1037">
        <f t="shared" si="2121"/>
        <v>0</v>
      </c>
      <c r="CF1037">
        <f t="shared" si="2122"/>
        <v>0</v>
      </c>
      <c r="CG1037">
        <f t="shared" si="2123"/>
        <v>0</v>
      </c>
      <c r="CH1037">
        <f t="shared" si="2124"/>
        <v>0</v>
      </c>
      <c r="CI1037">
        <f t="shared" si="2125"/>
        <v>0</v>
      </c>
      <c r="CJ1037">
        <f t="shared" si="2126"/>
        <v>0</v>
      </c>
      <c r="CK1037">
        <f t="shared" si="2127"/>
        <v>0</v>
      </c>
      <c r="CL1037">
        <f t="shared" si="2128"/>
        <v>0</v>
      </c>
      <c r="CM1037">
        <f t="shared" si="2129"/>
        <v>0</v>
      </c>
      <c r="CN1037">
        <f t="shared" si="2130"/>
        <v>0</v>
      </c>
      <c r="CO1037">
        <f t="shared" si="2131"/>
        <v>0</v>
      </c>
      <c r="CP1037">
        <f t="shared" si="2132"/>
        <v>0</v>
      </c>
      <c r="CQ1037">
        <f t="shared" si="2133"/>
        <v>0</v>
      </c>
      <c r="CR1037">
        <f t="shared" si="2134"/>
        <v>0</v>
      </c>
      <c r="CS1037">
        <f t="shared" si="2135"/>
        <v>0</v>
      </c>
      <c r="CT1037">
        <f t="shared" si="2136"/>
        <v>0</v>
      </c>
      <c r="CU1037">
        <f t="shared" si="2137"/>
        <v>0</v>
      </c>
      <c r="CV1037">
        <f t="shared" si="2138"/>
        <v>0</v>
      </c>
      <c r="CW1037">
        <f t="shared" si="2139"/>
        <v>0</v>
      </c>
      <c r="CX1037">
        <f t="shared" si="2140"/>
        <v>0</v>
      </c>
      <c r="CY1037">
        <f t="shared" si="2141"/>
        <v>0</v>
      </c>
      <c r="CZ1037">
        <f t="shared" si="2142"/>
        <v>0</v>
      </c>
      <c r="DA1037">
        <f t="shared" si="2143"/>
        <v>0</v>
      </c>
      <c r="DB1037">
        <f t="shared" si="2144"/>
        <v>0</v>
      </c>
      <c r="DC1037">
        <f t="shared" si="2145"/>
        <v>0</v>
      </c>
      <c r="DD1037">
        <f t="shared" si="2146"/>
        <v>0</v>
      </c>
      <c r="DE1037">
        <f t="shared" si="2147"/>
        <v>0</v>
      </c>
      <c r="DF1037">
        <f t="shared" si="2148"/>
        <v>0</v>
      </c>
      <c r="DG1037">
        <f t="shared" si="2149"/>
        <v>0</v>
      </c>
      <c r="DH1037">
        <f t="shared" si="2150"/>
        <v>0</v>
      </c>
      <c r="DI1037">
        <f t="shared" si="2151"/>
        <v>0</v>
      </c>
      <c r="DJ1037">
        <f t="shared" si="2152"/>
        <v>0</v>
      </c>
      <c r="DK1037">
        <f t="shared" si="2153"/>
        <v>0</v>
      </c>
      <c r="DL1037">
        <f t="shared" si="2154"/>
        <v>0</v>
      </c>
      <c r="DM1037">
        <f t="shared" si="2155"/>
        <v>0</v>
      </c>
      <c r="DN1037">
        <f t="shared" si="2156"/>
        <v>0</v>
      </c>
      <c r="DO1037">
        <f t="shared" si="2157"/>
        <v>0</v>
      </c>
      <c r="DP1037">
        <f t="shared" si="2158"/>
        <v>0</v>
      </c>
      <c r="DQ1037">
        <f t="shared" si="2159"/>
        <v>0</v>
      </c>
      <c r="DR1037">
        <f t="shared" si="2160"/>
        <v>0</v>
      </c>
      <c r="DS1037">
        <f t="shared" si="2161"/>
        <v>0</v>
      </c>
      <c r="DT1037">
        <f t="shared" si="2162"/>
        <v>0</v>
      </c>
      <c r="DU1037">
        <f t="shared" si="2163"/>
        <v>0</v>
      </c>
      <c r="DV1037">
        <f t="shared" si="2164"/>
        <v>0</v>
      </c>
      <c r="DW1037">
        <f t="shared" si="2165"/>
        <v>0</v>
      </c>
      <c r="DX1037">
        <f t="shared" si="2166"/>
        <v>0</v>
      </c>
      <c r="DY1037">
        <f t="shared" si="2167"/>
        <v>0</v>
      </c>
      <c r="DZ1037">
        <f t="shared" si="2168"/>
        <v>0</v>
      </c>
      <c r="EA1037">
        <f t="shared" si="2169"/>
        <v>0</v>
      </c>
      <c r="EB1037">
        <f t="shared" si="2169"/>
        <v>0</v>
      </c>
      <c r="EC1037">
        <f t="shared" si="2169"/>
        <v>0</v>
      </c>
      <c r="ED1037">
        <f t="shared" si="2169"/>
        <v>0</v>
      </c>
      <c r="EE1037">
        <f t="shared" si="2169"/>
        <v>0</v>
      </c>
      <c r="EF1037">
        <f t="shared" si="2169"/>
        <v>0</v>
      </c>
    </row>
    <row r="1038" spans="1:136" ht="15.5">
      <c r="A1038" s="90"/>
      <c r="B1038" s="57" t="s">
        <v>202</v>
      </c>
      <c r="C1038" s="94"/>
      <c r="D1038" s="58"/>
      <c r="E1038" s="58">
        <v>0</v>
      </c>
      <c r="F1038" s="58">
        <v>0</v>
      </c>
      <c r="G1038" s="58">
        <v>0</v>
      </c>
      <c r="H1038" s="58">
        <v>0</v>
      </c>
      <c r="I1038" s="58">
        <v>0</v>
      </c>
      <c r="J1038" s="58">
        <v>0</v>
      </c>
      <c r="K1038" s="58">
        <v>0</v>
      </c>
      <c r="L1038" s="58">
        <v>0</v>
      </c>
      <c r="M1038" s="58">
        <v>0</v>
      </c>
      <c r="N1038" s="58">
        <v>0</v>
      </c>
      <c r="O1038" s="58">
        <v>0</v>
      </c>
      <c r="P1038" s="58">
        <v>0</v>
      </c>
      <c r="Q1038" s="58">
        <v>0</v>
      </c>
      <c r="R1038" s="58">
        <v>0</v>
      </c>
      <c r="S1038" s="58">
        <v>0</v>
      </c>
      <c r="T1038" s="58">
        <v>0</v>
      </c>
      <c r="U1038" s="58">
        <v>0</v>
      </c>
      <c r="V1038" s="58">
        <v>0</v>
      </c>
      <c r="W1038" s="58">
        <v>0</v>
      </c>
      <c r="X1038" s="58">
        <v>0</v>
      </c>
      <c r="Y1038" s="58">
        <v>0</v>
      </c>
      <c r="Z1038" s="58">
        <v>0</v>
      </c>
      <c r="AA1038" s="58">
        <v>0</v>
      </c>
      <c r="AB1038" s="58">
        <v>0</v>
      </c>
      <c r="AC1038" s="58">
        <v>0</v>
      </c>
      <c r="AD1038" s="58">
        <v>0</v>
      </c>
      <c r="AE1038" s="34">
        <v>0</v>
      </c>
      <c r="AF1038" s="34">
        <v>2</v>
      </c>
      <c r="AG1038" s="34">
        <v>1</v>
      </c>
      <c r="AH1038" s="34">
        <v>4</v>
      </c>
      <c r="AI1038" s="34">
        <v>4</v>
      </c>
      <c r="AJ1038" s="34">
        <v>0</v>
      </c>
      <c r="AK1038" s="34">
        <v>0</v>
      </c>
      <c r="AL1038" s="34">
        <v>0</v>
      </c>
      <c r="AM1038" s="34">
        <v>0</v>
      </c>
      <c r="AN1038" s="34">
        <v>0</v>
      </c>
      <c r="AO1038" s="34">
        <v>0</v>
      </c>
      <c r="AP1038" s="34">
        <v>0</v>
      </c>
      <c r="AQ1038" s="34">
        <v>0</v>
      </c>
      <c r="AR1038" s="34">
        <v>0</v>
      </c>
      <c r="AS1038" s="34">
        <v>0</v>
      </c>
      <c r="AT1038" s="34">
        <v>0</v>
      </c>
      <c r="AU1038" s="34">
        <v>0</v>
      </c>
      <c r="AV1038" s="34">
        <v>0</v>
      </c>
      <c r="AW1038" s="34">
        <v>0</v>
      </c>
      <c r="AX1038" s="34">
        <v>0</v>
      </c>
      <c r="AY1038" s="34">
        <v>0</v>
      </c>
      <c r="AZ1038" s="34">
        <v>0</v>
      </c>
      <c r="BA1038" s="34">
        <v>0</v>
      </c>
      <c r="BB1038" s="34">
        <v>0</v>
      </c>
      <c r="BC1038" s="34">
        <v>0</v>
      </c>
      <c r="BD1038" s="34">
        <v>0</v>
      </c>
      <c r="BE1038" s="34">
        <v>0</v>
      </c>
      <c r="BF1038" s="34">
        <v>0</v>
      </c>
      <c r="BG1038" s="34">
        <v>0</v>
      </c>
      <c r="BH1038" s="34">
        <v>0</v>
      </c>
      <c r="BI1038" s="34">
        <v>0</v>
      </c>
      <c r="BJ1038" s="113">
        <v>0</v>
      </c>
      <c r="BK1038" s="113">
        <v>0</v>
      </c>
      <c r="BL1038" s="113">
        <v>0</v>
      </c>
      <c r="BM1038" s="113">
        <v>0</v>
      </c>
      <c r="BN1038" s="113">
        <v>0</v>
      </c>
      <c r="BO1038" s="113">
        <v>0</v>
      </c>
      <c r="BP1038" s="113">
        <v>0</v>
      </c>
      <c r="BQ1038" s="113">
        <v>0</v>
      </c>
      <c r="BR1038" s="101"/>
      <c r="BS1038">
        <f t="shared" si="2109"/>
        <v>0</v>
      </c>
      <c r="BT1038">
        <f t="shared" si="2110"/>
        <v>0</v>
      </c>
      <c r="BU1038">
        <f t="shared" si="2111"/>
        <v>0</v>
      </c>
      <c r="BV1038">
        <f t="shared" si="2112"/>
        <v>0</v>
      </c>
      <c r="BW1038">
        <f t="shared" si="2113"/>
        <v>0</v>
      </c>
      <c r="BX1038">
        <f t="shared" si="2114"/>
        <v>0</v>
      </c>
      <c r="BY1038">
        <f t="shared" si="2115"/>
        <v>0</v>
      </c>
      <c r="BZ1038">
        <f t="shared" si="2116"/>
        <v>0</v>
      </c>
      <c r="CA1038">
        <f t="shared" si="2117"/>
        <v>0</v>
      </c>
      <c r="CB1038">
        <f t="shared" si="2118"/>
        <v>0</v>
      </c>
      <c r="CC1038">
        <f t="shared" si="2119"/>
        <v>0</v>
      </c>
      <c r="CD1038">
        <f t="shared" si="2120"/>
        <v>0</v>
      </c>
      <c r="CE1038">
        <f t="shared" si="2121"/>
        <v>0</v>
      </c>
      <c r="CF1038">
        <f t="shared" si="2122"/>
        <v>0</v>
      </c>
      <c r="CG1038">
        <f t="shared" si="2123"/>
        <v>0</v>
      </c>
      <c r="CH1038">
        <f t="shared" si="2124"/>
        <v>0</v>
      </c>
      <c r="CI1038">
        <f t="shared" si="2125"/>
        <v>0</v>
      </c>
      <c r="CJ1038">
        <f t="shared" si="2126"/>
        <v>0</v>
      </c>
      <c r="CK1038">
        <f t="shared" si="2127"/>
        <v>0</v>
      </c>
      <c r="CL1038">
        <f t="shared" si="2128"/>
        <v>0</v>
      </c>
      <c r="CM1038">
        <f t="shared" si="2129"/>
        <v>0</v>
      </c>
      <c r="CN1038">
        <f t="shared" si="2130"/>
        <v>0</v>
      </c>
      <c r="CO1038">
        <f t="shared" si="2131"/>
        <v>0</v>
      </c>
      <c r="CP1038">
        <f t="shared" si="2132"/>
        <v>0</v>
      </c>
      <c r="CQ1038">
        <f t="shared" si="2133"/>
        <v>0</v>
      </c>
      <c r="CR1038">
        <f t="shared" si="2134"/>
        <v>0</v>
      </c>
      <c r="CS1038">
        <f t="shared" si="2135"/>
        <v>0</v>
      </c>
      <c r="CT1038">
        <f t="shared" si="2136"/>
        <v>0</v>
      </c>
      <c r="CU1038">
        <f t="shared" si="2137"/>
        <v>0</v>
      </c>
      <c r="CV1038">
        <f t="shared" si="2138"/>
        <v>0</v>
      </c>
      <c r="CW1038">
        <f t="shared" si="2139"/>
        <v>0</v>
      </c>
      <c r="CX1038">
        <f t="shared" si="2140"/>
        <v>0</v>
      </c>
      <c r="CY1038">
        <f t="shared" si="2141"/>
        <v>0</v>
      </c>
      <c r="CZ1038">
        <f t="shared" si="2142"/>
        <v>0</v>
      </c>
      <c r="DA1038">
        <f t="shared" si="2143"/>
        <v>0</v>
      </c>
      <c r="DB1038">
        <f t="shared" si="2144"/>
        <v>0</v>
      </c>
      <c r="DC1038">
        <f t="shared" si="2145"/>
        <v>0</v>
      </c>
      <c r="DD1038">
        <f t="shared" si="2146"/>
        <v>0</v>
      </c>
      <c r="DE1038">
        <f t="shared" si="2147"/>
        <v>0</v>
      </c>
      <c r="DF1038">
        <f t="shared" si="2148"/>
        <v>0</v>
      </c>
      <c r="DG1038">
        <f t="shared" si="2149"/>
        <v>0</v>
      </c>
      <c r="DH1038">
        <f t="shared" si="2150"/>
        <v>0</v>
      </c>
      <c r="DI1038">
        <f t="shared" si="2151"/>
        <v>0</v>
      </c>
      <c r="DJ1038">
        <f t="shared" si="2152"/>
        <v>0</v>
      </c>
      <c r="DK1038">
        <f t="shared" si="2153"/>
        <v>0</v>
      </c>
      <c r="DL1038">
        <f t="shared" si="2154"/>
        <v>0</v>
      </c>
      <c r="DM1038">
        <f t="shared" si="2155"/>
        <v>0</v>
      </c>
      <c r="DN1038">
        <f t="shared" si="2156"/>
        <v>0</v>
      </c>
      <c r="DO1038">
        <f t="shared" si="2157"/>
        <v>0</v>
      </c>
      <c r="DP1038">
        <f t="shared" si="2158"/>
        <v>0</v>
      </c>
      <c r="DQ1038">
        <f t="shared" si="2159"/>
        <v>0</v>
      </c>
      <c r="DR1038">
        <f t="shared" si="2160"/>
        <v>0</v>
      </c>
      <c r="DS1038">
        <f t="shared" si="2161"/>
        <v>0</v>
      </c>
      <c r="DT1038">
        <f t="shared" si="2162"/>
        <v>0</v>
      </c>
      <c r="DU1038">
        <f t="shared" si="2163"/>
        <v>0</v>
      </c>
      <c r="DV1038">
        <f t="shared" si="2164"/>
        <v>0</v>
      </c>
      <c r="DW1038">
        <f t="shared" si="2165"/>
        <v>0</v>
      </c>
      <c r="DX1038">
        <f t="shared" si="2166"/>
        <v>0</v>
      </c>
      <c r="DY1038">
        <f t="shared" si="2167"/>
        <v>0</v>
      </c>
      <c r="DZ1038">
        <f t="shared" si="2168"/>
        <v>0</v>
      </c>
      <c r="EA1038">
        <f t="shared" si="2169"/>
        <v>0</v>
      </c>
      <c r="EB1038">
        <f t="shared" si="2169"/>
        <v>0</v>
      </c>
      <c r="EC1038">
        <f t="shared" si="2169"/>
        <v>0</v>
      </c>
      <c r="ED1038">
        <f t="shared" si="2169"/>
        <v>0</v>
      </c>
      <c r="EE1038">
        <f t="shared" si="2169"/>
        <v>0</v>
      </c>
      <c r="EF1038">
        <f t="shared" si="2169"/>
        <v>0</v>
      </c>
    </row>
    <row r="1039" spans="1:136" ht="15.5">
      <c r="A1039" s="90"/>
      <c r="B1039" s="19" t="s">
        <v>2</v>
      </c>
      <c r="C1039" s="94"/>
      <c r="D1039" s="58"/>
      <c r="E1039" s="58">
        <v>0</v>
      </c>
      <c r="F1039" s="58">
        <v>0</v>
      </c>
      <c r="G1039" s="58">
        <v>0</v>
      </c>
      <c r="H1039" s="58">
        <v>0</v>
      </c>
      <c r="I1039" s="58">
        <v>0</v>
      </c>
      <c r="J1039" s="58">
        <v>0</v>
      </c>
      <c r="K1039" s="58">
        <v>0</v>
      </c>
      <c r="L1039" s="58">
        <v>0</v>
      </c>
      <c r="M1039" s="58">
        <v>0</v>
      </c>
      <c r="N1039" s="58">
        <v>0</v>
      </c>
      <c r="O1039" s="58">
        <v>0</v>
      </c>
      <c r="P1039" s="58">
        <v>0</v>
      </c>
      <c r="Q1039" s="58">
        <v>0</v>
      </c>
      <c r="R1039" s="58">
        <v>0</v>
      </c>
      <c r="S1039" s="58">
        <v>0</v>
      </c>
      <c r="T1039" s="58">
        <v>0</v>
      </c>
      <c r="U1039" s="58">
        <v>50</v>
      </c>
      <c r="V1039" s="58">
        <v>20</v>
      </c>
      <c r="W1039" s="71">
        <v>16</v>
      </c>
      <c r="X1039" s="58">
        <v>30</v>
      </c>
      <c r="Y1039" s="58">
        <v>66</v>
      </c>
      <c r="Z1039" s="58">
        <v>68</v>
      </c>
      <c r="AA1039" s="40" t="s">
        <v>16</v>
      </c>
      <c r="AB1039" s="58">
        <v>34</v>
      </c>
      <c r="AC1039" s="34"/>
      <c r="AD1039" s="34">
        <v>95</v>
      </c>
      <c r="AE1039" s="34"/>
      <c r="AF1039" s="34"/>
      <c r="AG1039" s="34"/>
      <c r="AH1039" s="34"/>
      <c r="AI1039" s="34"/>
      <c r="AJ1039" s="34">
        <v>163</v>
      </c>
      <c r="AK1039" s="34"/>
      <c r="AL1039" s="34">
        <v>41</v>
      </c>
      <c r="AM1039" s="40" t="s">
        <v>16</v>
      </c>
      <c r="AN1039" s="34">
        <v>39</v>
      </c>
      <c r="AO1039" s="34"/>
      <c r="AP1039" s="34"/>
      <c r="AQ1039" s="34"/>
      <c r="AR1039" s="40" t="s">
        <v>16</v>
      </c>
      <c r="AS1039" s="34">
        <v>180</v>
      </c>
      <c r="AT1039" s="34">
        <v>3</v>
      </c>
      <c r="AU1039" s="34"/>
      <c r="AV1039" s="34"/>
      <c r="AW1039" s="34"/>
      <c r="AX1039" s="40" t="s">
        <v>16</v>
      </c>
      <c r="AY1039" s="34">
        <v>363</v>
      </c>
      <c r="AZ1039" s="40" t="s">
        <v>16</v>
      </c>
      <c r="BA1039" s="34">
        <v>0</v>
      </c>
      <c r="BB1039" s="34">
        <v>0</v>
      </c>
      <c r="BC1039" s="34">
        <v>0</v>
      </c>
      <c r="BD1039" s="34">
        <v>0</v>
      </c>
      <c r="BE1039" s="34">
        <v>0</v>
      </c>
      <c r="BF1039" s="34">
        <v>0</v>
      </c>
      <c r="BG1039" s="34">
        <v>0</v>
      </c>
      <c r="BH1039" s="34">
        <v>0</v>
      </c>
      <c r="BI1039" s="34">
        <v>0</v>
      </c>
      <c r="BJ1039" s="113">
        <v>0</v>
      </c>
      <c r="BK1039" s="113">
        <v>0</v>
      </c>
      <c r="BL1039" s="113">
        <v>0</v>
      </c>
      <c r="BM1039" s="113">
        <v>2.2000000000000002</v>
      </c>
      <c r="BN1039" s="113">
        <v>0</v>
      </c>
      <c r="BO1039" s="113">
        <v>0</v>
      </c>
      <c r="BP1039" s="113">
        <v>0</v>
      </c>
      <c r="BQ1039" s="113">
        <v>0</v>
      </c>
      <c r="BR1039" s="101"/>
      <c r="BS1039">
        <f t="shared" si="2109"/>
        <v>0</v>
      </c>
      <c r="BT1039">
        <f t="shared" si="2110"/>
        <v>0</v>
      </c>
      <c r="BU1039">
        <f t="shared" si="2111"/>
        <v>0</v>
      </c>
      <c r="BV1039">
        <f t="shared" si="2112"/>
        <v>0</v>
      </c>
      <c r="BW1039">
        <f t="shared" si="2113"/>
        <v>0</v>
      </c>
      <c r="BX1039">
        <f t="shared" si="2114"/>
        <v>0</v>
      </c>
      <c r="BY1039">
        <f t="shared" si="2115"/>
        <v>0</v>
      </c>
      <c r="BZ1039">
        <f t="shared" si="2116"/>
        <v>0</v>
      </c>
      <c r="CA1039">
        <f t="shared" si="2117"/>
        <v>0</v>
      </c>
      <c r="CB1039">
        <f t="shared" si="2118"/>
        <v>0</v>
      </c>
      <c r="CC1039">
        <f t="shared" si="2119"/>
        <v>0</v>
      </c>
      <c r="CD1039">
        <f t="shared" si="2120"/>
        <v>0</v>
      </c>
      <c r="CE1039">
        <f t="shared" si="2121"/>
        <v>0</v>
      </c>
      <c r="CF1039">
        <f t="shared" si="2122"/>
        <v>0</v>
      </c>
      <c r="CG1039">
        <f t="shared" si="2123"/>
        <v>0</v>
      </c>
      <c r="CH1039">
        <f t="shared" si="2124"/>
        <v>0</v>
      </c>
      <c r="CI1039">
        <f t="shared" si="2125"/>
        <v>0</v>
      </c>
      <c r="CJ1039">
        <f t="shared" si="2126"/>
        <v>0</v>
      </c>
      <c r="CK1039">
        <f t="shared" si="2127"/>
        <v>0</v>
      </c>
      <c r="CL1039">
        <f t="shared" si="2128"/>
        <v>0</v>
      </c>
      <c r="CM1039">
        <f t="shared" si="2129"/>
        <v>0</v>
      </c>
      <c r="CN1039">
        <f t="shared" si="2130"/>
        <v>0</v>
      </c>
      <c r="CO1039">
        <f t="shared" si="2131"/>
        <v>0</v>
      </c>
      <c r="CP1039">
        <f t="shared" si="2132"/>
        <v>0</v>
      </c>
      <c r="CQ1039">
        <f t="shared" si="2133"/>
        <v>0</v>
      </c>
      <c r="CR1039">
        <f t="shared" si="2134"/>
        <v>0</v>
      </c>
      <c r="CS1039">
        <f t="shared" si="2135"/>
        <v>0</v>
      </c>
      <c r="CT1039">
        <f t="shared" si="2136"/>
        <v>0</v>
      </c>
      <c r="CU1039">
        <f t="shared" si="2137"/>
        <v>0</v>
      </c>
      <c r="CV1039">
        <f t="shared" si="2138"/>
        <v>0</v>
      </c>
      <c r="CW1039">
        <f t="shared" si="2139"/>
        <v>0</v>
      </c>
      <c r="CX1039">
        <f t="shared" si="2140"/>
        <v>0</v>
      </c>
      <c r="CY1039">
        <f t="shared" si="2141"/>
        <v>0</v>
      </c>
      <c r="CZ1039">
        <f t="shared" si="2142"/>
        <v>0</v>
      </c>
      <c r="DA1039">
        <f t="shared" si="2143"/>
        <v>0</v>
      </c>
      <c r="DB1039">
        <f t="shared" si="2144"/>
        <v>0</v>
      </c>
      <c r="DC1039">
        <f t="shared" si="2145"/>
        <v>0</v>
      </c>
      <c r="DD1039">
        <f t="shared" si="2146"/>
        <v>0</v>
      </c>
      <c r="DE1039">
        <f t="shared" si="2147"/>
        <v>0</v>
      </c>
      <c r="DF1039">
        <f t="shared" si="2148"/>
        <v>0</v>
      </c>
      <c r="DG1039">
        <f t="shared" si="2149"/>
        <v>0</v>
      </c>
      <c r="DH1039">
        <f t="shared" si="2150"/>
        <v>0</v>
      </c>
      <c r="DI1039">
        <f t="shared" si="2151"/>
        <v>0</v>
      </c>
      <c r="DJ1039">
        <f t="shared" si="2152"/>
        <v>0</v>
      </c>
      <c r="DK1039">
        <f t="shared" si="2153"/>
        <v>0</v>
      </c>
      <c r="DL1039">
        <f t="shared" si="2154"/>
        <v>0</v>
      </c>
      <c r="DM1039">
        <f t="shared" si="2155"/>
        <v>0</v>
      </c>
      <c r="DN1039">
        <f t="shared" si="2156"/>
        <v>0</v>
      </c>
      <c r="DO1039">
        <f t="shared" si="2157"/>
        <v>0</v>
      </c>
      <c r="DP1039">
        <f t="shared" si="2158"/>
        <v>0</v>
      </c>
      <c r="DQ1039">
        <f t="shared" si="2159"/>
        <v>0</v>
      </c>
      <c r="DR1039">
        <f t="shared" si="2160"/>
        <v>0</v>
      </c>
      <c r="DS1039">
        <f t="shared" si="2161"/>
        <v>0</v>
      </c>
      <c r="DT1039">
        <f t="shared" si="2162"/>
        <v>0</v>
      </c>
      <c r="DU1039">
        <f t="shared" si="2163"/>
        <v>0</v>
      </c>
      <c r="DV1039">
        <f t="shared" si="2164"/>
        <v>0</v>
      </c>
      <c r="DW1039">
        <f t="shared" si="2165"/>
        <v>0</v>
      </c>
      <c r="DX1039">
        <f t="shared" si="2166"/>
        <v>0</v>
      </c>
      <c r="DY1039">
        <f t="shared" si="2167"/>
        <v>0</v>
      </c>
      <c r="DZ1039">
        <f t="shared" si="2168"/>
        <v>0</v>
      </c>
      <c r="EA1039">
        <f t="shared" si="2169"/>
        <v>0</v>
      </c>
      <c r="EB1039">
        <f t="shared" si="2169"/>
        <v>0</v>
      </c>
      <c r="EC1039">
        <f t="shared" si="2169"/>
        <v>0</v>
      </c>
      <c r="ED1039">
        <f t="shared" si="2169"/>
        <v>0</v>
      </c>
      <c r="EE1039">
        <f t="shared" si="2169"/>
        <v>0</v>
      </c>
      <c r="EF1039">
        <f t="shared" si="2169"/>
        <v>0</v>
      </c>
    </row>
    <row r="1040" spans="1:136" ht="15.5">
      <c r="A1040" s="90"/>
      <c r="B1040" s="19" t="s">
        <v>205</v>
      </c>
      <c r="C1040" s="94"/>
      <c r="D1040" s="58"/>
      <c r="E1040" s="34">
        <v>0</v>
      </c>
      <c r="F1040" s="34">
        <v>0</v>
      </c>
      <c r="G1040" s="34">
        <v>0</v>
      </c>
      <c r="H1040" s="34">
        <v>0</v>
      </c>
      <c r="I1040" s="34">
        <v>0</v>
      </c>
      <c r="J1040" s="34">
        <v>0</v>
      </c>
      <c r="K1040" s="34">
        <v>0</v>
      </c>
      <c r="L1040" s="34">
        <v>0</v>
      </c>
      <c r="M1040" s="34">
        <v>0</v>
      </c>
      <c r="N1040" s="34">
        <v>0</v>
      </c>
      <c r="O1040" s="34">
        <v>0</v>
      </c>
      <c r="P1040" s="34">
        <v>0</v>
      </c>
      <c r="Q1040" s="34">
        <v>0</v>
      </c>
      <c r="R1040" s="34">
        <v>0</v>
      </c>
      <c r="S1040" s="34">
        <v>0</v>
      </c>
      <c r="T1040" s="34">
        <v>0</v>
      </c>
      <c r="U1040" s="34">
        <v>0</v>
      </c>
      <c r="V1040" s="34">
        <v>0</v>
      </c>
      <c r="W1040" s="34">
        <v>0</v>
      </c>
      <c r="X1040" s="34">
        <v>0</v>
      </c>
      <c r="Y1040" s="34">
        <v>0</v>
      </c>
      <c r="Z1040" s="34">
        <v>0</v>
      </c>
      <c r="AA1040" s="34">
        <v>0</v>
      </c>
      <c r="AB1040" s="34">
        <v>0</v>
      </c>
      <c r="AC1040" s="34">
        <v>0</v>
      </c>
      <c r="AD1040" s="34">
        <v>0</v>
      </c>
      <c r="AE1040" s="34">
        <v>9</v>
      </c>
      <c r="AF1040" s="34">
        <v>9</v>
      </c>
      <c r="AG1040" s="34">
        <v>9</v>
      </c>
      <c r="AH1040" s="34">
        <v>9</v>
      </c>
      <c r="AI1040" s="34">
        <v>9</v>
      </c>
      <c r="AJ1040" s="34">
        <v>0</v>
      </c>
      <c r="AK1040" s="34">
        <v>0.67200000000000004</v>
      </c>
      <c r="AL1040" s="34">
        <v>0.83199999999999996</v>
      </c>
      <c r="AM1040" s="40">
        <v>0.114</v>
      </c>
      <c r="AN1040" s="34">
        <v>1.9525405</v>
      </c>
      <c r="AO1040" s="34">
        <v>1.9538795</v>
      </c>
      <c r="AP1040" s="34">
        <v>5.0006215000000003</v>
      </c>
      <c r="AQ1040" s="34">
        <v>7.0676150999999994</v>
      </c>
      <c r="AR1040" s="71">
        <v>9.2601950999999989</v>
      </c>
      <c r="AS1040" s="34">
        <v>24.438696399999998</v>
      </c>
      <c r="AT1040" s="34">
        <v>14.822560900000001</v>
      </c>
      <c r="AU1040" s="34">
        <v>18.727174100000003</v>
      </c>
      <c r="AV1040" s="34">
        <v>21.6600915</v>
      </c>
      <c r="AW1040" s="34">
        <v>24.155006499999999</v>
      </c>
      <c r="AX1040" s="71">
        <v>27.167056099999996</v>
      </c>
      <c r="AY1040" s="34">
        <v>23.833597299999997</v>
      </c>
      <c r="AZ1040" s="34">
        <v>8.4293969999999998</v>
      </c>
      <c r="BA1040" s="34">
        <v>0.84151710000000002</v>
      </c>
      <c r="BB1040" s="34">
        <v>0.84151710000000002</v>
      </c>
      <c r="BC1040" s="34">
        <v>0.84150000000000003</v>
      </c>
      <c r="BD1040" s="34">
        <v>0.84150000000000003</v>
      </c>
      <c r="BE1040" s="42">
        <v>0.84151710000000002</v>
      </c>
      <c r="BF1040" s="34">
        <v>0.84150000000000003</v>
      </c>
      <c r="BG1040" s="34">
        <v>9</v>
      </c>
      <c r="BH1040" s="34">
        <v>9</v>
      </c>
      <c r="BI1040" s="34">
        <v>9</v>
      </c>
      <c r="BJ1040" s="113">
        <v>10</v>
      </c>
      <c r="BK1040" s="113">
        <v>10</v>
      </c>
      <c r="BL1040" s="113">
        <v>12.0563299</v>
      </c>
      <c r="BM1040" s="113">
        <v>14.4556472</v>
      </c>
      <c r="BN1040" s="113">
        <v>10.7052949</v>
      </c>
      <c r="BO1040" s="113">
        <v>10.951396299999999</v>
      </c>
      <c r="BP1040" s="113">
        <v>10.607021</v>
      </c>
      <c r="BQ1040" s="113">
        <v>11</v>
      </c>
      <c r="BR1040" s="101"/>
      <c r="BS1040">
        <f t="shared" si="2109"/>
        <v>0</v>
      </c>
      <c r="BT1040">
        <f t="shared" si="2110"/>
        <v>0</v>
      </c>
      <c r="BU1040">
        <f t="shared" si="2111"/>
        <v>0</v>
      </c>
      <c r="BV1040">
        <f t="shared" si="2112"/>
        <v>0</v>
      </c>
      <c r="BW1040">
        <f t="shared" si="2113"/>
        <v>0</v>
      </c>
      <c r="BX1040">
        <f t="shared" si="2114"/>
        <v>0</v>
      </c>
      <c r="BY1040">
        <f t="shared" si="2115"/>
        <v>0</v>
      </c>
      <c r="BZ1040">
        <f t="shared" si="2116"/>
        <v>0</v>
      </c>
      <c r="CA1040">
        <f t="shared" si="2117"/>
        <v>0</v>
      </c>
      <c r="CB1040">
        <f t="shared" si="2118"/>
        <v>0</v>
      </c>
      <c r="CC1040">
        <f t="shared" si="2119"/>
        <v>0</v>
      </c>
      <c r="CD1040">
        <f t="shared" si="2120"/>
        <v>0</v>
      </c>
      <c r="CE1040">
        <f t="shared" si="2121"/>
        <v>0</v>
      </c>
      <c r="CF1040">
        <f t="shared" si="2122"/>
        <v>0</v>
      </c>
      <c r="CG1040">
        <f t="shared" si="2123"/>
        <v>0</v>
      </c>
      <c r="CH1040">
        <f t="shared" si="2124"/>
        <v>0</v>
      </c>
      <c r="CI1040">
        <f t="shared" si="2125"/>
        <v>0</v>
      </c>
      <c r="CJ1040">
        <f t="shared" si="2126"/>
        <v>0</v>
      </c>
      <c r="CK1040">
        <f t="shared" si="2127"/>
        <v>0</v>
      </c>
      <c r="CL1040">
        <f t="shared" si="2128"/>
        <v>0</v>
      </c>
      <c r="CM1040">
        <f t="shared" si="2129"/>
        <v>0</v>
      </c>
      <c r="CN1040">
        <f t="shared" si="2130"/>
        <v>0</v>
      </c>
      <c r="CO1040">
        <f t="shared" si="2131"/>
        <v>0</v>
      </c>
      <c r="CP1040">
        <f t="shared" si="2132"/>
        <v>0</v>
      </c>
      <c r="CQ1040">
        <f t="shared" si="2133"/>
        <v>0</v>
      </c>
      <c r="CR1040">
        <f t="shared" si="2134"/>
        <v>0</v>
      </c>
      <c r="CS1040">
        <f t="shared" si="2135"/>
        <v>0</v>
      </c>
      <c r="CT1040">
        <f t="shared" si="2136"/>
        <v>0</v>
      </c>
      <c r="CU1040">
        <f t="shared" si="2137"/>
        <v>0</v>
      </c>
      <c r="CV1040">
        <f t="shared" si="2138"/>
        <v>0</v>
      </c>
      <c r="CW1040">
        <f t="shared" si="2139"/>
        <v>0</v>
      </c>
      <c r="CX1040">
        <f t="shared" si="2140"/>
        <v>0</v>
      </c>
      <c r="CY1040">
        <f t="shared" si="2141"/>
        <v>0</v>
      </c>
      <c r="CZ1040">
        <f t="shared" si="2142"/>
        <v>0</v>
      </c>
      <c r="DA1040">
        <f t="shared" si="2143"/>
        <v>0</v>
      </c>
      <c r="DB1040">
        <f t="shared" si="2144"/>
        <v>0</v>
      </c>
      <c r="DC1040">
        <f t="shared" si="2145"/>
        <v>0</v>
      </c>
      <c r="DD1040">
        <f t="shared" si="2146"/>
        <v>0</v>
      </c>
      <c r="DE1040">
        <f t="shared" si="2147"/>
        <v>0</v>
      </c>
      <c r="DF1040">
        <f t="shared" si="2148"/>
        <v>0</v>
      </c>
      <c r="DG1040">
        <f t="shared" si="2149"/>
        <v>0</v>
      </c>
      <c r="DH1040">
        <f t="shared" si="2150"/>
        <v>0</v>
      </c>
      <c r="DI1040">
        <f t="shared" si="2151"/>
        <v>0</v>
      </c>
      <c r="DJ1040">
        <f t="shared" si="2152"/>
        <v>0</v>
      </c>
      <c r="DK1040">
        <f t="shared" si="2153"/>
        <v>0</v>
      </c>
      <c r="DL1040">
        <f t="shared" si="2154"/>
        <v>0</v>
      </c>
      <c r="DM1040">
        <f t="shared" si="2155"/>
        <v>0</v>
      </c>
      <c r="DN1040">
        <f t="shared" si="2156"/>
        <v>0</v>
      </c>
      <c r="DO1040">
        <f t="shared" si="2157"/>
        <v>0</v>
      </c>
      <c r="DP1040">
        <f t="shared" si="2158"/>
        <v>0</v>
      </c>
      <c r="DQ1040">
        <f t="shared" si="2159"/>
        <v>0</v>
      </c>
      <c r="DR1040">
        <f t="shared" si="2160"/>
        <v>0</v>
      </c>
      <c r="DS1040">
        <f t="shared" si="2161"/>
        <v>0</v>
      </c>
      <c r="DT1040">
        <f t="shared" si="2162"/>
        <v>0</v>
      </c>
      <c r="DU1040">
        <f t="shared" si="2163"/>
        <v>0</v>
      </c>
      <c r="DV1040">
        <f t="shared" si="2164"/>
        <v>0</v>
      </c>
      <c r="DW1040">
        <f t="shared" si="2165"/>
        <v>0</v>
      </c>
      <c r="DX1040">
        <f t="shared" si="2166"/>
        <v>0</v>
      </c>
      <c r="DY1040">
        <f t="shared" si="2167"/>
        <v>0</v>
      </c>
      <c r="DZ1040">
        <f t="shared" si="2168"/>
        <v>0</v>
      </c>
      <c r="EA1040">
        <f t="shared" si="2169"/>
        <v>0</v>
      </c>
      <c r="EB1040">
        <f t="shared" si="2169"/>
        <v>0</v>
      </c>
      <c r="EC1040">
        <f t="shared" si="2169"/>
        <v>0</v>
      </c>
      <c r="ED1040">
        <f t="shared" si="2169"/>
        <v>0</v>
      </c>
      <c r="EE1040">
        <f t="shared" si="2169"/>
        <v>0</v>
      </c>
      <c r="EF1040">
        <f t="shared" si="2169"/>
        <v>0</v>
      </c>
    </row>
    <row r="1041" spans="1:136" ht="15.5">
      <c r="A1041" s="90"/>
      <c r="B1041" s="57" t="s">
        <v>3</v>
      </c>
      <c r="C1041" s="94"/>
      <c r="D1041" s="18"/>
      <c r="E1041" s="18">
        <v>0</v>
      </c>
      <c r="F1041" s="18">
        <v>0</v>
      </c>
      <c r="G1041" s="18">
        <v>0</v>
      </c>
      <c r="H1041" s="18">
        <v>0</v>
      </c>
      <c r="I1041" s="18">
        <v>0</v>
      </c>
      <c r="J1041" s="18">
        <v>0</v>
      </c>
      <c r="K1041" s="18">
        <v>0</v>
      </c>
      <c r="L1041" s="18">
        <v>0</v>
      </c>
      <c r="M1041" s="18">
        <v>0</v>
      </c>
      <c r="N1041" s="18">
        <v>0</v>
      </c>
      <c r="O1041" s="18">
        <v>0</v>
      </c>
      <c r="P1041" s="18">
        <v>0</v>
      </c>
      <c r="Q1041" s="18">
        <v>0</v>
      </c>
      <c r="R1041" s="18">
        <v>0.158</v>
      </c>
      <c r="S1041" s="18">
        <v>0.31087999999999999</v>
      </c>
      <c r="T1041" s="18">
        <v>0.88865280000000002</v>
      </c>
      <c r="U1041" s="18">
        <v>2.5902718999999998</v>
      </c>
      <c r="V1041" s="34">
        <v>3.7381792000000003</v>
      </c>
      <c r="W1041" s="34">
        <v>9.4643766000000014</v>
      </c>
      <c r="X1041" s="34">
        <v>7.9001700999999995</v>
      </c>
      <c r="Y1041" s="34">
        <v>14.443417699999999</v>
      </c>
      <c r="Z1041" s="34">
        <v>23.005840899999999</v>
      </c>
      <c r="AA1041" s="34">
        <v>30.649685399999999</v>
      </c>
      <c r="AB1041" s="40" t="s">
        <v>16</v>
      </c>
      <c r="AC1041" s="34">
        <v>48.7736424</v>
      </c>
      <c r="AD1041" s="40" t="s">
        <v>16</v>
      </c>
      <c r="AE1041" s="34">
        <f>66.831212-AE1040</f>
        <v>57.831211999999994</v>
      </c>
      <c r="AF1041" s="34">
        <f>164.0405233-AF1040</f>
        <v>155.04052329999999</v>
      </c>
      <c r="AG1041" s="34">
        <f>209.378697-AG1040</f>
        <v>200.37869699999999</v>
      </c>
      <c r="AH1041" s="34">
        <f>255.3561231-AH1040</f>
        <v>246.35612309999999</v>
      </c>
      <c r="AI1041" s="34">
        <f>301.3210387-AI1040</f>
        <v>292.32103869999997</v>
      </c>
      <c r="AJ1041" s="34">
        <f>318.1169157-AJ1039-AJ1037</f>
        <v>145.46691569999999</v>
      </c>
      <c r="AK1041" s="34">
        <f>-194.4258477-AK1040</f>
        <v>-195.09784769999999</v>
      </c>
      <c r="AL1041" s="34">
        <f>132-AL1040</f>
        <v>131.16800000000001</v>
      </c>
      <c r="AM1041" s="34">
        <v>190.00817760000001</v>
      </c>
      <c r="AN1041" s="34">
        <f>16-AN1040</f>
        <v>14.0474595</v>
      </c>
      <c r="AO1041" s="34">
        <f>88.4642868-AO1040</f>
        <v>86.510407299999997</v>
      </c>
      <c r="AP1041" s="34">
        <f>55.4984276-AP1040</f>
        <v>50.497806099999998</v>
      </c>
      <c r="AQ1041" s="34">
        <f>77.3043963-AQ1040</f>
        <v>70.236781199999996</v>
      </c>
      <c r="AR1041" s="34">
        <f>91.7958008-AR1040</f>
        <v>82.535605699999991</v>
      </c>
      <c r="AS1041" s="40" t="s">
        <v>16</v>
      </c>
      <c r="AT1041" s="34">
        <f>85.5084961-AT1040</f>
        <v>70.685935200000003</v>
      </c>
      <c r="AU1041" s="34">
        <f>96.7121775-AU1040</f>
        <v>77.985003399999997</v>
      </c>
      <c r="AV1041" s="34">
        <f>99.8418352-AV1040</f>
        <v>78.181743699999998</v>
      </c>
      <c r="AW1041" s="34">
        <f>81.8853298-AW1040</f>
        <v>57.730323299999995</v>
      </c>
      <c r="AX1041" s="34">
        <f>307.3660871-AX1040</f>
        <v>280.19903099999999</v>
      </c>
      <c r="AY1041" s="18">
        <f>964.3136469-AY1040-AY1039</f>
        <v>577.48004960000003</v>
      </c>
      <c r="AZ1041" s="34">
        <f>0</f>
        <v>0</v>
      </c>
      <c r="BA1041" s="34">
        <f>21.676804-BA1040</f>
        <v>20.8352869</v>
      </c>
      <c r="BB1041" s="34">
        <f>11.7044377-BB1040</f>
        <v>10.862920599999999</v>
      </c>
      <c r="BC1041" s="34">
        <f>11.7267307-BC1040</f>
        <v>10.885230699999999</v>
      </c>
      <c r="BD1041" s="18">
        <f>11.0912841-BD1040</f>
        <v>10.249784099999999</v>
      </c>
      <c r="BE1041" s="25">
        <f>10.0819218-BE1040</f>
        <v>9.2404046999999991</v>
      </c>
      <c r="BF1041" s="18">
        <f>10.5424996-BF1040</f>
        <v>9.7009995999999994</v>
      </c>
      <c r="BG1041" s="18">
        <f>8.8040239-BG1040</f>
        <v>-0.19597609999999932</v>
      </c>
      <c r="BH1041" s="18">
        <f>8.9986221-BH1040</f>
        <v>-1.3778999999995989E-3</v>
      </c>
      <c r="BI1041" s="18">
        <f>9.3364325-BI1040</f>
        <v>0.3364325000000008</v>
      </c>
      <c r="BJ1041" s="71">
        <f>9.582372-BJ1040</f>
        <v>-0.41762800000000055</v>
      </c>
      <c r="BK1041" s="71">
        <f>9.946212-BK1040</f>
        <v>-5.3788000000000835E-2</v>
      </c>
      <c r="BL1041" s="71">
        <f>15.8240035-BL1040</f>
        <v>3.7676736000000002</v>
      </c>
      <c r="BM1041" s="113">
        <f>32.8792637-BM1040</f>
        <v>18.423616500000001</v>
      </c>
      <c r="BN1041" s="113">
        <f>38-BN1040</f>
        <v>27.294705100000002</v>
      </c>
      <c r="BO1041" s="113">
        <f>8-BO1040</f>
        <v>-2.951396299999999</v>
      </c>
      <c r="BP1041" s="113">
        <v>0</v>
      </c>
      <c r="BQ1041" s="113">
        <v>0</v>
      </c>
      <c r="BR1041" s="101"/>
      <c r="BS1041">
        <f t="shared" si="2109"/>
        <v>0</v>
      </c>
      <c r="BT1041">
        <f t="shared" si="2110"/>
        <v>0</v>
      </c>
      <c r="BU1041">
        <f t="shared" si="2111"/>
        <v>0</v>
      </c>
      <c r="BV1041">
        <f t="shared" si="2112"/>
        <v>0</v>
      </c>
      <c r="BW1041">
        <f t="shared" si="2113"/>
        <v>0</v>
      </c>
      <c r="BX1041">
        <f t="shared" si="2114"/>
        <v>0</v>
      </c>
      <c r="BY1041">
        <f t="shared" si="2115"/>
        <v>0</v>
      </c>
      <c r="BZ1041">
        <f t="shared" si="2116"/>
        <v>0</v>
      </c>
      <c r="CA1041">
        <f t="shared" si="2117"/>
        <v>0</v>
      </c>
      <c r="CB1041">
        <f t="shared" si="2118"/>
        <v>0</v>
      </c>
      <c r="CC1041">
        <f t="shared" si="2119"/>
        <v>0</v>
      </c>
      <c r="CD1041">
        <f t="shared" si="2120"/>
        <v>0</v>
      </c>
      <c r="CE1041">
        <f t="shared" si="2121"/>
        <v>0</v>
      </c>
      <c r="CF1041">
        <f t="shared" si="2122"/>
        <v>0</v>
      </c>
      <c r="CG1041">
        <f t="shared" si="2123"/>
        <v>0</v>
      </c>
      <c r="CH1041">
        <f t="shared" si="2124"/>
        <v>0</v>
      </c>
      <c r="CI1041">
        <f t="shared" si="2125"/>
        <v>0</v>
      </c>
      <c r="CJ1041">
        <f t="shared" si="2126"/>
        <v>0</v>
      </c>
      <c r="CK1041">
        <f t="shared" si="2127"/>
        <v>0</v>
      </c>
      <c r="CL1041">
        <f t="shared" si="2128"/>
        <v>0</v>
      </c>
      <c r="CM1041">
        <f t="shared" si="2129"/>
        <v>0</v>
      </c>
      <c r="CN1041">
        <f t="shared" si="2130"/>
        <v>0</v>
      </c>
      <c r="CO1041">
        <f t="shared" si="2131"/>
        <v>0</v>
      </c>
      <c r="CP1041">
        <f t="shared" si="2132"/>
        <v>0</v>
      </c>
      <c r="CQ1041">
        <f t="shared" si="2133"/>
        <v>0</v>
      </c>
      <c r="CR1041">
        <f t="shared" si="2134"/>
        <v>0</v>
      </c>
      <c r="CS1041">
        <f t="shared" si="2135"/>
        <v>0</v>
      </c>
      <c r="CT1041">
        <f t="shared" si="2136"/>
        <v>0</v>
      </c>
      <c r="CU1041">
        <f t="shared" si="2137"/>
        <v>0</v>
      </c>
      <c r="CV1041">
        <f t="shared" si="2138"/>
        <v>0</v>
      </c>
      <c r="CW1041">
        <f t="shared" si="2139"/>
        <v>0</v>
      </c>
      <c r="CX1041">
        <f t="shared" si="2140"/>
        <v>0</v>
      </c>
      <c r="CY1041">
        <f t="shared" si="2141"/>
        <v>0</v>
      </c>
      <c r="CZ1041">
        <f t="shared" si="2142"/>
        <v>0</v>
      </c>
      <c r="DA1041">
        <f t="shared" si="2143"/>
        <v>0</v>
      </c>
      <c r="DB1041">
        <f t="shared" si="2144"/>
        <v>0</v>
      </c>
      <c r="DC1041">
        <f t="shared" si="2145"/>
        <v>0</v>
      </c>
      <c r="DD1041">
        <f t="shared" si="2146"/>
        <v>0</v>
      </c>
      <c r="DE1041">
        <f t="shared" si="2147"/>
        <v>0</v>
      </c>
      <c r="DF1041">
        <f t="shared" si="2148"/>
        <v>0</v>
      </c>
      <c r="DG1041">
        <f t="shared" si="2149"/>
        <v>0</v>
      </c>
      <c r="DH1041">
        <f t="shared" si="2150"/>
        <v>0</v>
      </c>
      <c r="DI1041">
        <f t="shared" si="2151"/>
        <v>0</v>
      </c>
      <c r="DJ1041">
        <f t="shared" si="2152"/>
        <v>0</v>
      </c>
      <c r="DK1041">
        <f t="shared" si="2153"/>
        <v>0</v>
      </c>
      <c r="DL1041">
        <f t="shared" si="2154"/>
        <v>0</v>
      </c>
      <c r="DM1041">
        <f t="shared" si="2155"/>
        <v>0</v>
      </c>
      <c r="DN1041">
        <f t="shared" si="2156"/>
        <v>0</v>
      </c>
      <c r="DO1041">
        <f t="shared" si="2157"/>
        <v>0</v>
      </c>
      <c r="DP1041">
        <f t="shared" si="2158"/>
        <v>0</v>
      </c>
      <c r="DQ1041">
        <f t="shared" si="2159"/>
        <v>0</v>
      </c>
      <c r="DR1041">
        <f t="shared" si="2160"/>
        <v>0</v>
      </c>
      <c r="DS1041">
        <f t="shared" si="2161"/>
        <v>0</v>
      </c>
      <c r="DT1041">
        <f t="shared" si="2162"/>
        <v>0</v>
      </c>
      <c r="DU1041">
        <f t="shared" si="2163"/>
        <v>0</v>
      </c>
      <c r="DV1041">
        <f t="shared" si="2164"/>
        <v>0</v>
      </c>
      <c r="DW1041">
        <f t="shared" si="2165"/>
        <v>0</v>
      </c>
      <c r="DX1041">
        <f t="shared" si="2166"/>
        <v>0</v>
      </c>
      <c r="DY1041">
        <f t="shared" si="2167"/>
        <v>0</v>
      </c>
      <c r="DZ1041">
        <f t="shared" si="2168"/>
        <v>0</v>
      </c>
      <c r="EA1041">
        <f t="shared" si="2169"/>
        <v>0</v>
      </c>
      <c r="EB1041">
        <f t="shared" si="2169"/>
        <v>0</v>
      </c>
      <c r="EC1041">
        <f t="shared" si="2169"/>
        <v>0</v>
      </c>
      <c r="ED1041">
        <f t="shared" si="2169"/>
        <v>0</v>
      </c>
      <c r="EE1041">
        <f t="shared" si="2169"/>
        <v>0</v>
      </c>
      <c r="EF1041">
        <f t="shared" si="2169"/>
        <v>0</v>
      </c>
    </row>
    <row r="1042" spans="1:136" ht="15.5">
      <c r="A1042" s="90"/>
      <c r="B1042" s="19" t="s">
        <v>18</v>
      </c>
      <c r="C1042" s="94"/>
      <c r="D1042" s="31"/>
      <c r="E1042" s="18">
        <v>0</v>
      </c>
      <c r="F1042" s="18">
        <v>0</v>
      </c>
      <c r="G1042" s="18">
        <v>0</v>
      </c>
      <c r="H1042" s="18">
        <v>0</v>
      </c>
      <c r="I1042" s="18">
        <v>0</v>
      </c>
      <c r="J1042" s="18">
        <v>0</v>
      </c>
      <c r="K1042" s="18">
        <v>0</v>
      </c>
      <c r="L1042" s="18">
        <v>0</v>
      </c>
      <c r="M1042" s="18">
        <v>0</v>
      </c>
      <c r="N1042" s="31"/>
      <c r="O1042" s="31"/>
      <c r="P1042" s="31"/>
      <c r="Q1042" s="31"/>
      <c r="R1042" s="31"/>
      <c r="S1042" s="31"/>
      <c r="T1042" s="31"/>
      <c r="U1042" s="31"/>
      <c r="V1042" s="36"/>
      <c r="W1042" s="36"/>
      <c r="X1042" s="36"/>
      <c r="Y1042" s="36">
        <v>49</v>
      </c>
      <c r="Z1042" s="36">
        <v>77</v>
      </c>
      <c r="AA1042" s="40" t="s">
        <v>16</v>
      </c>
      <c r="AB1042" s="36">
        <v>25</v>
      </c>
      <c r="AC1042" s="36">
        <v>25</v>
      </c>
      <c r="AD1042" s="36"/>
      <c r="AE1042" s="34">
        <v>74</v>
      </c>
      <c r="AF1042" s="34">
        <v>79</v>
      </c>
      <c r="AG1042" s="71">
        <v>88</v>
      </c>
      <c r="AH1042" s="71">
        <v>94</v>
      </c>
      <c r="AI1042" s="71">
        <v>104</v>
      </c>
      <c r="AJ1042" s="71">
        <v>110</v>
      </c>
      <c r="AK1042" s="40" t="s">
        <v>16</v>
      </c>
      <c r="AL1042" s="40" t="s">
        <v>16</v>
      </c>
      <c r="AM1042" s="34">
        <v>330</v>
      </c>
      <c r="AN1042" s="34">
        <v>0</v>
      </c>
      <c r="AO1042" s="34">
        <v>0</v>
      </c>
      <c r="AP1042" s="34">
        <v>0</v>
      </c>
      <c r="AQ1042" s="34">
        <v>0</v>
      </c>
      <c r="AR1042" s="34">
        <v>0</v>
      </c>
      <c r="AS1042" s="34">
        <v>0</v>
      </c>
      <c r="AT1042" s="34">
        <v>0</v>
      </c>
      <c r="AU1042" s="34">
        <v>0</v>
      </c>
      <c r="AV1042" s="34">
        <v>0</v>
      </c>
      <c r="AW1042" s="34">
        <v>0</v>
      </c>
      <c r="AX1042" s="34">
        <v>0</v>
      </c>
      <c r="AY1042" s="34">
        <v>0</v>
      </c>
      <c r="AZ1042" s="34">
        <v>0</v>
      </c>
      <c r="BA1042" s="34">
        <v>0</v>
      </c>
      <c r="BB1042" s="34">
        <v>0</v>
      </c>
      <c r="BC1042" s="34">
        <v>0</v>
      </c>
      <c r="BD1042" s="34">
        <v>0</v>
      </c>
      <c r="BE1042" s="34">
        <v>0</v>
      </c>
      <c r="BF1042" s="34">
        <v>0</v>
      </c>
      <c r="BG1042" s="34">
        <v>0</v>
      </c>
      <c r="BH1042" s="34">
        <v>0</v>
      </c>
      <c r="BI1042" s="34">
        <v>0</v>
      </c>
      <c r="BJ1042" s="113">
        <v>0</v>
      </c>
      <c r="BK1042" s="113">
        <v>0</v>
      </c>
      <c r="BL1042" s="113">
        <v>0</v>
      </c>
      <c r="BM1042" s="113">
        <v>0</v>
      </c>
      <c r="BN1042" s="113">
        <v>0</v>
      </c>
      <c r="BO1042" s="113">
        <v>0</v>
      </c>
      <c r="BP1042" s="113">
        <v>0</v>
      </c>
      <c r="BQ1042" s="113">
        <v>0</v>
      </c>
      <c r="BR1042" s="101"/>
      <c r="BS1042">
        <f t="shared" si="2109"/>
        <v>0</v>
      </c>
      <c r="BT1042">
        <f t="shared" si="2110"/>
        <v>0</v>
      </c>
      <c r="BU1042">
        <f t="shared" si="2111"/>
        <v>0</v>
      </c>
      <c r="BV1042">
        <f t="shared" si="2112"/>
        <v>0</v>
      </c>
      <c r="BW1042">
        <f t="shared" si="2113"/>
        <v>0</v>
      </c>
      <c r="BX1042">
        <f t="shared" si="2114"/>
        <v>0</v>
      </c>
      <c r="BY1042">
        <f t="shared" si="2115"/>
        <v>0</v>
      </c>
      <c r="BZ1042">
        <f t="shared" si="2116"/>
        <v>0</v>
      </c>
      <c r="CA1042">
        <f t="shared" si="2117"/>
        <v>0</v>
      </c>
      <c r="CB1042">
        <f t="shared" si="2118"/>
        <v>0</v>
      </c>
      <c r="CC1042">
        <f t="shared" si="2119"/>
        <v>0</v>
      </c>
      <c r="CD1042">
        <f t="shared" si="2120"/>
        <v>0</v>
      </c>
      <c r="CE1042">
        <f t="shared" si="2121"/>
        <v>0</v>
      </c>
      <c r="CF1042">
        <f t="shared" si="2122"/>
        <v>0</v>
      </c>
      <c r="CG1042">
        <f t="shared" si="2123"/>
        <v>0</v>
      </c>
      <c r="CH1042">
        <f t="shared" si="2124"/>
        <v>0</v>
      </c>
      <c r="CI1042">
        <f t="shared" si="2125"/>
        <v>0</v>
      </c>
      <c r="CJ1042">
        <f t="shared" si="2126"/>
        <v>0</v>
      </c>
      <c r="CK1042">
        <f t="shared" si="2127"/>
        <v>0</v>
      </c>
      <c r="CL1042">
        <f t="shared" si="2128"/>
        <v>0</v>
      </c>
      <c r="CM1042">
        <f t="shared" si="2129"/>
        <v>0</v>
      </c>
      <c r="CN1042">
        <f t="shared" si="2130"/>
        <v>0</v>
      </c>
      <c r="CO1042">
        <f t="shared" si="2131"/>
        <v>0</v>
      </c>
      <c r="CP1042">
        <f t="shared" si="2132"/>
        <v>0</v>
      </c>
      <c r="CQ1042">
        <f t="shared" si="2133"/>
        <v>0</v>
      </c>
      <c r="CR1042">
        <f t="shared" si="2134"/>
        <v>0</v>
      </c>
      <c r="CS1042">
        <f t="shared" si="2135"/>
        <v>0</v>
      </c>
      <c r="CT1042">
        <f t="shared" si="2136"/>
        <v>0</v>
      </c>
      <c r="CU1042">
        <f t="shared" si="2137"/>
        <v>0</v>
      </c>
      <c r="CV1042">
        <f t="shared" si="2138"/>
        <v>0</v>
      </c>
      <c r="CW1042">
        <f t="shared" si="2139"/>
        <v>0</v>
      </c>
      <c r="CX1042">
        <f t="shared" si="2140"/>
        <v>0</v>
      </c>
      <c r="CY1042">
        <f t="shared" si="2141"/>
        <v>0</v>
      </c>
      <c r="CZ1042">
        <f t="shared" si="2142"/>
        <v>0</v>
      </c>
      <c r="DA1042">
        <f t="shared" si="2143"/>
        <v>0</v>
      </c>
      <c r="DB1042">
        <f t="shared" si="2144"/>
        <v>0</v>
      </c>
      <c r="DC1042">
        <f t="shared" si="2145"/>
        <v>0</v>
      </c>
      <c r="DD1042">
        <f t="shared" si="2146"/>
        <v>0</v>
      </c>
      <c r="DE1042">
        <f t="shared" si="2147"/>
        <v>0</v>
      </c>
      <c r="DF1042">
        <f t="shared" si="2148"/>
        <v>0</v>
      </c>
      <c r="DG1042">
        <f t="shared" si="2149"/>
        <v>0</v>
      </c>
      <c r="DH1042">
        <f t="shared" si="2150"/>
        <v>0</v>
      </c>
      <c r="DI1042">
        <f t="shared" si="2151"/>
        <v>0</v>
      </c>
      <c r="DJ1042">
        <f t="shared" si="2152"/>
        <v>0</v>
      </c>
      <c r="DK1042">
        <f t="shared" si="2153"/>
        <v>0</v>
      </c>
      <c r="DL1042">
        <f t="shared" si="2154"/>
        <v>0</v>
      </c>
      <c r="DM1042">
        <f t="shared" si="2155"/>
        <v>0</v>
      </c>
      <c r="DN1042">
        <f t="shared" si="2156"/>
        <v>0</v>
      </c>
      <c r="DO1042">
        <f t="shared" si="2157"/>
        <v>0</v>
      </c>
      <c r="DP1042">
        <f t="shared" si="2158"/>
        <v>0</v>
      </c>
      <c r="DQ1042">
        <f t="shared" si="2159"/>
        <v>0</v>
      </c>
      <c r="DR1042">
        <f t="shared" si="2160"/>
        <v>0</v>
      </c>
      <c r="DS1042">
        <f t="shared" si="2161"/>
        <v>0</v>
      </c>
      <c r="DT1042">
        <f t="shared" si="2162"/>
        <v>0</v>
      </c>
      <c r="DU1042">
        <f t="shared" si="2163"/>
        <v>0</v>
      </c>
      <c r="DV1042">
        <f t="shared" si="2164"/>
        <v>0</v>
      </c>
      <c r="DW1042">
        <f t="shared" si="2165"/>
        <v>0</v>
      </c>
      <c r="DX1042">
        <f t="shared" si="2166"/>
        <v>0</v>
      </c>
      <c r="DY1042">
        <f t="shared" si="2167"/>
        <v>0</v>
      </c>
      <c r="DZ1042">
        <f t="shared" si="2168"/>
        <v>0</v>
      </c>
      <c r="EA1042">
        <f t="shared" si="2169"/>
        <v>0</v>
      </c>
      <c r="EB1042">
        <f t="shared" si="2169"/>
        <v>0</v>
      </c>
      <c r="EC1042">
        <f t="shared" si="2169"/>
        <v>0</v>
      </c>
      <c r="ED1042">
        <f t="shared" si="2169"/>
        <v>0</v>
      </c>
      <c r="EE1042">
        <f t="shared" si="2169"/>
        <v>0</v>
      </c>
      <c r="EF1042">
        <f t="shared" si="2169"/>
        <v>0</v>
      </c>
    </row>
    <row r="1043" spans="1:136" ht="15.5">
      <c r="A1043" s="90"/>
      <c r="B1043" s="19" t="s">
        <v>208</v>
      </c>
      <c r="C1043" s="94"/>
      <c r="D1043" s="18"/>
      <c r="E1043" s="18">
        <v>0</v>
      </c>
      <c r="F1043" s="18">
        <v>0</v>
      </c>
      <c r="G1043" s="18">
        <v>0</v>
      </c>
      <c r="H1043" s="18">
        <v>0</v>
      </c>
      <c r="I1043" s="18">
        <v>0</v>
      </c>
      <c r="J1043" s="18">
        <v>0</v>
      </c>
      <c r="K1043" s="18">
        <v>0</v>
      </c>
      <c r="L1043" s="18">
        <v>0</v>
      </c>
      <c r="M1043" s="18">
        <v>0</v>
      </c>
      <c r="N1043" s="18">
        <v>2.6286400000000001E-2</v>
      </c>
      <c r="O1043" s="18">
        <v>8.3843699999999993E-2</v>
      </c>
      <c r="P1043" s="18">
        <v>8.5463399999999995E-2</v>
      </c>
      <c r="Q1043" s="18">
        <v>9.3033000000000005E-2</v>
      </c>
      <c r="R1043" s="18">
        <v>0.65822199999999997</v>
      </c>
      <c r="S1043" s="18">
        <v>5.0433329000000002</v>
      </c>
      <c r="T1043" s="18">
        <v>17.8049994</v>
      </c>
      <c r="U1043" s="18">
        <v>12.933580300000001</v>
      </c>
      <c r="V1043" s="34">
        <v>2.1817134999999999</v>
      </c>
      <c r="W1043" s="34">
        <v>14.8556057</v>
      </c>
      <c r="X1043" s="34">
        <v>16.401678799999999</v>
      </c>
      <c r="Y1043" s="40" t="s">
        <v>16</v>
      </c>
      <c r="Z1043" s="40" t="s">
        <v>16</v>
      </c>
      <c r="AA1043" s="34">
        <v>25.053039299999998</v>
      </c>
      <c r="AB1043" s="40" t="s">
        <v>16</v>
      </c>
      <c r="AC1043" s="34">
        <v>34.1817767</v>
      </c>
      <c r="AD1043" s="34">
        <v>38.066213700000006</v>
      </c>
      <c r="AE1043" s="34">
        <v>56.215116999999999</v>
      </c>
      <c r="AF1043" s="34">
        <v>66.934213499999998</v>
      </c>
      <c r="AG1043" s="34">
        <f>398.1594961-AG1042</f>
        <v>310.15949610000001</v>
      </c>
      <c r="AH1043" s="34">
        <f>439.917962-AH1042</f>
        <v>345.91796199999999</v>
      </c>
      <c r="AI1043" s="34">
        <f>475.1392009-AI1042</f>
        <v>371.13920089999999</v>
      </c>
      <c r="AJ1043" s="34">
        <f>488.8924993-AJ1042</f>
        <v>378.8924993</v>
      </c>
      <c r="AK1043" s="34">
        <v>439.45846669999997</v>
      </c>
      <c r="AL1043" s="34">
        <v>317.11214209999997</v>
      </c>
      <c r="AM1043" s="34">
        <v>89.81</v>
      </c>
      <c r="AN1043" s="34">
        <v>89.859529499999994</v>
      </c>
      <c r="AO1043" s="34">
        <v>89.692368999999999</v>
      </c>
      <c r="AP1043" s="18">
        <v>88.586184000000003</v>
      </c>
      <c r="AQ1043" s="18">
        <v>88.67055520000001</v>
      </c>
      <c r="AR1043" s="18">
        <v>15.426870399999999</v>
      </c>
      <c r="AS1043" s="18">
        <v>3.9917509</v>
      </c>
      <c r="AT1043" s="18">
        <v>0.50539990000000001</v>
      </c>
      <c r="AU1043" s="18">
        <v>12.7723751</v>
      </c>
      <c r="AV1043" s="18">
        <v>0.94513320000000001</v>
      </c>
      <c r="AW1043" s="18">
        <v>212.18514200000001</v>
      </c>
      <c r="AX1043" s="18">
        <v>212.45066369999998</v>
      </c>
      <c r="AY1043" s="18">
        <v>211.755898</v>
      </c>
      <c r="AZ1043" s="18">
        <v>211.1</v>
      </c>
      <c r="BA1043" s="18">
        <v>211.1</v>
      </c>
      <c r="BB1043" s="18">
        <v>211.1</v>
      </c>
      <c r="BC1043" s="18">
        <v>208</v>
      </c>
      <c r="BD1043" s="34">
        <v>209.6</v>
      </c>
      <c r="BE1043" s="42">
        <v>195.44</v>
      </c>
      <c r="BF1043" s="18">
        <v>195.44</v>
      </c>
      <c r="BG1043" s="18">
        <v>193.44</v>
      </c>
      <c r="BH1043" s="18">
        <v>193.44</v>
      </c>
      <c r="BI1043" s="18">
        <v>193.44</v>
      </c>
      <c r="BJ1043" s="71">
        <v>193.44</v>
      </c>
      <c r="BK1043" s="71">
        <v>187</v>
      </c>
      <c r="BL1043" s="71">
        <v>179.43</v>
      </c>
      <c r="BM1043" s="71">
        <v>168.03</v>
      </c>
      <c r="BN1043" s="113">
        <v>164.93</v>
      </c>
      <c r="BO1043" s="113">
        <v>205</v>
      </c>
      <c r="BP1043" s="113">
        <f>205+23.4</f>
        <v>228.4</v>
      </c>
      <c r="BQ1043" s="113">
        <f>205+23.4</f>
        <v>228.4</v>
      </c>
      <c r="BR1043" s="101"/>
      <c r="BS1043">
        <f t="shared" si="2109"/>
        <v>0</v>
      </c>
      <c r="BT1043">
        <f t="shared" si="2110"/>
        <v>0</v>
      </c>
      <c r="BU1043">
        <f t="shared" si="2111"/>
        <v>0</v>
      </c>
      <c r="BV1043">
        <f t="shared" si="2112"/>
        <v>0</v>
      </c>
      <c r="BW1043">
        <f t="shared" si="2113"/>
        <v>0</v>
      </c>
      <c r="BX1043">
        <f t="shared" si="2114"/>
        <v>0</v>
      </c>
      <c r="BY1043">
        <f t="shared" si="2115"/>
        <v>0</v>
      </c>
      <c r="BZ1043">
        <f t="shared" si="2116"/>
        <v>0</v>
      </c>
      <c r="CA1043">
        <f t="shared" si="2117"/>
        <v>0</v>
      </c>
      <c r="CB1043">
        <f t="shared" si="2118"/>
        <v>0</v>
      </c>
      <c r="CC1043">
        <f t="shared" si="2119"/>
        <v>0</v>
      </c>
      <c r="CD1043">
        <f t="shared" si="2120"/>
        <v>0</v>
      </c>
      <c r="CE1043">
        <f t="shared" si="2121"/>
        <v>0</v>
      </c>
      <c r="CF1043">
        <f t="shared" si="2122"/>
        <v>0</v>
      </c>
      <c r="CG1043">
        <f t="shared" si="2123"/>
        <v>0</v>
      </c>
      <c r="CH1043">
        <f t="shared" si="2124"/>
        <v>0</v>
      </c>
      <c r="CI1043">
        <f t="shared" si="2125"/>
        <v>0</v>
      </c>
      <c r="CJ1043">
        <f t="shared" si="2126"/>
        <v>0</v>
      </c>
      <c r="CK1043">
        <f t="shared" si="2127"/>
        <v>0</v>
      </c>
      <c r="CL1043">
        <f t="shared" si="2128"/>
        <v>0</v>
      </c>
      <c r="CM1043">
        <f t="shared" si="2129"/>
        <v>0</v>
      </c>
      <c r="CN1043">
        <f t="shared" si="2130"/>
        <v>0</v>
      </c>
      <c r="CO1043">
        <f t="shared" si="2131"/>
        <v>0</v>
      </c>
      <c r="CP1043">
        <f t="shared" si="2132"/>
        <v>0</v>
      </c>
      <c r="CQ1043">
        <f t="shared" si="2133"/>
        <v>0</v>
      </c>
      <c r="CR1043">
        <f t="shared" si="2134"/>
        <v>0</v>
      </c>
      <c r="CS1043">
        <f t="shared" si="2135"/>
        <v>0</v>
      </c>
      <c r="CT1043">
        <f t="shared" si="2136"/>
        <v>0</v>
      </c>
      <c r="CU1043">
        <f t="shared" si="2137"/>
        <v>0</v>
      </c>
      <c r="CV1043">
        <f t="shared" si="2138"/>
        <v>0</v>
      </c>
      <c r="CW1043">
        <f t="shared" si="2139"/>
        <v>0</v>
      </c>
      <c r="CX1043">
        <f t="shared" si="2140"/>
        <v>0</v>
      </c>
      <c r="CY1043">
        <f t="shared" si="2141"/>
        <v>0</v>
      </c>
      <c r="CZ1043">
        <f t="shared" si="2142"/>
        <v>0</v>
      </c>
      <c r="DA1043">
        <f t="shared" si="2143"/>
        <v>0</v>
      </c>
      <c r="DB1043">
        <f t="shared" si="2144"/>
        <v>0</v>
      </c>
      <c r="DC1043">
        <f t="shared" si="2145"/>
        <v>0</v>
      </c>
      <c r="DD1043">
        <f t="shared" si="2146"/>
        <v>0</v>
      </c>
      <c r="DE1043">
        <f t="shared" si="2147"/>
        <v>0</v>
      </c>
      <c r="DF1043">
        <f t="shared" si="2148"/>
        <v>0</v>
      </c>
      <c r="DG1043">
        <f t="shared" si="2149"/>
        <v>0</v>
      </c>
      <c r="DH1043">
        <f t="shared" si="2150"/>
        <v>0</v>
      </c>
      <c r="DI1043">
        <f t="shared" si="2151"/>
        <v>0</v>
      </c>
      <c r="DJ1043">
        <f t="shared" si="2152"/>
        <v>0</v>
      </c>
      <c r="DK1043">
        <f t="shared" si="2153"/>
        <v>0</v>
      </c>
      <c r="DL1043">
        <f t="shared" si="2154"/>
        <v>0</v>
      </c>
      <c r="DM1043">
        <f t="shared" si="2155"/>
        <v>0</v>
      </c>
      <c r="DN1043">
        <f t="shared" si="2156"/>
        <v>0</v>
      </c>
      <c r="DO1043">
        <f t="shared" si="2157"/>
        <v>0</v>
      </c>
      <c r="DP1043">
        <f t="shared" si="2158"/>
        <v>0</v>
      </c>
      <c r="DQ1043">
        <f t="shared" si="2159"/>
        <v>0</v>
      </c>
      <c r="DR1043">
        <f t="shared" si="2160"/>
        <v>0</v>
      </c>
      <c r="DS1043">
        <f t="shared" si="2161"/>
        <v>0</v>
      </c>
      <c r="DT1043">
        <f t="shared" si="2162"/>
        <v>0</v>
      </c>
      <c r="DU1043">
        <f t="shared" si="2163"/>
        <v>0</v>
      </c>
      <c r="DV1043">
        <f t="shared" si="2164"/>
        <v>0</v>
      </c>
      <c r="DW1043">
        <f t="shared" si="2165"/>
        <v>0</v>
      </c>
      <c r="DX1043">
        <f t="shared" si="2166"/>
        <v>0</v>
      </c>
      <c r="DY1043">
        <f t="shared" si="2167"/>
        <v>0</v>
      </c>
      <c r="DZ1043">
        <f t="shared" si="2168"/>
        <v>0</v>
      </c>
      <c r="EA1043">
        <f t="shared" si="2169"/>
        <v>0</v>
      </c>
      <c r="EB1043">
        <f t="shared" si="2169"/>
        <v>0</v>
      </c>
      <c r="EC1043">
        <f t="shared" si="2169"/>
        <v>0</v>
      </c>
      <c r="ED1043">
        <f t="shared" si="2169"/>
        <v>0</v>
      </c>
      <c r="EE1043">
        <f t="shared" si="2169"/>
        <v>0</v>
      </c>
      <c r="EF1043">
        <f t="shared" si="2169"/>
        <v>0</v>
      </c>
    </row>
    <row r="1044" spans="1:136" ht="15.5">
      <c r="A1044" s="90"/>
      <c r="B1044" s="19" t="s">
        <v>212</v>
      </c>
      <c r="C1044" s="94"/>
      <c r="D1044" s="18"/>
      <c r="E1044" s="18"/>
      <c r="F1044" s="18"/>
      <c r="G1044" s="18"/>
      <c r="H1044" s="18"/>
      <c r="I1044" s="18"/>
      <c r="J1044" s="18"/>
      <c r="K1044" s="18"/>
      <c r="L1044" s="18"/>
      <c r="M1044" s="18"/>
      <c r="N1044" s="18"/>
      <c r="O1044" s="18"/>
      <c r="P1044" s="18"/>
      <c r="Q1044" s="18"/>
      <c r="R1044" s="18"/>
      <c r="S1044" s="18"/>
      <c r="T1044" s="18"/>
      <c r="U1044" s="18"/>
      <c r="V1044" s="34"/>
      <c r="W1044" s="34"/>
      <c r="X1044" s="34"/>
      <c r="Y1044" s="40"/>
      <c r="Z1044" s="40"/>
      <c r="AA1044" s="34"/>
      <c r="AB1044" s="40"/>
      <c r="AC1044" s="34">
        <v>4181.3359528487235</v>
      </c>
      <c r="AD1044" s="34">
        <v>1322.1255438160349</v>
      </c>
      <c r="AE1044" s="34">
        <v>638.97058823529414</v>
      </c>
      <c r="AF1044" s="34">
        <v>726.67692307692312</v>
      </c>
      <c r="AG1044" s="71">
        <v>537.1070234113713</v>
      </c>
      <c r="AH1044" s="71">
        <v>248.50993377483445</v>
      </c>
      <c r="AI1044" s="18">
        <v>160.96271186440677</v>
      </c>
      <c r="AJ1044" s="18">
        <v>91.026052104208418</v>
      </c>
      <c r="AK1044" s="18">
        <v>80.220458553791886</v>
      </c>
      <c r="AL1044" s="18">
        <v>73.059625212947182</v>
      </c>
      <c r="AM1044" s="18">
        <v>42.259602649006624</v>
      </c>
      <c r="AN1044" s="18">
        <v>20.322475570032573</v>
      </c>
      <c r="AO1044" s="18">
        <v>27.117227319062181</v>
      </c>
      <c r="AP1044" s="18">
        <v>40.213554987212277</v>
      </c>
      <c r="AQ1044" s="147">
        <v>53.599223946784925</v>
      </c>
      <c r="AR1044" s="147">
        <v>1673.0401529636711</v>
      </c>
      <c r="AS1044" s="147">
        <v>1397.5011568718187</v>
      </c>
      <c r="AT1044" s="147">
        <v>1376.289638180408</v>
      </c>
      <c r="AU1044" s="147">
        <v>1172.0858704137393</v>
      </c>
      <c r="AV1044" s="147">
        <v>1047.372027972028</v>
      </c>
      <c r="AW1044" s="147">
        <v>1019.4376811594203</v>
      </c>
      <c r="AX1044" s="147">
        <v>1008.7106684672518</v>
      </c>
      <c r="AY1044" s="147">
        <v>1373.5343383584589</v>
      </c>
      <c r="AZ1044" s="147">
        <v>1359.9463267359947</v>
      </c>
      <c r="BA1044" s="147">
        <v>1171.5542521994134</v>
      </c>
      <c r="BB1044" s="147">
        <v>946.84466019417471</v>
      </c>
      <c r="BC1044" s="147">
        <v>893.78478664192949</v>
      </c>
      <c r="BD1044" s="149">
        <v>881.04697359196075</v>
      </c>
      <c r="BE1044" s="159">
        <v>884.73228898760817</v>
      </c>
      <c r="BF1044" s="147">
        <v>874.73659564504794</v>
      </c>
      <c r="BG1044" s="147">
        <v>886.57074340527583</v>
      </c>
      <c r="BH1044" s="169">
        <v>665.33936651583713</v>
      </c>
      <c r="BI1044" s="169">
        <v>530.6973684210526</v>
      </c>
      <c r="BJ1044" s="169">
        <v>428.36904761904759</v>
      </c>
      <c r="BK1044" s="169">
        <v>371.54842050750904</v>
      </c>
      <c r="BL1044" s="154">
        <v>341.97506234413964</v>
      </c>
      <c r="BM1044" s="154">
        <v>278.62038273253228</v>
      </c>
      <c r="BN1044" s="113">
        <v>137.12084993359895</v>
      </c>
      <c r="BO1044" s="168">
        <v>121.28101265822785</v>
      </c>
      <c r="BP1044" s="124">
        <v>78.880629645824229</v>
      </c>
      <c r="BQ1044" s="113">
        <v>73</v>
      </c>
      <c r="BR1044" s="101"/>
      <c r="BS1044">
        <f t="shared" si="2109"/>
        <v>0</v>
      </c>
      <c r="BT1044">
        <f t="shared" si="2110"/>
        <v>0</v>
      </c>
      <c r="BU1044">
        <f t="shared" si="2111"/>
        <v>0</v>
      </c>
      <c r="BV1044">
        <f t="shared" si="2112"/>
        <v>0</v>
      </c>
      <c r="BW1044">
        <f t="shared" si="2113"/>
        <v>0</v>
      </c>
      <c r="BX1044">
        <f t="shared" si="2114"/>
        <v>0</v>
      </c>
      <c r="BY1044">
        <f t="shared" si="2115"/>
        <v>0</v>
      </c>
      <c r="BZ1044">
        <f t="shared" si="2116"/>
        <v>0</v>
      </c>
      <c r="CA1044">
        <f t="shared" si="2117"/>
        <v>0</v>
      </c>
      <c r="CB1044">
        <f t="shared" si="2118"/>
        <v>0</v>
      </c>
      <c r="CC1044">
        <f t="shared" si="2119"/>
        <v>0</v>
      </c>
      <c r="CD1044">
        <f t="shared" si="2120"/>
        <v>0</v>
      </c>
      <c r="CE1044">
        <f t="shared" si="2121"/>
        <v>0</v>
      </c>
      <c r="CF1044">
        <f t="shared" si="2122"/>
        <v>0</v>
      </c>
      <c r="CG1044">
        <f t="shared" si="2123"/>
        <v>0</v>
      </c>
      <c r="CH1044">
        <f t="shared" si="2124"/>
        <v>0</v>
      </c>
      <c r="CI1044">
        <f t="shared" si="2125"/>
        <v>0</v>
      </c>
      <c r="CJ1044">
        <f t="shared" si="2126"/>
        <v>0</v>
      </c>
      <c r="CK1044">
        <f t="shared" si="2127"/>
        <v>0</v>
      </c>
      <c r="CL1044">
        <f t="shared" si="2128"/>
        <v>0</v>
      </c>
      <c r="CM1044">
        <f t="shared" si="2129"/>
        <v>0</v>
      </c>
      <c r="CN1044">
        <f t="shared" si="2130"/>
        <v>0</v>
      </c>
      <c r="CO1044">
        <f t="shared" si="2131"/>
        <v>0</v>
      </c>
      <c r="CP1044">
        <f t="shared" si="2132"/>
        <v>0</v>
      </c>
      <c r="CQ1044">
        <f t="shared" si="2133"/>
        <v>0</v>
      </c>
      <c r="CR1044">
        <f t="shared" si="2134"/>
        <v>0</v>
      </c>
      <c r="CS1044">
        <f t="shared" si="2135"/>
        <v>0</v>
      </c>
      <c r="CT1044">
        <f t="shared" si="2136"/>
        <v>0</v>
      </c>
      <c r="CU1044">
        <f t="shared" si="2137"/>
        <v>0</v>
      </c>
      <c r="CV1044">
        <f t="shared" si="2138"/>
        <v>0</v>
      </c>
      <c r="CW1044">
        <f t="shared" si="2139"/>
        <v>0</v>
      </c>
      <c r="CX1044">
        <f t="shared" si="2140"/>
        <v>0</v>
      </c>
      <c r="CY1044">
        <f t="shared" si="2141"/>
        <v>0</v>
      </c>
      <c r="CZ1044">
        <f t="shared" si="2142"/>
        <v>0</v>
      </c>
      <c r="DA1044">
        <f t="shared" si="2143"/>
        <v>0</v>
      </c>
      <c r="DB1044">
        <f t="shared" si="2144"/>
        <v>0</v>
      </c>
      <c r="DC1044">
        <f t="shared" si="2145"/>
        <v>0</v>
      </c>
      <c r="DD1044">
        <f t="shared" si="2146"/>
        <v>0</v>
      </c>
      <c r="DE1044">
        <f t="shared" si="2147"/>
        <v>0</v>
      </c>
      <c r="DF1044">
        <f t="shared" si="2148"/>
        <v>0</v>
      </c>
      <c r="DG1044">
        <f t="shared" si="2149"/>
        <v>0</v>
      </c>
      <c r="DH1044">
        <f t="shared" si="2150"/>
        <v>0</v>
      </c>
      <c r="DI1044">
        <f t="shared" si="2151"/>
        <v>0</v>
      </c>
      <c r="DJ1044">
        <f t="shared" si="2152"/>
        <v>0</v>
      </c>
      <c r="DK1044">
        <f t="shared" si="2153"/>
        <v>0</v>
      </c>
      <c r="DL1044">
        <f t="shared" si="2154"/>
        <v>0</v>
      </c>
      <c r="DM1044">
        <f t="shared" si="2155"/>
        <v>0</v>
      </c>
      <c r="DN1044">
        <f t="shared" si="2156"/>
        <v>0</v>
      </c>
      <c r="DO1044">
        <f t="shared" si="2157"/>
        <v>0</v>
      </c>
      <c r="DP1044">
        <f t="shared" si="2158"/>
        <v>0</v>
      </c>
      <c r="DQ1044">
        <f t="shared" si="2159"/>
        <v>0</v>
      </c>
      <c r="DR1044">
        <f t="shared" si="2160"/>
        <v>0</v>
      </c>
      <c r="DS1044">
        <f t="shared" si="2161"/>
        <v>0</v>
      </c>
      <c r="DT1044">
        <f t="shared" si="2162"/>
        <v>0</v>
      </c>
      <c r="DU1044">
        <f t="shared" si="2163"/>
        <v>0</v>
      </c>
      <c r="DV1044">
        <f t="shared" si="2164"/>
        <v>0</v>
      </c>
      <c r="DW1044">
        <f t="shared" si="2165"/>
        <v>0</v>
      </c>
      <c r="DX1044">
        <f t="shared" si="2166"/>
        <v>0</v>
      </c>
      <c r="DY1044">
        <f t="shared" si="2167"/>
        <v>0</v>
      </c>
      <c r="DZ1044">
        <f t="shared" si="2168"/>
        <v>0</v>
      </c>
      <c r="EA1044">
        <f>IF($C1044&lt;&gt;"",IF(BL1044&gt;0,1,0),0)</f>
        <v>0</v>
      </c>
      <c r="EB1044">
        <f>IF($C1044&lt;&gt;"",IF(BM1044&gt;0,1,0),0)</f>
        <v>0</v>
      </c>
      <c r="EC1044">
        <f>IF($C1044&lt;&gt;"",IF(BN1044&gt;0,1,0),0)</f>
        <v>0</v>
      </c>
      <c r="ED1044">
        <f>IF($C1044&lt;&gt;"",IF(BO1044&gt;0,1,0),0)</f>
        <v>0</v>
      </c>
      <c r="EE1044">
        <f>IF($C1044&lt;&gt;"",IF(BP1045&gt;0,1,0),0)</f>
        <v>0</v>
      </c>
      <c r="EF1044">
        <f>IF($C1044&lt;&gt;"",IF(BQ1045&gt;0,1,0),0)</f>
        <v>0</v>
      </c>
    </row>
    <row r="1045" spans="1:136" ht="15.5">
      <c r="A1045" s="90"/>
      <c r="B1045" s="19"/>
      <c r="C1045" s="94"/>
      <c r="D1045" s="18"/>
      <c r="E1045" s="18"/>
      <c r="F1045" s="18"/>
      <c r="G1045" s="18"/>
      <c r="H1045" s="18"/>
      <c r="I1045" s="18"/>
      <c r="J1045" s="18"/>
      <c r="K1045" s="18"/>
      <c r="L1045" s="18"/>
      <c r="M1045" s="18"/>
      <c r="N1045" s="18"/>
      <c r="O1045" s="18"/>
      <c r="P1045" s="18"/>
      <c r="Q1045" s="18"/>
      <c r="R1045" s="18"/>
      <c r="S1045" s="18"/>
      <c r="T1045" s="18"/>
      <c r="U1045" s="18"/>
      <c r="V1045" s="34"/>
      <c r="W1045" s="34"/>
      <c r="X1045" s="34"/>
      <c r="Y1045" s="40"/>
      <c r="Z1045" s="40"/>
      <c r="AA1045" s="34"/>
      <c r="AB1045" s="40"/>
      <c r="AC1045" s="34"/>
      <c r="AD1045" s="34"/>
      <c r="AE1045" s="34"/>
      <c r="AF1045" s="34"/>
      <c r="AG1045" s="40"/>
      <c r="AH1045" s="40"/>
      <c r="AI1045" s="40"/>
      <c r="AJ1045" s="40"/>
      <c r="AK1045" s="40"/>
      <c r="AL1045" s="40"/>
      <c r="AM1045" s="40"/>
      <c r="AN1045" s="40"/>
      <c r="AO1045" s="40"/>
      <c r="AP1045" s="40"/>
      <c r="AQ1045" s="18"/>
      <c r="AR1045" s="18"/>
      <c r="AS1045" s="18"/>
      <c r="AT1045" s="18"/>
      <c r="AU1045" s="18"/>
      <c r="AV1045" s="18"/>
      <c r="AW1045" s="18"/>
      <c r="AX1045" s="18"/>
      <c r="AY1045" s="18"/>
      <c r="AZ1045" s="18"/>
      <c r="BA1045" s="18"/>
      <c r="BB1045" s="18"/>
      <c r="BC1045" s="18"/>
      <c r="BD1045" s="34"/>
      <c r="BE1045" s="42"/>
      <c r="BF1045" s="18"/>
      <c r="BG1045" s="18"/>
      <c r="BH1045" s="169"/>
      <c r="BI1045" s="169"/>
      <c r="BJ1045" s="169"/>
      <c r="BK1045" s="169"/>
      <c r="BL1045" s="154"/>
      <c r="BM1045" s="113"/>
      <c r="BN1045" s="2"/>
      <c r="BO1045" s="2"/>
      <c r="BP1045" s="255"/>
      <c r="BQ1045" s="2"/>
      <c r="BR1045" s="101"/>
    </row>
    <row r="1046" spans="1:136" ht="15.5">
      <c r="A1046" s="93">
        <v>131</v>
      </c>
      <c r="B1046" s="136" t="s">
        <v>214</v>
      </c>
      <c r="C1046" s="94">
        <v>3</v>
      </c>
      <c r="D1046" s="31"/>
      <c r="E1046" s="31"/>
      <c r="F1046" s="31"/>
      <c r="G1046" s="31"/>
      <c r="H1046" s="31"/>
      <c r="I1046" s="31"/>
      <c r="J1046" s="31"/>
      <c r="K1046" s="31"/>
      <c r="L1046" s="31"/>
      <c r="M1046" s="31"/>
      <c r="N1046" s="31"/>
      <c r="O1046" s="31"/>
      <c r="P1046" s="31"/>
      <c r="Q1046" s="31"/>
      <c r="R1046" s="31"/>
      <c r="S1046" s="31"/>
      <c r="T1046" s="31"/>
      <c r="U1046" s="31"/>
      <c r="V1046" s="36"/>
      <c r="W1046" s="36"/>
      <c r="X1046" s="36"/>
      <c r="Y1046" s="36"/>
      <c r="Z1046" s="36"/>
      <c r="AA1046" s="36"/>
      <c r="AB1046" s="36"/>
      <c r="AC1046" s="36"/>
      <c r="AD1046" s="36"/>
      <c r="AE1046" s="36"/>
      <c r="AF1046" s="36"/>
      <c r="AG1046" s="36"/>
      <c r="AH1046" s="36"/>
      <c r="AI1046" s="36"/>
      <c r="AJ1046" s="36"/>
      <c r="AK1046" s="9">
        <f t="shared" ref="AK1046:BB1046" si="2170">AK1047</f>
        <v>0</v>
      </c>
      <c r="AL1046" s="9">
        <f t="shared" si="2170"/>
        <v>0</v>
      </c>
      <c r="AM1046" s="9">
        <f t="shared" si="2170"/>
        <v>0</v>
      </c>
      <c r="AN1046" s="9">
        <f t="shared" si="2170"/>
        <v>0</v>
      </c>
      <c r="AO1046" s="9">
        <f t="shared" si="2170"/>
        <v>0</v>
      </c>
      <c r="AP1046" s="9">
        <f t="shared" si="2170"/>
        <v>0</v>
      </c>
      <c r="AQ1046" s="9">
        <f t="shared" si="2170"/>
        <v>0</v>
      </c>
      <c r="AR1046" s="9">
        <f t="shared" si="2170"/>
        <v>0</v>
      </c>
      <c r="AS1046" s="9">
        <f t="shared" si="2170"/>
        <v>0</v>
      </c>
      <c r="AT1046" s="9">
        <f t="shared" si="2170"/>
        <v>0</v>
      </c>
      <c r="AU1046" s="9">
        <f t="shared" si="2170"/>
        <v>0</v>
      </c>
      <c r="AV1046" s="9">
        <f t="shared" si="2170"/>
        <v>0</v>
      </c>
      <c r="AW1046" s="9">
        <f t="shared" si="2170"/>
        <v>0</v>
      </c>
      <c r="AX1046" s="9">
        <f t="shared" si="2170"/>
        <v>0</v>
      </c>
      <c r="AY1046" s="9">
        <f t="shared" si="2170"/>
        <v>0</v>
      </c>
      <c r="AZ1046" s="9">
        <f t="shared" si="2170"/>
        <v>0</v>
      </c>
      <c r="BA1046" s="9">
        <f t="shared" si="2170"/>
        <v>0</v>
      </c>
      <c r="BB1046" s="9">
        <f t="shared" si="2170"/>
        <v>413.40782122905028</v>
      </c>
      <c r="BC1046" s="9">
        <v>0</v>
      </c>
      <c r="BD1046" s="9">
        <v>0</v>
      </c>
      <c r="BE1046" s="9">
        <v>0</v>
      </c>
      <c r="BF1046" s="9">
        <v>0</v>
      </c>
      <c r="BG1046" s="9">
        <v>0</v>
      </c>
      <c r="BH1046" s="9">
        <v>0</v>
      </c>
      <c r="BI1046" s="9">
        <v>0</v>
      </c>
      <c r="BJ1046" s="9">
        <v>0</v>
      </c>
      <c r="BK1046" s="9">
        <v>0</v>
      </c>
      <c r="BL1046" s="9">
        <v>0</v>
      </c>
      <c r="BM1046" s="9">
        <v>0</v>
      </c>
      <c r="BN1046" s="9">
        <v>0</v>
      </c>
      <c r="BO1046" s="9">
        <v>0</v>
      </c>
      <c r="BP1046" s="9">
        <v>0</v>
      </c>
      <c r="BQ1046" s="9">
        <v>0</v>
      </c>
      <c r="BR1046" s="101"/>
      <c r="BS1046">
        <f t="shared" ref="BS1046:CB1048" si="2171">IF($C1046&lt;&gt;"",IF(D1046&gt;0,1,0),0)</f>
        <v>0</v>
      </c>
      <c r="BT1046">
        <f t="shared" si="2171"/>
        <v>0</v>
      </c>
      <c r="BU1046">
        <f t="shared" si="2171"/>
        <v>0</v>
      </c>
      <c r="BV1046">
        <f t="shared" si="2171"/>
        <v>0</v>
      </c>
      <c r="BW1046">
        <f t="shared" si="2171"/>
        <v>0</v>
      </c>
      <c r="BX1046">
        <f t="shared" si="2171"/>
        <v>0</v>
      </c>
      <c r="BY1046">
        <f t="shared" si="2171"/>
        <v>0</v>
      </c>
      <c r="BZ1046">
        <f t="shared" si="2171"/>
        <v>0</v>
      </c>
      <c r="CA1046">
        <f t="shared" si="2171"/>
        <v>0</v>
      </c>
      <c r="CB1046">
        <f t="shared" si="2171"/>
        <v>0</v>
      </c>
      <c r="CC1046">
        <f t="shared" ref="CC1046:CL1048" si="2172">IF($C1046&lt;&gt;"",IF(N1046&gt;0,1,0),0)</f>
        <v>0</v>
      </c>
      <c r="CD1046">
        <f t="shared" si="2172"/>
        <v>0</v>
      </c>
      <c r="CE1046">
        <f t="shared" si="2172"/>
        <v>0</v>
      </c>
      <c r="CF1046">
        <f t="shared" si="2172"/>
        <v>0</v>
      </c>
      <c r="CG1046">
        <f t="shared" si="2172"/>
        <v>0</v>
      </c>
      <c r="CH1046">
        <f t="shared" si="2172"/>
        <v>0</v>
      </c>
      <c r="CI1046">
        <f t="shared" si="2172"/>
        <v>0</v>
      </c>
      <c r="CJ1046">
        <f t="shared" si="2172"/>
        <v>0</v>
      </c>
      <c r="CK1046">
        <f t="shared" si="2172"/>
        <v>0</v>
      </c>
      <c r="CL1046">
        <f t="shared" si="2172"/>
        <v>0</v>
      </c>
      <c r="CM1046">
        <f t="shared" ref="CM1046:CV1048" si="2173">IF($C1046&lt;&gt;"",IF(X1046&gt;0,1,0),0)</f>
        <v>0</v>
      </c>
      <c r="CN1046">
        <f t="shared" si="2173"/>
        <v>0</v>
      </c>
      <c r="CO1046">
        <f t="shared" si="2173"/>
        <v>0</v>
      </c>
      <c r="CP1046">
        <f t="shared" si="2173"/>
        <v>0</v>
      </c>
      <c r="CQ1046">
        <f t="shared" si="2173"/>
        <v>0</v>
      </c>
      <c r="CR1046">
        <f t="shared" si="2173"/>
        <v>0</v>
      </c>
      <c r="CS1046">
        <f t="shared" si="2173"/>
        <v>0</v>
      </c>
      <c r="CT1046">
        <f t="shared" si="2173"/>
        <v>0</v>
      </c>
      <c r="CU1046">
        <f t="shared" si="2173"/>
        <v>0</v>
      </c>
      <c r="CV1046">
        <f t="shared" si="2173"/>
        <v>0</v>
      </c>
      <c r="CW1046">
        <f t="shared" ref="CW1046:DF1048" si="2174">IF($C1046&lt;&gt;"",IF(AH1046&gt;0,1,0),0)</f>
        <v>0</v>
      </c>
      <c r="CX1046">
        <f t="shared" si="2174"/>
        <v>0</v>
      </c>
      <c r="CY1046">
        <f t="shared" si="2174"/>
        <v>0</v>
      </c>
      <c r="CZ1046">
        <f t="shared" si="2174"/>
        <v>0</v>
      </c>
      <c r="DA1046">
        <f t="shared" si="2174"/>
        <v>0</v>
      </c>
      <c r="DB1046">
        <f t="shared" si="2174"/>
        <v>0</v>
      </c>
      <c r="DC1046">
        <f t="shared" si="2174"/>
        <v>0</v>
      </c>
      <c r="DD1046">
        <f t="shared" si="2174"/>
        <v>0</v>
      </c>
      <c r="DE1046">
        <f t="shared" si="2174"/>
        <v>0</v>
      </c>
      <c r="DF1046">
        <f t="shared" si="2174"/>
        <v>0</v>
      </c>
      <c r="DG1046">
        <f t="shared" ref="DG1046:DP1048" si="2175">IF($C1046&lt;&gt;"",IF(AR1046&gt;0,1,0),0)</f>
        <v>0</v>
      </c>
      <c r="DH1046">
        <f t="shared" si="2175"/>
        <v>0</v>
      </c>
      <c r="DI1046">
        <f t="shared" si="2175"/>
        <v>0</v>
      </c>
      <c r="DJ1046">
        <f t="shared" si="2175"/>
        <v>0</v>
      </c>
      <c r="DK1046">
        <f t="shared" si="2175"/>
        <v>0</v>
      </c>
      <c r="DL1046">
        <f t="shared" si="2175"/>
        <v>0</v>
      </c>
      <c r="DM1046">
        <f t="shared" si="2175"/>
        <v>0</v>
      </c>
      <c r="DN1046">
        <f t="shared" si="2175"/>
        <v>0</v>
      </c>
      <c r="DO1046">
        <f t="shared" si="2175"/>
        <v>0</v>
      </c>
      <c r="DP1046">
        <f t="shared" si="2175"/>
        <v>0</v>
      </c>
      <c r="DQ1046">
        <f t="shared" ref="DQ1046:DZ1048" si="2176">IF($C1046&lt;&gt;"",IF(BB1046&gt;0,1,0),0)</f>
        <v>1</v>
      </c>
      <c r="DR1046">
        <f t="shared" si="2176"/>
        <v>0</v>
      </c>
      <c r="DS1046">
        <f t="shared" si="2176"/>
        <v>0</v>
      </c>
      <c r="DT1046">
        <f t="shared" si="2176"/>
        <v>0</v>
      </c>
      <c r="DU1046">
        <f t="shared" si="2176"/>
        <v>0</v>
      </c>
      <c r="DV1046">
        <f t="shared" si="2176"/>
        <v>0</v>
      </c>
      <c r="DW1046">
        <f t="shared" si="2176"/>
        <v>0</v>
      </c>
      <c r="DX1046">
        <f t="shared" si="2176"/>
        <v>0</v>
      </c>
      <c r="DY1046">
        <f t="shared" si="2176"/>
        <v>0</v>
      </c>
      <c r="DZ1046">
        <f t="shared" si="2176"/>
        <v>0</v>
      </c>
      <c r="EA1046">
        <f t="shared" ref="EA1046:EF1048" si="2177">IF($C1046&lt;&gt;"",IF(BL1046&gt;0,1,0),0)</f>
        <v>0</v>
      </c>
      <c r="EB1046">
        <f t="shared" si="2177"/>
        <v>0</v>
      </c>
      <c r="EC1046">
        <f t="shared" si="2177"/>
        <v>0</v>
      </c>
      <c r="ED1046">
        <f t="shared" si="2177"/>
        <v>0</v>
      </c>
      <c r="EE1046">
        <f t="shared" si="2177"/>
        <v>0</v>
      </c>
      <c r="EF1046">
        <f t="shared" si="2177"/>
        <v>0</v>
      </c>
    </row>
    <row r="1047" spans="1:136" ht="15.5">
      <c r="A1047" s="90"/>
      <c r="B1047" s="57" t="s">
        <v>3</v>
      </c>
      <c r="C1047" s="94"/>
      <c r="D1047" s="31"/>
      <c r="E1047" s="31"/>
      <c r="F1047" s="31"/>
      <c r="G1047" s="31"/>
      <c r="H1047" s="31"/>
      <c r="I1047" s="31"/>
      <c r="J1047" s="31"/>
      <c r="K1047" s="31"/>
      <c r="L1047" s="31"/>
      <c r="M1047" s="31"/>
      <c r="N1047" s="31"/>
      <c r="O1047" s="31"/>
      <c r="P1047" s="31"/>
      <c r="Q1047" s="31"/>
      <c r="R1047" s="31"/>
      <c r="S1047" s="31"/>
      <c r="T1047" s="31"/>
      <c r="U1047" s="31"/>
      <c r="V1047" s="36"/>
      <c r="W1047" s="36"/>
      <c r="X1047" s="36"/>
      <c r="Y1047" s="36"/>
      <c r="Z1047" s="36"/>
      <c r="AA1047" s="36"/>
      <c r="AB1047" s="36"/>
      <c r="AC1047" s="36"/>
      <c r="AD1047" s="36"/>
      <c r="AE1047" s="36"/>
      <c r="AF1047" s="36"/>
      <c r="AG1047" s="36"/>
      <c r="AH1047" s="36"/>
      <c r="AI1047" s="36"/>
      <c r="AJ1047" s="36"/>
      <c r="AK1047" s="34">
        <v>0</v>
      </c>
      <c r="AL1047" s="34">
        <v>0</v>
      </c>
      <c r="AM1047" s="34">
        <v>0</v>
      </c>
      <c r="AN1047" s="34">
        <v>0</v>
      </c>
      <c r="AO1047" s="34">
        <v>0</v>
      </c>
      <c r="AP1047" s="34">
        <v>0</v>
      </c>
      <c r="AQ1047" s="34">
        <v>0</v>
      </c>
      <c r="AR1047" s="34">
        <v>0</v>
      </c>
      <c r="AS1047" s="34">
        <v>0</v>
      </c>
      <c r="AT1047" s="34">
        <v>0</v>
      </c>
      <c r="AU1047" s="34">
        <v>0</v>
      </c>
      <c r="AV1047" s="34">
        <v>0</v>
      </c>
      <c r="AW1047" s="34">
        <v>0</v>
      </c>
      <c r="AX1047" s="34">
        <v>0</v>
      </c>
      <c r="AY1047" s="34">
        <v>0</v>
      </c>
      <c r="AZ1047" s="34">
        <v>0</v>
      </c>
      <c r="BA1047" s="34">
        <v>0</v>
      </c>
      <c r="BB1047" s="34">
        <f>740/1.79</f>
        <v>413.40782122905028</v>
      </c>
      <c r="BC1047" s="34">
        <v>0</v>
      </c>
      <c r="BD1047" s="34">
        <v>0</v>
      </c>
      <c r="BE1047" s="34">
        <v>0</v>
      </c>
      <c r="BF1047" s="34">
        <v>0</v>
      </c>
      <c r="BG1047" s="34">
        <v>0</v>
      </c>
      <c r="BH1047" s="34">
        <v>0</v>
      </c>
      <c r="BI1047" s="34">
        <v>0</v>
      </c>
      <c r="BJ1047" s="34">
        <v>0</v>
      </c>
      <c r="BK1047" s="34">
        <v>0</v>
      </c>
      <c r="BL1047" s="34">
        <v>0</v>
      </c>
      <c r="BM1047" s="34">
        <v>0</v>
      </c>
      <c r="BN1047" s="34">
        <v>0</v>
      </c>
      <c r="BO1047" s="34">
        <v>0</v>
      </c>
      <c r="BP1047" s="34">
        <v>0</v>
      </c>
      <c r="BQ1047" s="34">
        <v>0</v>
      </c>
      <c r="BR1047" s="101"/>
      <c r="BS1047">
        <f t="shared" si="2171"/>
        <v>0</v>
      </c>
      <c r="BT1047">
        <f t="shared" si="2171"/>
        <v>0</v>
      </c>
      <c r="BU1047">
        <f t="shared" si="2171"/>
        <v>0</v>
      </c>
      <c r="BV1047">
        <f t="shared" si="2171"/>
        <v>0</v>
      </c>
      <c r="BW1047">
        <f t="shared" si="2171"/>
        <v>0</v>
      </c>
      <c r="BX1047">
        <f t="shared" si="2171"/>
        <v>0</v>
      </c>
      <c r="BY1047">
        <f t="shared" si="2171"/>
        <v>0</v>
      </c>
      <c r="BZ1047">
        <f t="shared" si="2171"/>
        <v>0</v>
      </c>
      <c r="CA1047">
        <f t="shared" si="2171"/>
        <v>0</v>
      </c>
      <c r="CB1047">
        <f t="shared" si="2171"/>
        <v>0</v>
      </c>
      <c r="CC1047">
        <f t="shared" si="2172"/>
        <v>0</v>
      </c>
      <c r="CD1047">
        <f t="shared" si="2172"/>
        <v>0</v>
      </c>
      <c r="CE1047">
        <f t="shared" si="2172"/>
        <v>0</v>
      </c>
      <c r="CF1047">
        <f t="shared" si="2172"/>
        <v>0</v>
      </c>
      <c r="CG1047">
        <f t="shared" si="2172"/>
        <v>0</v>
      </c>
      <c r="CH1047">
        <f t="shared" si="2172"/>
        <v>0</v>
      </c>
      <c r="CI1047">
        <f t="shared" si="2172"/>
        <v>0</v>
      </c>
      <c r="CJ1047">
        <f t="shared" si="2172"/>
        <v>0</v>
      </c>
      <c r="CK1047">
        <f t="shared" si="2172"/>
        <v>0</v>
      </c>
      <c r="CL1047">
        <f t="shared" si="2172"/>
        <v>0</v>
      </c>
      <c r="CM1047">
        <f t="shared" si="2173"/>
        <v>0</v>
      </c>
      <c r="CN1047">
        <f t="shared" si="2173"/>
        <v>0</v>
      </c>
      <c r="CO1047">
        <f t="shared" si="2173"/>
        <v>0</v>
      </c>
      <c r="CP1047">
        <f t="shared" si="2173"/>
        <v>0</v>
      </c>
      <c r="CQ1047">
        <f t="shared" si="2173"/>
        <v>0</v>
      </c>
      <c r="CR1047">
        <f t="shared" si="2173"/>
        <v>0</v>
      </c>
      <c r="CS1047">
        <f t="shared" si="2173"/>
        <v>0</v>
      </c>
      <c r="CT1047">
        <f t="shared" si="2173"/>
        <v>0</v>
      </c>
      <c r="CU1047">
        <f t="shared" si="2173"/>
        <v>0</v>
      </c>
      <c r="CV1047">
        <f t="shared" si="2173"/>
        <v>0</v>
      </c>
      <c r="CW1047">
        <f t="shared" si="2174"/>
        <v>0</v>
      </c>
      <c r="CX1047">
        <f t="shared" si="2174"/>
        <v>0</v>
      </c>
      <c r="CY1047">
        <f t="shared" si="2174"/>
        <v>0</v>
      </c>
      <c r="CZ1047">
        <f t="shared" si="2174"/>
        <v>0</v>
      </c>
      <c r="DA1047">
        <f t="shared" si="2174"/>
        <v>0</v>
      </c>
      <c r="DB1047">
        <f t="shared" si="2174"/>
        <v>0</v>
      </c>
      <c r="DC1047">
        <f t="shared" si="2174"/>
        <v>0</v>
      </c>
      <c r="DD1047">
        <f t="shared" si="2174"/>
        <v>0</v>
      </c>
      <c r="DE1047">
        <f t="shared" si="2174"/>
        <v>0</v>
      </c>
      <c r="DF1047">
        <f t="shared" si="2174"/>
        <v>0</v>
      </c>
      <c r="DG1047">
        <f t="shared" si="2175"/>
        <v>0</v>
      </c>
      <c r="DH1047">
        <f t="shared" si="2175"/>
        <v>0</v>
      </c>
      <c r="DI1047">
        <f t="shared" si="2175"/>
        <v>0</v>
      </c>
      <c r="DJ1047">
        <f t="shared" si="2175"/>
        <v>0</v>
      </c>
      <c r="DK1047">
        <f t="shared" si="2175"/>
        <v>0</v>
      </c>
      <c r="DL1047">
        <f t="shared" si="2175"/>
        <v>0</v>
      </c>
      <c r="DM1047">
        <f t="shared" si="2175"/>
        <v>0</v>
      </c>
      <c r="DN1047">
        <f t="shared" si="2175"/>
        <v>0</v>
      </c>
      <c r="DO1047">
        <f t="shared" si="2175"/>
        <v>0</v>
      </c>
      <c r="DP1047">
        <f t="shared" si="2175"/>
        <v>0</v>
      </c>
      <c r="DQ1047">
        <f t="shared" si="2176"/>
        <v>0</v>
      </c>
      <c r="DR1047">
        <f t="shared" si="2176"/>
        <v>0</v>
      </c>
      <c r="DS1047">
        <f t="shared" si="2176"/>
        <v>0</v>
      </c>
      <c r="DT1047">
        <f t="shared" si="2176"/>
        <v>0</v>
      </c>
      <c r="DU1047">
        <f t="shared" si="2176"/>
        <v>0</v>
      </c>
      <c r="DV1047">
        <f t="shared" si="2176"/>
        <v>0</v>
      </c>
      <c r="DW1047">
        <f t="shared" si="2176"/>
        <v>0</v>
      </c>
      <c r="DX1047">
        <f t="shared" si="2176"/>
        <v>0</v>
      </c>
      <c r="DY1047">
        <f t="shared" si="2176"/>
        <v>0</v>
      </c>
      <c r="DZ1047">
        <f t="shared" si="2176"/>
        <v>0</v>
      </c>
      <c r="EA1047">
        <f t="shared" si="2177"/>
        <v>0</v>
      </c>
      <c r="EB1047">
        <f t="shared" si="2177"/>
        <v>0</v>
      </c>
      <c r="EC1047">
        <f t="shared" si="2177"/>
        <v>0</v>
      </c>
      <c r="ED1047">
        <f t="shared" si="2177"/>
        <v>0</v>
      </c>
      <c r="EE1047">
        <f t="shared" si="2177"/>
        <v>0</v>
      </c>
      <c r="EF1047">
        <f t="shared" si="2177"/>
        <v>0</v>
      </c>
    </row>
    <row r="1048" spans="1:136" ht="15.5">
      <c r="A1048" s="90"/>
      <c r="B1048" s="134" t="s">
        <v>212</v>
      </c>
      <c r="C1048" s="94"/>
      <c r="D1048" s="31"/>
      <c r="E1048" s="31"/>
      <c r="F1048" s="31"/>
      <c r="G1048" s="31"/>
      <c r="H1048" s="31"/>
      <c r="I1048" s="31"/>
      <c r="J1048" s="31"/>
      <c r="K1048" s="31"/>
      <c r="L1048" s="31"/>
      <c r="M1048" s="31"/>
      <c r="N1048" s="31"/>
      <c r="O1048" s="31"/>
      <c r="P1048" s="31"/>
      <c r="Q1048" s="31"/>
      <c r="R1048" s="31"/>
      <c r="S1048" s="31"/>
      <c r="T1048" s="31"/>
      <c r="U1048" s="31"/>
      <c r="V1048" s="36"/>
      <c r="W1048" s="36"/>
      <c r="X1048" s="36"/>
      <c r="Y1048" s="36"/>
      <c r="Z1048" s="36"/>
      <c r="AA1048" s="36"/>
      <c r="AB1048" s="36"/>
      <c r="AC1048" s="36"/>
      <c r="AD1048" s="36"/>
      <c r="AE1048" s="36"/>
      <c r="AF1048" s="36"/>
      <c r="AG1048" s="36"/>
      <c r="AH1048" s="36"/>
      <c r="AI1048" s="36"/>
      <c r="AJ1048" s="36"/>
      <c r="AK1048" s="36"/>
      <c r="AL1048" s="36"/>
      <c r="AM1048" s="36"/>
      <c r="AN1048" s="36"/>
      <c r="AO1048" s="36"/>
      <c r="AP1048" s="36"/>
      <c r="AQ1048" s="36"/>
      <c r="AR1048" s="36"/>
      <c r="AS1048" s="36"/>
      <c r="AT1048" s="36"/>
      <c r="AU1048" s="36"/>
      <c r="AV1048" s="36"/>
      <c r="AW1048" s="36"/>
      <c r="AX1048" s="36"/>
      <c r="AY1048" s="34">
        <f>750*0.16</f>
        <v>120</v>
      </c>
      <c r="AZ1048" s="34">
        <f>795*0.145</f>
        <v>115.27499999999999</v>
      </c>
      <c r="BA1048" s="34">
        <f>793*0.154</f>
        <v>122.122</v>
      </c>
      <c r="BB1048" s="34">
        <f>819*0.055</f>
        <v>45.045000000000002</v>
      </c>
      <c r="BC1048" s="198">
        <v>22</v>
      </c>
      <c r="BD1048" s="198">
        <v>45</v>
      </c>
      <c r="BE1048" s="56">
        <v>56</v>
      </c>
      <c r="BF1048" s="34">
        <f>200/1.79</f>
        <v>111.73184357541899</v>
      </c>
      <c r="BG1048" s="20">
        <v>107</v>
      </c>
      <c r="BH1048" s="113">
        <v>85</v>
      </c>
      <c r="BI1048" s="113">
        <v>63</v>
      </c>
      <c r="BJ1048" s="113">
        <v>28</v>
      </c>
      <c r="BK1048" s="113">
        <f>14/1.79</f>
        <v>7.8212290502793298</v>
      </c>
      <c r="BL1048" s="113">
        <v>1</v>
      </c>
      <c r="BM1048" s="113">
        <v>9</v>
      </c>
      <c r="BN1048" s="113">
        <v>7</v>
      </c>
      <c r="BO1048" s="113">
        <v>7</v>
      </c>
      <c r="BP1048" s="113">
        <v>7</v>
      </c>
      <c r="BQ1048" s="113">
        <v>7</v>
      </c>
      <c r="BR1048" s="101"/>
      <c r="BS1048">
        <f t="shared" si="2171"/>
        <v>0</v>
      </c>
      <c r="BT1048">
        <f t="shared" si="2171"/>
        <v>0</v>
      </c>
      <c r="BU1048">
        <f t="shared" si="2171"/>
        <v>0</v>
      </c>
      <c r="BV1048">
        <f t="shared" si="2171"/>
        <v>0</v>
      </c>
      <c r="BW1048">
        <f t="shared" si="2171"/>
        <v>0</v>
      </c>
      <c r="BX1048">
        <f t="shared" si="2171"/>
        <v>0</v>
      </c>
      <c r="BY1048">
        <f t="shared" si="2171"/>
        <v>0</v>
      </c>
      <c r="BZ1048">
        <f t="shared" si="2171"/>
        <v>0</v>
      </c>
      <c r="CA1048">
        <f t="shared" si="2171"/>
        <v>0</v>
      </c>
      <c r="CB1048">
        <f t="shared" si="2171"/>
        <v>0</v>
      </c>
      <c r="CC1048">
        <f t="shared" si="2172"/>
        <v>0</v>
      </c>
      <c r="CD1048">
        <f t="shared" si="2172"/>
        <v>0</v>
      </c>
      <c r="CE1048">
        <f t="shared" si="2172"/>
        <v>0</v>
      </c>
      <c r="CF1048">
        <f t="shared" si="2172"/>
        <v>0</v>
      </c>
      <c r="CG1048">
        <f t="shared" si="2172"/>
        <v>0</v>
      </c>
      <c r="CH1048">
        <f t="shared" si="2172"/>
        <v>0</v>
      </c>
      <c r="CI1048">
        <f t="shared" si="2172"/>
        <v>0</v>
      </c>
      <c r="CJ1048">
        <f t="shared" si="2172"/>
        <v>0</v>
      </c>
      <c r="CK1048">
        <f t="shared" si="2172"/>
        <v>0</v>
      </c>
      <c r="CL1048">
        <f t="shared" si="2172"/>
        <v>0</v>
      </c>
      <c r="CM1048">
        <f t="shared" si="2173"/>
        <v>0</v>
      </c>
      <c r="CN1048">
        <f t="shared" si="2173"/>
        <v>0</v>
      </c>
      <c r="CO1048">
        <f t="shared" si="2173"/>
        <v>0</v>
      </c>
      <c r="CP1048">
        <f t="shared" si="2173"/>
        <v>0</v>
      </c>
      <c r="CQ1048">
        <f t="shared" si="2173"/>
        <v>0</v>
      </c>
      <c r="CR1048">
        <f t="shared" si="2173"/>
        <v>0</v>
      </c>
      <c r="CS1048">
        <f t="shared" si="2173"/>
        <v>0</v>
      </c>
      <c r="CT1048">
        <f t="shared" si="2173"/>
        <v>0</v>
      </c>
      <c r="CU1048">
        <f t="shared" si="2173"/>
        <v>0</v>
      </c>
      <c r="CV1048">
        <f t="shared" si="2173"/>
        <v>0</v>
      </c>
      <c r="CW1048">
        <f t="shared" si="2174"/>
        <v>0</v>
      </c>
      <c r="CX1048">
        <f t="shared" si="2174"/>
        <v>0</v>
      </c>
      <c r="CY1048">
        <f t="shared" si="2174"/>
        <v>0</v>
      </c>
      <c r="CZ1048">
        <f t="shared" si="2174"/>
        <v>0</v>
      </c>
      <c r="DA1048">
        <f t="shared" si="2174"/>
        <v>0</v>
      </c>
      <c r="DB1048">
        <f t="shared" si="2174"/>
        <v>0</v>
      </c>
      <c r="DC1048">
        <f t="shared" si="2174"/>
        <v>0</v>
      </c>
      <c r="DD1048">
        <f t="shared" si="2174"/>
        <v>0</v>
      </c>
      <c r="DE1048">
        <f t="shared" si="2174"/>
        <v>0</v>
      </c>
      <c r="DF1048">
        <f t="shared" si="2174"/>
        <v>0</v>
      </c>
      <c r="DG1048">
        <f t="shared" si="2175"/>
        <v>0</v>
      </c>
      <c r="DH1048">
        <f t="shared" si="2175"/>
        <v>0</v>
      </c>
      <c r="DI1048">
        <f t="shared" si="2175"/>
        <v>0</v>
      </c>
      <c r="DJ1048">
        <f t="shared" si="2175"/>
        <v>0</v>
      </c>
      <c r="DK1048">
        <f t="shared" si="2175"/>
        <v>0</v>
      </c>
      <c r="DL1048">
        <f t="shared" si="2175"/>
        <v>0</v>
      </c>
      <c r="DM1048">
        <f t="shared" si="2175"/>
        <v>0</v>
      </c>
      <c r="DN1048">
        <f t="shared" si="2175"/>
        <v>0</v>
      </c>
      <c r="DO1048">
        <f t="shared" si="2175"/>
        <v>0</v>
      </c>
      <c r="DP1048">
        <f t="shared" si="2175"/>
        <v>0</v>
      </c>
      <c r="DQ1048">
        <f t="shared" si="2176"/>
        <v>0</v>
      </c>
      <c r="DR1048">
        <f t="shared" si="2176"/>
        <v>0</v>
      </c>
      <c r="DS1048">
        <f t="shared" si="2176"/>
        <v>0</v>
      </c>
      <c r="DT1048">
        <f t="shared" si="2176"/>
        <v>0</v>
      </c>
      <c r="DU1048">
        <f t="shared" si="2176"/>
        <v>0</v>
      </c>
      <c r="DV1048">
        <f t="shared" si="2176"/>
        <v>0</v>
      </c>
      <c r="DW1048">
        <f t="shared" si="2176"/>
        <v>0</v>
      </c>
      <c r="DX1048">
        <f t="shared" si="2176"/>
        <v>0</v>
      </c>
      <c r="DY1048">
        <f t="shared" si="2176"/>
        <v>0</v>
      </c>
      <c r="DZ1048">
        <f t="shared" si="2176"/>
        <v>0</v>
      </c>
      <c r="EA1048">
        <f t="shared" si="2177"/>
        <v>0</v>
      </c>
      <c r="EB1048">
        <f t="shared" si="2177"/>
        <v>0</v>
      </c>
      <c r="EC1048">
        <f t="shared" si="2177"/>
        <v>0</v>
      </c>
      <c r="ED1048">
        <f t="shared" si="2177"/>
        <v>0</v>
      </c>
      <c r="EE1048">
        <f t="shared" si="2177"/>
        <v>0</v>
      </c>
      <c r="EF1048">
        <f t="shared" si="2177"/>
        <v>0</v>
      </c>
    </row>
    <row r="1049" spans="1:136" ht="15.5">
      <c r="A1049" s="90"/>
      <c r="B1049" s="134"/>
      <c r="C1049" s="94"/>
      <c r="D1049" s="31"/>
      <c r="E1049" s="31"/>
      <c r="F1049" s="31"/>
      <c r="G1049" s="31"/>
      <c r="H1049" s="31"/>
      <c r="I1049" s="31"/>
      <c r="J1049" s="31"/>
      <c r="K1049" s="31"/>
      <c r="L1049" s="31"/>
      <c r="M1049" s="31"/>
      <c r="N1049" s="31"/>
      <c r="O1049" s="31"/>
      <c r="P1049" s="31"/>
      <c r="Q1049" s="31"/>
      <c r="R1049" s="31"/>
      <c r="S1049" s="31"/>
      <c r="T1049" s="31"/>
      <c r="U1049" s="31"/>
      <c r="V1049" s="36"/>
      <c r="W1049" s="36"/>
      <c r="X1049" s="36"/>
      <c r="Y1049" s="36"/>
      <c r="Z1049" s="36"/>
      <c r="AA1049" s="36"/>
      <c r="AB1049" s="36"/>
      <c r="AC1049" s="36"/>
      <c r="AD1049" s="36"/>
      <c r="AE1049" s="36"/>
      <c r="AF1049" s="36"/>
      <c r="AG1049" s="36"/>
      <c r="AH1049" s="36"/>
      <c r="AI1049" s="36"/>
      <c r="AJ1049" s="36"/>
      <c r="AK1049" s="36"/>
      <c r="AL1049" s="36"/>
      <c r="AM1049" s="36"/>
      <c r="AN1049" s="36"/>
      <c r="AO1049" s="36"/>
      <c r="AP1049" s="36"/>
      <c r="AQ1049" s="36"/>
      <c r="AR1049" s="36"/>
      <c r="AS1049" s="36"/>
      <c r="AT1049" s="36"/>
      <c r="AU1049" s="36"/>
      <c r="AV1049" s="36"/>
      <c r="AW1049" s="36"/>
      <c r="AX1049" s="36"/>
      <c r="AY1049" s="36"/>
      <c r="AZ1049" s="34"/>
      <c r="BA1049" s="34"/>
      <c r="BB1049" s="20"/>
      <c r="BC1049" s="198"/>
      <c r="BD1049" s="198"/>
      <c r="BE1049" s="56"/>
      <c r="BF1049" s="34"/>
      <c r="BG1049" s="20"/>
      <c r="BH1049" s="113"/>
      <c r="BI1049" s="113"/>
      <c r="BJ1049" s="113"/>
      <c r="BK1049" s="113"/>
      <c r="BL1049" s="113"/>
      <c r="BM1049" s="113"/>
      <c r="BN1049" s="113"/>
      <c r="BO1049" s="113"/>
      <c r="BP1049" s="2"/>
      <c r="BQ1049" s="2"/>
      <c r="BR1049" s="101"/>
    </row>
    <row r="1050" spans="1:136" ht="15.5">
      <c r="A1050" s="93">
        <v>132</v>
      </c>
      <c r="B1050" s="136" t="s">
        <v>248</v>
      </c>
      <c r="C1050" s="94">
        <v>2</v>
      </c>
      <c r="D1050" s="31"/>
      <c r="E1050" s="31"/>
      <c r="F1050" s="31"/>
      <c r="G1050" s="31"/>
      <c r="H1050" s="31"/>
      <c r="I1050" s="31"/>
      <c r="J1050" s="31"/>
      <c r="K1050" s="31"/>
      <c r="L1050" s="31"/>
      <c r="M1050" s="31"/>
      <c r="N1050" s="31"/>
      <c r="O1050" s="31"/>
      <c r="P1050" s="31"/>
      <c r="Q1050" s="31"/>
      <c r="R1050" s="31"/>
      <c r="S1050" s="31"/>
      <c r="T1050" s="31"/>
      <c r="U1050" s="31"/>
      <c r="V1050" s="36"/>
      <c r="W1050" s="36"/>
      <c r="X1050" s="36"/>
      <c r="Y1050" s="36"/>
      <c r="Z1050" s="36"/>
      <c r="AA1050" s="36"/>
      <c r="AB1050" s="36"/>
      <c r="AC1050" s="36"/>
      <c r="AD1050" s="36"/>
      <c r="AE1050" s="36"/>
      <c r="AF1050" s="36"/>
      <c r="AG1050" s="36"/>
      <c r="AH1050" s="36"/>
      <c r="AI1050" s="36"/>
      <c r="AJ1050" s="36"/>
      <c r="AK1050" s="36"/>
      <c r="AL1050" s="36"/>
      <c r="AM1050" s="36"/>
      <c r="AN1050" s="36"/>
      <c r="AO1050" s="36"/>
      <c r="AP1050" s="36"/>
      <c r="AQ1050" s="36"/>
      <c r="AR1050" s="36"/>
      <c r="AS1050" s="36"/>
      <c r="AT1050" s="36"/>
      <c r="AU1050" s="36"/>
      <c r="AV1050" s="36"/>
      <c r="AW1050" s="36"/>
      <c r="AX1050" s="36"/>
      <c r="AY1050" s="36"/>
      <c r="AZ1050" s="34"/>
      <c r="BA1050" s="34"/>
      <c r="BB1050" s="20"/>
      <c r="BC1050" s="198"/>
      <c r="BD1050" s="198"/>
      <c r="BE1050" s="56"/>
      <c r="BF1050" s="34"/>
      <c r="BG1050" s="20"/>
      <c r="BH1050" s="113"/>
      <c r="BI1050" s="113"/>
      <c r="BJ1050" s="113"/>
      <c r="BK1050" s="113"/>
      <c r="BL1050" s="113"/>
      <c r="BM1050" s="113"/>
      <c r="BN1050" s="113"/>
      <c r="BO1050" s="113"/>
      <c r="BP1050" s="2"/>
      <c r="BQ1050" s="2"/>
      <c r="BR1050" s="101"/>
    </row>
    <row r="1051" spans="1:136" ht="15.5">
      <c r="A1051" s="90"/>
      <c r="B1051" s="134" t="s">
        <v>212</v>
      </c>
      <c r="C1051" s="94"/>
      <c r="D1051" s="31"/>
      <c r="E1051" s="31"/>
      <c r="F1051" s="31"/>
      <c r="G1051" s="31"/>
      <c r="H1051" s="31"/>
      <c r="I1051" s="31"/>
      <c r="J1051" s="31"/>
      <c r="K1051" s="31"/>
      <c r="L1051" s="31"/>
      <c r="M1051" s="31"/>
      <c r="N1051" s="31"/>
      <c r="O1051" s="31"/>
      <c r="P1051" s="31"/>
      <c r="Q1051" s="31"/>
      <c r="R1051" s="31"/>
      <c r="S1051" s="31"/>
      <c r="T1051" s="31"/>
      <c r="U1051" s="31"/>
      <c r="V1051" s="36"/>
      <c r="W1051" s="36"/>
      <c r="X1051" s="36"/>
      <c r="Y1051" s="36"/>
      <c r="Z1051" s="36"/>
      <c r="AA1051" s="36"/>
      <c r="AB1051" s="36"/>
      <c r="AC1051" s="36"/>
      <c r="AD1051" s="36"/>
      <c r="AE1051" s="36"/>
      <c r="AF1051" s="36"/>
      <c r="AG1051" s="36"/>
      <c r="AH1051" s="36"/>
      <c r="AI1051" s="36"/>
      <c r="AJ1051" s="34">
        <v>0</v>
      </c>
      <c r="AK1051" s="34">
        <v>0</v>
      </c>
      <c r="AL1051" s="34">
        <v>0</v>
      </c>
      <c r="AM1051" s="34">
        <v>0</v>
      </c>
      <c r="AN1051" s="34">
        <v>0</v>
      </c>
      <c r="AO1051" s="34">
        <v>0</v>
      </c>
      <c r="AP1051" s="34">
        <v>0</v>
      </c>
      <c r="AQ1051" s="34">
        <v>0</v>
      </c>
      <c r="AR1051" s="36">
        <v>0</v>
      </c>
      <c r="AS1051" s="36">
        <v>0</v>
      </c>
      <c r="AT1051" s="36">
        <v>0</v>
      </c>
      <c r="AU1051" s="34">
        <f>10000/32.8</f>
        <v>304.87804878048786</v>
      </c>
      <c r="AV1051" s="34">
        <f>10604/28.5</f>
        <v>372.07017543859649</v>
      </c>
      <c r="AW1051" s="34">
        <v>0</v>
      </c>
      <c r="AX1051" s="34">
        <v>0</v>
      </c>
      <c r="AY1051" s="34">
        <v>0</v>
      </c>
      <c r="AZ1051" s="34">
        <v>0</v>
      </c>
      <c r="BA1051" s="34">
        <v>0</v>
      </c>
      <c r="BB1051" s="20">
        <v>0</v>
      </c>
      <c r="BC1051" s="198">
        <v>0</v>
      </c>
      <c r="BD1051" s="198">
        <v>0</v>
      </c>
      <c r="BE1051" s="56">
        <v>0</v>
      </c>
      <c r="BF1051" s="34">
        <v>0</v>
      </c>
      <c r="BG1051" s="20">
        <v>0</v>
      </c>
      <c r="BH1051" s="113">
        <v>0</v>
      </c>
      <c r="BI1051" s="113">
        <v>0</v>
      </c>
      <c r="BJ1051" s="113">
        <v>0</v>
      </c>
      <c r="BK1051" s="113">
        <v>0</v>
      </c>
      <c r="BL1051" s="113">
        <f>0.083*92079/1.22</f>
        <v>6264.3909836065577</v>
      </c>
      <c r="BM1051" s="113">
        <v>0</v>
      </c>
      <c r="BN1051" s="113">
        <v>0</v>
      </c>
      <c r="BO1051" s="113">
        <v>0</v>
      </c>
      <c r="BP1051" s="113">
        <v>0</v>
      </c>
      <c r="BQ1051" s="113">
        <v>0</v>
      </c>
      <c r="BR1051" s="101"/>
      <c r="BS1051">
        <f t="shared" ref="BS1051:CX1051" si="2178">IF($C1051&lt;&gt;"",IF(D1051&gt;0,1,0),0)</f>
        <v>0</v>
      </c>
      <c r="BT1051">
        <f t="shared" si="2178"/>
        <v>0</v>
      </c>
      <c r="BU1051">
        <f t="shared" si="2178"/>
        <v>0</v>
      </c>
      <c r="BV1051">
        <f t="shared" si="2178"/>
        <v>0</v>
      </c>
      <c r="BW1051">
        <f t="shared" si="2178"/>
        <v>0</v>
      </c>
      <c r="BX1051">
        <f t="shared" si="2178"/>
        <v>0</v>
      </c>
      <c r="BY1051">
        <f t="shared" si="2178"/>
        <v>0</v>
      </c>
      <c r="BZ1051">
        <f t="shared" si="2178"/>
        <v>0</v>
      </c>
      <c r="CA1051">
        <f t="shared" si="2178"/>
        <v>0</v>
      </c>
      <c r="CB1051">
        <f t="shared" si="2178"/>
        <v>0</v>
      </c>
      <c r="CC1051">
        <f t="shared" si="2178"/>
        <v>0</v>
      </c>
      <c r="CD1051">
        <f t="shared" si="2178"/>
        <v>0</v>
      </c>
      <c r="CE1051">
        <f t="shared" si="2178"/>
        <v>0</v>
      </c>
      <c r="CF1051">
        <f t="shared" si="2178"/>
        <v>0</v>
      </c>
      <c r="CG1051">
        <f t="shared" si="2178"/>
        <v>0</v>
      </c>
      <c r="CH1051">
        <f t="shared" si="2178"/>
        <v>0</v>
      </c>
      <c r="CI1051">
        <f t="shared" si="2178"/>
        <v>0</v>
      </c>
      <c r="CJ1051">
        <f t="shared" si="2178"/>
        <v>0</v>
      </c>
      <c r="CK1051">
        <f t="shared" si="2178"/>
        <v>0</v>
      </c>
      <c r="CL1051">
        <f t="shared" si="2178"/>
        <v>0</v>
      </c>
      <c r="CM1051">
        <f t="shared" si="2178"/>
        <v>0</v>
      </c>
      <c r="CN1051">
        <f t="shared" si="2178"/>
        <v>0</v>
      </c>
      <c r="CO1051">
        <f t="shared" si="2178"/>
        <v>0</v>
      </c>
      <c r="CP1051">
        <f t="shared" si="2178"/>
        <v>0</v>
      </c>
      <c r="CQ1051">
        <f t="shared" si="2178"/>
        <v>0</v>
      </c>
      <c r="CR1051">
        <f t="shared" si="2178"/>
        <v>0</v>
      </c>
      <c r="CS1051">
        <f t="shared" si="2178"/>
        <v>0</v>
      </c>
      <c r="CT1051">
        <f t="shared" si="2178"/>
        <v>0</v>
      </c>
      <c r="CU1051">
        <f t="shared" si="2178"/>
        <v>0</v>
      </c>
      <c r="CV1051">
        <f t="shared" si="2178"/>
        <v>0</v>
      </c>
      <c r="CW1051">
        <f t="shared" si="2178"/>
        <v>0</v>
      </c>
      <c r="CX1051">
        <f t="shared" si="2178"/>
        <v>0</v>
      </c>
      <c r="CY1051">
        <f t="shared" ref="CY1051:ED1051" si="2179">IF($C1051&lt;&gt;"",IF(AJ1051&gt;0,1,0),0)</f>
        <v>0</v>
      </c>
      <c r="CZ1051">
        <f t="shared" si="2179"/>
        <v>0</v>
      </c>
      <c r="DA1051">
        <f t="shared" si="2179"/>
        <v>0</v>
      </c>
      <c r="DB1051">
        <f t="shared" si="2179"/>
        <v>0</v>
      </c>
      <c r="DC1051">
        <f t="shared" si="2179"/>
        <v>0</v>
      </c>
      <c r="DD1051">
        <f t="shared" si="2179"/>
        <v>0</v>
      </c>
      <c r="DE1051">
        <f t="shared" si="2179"/>
        <v>0</v>
      </c>
      <c r="DF1051">
        <f t="shared" si="2179"/>
        <v>0</v>
      </c>
      <c r="DG1051">
        <f t="shared" si="2179"/>
        <v>0</v>
      </c>
      <c r="DH1051">
        <f t="shared" si="2179"/>
        <v>0</v>
      </c>
      <c r="DI1051">
        <f t="shared" si="2179"/>
        <v>0</v>
      </c>
      <c r="DJ1051">
        <f t="shared" si="2179"/>
        <v>0</v>
      </c>
      <c r="DK1051">
        <f t="shared" si="2179"/>
        <v>0</v>
      </c>
      <c r="DL1051">
        <f t="shared" si="2179"/>
        <v>0</v>
      </c>
      <c r="DM1051">
        <f t="shared" si="2179"/>
        <v>0</v>
      </c>
      <c r="DN1051">
        <f t="shared" si="2179"/>
        <v>0</v>
      </c>
      <c r="DO1051">
        <f t="shared" si="2179"/>
        <v>0</v>
      </c>
      <c r="DP1051">
        <f t="shared" si="2179"/>
        <v>0</v>
      </c>
      <c r="DQ1051">
        <f t="shared" si="2179"/>
        <v>0</v>
      </c>
      <c r="DR1051">
        <f t="shared" si="2179"/>
        <v>0</v>
      </c>
      <c r="DS1051">
        <f t="shared" si="2179"/>
        <v>0</v>
      </c>
      <c r="DT1051">
        <f t="shared" si="2179"/>
        <v>0</v>
      </c>
      <c r="DU1051">
        <f t="shared" si="2179"/>
        <v>0</v>
      </c>
      <c r="DV1051">
        <f t="shared" si="2179"/>
        <v>0</v>
      </c>
      <c r="DW1051">
        <f t="shared" si="2179"/>
        <v>0</v>
      </c>
      <c r="DX1051">
        <f t="shared" si="2179"/>
        <v>0</v>
      </c>
      <c r="DY1051">
        <f t="shared" si="2179"/>
        <v>0</v>
      </c>
      <c r="DZ1051">
        <f t="shared" si="2179"/>
        <v>0</v>
      </c>
      <c r="EA1051">
        <f t="shared" si="2179"/>
        <v>0</v>
      </c>
      <c r="EB1051">
        <f t="shared" si="2179"/>
        <v>0</v>
      </c>
      <c r="EC1051">
        <f t="shared" si="2179"/>
        <v>0</v>
      </c>
      <c r="ED1051">
        <f t="shared" si="2179"/>
        <v>0</v>
      </c>
      <c r="EE1051">
        <f t="shared" ref="EE1051:EF1051" si="2180">IF($C1051&lt;&gt;"",IF(BP1051&gt;0,1,0),0)</f>
        <v>0</v>
      </c>
      <c r="EF1051">
        <f t="shared" si="2180"/>
        <v>0</v>
      </c>
    </row>
    <row r="1052" spans="1:136" ht="15.5">
      <c r="A1052" s="90"/>
      <c r="B1052" s="133"/>
      <c r="C1052" s="94"/>
      <c r="D1052" s="31"/>
      <c r="E1052" s="31"/>
      <c r="F1052" s="31"/>
      <c r="G1052" s="31"/>
      <c r="H1052" s="31"/>
      <c r="I1052" s="31"/>
      <c r="J1052" s="31"/>
      <c r="K1052" s="31"/>
      <c r="L1052" s="31"/>
      <c r="M1052" s="31"/>
      <c r="N1052" s="31"/>
      <c r="O1052" s="31"/>
      <c r="P1052" s="31"/>
      <c r="Q1052" s="31"/>
      <c r="R1052" s="31"/>
      <c r="S1052" s="31"/>
      <c r="T1052" s="31"/>
      <c r="U1052" s="31"/>
      <c r="V1052" s="36"/>
      <c r="W1052" s="36"/>
      <c r="X1052" s="36"/>
      <c r="Y1052" s="36"/>
      <c r="Z1052" s="36"/>
      <c r="AA1052" s="36"/>
      <c r="AB1052" s="36"/>
      <c r="AC1052" s="36"/>
      <c r="AD1052" s="36"/>
      <c r="AE1052" s="36"/>
      <c r="AF1052" s="36"/>
      <c r="AG1052" s="36"/>
      <c r="AH1052" s="36"/>
      <c r="AI1052" s="36"/>
      <c r="AJ1052" s="36"/>
      <c r="AK1052" s="36"/>
      <c r="AL1052" s="36"/>
      <c r="AM1052" s="36"/>
      <c r="AN1052" s="36"/>
      <c r="AO1052" s="36"/>
      <c r="AP1052" s="36"/>
      <c r="AQ1052" s="36"/>
      <c r="AR1052" s="36"/>
      <c r="AS1052" s="36"/>
      <c r="AT1052" s="36"/>
      <c r="AU1052" s="36"/>
      <c r="AV1052" s="36"/>
      <c r="AW1052" s="36"/>
      <c r="AX1052" s="36"/>
      <c r="AY1052" s="36"/>
      <c r="AZ1052" s="36"/>
      <c r="BA1052" s="36"/>
      <c r="BB1052" s="38"/>
      <c r="BC1052" s="38"/>
      <c r="BD1052" s="38"/>
      <c r="BE1052" s="77"/>
      <c r="BF1052" s="38"/>
      <c r="BG1052" s="38"/>
      <c r="BH1052" s="2"/>
      <c r="BI1052" s="2"/>
      <c r="BJ1052" s="2"/>
      <c r="BK1052" s="2"/>
      <c r="BL1052" s="4"/>
      <c r="BM1052" s="2"/>
      <c r="BN1052" s="2"/>
      <c r="BO1052" s="2"/>
      <c r="BP1052" s="2"/>
      <c r="BQ1052" s="2"/>
      <c r="BR1052" s="101"/>
    </row>
    <row r="1053" spans="1:136" ht="15.5">
      <c r="A1053" s="93">
        <v>133</v>
      </c>
      <c r="B1053" s="32" t="s">
        <v>132</v>
      </c>
      <c r="C1053" s="94">
        <v>1</v>
      </c>
      <c r="D1053" s="22"/>
      <c r="E1053" s="22"/>
      <c r="F1053" s="22"/>
      <c r="G1053" s="22"/>
      <c r="H1053" s="22"/>
      <c r="I1053" s="22"/>
      <c r="J1053" s="22"/>
      <c r="K1053" s="22"/>
      <c r="L1053" s="22"/>
      <c r="M1053" s="22"/>
      <c r="N1053" s="22"/>
      <c r="O1053" s="22"/>
      <c r="P1053" s="22"/>
      <c r="Q1053" s="22"/>
      <c r="R1053" s="22"/>
      <c r="S1053" s="22"/>
      <c r="T1053" s="22"/>
      <c r="U1053" s="22"/>
      <c r="V1053" s="22"/>
      <c r="W1053" s="22"/>
      <c r="X1053" s="22"/>
      <c r="Y1053" s="22"/>
      <c r="Z1053" s="22"/>
      <c r="AA1053" s="22"/>
      <c r="AB1053" s="22"/>
      <c r="AC1053" s="22"/>
      <c r="AD1053" s="22"/>
      <c r="AE1053" s="22"/>
      <c r="AF1053" s="22"/>
      <c r="AG1053" s="22"/>
      <c r="AH1053" s="22"/>
      <c r="AI1053" s="22"/>
      <c r="AJ1053" s="22">
        <f>SUM(AJ1054:AJ1056)</f>
        <v>928.53938401551989</v>
      </c>
      <c r="AK1053" s="22">
        <f t="shared" ref="AK1053:BO1053" si="2181">SUM(AK1054:AK1056)</f>
        <v>677.27586695999992</v>
      </c>
      <c r="AL1053" s="22">
        <f t="shared" si="2181"/>
        <v>714.42601999999999</v>
      </c>
      <c r="AM1053" s="22">
        <f t="shared" si="2181"/>
        <v>764.09199999999998</v>
      </c>
      <c r="AN1053" s="22">
        <f t="shared" si="2181"/>
        <v>1681</v>
      </c>
      <c r="AO1053" s="22">
        <f t="shared" si="2181"/>
        <v>0</v>
      </c>
      <c r="AP1053" s="22">
        <f t="shared" si="2181"/>
        <v>0</v>
      </c>
      <c r="AQ1053" s="22">
        <f t="shared" si="2181"/>
        <v>0</v>
      </c>
      <c r="AR1053" s="22">
        <f t="shared" si="2181"/>
        <v>0</v>
      </c>
      <c r="AS1053" s="22">
        <f t="shared" si="2181"/>
        <v>0</v>
      </c>
      <c r="AT1053" s="22">
        <f t="shared" si="2181"/>
        <v>633</v>
      </c>
      <c r="AU1053" s="22">
        <f t="shared" si="2181"/>
        <v>0</v>
      </c>
      <c r="AV1053" s="22">
        <f t="shared" si="2181"/>
        <v>0</v>
      </c>
      <c r="AW1053" s="22">
        <f t="shared" si="2181"/>
        <v>0</v>
      </c>
      <c r="AX1053" s="22">
        <f t="shared" si="2181"/>
        <v>0</v>
      </c>
      <c r="AY1053" s="22">
        <f t="shared" si="2181"/>
        <v>0</v>
      </c>
      <c r="AZ1053" s="22">
        <f t="shared" si="2181"/>
        <v>0</v>
      </c>
      <c r="BA1053" s="22">
        <f t="shared" si="2181"/>
        <v>0</v>
      </c>
      <c r="BB1053" s="22">
        <f t="shared" si="2181"/>
        <v>0</v>
      </c>
      <c r="BC1053" s="22">
        <f t="shared" si="2181"/>
        <v>0</v>
      </c>
      <c r="BD1053" s="22">
        <f t="shared" si="2181"/>
        <v>0</v>
      </c>
      <c r="BE1053" s="22">
        <f t="shared" si="2181"/>
        <v>0</v>
      </c>
      <c r="BF1053" s="22">
        <f t="shared" si="2181"/>
        <v>0</v>
      </c>
      <c r="BG1053" s="22">
        <f t="shared" si="2181"/>
        <v>0</v>
      </c>
      <c r="BH1053" s="22">
        <f t="shared" si="2181"/>
        <v>0</v>
      </c>
      <c r="BI1053" s="22">
        <f t="shared" si="2181"/>
        <v>0</v>
      </c>
      <c r="BJ1053" s="22">
        <f t="shared" si="2181"/>
        <v>0</v>
      </c>
      <c r="BK1053" s="22">
        <f t="shared" si="2181"/>
        <v>0</v>
      </c>
      <c r="BL1053" s="22">
        <f t="shared" si="2181"/>
        <v>0</v>
      </c>
      <c r="BM1053" s="22">
        <f t="shared" si="2181"/>
        <v>0</v>
      </c>
      <c r="BN1053" s="22">
        <f t="shared" si="2181"/>
        <v>0</v>
      </c>
      <c r="BO1053" s="22">
        <f t="shared" si="2181"/>
        <v>0</v>
      </c>
      <c r="BP1053" s="22">
        <f>SUM(BP1054:BP1056)</f>
        <v>0</v>
      </c>
      <c r="BQ1053" s="22">
        <f>SUM(BQ1054:BQ1056)</f>
        <v>0</v>
      </c>
      <c r="BR1053" s="101"/>
      <c r="BS1053">
        <f t="shared" ref="BS1053:CB1054" si="2182">IF($C1053&lt;&gt;"",IF(D1053&gt;0,1,0),0)</f>
        <v>0</v>
      </c>
      <c r="BT1053">
        <f t="shared" si="2182"/>
        <v>0</v>
      </c>
      <c r="BU1053">
        <f t="shared" si="2182"/>
        <v>0</v>
      </c>
      <c r="BV1053">
        <f t="shared" si="2182"/>
        <v>0</v>
      </c>
      <c r="BW1053">
        <f t="shared" si="2182"/>
        <v>0</v>
      </c>
      <c r="BX1053">
        <f t="shared" si="2182"/>
        <v>0</v>
      </c>
      <c r="BY1053">
        <f t="shared" si="2182"/>
        <v>0</v>
      </c>
      <c r="BZ1053">
        <f t="shared" si="2182"/>
        <v>0</v>
      </c>
      <c r="CA1053">
        <f t="shared" si="2182"/>
        <v>0</v>
      </c>
      <c r="CB1053">
        <f t="shared" si="2182"/>
        <v>0</v>
      </c>
      <c r="CC1053">
        <f t="shared" ref="CC1053:CL1054" si="2183">IF($C1053&lt;&gt;"",IF(N1053&gt;0,1,0),0)</f>
        <v>0</v>
      </c>
      <c r="CD1053">
        <f t="shared" si="2183"/>
        <v>0</v>
      </c>
      <c r="CE1053">
        <f t="shared" si="2183"/>
        <v>0</v>
      </c>
      <c r="CF1053">
        <f t="shared" si="2183"/>
        <v>0</v>
      </c>
      <c r="CG1053">
        <f t="shared" si="2183"/>
        <v>0</v>
      </c>
      <c r="CH1053">
        <f t="shared" si="2183"/>
        <v>0</v>
      </c>
      <c r="CI1053">
        <f t="shared" si="2183"/>
        <v>0</v>
      </c>
      <c r="CJ1053">
        <f t="shared" si="2183"/>
        <v>0</v>
      </c>
      <c r="CK1053">
        <f t="shared" si="2183"/>
        <v>0</v>
      </c>
      <c r="CL1053">
        <f t="shared" si="2183"/>
        <v>0</v>
      </c>
      <c r="CM1053">
        <f t="shared" ref="CM1053:CV1054" si="2184">IF($C1053&lt;&gt;"",IF(X1053&gt;0,1,0),0)</f>
        <v>0</v>
      </c>
      <c r="CN1053">
        <f t="shared" si="2184"/>
        <v>0</v>
      </c>
      <c r="CO1053">
        <f t="shared" si="2184"/>
        <v>0</v>
      </c>
      <c r="CP1053">
        <f t="shared" si="2184"/>
        <v>0</v>
      </c>
      <c r="CQ1053">
        <f t="shared" si="2184"/>
        <v>0</v>
      </c>
      <c r="CR1053">
        <f t="shared" si="2184"/>
        <v>0</v>
      </c>
      <c r="CS1053">
        <f t="shared" si="2184"/>
        <v>0</v>
      </c>
      <c r="CT1053">
        <f t="shared" si="2184"/>
        <v>0</v>
      </c>
      <c r="CU1053">
        <f t="shared" si="2184"/>
        <v>0</v>
      </c>
      <c r="CV1053">
        <f t="shared" si="2184"/>
        <v>0</v>
      </c>
      <c r="CW1053">
        <f t="shared" ref="CW1053:DF1054" si="2185">IF($C1053&lt;&gt;"",IF(AH1053&gt;0,1,0),0)</f>
        <v>0</v>
      </c>
      <c r="CX1053">
        <f t="shared" si="2185"/>
        <v>0</v>
      </c>
      <c r="CY1053">
        <f t="shared" si="2185"/>
        <v>1</v>
      </c>
      <c r="CZ1053">
        <f t="shared" si="2185"/>
        <v>1</v>
      </c>
      <c r="DA1053">
        <f t="shared" si="2185"/>
        <v>1</v>
      </c>
      <c r="DB1053">
        <f t="shared" si="2185"/>
        <v>1</v>
      </c>
      <c r="DC1053">
        <f t="shared" si="2185"/>
        <v>1</v>
      </c>
      <c r="DD1053">
        <f t="shared" si="2185"/>
        <v>0</v>
      </c>
      <c r="DE1053">
        <f t="shared" si="2185"/>
        <v>0</v>
      </c>
      <c r="DF1053">
        <f t="shared" si="2185"/>
        <v>0</v>
      </c>
      <c r="DG1053">
        <f t="shared" ref="DG1053:DP1054" si="2186">IF($C1053&lt;&gt;"",IF(AR1053&gt;0,1,0),0)</f>
        <v>0</v>
      </c>
      <c r="DH1053">
        <f t="shared" si="2186"/>
        <v>0</v>
      </c>
      <c r="DI1053">
        <f t="shared" si="2186"/>
        <v>1</v>
      </c>
      <c r="DJ1053">
        <f t="shared" si="2186"/>
        <v>0</v>
      </c>
      <c r="DK1053">
        <f t="shared" si="2186"/>
        <v>0</v>
      </c>
      <c r="DL1053">
        <f t="shared" si="2186"/>
        <v>0</v>
      </c>
      <c r="DM1053">
        <f t="shared" si="2186"/>
        <v>0</v>
      </c>
      <c r="DN1053">
        <f t="shared" si="2186"/>
        <v>0</v>
      </c>
      <c r="DO1053">
        <f t="shared" si="2186"/>
        <v>0</v>
      </c>
      <c r="DP1053">
        <f t="shared" si="2186"/>
        <v>0</v>
      </c>
      <c r="DQ1053">
        <f t="shared" ref="DQ1053:DZ1054" si="2187">IF($C1053&lt;&gt;"",IF(BB1053&gt;0,1,0),0)</f>
        <v>0</v>
      </c>
      <c r="DR1053">
        <f t="shared" si="2187"/>
        <v>0</v>
      </c>
      <c r="DS1053">
        <f t="shared" si="2187"/>
        <v>0</v>
      </c>
      <c r="DT1053">
        <f t="shared" si="2187"/>
        <v>0</v>
      </c>
      <c r="DU1053">
        <f t="shared" si="2187"/>
        <v>0</v>
      </c>
      <c r="DV1053">
        <f t="shared" si="2187"/>
        <v>0</v>
      </c>
      <c r="DW1053">
        <f t="shared" si="2187"/>
        <v>0</v>
      </c>
      <c r="DX1053">
        <f t="shared" si="2187"/>
        <v>0</v>
      </c>
      <c r="DY1053">
        <f t="shared" si="2187"/>
        <v>0</v>
      </c>
      <c r="DZ1053">
        <f t="shared" si="2187"/>
        <v>0</v>
      </c>
      <c r="EA1053">
        <f t="shared" ref="EA1053:EF1054" si="2188">IF($C1053&lt;&gt;"",IF(BL1053&gt;0,1,0),0)</f>
        <v>0</v>
      </c>
      <c r="EB1053">
        <f t="shared" si="2188"/>
        <v>0</v>
      </c>
      <c r="EC1053">
        <f t="shared" si="2188"/>
        <v>0</v>
      </c>
      <c r="ED1053">
        <f t="shared" si="2188"/>
        <v>0</v>
      </c>
      <c r="EE1053">
        <f t="shared" si="2188"/>
        <v>0</v>
      </c>
      <c r="EF1053">
        <f t="shared" si="2188"/>
        <v>0</v>
      </c>
    </row>
    <row r="1054" spans="1:136" ht="15.5">
      <c r="A1054" s="90"/>
      <c r="B1054" s="19" t="s">
        <v>2</v>
      </c>
      <c r="C1054" s="94"/>
      <c r="D1054" s="22"/>
      <c r="E1054" s="22"/>
      <c r="F1054" s="22"/>
      <c r="G1054" s="22"/>
      <c r="H1054" s="22"/>
      <c r="I1054" s="22"/>
      <c r="J1054" s="22"/>
      <c r="K1054" s="22"/>
      <c r="L1054" s="22"/>
      <c r="M1054" s="22"/>
      <c r="N1054" s="22"/>
      <c r="O1054" s="22"/>
      <c r="P1054" s="22"/>
      <c r="Q1054" s="22"/>
      <c r="R1054" s="22"/>
      <c r="S1054" s="22"/>
      <c r="T1054" s="22"/>
      <c r="U1054" s="22"/>
      <c r="V1054" s="22"/>
      <c r="W1054" s="22"/>
      <c r="X1054" s="22"/>
      <c r="Y1054" s="22"/>
      <c r="Z1054" s="22"/>
      <c r="AA1054" s="22"/>
      <c r="AB1054" s="22"/>
      <c r="AC1054" s="22"/>
      <c r="AD1054" s="22"/>
      <c r="AE1054" s="22"/>
      <c r="AF1054" s="22"/>
      <c r="AG1054" s="22"/>
      <c r="AH1054" s="22"/>
      <c r="AI1054" s="22"/>
      <c r="AJ1054" s="18">
        <v>277</v>
      </c>
      <c r="AK1054" s="18">
        <v>0</v>
      </c>
      <c r="AL1054" s="18">
        <v>0</v>
      </c>
      <c r="AM1054" s="18">
        <v>0</v>
      </c>
      <c r="AN1054" s="18">
        <v>0</v>
      </c>
      <c r="AO1054" s="18">
        <v>0</v>
      </c>
      <c r="AP1054" s="18">
        <v>0</v>
      </c>
      <c r="AQ1054" s="18">
        <v>0</v>
      </c>
      <c r="AR1054" s="18">
        <v>0</v>
      </c>
      <c r="AS1054" s="18">
        <v>0</v>
      </c>
      <c r="AT1054" s="18">
        <v>0</v>
      </c>
      <c r="AU1054" s="18">
        <v>0</v>
      </c>
      <c r="AV1054" s="18">
        <v>0</v>
      </c>
      <c r="AW1054" s="18">
        <v>0</v>
      </c>
      <c r="AX1054" s="18">
        <v>0</v>
      </c>
      <c r="AY1054" s="18">
        <v>0</v>
      </c>
      <c r="AZ1054" s="18">
        <v>0</v>
      </c>
      <c r="BA1054" s="18">
        <v>0</v>
      </c>
      <c r="BB1054" s="18">
        <v>0</v>
      </c>
      <c r="BC1054" s="18">
        <v>0</v>
      </c>
      <c r="BD1054" s="18">
        <v>0</v>
      </c>
      <c r="BE1054" s="18">
        <v>0</v>
      </c>
      <c r="BF1054" s="18">
        <v>0</v>
      </c>
      <c r="BG1054" s="18">
        <v>0</v>
      </c>
      <c r="BH1054" s="18">
        <v>0</v>
      </c>
      <c r="BI1054" s="18">
        <v>0</v>
      </c>
      <c r="BJ1054" s="18">
        <v>0</v>
      </c>
      <c r="BK1054" s="18">
        <v>0</v>
      </c>
      <c r="BL1054" s="18">
        <v>0</v>
      </c>
      <c r="BM1054" s="18">
        <v>0</v>
      </c>
      <c r="BN1054" s="18">
        <v>0</v>
      </c>
      <c r="BO1054" s="18">
        <v>0</v>
      </c>
      <c r="BP1054" s="18">
        <v>0</v>
      </c>
      <c r="BQ1054" s="18">
        <v>0</v>
      </c>
      <c r="BR1054" s="101"/>
      <c r="BS1054">
        <f t="shared" si="2182"/>
        <v>0</v>
      </c>
      <c r="BT1054">
        <f t="shared" si="2182"/>
        <v>0</v>
      </c>
      <c r="BU1054">
        <f t="shared" si="2182"/>
        <v>0</v>
      </c>
      <c r="BV1054">
        <f t="shared" si="2182"/>
        <v>0</v>
      </c>
      <c r="BW1054">
        <f t="shared" si="2182"/>
        <v>0</v>
      </c>
      <c r="BX1054">
        <f t="shared" si="2182"/>
        <v>0</v>
      </c>
      <c r="BY1054">
        <f t="shared" si="2182"/>
        <v>0</v>
      </c>
      <c r="BZ1054">
        <f t="shared" si="2182"/>
        <v>0</v>
      </c>
      <c r="CA1054">
        <f t="shared" si="2182"/>
        <v>0</v>
      </c>
      <c r="CB1054">
        <f t="shared" si="2182"/>
        <v>0</v>
      </c>
      <c r="CC1054">
        <f t="shared" si="2183"/>
        <v>0</v>
      </c>
      <c r="CD1054">
        <f t="shared" si="2183"/>
        <v>0</v>
      </c>
      <c r="CE1054">
        <f t="shared" si="2183"/>
        <v>0</v>
      </c>
      <c r="CF1054">
        <f t="shared" si="2183"/>
        <v>0</v>
      </c>
      <c r="CG1054">
        <f t="shared" si="2183"/>
        <v>0</v>
      </c>
      <c r="CH1054">
        <f t="shared" si="2183"/>
        <v>0</v>
      </c>
      <c r="CI1054">
        <f t="shared" si="2183"/>
        <v>0</v>
      </c>
      <c r="CJ1054">
        <f t="shared" si="2183"/>
        <v>0</v>
      </c>
      <c r="CK1054">
        <f t="shared" si="2183"/>
        <v>0</v>
      </c>
      <c r="CL1054">
        <f t="shared" si="2183"/>
        <v>0</v>
      </c>
      <c r="CM1054">
        <f t="shared" si="2184"/>
        <v>0</v>
      </c>
      <c r="CN1054">
        <f t="shared" si="2184"/>
        <v>0</v>
      </c>
      <c r="CO1054">
        <f t="shared" si="2184"/>
        <v>0</v>
      </c>
      <c r="CP1054">
        <f t="shared" si="2184"/>
        <v>0</v>
      </c>
      <c r="CQ1054">
        <f t="shared" si="2184"/>
        <v>0</v>
      </c>
      <c r="CR1054">
        <f t="shared" si="2184"/>
        <v>0</v>
      </c>
      <c r="CS1054">
        <f t="shared" si="2184"/>
        <v>0</v>
      </c>
      <c r="CT1054">
        <f t="shared" si="2184"/>
        <v>0</v>
      </c>
      <c r="CU1054">
        <f t="shared" si="2184"/>
        <v>0</v>
      </c>
      <c r="CV1054">
        <f t="shared" si="2184"/>
        <v>0</v>
      </c>
      <c r="CW1054">
        <f t="shared" si="2185"/>
        <v>0</v>
      </c>
      <c r="CX1054">
        <f t="shared" si="2185"/>
        <v>0</v>
      </c>
      <c r="CY1054">
        <f t="shared" si="2185"/>
        <v>0</v>
      </c>
      <c r="CZ1054">
        <f t="shared" si="2185"/>
        <v>0</v>
      </c>
      <c r="DA1054">
        <f t="shared" si="2185"/>
        <v>0</v>
      </c>
      <c r="DB1054">
        <f t="shared" si="2185"/>
        <v>0</v>
      </c>
      <c r="DC1054">
        <f t="shared" si="2185"/>
        <v>0</v>
      </c>
      <c r="DD1054">
        <f t="shared" si="2185"/>
        <v>0</v>
      </c>
      <c r="DE1054">
        <f t="shared" si="2185"/>
        <v>0</v>
      </c>
      <c r="DF1054">
        <f t="shared" si="2185"/>
        <v>0</v>
      </c>
      <c r="DG1054">
        <f t="shared" si="2186"/>
        <v>0</v>
      </c>
      <c r="DH1054">
        <f t="shared" si="2186"/>
        <v>0</v>
      </c>
      <c r="DI1054">
        <f t="shared" si="2186"/>
        <v>0</v>
      </c>
      <c r="DJ1054">
        <f t="shared" si="2186"/>
        <v>0</v>
      </c>
      <c r="DK1054">
        <f t="shared" si="2186"/>
        <v>0</v>
      </c>
      <c r="DL1054">
        <f t="shared" si="2186"/>
        <v>0</v>
      </c>
      <c r="DM1054">
        <f t="shared" si="2186"/>
        <v>0</v>
      </c>
      <c r="DN1054">
        <f t="shared" si="2186"/>
        <v>0</v>
      </c>
      <c r="DO1054">
        <f t="shared" si="2186"/>
        <v>0</v>
      </c>
      <c r="DP1054">
        <f t="shared" si="2186"/>
        <v>0</v>
      </c>
      <c r="DQ1054">
        <f t="shared" si="2187"/>
        <v>0</v>
      </c>
      <c r="DR1054">
        <f t="shared" si="2187"/>
        <v>0</v>
      </c>
      <c r="DS1054">
        <f t="shared" si="2187"/>
        <v>0</v>
      </c>
      <c r="DT1054">
        <f t="shared" si="2187"/>
        <v>0</v>
      </c>
      <c r="DU1054">
        <f t="shared" si="2187"/>
        <v>0</v>
      </c>
      <c r="DV1054">
        <f t="shared" si="2187"/>
        <v>0</v>
      </c>
      <c r="DW1054">
        <f t="shared" si="2187"/>
        <v>0</v>
      </c>
      <c r="DX1054">
        <f t="shared" si="2187"/>
        <v>0</v>
      </c>
      <c r="DY1054">
        <f t="shared" si="2187"/>
        <v>0</v>
      </c>
      <c r="DZ1054">
        <f t="shared" si="2187"/>
        <v>0</v>
      </c>
      <c r="EA1054">
        <f t="shared" si="2188"/>
        <v>0</v>
      </c>
      <c r="EB1054">
        <f t="shared" si="2188"/>
        <v>0</v>
      </c>
      <c r="EC1054">
        <f t="shared" si="2188"/>
        <v>0</v>
      </c>
      <c r="ED1054">
        <f t="shared" si="2188"/>
        <v>0</v>
      </c>
      <c r="EE1054">
        <f t="shared" si="2188"/>
        <v>0</v>
      </c>
      <c r="EF1054">
        <f t="shared" si="2188"/>
        <v>0</v>
      </c>
    </row>
    <row r="1055" spans="1:136" ht="15.5">
      <c r="A1055" s="90"/>
      <c r="B1055" s="19" t="s">
        <v>18</v>
      </c>
      <c r="C1055" s="94"/>
      <c r="D1055" s="18"/>
      <c r="E1055" s="18"/>
      <c r="F1055" s="18"/>
      <c r="G1055" s="18"/>
      <c r="H1055" s="18"/>
      <c r="I1055" s="18"/>
      <c r="J1055" s="18"/>
      <c r="K1055" s="18"/>
      <c r="L1055" s="18"/>
      <c r="M1055" s="18"/>
      <c r="N1055" s="18"/>
      <c r="O1055" s="18"/>
      <c r="P1055" s="18"/>
      <c r="Q1055" s="18"/>
      <c r="R1055" s="18"/>
      <c r="S1055" s="18"/>
      <c r="T1055" s="18"/>
      <c r="U1055" s="18"/>
      <c r="V1055" s="18"/>
      <c r="W1055" s="18"/>
      <c r="X1055" s="18"/>
      <c r="Y1055" s="18"/>
      <c r="Z1055" s="18"/>
      <c r="AA1055" s="18"/>
      <c r="AB1055" s="18"/>
      <c r="AC1055" s="18"/>
      <c r="AD1055" s="18"/>
      <c r="AE1055" s="18"/>
      <c r="AF1055" s="18"/>
      <c r="AG1055" s="18"/>
      <c r="AH1055" s="18"/>
      <c r="AI1055" s="18"/>
      <c r="AJ1055" s="18">
        <v>651.53938401551989</v>
      </c>
      <c r="AK1055" s="18">
        <v>677.27586695999992</v>
      </c>
      <c r="AL1055" s="18">
        <v>714.42601999999999</v>
      </c>
      <c r="AM1055" s="18">
        <v>764.09199999999998</v>
      </c>
      <c r="AN1055" s="18">
        <v>812</v>
      </c>
      <c r="AO1055" s="18">
        <v>0</v>
      </c>
      <c r="AP1055" s="18">
        <v>0</v>
      </c>
      <c r="AQ1055" s="18">
        <v>0</v>
      </c>
      <c r="AR1055" s="18">
        <v>0</v>
      </c>
      <c r="AS1055" s="18">
        <v>0</v>
      </c>
      <c r="AT1055" s="18">
        <v>0</v>
      </c>
      <c r="AU1055" s="18">
        <v>0</v>
      </c>
      <c r="AV1055" s="18">
        <v>0</v>
      </c>
      <c r="AW1055" s="18">
        <v>0</v>
      </c>
      <c r="AX1055" s="18">
        <v>0</v>
      </c>
      <c r="AY1055" s="18">
        <v>0</v>
      </c>
      <c r="AZ1055" s="18">
        <v>0</v>
      </c>
      <c r="BA1055" s="18">
        <v>0</v>
      </c>
      <c r="BB1055" s="18">
        <v>0</v>
      </c>
      <c r="BC1055" s="18">
        <v>0</v>
      </c>
      <c r="BD1055" s="18">
        <v>0</v>
      </c>
      <c r="BE1055" s="25">
        <v>0</v>
      </c>
      <c r="BF1055" s="18">
        <v>0</v>
      </c>
      <c r="BG1055" s="18">
        <v>0</v>
      </c>
      <c r="BH1055" s="18">
        <v>0</v>
      </c>
      <c r="BI1055" s="18">
        <v>0</v>
      </c>
      <c r="BJ1055" s="113">
        <v>0</v>
      </c>
      <c r="BK1055" s="113">
        <v>0</v>
      </c>
      <c r="BL1055" s="113">
        <v>0</v>
      </c>
      <c r="BM1055" s="113">
        <v>0</v>
      </c>
      <c r="BN1055" s="113">
        <v>0</v>
      </c>
      <c r="BO1055" s="113">
        <v>0</v>
      </c>
      <c r="BP1055" s="113">
        <v>0</v>
      </c>
      <c r="BQ1055" s="113">
        <v>0</v>
      </c>
      <c r="BR1055" s="101"/>
      <c r="BS1055">
        <f t="shared" ref="BS1055:CB1057" si="2189">IF($C1055&lt;&gt;"",IF(D1055&gt;0,1,0),0)</f>
        <v>0</v>
      </c>
      <c r="BT1055">
        <f t="shared" si="2189"/>
        <v>0</v>
      </c>
      <c r="BU1055">
        <f t="shared" si="2189"/>
        <v>0</v>
      </c>
      <c r="BV1055">
        <f t="shared" si="2189"/>
        <v>0</v>
      </c>
      <c r="BW1055">
        <f t="shared" si="2189"/>
        <v>0</v>
      </c>
      <c r="BX1055">
        <f t="shared" si="2189"/>
        <v>0</v>
      </c>
      <c r="BY1055">
        <f t="shared" si="2189"/>
        <v>0</v>
      </c>
      <c r="BZ1055">
        <f t="shared" si="2189"/>
        <v>0</v>
      </c>
      <c r="CA1055">
        <f t="shared" si="2189"/>
        <v>0</v>
      </c>
      <c r="CB1055">
        <f t="shared" si="2189"/>
        <v>0</v>
      </c>
      <c r="CC1055">
        <f t="shared" ref="CC1055:CL1057" si="2190">IF($C1055&lt;&gt;"",IF(N1055&gt;0,1,0),0)</f>
        <v>0</v>
      </c>
      <c r="CD1055">
        <f t="shared" si="2190"/>
        <v>0</v>
      </c>
      <c r="CE1055">
        <f t="shared" si="2190"/>
        <v>0</v>
      </c>
      <c r="CF1055">
        <f t="shared" si="2190"/>
        <v>0</v>
      </c>
      <c r="CG1055">
        <f t="shared" si="2190"/>
        <v>0</v>
      </c>
      <c r="CH1055">
        <f t="shared" si="2190"/>
        <v>0</v>
      </c>
      <c r="CI1055">
        <f t="shared" si="2190"/>
        <v>0</v>
      </c>
      <c r="CJ1055">
        <f t="shared" si="2190"/>
        <v>0</v>
      </c>
      <c r="CK1055">
        <f t="shared" si="2190"/>
        <v>0</v>
      </c>
      <c r="CL1055">
        <f t="shared" si="2190"/>
        <v>0</v>
      </c>
      <c r="CM1055">
        <f t="shared" ref="CM1055:CV1057" si="2191">IF($C1055&lt;&gt;"",IF(X1055&gt;0,1,0),0)</f>
        <v>0</v>
      </c>
      <c r="CN1055">
        <f t="shared" si="2191"/>
        <v>0</v>
      </c>
      <c r="CO1055">
        <f t="shared" si="2191"/>
        <v>0</v>
      </c>
      <c r="CP1055">
        <f t="shared" si="2191"/>
        <v>0</v>
      </c>
      <c r="CQ1055">
        <f t="shared" si="2191"/>
        <v>0</v>
      </c>
      <c r="CR1055">
        <f t="shared" si="2191"/>
        <v>0</v>
      </c>
      <c r="CS1055">
        <f t="shared" si="2191"/>
        <v>0</v>
      </c>
      <c r="CT1055">
        <f t="shared" si="2191"/>
        <v>0</v>
      </c>
      <c r="CU1055">
        <f t="shared" si="2191"/>
        <v>0</v>
      </c>
      <c r="CV1055">
        <f t="shared" si="2191"/>
        <v>0</v>
      </c>
      <c r="CW1055">
        <f t="shared" ref="CW1055:DF1057" si="2192">IF($C1055&lt;&gt;"",IF(AH1055&gt;0,1,0),0)</f>
        <v>0</v>
      </c>
      <c r="CX1055">
        <f t="shared" si="2192"/>
        <v>0</v>
      </c>
      <c r="CY1055">
        <f t="shared" si="2192"/>
        <v>0</v>
      </c>
      <c r="CZ1055">
        <f t="shared" si="2192"/>
        <v>0</v>
      </c>
      <c r="DA1055">
        <f t="shared" si="2192"/>
        <v>0</v>
      </c>
      <c r="DB1055">
        <f t="shared" si="2192"/>
        <v>0</v>
      </c>
      <c r="DC1055">
        <f t="shared" si="2192"/>
        <v>0</v>
      </c>
      <c r="DD1055">
        <f t="shared" si="2192"/>
        <v>0</v>
      </c>
      <c r="DE1055">
        <f t="shared" si="2192"/>
        <v>0</v>
      </c>
      <c r="DF1055">
        <f t="shared" si="2192"/>
        <v>0</v>
      </c>
      <c r="DG1055">
        <f t="shared" ref="DG1055:DP1057" si="2193">IF($C1055&lt;&gt;"",IF(AR1055&gt;0,1,0),0)</f>
        <v>0</v>
      </c>
      <c r="DH1055">
        <f t="shared" si="2193"/>
        <v>0</v>
      </c>
      <c r="DI1055">
        <f t="shared" si="2193"/>
        <v>0</v>
      </c>
      <c r="DJ1055">
        <f t="shared" si="2193"/>
        <v>0</v>
      </c>
      <c r="DK1055">
        <f t="shared" si="2193"/>
        <v>0</v>
      </c>
      <c r="DL1055">
        <f t="shared" si="2193"/>
        <v>0</v>
      </c>
      <c r="DM1055">
        <f t="shared" si="2193"/>
        <v>0</v>
      </c>
      <c r="DN1055">
        <f t="shared" si="2193"/>
        <v>0</v>
      </c>
      <c r="DO1055">
        <f t="shared" si="2193"/>
        <v>0</v>
      </c>
      <c r="DP1055">
        <f t="shared" si="2193"/>
        <v>0</v>
      </c>
      <c r="DQ1055">
        <f t="shared" ref="DQ1055:DZ1057" si="2194">IF($C1055&lt;&gt;"",IF(BB1055&gt;0,1,0),0)</f>
        <v>0</v>
      </c>
      <c r="DR1055">
        <f t="shared" si="2194"/>
        <v>0</v>
      </c>
      <c r="DS1055">
        <f t="shared" si="2194"/>
        <v>0</v>
      </c>
      <c r="DT1055">
        <f t="shared" si="2194"/>
        <v>0</v>
      </c>
      <c r="DU1055">
        <f t="shared" si="2194"/>
        <v>0</v>
      </c>
      <c r="DV1055">
        <f t="shared" si="2194"/>
        <v>0</v>
      </c>
      <c r="DW1055">
        <f t="shared" si="2194"/>
        <v>0</v>
      </c>
      <c r="DX1055">
        <f t="shared" si="2194"/>
        <v>0</v>
      </c>
      <c r="DY1055">
        <f t="shared" si="2194"/>
        <v>0</v>
      </c>
      <c r="DZ1055">
        <f t="shared" si="2194"/>
        <v>0</v>
      </c>
      <c r="EA1055">
        <f t="shared" ref="EA1055:EF1055" si="2195">IF($C1055&lt;&gt;"",IF(BL1053&gt;0,1,0),0)</f>
        <v>0</v>
      </c>
      <c r="EB1055">
        <f t="shared" si="2195"/>
        <v>0</v>
      </c>
      <c r="EC1055">
        <f t="shared" si="2195"/>
        <v>0</v>
      </c>
      <c r="ED1055">
        <f t="shared" si="2195"/>
        <v>0</v>
      </c>
      <c r="EE1055">
        <f t="shared" si="2195"/>
        <v>0</v>
      </c>
      <c r="EF1055">
        <f t="shared" si="2195"/>
        <v>0</v>
      </c>
    </row>
    <row r="1056" spans="1:136" ht="15.5">
      <c r="A1056" s="90"/>
      <c r="B1056" s="19" t="s">
        <v>21</v>
      </c>
      <c r="C1056" s="94"/>
      <c r="D1056" s="18"/>
      <c r="E1056" s="18"/>
      <c r="F1056" s="18"/>
      <c r="G1056" s="18"/>
      <c r="H1056" s="18"/>
      <c r="I1056" s="18"/>
      <c r="J1056" s="18"/>
      <c r="K1056" s="18"/>
      <c r="L1056" s="18"/>
      <c r="M1056" s="18"/>
      <c r="N1056" s="18"/>
      <c r="O1056" s="18"/>
      <c r="P1056" s="18"/>
      <c r="Q1056" s="18"/>
      <c r="R1056" s="18"/>
      <c r="S1056" s="18"/>
      <c r="T1056" s="18"/>
      <c r="U1056" s="18"/>
      <c r="V1056" s="18"/>
      <c r="W1056" s="18"/>
      <c r="X1056" s="18"/>
      <c r="Y1056" s="18"/>
      <c r="Z1056" s="18"/>
      <c r="AA1056" s="18"/>
      <c r="AB1056" s="18"/>
      <c r="AC1056" s="18"/>
      <c r="AD1056" s="18"/>
      <c r="AE1056" s="18"/>
      <c r="AF1056" s="18"/>
      <c r="AG1056" s="18"/>
      <c r="AH1056" s="18"/>
      <c r="AI1056" s="18"/>
      <c r="AJ1056" s="18">
        <v>0</v>
      </c>
      <c r="AK1056" s="18">
        <v>0</v>
      </c>
      <c r="AL1056" s="18">
        <v>0</v>
      </c>
      <c r="AM1056" s="18">
        <v>0</v>
      </c>
      <c r="AN1056" s="18">
        <v>869</v>
      </c>
      <c r="AO1056" s="18">
        <v>0</v>
      </c>
      <c r="AP1056" s="18">
        <v>0</v>
      </c>
      <c r="AQ1056" s="18">
        <v>0</v>
      </c>
      <c r="AR1056" s="18">
        <v>0</v>
      </c>
      <c r="AS1056" s="18">
        <v>0</v>
      </c>
      <c r="AT1056" s="18">
        <v>633</v>
      </c>
      <c r="AU1056" s="18">
        <v>0</v>
      </c>
      <c r="AV1056" s="18">
        <v>0</v>
      </c>
      <c r="AW1056" s="18">
        <v>0</v>
      </c>
      <c r="AX1056" s="18">
        <v>0</v>
      </c>
      <c r="AY1056" s="18">
        <v>0</v>
      </c>
      <c r="AZ1056" s="18">
        <v>0</v>
      </c>
      <c r="BA1056" s="18">
        <v>0</v>
      </c>
      <c r="BB1056" s="18">
        <v>0</v>
      </c>
      <c r="BC1056" s="18">
        <v>0</v>
      </c>
      <c r="BD1056" s="18">
        <v>0</v>
      </c>
      <c r="BE1056" s="25">
        <v>0</v>
      </c>
      <c r="BF1056" s="18">
        <v>0</v>
      </c>
      <c r="BG1056" s="18">
        <v>0</v>
      </c>
      <c r="BH1056" s="18">
        <v>0</v>
      </c>
      <c r="BI1056" s="18">
        <v>0</v>
      </c>
      <c r="BJ1056" s="113">
        <v>0</v>
      </c>
      <c r="BK1056" s="113">
        <v>0</v>
      </c>
      <c r="BL1056" s="113">
        <v>0</v>
      </c>
      <c r="BM1056" s="113">
        <v>0</v>
      </c>
      <c r="BN1056" s="113">
        <v>0</v>
      </c>
      <c r="BO1056" s="113">
        <v>0</v>
      </c>
      <c r="BP1056" s="113">
        <v>0</v>
      </c>
      <c r="BQ1056" s="113">
        <v>0</v>
      </c>
      <c r="BR1056" s="101"/>
      <c r="BS1056">
        <f t="shared" si="2189"/>
        <v>0</v>
      </c>
      <c r="BT1056">
        <f t="shared" si="2189"/>
        <v>0</v>
      </c>
      <c r="BU1056">
        <f t="shared" si="2189"/>
        <v>0</v>
      </c>
      <c r="BV1056">
        <f t="shared" si="2189"/>
        <v>0</v>
      </c>
      <c r="BW1056">
        <f t="shared" si="2189"/>
        <v>0</v>
      </c>
      <c r="BX1056">
        <f t="shared" si="2189"/>
        <v>0</v>
      </c>
      <c r="BY1056">
        <f t="shared" si="2189"/>
        <v>0</v>
      </c>
      <c r="BZ1056">
        <f t="shared" si="2189"/>
        <v>0</v>
      </c>
      <c r="CA1056">
        <f t="shared" si="2189"/>
        <v>0</v>
      </c>
      <c r="CB1056">
        <f t="shared" si="2189"/>
        <v>0</v>
      </c>
      <c r="CC1056">
        <f t="shared" si="2190"/>
        <v>0</v>
      </c>
      <c r="CD1056">
        <f t="shared" si="2190"/>
        <v>0</v>
      </c>
      <c r="CE1056">
        <f t="shared" si="2190"/>
        <v>0</v>
      </c>
      <c r="CF1056">
        <f t="shared" si="2190"/>
        <v>0</v>
      </c>
      <c r="CG1056">
        <f t="shared" si="2190"/>
        <v>0</v>
      </c>
      <c r="CH1056">
        <f t="shared" si="2190"/>
        <v>0</v>
      </c>
      <c r="CI1056">
        <f t="shared" si="2190"/>
        <v>0</v>
      </c>
      <c r="CJ1056">
        <f t="shared" si="2190"/>
        <v>0</v>
      </c>
      <c r="CK1056">
        <f t="shared" si="2190"/>
        <v>0</v>
      </c>
      <c r="CL1056">
        <f t="shared" si="2190"/>
        <v>0</v>
      </c>
      <c r="CM1056">
        <f t="shared" si="2191"/>
        <v>0</v>
      </c>
      <c r="CN1056">
        <f t="shared" si="2191"/>
        <v>0</v>
      </c>
      <c r="CO1056">
        <f t="shared" si="2191"/>
        <v>0</v>
      </c>
      <c r="CP1056">
        <f t="shared" si="2191"/>
        <v>0</v>
      </c>
      <c r="CQ1056">
        <f t="shared" si="2191"/>
        <v>0</v>
      </c>
      <c r="CR1056">
        <f t="shared" si="2191"/>
        <v>0</v>
      </c>
      <c r="CS1056">
        <f t="shared" si="2191"/>
        <v>0</v>
      </c>
      <c r="CT1056">
        <f t="shared" si="2191"/>
        <v>0</v>
      </c>
      <c r="CU1056">
        <f t="shared" si="2191"/>
        <v>0</v>
      </c>
      <c r="CV1056">
        <f t="shared" si="2191"/>
        <v>0</v>
      </c>
      <c r="CW1056">
        <f t="shared" si="2192"/>
        <v>0</v>
      </c>
      <c r="CX1056">
        <f t="shared" si="2192"/>
        <v>0</v>
      </c>
      <c r="CY1056">
        <f t="shared" si="2192"/>
        <v>0</v>
      </c>
      <c r="CZ1056">
        <f t="shared" si="2192"/>
        <v>0</v>
      </c>
      <c r="DA1056">
        <f t="shared" si="2192"/>
        <v>0</v>
      </c>
      <c r="DB1056">
        <f t="shared" si="2192"/>
        <v>0</v>
      </c>
      <c r="DC1056">
        <f t="shared" si="2192"/>
        <v>0</v>
      </c>
      <c r="DD1056">
        <f t="shared" si="2192"/>
        <v>0</v>
      </c>
      <c r="DE1056">
        <f t="shared" si="2192"/>
        <v>0</v>
      </c>
      <c r="DF1056">
        <f t="shared" si="2192"/>
        <v>0</v>
      </c>
      <c r="DG1056">
        <f t="shared" si="2193"/>
        <v>0</v>
      </c>
      <c r="DH1056">
        <f t="shared" si="2193"/>
        <v>0</v>
      </c>
      <c r="DI1056">
        <f t="shared" si="2193"/>
        <v>0</v>
      </c>
      <c r="DJ1056">
        <f t="shared" si="2193"/>
        <v>0</v>
      </c>
      <c r="DK1056">
        <f t="shared" si="2193"/>
        <v>0</v>
      </c>
      <c r="DL1056">
        <f t="shared" si="2193"/>
        <v>0</v>
      </c>
      <c r="DM1056">
        <f t="shared" si="2193"/>
        <v>0</v>
      </c>
      <c r="DN1056">
        <f t="shared" si="2193"/>
        <v>0</v>
      </c>
      <c r="DO1056">
        <f t="shared" si="2193"/>
        <v>0</v>
      </c>
      <c r="DP1056">
        <f t="shared" si="2193"/>
        <v>0</v>
      </c>
      <c r="DQ1056">
        <f t="shared" si="2194"/>
        <v>0</v>
      </c>
      <c r="DR1056">
        <f t="shared" si="2194"/>
        <v>0</v>
      </c>
      <c r="DS1056">
        <f t="shared" si="2194"/>
        <v>0</v>
      </c>
      <c r="DT1056">
        <f t="shared" si="2194"/>
        <v>0</v>
      </c>
      <c r="DU1056">
        <f t="shared" si="2194"/>
        <v>0</v>
      </c>
      <c r="DV1056">
        <f t="shared" si="2194"/>
        <v>0</v>
      </c>
      <c r="DW1056">
        <f t="shared" si="2194"/>
        <v>0</v>
      </c>
      <c r="DX1056">
        <f t="shared" si="2194"/>
        <v>0</v>
      </c>
      <c r="DY1056">
        <f t="shared" si="2194"/>
        <v>0</v>
      </c>
      <c r="DZ1056">
        <f t="shared" si="2194"/>
        <v>0</v>
      </c>
      <c r="EA1056">
        <f t="shared" ref="EA1056:EF1057" si="2196">IF($C1056&lt;&gt;"",IF(BL1056&gt;0,1,0),0)</f>
        <v>0</v>
      </c>
      <c r="EB1056">
        <f t="shared" si="2196"/>
        <v>0</v>
      </c>
      <c r="EC1056">
        <f t="shared" si="2196"/>
        <v>0</v>
      </c>
      <c r="ED1056">
        <f t="shared" si="2196"/>
        <v>0</v>
      </c>
      <c r="EE1056">
        <f t="shared" si="2196"/>
        <v>0</v>
      </c>
      <c r="EF1056">
        <f t="shared" si="2196"/>
        <v>0</v>
      </c>
    </row>
    <row r="1057" spans="1:136" ht="15.5">
      <c r="A1057" s="90"/>
      <c r="B1057" s="19" t="s">
        <v>212</v>
      </c>
      <c r="C1057" s="94"/>
      <c r="D1057" s="18"/>
      <c r="E1057" s="18"/>
      <c r="F1057" s="18"/>
      <c r="G1057" s="18"/>
      <c r="H1057" s="18"/>
      <c r="I1057" s="18"/>
      <c r="J1057" s="18"/>
      <c r="K1057" s="18"/>
      <c r="L1057" s="18"/>
      <c r="M1057" s="18"/>
      <c r="N1057" s="18"/>
      <c r="O1057" s="18"/>
      <c r="P1057" s="18"/>
      <c r="Q1057" s="18"/>
      <c r="R1057" s="18"/>
      <c r="S1057" s="18"/>
      <c r="T1057" s="18"/>
      <c r="U1057" s="18"/>
      <c r="V1057" s="18"/>
      <c r="W1057" s="18"/>
      <c r="X1057" s="18"/>
      <c r="Y1057" s="18"/>
      <c r="Z1057" s="18"/>
      <c r="AA1057" s="18"/>
      <c r="AB1057" s="18"/>
      <c r="AC1057" s="18"/>
      <c r="AD1057" s="18"/>
      <c r="AE1057" s="18"/>
      <c r="AF1057" s="18"/>
      <c r="AG1057" s="18"/>
      <c r="AH1057" s="18"/>
      <c r="AI1057" s="18"/>
      <c r="AJ1057" s="18">
        <f>(0.06*962300)/97.3</f>
        <v>593.40184994861261</v>
      </c>
      <c r="AK1057" s="18">
        <v>0</v>
      </c>
      <c r="AL1057" s="18">
        <v>0</v>
      </c>
      <c r="AM1057" s="18">
        <v>0</v>
      </c>
      <c r="AN1057" s="18">
        <v>0</v>
      </c>
      <c r="AO1057" s="18">
        <v>0</v>
      </c>
      <c r="AP1057" s="18">
        <v>0</v>
      </c>
      <c r="AQ1057" s="18">
        <v>0</v>
      </c>
      <c r="AR1057" s="18">
        <v>0</v>
      </c>
      <c r="AS1057" s="18">
        <v>0</v>
      </c>
      <c r="AT1057" s="18">
        <v>0</v>
      </c>
      <c r="AU1057" s="18">
        <v>0</v>
      </c>
      <c r="AV1057" s="18">
        <v>0</v>
      </c>
      <c r="AW1057" s="18">
        <v>0</v>
      </c>
      <c r="AX1057" s="18">
        <v>0</v>
      </c>
      <c r="AY1057" s="18">
        <v>0</v>
      </c>
      <c r="AZ1057" s="18">
        <v>0</v>
      </c>
      <c r="BA1057" s="18">
        <v>0</v>
      </c>
      <c r="BB1057" s="18">
        <v>0</v>
      </c>
      <c r="BC1057" s="18">
        <v>0</v>
      </c>
      <c r="BD1057" s="18">
        <v>0</v>
      </c>
      <c r="BE1057" s="25">
        <v>0</v>
      </c>
      <c r="BF1057" s="18">
        <v>0</v>
      </c>
      <c r="BG1057" s="18">
        <v>0</v>
      </c>
      <c r="BH1057" s="18">
        <v>0</v>
      </c>
      <c r="BI1057" s="18">
        <v>0</v>
      </c>
      <c r="BJ1057" s="113">
        <v>0</v>
      </c>
      <c r="BK1057" s="113">
        <v>0</v>
      </c>
      <c r="BL1057" s="113">
        <v>0</v>
      </c>
      <c r="BM1057" s="113">
        <v>0</v>
      </c>
      <c r="BN1057" s="113">
        <v>0</v>
      </c>
      <c r="BO1057" s="113">
        <v>0</v>
      </c>
      <c r="BP1057" s="113">
        <v>0</v>
      </c>
      <c r="BQ1057" s="113">
        <v>0</v>
      </c>
      <c r="BR1057" s="101"/>
      <c r="BS1057">
        <f t="shared" si="2189"/>
        <v>0</v>
      </c>
      <c r="BT1057">
        <f t="shared" si="2189"/>
        <v>0</v>
      </c>
      <c r="BU1057">
        <f t="shared" si="2189"/>
        <v>0</v>
      </c>
      <c r="BV1057">
        <f t="shared" si="2189"/>
        <v>0</v>
      </c>
      <c r="BW1057">
        <f t="shared" si="2189"/>
        <v>0</v>
      </c>
      <c r="BX1057">
        <f t="shared" si="2189"/>
        <v>0</v>
      </c>
      <c r="BY1057">
        <f t="shared" si="2189"/>
        <v>0</v>
      </c>
      <c r="BZ1057">
        <f t="shared" si="2189"/>
        <v>0</v>
      </c>
      <c r="CA1057">
        <f t="shared" si="2189"/>
        <v>0</v>
      </c>
      <c r="CB1057">
        <f t="shared" si="2189"/>
        <v>0</v>
      </c>
      <c r="CC1057">
        <f t="shared" si="2190"/>
        <v>0</v>
      </c>
      <c r="CD1057">
        <f t="shared" si="2190"/>
        <v>0</v>
      </c>
      <c r="CE1057">
        <f t="shared" si="2190"/>
        <v>0</v>
      </c>
      <c r="CF1057">
        <f t="shared" si="2190"/>
        <v>0</v>
      </c>
      <c r="CG1057">
        <f t="shared" si="2190"/>
        <v>0</v>
      </c>
      <c r="CH1057">
        <f t="shared" si="2190"/>
        <v>0</v>
      </c>
      <c r="CI1057">
        <f t="shared" si="2190"/>
        <v>0</v>
      </c>
      <c r="CJ1057">
        <f t="shared" si="2190"/>
        <v>0</v>
      </c>
      <c r="CK1057">
        <f t="shared" si="2190"/>
        <v>0</v>
      </c>
      <c r="CL1057">
        <f t="shared" si="2190"/>
        <v>0</v>
      </c>
      <c r="CM1057">
        <f t="shared" si="2191"/>
        <v>0</v>
      </c>
      <c r="CN1057">
        <f t="shared" si="2191"/>
        <v>0</v>
      </c>
      <c r="CO1057">
        <f t="shared" si="2191"/>
        <v>0</v>
      </c>
      <c r="CP1057">
        <f t="shared" si="2191"/>
        <v>0</v>
      </c>
      <c r="CQ1057">
        <f t="shared" si="2191"/>
        <v>0</v>
      </c>
      <c r="CR1057">
        <f t="shared" si="2191"/>
        <v>0</v>
      </c>
      <c r="CS1057">
        <f t="shared" si="2191"/>
        <v>0</v>
      </c>
      <c r="CT1057">
        <f t="shared" si="2191"/>
        <v>0</v>
      </c>
      <c r="CU1057">
        <f t="shared" si="2191"/>
        <v>0</v>
      </c>
      <c r="CV1057">
        <f t="shared" si="2191"/>
        <v>0</v>
      </c>
      <c r="CW1057">
        <f t="shared" si="2192"/>
        <v>0</v>
      </c>
      <c r="CX1057">
        <f t="shared" si="2192"/>
        <v>0</v>
      </c>
      <c r="CY1057">
        <f t="shared" si="2192"/>
        <v>0</v>
      </c>
      <c r="CZ1057">
        <f t="shared" si="2192"/>
        <v>0</v>
      </c>
      <c r="DA1057">
        <f t="shared" si="2192"/>
        <v>0</v>
      </c>
      <c r="DB1057">
        <f t="shared" si="2192"/>
        <v>0</v>
      </c>
      <c r="DC1057">
        <f t="shared" si="2192"/>
        <v>0</v>
      </c>
      <c r="DD1057">
        <f t="shared" si="2192"/>
        <v>0</v>
      </c>
      <c r="DE1057">
        <f t="shared" si="2192"/>
        <v>0</v>
      </c>
      <c r="DF1057">
        <f t="shared" si="2192"/>
        <v>0</v>
      </c>
      <c r="DG1057">
        <f t="shared" si="2193"/>
        <v>0</v>
      </c>
      <c r="DH1057">
        <f t="shared" si="2193"/>
        <v>0</v>
      </c>
      <c r="DI1057">
        <f t="shared" si="2193"/>
        <v>0</v>
      </c>
      <c r="DJ1057">
        <f t="shared" si="2193"/>
        <v>0</v>
      </c>
      <c r="DK1057">
        <f t="shared" si="2193"/>
        <v>0</v>
      </c>
      <c r="DL1057">
        <f t="shared" si="2193"/>
        <v>0</v>
      </c>
      <c r="DM1057">
        <f t="shared" si="2193"/>
        <v>0</v>
      </c>
      <c r="DN1057">
        <f t="shared" si="2193"/>
        <v>0</v>
      </c>
      <c r="DO1057">
        <f t="shared" si="2193"/>
        <v>0</v>
      </c>
      <c r="DP1057">
        <f t="shared" si="2193"/>
        <v>0</v>
      </c>
      <c r="DQ1057">
        <f t="shared" si="2194"/>
        <v>0</v>
      </c>
      <c r="DR1057">
        <f t="shared" si="2194"/>
        <v>0</v>
      </c>
      <c r="DS1057">
        <f t="shared" si="2194"/>
        <v>0</v>
      </c>
      <c r="DT1057">
        <f t="shared" si="2194"/>
        <v>0</v>
      </c>
      <c r="DU1057">
        <f t="shared" si="2194"/>
        <v>0</v>
      </c>
      <c r="DV1057">
        <f t="shared" si="2194"/>
        <v>0</v>
      </c>
      <c r="DW1057">
        <f t="shared" si="2194"/>
        <v>0</v>
      </c>
      <c r="DX1057">
        <f t="shared" si="2194"/>
        <v>0</v>
      </c>
      <c r="DY1057">
        <f t="shared" si="2194"/>
        <v>0</v>
      </c>
      <c r="DZ1057">
        <f t="shared" si="2194"/>
        <v>0</v>
      </c>
      <c r="EA1057">
        <f t="shared" si="2196"/>
        <v>0</v>
      </c>
      <c r="EB1057">
        <f t="shared" si="2196"/>
        <v>0</v>
      </c>
      <c r="EC1057">
        <f t="shared" si="2196"/>
        <v>0</v>
      </c>
      <c r="ED1057">
        <f t="shared" si="2196"/>
        <v>0</v>
      </c>
      <c r="EE1057">
        <f t="shared" si="2196"/>
        <v>0</v>
      </c>
      <c r="EF1057">
        <f t="shared" si="2196"/>
        <v>0</v>
      </c>
    </row>
    <row r="1058" spans="1:136" ht="15.5">
      <c r="A1058" s="90"/>
      <c r="B1058" s="19"/>
      <c r="C1058" s="94"/>
      <c r="D1058" s="31"/>
      <c r="E1058" s="31"/>
      <c r="F1058" s="31"/>
      <c r="G1058" s="31"/>
      <c r="H1058" s="31"/>
      <c r="I1058" s="31"/>
      <c r="J1058" s="31"/>
      <c r="K1058" s="31"/>
      <c r="L1058" s="31"/>
      <c r="M1058" s="31"/>
      <c r="N1058" s="31"/>
      <c r="O1058" s="31"/>
      <c r="P1058" s="31"/>
      <c r="Q1058" s="31"/>
      <c r="R1058" s="31"/>
      <c r="S1058" s="31"/>
      <c r="T1058" s="31"/>
      <c r="U1058" s="31"/>
      <c r="V1058" s="31"/>
      <c r="W1058" s="31"/>
      <c r="X1058" s="31"/>
      <c r="Y1058" s="31"/>
      <c r="Z1058" s="31"/>
      <c r="AA1058" s="31"/>
      <c r="AB1058" s="31"/>
      <c r="AC1058" s="31"/>
      <c r="AD1058" s="31"/>
      <c r="AE1058" s="31"/>
      <c r="AF1058" s="31"/>
      <c r="AG1058" s="31"/>
      <c r="AH1058" s="31"/>
      <c r="AI1058" s="31"/>
      <c r="AJ1058" s="31"/>
      <c r="AK1058" s="31"/>
      <c r="AL1058" s="31"/>
      <c r="AM1058" s="31"/>
      <c r="AN1058" s="31"/>
      <c r="AO1058" s="31"/>
      <c r="AP1058" s="31"/>
      <c r="AQ1058" s="31"/>
      <c r="AR1058" s="31"/>
      <c r="AS1058" s="31"/>
      <c r="AT1058" s="31"/>
      <c r="AU1058" s="31"/>
      <c r="AV1058" s="31"/>
      <c r="AW1058" s="31"/>
      <c r="AX1058" s="31"/>
      <c r="AY1058" s="31"/>
      <c r="AZ1058" s="31"/>
      <c r="BA1058" s="31"/>
      <c r="BB1058" s="38"/>
      <c r="BC1058" s="38"/>
      <c r="BD1058" s="38"/>
      <c r="BE1058" s="77"/>
      <c r="BF1058" s="18"/>
      <c r="BG1058" s="38"/>
      <c r="BH1058" s="2"/>
      <c r="BI1058" s="2"/>
      <c r="BJ1058" s="2"/>
      <c r="BK1058" s="2"/>
      <c r="BL1058" s="4"/>
      <c r="BM1058" s="2"/>
      <c r="BN1058" s="2"/>
      <c r="BO1058" s="2"/>
      <c r="BP1058" s="2"/>
      <c r="BQ1058" s="2"/>
      <c r="BR1058" s="101"/>
    </row>
    <row r="1059" spans="1:136" ht="15.5">
      <c r="A1059" s="93">
        <v>134</v>
      </c>
      <c r="B1059" s="32" t="s">
        <v>134</v>
      </c>
      <c r="C1059" s="95">
        <v>4</v>
      </c>
      <c r="D1059" s="18"/>
      <c r="E1059" s="18"/>
      <c r="F1059" s="18"/>
      <c r="G1059" s="18"/>
      <c r="H1059" s="18"/>
      <c r="I1059" s="18"/>
      <c r="J1059" s="18"/>
      <c r="K1059" s="18"/>
      <c r="L1059" s="18"/>
      <c r="M1059" s="18"/>
      <c r="N1059" s="18"/>
      <c r="O1059" s="18"/>
      <c r="P1059" s="18"/>
      <c r="Q1059" s="18"/>
      <c r="R1059" s="18"/>
      <c r="S1059" s="18"/>
      <c r="T1059" s="18"/>
      <c r="U1059" s="18"/>
      <c r="V1059" s="22">
        <f t="shared" ref="V1059:BI1059" si="2197">SUM(V1060:V1063)</f>
        <v>0</v>
      </c>
      <c r="W1059" s="22">
        <f t="shared" si="2197"/>
        <v>0</v>
      </c>
      <c r="X1059" s="22">
        <f t="shared" si="2197"/>
        <v>0</v>
      </c>
      <c r="Y1059" s="22">
        <f t="shared" si="2197"/>
        <v>0</v>
      </c>
      <c r="Z1059" s="22">
        <f t="shared" si="2197"/>
        <v>0</v>
      </c>
      <c r="AA1059" s="22">
        <f t="shared" si="2197"/>
        <v>0</v>
      </c>
      <c r="AB1059" s="22">
        <f t="shared" si="2197"/>
        <v>0</v>
      </c>
      <c r="AC1059" s="22">
        <f t="shared" si="2197"/>
        <v>0</v>
      </c>
      <c r="AD1059" s="22">
        <f t="shared" si="2197"/>
        <v>0</v>
      </c>
      <c r="AE1059" s="22">
        <f t="shared" si="2197"/>
        <v>0</v>
      </c>
      <c r="AF1059" s="22">
        <f t="shared" si="2197"/>
        <v>0</v>
      </c>
      <c r="AG1059" s="22">
        <f t="shared" si="2197"/>
        <v>0</v>
      </c>
      <c r="AH1059" s="22">
        <f t="shared" si="2197"/>
        <v>0.31</v>
      </c>
      <c r="AI1059" s="22">
        <f t="shared" si="2197"/>
        <v>0.23505376344086018</v>
      </c>
      <c r="AJ1059" s="22">
        <f t="shared" si="2197"/>
        <v>9.8124838709677409</v>
      </c>
      <c r="AK1059" s="22">
        <f t="shared" si="2197"/>
        <v>0</v>
      </c>
      <c r="AL1059" s="22">
        <f t="shared" si="2197"/>
        <v>1.1830000000000001</v>
      </c>
      <c r="AM1059" s="22">
        <f t="shared" si="2197"/>
        <v>76.093999999999994</v>
      </c>
      <c r="AN1059" s="22">
        <f t="shared" si="2197"/>
        <v>71.010999999999996</v>
      </c>
      <c r="AO1059" s="22">
        <f t="shared" si="2197"/>
        <v>81.085999999999999</v>
      </c>
      <c r="AP1059" s="22">
        <f t="shared" si="2197"/>
        <v>74.856999999999999</v>
      </c>
      <c r="AQ1059" s="22">
        <f t="shared" si="2197"/>
        <v>71.076999999999998</v>
      </c>
      <c r="AR1059" s="22">
        <f t="shared" si="2197"/>
        <v>78.870556399999998</v>
      </c>
      <c r="AS1059" s="22">
        <f t="shared" si="2197"/>
        <v>86.215757999999994</v>
      </c>
      <c r="AT1059" s="22">
        <f t="shared" si="2197"/>
        <v>98.929503499999996</v>
      </c>
      <c r="AU1059" s="22">
        <f t="shared" si="2197"/>
        <v>113.7658936</v>
      </c>
      <c r="AV1059" s="22">
        <f t="shared" si="2197"/>
        <v>88.904516099999995</v>
      </c>
      <c r="AW1059" s="22">
        <f t="shared" si="2197"/>
        <v>93.349928199999994</v>
      </c>
      <c r="AX1059" s="22">
        <f t="shared" si="2197"/>
        <v>95.234797900000004</v>
      </c>
      <c r="AY1059" s="22">
        <f t="shared" si="2197"/>
        <v>21.180216700000003</v>
      </c>
      <c r="AZ1059" s="22">
        <f t="shared" si="2197"/>
        <v>12.4101819</v>
      </c>
      <c r="BA1059" s="22">
        <f t="shared" si="2197"/>
        <v>10.4607659</v>
      </c>
      <c r="BB1059" s="22">
        <f t="shared" si="2197"/>
        <v>13.1062674</v>
      </c>
      <c r="BC1059" s="22">
        <f t="shared" si="2197"/>
        <v>25.304476300000001</v>
      </c>
      <c r="BD1059" s="22">
        <f t="shared" si="2197"/>
        <v>1E-3</v>
      </c>
      <c r="BE1059" s="22">
        <f t="shared" si="2197"/>
        <v>0</v>
      </c>
      <c r="BF1059" s="22">
        <f t="shared" si="2197"/>
        <v>0</v>
      </c>
      <c r="BG1059" s="22">
        <f t="shared" si="2197"/>
        <v>0</v>
      </c>
      <c r="BH1059" s="22">
        <f t="shared" si="2197"/>
        <v>0</v>
      </c>
      <c r="BI1059" s="22">
        <f t="shared" si="2197"/>
        <v>0</v>
      </c>
      <c r="BJ1059" s="4">
        <v>0</v>
      </c>
      <c r="BK1059" s="4">
        <v>0</v>
      </c>
      <c r="BL1059" s="4">
        <v>0</v>
      </c>
      <c r="BM1059" s="4">
        <v>0</v>
      </c>
      <c r="BN1059" s="4">
        <v>0</v>
      </c>
      <c r="BO1059" s="4">
        <v>0</v>
      </c>
      <c r="BP1059" s="4">
        <v>0</v>
      </c>
      <c r="BQ1059" s="4">
        <v>0</v>
      </c>
      <c r="BR1059" s="101"/>
      <c r="BS1059">
        <f t="shared" ref="BS1059:CX1059" si="2198">IF($C1059&lt;&gt;"",IF(D1059&gt;0,1,0),0)</f>
        <v>0</v>
      </c>
      <c r="BT1059">
        <f t="shared" si="2198"/>
        <v>0</v>
      </c>
      <c r="BU1059">
        <f t="shared" si="2198"/>
        <v>0</v>
      </c>
      <c r="BV1059">
        <f t="shared" si="2198"/>
        <v>0</v>
      </c>
      <c r="BW1059">
        <f t="shared" si="2198"/>
        <v>0</v>
      </c>
      <c r="BX1059">
        <f t="shared" si="2198"/>
        <v>0</v>
      </c>
      <c r="BY1059">
        <f t="shared" si="2198"/>
        <v>0</v>
      </c>
      <c r="BZ1059">
        <f t="shared" si="2198"/>
        <v>0</v>
      </c>
      <c r="CA1059">
        <f t="shared" si="2198"/>
        <v>0</v>
      </c>
      <c r="CB1059">
        <f t="shared" si="2198"/>
        <v>0</v>
      </c>
      <c r="CC1059">
        <f t="shared" si="2198"/>
        <v>0</v>
      </c>
      <c r="CD1059">
        <f t="shared" si="2198"/>
        <v>0</v>
      </c>
      <c r="CE1059">
        <f t="shared" si="2198"/>
        <v>0</v>
      </c>
      <c r="CF1059">
        <f t="shared" si="2198"/>
        <v>0</v>
      </c>
      <c r="CG1059">
        <f t="shared" si="2198"/>
        <v>0</v>
      </c>
      <c r="CH1059">
        <f t="shared" si="2198"/>
        <v>0</v>
      </c>
      <c r="CI1059">
        <f t="shared" si="2198"/>
        <v>0</v>
      </c>
      <c r="CJ1059">
        <f t="shared" si="2198"/>
        <v>0</v>
      </c>
      <c r="CK1059">
        <f t="shared" si="2198"/>
        <v>0</v>
      </c>
      <c r="CL1059">
        <f t="shared" si="2198"/>
        <v>0</v>
      </c>
      <c r="CM1059">
        <f t="shared" si="2198"/>
        <v>0</v>
      </c>
      <c r="CN1059">
        <f t="shared" si="2198"/>
        <v>0</v>
      </c>
      <c r="CO1059">
        <f t="shared" si="2198"/>
        <v>0</v>
      </c>
      <c r="CP1059">
        <f t="shared" si="2198"/>
        <v>0</v>
      </c>
      <c r="CQ1059">
        <f t="shared" si="2198"/>
        <v>0</v>
      </c>
      <c r="CR1059">
        <f t="shared" si="2198"/>
        <v>0</v>
      </c>
      <c r="CS1059">
        <f t="shared" si="2198"/>
        <v>0</v>
      </c>
      <c r="CT1059">
        <f t="shared" si="2198"/>
        <v>0</v>
      </c>
      <c r="CU1059">
        <f t="shared" si="2198"/>
        <v>0</v>
      </c>
      <c r="CV1059">
        <f t="shared" si="2198"/>
        <v>0</v>
      </c>
      <c r="CW1059">
        <f t="shared" si="2198"/>
        <v>1</v>
      </c>
      <c r="CX1059">
        <f t="shared" si="2198"/>
        <v>1</v>
      </c>
      <c r="CY1059">
        <f t="shared" ref="CY1059:ED1059" si="2199">IF($C1059&lt;&gt;"",IF(AJ1059&gt;0,1,0),0)</f>
        <v>1</v>
      </c>
      <c r="CZ1059">
        <f t="shared" si="2199"/>
        <v>0</v>
      </c>
      <c r="DA1059">
        <f t="shared" si="2199"/>
        <v>1</v>
      </c>
      <c r="DB1059">
        <f t="shared" si="2199"/>
        <v>1</v>
      </c>
      <c r="DC1059">
        <f t="shared" si="2199"/>
        <v>1</v>
      </c>
      <c r="DD1059">
        <f t="shared" si="2199"/>
        <v>1</v>
      </c>
      <c r="DE1059">
        <f t="shared" si="2199"/>
        <v>1</v>
      </c>
      <c r="DF1059">
        <f t="shared" si="2199"/>
        <v>1</v>
      </c>
      <c r="DG1059">
        <f t="shared" si="2199"/>
        <v>1</v>
      </c>
      <c r="DH1059">
        <f t="shared" si="2199"/>
        <v>1</v>
      </c>
      <c r="DI1059">
        <f t="shared" si="2199"/>
        <v>1</v>
      </c>
      <c r="DJ1059">
        <f t="shared" si="2199"/>
        <v>1</v>
      </c>
      <c r="DK1059">
        <f t="shared" si="2199"/>
        <v>1</v>
      </c>
      <c r="DL1059">
        <f t="shared" si="2199"/>
        <v>1</v>
      </c>
      <c r="DM1059">
        <f t="shared" si="2199"/>
        <v>1</v>
      </c>
      <c r="DN1059">
        <f t="shared" si="2199"/>
        <v>1</v>
      </c>
      <c r="DO1059">
        <f t="shared" si="2199"/>
        <v>1</v>
      </c>
      <c r="DP1059">
        <f t="shared" si="2199"/>
        <v>1</v>
      </c>
      <c r="DQ1059">
        <f t="shared" si="2199"/>
        <v>1</v>
      </c>
      <c r="DR1059">
        <f t="shared" si="2199"/>
        <v>1</v>
      </c>
      <c r="DS1059">
        <f t="shared" si="2199"/>
        <v>1</v>
      </c>
      <c r="DT1059">
        <f t="shared" si="2199"/>
        <v>0</v>
      </c>
      <c r="DU1059">
        <f t="shared" si="2199"/>
        <v>0</v>
      </c>
      <c r="DV1059">
        <f t="shared" si="2199"/>
        <v>0</v>
      </c>
      <c r="DW1059">
        <f t="shared" si="2199"/>
        <v>0</v>
      </c>
      <c r="DX1059">
        <f t="shared" si="2199"/>
        <v>0</v>
      </c>
      <c r="DY1059">
        <f t="shared" si="2199"/>
        <v>0</v>
      </c>
      <c r="DZ1059">
        <f t="shared" si="2199"/>
        <v>0</v>
      </c>
      <c r="EA1059">
        <f t="shared" si="2199"/>
        <v>0</v>
      </c>
      <c r="EB1059">
        <f t="shared" si="2199"/>
        <v>0</v>
      </c>
      <c r="EC1059">
        <f t="shared" si="2199"/>
        <v>0</v>
      </c>
      <c r="ED1059">
        <f t="shared" si="2199"/>
        <v>0</v>
      </c>
      <c r="EE1059">
        <f t="shared" ref="EE1059:EF1059" si="2200">IF($C1059&lt;&gt;"",IF(BP1059&gt;0,1,0),0)</f>
        <v>0</v>
      </c>
      <c r="EF1059">
        <f t="shared" si="2200"/>
        <v>0</v>
      </c>
    </row>
    <row r="1060" spans="1:136" ht="15.5">
      <c r="A1060" s="90"/>
      <c r="B1060" s="19" t="s">
        <v>202</v>
      </c>
      <c r="C1060" s="95"/>
      <c r="D1060" s="18"/>
      <c r="E1060" s="18"/>
      <c r="F1060" s="18"/>
      <c r="G1060" s="18"/>
      <c r="H1060" s="18"/>
      <c r="I1060" s="18"/>
      <c r="J1060" s="18"/>
      <c r="K1060" s="18"/>
      <c r="L1060" s="18"/>
      <c r="M1060" s="18"/>
      <c r="N1060" s="18"/>
      <c r="O1060" s="18"/>
      <c r="P1060" s="18"/>
      <c r="Q1060" s="18"/>
      <c r="R1060" s="18"/>
      <c r="S1060" s="18"/>
      <c r="T1060" s="18"/>
      <c r="U1060" s="18"/>
      <c r="V1060" s="18">
        <v>0</v>
      </c>
      <c r="W1060" s="18">
        <v>0</v>
      </c>
      <c r="X1060" s="18">
        <v>0</v>
      </c>
      <c r="Y1060" s="18">
        <v>0</v>
      </c>
      <c r="Z1060" s="18">
        <v>0</v>
      </c>
      <c r="AA1060" s="18">
        <v>0</v>
      </c>
      <c r="AB1060" s="18">
        <v>0</v>
      </c>
      <c r="AC1060" s="18">
        <v>0</v>
      </c>
      <c r="AD1060" s="18">
        <v>0</v>
      </c>
      <c r="AE1060" s="18">
        <v>0</v>
      </c>
      <c r="AF1060" s="18">
        <v>0</v>
      </c>
      <c r="AG1060" s="18">
        <v>0</v>
      </c>
      <c r="AH1060" s="18">
        <v>0</v>
      </c>
      <c r="AI1060" s="18">
        <v>0</v>
      </c>
      <c r="AJ1060" s="18">
        <v>0</v>
      </c>
      <c r="AK1060" s="18">
        <v>0</v>
      </c>
      <c r="AL1060" s="18">
        <v>0</v>
      </c>
      <c r="AM1060" s="18">
        <v>0</v>
      </c>
      <c r="AN1060" s="18">
        <v>0</v>
      </c>
      <c r="AO1060" s="18">
        <v>0</v>
      </c>
      <c r="AP1060" s="18">
        <v>0</v>
      </c>
      <c r="AQ1060" s="18">
        <v>0</v>
      </c>
      <c r="AR1060" s="18">
        <v>0</v>
      </c>
      <c r="AS1060" s="18">
        <v>0</v>
      </c>
      <c r="AT1060" s="18">
        <v>1</v>
      </c>
      <c r="AU1060" s="18">
        <v>0</v>
      </c>
      <c r="AV1060" s="18">
        <v>0</v>
      </c>
      <c r="AW1060" s="18">
        <v>0</v>
      </c>
      <c r="AX1060" s="18">
        <v>0</v>
      </c>
      <c r="AY1060" s="18">
        <v>0</v>
      </c>
      <c r="AZ1060" s="18">
        <v>0</v>
      </c>
      <c r="BA1060" s="18">
        <v>0</v>
      </c>
      <c r="BB1060" s="18">
        <v>0</v>
      </c>
      <c r="BC1060" s="18">
        <v>0</v>
      </c>
      <c r="BD1060" s="18">
        <v>0</v>
      </c>
      <c r="BE1060" s="25">
        <v>0</v>
      </c>
      <c r="BF1060" s="18">
        <v>0</v>
      </c>
      <c r="BG1060" s="18">
        <v>0</v>
      </c>
      <c r="BH1060" s="18">
        <v>0</v>
      </c>
      <c r="BI1060" s="18">
        <v>0</v>
      </c>
      <c r="BJ1060" s="113">
        <v>0</v>
      </c>
      <c r="BK1060" s="113">
        <v>0</v>
      </c>
      <c r="BL1060" s="113">
        <v>0</v>
      </c>
      <c r="BM1060" s="113">
        <v>0</v>
      </c>
      <c r="BN1060" s="113">
        <v>0</v>
      </c>
      <c r="BO1060" s="113">
        <v>0</v>
      </c>
      <c r="BP1060" s="113">
        <v>0</v>
      </c>
      <c r="BQ1060" s="113">
        <v>0</v>
      </c>
      <c r="BR1060" s="101"/>
      <c r="BS1060">
        <f t="shared" ref="BS1060:CB1064" si="2201">IF($C1060&lt;&gt;"",IF(D1060&gt;0,1,0),0)</f>
        <v>0</v>
      </c>
      <c r="BT1060">
        <f t="shared" si="2201"/>
        <v>0</v>
      </c>
      <c r="BU1060">
        <f t="shared" si="2201"/>
        <v>0</v>
      </c>
      <c r="BV1060">
        <f t="shared" si="2201"/>
        <v>0</v>
      </c>
      <c r="BW1060">
        <f t="shared" si="2201"/>
        <v>0</v>
      </c>
      <c r="BX1060">
        <f t="shared" si="2201"/>
        <v>0</v>
      </c>
      <c r="BY1060">
        <f t="shared" si="2201"/>
        <v>0</v>
      </c>
      <c r="BZ1060">
        <f t="shared" si="2201"/>
        <v>0</v>
      </c>
      <c r="CA1060">
        <f t="shared" si="2201"/>
        <v>0</v>
      </c>
      <c r="CB1060">
        <f t="shared" si="2201"/>
        <v>0</v>
      </c>
      <c r="CC1060">
        <f t="shared" ref="CC1060:CL1064" si="2202">IF($C1060&lt;&gt;"",IF(N1060&gt;0,1,0),0)</f>
        <v>0</v>
      </c>
      <c r="CD1060">
        <f t="shared" si="2202"/>
        <v>0</v>
      </c>
      <c r="CE1060">
        <f t="shared" si="2202"/>
        <v>0</v>
      </c>
      <c r="CF1060">
        <f t="shared" si="2202"/>
        <v>0</v>
      </c>
      <c r="CG1060">
        <f t="shared" si="2202"/>
        <v>0</v>
      </c>
      <c r="CH1060">
        <f t="shared" si="2202"/>
        <v>0</v>
      </c>
      <c r="CI1060">
        <f t="shared" si="2202"/>
        <v>0</v>
      </c>
      <c r="CJ1060">
        <f t="shared" si="2202"/>
        <v>0</v>
      </c>
      <c r="CK1060">
        <f t="shared" si="2202"/>
        <v>0</v>
      </c>
      <c r="CL1060">
        <f t="shared" si="2202"/>
        <v>0</v>
      </c>
      <c r="CM1060">
        <f t="shared" ref="CM1060:CV1064" si="2203">IF($C1060&lt;&gt;"",IF(X1060&gt;0,1,0),0)</f>
        <v>0</v>
      </c>
      <c r="CN1060">
        <f t="shared" si="2203"/>
        <v>0</v>
      </c>
      <c r="CO1060">
        <f t="shared" si="2203"/>
        <v>0</v>
      </c>
      <c r="CP1060">
        <f t="shared" si="2203"/>
        <v>0</v>
      </c>
      <c r="CQ1060">
        <f t="shared" si="2203"/>
        <v>0</v>
      </c>
      <c r="CR1060">
        <f t="shared" si="2203"/>
        <v>0</v>
      </c>
      <c r="CS1060">
        <f t="shared" si="2203"/>
        <v>0</v>
      </c>
      <c r="CT1060">
        <f t="shared" si="2203"/>
        <v>0</v>
      </c>
      <c r="CU1060">
        <f t="shared" si="2203"/>
        <v>0</v>
      </c>
      <c r="CV1060">
        <f t="shared" si="2203"/>
        <v>0</v>
      </c>
      <c r="CW1060">
        <f t="shared" ref="CW1060:DF1064" si="2204">IF($C1060&lt;&gt;"",IF(AH1060&gt;0,1,0),0)</f>
        <v>0</v>
      </c>
      <c r="CX1060">
        <f t="shared" si="2204"/>
        <v>0</v>
      </c>
      <c r="CY1060">
        <f t="shared" si="2204"/>
        <v>0</v>
      </c>
      <c r="CZ1060">
        <f t="shared" si="2204"/>
        <v>0</v>
      </c>
      <c r="DA1060">
        <f t="shared" si="2204"/>
        <v>0</v>
      </c>
      <c r="DB1060">
        <f t="shared" si="2204"/>
        <v>0</v>
      </c>
      <c r="DC1060">
        <f t="shared" si="2204"/>
        <v>0</v>
      </c>
      <c r="DD1060">
        <f t="shared" si="2204"/>
        <v>0</v>
      </c>
      <c r="DE1060">
        <f t="shared" si="2204"/>
        <v>0</v>
      </c>
      <c r="DF1060">
        <f t="shared" si="2204"/>
        <v>0</v>
      </c>
      <c r="DG1060">
        <f t="shared" ref="DG1060:DP1064" si="2205">IF($C1060&lt;&gt;"",IF(AR1060&gt;0,1,0),0)</f>
        <v>0</v>
      </c>
      <c r="DH1060">
        <f t="shared" si="2205"/>
        <v>0</v>
      </c>
      <c r="DI1060">
        <f t="shared" si="2205"/>
        <v>0</v>
      </c>
      <c r="DJ1060">
        <f t="shared" si="2205"/>
        <v>0</v>
      </c>
      <c r="DK1060">
        <f t="shared" si="2205"/>
        <v>0</v>
      </c>
      <c r="DL1060">
        <f t="shared" si="2205"/>
        <v>0</v>
      </c>
      <c r="DM1060">
        <f t="shared" si="2205"/>
        <v>0</v>
      </c>
      <c r="DN1060">
        <f t="shared" si="2205"/>
        <v>0</v>
      </c>
      <c r="DO1060">
        <f t="shared" si="2205"/>
        <v>0</v>
      </c>
      <c r="DP1060">
        <f t="shared" si="2205"/>
        <v>0</v>
      </c>
      <c r="DQ1060">
        <f t="shared" ref="DQ1060:DZ1064" si="2206">IF($C1060&lt;&gt;"",IF(BB1060&gt;0,1,0),0)</f>
        <v>0</v>
      </c>
      <c r="DR1060">
        <f t="shared" si="2206"/>
        <v>0</v>
      </c>
      <c r="DS1060">
        <f t="shared" si="2206"/>
        <v>0</v>
      </c>
      <c r="DT1060">
        <f t="shared" si="2206"/>
        <v>0</v>
      </c>
      <c r="DU1060">
        <f t="shared" si="2206"/>
        <v>0</v>
      </c>
      <c r="DV1060">
        <f t="shared" si="2206"/>
        <v>0</v>
      </c>
      <c r="DW1060">
        <f t="shared" si="2206"/>
        <v>0</v>
      </c>
      <c r="DX1060">
        <f t="shared" si="2206"/>
        <v>0</v>
      </c>
      <c r="DY1060">
        <f t="shared" si="2206"/>
        <v>0</v>
      </c>
      <c r="DZ1060">
        <f t="shared" si="2206"/>
        <v>0</v>
      </c>
      <c r="EA1060">
        <f t="shared" ref="EA1060:EF1063" si="2207">IF($C1060&lt;&gt;"",IF(BL1059&gt;0,1,0),0)</f>
        <v>0</v>
      </c>
      <c r="EB1060">
        <f t="shared" si="2207"/>
        <v>0</v>
      </c>
      <c r="EC1060">
        <f t="shared" si="2207"/>
        <v>0</v>
      </c>
      <c r="ED1060">
        <f t="shared" si="2207"/>
        <v>0</v>
      </c>
      <c r="EE1060">
        <f t="shared" si="2207"/>
        <v>0</v>
      </c>
      <c r="EF1060">
        <f t="shared" si="2207"/>
        <v>0</v>
      </c>
    </row>
    <row r="1061" spans="1:136" ht="15.5">
      <c r="A1061" s="90"/>
      <c r="B1061" s="19" t="s">
        <v>3</v>
      </c>
      <c r="C1061" s="94"/>
      <c r="D1061" s="18"/>
      <c r="E1061" s="18"/>
      <c r="F1061" s="18"/>
      <c r="G1061" s="18"/>
      <c r="H1061" s="18"/>
      <c r="I1061" s="18"/>
      <c r="J1061" s="18"/>
      <c r="K1061" s="18"/>
      <c r="L1061" s="18"/>
      <c r="M1061" s="18"/>
      <c r="N1061" s="18"/>
      <c r="O1061" s="18"/>
      <c r="P1061" s="18"/>
      <c r="Q1061" s="18"/>
      <c r="R1061" s="18"/>
      <c r="S1061" s="18"/>
      <c r="T1061" s="18"/>
      <c r="U1061" s="18"/>
      <c r="V1061" s="18">
        <v>0</v>
      </c>
      <c r="W1061" s="18">
        <v>0</v>
      </c>
      <c r="X1061" s="18">
        <v>0</v>
      </c>
      <c r="Y1061" s="18">
        <v>0</v>
      </c>
      <c r="Z1061" s="18">
        <v>0</v>
      </c>
      <c r="AA1061" s="18">
        <v>0</v>
      </c>
      <c r="AB1061" s="18">
        <v>0</v>
      </c>
      <c r="AC1061" s="18">
        <v>0</v>
      </c>
      <c r="AD1061" s="18">
        <v>0</v>
      </c>
      <c r="AE1061" s="18">
        <v>0</v>
      </c>
      <c r="AF1061" s="18">
        <v>0</v>
      </c>
      <c r="AG1061" s="18">
        <v>0</v>
      </c>
      <c r="AH1061" s="18">
        <v>0.31</v>
      </c>
      <c r="AI1061" s="18">
        <v>0.02</v>
      </c>
      <c r="AJ1061" s="18">
        <v>8.5499999999999989</v>
      </c>
      <c r="AK1061" s="18">
        <v>0</v>
      </c>
      <c r="AL1061" s="18">
        <v>0</v>
      </c>
      <c r="AM1061" s="18">
        <v>8.23</v>
      </c>
      <c r="AN1061" s="18">
        <v>2.6100000000000003</v>
      </c>
      <c r="AO1061" s="18">
        <v>5.58</v>
      </c>
      <c r="AP1061" s="18">
        <v>4.12</v>
      </c>
      <c r="AQ1061" s="18">
        <v>4.34</v>
      </c>
      <c r="AR1061" s="18">
        <v>9.1705564000000006</v>
      </c>
      <c r="AS1061" s="18">
        <v>2.9497580000000001</v>
      </c>
      <c r="AT1061" s="18">
        <v>5.1315035</v>
      </c>
      <c r="AU1061" s="18">
        <v>7.3388935999999996</v>
      </c>
      <c r="AV1061" s="18">
        <v>7.1996639</v>
      </c>
      <c r="AW1061" s="18">
        <v>9.881029299999998</v>
      </c>
      <c r="AX1061" s="18">
        <v>11.5147979</v>
      </c>
      <c r="AY1061" s="18">
        <v>15.156216700000002</v>
      </c>
      <c r="AZ1061" s="18">
        <v>3.1558438</v>
      </c>
      <c r="BA1061" s="18">
        <v>3.1830145000000001</v>
      </c>
      <c r="BB1061" s="18">
        <v>0.79993409999999998</v>
      </c>
      <c r="BC1061" s="18">
        <v>1.5954763000000001</v>
      </c>
      <c r="BD1061" s="18">
        <v>1E-3</v>
      </c>
      <c r="BE1061" s="25">
        <v>0</v>
      </c>
      <c r="BF1061" s="18">
        <v>0</v>
      </c>
      <c r="BG1061" s="18">
        <v>0</v>
      </c>
      <c r="BH1061" s="18">
        <v>0</v>
      </c>
      <c r="BI1061" s="18">
        <v>0</v>
      </c>
      <c r="BJ1061" s="113">
        <v>0</v>
      </c>
      <c r="BK1061" s="113">
        <v>0</v>
      </c>
      <c r="BL1061" s="113">
        <v>0</v>
      </c>
      <c r="BM1061" s="113">
        <v>0</v>
      </c>
      <c r="BN1061" s="113">
        <v>0</v>
      </c>
      <c r="BO1061" s="113">
        <v>0</v>
      </c>
      <c r="BP1061" s="113">
        <v>0</v>
      </c>
      <c r="BQ1061" s="113">
        <v>0</v>
      </c>
      <c r="BR1061" s="101"/>
      <c r="BS1061">
        <f t="shared" si="2201"/>
        <v>0</v>
      </c>
      <c r="BT1061">
        <f t="shared" si="2201"/>
        <v>0</v>
      </c>
      <c r="BU1061">
        <f t="shared" si="2201"/>
        <v>0</v>
      </c>
      <c r="BV1061">
        <f t="shared" si="2201"/>
        <v>0</v>
      </c>
      <c r="BW1061">
        <f t="shared" si="2201"/>
        <v>0</v>
      </c>
      <c r="BX1061">
        <f t="shared" si="2201"/>
        <v>0</v>
      </c>
      <c r="BY1061">
        <f t="shared" si="2201"/>
        <v>0</v>
      </c>
      <c r="BZ1061">
        <f t="shared" si="2201"/>
        <v>0</v>
      </c>
      <c r="CA1061">
        <f t="shared" si="2201"/>
        <v>0</v>
      </c>
      <c r="CB1061">
        <f t="shared" si="2201"/>
        <v>0</v>
      </c>
      <c r="CC1061">
        <f t="shared" si="2202"/>
        <v>0</v>
      </c>
      <c r="CD1061">
        <f t="shared" si="2202"/>
        <v>0</v>
      </c>
      <c r="CE1061">
        <f t="shared" si="2202"/>
        <v>0</v>
      </c>
      <c r="CF1061">
        <f t="shared" si="2202"/>
        <v>0</v>
      </c>
      <c r="CG1061">
        <f t="shared" si="2202"/>
        <v>0</v>
      </c>
      <c r="CH1061">
        <f t="shared" si="2202"/>
        <v>0</v>
      </c>
      <c r="CI1061">
        <f t="shared" si="2202"/>
        <v>0</v>
      </c>
      <c r="CJ1061">
        <f t="shared" si="2202"/>
        <v>0</v>
      </c>
      <c r="CK1061">
        <f t="shared" si="2202"/>
        <v>0</v>
      </c>
      <c r="CL1061">
        <f t="shared" si="2202"/>
        <v>0</v>
      </c>
      <c r="CM1061">
        <f t="shared" si="2203"/>
        <v>0</v>
      </c>
      <c r="CN1061">
        <f t="shared" si="2203"/>
        <v>0</v>
      </c>
      <c r="CO1061">
        <f t="shared" si="2203"/>
        <v>0</v>
      </c>
      <c r="CP1061">
        <f t="shared" si="2203"/>
        <v>0</v>
      </c>
      <c r="CQ1061">
        <f t="shared" si="2203"/>
        <v>0</v>
      </c>
      <c r="CR1061">
        <f t="shared" si="2203"/>
        <v>0</v>
      </c>
      <c r="CS1061">
        <f t="shared" si="2203"/>
        <v>0</v>
      </c>
      <c r="CT1061">
        <f t="shared" si="2203"/>
        <v>0</v>
      </c>
      <c r="CU1061">
        <f t="shared" si="2203"/>
        <v>0</v>
      </c>
      <c r="CV1061">
        <f t="shared" si="2203"/>
        <v>0</v>
      </c>
      <c r="CW1061">
        <f t="shared" si="2204"/>
        <v>0</v>
      </c>
      <c r="CX1061">
        <f t="shared" si="2204"/>
        <v>0</v>
      </c>
      <c r="CY1061">
        <f t="shared" si="2204"/>
        <v>0</v>
      </c>
      <c r="CZ1061">
        <f t="shared" si="2204"/>
        <v>0</v>
      </c>
      <c r="DA1061">
        <f t="shared" si="2204"/>
        <v>0</v>
      </c>
      <c r="DB1061">
        <f t="shared" si="2204"/>
        <v>0</v>
      </c>
      <c r="DC1061">
        <f t="shared" si="2204"/>
        <v>0</v>
      </c>
      <c r="DD1061">
        <f t="shared" si="2204"/>
        <v>0</v>
      </c>
      <c r="DE1061">
        <f t="shared" si="2204"/>
        <v>0</v>
      </c>
      <c r="DF1061">
        <f t="shared" si="2204"/>
        <v>0</v>
      </c>
      <c r="DG1061">
        <f t="shared" si="2205"/>
        <v>0</v>
      </c>
      <c r="DH1061">
        <f t="shared" si="2205"/>
        <v>0</v>
      </c>
      <c r="DI1061">
        <f t="shared" si="2205"/>
        <v>0</v>
      </c>
      <c r="DJ1061">
        <f t="shared" si="2205"/>
        <v>0</v>
      </c>
      <c r="DK1061">
        <f t="shared" si="2205"/>
        <v>0</v>
      </c>
      <c r="DL1061">
        <f t="shared" si="2205"/>
        <v>0</v>
      </c>
      <c r="DM1061">
        <f t="shared" si="2205"/>
        <v>0</v>
      </c>
      <c r="DN1061">
        <f t="shared" si="2205"/>
        <v>0</v>
      </c>
      <c r="DO1061">
        <f t="shared" si="2205"/>
        <v>0</v>
      </c>
      <c r="DP1061">
        <f t="shared" si="2205"/>
        <v>0</v>
      </c>
      <c r="DQ1061">
        <f t="shared" si="2206"/>
        <v>0</v>
      </c>
      <c r="DR1061">
        <f t="shared" si="2206"/>
        <v>0</v>
      </c>
      <c r="DS1061">
        <f t="shared" si="2206"/>
        <v>0</v>
      </c>
      <c r="DT1061">
        <f t="shared" si="2206"/>
        <v>0</v>
      </c>
      <c r="DU1061">
        <f t="shared" si="2206"/>
        <v>0</v>
      </c>
      <c r="DV1061">
        <f t="shared" si="2206"/>
        <v>0</v>
      </c>
      <c r="DW1061">
        <f t="shared" si="2206"/>
        <v>0</v>
      </c>
      <c r="DX1061">
        <f t="shared" si="2206"/>
        <v>0</v>
      </c>
      <c r="DY1061">
        <f t="shared" si="2206"/>
        <v>0</v>
      </c>
      <c r="DZ1061">
        <f t="shared" si="2206"/>
        <v>0</v>
      </c>
      <c r="EA1061">
        <f t="shared" si="2207"/>
        <v>0</v>
      </c>
      <c r="EB1061">
        <f t="shared" si="2207"/>
        <v>0</v>
      </c>
      <c r="EC1061">
        <f t="shared" si="2207"/>
        <v>0</v>
      </c>
      <c r="ED1061">
        <f t="shared" si="2207"/>
        <v>0</v>
      </c>
      <c r="EE1061">
        <f t="shared" si="2207"/>
        <v>0</v>
      </c>
      <c r="EF1061">
        <f t="shared" si="2207"/>
        <v>0</v>
      </c>
    </row>
    <row r="1062" spans="1:136" ht="15.5">
      <c r="A1062" s="90"/>
      <c r="B1062" s="19" t="s">
        <v>208</v>
      </c>
      <c r="C1062" s="94"/>
      <c r="D1062" s="18"/>
      <c r="E1062" s="18"/>
      <c r="F1062" s="18"/>
      <c r="G1062" s="18"/>
      <c r="H1062" s="18"/>
      <c r="I1062" s="18"/>
      <c r="J1062" s="18"/>
      <c r="K1062" s="18"/>
      <c r="L1062" s="18"/>
      <c r="M1062" s="18"/>
      <c r="N1062" s="18"/>
      <c r="O1062" s="18"/>
      <c r="P1062" s="18"/>
      <c r="Q1062" s="18"/>
      <c r="R1062" s="18"/>
      <c r="S1062" s="18"/>
      <c r="T1062" s="18"/>
      <c r="U1062" s="18"/>
      <c r="V1062" s="34">
        <v>0</v>
      </c>
      <c r="W1062" s="34">
        <v>0</v>
      </c>
      <c r="X1062" s="34">
        <v>0</v>
      </c>
      <c r="Y1062" s="34">
        <v>0</v>
      </c>
      <c r="Z1062" s="34">
        <v>0</v>
      </c>
      <c r="AA1062" s="34">
        <v>0</v>
      </c>
      <c r="AB1062" s="34">
        <v>0</v>
      </c>
      <c r="AC1062" s="34">
        <v>0</v>
      </c>
      <c r="AD1062" s="34">
        <v>0</v>
      </c>
      <c r="AE1062" s="34">
        <v>0</v>
      </c>
      <c r="AF1062" s="34">
        <v>0</v>
      </c>
      <c r="AG1062" s="34">
        <v>0</v>
      </c>
      <c r="AH1062" s="34">
        <v>0</v>
      </c>
      <c r="AI1062" s="34">
        <v>0</v>
      </c>
      <c r="AJ1062" s="34">
        <v>0.32699999999999996</v>
      </c>
      <c r="AK1062" s="34">
        <v>0</v>
      </c>
      <c r="AL1062" s="34">
        <v>1.1830000000000001</v>
      </c>
      <c r="AM1062" s="34">
        <v>17.864000000000001</v>
      </c>
      <c r="AN1062" s="34">
        <v>0.40100000000000002</v>
      </c>
      <c r="AO1062" s="34">
        <v>1.506</v>
      </c>
      <c r="AP1062" s="34">
        <v>1.7370000000000001</v>
      </c>
      <c r="AQ1062" s="34">
        <v>1.7370000000000001</v>
      </c>
      <c r="AR1062" s="34">
        <v>3.7</v>
      </c>
      <c r="AS1062" s="34">
        <v>4.266</v>
      </c>
      <c r="AT1062" s="34">
        <v>4.798</v>
      </c>
      <c r="AU1062" s="34">
        <v>8.4269999999999996</v>
      </c>
      <c r="AV1062" s="34">
        <v>12.704852199999999</v>
      </c>
      <c r="AW1062" s="34">
        <v>15.468898900000001</v>
      </c>
      <c r="AX1062" s="34">
        <v>15.72</v>
      </c>
      <c r="AY1062" s="34">
        <v>6.024</v>
      </c>
      <c r="AZ1062" s="34">
        <v>9.2543381</v>
      </c>
      <c r="BA1062" s="34">
        <v>7.2777514000000005</v>
      </c>
      <c r="BB1062" s="34">
        <v>12.3063333</v>
      </c>
      <c r="BC1062" s="34">
        <v>23.709</v>
      </c>
      <c r="BD1062" s="34">
        <v>0</v>
      </c>
      <c r="BE1062" s="42">
        <v>0</v>
      </c>
      <c r="BF1062" s="34">
        <v>0</v>
      </c>
      <c r="BG1062" s="18">
        <v>0</v>
      </c>
      <c r="BH1062" s="18">
        <v>0</v>
      </c>
      <c r="BI1062" s="18">
        <v>0</v>
      </c>
      <c r="BJ1062" s="113">
        <v>0</v>
      </c>
      <c r="BK1062" s="113">
        <v>0</v>
      </c>
      <c r="BL1062" s="113">
        <v>0</v>
      </c>
      <c r="BM1062" s="113">
        <v>0</v>
      </c>
      <c r="BN1062" s="113">
        <v>0</v>
      </c>
      <c r="BO1062" s="113">
        <v>0</v>
      </c>
      <c r="BP1062" s="113">
        <v>0</v>
      </c>
      <c r="BQ1062" s="113">
        <v>0</v>
      </c>
      <c r="BR1062" s="101"/>
      <c r="BS1062">
        <f t="shared" si="2201"/>
        <v>0</v>
      </c>
      <c r="BT1062">
        <f t="shared" si="2201"/>
        <v>0</v>
      </c>
      <c r="BU1062">
        <f t="shared" si="2201"/>
        <v>0</v>
      </c>
      <c r="BV1062">
        <f t="shared" si="2201"/>
        <v>0</v>
      </c>
      <c r="BW1062">
        <f t="shared" si="2201"/>
        <v>0</v>
      </c>
      <c r="BX1062">
        <f t="shared" si="2201"/>
        <v>0</v>
      </c>
      <c r="BY1062">
        <f t="shared" si="2201"/>
        <v>0</v>
      </c>
      <c r="BZ1062">
        <f t="shared" si="2201"/>
        <v>0</v>
      </c>
      <c r="CA1062">
        <f t="shared" si="2201"/>
        <v>0</v>
      </c>
      <c r="CB1062">
        <f t="shared" si="2201"/>
        <v>0</v>
      </c>
      <c r="CC1062">
        <f t="shared" si="2202"/>
        <v>0</v>
      </c>
      <c r="CD1062">
        <f t="shared" si="2202"/>
        <v>0</v>
      </c>
      <c r="CE1062">
        <f t="shared" si="2202"/>
        <v>0</v>
      </c>
      <c r="CF1062">
        <f t="shared" si="2202"/>
        <v>0</v>
      </c>
      <c r="CG1062">
        <f t="shared" si="2202"/>
        <v>0</v>
      </c>
      <c r="CH1062">
        <f t="shared" si="2202"/>
        <v>0</v>
      </c>
      <c r="CI1062">
        <f t="shared" si="2202"/>
        <v>0</v>
      </c>
      <c r="CJ1062">
        <f t="shared" si="2202"/>
        <v>0</v>
      </c>
      <c r="CK1062">
        <f t="shared" si="2202"/>
        <v>0</v>
      </c>
      <c r="CL1062">
        <f t="shared" si="2202"/>
        <v>0</v>
      </c>
      <c r="CM1062">
        <f t="shared" si="2203"/>
        <v>0</v>
      </c>
      <c r="CN1062">
        <f t="shared" si="2203"/>
        <v>0</v>
      </c>
      <c r="CO1062">
        <f t="shared" si="2203"/>
        <v>0</v>
      </c>
      <c r="CP1062">
        <f t="shared" si="2203"/>
        <v>0</v>
      </c>
      <c r="CQ1062">
        <f t="shared" si="2203"/>
        <v>0</v>
      </c>
      <c r="CR1062">
        <f t="shared" si="2203"/>
        <v>0</v>
      </c>
      <c r="CS1062">
        <f t="shared" si="2203"/>
        <v>0</v>
      </c>
      <c r="CT1062">
        <f t="shared" si="2203"/>
        <v>0</v>
      </c>
      <c r="CU1062">
        <f t="shared" si="2203"/>
        <v>0</v>
      </c>
      <c r="CV1062">
        <f t="shared" si="2203"/>
        <v>0</v>
      </c>
      <c r="CW1062">
        <f t="shared" si="2204"/>
        <v>0</v>
      </c>
      <c r="CX1062">
        <f t="shared" si="2204"/>
        <v>0</v>
      </c>
      <c r="CY1062">
        <f t="shared" si="2204"/>
        <v>0</v>
      </c>
      <c r="CZ1062">
        <f t="shared" si="2204"/>
        <v>0</v>
      </c>
      <c r="DA1062">
        <f t="shared" si="2204"/>
        <v>0</v>
      </c>
      <c r="DB1062">
        <f t="shared" si="2204"/>
        <v>0</v>
      </c>
      <c r="DC1062">
        <f t="shared" si="2204"/>
        <v>0</v>
      </c>
      <c r="DD1062">
        <f t="shared" si="2204"/>
        <v>0</v>
      </c>
      <c r="DE1062">
        <f t="shared" si="2204"/>
        <v>0</v>
      </c>
      <c r="DF1062">
        <f t="shared" si="2204"/>
        <v>0</v>
      </c>
      <c r="DG1062">
        <f t="shared" si="2205"/>
        <v>0</v>
      </c>
      <c r="DH1062">
        <f t="shared" si="2205"/>
        <v>0</v>
      </c>
      <c r="DI1062">
        <f t="shared" si="2205"/>
        <v>0</v>
      </c>
      <c r="DJ1062">
        <f t="shared" si="2205"/>
        <v>0</v>
      </c>
      <c r="DK1062">
        <f t="shared" si="2205"/>
        <v>0</v>
      </c>
      <c r="DL1062">
        <f t="shared" si="2205"/>
        <v>0</v>
      </c>
      <c r="DM1062">
        <f t="shared" si="2205"/>
        <v>0</v>
      </c>
      <c r="DN1062">
        <f t="shared" si="2205"/>
        <v>0</v>
      </c>
      <c r="DO1062">
        <f t="shared" si="2205"/>
        <v>0</v>
      </c>
      <c r="DP1062">
        <f t="shared" si="2205"/>
        <v>0</v>
      </c>
      <c r="DQ1062">
        <f t="shared" si="2206"/>
        <v>0</v>
      </c>
      <c r="DR1062">
        <f t="shared" si="2206"/>
        <v>0</v>
      </c>
      <c r="DS1062">
        <f t="shared" si="2206"/>
        <v>0</v>
      </c>
      <c r="DT1062">
        <f t="shared" si="2206"/>
        <v>0</v>
      </c>
      <c r="DU1062">
        <f t="shared" si="2206"/>
        <v>0</v>
      </c>
      <c r="DV1062">
        <f t="shared" si="2206"/>
        <v>0</v>
      </c>
      <c r="DW1062">
        <f t="shared" si="2206"/>
        <v>0</v>
      </c>
      <c r="DX1062">
        <f t="shared" si="2206"/>
        <v>0</v>
      </c>
      <c r="DY1062">
        <f t="shared" si="2206"/>
        <v>0</v>
      </c>
      <c r="DZ1062">
        <f t="shared" si="2206"/>
        <v>0</v>
      </c>
      <c r="EA1062">
        <f t="shared" si="2207"/>
        <v>0</v>
      </c>
      <c r="EB1062">
        <f t="shared" si="2207"/>
        <v>0</v>
      </c>
      <c r="EC1062">
        <f t="shared" si="2207"/>
        <v>0</v>
      </c>
      <c r="ED1062">
        <f t="shared" si="2207"/>
        <v>0</v>
      </c>
      <c r="EE1062">
        <f t="shared" si="2207"/>
        <v>0</v>
      </c>
      <c r="EF1062">
        <f t="shared" si="2207"/>
        <v>0</v>
      </c>
    </row>
    <row r="1063" spans="1:136" ht="15.5">
      <c r="A1063" s="90"/>
      <c r="B1063" s="53" t="s">
        <v>21</v>
      </c>
      <c r="C1063" s="94"/>
      <c r="D1063" s="18"/>
      <c r="E1063" s="18"/>
      <c r="F1063" s="18"/>
      <c r="G1063" s="18"/>
      <c r="H1063" s="18"/>
      <c r="I1063" s="18"/>
      <c r="J1063" s="18"/>
      <c r="K1063" s="18"/>
      <c r="L1063" s="18"/>
      <c r="M1063" s="18"/>
      <c r="N1063" s="18"/>
      <c r="O1063" s="18"/>
      <c r="P1063" s="18"/>
      <c r="Q1063" s="18"/>
      <c r="R1063" s="18"/>
      <c r="S1063" s="18"/>
      <c r="T1063" s="18"/>
      <c r="U1063" s="18"/>
      <c r="V1063" s="18">
        <v>0</v>
      </c>
      <c r="W1063" s="18">
        <v>0</v>
      </c>
      <c r="X1063" s="18">
        <v>0</v>
      </c>
      <c r="Y1063" s="18">
        <v>0</v>
      </c>
      <c r="Z1063" s="18">
        <v>0</v>
      </c>
      <c r="AA1063" s="18">
        <v>0</v>
      </c>
      <c r="AB1063" s="18">
        <v>0</v>
      </c>
      <c r="AC1063" s="18">
        <v>0</v>
      </c>
      <c r="AD1063" s="18">
        <v>0</v>
      </c>
      <c r="AE1063" s="18">
        <v>0</v>
      </c>
      <c r="AF1063" s="18">
        <v>0</v>
      </c>
      <c r="AG1063" s="18">
        <v>0</v>
      </c>
      <c r="AH1063" s="18">
        <v>0</v>
      </c>
      <c r="AI1063" s="18">
        <v>0.21505376344086019</v>
      </c>
      <c r="AJ1063" s="18">
        <v>0.93548387096774188</v>
      </c>
      <c r="AK1063" s="18">
        <v>0</v>
      </c>
      <c r="AL1063" s="18">
        <v>0</v>
      </c>
      <c r="AM1063" s="18">
        <v>50</v>
      </c>
      <c r="AN1063" s="18">
        <v>68</v>
      </c>
      <c r="AO1063" s="18">
        <v>74</v>
      </c>
      <c r="AP1063" s="18">
        <v>69</v>
      </c>
      <c r="AQ1063" s="18">
        <v>65</v>
      </c>
      <c r="AR1063" s="18">
        <v>66</v>
      </c>
      <c r="AS1063" s="18">
        <v>79</v>
      </c>
      <c r="AT1063" s="18">
        <v>88</v>
      </c>
      <c r="AU1063" s="18">
        <v>98</v>
      </c>
      <c r="AV1063" s="18">
        <v>69</v>
      </c>
      <c r="AW1063" s="18">
        <v>68</v>
      </c>
      <c r="AX1063" s="18">
        <v>68</v>
      </c>
      <c r="AY1063" s="18">
        <v>0</v>
      </c>
      <c r="AZ1063" s="18">
        <v>0</v>
      </c>
      <c r="BA1063" s="18">
        <v>0</v>
      </c>
      <c r="BB1063" s="18">
        <v>0</v>
      </c>
      <c r="BC1063" s="18">
        <v>0</v>
      </c>
      <c r="BD1063" s="25">
        <v>0</v>
      </c>
      <c r="BE1063" s="25">
        <v>0</v>
      </c>
      <c r="BF1063" s="25">
        <v>0</v>
      </c>
      <c r="BG1063" s="25">
        <v>0</v>
      </c>
      <c r="BH1063" s="25">
        <v>0</v>
      </c>
      <c r="BI1063" s="25">
        <v>0</v>
      </c>
      <c r="BJ1063" s="113">
        <v>0</v>
      </c>
      <c r="BK1063" s="113">
        <v>0</v>
      </c>
      <c r="BL1063" s="113">
        <v>0</v>
      </c>
      <c r="BM1063" s="113">
        <v>0</v>
      </c>
      <c r="BN1063" s="113">
        <v>0</v>
      </c>
      <c r="BO1063" s="113">
        <v>0</v>
      </c>
      <c r="BP1063" s="113">
        <v>0</v>
      </c>
      <c r="BQ1063" s="113">
        <v>0</v>
      </c>
      <c r="BR1063" s="101"/>
      <c r="BS1063">
        <f t="shared" si="2201"/>
        <v>0</v>
      </c>
      <c r="BT1063">
        <f t="shared" si="2201"/>
        <v>0</v>
      </c>
      <c r="BU1063">
        <f t="shared" si="2201"/>
        <v>0</v>
      </c>
      <c r="BV1063">
        <f t="shared" si="2201"/>
        <v>0</v>
      </c>
      <c r="BW1063">
        <f t="shared" si="2201"/>
        <v>0</v>
      </c>
      <c r="BX1063">
        <f t="shared" si="2201"/>
        <v>0</v>
      </c>
      <c r="BY1063">
        <f t="shared" si="2201"/>
        <v>0</v>
      </c>
      <c r="BZ1063">
        <f t="shared" si="2201"/>
        <v>0</v>
      </c>
      <c r="CA1063">
        <f t="shared" si="2201"/>
        <v>0</v>
      </c>
      <c r="CB1063">
        <f t="shared" si="2201"/>
        <v>0</v>
      </c>
      <c r="CC1063">
        <f t="shared" si="2202"/>
        <v>0</v>
      </c>
      <c r="CD1063">
        <f t="shared" si="2202"/>
        <v>0</v>
      </c>
      <c r="CE1063">
        <f t="shared" si="2202"/>
        <v>0</v>
      </c>
      <c r="CF1063">
        <f t="shared" si="2202"/>
        <v>0</v>
      </c>
      <c r="CG1063">
        <f t="shared" si="2202"/>
        <v>0</v>
      </c>
      <c r="CH1063">
        <f t="shared" si="2202"/>
        <v>0</v>
      </c>
      <c r="CI1063">
        <f t="shared" si="2202"/>
        <v>0</v>
      </c>
      <c r="CJ1063">
        <f t="shared" si="2202"/>
        <v>0</v>
      </c>
      <c r="CK1063">
        <f t="shared" si="2202"/>
        <v>0</v>
      </c>
      <c r="CL1063">
        <f t="shared" si="2202"/>
        <v>0</v>
      </c>
      <c r="CM1063">
        <f t="shared" si="2203"/>
        <v>0</v>
      </c>
      <c r="CN1063">
        <f t="shared" si="2203"/>
        <v>0</v>
      </c>
      <c r="CO1063">
        <f t="shared" si="2203"/>
        <v>0</v>
      </c>
      <c r="CP1063">
        <f t="shared" si="2203"/>
        <v>0</v>
      </c>
      <c r="CQ1063">
        <f t="shared" si="2203"/>
        <v>0</v>
      </c>
      <c r="CR1063">
        <f t="shared" si="2203"/>
        <v>0</v>
      </c>
      <c r="CS1063">
        <f t="shared" si="2203"/>
        <v>0</v>
      </c>
      <c r="CT1063">
        <f t="shared" si="2203"/>
        <v>0</v>
      </c>
      <c r="CU1063">
        <f t="shared" si="2203"/>
        <v>0</v>
      </c>
      <c r="CV1063">
        <f t="shared" si="2203"/>
        <v>0</v>
      </c>
      <c r="CW1063">
        <f t="shared" si="2204"/>
        <v>0</v>
      </c>
      <c r="CX1063">
        <f t="shared" si="2204"/>
        <v>0</v>
      </c>
      <c r="CY1063">
        <f t="shared" si="2204"/>
        <v>0</v>
      </c>
      <c r="CZ1063">
        <f t="shared" si="2204"/>
        <v>0</v>
      </c>
      <c r="DA1063">
        <f t="shared" si="2204"/>
        <v>0</v>
      </c>
      <c r="DB1063">
        <f t="shared" si="2204"/>
        <v>0</v>
      </c>
      <c r="DC1063">
        <f t="shared" si="2204"/>
        <v>0</v>
      </c>
      <c r="DD1063">
        <f t="shared" si="2204"/>
        <v>0</v>
      </c>
      <c r="DE1063">
        <f t="shared" si="2204"/>
        <v>0</v>
      </c>
      <c r="DF1063">
        <f t="shared" si="2204"/>
        <v>0</v>
      </c>
      <c r="DG1063">
        <f t="shared" si="2205"/>
        <v>0</v>
      </c>
      <c r="DH1063">
        <f t="shared" si="2205"/>
        <v>0</v>
      </c>
      <c r="DI1063">
        <f t="shared" si="2205"/>
        <v>0</v>
      </c>
      <c r="DJ1063">
        <f t="shared" si="2205"/>
        <v>0</v>
      </c>
      <c r="DK1063">
        <f t="shared" si="2205"/>
        <v>0</v>
      </c>
      <c r="DL1063">
        <f t="shared" si="2205"/>
        <v>0</v>
      </c>
      <c r="DM1063">
        <f t="shared" si="2205"/>
        <v>0</v>
      </c>
      <c r="DN1063">
        <f t="shared" si="2205"/>
        <v>0</v>
      </c>
      <c r="DO1063">
        <f t="shared" si="2205"/>
        <v>0</v>
      </c>
      <c r="DP1063">
        <f t="shared" si="2205"/>
        <v>0</v>
      </c>
      <c r="DQ1063">
        <f t="shared" si="2206"/>
        <v>0</v>
      </c>
      <c r="DR1063">
        <f t="shared" si="2206"/>
        <v>0</v>
      </c>
      <c r="DS1063">
        <f t="shared" si="2206"/>
        <v>0</v>
      </c>
      <c r="DT1063">
        <f t="shared" si="2206"/>
        <v>0</v>
      </c>
      <c r="DU1063">
        <f t="shared" si="2206"/>
        <v>0</v>
      </c>
      <c r="DV1063">
        <f t="shared" si="2206"/>
        <v>0</v>
      </c>
      <c r="DW1063">
        <f t="shared" si="2206"/>
        <v>0</v>
      </c>
      <c r="DX1063">
        <f t="shared" si="2206"/>
        <v>0</v>
      </c>
      <c r="DY1063">
        <f t="shared" si="2206"/>
        <v>0</v>
      </c>
      <c r="DZ1063">
        <f t="shared" si="2206"/>
        <v>0</v>
      </c>
      <c r="EA1063">
        <f t="shared" si="2207"/>
        <v>0</v>
      </c>
      <c r="EB1063">
        <f t="shared" si="2207"/>
        <v>0</v>
      </c>
      <c r="EC1063">
        <f t="shared" si="2207"/>
        <v>0</v>
      </c>
      <c r="ED1063">
        <f t="shared" si="2207"/>
        <v>0</v>
      </c>
      <c r="EE1063">
        <f t="shared" si="2207"/>
        <v>0</v>
      </c>
      <c r="EF1063">
        <f t="shared" si="2207"/>
        <v>0</v>
      </c>
    </row>
    <row r="1064" spans="1:136" ht="15.5">
      <c r="A1064" s="90"/>
      <c r="B1064" s="19" t="s">
        <v>212</v>
      </c>
      <c r="C1064" s="94"/>
      <c r="D1064" s="18"/>
      <c r="E1064" s="18"/>
      <c r="F1064" s="18"/>
      <c r="G1064" s="18"/>
      <c r="H1064" s="18"/>
      <c r="I1064" s="18"/>
      <c r="J1064" s="18"/>
      <c r="K1064" s="18"/>
      <c r="L1064" s="18"/>
      <c r="M1064" s="18"/>
      <c r="N1064" s="18"/>
      <c r="O1064" s="18"/>
      <c r="P1064" s="18"/>
      <c r="Q1064" s="18"/>
      <c r="R1064" s="18"/>
      <c r="S1064" s="18"/>
      <c r="T1064" s="18"/>
      <c r="U1064" s="18"/>
      <c r="V1064" s="18"/>
      <c r="W1064" s="18"/>
      <c r="X1064" s="18"/>
      <c r="Y1064" s="18"/>
      <c r="Z1064" s="18"/>
      <c r="AA1064" s="18"/>
      <c r="AB1064" s="18"/>
      <c r="AC1064" s="18"/>
      <c r="AD1064" s="18"/>
      <c r="AE1064" s="18"/>
      <c r="AF1064" s="18"/>
      <c r="AG1064" s="18"/>
      <c r="AH1064" s="18">
        <v>0</v>
      </c>
      <c r="AI1064" s="18">
        <v>0.21505376344086019</v>
      </c>
      <c r="AJ1064" s="18">
        <v>0.93548387096774188</v>
      </c>
      <c r="AK1064" s="18">
        <f>5/3.25</f>
        <v>1.5384615384615385</v>
      </c>
      <c r="AL1064" s="18">
        <v>0</v>
      </c>
      <c r="AM1064" s="18">
        <v>5.45</v>
      </c>
      <c r="AN1064" s="18">
        <v>0</v>
      </c>
      <c r="AO1064" s="18">
        <v>0</v>
      </c>
      <c r="AP1064" s="147">
        <v>3.6</v>
      </c>
      <c r="AQ1064" s="147">
        <v>3.1</v>
      </c>
      <c r="AR1064" s="18">
        <f>0.047*420</f>
        <v>19.739999999999998</v>
      </c>
      <c r="AS1064" s="18">
        <f>410*0.085</f>
        <v>34.85</v>
      </c>
      <c r="AT1064" s="18">
        <f>346*0.115</f>
        <v>39.79</v>
      </c>
      <c r="AU1064" s="18">
        <f>353*0.144</f>
        <v>50.831999999999994</v>
      </c>
      <c r="AV1064" s="18">
        <f>0.081*398</f>
        <v>32.238</v>
      </c>
      <c r="AW1064" s="18">
        <v>11</v>
      </c>
      <c r="AX1064" s="18">
        <v>9.85</v>
      </c>
      <c r="AY1064" s="18">
        <v>0</v>
      </c>
      <c r="AZ1064" s="18">
        <v>0</v>
      </c>
      <c r="BA1064" s="18">
        <v>0</v>
      </c>
      <c r="BB1064" s="18">
        <v>0</v>
      </c>
      <c r="BC1064" s="18">
        <v>0</v>
      </c>
      <c r="BD1064" s="25">
        <v>0</v>
      </c>
      <c r="BE1064" s="25">
        <v>0</v>
      </c>
      <c r="BF1064" s="25">
        <v>0</v>
      </c>
      <c r="BG1064" s="25">
        <v>0</v>
      </c>
      <c r="BH1064" s="25">
        <v>0</v>
      </c>
      <c r="BI1064" s="25">
        <v>18</v>
      </c>
      <c r="BJ1064" s="113">
        <v>0</v>
      </c>
      <c r="BK1064" s="113">
        <v>0</v>
      </c>
      <c r="BL1064" s="113">
        <f>100/7.87</f>
        <v>12.706480304955527</v>
      </c>
      <c r="BM1064" s="113">
        <f>96/8.09</f>
        <v>11.866501854140916</v>
      </c>
      <c r="BN1064" s="113">
        <f>71/8.1</f>
        <v>8.7654320987654319</v>
      </c>
      <c r="BO1064" s="168">
        <v>0</v>
      </c>
      <c r="BP1064" s="168">
        <v>0</v>
      </c>
      <c r="BQ1064" s="168">
        <v>0</v>
      </c>
      <c r="BR1064" s="101"/>
      <c r="BS1064">
        <f t="shared" si="2201"/>
        <v>0</v>
      </c>
      <c r="BT1064">
        <f t="shared" si="2201"/>
        <v>0</v>
      </c>
      <c r="BU1064">
        <f t="shared" si="2201"/>
        <v>0</v>
      </c>
      <c r="BV1064">
        <f t="shared" si="2201"/>
        <v>0</v>
      </c>
      <c r="BW1064">
        <f t="shared" si="2201"/>
        <v>0</v>
      </c>
      <c r="BX1064">
        <f t="shared" si="2201"/>
        <v>0</v>
      </c>
      <c r="BY1064">
        <f t="shared" si="2201"/>
        <v>0</v>
      </c>
      <c r="BZ1064">
        <f t="shared" si="2201"/>
        <v>0</v>
      </c>
      <c r="CA1064">
        <f t="shared" si="2201"/>
        <v>0</v>
      </c>
      <c r="CB1064">
        <f t="shared" si="2201"/>
        <v>0</v>
      </c>
      <c r="CC1064">
        <f t="shared" si="2202"/>
        <v>0</v>
      </c>
      <c r="CD1064">
        <f t="shared" si="2202"/>
        <v>0</v>
      </c>
      <c r="CE1064">
        <f t="shared" si="2202"/>
        <v>0</v>
      </c>
      <c r="CF1064">
        <f t="shared" si="2202"/>
        <v>0</v>
      </c>
      <c r="CG1064">
        <f t="shared" si="2202"/>
        <v>0</v>
      </c>
      <c r="CH1064">
        <f t="shared" si="2202"/>
        <v>0</v>
      </c>
      <c r="CI1064">
        <f t="shared" si="2202"/>
        <v>0</v>
      </c>
      <c r="CJ1064">
        <f t="shared" si="2202"/>
        <v>0</v>
      </c>
      <c r="CK1064">
        <f t="shared" si="2202"/>
        <v>0</v>
      </c>
      <c r="CL1064">
        <f t="shared" si="2202"/>
        <v>0</v>
      </c>
      <c r="CM1064">
        <f t="shared" si="2203"/>
        <v>0</v>
      </c>
      <c r="CN1064">
        <f t="shared" si="2203"/>
        <v>0</v>
      </c>
      <c r="CO1064">
        <f t="shared" si="2203"/>
        <v>0</v>
      </c>
      <c r="CP1064">
        <f t="shared" si="2203"/>
        <v>0</v>
      </c>
      <c r="CQ1064">
        <f t="shared" si="2203"/>
        <v>0</v>
      </c>
      <c r="CR1064">
        <f t="shared" si="2203"/>
        <v>0</v>
      </c>
      <c r="CS1064">
        <f t="shared" si="2203"/>
        <v>0</v>
      </c>
      <c r="CT1064">
        <f t="shared" si="2203"/>
        <v>0</v>
      </c>
      <c r="CU1064">
        <f t="shared" si="2203"/>
        <v>0</v>
      </c>
      <c r="CV1064">
        <f t="shared" si="2203"/>
        <v>0</v>
      </c>
      <c r="CW1064">
        <f t="shared" si="2204"/>
        <v>0</v>
      </c>
      <c r="CX1064">
        <f t="shared" si="2204"/>
        <v>0</v>
      </c>
      <c r="CY1064">
        <f t="shared" si="2204"/>
        <v>0</v>
      </c>
      <c r="CZ1064">
        <f t="shared" si="2204"/>
        <v>0</v>
      </c>
      <c r="DA1064">
        <f t="shared" si="2204"/>
        <v>0</v>
      </c>
      <c r="DB1064">
        <f t="shared" si="2204"/>
        <v>0</v>
      </c>
      <c r="DC1064">
        <f t="shared" si="2204"/>
        <v>0</v>
      </c>
      <c r="DD1064">
        <f t="shared" si="2204"/>
        <v>0</v>
      </c>
      <c r="DE1064">
        <f t="shared" si="2204"/>
        <v>0</v>
      </c>
      <c r="DF1064">
        <f t="shared" si="2204"/>
        <v>0</v>
      </c>
      <c r="DG1064">
        <f t="shared" si="2205"/>
        <v>0</v>
      </c>
      <c r="DH1064">
        <f t="shared" si="2205"/>
        <v>0</v>
      </c>
      <c r="DI1064">
        <f t="shared" si="2205"/>
        <v>0</v>
      </c>
      <c r="DJ1064">
        <f t="shared" si="2205"/>
        <v>0</v>
      </c>
      <c r="DK1064">
        <f t="shared" si="2205"/>
        <v>0</v>
      </c>
      <c r="DL1064">
        <f t="shared" si="2205"/>
        <v>0</v>
      </c>
      <c r="DM1064">
        <f t="shared" si="2205"/>
        <v>0</v>
      </c>
      <c r="DN1064">
        <f t="shared" si="2205"/>
        <v>0</v>
      </c>
      <c r="DO1064">
        <f t="shared" si="2205"/>
        <v>0</v>
      </c>
      <c r="DP1064">
        <f t="shared" si="2205"/>
        <v>0</v>
      </c>
      <c r="DQ1064">
        <f t="shared" si="2206"/>
        <v>0</v>
      </c>
      <c r="DR1064">
        <f t="shared" si="2206"/>
        <v>0</v>
      </c>
      <c r="DS1064">
        <f t="shared" si="2206"/>
        <v>0</v>
      </c>
      <c r="DT1064">
        <f t="shared" si="2206"/>
        <v>0</v>
      </c>
      <c r="DU1064">
        <f t="shared" si="2206"/>
        <v>0</v>
      </c>
      <c r="DV1064">
        <f t="shared" si="2206"/>
        <v>0</v>
      </c>
      <c r="DW1064">
        <f t="shared" si="2206"/>
        <v>0</v>
      </c>
      <c r="DX1064">
        <f t="shared" si="2206"/>
        <v>0</v>
      </c>
      <c r="DY1064">
        <f t="shared" si="2206"/>
        <v>0</v>
      </c>
      <c r="DZ1064">
        <f t="shared" si="2206"/>
        <v>0</v>
      </c>
      <c r="EA1064">
        <f t="shared" ref="EA1064:EF1064" si="2208">IF($C1064&lt;&gt;"",IF(BL1064&gt;0,1,0),0)</f>
        <v>0</v>
      </c>
      <c r="EB1064">
        <f t="shared" si="2208"/>
        <v>0</v>
      </c>
      <c r="EC1064">
        <f t="shared" si="2208"/>
        <v>0</v>
      </c>
      <c r="ED1064">
        <f t="shared" si="2208"/>
        <v>0</v>
      </c>
      <c r="EE1064">
        <f t="shared" si="2208"/>
        <v>0</v>
      </c>
      <c r="EF1064">
        <f t="shared" si="2208"/>
        <v>0</v>
      </c>
    </row>
    <row r="1065" spans="1:136" ht="15.5">
      <c r="A1065" s="90"/>
      <c r="B1065" s="37"/>
      <c r="C1065" s="94"/>
      <c r="D1065" s="18"/>
      <c r="E1065" s="18"/>
      <c r="F1065" s="18"/>
      <c r="G1065" s="18"/>
      <c r="H1065" s="18"/>
      <c r="I1065" s="18"/>
      <c r="J1065" s="18"/>
      <c r="K1065" s="18"/>
      <c r="L1065" s="18"/>
      <c r="M1065" s="18"/>
      <c r="N1065" s="18"/>
      <c r="O1065" s="18"/>
      <c r="P1065" s="18"/>
      <c r="Q1065" s="18"/>
      <c r="R1065" s="18"/>
      <c r="S1065" s="18"/>
      <c r="T1065" s="18"/>
      <c r="U1065" s="18"/>
      <c r="V1065" s="18"/>
      <c r="W1065" s="18"/>
      <c r="X1065" s="18"/>
      <c r="Y1065" s="18"/>
      <c r="Z1065" s="18"/>
      <c r="AA1065" s="18"/>
      <c r="AB1065" s="18"/>
      <c r="AC1065" s="18"/>
      <c r="AD1065" s="18"/>
      <c r="AE1065" s="18"/>
      <c r="AF1065" s="18"/>
      <c r="AG1065" s="18"/>
      <c r="AH1065" s="18"/>
      <c r="AI1065" s="18"/>
      <c r="AJ1065" s="18"/>
      <c r="AK1065" s="18"/>
      <c r="AL1065" s="18"/>
      <c r="AM1065" s="18"/>
      <c r="AN1065" s="18"/>
      <c r="AO1065" s="18"/>
      <c r="AP1065" s="18"/>
      <c r="AQ1065" s="18"/>
      <c r="AR1065" s="18"/>
      <c r="AS1065" s="18"/>
      <c r="AT1065" s="18"/>
      <c r="AU1065" s="18"/>
      <c r="AV1065" s="18"/>
      <c r="AW1065" s="18"/>
      <c r="AX1065" s="18"/>
      <c r="AY1065" s="18"/>
      <c r="AZ1065" s="18"/>
      <c r="BA1065" s="18"/>
      <c r="BB1065" s="18"/>
      <c r="BC1065" s="18"/>
      <c r="BD1065" s="18"/>
      <c r="BE1065" s="25"/>
      <c r="BF1065" s="25"/>
      <c r="BG1065" s="18"/>
      <c r="BH1065" s="2"/>
      <c r="BI1065" s="2"/>
      <c r="BJ1065" s="2"/>
      <c r="BK1065" s="2"/>
      <c r="BL1065" s="22"/>
      <c r="BM1065" s="2"/>
      <c r="BN1065" s="2"/>
      <c r="BO1065" s="2"/>
      <c r="BP1065" s="2"/>
      <c r="BQ1065" s="2"/>
      <c r="BR1065" s="101"/>
    </row>
    <row r="1066" spans="1:136" ht="15.5">
      <c r="A1066" s="93">
        <v>135</v>
      </c>
      <c r="B1066" s="32" t="s">
        <v>133</v>
      </c>
      <c r="C1066" s="94">
        <v>4</v>
      </c>
      <c r="D1066" s="22">
        <f t="shared" ref="D1066:AI1066" si="2209">SUM(D1067:D1072)</f>
        <v>0</v>
      </c>
      <c r="E1066" s="22">
        <f t="shared" si="2209"/>
        <v>0</v>
      </c>
      <c r="F1066" s="22">
        <f t="shared" si="2209"/>
        <v>0</v>
      </c>
      <c r="G1066" s="22">
        <f t="shared" si="2209"/>
        <v>0</v>
      </c>
      <c r="H1066" s="22">
        <f t="shared" si="2209"/>
        <v>0</v>
      </c>
      <c r="I1066" s="22">
        <f t="shared" si="2209"/>
        <v>0</v>
      </c>
      <c r="J1066" s="22">
        <f t="shared" si="2209"/>
        <v>0</v>
      </c>
      <c r="K1066" s="22">
        <f t="shared" si="2209"/>
        <v>0</v>
      </c>
      <c r="L1066" s="22">
        <f t="shared" si="2209"/>
        <v>0</v>
      </c>
      <c r="M1066" s="22">
        <f t="shared" si="2209"/>
        <v>0</v>
      </c>
      <c r="N1066" s="22">
        <f t="shared" si="2209"/>
        <v>0</v>
      </c>
      <c r="O1066" s="22">
        <f t="shared" si="2209"/>
        <v>0</v>
      </c>
      <c r="P1066" s="22">
        <f t="shared" si="2209"/>
        <v>0</v>
      </c>
      <c r="Q1066" s="22">
        <f t="shared" si="2209"/>
        <v>0</v>
      </c>
      <c r="R1066" s="22">
        <f t="shared" si="2209"/>
        <v>0.56000000000000005</v>
      </c>
      <c r="S1066" s="22">
        <f t="shared" si="2209"/>
        <v>1.4970000000000001</v>
      </c>
      <c r="T1066" s="22">
        <f t="shared" si="2209"/>
        <v>3.5899779999999999</v>
      </c>
      <c r="U1066" s="22">
        <f t="shared" si="2209"/>
        <v>7.4720764000000006</v>
      </c>
      <c r="V1066" s="22">
        <f t="shared" si="2209"/>
        <v>11.356563</v>
      </c>
      <c r="W1066" s="22">
        <f t="shared" si="2209"/>
        <v>17.919188200000001</v>
      </c>
      <c r="X1066" s="22">
        <f t="shared" si="2209"/>
        <v>20.179819200000001</v>
      </c>
      <c r="Y1066" s="22">
        <f t="shared" si="2209"/>
        <v>49.685722700000007</v>
      </c>
      <c r="Z1066" s="22">
        <f t="shared" si="2209"/>
        <v>88.154058399999997</v>
      </c>
      <c r="AA1066" s="22">
        <f t="shared" si="2209"/>
        <v>157.92673780000001</v>
      </c>
      <c r="AB1066" s="22">
        <f t="shared" si="2209"/>
        <v>257.10056729999997</v>
      </c>
      <c r="AC1066" s="22">
        <f t="shared" si="2209"/>
        <v>343.8540948524855</v>
      </c>
      <c r="AD1066" s="22">
        <f t="shared" si="2209"/>
        <v>381.08689922576997</v>
      </c>
      <c r="AE1066" s="22">
        <f t="shared" si="2209"/>
        <v>436.42428659344046</v>
      </c>
      <c r="AF1066" s="22">
        <f t="shared" si="2209"/>
        <v>576.03200940088652</v>
      </c>
      <c r="AG1066" s="22">
        <f t="shared" si="2209"/>
        <v>577.08073526366184</v>
      </c>
      <c r="AH1066" s="22">
        <f t="shared" si="2209"/>
        <v>1142.3518007422942</v>
      </c>
      <c r="AI1066" s="22">
        <f t="shared" si="2209"/>
        <v>1330.1145904852906</v>
      </c>
      <c r="AJ1066" s="22">
        <f t="shared" ref="AJ1066:BP1066" si="2210">SUM(AJ1067:AJ1072)</f>
        <v>1453.8240250742954</v>
      </c>
      <c r="AK1066" s="22">
        <f t="shared" si="2210"/>
        <v>1613.1254268499915</v>
      </c>
      <c r="AL1066" s="22">
        <f t="shared" si="2210"/>
        <v>1820.645483900943</v>
      </c>
      <c r="AM1066" s="22">
        <f t="shared" si="2210"/>
        <v>1977.7746662412683</v>
      </c>
      <c r="AN1066" s="22">
        <f t="shared" si="2210"/>
        <v>2037.3919299140575</v>
      </c>
      <c r="AO1066" s="22">
        <f t="shared" si="2210"/>
        <v>2052.4057832991161</v>
      </c>
      <c r="AP1066" s="22">
        <f t="shared" si="2210"/>
        <v>2172.7153788645342</v>
      </c>
      <c r="AQ1066" s="22">
        <f t="shared" si="2210"/>
        <v>2199.7530612348655</v>
      </c>
      <c r="AR1066" s="22">
        <f t="shared" si="2210"/>
        <v>4366.2000899694394</v>
      </c>
      <c r="AS1066" s="22">
        <f t="shared" si="2210"/>
        <v>4369.2201980426617</v>
      </c>
      <c r="AT1066" s="22">
        <f t="shared" si="2210"/>
        <v>4419.4300866619351</v>
      </c>
      <c r="AU1066" s="22">
        <f t="shared" si="2210"/>
        <v>4476.3505008530801</v>
      </c>
      <c r="AV1066" s="22">
        <f t="shared" si="2210"/>
        <v>4517.5870133865383</v>
      </c>
      <c r="AW1066" s="22">
        <f t="shared" si="2210"/>
        <v>4492.7684167617981</v>
      </c>
      <c r="AX1066" s="22">
        <f t="shared" si="2210"/>
        <v>2840.6733437749049</v>
      </c>
      <c r="AY1066" s="22">
        <f t="shared" si="2210"/>
        <v>2965.7255577005108</v>
      </c>
      <c r="AZ1066" s="22">
        <f t="shared" si="2210"/>
        <v>3059.7852717527567</v>
      </c>
      <c r="BA1066" s="22">
        <f t="shared" si="2210"/>
        <v>3137.5852463708216</v>
      </c>
      <c r="BB1066" s="22">
        <f t="shared" si="2210"/>
        <v>3164.1670054122783</v>
      </c>
      <c r="BC1066" s="22">
        <f t="shared" si="2210"/>
        <v>3210.6816571939885</v>
      </c>
      <c r="BD1066" s="22">
        <f t="shared" si="2210"/>
        <v>3252.0552937751354</v>
      </c>
      <c r="BE1066" s="22">
        <f t="shared" si="2210"/>
        <v>3292.6733141233417</v>
      </c>
      <c r="BF1066" s="22">
        <f t="shared" si="2210"/>
        <v>3341.5435807514632</v>
      </c>
      <c r="BG1066" s="22">
        <f t="shared" si="2210"/>
        <v>3286.7154504468044</v>
      </c>
      <c r="BH1066" s="22">
        <f t="shared" si="2210"/>
        <v>3337.9946413890257</v>
      </c>
      <c r="BI1066" s="22">
        <f t="shared" si="2210"/>
        <v>3545.7641281962251</v>
      </c>
      <c r="BJ1066" s="22">
        <f t="shared" si="2210"/>
        <v>4669.2044731000005</v>
      </c>
      <c r="BK1066" s="22">
        <f t="shared" si="2210"/>
        <v>6148.34</v>
      </c>
      <c r="BL1066" s="22">
        <f t="shared" si="2210"/>
        <v>5259</v>
      </c>
      <c r="BM1066" s="22">
        <f t="shared" si="2210"/>
        <v>2827</v>
      </c>
      <c r="BN1066" s="22">
        <f t="shared" si="2210"/>
        <v>2044</v>
      </c>
      <c r="BO1066" s="22">
        <f t="shared" si="2210"/>
        <v>563</v>
      </c>
      <c r="BP1066" s="22">
        <f t="shared" si="2210"/>
        <v>2484</v>
      </c>
      <c r="BQ1066" s="22">
        <f t="shared" ref="BQ1066" si="2211">SUM(BQ1067:BQ1072)</f>
        <v>2486</v>
      </c>
      <c r="BR1066" s="101"/>
      <c r="BS1066">
        <f t="shared" ref="BS1066:CX1066" si="2212">IF($C1066&lt;&gt;"",IF(D1066&gt;0,1,0),0)</f>
        <v>0</v>
      </c>
      <c r="BT1066">
        <f t="shared" si="2212"/>
        <v>0</v>
      </c>
      <c r="BU1066">
        <f t="shared" si="2212"/>
        <v>0</v>
      </c>
      <c r="BV1066">
        <f t="shared" si="2212"/>
        <v>0</v>
      </c>
      <c r="BW1066">
        <f t="shared" si="2212"/>
        <v>0</v>
      </c>
      <c r="BX1066">
        <f t="shared" si="2212"/>
        <v>0</v>
      </c>
      <c r="BY1066">
        <f t="shared" si="2212"/>
        <v>0</v>
      </c>
      <c r="BZ1066">
        <f t="shared" si="2212"/>
        <v>0</v>
      </c>
      <c r="CA1066">
        <f t="shared" si="2212"/>
        <v>0</v>
      </c>
      <c r="CB1066">
        <f t="shared" si="2212"/>
        <v>0</v>
      </c>
      <c r="CC1066">
        <f t="shared" si="2212"/>
        <v>0</v>
      </c>
      <c r="CD1066">
        <f t="shared" si="2212"/>
        <v>0</v>
      </c>
      <c r="CE1066">
        <f t="shared" si="2212"/>
        <v>0</v>
      </c>
      <c r="CF1066">
        <f t="shared" si="2212"/>
        <v>0</v>
      </c>
      <c r="CG1066">
        <f t="shared" si="2212"/>
        <v>1</v>
      </c>
      <c r="CH1066">
        <f t="shared" si="2212"/>
        <v>1</v>
      </c>
      <c r="CI1066">
        <f t="shared" si="2212"/>
        <v>1</v>
      </c>
      <c r="CJ1066">
        <f t="shared" si="2212"/>
        <v>1</v>
      </c>
      <c r="CK1066">
        <f t="shared" si="2212"/>
        <v>1</v>
      </c>
      <c r="CL1066">
        <f t="shared" si="2212"/>
        <v>1</v>
      </c>
      <c r="CM1066">
        <f t="shared" si="2212"/>
        <v>1</v>
      </c>
      <c r="CN1066">
        <f t="shared" si="2212"/>
        <v>1</v>
      </c>
      <c r="CO1066">
        <f t="shared" si="2212"/>
        <v>1</v>
      </c>
      <c r="CP1066">
        <f t="shared" si="2212"/>
        <v>1</v>
      </c>
      <c r="CQ1066">
        <f t="shared" si="2212"/>
        <v>1</v>
      </c>
      <c r="CR1066">
        <f t="shared" si="2212"/>
        <v>1</v>
      </c>
      <c r="CS1066">
        <f t="shared" si="2212"/>
        <v>1</v>
      </c>
      <c r="CT1066">
        <f t="shared" si="2212"/>
        <v>1</v>
      </c>
      <c r="CU1066">
        <f t="shared" si="2212"/>
        <v>1</v>
      </c>
      <c r="CV1066">
        <f t="shared" si="2212"/>
        <v>1</v>
      </c>
      <c r="CW1066">
        <f t="shared" si="2212"/>
        <v>1</v>
      </c>
      <c r="CX1066">
        <f t="shared" si="2212"/>
        <v>1</v>
      </c>
      <c r="CY1066">
        <f t="shared" ref="CY1066:ED1066" si="2213">IF($C1066&lt;&gt;"",IF(AJ1066&gt;0,1,0),0)</f>
        <v>1</v>
      </c>
      <c r="CZ1066">
        <f t="shared" si="2213"/>
        <v>1</v>
      </c>
      <c r="DA1066">
        <f t="shared" si="2213"/>
        <v>1</v>
      </c>
      <c r="DB1066">
        <f t="shared" si="2213"/>
        <v>1</v>
      </c>
      <c r="DC1066">
        <f t="shared" si="2213"/>
        <v>1</v>
      </c>
      <c r="DD1066">
        <f t="shared" si="2213"/>
        <v>1</v>
      </c>
      <c r="DE1066">
        <f t="shared" si="2213"/>
        <v>1</v>
      </c>
      <c r="DF1066">
        <f t="shared" si="2213"/>
        <v>1</v>
      </c>
      <c r="DG1066">
        <f t="shared" si="2213"/>
        <v>1</v>
      </c>
      <c r="DH1066">
        <f t="shared" si="2213"/>
        <v>1</v>
      </c>
      <c r="DI1066">
        <f t="shared" si="2213"/>
        <v>1</v>
      </c>
      <c r="DJ1066">
        <f t="shared" si="2213"/>
        <v>1</v>
      </c>
      <c r="DK1066">
        <f t="shared" si="2213"/>
        <v>1</v>
      </c>
      <c r="DL1066">
        <f t="shared" si="2213"/>
        <v>1</v>
      </c>
      <c r="DM1066">
        <f t="shared" si="2213"/>
        <v>1</v>
      </c>
      <c r="DN1066">
        <f t="shared" si="2213"/>
        <v>1</v>
      </c>
      <c r="DO1066">
        <f t="shared" si="2213"/>
        <v>1</v>
      </c>
      <c r="DP1066">
        <f t="shared" si="2213"/>
        <v>1</v>
      </c>
      <c r="DQ1066">
        <f t="shared" si="2213"/>
        <v>1</v>
      </c>
      <c r="DR1066">
        <f t="shared" si="2213"/>
        <v>1</v>
      </c>
      <c r="DS1066">
        <f t="shared" si="2213"/>
        <v>1</v>
      </c>
      <c r="DT1066">
        <f t="shared" si="2213"/>
        <v>1</v>
      </c>
      <c r="DU1066">
        <f t="shared" si="2213"/>
        <v>1</v>
      </c>
      <c r="DV1066">
        <f t="shared" si="2213"/>
        <v>1</v>
      </c>
      <c r="DW1066">
        <f t="shared" si="2213"/>
        <v>1</v>
      </c>
      <c r="DX1066">
        <f t="shared" si="2213"/>
        <v>1</v>
      </c>
      <c r="DY1066">
        <f t="shared" si="2213"/>
        <v>1</v>
      </c>
      <c r="DZ1066">
        <f t="shared" si="2213"/>
        <v>1</v>
      </c>
      <c r="EA1066">
        <f t="shared" si="2213"/>
        <v>1</v>
      </c>
      <c r="EB1066">
        <f t="shared" si="2213"/>
        <v>1</v>
      </c>
      <c r="EC1066">
        <f t="shared" si="2213"/>
        <v>1</v>
      </c>
      <c r="ED1066">
        <f t="shared" si="2213"/>
        <v>1</v>
      </c>
      <c r="EE1066">
        <f t="shared" ref="EE1066:EF1066" si="2214">IF($C1066&lt;&gt;"",IF(BP1066&gt;0,1,0),0)</f>
        <v>1</v>
      </c>
      <c r="EF1066">
        <f t="shared" si="2214"/>
        <v>1</v>
      </c>
    </row>
    <row r="1067" spans="1:136" ht="15.5">
      <c r="A1067" s="90"/>
      <c r="B1067" s="24" t="s">
        <v>15</v>
      </c>
      <c r="C1067" s="94"/>
      <c r="D1067" s="18">
        <v>0</v>
      </c>
      <c r="E1067" s="18">
        <v>0</v>
      </c>
      <c r="F1067" s="18">
        <v>0</v>
      </c>
      <c r="G1067" s="18">
        <v>0</v>
      </c>
      <c r="H1067" s="18">
        <v>0</v>
      </c>
      <c r="I1067" s="18">
        <v>0</v>
      </c>
      <c r="J1067" s="18">
        <v>0</v>
      </c>
      <c r="K1067" s="18">
        <v>0</v>
      </c>
      <c r="L1067" s="18">
        <v>0</v>
      </c>
      <c r="M1067" s="18">
        <v>0</v>
      </c>
      <c r="N1067" s="18">
        <v>0</v>
      </c>
      <c r="O1067" s="18">
        <v>0</v>
      </c>
      <c r="P1067" s="18">
        <v>0</v>
      </c>
      <c r="Q1067" s="18">
        <v>0</v>
      </c>
      <c r="R1067" s="18">
        <v>0</v>
      </c>
      <c r="S1067" s="18">
        <v>0</v>
      </c>
      <c r="T1067" s="18">
        <v>0</v>
      </c>
      <c r="U1067" s="18">
        <v>0</v>
      </c>
      <c r="V1067" s="18">
        <v>0</v>
      </c>
      <c r="W1067" s="18">
        <v>0</v>
      </c>
      <c r="X1067" s="18">
        <v>0</v>
      </c>
      <c r="Y1067" s="18">
        <v>0</v>
      </c>
      <c r="Z1067" s="18">
        <v>0</v>
      </c>
      <c r="AA1067" s="18">
        <v>0</v>
      </c>
      <c r="AB1067" s="18">
        <v>6</v>
      </c>
      <c r="AC1067" s="18">
        <v>167.34618035248545</v>
      </c>
      <c r="AD1067" s="18">
        <v>186.66166872576997</v>
      </c>
      <c r="AE1067" s="18">
        <v>227.42428659344043</v>
      </c>
      <c r="AF1067" s="18">
        <v>231.4943562008865</v>
      </c>
      <c r="AG1067" s="18">
        <v>232.54308206366187</v>
      </c>
      <c r="AH1067" s="18">
        <v>270.48380424229418</v>
      </c>
      <c r="AI1067" s="18">
        <v>295.7915511852907</v>
      </c>
      <c r="AJ1067" s="18">
        <v>305.60464857429537</v>
      </c>
      <c r="AK1067" s="18">
        <v>324.04754724999157</v>
      </c>
      <c r="AL1067" s="18">
        <v>362.43844640094278</v>
      </c>
      <c r="AM1067" s="18">
        <v>387.46625884126831</v>
      </c>
      <c r="AN1067" s="18">
        <v>391.91891761405748</v>
      </c>
      <c r="AO1067" s="18">
        <v>384.42233419911639</v>
      </c>
      <c r="AP1067" s="18">
        <v>419.08679156453411</v>
      </c>
      <c r="AQ1067" s="18">
        <v>425.90196593486559</v>
      </c>
      <c r="AR1067" s="18">
        <v>425.60561686943907</v>
      </c>
      <c r="AS1067" s="18">
        <v>427.62572494266118</v>
      </c>
      <c r="AT1067" s="18">
        <v>475.83561356193542</v>
      </c>
      <c r="AU1067" s="18">
        <v>531.75602775308005</v>
      </c>
      <c r="AV1067" s="18">
        <v>570.9925402865382</v>
      </c>
      <c r="AW1067" s="18">
        <v>545.17394366179803</v>
      </c>
      <c r="AX1067" s="18">
        <v>602.67334377490477</v>
      </c>
      <c r="AY1067" s="18">
        <v>666.72555770051088</v>
      </c>
      <c r="AZ1067" s="18">
        <v>673.78527175275678</v>
      </c>
      <c r="BA1067" s="18">
        <v>695.58524637082166</v>
      </c>
      <c r="BB1067" s="34">
        <v>692.16700541227817</v>
      </c>
      <c r="BC1067" s="34">
        <v>699.68165719398849</v>
      </c>
      <c r="BD1067" s="34">
        <v>708.0552937751354</v>
      </c>
      <c r="BE1067" s="25">
        <v>716.67331412334181</v>
      </c>
      <c r="BF1067" s="18">
        <v>681.54358075146297</v>
      </c>
      <c r="BG1067" s="18">
        <v>658.71545044680443</v>
      </c>
      <c r="BH1067" s="113">
        <v>645.99464138902567</v>
      </c>
      <c r="BI1067" s="113">
        <v>694.76412819622522</v>
      </c>
      <c r="BJ1067" s="18">
        <v>691.61</v>
      </c>
      <c r="BK1067" s="113">
        <v>701.34</v>
      </c>
      <c r="BL1067" s="113">
        <v>732</v>
      </c>
      <c r="BM1067" s="113">
        <v>0</v>
      </c>
      <c r="BN1067" s="113">
        <v>0</v>
      </c>
      <c r="BO1067" s="113">
        <v>0</v>
      </c>
      <c r="BP1067" s="113">
        <v>0</v>
      </c>
      <c r="BQ1067" s="113">
        <v>0</v>
      </c>
      <c r="BR1067" s="101"/>
      <c r="BS1067">
        <f t="shared" ref="BS1067:CB1073" si="2215">IF($C1067&lt;&gt;"",IF(D1067&gt;0,1,0),0)</f>
        <v>0</v>
      </c>
      <c r="BT1067">
        <f t="shared" si="2215"/>
        <v>0</v>
      </c>
      <c r="BU1067">
        <f t="shared" si="2215"/>
        <v>0</v>
      </c>
      <c r="BV1067">
        <f t="shared" si="2215"/>
        <v>0</v>
      </c>
      <c r="BW1067">
        <f t="shared" si="2215"/>
        <v>0</v>
      </c>
      <c r="BX1067">
        <f t="shared" si="2215"/>
        <v>0</v>
      </c>
      <c r="BY1067">
        <f t="shared" si="2215"/>
        <v>0</v>
      </c>
      <c r="BZ1067">
        <f t="shared" si="2215"/>
        <v>0</v>
      </c>
      <c r="CA1067">
        <f t="shared" si="2215"/>
        <v>0</v>
      </c>
      <c r="CB1067">
        <f t="shared" si="2215"/>
        <v>0</v>
      </c>
      <c r="CC1067">
        <f t="shared" ref="CC1067:CL1073" si="2216">IF($C1067&lt;&gt;"",IF(N1067&gt;0,1,0),0)</f>
        <v>0</v>
      </c>
      <c r="CD1067">
        <f t="shared" si="2216"/>
        <v>0</v>
      </c>
      <c r="CE1067">
        <f t="shared" si="2216"/>
        <v>0</v>
      </c>
      <c r="CF1067">
        <f t="shared" si="2216"/>
        <v>0</v>
      </c>
      <c r="CG1067">
        <f t="shared" si="2216"/>
        <v>0</v>
      </c>
      <c r="CH1067">
        <f t="shared" si="2216"/>
        <v>0</v>
      </c>
      <c r="CI1067">
        <f t="shared" si="2216"/>
        <v>0</v>
      </c>
      <c r="CJ1067">
        <f t="shared" si="2216"/>
        <v>0</v>
      </c>
      <c r="CK1067">
        <f t="shared" si="2216"/>
        <v>0</v>
      </c>
      <c r="CL1067">
        <f t="shared" si="2216"/>
        <v>0</v>
      </c>
      <c r="CM1067">
        <f t="shared" ref="CM1067:CV1073" si="2217">IF($C1067&lt;&gt;"",IF(X1067&gt;0,1,0),0)</f>
        <v>0</v>
      </c>
      <c r="CN1067">
        <f t="shared" si="2217"/>
        <v>0</v>
      </c>
      <c r="CO1067">
        <f t="shared" si="2217"/>
        <v>0</v>
      </c>
      <c r="CP1067">
        <f t="shared" si="2217"/>
        <v>0</v>
      </c>
      <c r="CQ1067">
        <f t="shared" si="2217"/>
        <v>0</v>
      </c>
      <c r="CR1067">
        <f t="shared" si="2217"/>
        <v>0</v>
      </c>
      <c r="CS1067">
        <f t="shared" si="2217"/>
        <v>0</v>
      </c>
      <c r="CT1067">
        <f t="shared" si="2217"/>
        <v>0</v>
      </c>
      <c r="CU1067">
        <f t="shared" si="2217"/>
        <v>0</v>
      </c>
      <c r="CV1067">
        <f t="shared" si="2217"/>
        <v>0</v>
      </c>
      <c r="CW1067">
        <f t="shared" ref="CW1067:DF1073" si="2218">IF($C1067&lt;&gt;"",IF(AH1067&gt;0,1,0),0)</f>
        <v>0</v>
      </c>
      <c r="CX1067">
        <f t="shared" si="2218"/>
        <v>0</v>
      </c>
      <c r="CY1067">
        <f t="shared" si="2218"/>
        <v>0</v>
      </c>
      <c r="CZ1067">
        <f t="shared" si="2218"/>
        <v>0</v>
      </c>
      <c r="DA1067">
        <f t="shared" si="2218"/>
        <v>0</v>
      </c>
      <c r="DB1067">
        <f t="shared" si="2218"/>
        <v>0</v>
      </c>
      <c r="DC1067">
        <f t="shared" si="2218"/>
        <v>0</v>
      </c>
      <c r="DD1067">
        <f t="shared" si="2218"/>
        <v>0</v>
      </c>
      <c r="DE1067">
        <f t="shared" si="2218"/>
        <v>0</v>
      </c>
      <c r="DF1067">
        <f t="shared" si="2218"/>
        <v>0</v>
      </c>
      <c r="DG1067">
        <f t="shared" ref="DG1067:DP1073" si="2219">IF($C1067&lt;&gt;"",IF(AR1067&gt;0,1,0),0)</f>
        <v>0</v>
      </c>
      <c r="DH1067">
        <f t="shared" si="2219"/>
        <v>0</v>
      </c>
      <c r="DI1067">
        <f t="shared" si="2219"/>
        <v>0</v>
      </c>
      <c r="DJ1067">
        <f t="shared" si="2219"/>
        <v>0</v>
      </c>
      <c r="DK1067">
        <f t="shared" si="2219"/>
        <v>0</v>
      </c>
      <c r="DL1067">
        <f t="shared" si="2219"/>
        <v>0</v>
      </c>
      <c r="DM1067">
        <f t="shared" si="2219"/>
        <v>0</v>
      </c>
      <c r="DN1067">
        <f t="shared" si="2219"/>
        <v>0</v>
      </c>
      <c r="DO1067">
        <f t="shared" si="2219"/>
        <v>0</v>
      </c>
      <c r="DP1067">
        <f t="shared" si="2219"/>
        <v>0</v>
      </c>
      <c r="DQ1067">
        <f t="shared" ref="DQ1067:DZ1073" si="2220">IF($C1067&lt;&gt;"",IF(BB1067&gt;0,1,0),0)</f>
        <v>0</v>
      </c>
      <c r="DR1067">
        <f t="shared" si="2220"/>
        <v>0</v>
      </c>
      <c r="DS1067">
        <f t="shared" si="2220"/>
        <v>0</v>
      </c>
      <c r="DT1067">
        <f t="shared" si="2220"/>
        <v>0</v>
      </c>
      <c r="DU1067">
        <f t="shared" si="2220"/>
        <v>0</v>
      </c>
      <c r="DV1067">
        <f t="shared" si="2220"/>
        <v>0</v>
      </c>
      <c r="DW1067">
        <f t="shared" si="2220"/>
        <v>0</v>
      </c>
      <c r="DX1067">
        <f t="shared" si="2220"/>
        <v>0</v>
      </c>
      <c r="DY1067">
        <f t="shared" si="2220"/>
        <v>0</v>
      </c>
      <c r="DZ1067">
        <f t="shared" si="2220"/>
        <v>0</v>
      </c>
      <c r="EA1067">
        <f t="shared" ref="EA1067:EF1071" si="2221">IF($C1067&lt;&gt;"",IF(BL1066&gt;0,1,0),0)</f>
        <v>0</v>
      </c>
      <c r="EB1067">
        <f t="shared" si="2221"/>
        <v>0</v>
      </c>
      <c r="EC1067">
        <f t="shared" si="2221"/>
        <v>0</v>
      </c>
      <c r="ED1067">
        <f t="shared" si="2221"/>
        <v>0</v>
      </c>
      <c r="EE1067">
        <f t="shared" si="2221"/>
        <v>0</v>
      </c>
      <c r="EF1067">
        <f t="shared" si="2221"/>
        <v>0</v>
      </c>
    </row>
    <row r="1068" spans="1:136" ht="15.5">
      <c r="A1068" s="90"/>
      <c r="B1068" s="57" t="s">
        <v>202</v>
      </c>
      <c r="C1068" s="94"/>
      <c r="D1068" s="18">
        <v>0</v>
      </c>
      <c r="E1068" s="18">
        <v>0</v>
      </c>
      <c r="F1068" s="18">
        <v>0</v>
      </c>
      <c r="G1068" s="18">
        <v>0</v>
      </c>
      <c r="H1068" s="18">
        <v>0</v>
      </c>
      <c r="I1068" s="18">
        <v>0</v>
      </c>
      <c r="J1068" s="18">
        <v>0</v>
      </c>
      <c r="K1068" s="18">
        <v>0</v>
      </c>
      <c r="L1068" s="18">
        <v>0</v>
      </c>
      <c r="M1068" s="18">
        <v>0</v>
      </c>
      <c r="N1068" s="18">
        <v>0</v>
      </c>
      <c r="O1068" s="18">
        <v>0</v>
      </c>
      <c r="P1068" s="18">
        <v>0</v>
      </c>
      <c r="Q1068" s="18">
        <v>0</v>
      </c>
      <c r="R1068" s="18">
        <v>0</v>
      </c>
      <c r="S1068" s="18">
        <v>0</v>
      </c>
      <c r="T1068" s="18">
        <v>0</v>
      </c>
      <c r="U1068" s="18">
        <v>0</v>
      </c>
      <c r="V1068" s="18">
        <v>0</v>
      </c>
      <c r="W1068" s="18">
        <v>0</v>
      </c>
      <c r="X1068" s="18">
        <v>0</v>
      </c>
      <c r="Y1068" s="18">
        <v>0</v>
      </c>
      <c r="Z1068" s="18">
        <v>0</v>
      </c>
      <c r="AA1068" s="18">
        <v>0</v>
      </c>
      <c r="AB1068" s="18">
        <v>0</v>
      </c>
      <c r="AC1068" s="18">
        <v>0</v>
      </c>
      <c r="AD1068" s="18">
        <v>0</v>
      </c>
      <c r="AE1068" s="18">
        <v>1</v>
      </c>
      <c r="AF1068" s="18">
        <v>1</v>
      </c>
      <c r="AG1068" s="18">
        <v>2</v>
      </c>
      <c r="AH1068" s="18">
        <v>0</v>
      </c>
      <c r="AI1068" s="18">
        <v>0</v>
      </c>
      <c r="AJ1068" s="146">
        <v>8</v>
      </c>
      <c r="AK1068" s="146">
        <v>13</v>
      </c>
      <c r="AL1068" s="146">
        <v>19</v>
      </c>
      <c r="AM1068" s="146">
        <v>27</v>
      </c>
      <c r="AN1068" s="146">
        <v>33</v>
      </c>
      <c r="AO1068" s="146">
        <v>41</v>
      </c>
      <c r="AP1068" s="146">
        <v>48</v>
      </c>
      <c r="AQ1068" s="146">
        <v>58</v>
      </c>
      <c r="AR1068" s="146">
        <v>68</v>
      </c>
      <c r="AS1068" s="175">
        <v>76</v>
      </c>
      <c r="AT1068" s="146">
        <v>89</v>
      </c>
      <c r="AU1068" s="146">
        <v>103</v>
      </c>
      <c r="AV1068" s="146">
        <v>118</v>
      </c>
      <c r="AW1068" s="146">
        <v>130</v>
      </c>
      <c r="AX1068" s="146">
        <v>144</v>
      </c>
      <c r="AY1068" s="146">
        <v>162</v>
      </c>
      <c r="AZ1068" s="146">
        <v>186</v>
      </c>
      <c r="BA1068" s="146">
        <v>198</v>
      </c>
      <c r="BB1068" s="175">
        <v>209</v>
      </c>
      <c r="BC1068" s="175">
        <v>237</v>
      </c>
      <c r="BD1068" s="34">
        <v>247</v>
      </c>
      <c r="BE1068" s="249">
        <v>263</v>
      </c>
      <c r="BF1068" s="175">
        <v>285</v>
      </c>
      <c r="BG1068" s="175">
        <v>286</v>
      </c>
      <c r="BH1068" s="175">
        <v>300</v>
      </c>
      <c r="BI1068" s="175">
        <v>316</v>
      </c>
      <c r="BJ1068" s="142">
        <v>334</v>
      </c>
      <c r="BK1068" s="142">
        <v>347</v>
      </c>
      <c r="BL1068" s="142">
        <v>359</v>
      </c>
      <c r="BM1068" s="113">
        <v>0</v>
      </c>
      <c r="BN1068" s="113">
        <v>0</v>
      </c>
      <c r="BO1068" s="113">
        <v>0</v>
      </c>
      <c r="BP1068" s="113">
        <v>0</v>
      </c>
      <c r="BQ1068" s="113">
        <v>0</v>
      </c>
      <c r="BR1068" s="101"/>
      <c r="BS1068">
        <f t="shared" si="2215"/>
        <v>0</v>
      </c>
      <c r="BT1068">
        <f t="shared" si="2215"/>
        <v>0</v>
      </c>
      <c r="BU1068">
        <f t="shared" si="2215"/>
        <v>0</v>
      </c>
      <c r="BV1068">
        <f t="shared" si="2215"/>
        <v>0</v>
      </c>
      <c r="BW1068">
        <f t="shared" si="2215"/>
        <v>0</v>
      </c>
      <c r="BX1068">
        <f t="shared" si="2215"/>
        <v>0</v>
      </c>
      <c r="BY1068">
        <f t="shared" si="2215"/>
        <v>0</v>
      </c>
      <c r="BZ1068">
        <f t="shared" si="2215"/>
        <v>0</v>
      </c>
      <c r="CA1068">
        <f t="shared" si="2215"/>
        <v>0</v>
      </c>
      <c r="CB1068">
        <f t="shared" si="2215"/>
        <v>0</v>
      </c>
      <c r="CC1068">
        <f t="shared" si="2216"/>
        <v>0</v>
      </c>
      <c r="CD1068">
        <f t="shared" si="2216"/>
        <v>0</v>
      </c>
      <c r="CE1068">
        <f t="shared" si="2216"/>
        <v>0</v>
      </c>
      <c r="CF1068">
        <f t="shared" si="2216"/>
        <v>0</v>
      </c>
      <c r="CG1068">
        <f t="shared" si="2216"/>
        <v>0</v>
      </c>
      <c r="CH1068">
        <f t="shared" si="2216"/>
        <v>0</v>
      </c>
      <c r="CI1068">
        <f t="shared" si="2216"/>
        <v>0</v>
      </c>
      <c r="CJ1068">
        <f t="shared" si="2216"/>
        <v>0</v>
      </c>
      <c r="CK1068">
        <f t="shared" si="2216"/>
        <v>0</v>
      </c>
      <c r="CL1068">
        <f t="shared" si="2216"/>
        <v>0</v>
      </c>
      <c r="CM1068">
        <f t="shared" si="2217"/>
        <v>0</v>
      </c>
      <c r="CN1068">
        <f t="shared" si="2217"/>
        <v>0</v>
      </c>
      <c r="CO1068">
        <f t="shared" si="2217"/>
        <v>0</v>
      </c>
      <c r="CP1068">
        <f t="shared" si="2217"/>
        <v>0</v>
      </c>
      <c r="CQ1068">
        <f t="shared" si="2217"/>
        <v>0</v>
      </c>
      <c r="CR1068">
        <f t="shared" si="2217"/>
        <v>0</v>
      </c>
      <c r="CS1068">
        <f t="shared" si="2217"/>
        <v>0</v>
      </c>
      <c r="CT1068">
        <f t="shared" si="2217"/>
        <v>0</v>
      </c>
      <c r="CU1068">
        <f t="shared" si="2217"/>
        <v>0</v>
      </c>
      <c r="CV1068">
        <f t="shared" si="2217"/>
        <v>0</v>
      </c>
      <c r="CW1068">
        <f t="shared" si="2218"/>
        <v>0</v>
      </c>
      <c r="CX1068">
        <f t="shared" si="2218"/>
        <v>0</v>
      </c>
      <c r="CY1068">
        <f t="shared" si="2218"/>
        <v>0</v>
      </c>
      <c r="CZ1068">
        <f t="shared" si="2218"/>
        <v>0</v>
      </c>
      <c r="DA1068">
        <f t="shared" si="2218"/>
        <v>0</v>
      </c>
      <c r="DB1068">
        <f t="shared" si="2218"/>
        <v>0</v>
      </c>
      <c r="DC1068">
        <f t="shared" si="2218"/>
        <v>0</v>
      </c>
      <c r="DD1068">
        <f t="shared" si="2218"/>
        <v>0</v>
      </c>
      <c r="DE1068">
        <f t="shared" si="2218"/>
        <v>0</v>
      </c>
      <c r="DF1068">
        <f t="shared" si="2218"/>
        <v>0</v>
      </c>
      <c r="DG1068">
        <f t="shared" si="2219"/>
        <v>0</v>
      </c>
      <c r="DH1068">
        <f t="shared" si="2219"/>
        <v>0</v>
      </c>
      <c r="DI1068">
        <f t="shared" si="2219"/>
        <v>0</v>
      </c>
      <c r="DJ1068">
        <f t="shared" si="2219"/>
        <v>0</v>
      </c>
      <c r="DK1068">
        <f t="shared" si="2219"/>
        <v>0</v>
      </c>
      <c r="DL1068">
        <f t="shared" si="2219"/>
        <v>0</v>
      </c>
      <c r="DM1068">
        <f t="shared" si="2219"/>
        <v>0</v>
      </c>
      <c r="DN1068">
        <f t="shared" si="2219"/>
        <v>0</v>
      </c>
      <c r="DO1068">
        <f t="shared" si="2219"/>
        <v>0</v>
      </c>
      <c r="DP1068">
        <f t="shared" si="2219"/>
        <v>0</v>
      </c>
      <c r="DQ1068">
        <f t="shared" si="2220"/>
        <v>0</v>
      </c>
      <c r="DR1068">
        <f t="shared" si="2220"/>
        <v>0</v>
      </c>
      <c r="DS1068">
        <f t="shared" si="2220"/>
        <v>0</v>
      </c>
      <c r="DT1068">
        <f t="shared" si="2220"/>
        <v>0</v>
      </c>
      <c r="DU1068">
        <f t="shared" si="2220"/>
        <v>0</v>
      </c>
      <c r="DV1068">
        <f t="shared" si="2220"/>
        <v>0</v>
      </c>
      <c r="DW1068">
        <f t="shared" si="2220"/>
        <v>0</v>
      </c>
      <c r="DX1068">
        <f t="shared" si="2220"/>
        <v>0</v>
      </c>
      <c r="DY1068">
        <f t="shared" si="2220"/>
        <v>0</v>
      </c>
      <c r="DZ1068">
        <f t="shared" si="2220"/>
        <v>0</v>
      </c>
      <c r="EA1068">
        <f t="shared" si="2221"/>
        <v>0</v>
      </c>
      <c r="EB1068">
        <f t="shared" si="2221"/>
        <v>0</v>
      </c>
      <c r="EC1068">
        <f t="shared" si="2221"/>
        <v>0</v>
      </c>
      <c r="ED1068">
        <f t="shared" si="2221"/>
        <v>0</v>
      </c>
      <c r="EE1068">
        <f t="shared" si="2221"/>
        <v>0</v>
      </c>
      <c r="EF1068">
        <f t="shared" si="2221"/>
        <v>0</v>
      </c>
    </row>
    <row r="1069" spans="1:136" ht="15.5">
      <c r="A1069" s="90"/>
      <c r="B1069" s="19" t="s">
        <v>2</v>
      </c>
      <c r="C1069" s="94"/>
      <c r="D1069" s="18">
        <v>0</v>
      </c>
      <c r="E1069" s="18">
        <v>0</v>
      </c>
      <c r="F1069" s="18">
        <v>0</v>
      </c>
      <c r="G1069" s="18">
        <v>0</v>
      </c>
      <c r="H1069" s="18">
        <v>0</v>
      </c>
      <c r="I1069" s="18">
        <v>0</v>
      </c>
      <c r="J1069" s="18">
        <v>0</v>
      </c>
      <c r="K1069" s="18">
        <v>0</v>
      </c>
      <c r="L1069" s="18">
        <v>0</v>
      </c>
      <c r="M1069" s="18">
        <v>0</v>
      </c>
      <c r="N1069" s="18">
        <v>0</v>
      </c>
      <c r="O1069" s="18">
        <v>0</v>
      </c>
      <c r="P1069" s="18">
        <v>0</v>
      </c>
      <c r="Q1069" s="18">
        <v>0</v>
      </c>
      <c r="R1069" s="18">
        <v>0</v>
      </c>
      <c r="S1069" s="18">
        <v>0</v>
      </c>
      <c r="T1069" s="18">
        <v>0</v>
      </c>
      <c r="U1069" s="18">
        <v>0</v>
      </c>
      <c r="V1069" s="18">
        <v>0</v>
      </c>
      <c r="W1069" s="18">
        <v>0</v>
      </c>
      <c r="X1069" s="18">
        <v>0</v>
      </c>
      <c r="Y1069" s="18">
        <v>0</v>
      </c>
      <c r="Z1069" s="18">
        <v>0</v>
      </c>
      <c r="AA1069" s="18">
        <v>0</v>
      </c>
      <c r="AB1069" s="40" t="s">
        <v>16</v>
      </c>
      <c r="AC1069" s="18">
        <v>39</v>
      </c>
      <c r="AD1069" s="71">
        <v>75</v>
      </c>
      <c r="AE1069" s="18">
        <v>132</v>
      </c>
      <c r="AF1069" s="71">
        <v>10</v>
      </c>
      <c r="AG1069" s="71">
        <v>73</v>
      </c>
      <c r="AH1069" s="40" t="s">
        <v>16</v>
      </c>
      <c r="AI1069" s="40" t="s">
        <v>16</v>
      </c>
      <c r="AJ1069" s="40" t="s">
        <v>16</v>
      </c>
      <c r="AK1069" s="40" t="s">
        <v>16</v>
      </c>
      <c r="AL1069" s="40" t="s">
        <v>16</v>
      </c>
      <c r="AM1069" s="40" t="s">
        <v>16</v>
      </c>
      <c r="AN1069" s="40" t="s">
        <v>16</v>
      </c>
      <c r="AO1069" s="40" t="s">
        <v>16</v>
      </c>
      <c r="AP1069" s="40" t="s">
        <v>16</v>
      </c>
      <c r="AQ1069" s="40" t="s">
        <v>16</v>
      </c>
      <c r="AR1069" s="40" t="s">
        <v>16</v>
      </c>
      <c r="AS1069" s="40" t="s">
        <v>16</v>
      </c>
      <c r="AT1069" s="40" t="s">
        <v>16</v>
      </c>
      <c r="AU1069" s="40" t="s">
        <v>16</v>
      </c>
      <c r="AV1069" s="40" t="s">
        <v>16</v>
      </c>
      <c r="AW1069" s="40" t="s">
        <v>16</v>
      </c>
      <c r="AX1069" s="40" t="s">
        <v>16</v>
      </c>
      <c r="AY1069" s="40" t="s">
        <v>16</v>
      </c>
      <c r="AZ1069" s="18">
        <v>1562</v>
      </c>
      <c r="BA1069" s="18">
        <v>1541</v>
      </c>
      <c r="BB1069" s="34">
        <v>1546</v>
      </c>
      <c r="BC1069" s="34">
        <v>1459</v>
      </c>
      <c r="BD1069" s="34">
        <v>1556</v>
      </c>
      <c r="BE1069" s="42">
        <v>2244</v>
      </c>
      <c r="BF1069" s="18">
        <v>2304</v>
      </c>
      <c r="BG1069" s="18">
        <v>2269</v>
      </c>
      <c r="BH1069" s="18">
        <v>2316</v>
      </c>
      <c r="BI1069" s="18">
        <v>2457</v>
      </c>
      <c r="BJ1069" s="18">
        <v>3018</v>
      </c>
      <c r="BK1069" s="113">
        <v>3051</v>
      </c>
      <c r="BL1069" s="113">
        <v>2625</v>
      </c>
      <c r="BM1069" s="113">
        <v>2418</v>
      </c>
      <c r="BN1069" s="113">
        <v>2043</v>
      </c>
      <c r="BO1069" s="154">
        <v>23</v>
      </c>
      <c r="BP1069" s="154">
        <v>25</v>
      </c>
      <c r="BQ1069" s="154">
        <v>27</v>
      </c>
      <c r="BR1069" s="101"/>
      <c r="BS1069">
        <f t="shared" si="2215"/>
        <v>0</v>
      </c>
      <c r="BT1069">
        <f t="shared" si="2215"/>
        <v>0</v>
      </c>
      <c r="BU1069">
        <f t="shared" si="2215"/>
        <v>0</v>
      </c>
      <c r="BV1069">
        <f t="shared" si="2215"/>
        <v>0</v>
      </c>
      <c r="BW1069">
        <f t="shared" si="2215"/>
        <v>0</v>
      </c>
      <c r="BX1069">
        <f t="shared" si="2215"/>
        <v>0</v>
      </c>
      <c r="BY1069">
        <f t="shared" si="2215"/>
        <v>0</v>
      </c>
      <c r="BZ1069">
        <f t="shared" si="2215"/>
        <v>0</v>
      </c>
      <c r="CA1069">
        <f t="shared" si="2215"/>
        <v>0</v>
      </c>
      <c r="CB1069">
        <f t="shared" si="2215"/>
        <v>0</v>
      </c>
      <c r="CC1069">
        <f t="shared" si="2216"/>
        <v>0</v>
      </c>
      <c r="CD1069">
        <f t="shared" si="2216"/>
        <v>0</v>
      </c>
      <c r="CE1069">
        <f t="shared" si="2216"/>
        <v>0</v>
      </c>
      <c r="CF1069">
        <f t="shared" si="2216"/>
        <v>0</v>
      </c>
      <c r="CG1069">
        <f t="shared" si="2216"/>
        <v>0</v>
      </c>
      <c r="CH1069">
        <f t="shared" si="2216"/>
        <v>0</v>
      </c>
      <c r="CI1069">
        <f t="shared" si="2216"/>
        <v>0</v>
      </c>
      <c r="CJ1069">
        <f t="shared" si="2216"/>
        <v>0</v>
      </c>
      <c r="CK1069">
        <f t="shared" si="2216"/>
        <v>0</v>
      </c>
      <c r="CL1069">
        <f t="shared" si="2216"/>
        <v>0</v>
      </c>
      <c r="CM1069">
        <f t="shared" si="2217"/>
        <v>0</v>
      </c>
      <c r="CN1069">
        <f t="shared" si="2217"/>
        <v>0</v>
      </c>
      <c r="CO1069">
        <f t="shared" si="2217"/>
        <v>0</v>
      </c>
      <c r="CP1069">
        <f t="shared" si="2217"/>
        <v>0</v>
      </c>
      <c r="CQ1069">
        <f t="shared" si="2217"/>
        <v>0</v>
      </c>
      <c r="CR1069">
        <f t="shared" si="2217"/>
        <v>0</v>
      </c>
      <c r="CS1069">
        <f t="shared" si="2217"/>
        <v>0</v>
      </c>
      <c r="CT1069">
        <f t="shared" si="2217"/>
        <v>0</v>
      </c>
      <c r="CU1069">
        <f t="shared" si="2217"/>
        <v>0</v>
      </c>
      <c r="CV1069">
        <f t="shared" si="2217"/>
        <v>0</v>
      </c>
      <c r="CW1069">
        <f t="shared" si="2218"/>
        <v>0</v>
      </c>
      <c r="CX1069">
        <f t="shared" si="2218"/>
        <v>0</v>
      </c>
      <c r="CY1069">
        <f t="shared" si="2218"/>
        <v>0</v>
      </c>
      <c r="CZ1069">
        <f t="shared" si="2218"/>
        <v>0</v>
      </c>
      <c r="DA1069">
        <f t="shared" si="2218"/>
        <v>0</v>
      </c>
      <c r="DB1069">
        <f t="shared" si="2218"/>
        <v>0</v>
      </c>
      <c r="DC1069">
        <f t="shared" si="2218"/>
        <v>0</v>
      </c>
      <c r="DD1069">
        <f t="shared" si="2218"/>
        <v>0</v>
      </c>
      <c r="DE1069">
        <f t="shared" si="2218"/>
        <v>0</v>
      </c>
      <c r="DF1069">
        <f t="shared" si="2218"/>
        <v>0</v>
      </c>
      <c r="DG1069">
        <f t="shared" si="2219"/>
        <v>0</v>
      </c>
      <c r="DH1069">
        <f t="shared" si="2219"/>
        <v>0</v>
      </c>
      <c r="DI1069">
        <f t="shared" si="2219"/>
        <v>0</v>
      </c>
      <c r="DJ1069">
        <f t="shared" si="2219"/>
        <v>0</v>
      </c>
      <c r="DK1069">
        <f t="shared" si="2219"/>
        <v>0</v>
      </c>
      <c r="DL1069">
        <f t="shared" si="2219"/>
        <v>0</v>
      </c>
      <c r="DM1069">
        <f t="shared" si="2219"/>
        <v>0</v>
      </c>
      <c r="DN1069">
        <f t="shared" si="2219"/>
        <v>0</v>
      </c>
      <c r="DO1069">
        <f t="shared" si="2219"/>
        <v>0</v>
      </c>
      <c r="DP1069">
        <f t="shared" si="2219"/>
        <v>0</v>
      </c>
      <c r="DQ1069">
        <f t="shared" si="2220"/>
        <v>0</v>
      </c>
      <c r="DR1069">
        <f t="shared" si="2220"/>
        <v>0</v>
      </c>
      <c r="DS1069">
        <f t="shared" si="2220"/>
        <v>0</v>
      </c>
      <c r="DT1069">
        <f t="shared" si="2220"/>
        <v>0</v>
      </c>
      <c r="DU1069">
        <f t="shared" si="2220"/>
        <v>0</v>
      </c>
      <c r="DV1069">
        <f t="shared" si="2220"/>
        <v>0</v>
      </c>
      <c r="DW1069">
        <f t="shared" si="2220"/>
        <v>0</v>
      </c>
      <c r="DX1069">
        <f t="shared" si="2220"/>
        <v>0</v>
      </c>
      <c r="DY1069">
        <f t="shared" si="2220"/>
        <v>0</v>
      </c>
      <c r="DZ1069">
        <f t="shared" si="2220"/>
        <v>0</v>
      </c>
      <c r="EA1069">
        <f t="shared" si="2221"/>
        <v>0</v>
      </c>
      <c r="EB1069">
        <f t="shared" si="2221"/>
        <v>0</v>
      </c>
      <c r="EC1069">
        <f t="shared" si="2221"/>
        <v>0</v>
      </c>
      <c r="ED1069">
        <f t="shared" si="2221"/>
        <v>0</v>
      </c>
      <c r="EE1069">
        <f t="shared" si="2221"/>
        <v>0</v>
      </c>
      <c r="EF1069">
        <f t="shared" si="2221"/>
        <v>0</v>
      </c>
    </row>
    <row r="1070" spans="1:136" ht="15.5">
      <c r="A1070" s="90"/>
      <c r="B1070" s="19" t="s">
        <v>205</v>
      </c>
      <c r="C1070" s="94"/>
      <c r="D1070" s="18">
        <v>0</v>
      </c>
      <c r="E1070" s="18">
        <v>0</v>
      </c>
      <c r="F1070" s="18">
        <v>0</v>
      </c>
      <c r="G1070" s="18">
        <v>0</v>
      </c>
      <c r="H1070" s="18">
        <v>0</v>
      </c>
      <c r="I1070" s="18">
        <v>0</v>
      </c>
      <c r="J1070" s="18">
        <v>0</v>
      </c>
      <c r="K1070" s="18">
        <v>0</v>
      </c>
      <c r="L1070" s="18">
        <v>0</v>
      </c>
      <c r="M1070" s="18">
        <v>0</v>
      </c>
      <c r="N1070" s="18">
        <v>0</v>
      </c>
      <c r="O1070" s="18">
        <v>0</v>
      </c>
      <c r="P1070" s="18">
        <v>0</v>
      </c>
      <c r="Q1070" s="18">
        <v>0</v>
      </c>
      <c r="R1070" s="18">
        <v>0</v>
      </c>
      <c r="S1070" s="18">
        <v>0</v>
      </c>
      <c r="T1070" s="18">
        <v>0</v>
      </c>
      <c r="U1070" s="18">
        <v>0</v>
      </c>
      <c r="V1070" s="18">
        <v>0</v>
      </c>
      <c r="W1070" s="18">
        <v>0</v>
      </c>
      <c r="X1070" s="18">
        <v>0</v>
      </c>
      <c r="Y1070" s="18">
        <v>0</v>
      </c>
      <c r="Z1070" s="18">
        <v>0</v>
      </c>
      <c r="AA1070" s="18">
        <v>0</v>
      </c>
      <c r="AB1070" s="18">
        <v>73</v>
      </c>
      <c r="AC1070" s="18">
        <v>75</v>
      </c>
      <c r="AD1070" s="71">
        <v>76</v>
      </c>
      <c r="AE1070" s="18">
        <v>76</v>
      </c>
      <c r="AF1070" s="40"/>
      <c r="AG1070" s="40"/>
      <c r="AH1070" s="40"/>
      <c r="AI1070" s="40"/>
      <c r="AJ1070" s="40"/>
      <c r="AK1070" s="40"/>
      <c r="AL1070" s="40"/>
      <c r="AM1070" s="40"/>
      <c r="AN1070" s="40"/>
      <c r="AO1070" s="40"/>
      <c r="AP1070" s="40"/>
      <c r="AQ1070" s="40"/>
      <c r="AR1070" s="18">
        <v>43</v>
      </c>
      <c r="AS1070" s="18">
        <v>44</v>
      </c>
      <c r="AT1070" s="18">
        <v>46</v>
      </c>
      <c r="AU1070" s="18">
        <v>47</v>
      </c>
      <c r="AV1070" s="18">
        <v>49</v>
      </c>
      <c r="AW1070" s="18">
        <f>53-3</f>
        <v>50</v>
      </c>
      <c r="AX1070" s="18">
        <v>55</v>
      </c>
      <c r="AY1070" s="18">
        <v>57</v>
      </c>
      <c r="AZ1070" s="18">
        <v>59</v>
      </c>
      <c r="BA1070" s="18">
        <v>60</v>
      </c>
      <c r="BB1070" s="34">
        <v>62</v>
      </c>
      <c r="BC1070" s="34">
        <v>64</v>
      </c>
      <c r="BD1070" s="34">
        <v>66</v>
      </c>
      <c r="BE1070" s="42">
        <v>68</v>
      </c>
      <c r="BF1070" s="18">
        <v>70</v>
      </c>
      <c r="BG1070" s="18">
        <v>72</v>
      </c>
      <c r="BH1070" s="18">
        <v>75</v>
      </c>
      <c r="BI1070" s="18">
        <v>77</v>
      </c>
      <c r="BJ1070" s="18">
        <v>79</v>
      </c>
      <c r="BK1070" s="113">
        <v>82</v>
      </c>
      <c r="BL1070" s="113">
        <v>83.9</v>
      </c>
      <c r="BM1070" s="113">
        <v>0</v>
      </c>
      <c r="BN1070" s="113">
        <v>0</v>
      </c>
      <c r="BO1070" s="113">
        <v>0</v>
      </c>
      <c r="BP1070" s="113">
        <v>0</v>
      </c>
      <c r="BQ1070" s="113">
        <v>0</v>
      </c>
      <c r="BR1070" s="101"/>
      <c r="BS1070">
        <f t="shared" si="2215"/>
        <v>0</v>
      </c>
      <c r="BT1070">
        <f t="shared" si="2215"/>
        <v>0</v>
      </c>
      <c r="BU1070">
        <f t="shared" si="2215"/>
        <v>0</v>
      </c>
      <c r="BV1070">
        <f t="shared" si="2215"/>
        <v>0</v>
      </c>
      <c r="BW1070">
        <f t="shared" si="2215"/>
        <v>0</v>
      </c>
      <c r="BX1070">
        <f t="shared" si="2215"/>
        <v>0</v>
      </c>
      <c r="BY1070">
        <f t="shared" si="2215"/>
        <v>0</v>
      </c>
      <c r="BZ1070">
        <f t="shared" si="2215"/>
        <v>0</v>
      </c>
      <c r="CA1070">
        <f t="shared" si="2215"/>
        <v>0</v>
      </c>
      <c r="CB1070">
        <f t="shared" si="2215"/>
        <v>0</v>
      </c>
      <c r="CC1070">
        <f t="shared" si="2216"/>
        <v>0</v>
      </c>
      <c r="CD1070">
        <f t="shared" si="2216"/>
        <v>0</v>
      </c>
      <c r="CE1070">
        <f t="shared" si="2216"/>
        <v>0</v>
      </c>
      <c r="CF1070">
        <f t="shared" si="2216"/>
        <v>0</v>
      </c>
      <c r="CG1070">
        <f t="shared" si="2216"/>
        <v>0</v>
      </c>
      <c r="CH1070">
        <f t="shared" si="2216"/>
        <v>0</v>
      </c>
      <c r="CI1070">
        <f t="shared" si="2216"/>
        <v>0</v>
      </c>
      <c r="CJ1070">
        <f t="shared" si="2216"/>
        <v>0</v>
      </c>
      <c r="CK1070">
        <f t="shared" si="2216"/>
        <v>0</v>
      </c>
      <c r="CL1070">
        <f t="shared" si="2216"/>
        <v>0</v>
      </c>
      <c r="CM1070">
        <f t="shared" si="2217"/>
        <v>0</v>
      </c>
      <c r="CN1070">
        <f t="shared" si="2217"/>
        <v>0</v>
      </c>
      <c r="CO1070">
        <f t="shared" si="2217"/>
        <v>0</v>
      </c>
      <c r="CP1070">
        <f t="shared" si="2217"/>
        <v>0</v>
      </c>
      <c r="CQ1070">
        <f t="shared" si="2217"/>
        <v>0</v>
      </c>
      <c r="CR1070">
        <f t="shared" si="2217"/>
        <v>0</v>
      </c>
      <c r="CS1070">
        <f t="shared" si="2217"/>
        <v>0</v>
      </c>
      <c r="CT1070">
        <f t="shared" si="2217"/>
        <v>0</v>
      </c>
      <c r="CU1070">
        <f t="shared" si="2217"/>
        <v>0</v>
      </c>
      <c r="CV1070">
        <f t="shared" si="2217"/>
        <v>0</v>
      </c>
      <c r="CW1070">
        <f t="shared" si="2218"/>
        <v>0</v>
      </c>
      <c r="CX1070">
        <f t="shared" si="2218"/>
        <v>0</v>
      </c>
      <c r="CY1070">
        <f t="shared" si="2218"/>
        <v>0</v>
      </c>
      <c r="CZ1070">
        <f t="shared" si="2218"/>
        <v>0</v>
      </c>
      <c r="DA1070">
        <f t="shared" si="2218"/>
        <v>0</v>
      </c>
      <c r="DB1070">
        <f t="shared" si="2218"/>
        <v>0</v>
      </c>
      <c r="DC1070">
        <f t="shared" si="2218"/>
        <v>0</v>
      </c>
      <c r="DD1070">
        <f t="shared" si="2218"/>
        <v>0</v>
      </c>
      <c r="DE1070">
        <f t="shared" si="2218"/>
        <v>0</v>
      </c>
      <c r="DF1070">
        <f t="shared" si="2218"/>
        <v>0</v>
      </c>
      <c r="DG1070">
        <f t="shared" si="2219"/>
        <v>0</v>
      </c>
      <c r="DH1070">
        <f t="shared" si="2219"/>
        <v>0</v>
      </c>
      <c r="DI1070">
        <f t="shared" si="2219"/>
        <v>0</v>
      </c>
      <c r="DJ1070">
        <f t="shared" si="2219"/>
        <v>0</v>
      </c>
      <c r="DK1070">
        <f t="shared" si="2219"/>
        <v>0</v>
      </c>
      <c r="DL1070">
        <f t="shared" si="2219"/>
        <v>0</v>
      </c>
      <c r="DM1070">
        <f t="shared" si="2219"/>
        <v>0</v>
      </c>
      <c r="DN1070">
        <f t="shared" si="2219"/>
        <v>0</v>
      </c>
      <c r="DO1070">
        <f t="shared" si="2219"/>
        <v>0</v>
      </c>
      <c r="DP1070">
        <f t="shared" si="2219"/>
        <v>0</v>
      </c>
      <c r="DQ1070">
        <f t="shared" si="2220"/>
        <v>0</v>
      </c>
      <c r="DR1070">
        <f t="shared" si="2220"/>
        <v>0</v>
      </c>
      <c r="DS1070">
        <f t="shared" si="2220"/>
        <v>0</v>
      </c>
      <c r="DT1070">
        <f t="shared" si="2220"/>
        <v>0</v>
      </c>
      <c r="DU1070">
        <f t="shared" si="2220"/>
        <v>0</v>
      </c>
      <c r="DV1070">
        <f t="shared" si="2220"/>
        <v>0</v>
      </c>
      <c r="DW1070">
        <f t="shared" si="2220"/>
        <v>0</v>
      </c>
      <c r="DX1070">
        <f t="shared" si="2220"/>
        <v>0</v>
      </c>
      <c r="DY1070">
        <f t="shared" si="2220"/>
        <v>0</v>
      </c>
      <c r="DZ1070">
        <f t="shared" si="2220"/>
        <v>0</v>
      </c>
      <c r="EA1070">
        <f t="shared" si="2221"/>
        <v>0</v>
      </c>
      <c r="EB1070">
        <f t="shared" si="2221"/>
        <v>0</v>
      </c>
      <c r="EC1070">
        <f t="shared" si="2221"/>
        <v>0</v>
      </c>
      <c r="ED1070">
        <f t="shared" si="2221"/>
        <v>0</v>
      </c>
      <c r="EE1070">
        <f t="shared" si="2221"/>
        <v>0</v>
      </c>
      <c r="EF1070">
        <f t="shared" si="2221"/>
        <v>0</v>
      </c>
    </row>
    <row r="1071" spans="1:136" ht="15.5">
      <c r="A1071" s="90"/>
      <c r="B1071" s="57" t="s">
        <v>3</v>
      </c>
      <c r="C1071" s="95"/>
      <c r="D1071" s="18">
        <v>0</v>
      </c>
      <c r="E1071" s="18">
        <v>0</v>
      </c>
      <c r="F1071" s="18">
        <v>0</v>
      </c>
      <c r="G1071" s="18">
        <v>0</v>
      </c>
      <c r="H1071" s="18">
        <v>0</v>
      </c>
      <c r="I1071" s="18">
        <v>0</v>
      </c>
      <c r="J1071" s="18">
        <v>0</v>
      </c>
      <c r="K1071" s="18">
        <v>0</v>
      </c>
      <c r="L1071" s="18">
        <v>0</v>
      </c>
      <c r="M1071" s="18">
        <v>0</v>
      </c>
      <c r="N1071" s="18">
        <v>0</v>
      </c>
      <c r="O1071" s="18">
        <v>0</v>
      </c>
      <c r="P1071" s="18">
        <v>0</v>
      </c>
      <c r="Q1071" s="18">
        <v>0</v>
      </c>
      <c r="R1071" s="18">
        <v>0.56000000000000005</v>
      </c>
      <c r="S1071" s="18">
        <v>1.4970000000000001</v>
      </c>
      <c r="T1071" s="18">
        <v>3.1487799999999999</v>
      </c>
      <c r="U1071" s="18">
        <v>7.0293344000000006</v>
      </c>
      <c r="V1071" s="18">
        <v>10.891432999999999</v>
      </c>
      <c r="W1071" s="18">
        <v>17.896188200000001</v>
      </c>
      <c r="X1071" s="18">
        <v>19.996819200000001</v>
      </c>
      <c r="Y1071" s="18">
        <v>45.478722700000006</v>
      </c>
      <c r="Z1071" s="18">
        <v>43.205058399999999</v>
      </c>
      <c r="AA1071" s="18">
        <v>74.712737799999999</v>
      </c>
      <c r="AB1071" s="18">
        <f>121.4634561-AB1070</f>
        <v>48.463456100000002</v>
      </c>
      <c r="AC1071" s="18">
        <f>163.5679145-AC1069-AC1070</f>
        <v>49.567914500000001</v>
      </c>
      <c r="AD1071" s="18">
        <f>163.5679145-AD1069-AD1070</f>
        <v>12.567914500000001</v>
      </c>
      <c r="AE1071" s="40" t="s">
        <v>16</v>
      </c>
      <c r="AF1071" s="18">
        <f>344.5376532-AF1069-AF1068</f>
        <v>333.53765320000002</v>
      </c>
      <c r="AG1071" s="18">
        <f>344.5376532-AG1069-AG1068</f>
        <v>269.53765320000002</v>
      </c>
      <c r="AH1071" s="18">
        <v>871.8679965</v>
      </c>
      <c r="AI1071" s="18">
        <v>1034.3230392999999</v>
      </c>
      <c r="AJ1071" s="18">
        <v>1140.2193765</v>
      </c>
      <c r="AK1071" s="18">
        <v>1276.0778796</v>
      </c>
      <c r="AL1071" s="18">
        <v>1439.2070375000001</v>
      </c>
      <c r="AM1071" s="18">
        <v>1563.3084074000001</v>
      </c>
      <c r="AN1071" s="18">
        <v>1612.4730122999999</v>
      </c>
      <c r="AO1071" s="18">
        <v>1626.9834490999999</v>
      </c>
      <c r="AP1071" s="18">
        <v>1705.6285873000002</v>
      </c>
      <c r="AQ1071" s="18">
        <v>1715.8510953</v>
      </c>
      <c r="AR1071" s="113">
        <f t="shared" ref="AR1071:AW1071" si="2222">3897.5944731-AR1973-AR1068</f>
        <v>3829.5944731</v>
      </c>
      <c r="AS1071" s="113">
        <f t="shared" si="2222"/>
        <v>3821.5944731</v>
      </c>
      <c r="AT1071" s="113">
        <f t="shared" si="2222"/>
        <v>3808.5944731</v>
      </c>
      <c r="AU1071" s="113">
        <f t="shared" si="2222"/>
        <v>3794.5944731</v>
      </c>
      <c r="AV1071" s="113">
        <f t="shared" si="2222"/>
        <v>3779.5944731</v>
      </c>
      <c r="AW1071" s="113">
        <f t="shared" si="2222"/>
        <v>3767.5944731</v>
      </c>
      <c r="AX1071" s="113">
        <f>2183-AX1973-AX1068</f>
        <v>2039</v>
      </c>
      <c r="AY1071" s="113">
        <f>2299-AY1070-AY1973-AY1068</f>
        <v>2080</v>
      </c>
      <c r="AZ1071" s="113">
        <f>2327-AZ1973-AZ1069-AZ1068</f>
        <v>579</v>
      </c>
      <c r="BA1071" s="113">
        <f>2382-BA1973-BA1069-BA1068</f>
        <v>643</v>
      </c>
      <c r="BB1071" s="113">
        <f>2410-BB1973-BB1069-BB1068</f>
        <v>655</v>
      </c>
      <c r="BC1071" s="113">
        <f>2447-BC1973-BC1069-BC1068</f>
        <v>751</v>
      </c>
      <c r="BD1071" s="113">
        <f>2477-BD1973-BD1069-BD1068</f>
        <v>674</v>
      </c>
      <c r="BE1071" s="40" t="s">
        <v>16</v>
      </c>
      <c r="BF1071" s="40" t="s">
        <v>16</v>
      </c>
      <c r="BG1071" s="40" t="s">
        <v>16</v>
      </c>
      <c r="BH1071" s="40" t="s">
        <v>16</v>
      </c>
      <c r="BI1071" s="40" t="s">
        <v>16</v>
      </c>
      <c r="BJ1071" s="113">
        <f>3897.5944731-BJ1973-BJ1069-BJ1068</f>
        <v>545.59447309999996</v>
      </c>
      <c r="BK1071" s="113">
        <f>5364-BK1973-BK1069-BK1068</f>
        <v>1966</v>
      </c>
      <c r="BL1071" s="113">
        <f>4526-BL1070-BL1069-BL1068</f>
        <v>1458.1000000000004</v>
      </c>
      <c r="BM1071" s="113">
        <f>2826-BM1069</f>
        <v>408</v>
      </c>
      <c r="BN1071" s="71">
        <v>0</v>
      </c>
      <c r="BO1071" s="71">
        <v>539</v>
      </c>
      <c r="BP1071" s="113">
        <v>2459</v>
      </c>
      <c r="BQ1071" s="113">
        <v>2459</v>
      </c>
      <c r="BR1071" s="101"/>
      <c r="BS1071">
        <f t="shared" si="2215"/>
        <v>0</v>
      </c>
      <c r="BT1071">
        <f t="shared" si="2215"/>
        <v>0</v>
      </c>
      <c r="BU1071">
        <f t="shared" si="2215"/>
        <v>0</v>
      </c>
      <c r="BV1071">
        <f t="shared" si="2215"/>
        <v>0</v>
      </c>
      <c r="BW1071">
        <f t="shared" si="2215"/>
        <v>0</v>
      </c>
      <c r="BX1071">
        <f t="shared" si="2215"/>
        <v>0</v>
      </c>
      <c r="BY1071">
        <f t="shared" si="2215"/>
        <v>0</v>
      </c>
      <c r="BZ1071">
        <f t="shared" si="2215"/>
        <v>0</v>
      </c>
      <c r="CA1071">
        <f t="shared" si="2215"/>
        <v>0</v>
      </c>
      <c r="CB1071">
        <f t="shared" si="2215"/>
        <v>0</v>
      </c>
      <c r="CC1071">
        <f t="shared" si="2216"/>
        <v>0</v>
      </c>
      <c r="CD1071">
        <f t="shared" si="2216"/>
        <v>0</v>
      </c>
      <c r="CE1071">
        <f t="shared" si="2216"/>
        <v>0</v>
      </c>
      <c r="CF1071">
        <f t="shared" si="2216"/>
        <v>0</v>
      </c>
      <c r="CG1071">
        <f t="shared" si="2216"/>
        <v>0</v>
      </c>
      <c r="CH1071">
        <f t="shared" si="2216"/>
        <v>0</v>
      </c>
      <c r="CI1071">
        <f t="shared" si="2216"/>
        <v>0</v>
      </c>
      <c r="CJ1071">
        <f t="shared" si="2216"/>
        <v>0</v>
      </c>
      <c r="CK1071">
        <f t="shared" si="2216"/>
        <v>0</v>
      </c>
      <c r="CL1071">
        <f t="shared" si="2216"/>
        <v>0</v>
      </c>
      <c r="CM1071">
        <f t="shared" si="2217"/>
        <v>0</v>
      </c>
      <c r="CN1071">
        <f t="shared" si="2217"/>
        <v>0</v>
      </c>
      <c r="CO1071">
        <f t="shared" si="2217"/>
        <v>0</v>
      </c>
      <c r="CP1071">
        <f t="shared" si="2217"/>
        <v>0</v>
      </c>
      <c r="CQ1071">
        <f t="shared" si="2217"/>
        <v>0</v>
      </c>
      <c r="CR1071">
        <f t="shared" si="2217"/>
        <v>0</v>
      </c>
      <c r="CS1071">
        <f t="shared" si="2217"/>
        <v>0</v>
      </c>
      <c r="CT1071">
        <f t="shared" si="2217"/>
        <v>0</v>
      </c>
      <c r="CU1071">
        <f t="shared" si="2217"/>
        <v>0</v>
      </c>
      <c r="CV1071">
        <f t="shared" si="2217"/>
        <v>0</v>
      </c>
      <c r="CW1071">
        <f t="shared" si="2218"/>
        <v>0</v>
      </c>
      <c r="CX1071">
        <f t="shared" si="2218"/>
        <v>0</v>
      </c>
      <c r="CY1071">
        <f t="shared" si="2218"/>
        <v>0</v>
      </c>
      <c r="CZ1071">
        <f t="shared" si="2218"/>
        <v>0</v>
      </c>
      <c r="DA1071">
        <f t="shared" si="2218"/>
        <v>0</v>
      </c>
      <c r="DB1071">
        <f t="shared" si="2218"/>
        <v>0</v>
      </c>
      <c r="DC1071">
        <f t="shared" si="2218"/>
        <v>0</v>
      </c>
      <c r="DD1071">
        <f t="shared" si="2218"/>
        <v>0</v>
      </c>
      <c r="DE1071">
        <f t="shared" si="2218"/>
        <v>0</v>
      </c>
      <c r="DF1071">
        <f t="shared" si="2218"/>
        <v>0</v>
      </c>
      <c r="DG1071">
        <f t="shared" si="2219"/>
        <v>0</v>
      </c>
      <c r="DH1071">
        <f t="shared" si="2219"/>
        <v>0</v>
      </c>
      <c r="DI1071">
        <f t="shared" si="2219"/>
        <v>0</v>
      </c>
      <c r="DJ1071">
        <f t="shared" si="2219"/>
        <v>0</v>
      </c>
      <c r="DK1071">
        <f t="shared" si="2219"/>
        <v>0</v>
      </c>
      <c r="DL1071">
        <f t="shared" si="2219"/>
        <v>0</v>
      </c>
      <c r="DM1071">
        <f t="shared" si="2219"/>
        <v>0</v>
      </c>
      <c r="DN1071">
        <f t="shared" si="2219"/>
        <v>0</v>
      </c>
      <c r="DO1071">
        <f t="shared" si="2219"/>
        <v>0</v>
      </c>
      <c r="DP1071">
        <f t="shared" si="2219"/>
        <v>0</v>
      </c>
      <c r="DQ1071">
        <f t="shared" si="2220"/>
        <v>0</v>
      </c>
      <c r="DR1071">
        <f t="shared" si="2220"/>
        <v>0</v>
      </c>
      <c r="DS1071">
        <f t="shared" si="2220"/>
        <v>0</v>
      </c>
      <c r="DT1071">
        <f t="shared" si="2220"/>
        <v>0</v>
      </c>
      <c r="DU1071">
        <f t="shared" si="2220"/>
        <v>0</v>
      </c>
      <c r="DV1071">
        <f t="shared" si="2220"/>
        <v>0</v>
      </c>
      <c r="DW1071">
        <f t="shared" si="2220"/>
        <v>0</v>
      </c>
      <c r="DX1071">
        <f t="shared" si="2220"/>
        <v>0</v>
      </c>
      <c r="DY1071">
        <f t="shared" si="2220"/>
        <v>0</v>
      </c>
      <c r="DZ1071">
        <f t="shared" si="2220"/>
        <v>0</v>
      </c>
      <c r="EA1071">
        <f t="shared" si="2221"/>
        <v>0</v>
      </c>
      <c r="EB1071">
        <f t="shared" si="2221"/>
        <v>0</v>
      </c>
      <c r="EC1071">
        <f t="shared" si="2221"/>
        <v>0</v>
      </c>
      <c r="ED1071">
        <f t="shared" si="2221"/>
        <v>0</v>
      </c>
      <c r="EE1071">
        <f t="shared" si="2221"/>
        <v>0</v>
      </c>
      <c r="EF1071">
        <f t="shared" si="2221"/>
        <v>0</v>
      </c>
    </row>
    <row r="1072" spans="1:136" ht="15.5">
      <c r="A1072" s="90"/>
      <c r="B1072" s="57" t="s">
        <v>208</v>
      </c>
      <c r="C1072" s="95"/>
      <c r="D1072" s="18">
        <v>0</v>
      </c>
      <c r="E1072" s="18">
        <v>0</v>
      </c>
      <c r="F1072" s="18">
        <v>0</v>
      </c>
      <c r="G1072" s="18">
        <v>0</v>
      </c>
      <c r="H1072" s="18">
        <v>0</v>
      </c>
      <c r="I1072" s="18">
        <v>0</v>
      </c>
      <c r="J1072" s="18">
        <v>0</v>
      </c>
      <c r="K1072" s="18">
        <v>0</v>
      </c>
      <c r="L1072" s="18">
        <v>0</v>
      </c>
      <c r="M1072" s="18">
        <v>0</v>
      </c>
      <c r="N1072" s="18">
        <v>0</v>
      </c>
      <c r="O1072" s="18">
        <v>0</v>
      </c>
      <c r="P1072" s="18">
        <v>0</v>
      </c>
      <c r="Q1072" s="18">
        <v>0</v>
      </c>
      <c r="R1072" s="18">
        <v>0</v>
      </c>
      <c r="S1072" s="18">
        <v>0</v>
      </c>
      <c r="T1072" s="18">
        <v>0.44119799999999998</v>
      </c>
      <c r="U1072" s="18">
        <v>0.44274200000000002</v>
      </c>
      <c r="V1072" s="18">
        <v>0.46512999999999999</v>
      </c>
      <c r="W1072" s="18">
        <v>2.3E-2</v>
      </c>
      <c r="X1072" s="18">
        <v>0.183</v>
      </c>
      <c r="Y1072" s="18">
        <v>4.2069999999999999</v>
      </c>
      <c r="Z1072" s="18">
        <v>44.948999999999998</v>
      </c>
      <c r="AA1072" s="18">
        <v>83.213999999999999</v>
      </c>
      <c r="AB1072" s="18">
        <v>129.63711119999999</v>
      </c>
      <c r="AC1072" s="18">
        <v>12.94</v>
      </c>
      <c r="AD1072" s="18">
        <v>30.857316000000001</v>
      </c>
      <c r="AE1072" s="18">
        <v>0</v>
      </c>
      <c r="AF1072" s="18">
        <v>0</v>
      </c>
      <c r="AG1072" s="18">
        <v>0</v>
      </c>
      <c r="AH1072" s="18">
        <v>0</v>
      </c>
      <c r="AI1072" s="18">
        <v>0</v>
      </c>
      <c r="AJ1072" s="18">
        <v>0</v>
      </c>
      <c r="AK1072" s="18">
        <v>0</v>
      </c>
      <c r="AL1072" s="18">
        <v>0</v>
      </c>
      <c r="AM1072" s="18">
        <v>0</v>
      </c>
      <c r="AN1072" s="18">
        <v>0</v>
      </c>
      <c r="AO1072" s="18">
        <v>0</v>
      </c>
      <c r="AP1072" s="18">
        <v>0</v>
      </c>
      <c r="AQ1072" s="18">
        <v>0</v>
      </c>
      <c r="AR1072" s="18">
        <v>0</v>
      </c>
      <c r="AS1072" s="18">
        <v>0</v>
      </c>
      <c r="AT1072" s="18">
        <v>0</v>
      </c>
      <c r="AU1072" s="18">
        <v>0</v>
      </c>
      <c r="AV1072" s="18">
        <v>0</v>
      </c>
      <c r="AW1072" s="18">
        <v>0</v>
      </c>
      <c r="AX1072" s="18">
        <v>0</v>
      </c>
      <c r="AY1072" s="18">
        <v>0</v>
      </c>
      <c r="AZ1072" s="18">
        <v>0</v>
      </c>
      <c r="BA1072" s="18">
        <v>0</v>
      </c>
      <c r="BB1072" s="18">
        <v>0</v>
      </c>
      <c r="BC1072" s="18">
        <v>0</v>
      </c>
      <c r="BD1072" s="18">
        <v>1</v>
      </c>
      <c r="BE1072" s="25">
        <v>1</v>
      </c>
      <c r="BF1072" s="25">
        <v>1</v>
      </c>
      <c r="BG1072" s="18">
        <v>1</v>
      </c>
      <c r="BH1072" s="18">
        <v>1</v>
      </c>
      <c r="BI1072" s="18">
        <v>1</v>
      </c>
      <c r="BJ1072" s="18">
        <v>1</v>
      </c>
      <c r="BK1072" s="113">
        <v>1</v>
      </c>
      <c r="BL1072" s="113">
        <v>1</v>
      </c>
      <c r="BM1072" s="113">
        <v>1</v>
      </c>
      <c r="BN1072" s="113">
        <v>1</v>
      </c>
      <c r="BO1072" s="113">
        <v>1</v>
      </c>
      <c r="BP1072" s="113">
        <v>0</v>
      </c>
      <c r="BQ1072" s="113">
        <v>0</v>
      </c>
      <c r="BR1072" s="101"/>
      <c r="BS1072">
        <f t="shared" si="2215"/>
        <v>0</v>
      </c>
      <c r="BT1072">
        <f t="shared" si="2215"/>
        <v>0</v>
      </c>
      <c r="BU1072">
        <f t="shared" si="2215"/>
        <v>0</v>
      </c>
      <c r="BV1072">
        <f t="shared" si="2215"/>
        <v>0</v>
      </c>
      <c r="BW1072">
        <f t="shared" si="2215"/>
        <v>0</v>
      </c>
      <c r="BX1072">
        <f t="shared" si="2215"/>
        <v>0</v>
      </c>
      <c r="BY1072">
        <f t="shared" si="2215"/>
        <v>0</v>
      </c>
      <c r="BZ1072">
        <f t="shared" si="2215"/>
        <v>0</v>
      </c>
      <c r="CA1072">
        <f t="shared" si="2215"/>
        <v>0</v>
      </c>
      <c r="CB1072">
        <f t="shared" si="2215"/>
        <v>0</v>
      </c>
      <c r="CC1072">
        <f t="shared" si="2216"/>
        <v>0</v>
      </c>
      <c r="CD1072">
        <f t="shared" si="2216"/>
        <v>0</v>
      </c>
      <c r="CE1072">
        <f t="shared" si="2216"/>
        <v>0</v>
      </c>
      <c r="CF1072">
        <f t="shared" si="2216"/>
        <v>0</v>
      </c>
      <c r="CG1072">
        <f t="shared" si="2216"/>
        <v>0</v>
      </c>
      <c r="CH1072">
        <f t="shared" si="2216"/>
        <v>0</v>
      </c>
      <c r="CI1072">
        <f t="shared" si="2216"/>
        <v>0</v>
      </c>
      <c r="CJ1072">
        <f t="shared" si="2216"/>
        <v>0</v>
      </c>
      <c r="CK1072">
        <f t="shared" si="2216"/>
        <v>0</v>
      </c>
      <c r="CL1072">
        <f t="shared" si="2216"/>
        <v>0</v>
      </c>
      <c r="CM1072">
        <f t="shared" si="2217"/>
        <v>0</v>
      </c>
      <c r="CN1072">
        <f t="shared" si="2217"/>
        <v>0</v>
      </c>
      <c r="CO1072">
        <f t="shared" si="2217"/>
        <v>0</v>
      </c>
      <c r="CP1072">
        <f t="shared" si="2217"/>
        <v>0</v>
      </c>
      <c r="CQ1072">
        <f t="shared" si="2217"/>
        <v>0</v>
      </c>
      <c r="CR1072">
        <f t="shared" si="2217"/>
        <v>0</v>
      </c>
      <c r="CS1072">
        <f t="shared" si="2217"/>
        <v>0</v>
      </c>
      <c r="CT1072">
        <f t="shared" si="2217"/>
        <v>0</v>
      </c>
      <c r="CU1072">
        <f t="shared" si="2217"/>
        <v>0</v>
      </c>
      <c r="CV1072">
        <f t="shared" si="2217"/>
        <v>0</v>
      </c>
      <c r="CW1072">
        <f t="shared" si="2218"/>
        <v>0</v>
      </c>
      <c r="CX1072">
        <f t="shared" si="2218"/>
        <v>0</v>
      </c>
      <c r="CY1072">
        <f t="shared" si="2218"/>
        <v>0</v>
      </c>
      <c r="CZ1072">
        <f t="shared" si="2218"/>
        <v>0</v>
      </c>
      <c r="DA1072">
        <f t="shared" si="2218"/>
        <v>0</v>
      </c>
      <c r="DB1072">
        <f t="shared" si="2218"/>
        <v>0</v>
      </c>
      <c r="DC1072">
        <f t="shared" si="2218"/>
        <v>0</v>
      </c>
      <c r="DD1072">
        <f t="shared" si="2218"/>
        <v>0</v>
      </c>
      <c r="DE1072">
        <f t="shared" si="2218"/>
        <v>0</v>
      </c>
      <c r="DF1072">
        <f t="shared" si="2218"/>
        <v>0</v>
      </c>
      <c r="DG1072">
        <f t="shared" si="2219"/>
        <v>0</v>
      </c>
      <c r="DH1072">
        <f t="shared" si="2219"/>
        <v>0</v>
      </c>
      <c r="DI1072">
        <f t="shared" si="2219"/>
        <v>0</v>
      </c>
      <c r="DJ1072">
        <f t="shared" si="2219"/>
        <v>0</v>
      </c>
      <c r="DK1072">
        <f t="shared" si="2219"/>
        <v>0</v>
      </c>
      <c r="DL1072">
        <f t="shared" si="2219"/>
        <v>0</v>
      </c>
      <c r="DM1072">
        <f t="shared" si="2219"/>
        <v>0</v>
      </c>
      <c r="DN1072">
        <f t="shared" si="2219"/>
        <v>0</v>
      </c>
      <c r="DO1072">
        <f t="shared" si="2219"/>
        <v>0</v>
      </c>
      <c r="DP1072">
        <f t="shared" si="2219"/>
        <v>0</v>
      </c>
      <c r="DQ1072">
        <f t="shared" si="2220"/>
        <v>0</v>
      </c>
      <c r="DR1072">
        <f t="shared" si="2220"/>
        <v>0</v>
      </c>
      <c r="DS1072">
        <f t="shared" si="2220"/>
        <v>0</v>
      </c>
      <c r="DT1072">
        <f t="shared" si="2220"/>
        <v>0</v>
      </c>
      <c r="DU1072">
        <f t="shared" si="2220"/>
        <v>0</v>
      </c>
      <c r="DV1072">
        <f t="shared" si="2220"/>
        <v>0</v>
      </c>
      <c r="DW1072">
        <f t="shared" si="2220"/>
        <v>0</v>
      </c>
      <c r="DX1072">
        <f t="shared" si="2220"/>
        <v>0</v>
      </c>
      <c r="DY1072">
        <f t="shared" si="2220"/>
        <v>0</v>
      </c>
      <c r="DZ1072">
        <f t="shared" si="2220"/>
        <v>0</v>
      </c>
      <c r="EA1072">
        <f t="shared" ref="EA1072:EF1073" si="2223">IF($C1072&lt;&gt;"",IF(BL1072&gt;0,1,0),0)</f>
        <v>0</v>
      </c>
      <c r="EB1072">
        <f t="shared" si="2223"/>
        <v>0</v>
      </c>
      <c r="EC1072">
        <f t="shared" si="2223"/>
        <v>0</v>
      </c>
      <c r="ED1072">
        <f t="shared" si="2223"/>
        <v>0</v>
      </c>
      <c r="EE1072">
        <f t="shared" si="2223"/>
        <v>0</v>
      </c>
      <c r="EF1072">
        <f t="shared" si="2223"/>
        <v>0</v>
      </c>
    </row>
    <row r="1073" spans="1:136" ht="15.5">
      <c r="A1073" s="90"/>
      <c r="B1073" s="19" t="s">
        <v>212</v>
      </c>
      <c r="C1073" s="95"/>
      <c r="D1073" s="18"/>
      <c r="E1073" s="18"/>
      <c r="F1073" s="18"/>
      <c r="G1073" s="18"/>
      <c r="H1073" s="18"/>
      <c r="I1073" s="18"/>
      <c r="J1073" s="18"/>
      <c r="K1073" s="18"/>
      <c r="L1073" s="18"/>
      <c r="M1073" s="18"/>
      <c r="N1073" s="18"/>
      <c r="O1073" s="18"/>
      <c r="P1073" s="18"/>
      <c r="Q1073" s="18"/>
      <c r="R1073" s="18"/>
      <c r="S1073" s="18"/>
      <c r="T1073" s="18"/>
      <c r="U1073" s="18"/>
      <c r="V1073" s="18"/>
      <c r="W1073" s="18"/>
      <c r="X1073" s="18"/>
      <c r="Y1073" s="18"/>
      <c r="Z1073" s="18"/>
      <c r="AA1073" s="18">
        <v>112.85623812539582</v>
      </c>
      <c r="AB1073" s="18">
        <v>93.95</v>
      </c>
      <c r="AC1073" s="18">
        <v>55.164556962025316</v>
      </c>
      <c r="AD1073" s="18">
        <v>29.472222222222221</v>
      </c>
      <c r="AE1073" s="18">
        <v>0.18095238095238095</v>
      </c>
      <c r="AF1073" s="18">
        <v>46.920821114369502</v>
      </c>
      <c r="AG1073" s="18">
        <v>12.602404727939678</v>
      </c>
      <c r="AH1073" s="18">
        <v>8.8719268153230413</v>
      </c>
      <c r="AI1073" s="18">
        <v>2.5678947368421055</v>
      </c>
      <c r="AJ1073" s="40" t="s">
        <v>16</v>
      </c>
      <c r="AK1073" s="40" t="s">
        <v>16</v>
      </c>
      <c r="AL1073" s="40" t="s">
        <v>16</v>
      </c>
      <c r="AM1073" s="40" t="s">
        <v>16</v>
      </c>
      <c r="AN1073" s="40" t="s">
        <v>16</v>
      </c>
      <c r="AO1073" s="40" t="s">
        <v>16</v>
      </c>
      <c r="AP1073" s="40" t="s">
        <v>16</v>
      </c>
      <c r="AQ1073" s="40" t="s">
        <v>16</v>
      </c>
      <c r="AR1073" s="40" t="s">
        <v>16</v>
      </c>
      <c r="AS1073" s="40" t="s">
        <v>16</v>
      </c>
      <c r="AT1073" s="40" t="s">
        <v>16</v>
      </c>
      <c r="AU1073" s="40" t="s">
        <v>16</v>
      </c>
      <c r="AV1073" s="40" t="s">
        <v>16</v>
      </c>
      <c r="AW1073" s="40" t="s">
        <v>16</v>
      </c>
      <c r="AX1073" s="40" t="s">
        <v>16</v>
      </c>
      <c r="AY1073" s="40" t="s">
        <v>16</v>
      </c>
      <c r="AZ1073" s="40" t="s">
        <v>16</v>
      </c>
      <c r="BA1073" s="40" t="s">
        <v>16</v>
      </c>
      <c r="BB1073" s="40" t="s">
        <v>16</v>
      </c>
      <c r="BC1073" s="40" t="s">
        <v>16</v>
      </c>
      <c r="BD1073" s="34">
        <v>30.4</v>
      </c>
      <c r="BE1073" s="42">
        <v>30.4</v>
      </c>
      <c r="BF1073" s="42">
        <v>46</v>
      </c>
      <c r="BG1073" s="18">
        <v>68.832999999999998</v>
      </c>
      <c r="BH1073" s="18">
        <v>75.563999999999993</v>
      </c>
      <c r="BI1073" s="113">
        <v>67.634999999999991</v>
      </c>
      <c r="BJ1073" s="18">
        <v>69</v>
      </c>
      <c r="BK1073" s="113">
        <v>69</v>
      </c>
      <c r="BL1073" s="113">
        <v>69</v>
      </c>
      <c r="BM1073" s="154">
        <v>69</v>
      </c>
      <c r="BN1073" s="154">
        <v>68</v>
      </c>
      <c r="BO1073" s="154">
        <v>68</v>
      </c>
      <c r="BP1073" s="154">
        <v>68</v>
      </c>
      <c r="BQ1073" s="154">
        <v>68</v>
      </c>
      <c r="BR1073" s="101"/>
      <c r="BS1073">
        <f t="shared" si="2215"/>
        <v>0</v>
      </c>
      <c r="BT1073">
        <f t="shared" si="2215"/>
        <v>0</v>
      </c>
      <c r="BU1073">
        <f t="shared" si="2215"/>
        <v>0</v>
      </c>
      <c r="BV1073">
        <f t="shared" si="2215"/>
        <v>0</v>
      </c>
      <c r="BW1073">
        <f t="shared" si="2215"/>
        <v>0</v>
      </c>
      <c r="BX1073">
        <f t="shared" si="2215"/>
        <v>0</v>
      </c>
      <c r="BY1073">
        <f t="shared" si="2215"/>
        <v>0</v>
      </c>
      <c r="BZ1073">
        <f t="shared" si="2215"/>
        <v>0</v>
      </c>
      <c r="CA1073">
        <f t="shared" si="2215"/>
        <v>0</v>
      </c>
      <c r="CB1073">
        <f t="shared" si="2215"/>
        <v>0</v>
      </c>
      <c r="CC1073">
        <f t="shared" si="2216"/>
        <v>0</v>
      </c>
      <c r="CD1073">
        <f t="shared" si="2216"/>
        <v>0</v>
      </c>
      <c r="CE1073">
        <f t="shared" si="2216"/>
        <v>0</v>
      </c>
      <c r="CF1073">
        <f t="shared" si="2216"/>
        <v>0</v>
      </c>
      <c r="CG1073">
        <f t="shared" si="2216"/>
        <v>0</v>
      </c>
      <c r="CH1073">
        <f t="shared" si="2216"/>
        <v>0</v>
      </c>
      <c r="CI1073">
        <f t="shared" si="2216"/>
        <v>0</v>
      </c>
      <c r="CJ1073">
        <f t="shared" si="2216"/>
        <v>0</v>
      </c>
      <c r="CK1073">
        <f t="shared" si="2216"/>
        <v>0</v>
      </c>
      <c r="CL1073">
        <f t="shared" si="2216"/>
        <v>0</v>
      </c>
      <c r="CM1073">
        <f t="shared" si="2217"/>
        <v>0</v>
      </c>
      <c r="CN1073">
        <f t="shared" si="2217"/>
        <v>0</v>
      </c>
      <c r="CO1073">
        <f t="shared" si="2217"/>
        <v>0</v>
      </c>
      <c r="CP1073">
        <f t="shared" si="2217"/>
        <v>0</v>
      </c>
      <c r="CQ1073">
        <f t="shared" si="2217"/>
        <v>0</v>
      </c>
      <c r="CR1073">
        <f t="shared" si="2217"/>
        <v>0</v>
      </c>
      <c r="CS1073">
        <f t="shared" si="2217"/>
        <v>0</v>
      </c>
      <c r="CT1073">
        <f t="shared" si="2217"/>
        <v>0</v>
      </c>
      <c r="CU1073">
        <f t="shared" si="2217"/>
        <v>0</v>
      </c>
      <c r="CV1073">
        <f t="shared" si="2217"/>
        <v>0</v>
      </c>
      <c r="CW1073">
        <f t="shared" si="2218"/>
        <v>0</v>
      </c>
      <c r="CX1073">
        <f t="shared" si="2218"/>
        <v>0</v>
      </c>
      <c r="CY1073">
        <f t="shared" si="2218"/>
        <v>0</v>
      </c>
      <c r="CZ1073">
        <f t="shared" si="2218"/>
        <v>0</v>
      </c>
      <c r="DA1073">
        <f t="shared" si="2218"/>
        <v>0</v>
      </c>
      <c r="DB1073">
        <f t="shared" si="2218"/>
        <v>0</v>
      </c>
      <c r="DC1073">
        <f t="shared" si="2218"/>
        <v>0</v>
      </c>
      <c r="DD1073">
        <f t="shared" si="2218"/>
        <v>0</v>
      </c>
      <c r="DE1073">
        <f t="shared" si="2218"/>
        <v>0</v>
      </c>
      <c r="DF1073">
        <f t="shared" si="2218"/>
        <v>0</v>
      </c>
      <c r="DG1073">
        <f t="shared" si="2219"/>
        <v>0</v>
      </c>
      <c r="DH1073">
        <f t="shared" si="2219"/>
        <v>0</v>
      </c>
      <c r="DI1073">
        <f t="shared" si="2219"/>
        <v>0</v>
      </c>
      <c r="DJ1073">
        <f t="shared" si="2219"/>
        <v>0</v>
      </c>
      <c r="DK1073">
        <f t="shared" si="2219"/>
        <v>0</v>
      </c>
      <c r="DL1073">
        <f t="shared" si="2219"/>
        <v>0</v>
      </c>
      <c r="DM1073">
        <f t="shared" si="2219"/>
        <v>0</v>
      </c>
      <c r="DN1073">
        <f t="shared" si="2219"/>
        <v>0</v>
      </c>
      <c r="DO1073">
        <f t="shared" si="2219"/>
        <v>0</v>
      </c>
      <c r="DP1073">
        <f t="shared" si="2219"/>
        <v>0</v>
      </c>
      <c r="DQ1073">
        <f t="shared" si="2220"/>
        <v>0</v>
      </c>
      <c r="DR1073">
        <f t="shared" si="2220"/>
        <v>0</v>
      </c>
      <c r="DS1073">
        <f t="shared" si="2220"/>
        <v>0</v>
      </c>
      <c r="DT1073">
        <f t="shared" si="2220"/>
        <v>0</v>
      </c>
      <c r="DU1073">
        <f t="shared" si="2220"/>
        <v>0</v>
      </c>
      <c r="DV1073">
        <f t="shared" si="2220"/>
        <v>0</v>
      </c>
      <c r="DW1073">
        <f t="shared" si="2220"/>
        <v>0</v>
      </c>
      <c r="DX1073">
        <f t="shared" si="2220"/>
        <v>0</v>
      </c>
      <c r="DY1073">
        <f t="shared" si="2220"/>
        <v>0</v>
      </c>
      <c r="DZ1073">
        <f t="shared" si="2220"/>
        <v>0</v>
      </c>
      <c r="EA1073">
        <f t="shared" si="2223"/>
        <v>0</v>
      </c>
      <c r="EB1073">
        <f t="shared" si="2223"/>
        <v>0</v>
      </c>
      <c r="EC1073">
        <f t="shared" si="2223"/>
        <v>0</v>
      </c>
      <c r="ED1073">
        <f t="shared" si="2223"/>
        <v>0</v>
      </c>
      <c r="EE1073">
        <f t="shared" si="2223"/>
        <v>0</v>
      </c>
      <c r="EF1073">
        <f t="shared" si="2223"/>
        <v>0</v>
      </c>
    </row>
    <row r="1074" spans="1:136" ht="15.5">
      <c r="A1074" s="90"/>
      <c r="B1074" s="37"/>
      <c r="C1074" s="95"/>
      <c r="D1074" s="22"/>
      <c r="E1074" s="22"/>
      <c r="F1074" s="22"/>
      <c r="G1074" s="22"/>
      <c r="H1074" s="22"/>
      <c r="I1074" s="22"/>
      <c r="J1074" s="22"/>
      <c r="K1074" s="22"/>
      <c r="L1074" s="22"/>
      <c r="M1074" s="22"/>
      <c r="N1074" s="22"/>
      <c r="O1074" s="22"/>
      <c r="P1074" s="22"/>
      <c r="Q1074" s="22"/>
      <c r="R1074" s="22"/>
      <c r="S1074" s="22"/>
      <c r="T1074" s="22"/>
      <c r="U1074" s="22"/>
      <c r="V1074" s="22"/>
      <c r="W1074" s="22"/>
      <c r="X1074" s="22"/>
      <c r="Y1074" s="22"/>
      <c r="Z1074" s="22"/>
      <c r="AA1074" s="22"/>
      <c r="AB1074" s="22"/>
      <c r="AC1074" s="22"/>
      <c r="AD1074" s="22"/>
      <c r="AE1074" s="22"/>
      <c r="AF1074" s="22"/>
      <c r="AG1074" s="22"/>
      <c r="AH1074" s="22"/>
      <c r="AI1074" s="22"/>
      <c r="AJ1074" s="22"/>
      <c r="AK1074" s="22"/>
      <c r="AL1074" s="22"/>
      <c r="AM1074" s="22"/>
      <c r="AN1074" s="22"/>
      <c r="AO1074" s="22"/>
      <c r="AP1074" s="22"/>
      <c r="AQ1074" s="22"/>
      <c r="AR1074" s="22"/>
      <c r="AS1074" s="9"/>
      <c r="AT1074" s="9"/>
      <c r="AU1074" s="22"/>
      <c r="AV1074" s="22"/>
      <c r="AW1074" s="22"/>
      <c r="AX1074" s="22"/>
      <c r="AY1074" s="22"/>
      <c r="AZ1074" s="22"/>
      <c r="BA1074" s="22"/>
      <c r="BB1074" s="22"/>
      <c r="BC1074" s="22"/>
      <c r="BD1074" s="22"/>
      <c r="BE1074" s="23"/>
      <c r="BF1074" s="18"/>
      <c r="BG1074" s="2"/>
      <c r="BH1074" s="2"/>
      <c r="BI1074" s="2"/>
      <c r="BJ1074" s="2"/>
      <c r="BK1074" s="2"/>
      <c r="BL1074" s="138"/>
      <c r="BM1074" s="2"/>
      <c r="BN1074" s="2"/>
      <c r="BO1074" s="2"/>
      <c r="BP1074" s="2"/>
      <c r="BQ1074" s="2"/>
      <c r="BR1074" s="101"/>
    </row>
    <row r="1075" spans="1:136" ht="15.5">
      <c r="A1075" s="93">
        <v>136</v>
      </c>
      <c r="B1075" s="52" t="s">
        <v>135</v>
      </c>
      <c r="C1075" s="94">
        <v>2</v>
      </c>
      <c r="D1075" s="22">
        <v>0</v>
      </c>
      <c r="E1075" s="22">
        <v>0</v>
      </c>
      <c r="F1075" s="22">
        <v>0</v>
      </c>
      <c r="G1075" s="22">
        <v>0</v>
      </c>
      <c r="H1075" s="22">
        <v>0</v>
      </c>
      <c r="I1075" s="22">
        <v>0</v>
      </c>
      <c r="J1075" s="22">
        <v>0</v>
      </c>
      <c r="K1075" s="22">
        <v>0</v>
      </c>
      <c r="L1075" s="22">
        <v>0</v>
      </c>
      <c r="M1075" s="22">
        <v>0</v>
      </c>
      <c r="N1075" s="22">
        <v>0</v>
      </c>
      <c r="O1075" s="22">
        <v>0</v>
      </c>
      <c r="P1075" s="22">
        <v>0</v>
      </c>
      <c r="Q1075" s="22">
        <v>0</v>
      </c>
      <c r="R1075" s="22">
        <v>0</v>
      </c>
      <c r="S1075" s="22">
        <v>0</v>
      </c>
      <c r="T1075" s="22">
        <v>0</v>
      </c>
      <c r="U1075" s="22">
        <v>0</v>
      </c>
      <c r="V1075" s="22">
        <v>0</v>
      </c>
      <c r="W1075" s="22">
        <v>0</v>
      </c>
      <c r="X1075" s="22">
        <v>0</v>
      </c>
      <c r="Y1075" s="22">
        <v>0</v>
      </c>
      <c r="Z1075" s="22">
        <v>0</v>
      </c>
      <c r="AA1075" s="22">
        <v>0</v>
      </c>
      <c r="AB1075" s="22">
        <v>0</v>
      </c>
      <c r="AC1075" s="22">
        <v>13628</v>
      </c>
      <c r="AD1075" s="22">
        <v>16900</v>
      </c>
      <c r="AE1075" s="22">
        <v>16900</v>
      </c>
      <c r="AF1075" s="22">
        <v>0</v>
      </c>
      <c r="AG1075" s="22">
        <v>7500</v>
      </c>
      <c r="AH1075" s="22">
        <v>0</v>
      </c>
      <c r="AI1075" s="22">
        <v>0</v>
      </c>
      <c r="AJ1075" s="22">
        <v>0</v>
      </c>
      <c r="AK1075" s="22">
        <v>5000</v>
      </c>
      <c r="AL1075" s="22">
        <v>0</v>
      </c>
      <c r="AM1075" s="22">
        <v>0</v>
      </c>
      <c r="AN1075" s="22">
        <v>0</v>
      </c>
      <c r="AO1075" s="22">
        <v>0</v>
      </c>
      <c r="AP1075" s="22">
        <v>0</v>
      </c>
      <c r="AQ1075" s="22">
        <v>0</v>
      </c>
      <c r="AR1075" s="22">
        <v>0</v>
      </c>
      <c r="AS1075" s="22">
        <v>0</v>
      </c>
      <c r="AT1075" s="22">
        <v>0</v>
      </c>
      <c r="AU1075" s="22">
        <v>0</v>
      </c>
      <c r="AV1075" s="22">
        <f>SUM(AV1076+AV1077)</f>
        <v>4.9696300000000006E-2</v>
      </c>
      <c r="AW1075" s="22">
        <f>SUM(AW1076+AW1077)</f>
        <v>7.1463499999999999E-2</v>
      </c>
      <c r="AX1075" s="22">
        <v>0</v>
      </c>
      <c r="AY1075" s="22">
        <f>AY1076</f>
        <v>1222.4449999999999</v>
      </c>
      <c r="AZ1075" s="22">
        <v>0</v>
      </c>
      <c r="BA1075" s="22">
        <v>0</v>
      </c>
      <c r="BB1075" s="22">
        <v>0</v>
      </c>
      <c r="BC1075" s="22">
        <v>0</v>
      </c>
      <c r="BD1075" s="22">
        <v>0</v>
      </c>
      <c r="BE1075" s="23">
        <v>0</v>
      </c>
      <c r="BF1075" s="22">
        <v>0</v>
      </c>
      <c r="BG1075" s="22">
        <v>0</v>
      </c>
      <c r="BH1075" s="22">
        <v>0</v>
      </c>
      <c r="BI1075" s="22">
        <v>0</v>
      </c>
      <c r="BJ1075" s="4">
        <v>0</v>
      </c>
      <c r="BK1075" s="9">
        <f t="shared" ref="BK1075:BP1075" si="2224">SUM(BK1076:BK1077)</f>
        <v>0</v>
      </c>
      <c r="BL1075" s="138">
        <f t="shared" si="2224"/>
        <v>0</v>
      </c>
      <c r="BM1075" s="138">
        <f t="shared" si="2224"/>
        <v>0</v>
      </c>
      <c r="BN1075" s="138">
        <f t="shared" si="2224"/>
        <v>0</v>
      </c>
      <c r="BO1075" s="138">
        <f t="shared" si="2224"/>
        <v>0</v>
      </c>
      <c r="BP1075" s="138">
        <f t="shared" si="2224"/>
        <v>0</v>
      </c>
      <c r="BQ1075" s="138">
        <f t="shared" ref="BQ1075" si="2225">SUM(BQ1076:BQ1077)</f>
        <v>0</v>
      </c>
      <c r="BR1075" s="101"/>
      <c r="BS1075">
        <f t="shared" ref="BS1075:CB1077" si="2226">IF($C1075&lt;&gt;"",IF(D1075&gt;0,1,0),0)</f>
        <v>0</v>
      </c>
      <c r="BT1075">
        <f t="shared" si="2226"/>
        <v>0</v>
      </c>
      <c r="BU1075">
        <f t="shared" si="2226"/>
        <v>0</v>
      </c>
      <c r="BV1075">
        <f t="shared" si="2226"/>
        <v>0</v>
      </c>
      <c r="BW1075">
        <f t="shared" si="2226"/>
        <v>0</v>
      </c>
      <c r="BX1075">
        <f t="shared" si="2226"/>
        <v>0</v>
      </c>
      <c r="BY1075">
        <f t="shared" si="2226"/>
        <v>0</v>
      </c>
      <c r="BZ1075">
        <f t="shared" si="2226"/>
        <v>0</v>
      </c>
      <c r="CA1075">
        <f t="shared" si="2226"/>
        <v>0</v>
      </c>
      <c r="CB1075">
        <f t="shared" si="2226"/>
        <v>0</v>
      </c>
      <c r="CC1075">
        <f t="shared" ref="CC1075:CL1077" si="2227">IF($C1075&lt;&gt;"",IF(N1075&gt;0,1,0),0)</f>
        <v>0</v>
      </c>
      <c r="CD1075">
        <f t="shared" si="2227"/>
        <v>0</v>
      </c>
      <c r="CE1075">
        <f t="shared" si="2227"/>
        <v>0</v>
      </c>
      <c r="CF1075">
        <f t="shared" si="2227"/>
        <v>0</v>
      </c>
      <c r="CG1075">
        <f t="shared" si="2227"/>
        <v>0</v>
      </c>
      <c r="CH1075">
        <f t="shared" si="2227"/>
        <v>0</v>
      </c>
      <c r="CI1075">
        <f t="shared" si="2227"/>
        <v>0</v>
      </c>
      <c r="CJ1075">
        <f t="shared" si="2227"/>
        <v>0</v>
      </c>
      <c r="CK1075">
        <f t="shared" si="2227"/>
        <v>0</v>
      </c>
      <c r="CL1075">
        <f t="shared" si="2227"/>
        <v>0</v>
      </c>
      <c r="CM1075">
        <f t="shared" ref="CM1075:CV1077" si="2228">IF($C1075&lt;&gt;"",IF(X1075&gt;0,1,0),0)</f>
        <v>0</v>
      </c>
      <c r="CN1075">
        <f t="shared" si="2228"/>
        <v>0</v>
      </c>
      <c r="CO1075">
        <f t="shared" si="2228"/>
        <v>0</v>
      </c>
      <c r="CP1075">
        <f t="shared" si="2228"/>
        <v>0</v>
      </c>
      <c r="CQ1075">
        <f t="shared" si="2228"/>
        <v>0</v>
      </c>
      <c r="CR1075">
        <f t="shared" si="2228"/>
        <v>1</v>
      </c>
      <c r="CS1075">
        <f t="shared" si="2228"/>
        <v>1</v>
      </c>
      <c r="CT1075">
        <f t="shared" si="2228"/>
        <v>1</v>
      </c>
      <c r="CU1075">
        <f t="shared" si="2228"/>
        <v>0</v>
      </c>
      <c r="CV1075">
        <f t="shared" si="2228"/>
        <v>1</v>
      </c>
      <c r="CW1075">
        <f t="shared" ref="CW1075:DF1077" si="2229">IF($C1075&lt;&gt;"",IF(AH1075&gt;0,1,0),0)</f>
        <v>0</v>
      </c>
      <c r="CX1075">
        <f t="shared" si="2229"/>
        <v>0</v>
      </c>
      <c r="CY1075">
        <f t="shared" si="2229"/>
        <v>0</v>
      </c>
      <c r="CZ1075">
        <f t="shared" si="2229"/>
        <v>1</v>
      </c>
      <c r="DA1075">
        <f t="shared" si="2229"/>
        <v>0</v>
      </c>
      <c r="DB1075">
        <f t="shared" si="2229"/>
        <v>0</v>
      </c>
      <c r="DC1075">
        <f t="shared" si="2229"/>
        <v>0</v>
      </c>
      <c r="DD1075">
        <f t="shared" si="2229"/>
        <v>0</v>
      </c>
      <c r="DE1075">
        <f t="shared" si="2229"/>
        <v>0</v>
      </c>
      <c r="DF1075">
        <f t="shared" si="2229"/>
        <v>0</v>
      </c>
      <c r="DG1075">
        <f t="shared" ref="DG1075:DP1077" si="2230">IF($C1075&lt;&gt;"",IF(AR1075&gt;0,1,0),0)</f>
        <v>0</v>
      </c>
      <c r="DH1075">
        <f t="shared" si="2230"/>
        <v>0</v>
      </c>
      <c r="DI1075">
        <f t="shared" si="2230"/>
        <v>0</v>
      </c>
      <c r="DJ1075">
        <f t="shared" si="2230"/>
        <v>0</v>
      </c>
      <c r="DK1075">
        <f t="shared" si="2230"/>
        <v>1</v>
      </c>
      <c r="DL1075">
        <f t="shared" si="2230"/>
        <v>1</v>
      </c>
      <c r="DM1075">
        <f t="shared" si="2230"/>
        <v>0</v>
      </c>
      <c r="DN1075">
        <f t="shared" si="2230"/>
        <v>1</v>
      </c>
      <c r="DO1075">
        <f t="shared" si="2230"/>
        <v>0</v>
      </c>
      <c r="DP1075">
        <f t="shared" si="2230"/>
        <v>0</v>
      </c>
      <c r="DQ1075">
        <f t="shared" ref="DQ1075:DZ1077" si="2231">IF($C1075&lt;&gt;"",IF(BB1075&gt;0,1,0),0)</f>
        <v>0</v>
      </c>
      <c r="DR1075">
        <f t="shared" si="2231"/>
        <v>0</v>
      </c>
      <c r="DS1075">
        <f t="shared" si="2231"/>
        <v>0</v>
      </c>
      <c r="DT1075">
        <f t="shared" si="2231"/>
        <v>0</v>
      </c>
      <c r="DU1075">
        <f t="shared" si="2231"/>
        <v>0</v>
      </c>
      <c r="DV1075">
        <f t="shared" si="2231"/>
        <v>0</v>
      </c>
      <c r="DW1075">
        <f t="shared" si="2231"/>
        <v>0</v>
      </c>
      <c r="DX1075">
        <f t="shared" si="2231"/>
        <v>0</v>
      </c>
      <c r="DY1075">
        <f t="shared" si="2231"/>
        <v>0</v>
      </c>
      <c r="DZ1075">
        <f t="shared" si="2231"/>
        <v>0</v>
      </c>
      <c r="EA1075">
        <f t="shared" ref="EA1075:EF1077" si="2232">IF($C1075&lt;&gt;"",IF(BL1075&gt;0,1,0),0)</f>
        <v>0</v>
      </c>
      <c r="EB1075">
        <f t="shared" si="2232"/>
        <v>0</v>
      </c>
      <c r="EC1075">
        <f t="shared" si="2232"/>
        <v>0</v>
      </c>
      <c r="ED1075">
        <f t="shared" si="2232"/>
        <v>0</v>
      </c>
      <c r="EE1075">
        <f t="shared" si="2232"/>
        <v>0</v>
      </c>
      <c r="EF1075">
        <f t="shared" si="2232"/>
        <v>0</v>
      </c>
    </row>
    <row r="1076" spans="1:136" ht="15.5">
      <c r="A1076" s="90"/>
      <c r="B1076" s="19" t="s">
        <v>3</v>
      </c>
      <c r="C1076" s="94"/>
      <c r="D1076" s="18">
        <v>0</v>
      </c>
      <c r="E1076" s="18">
        <v>0</v>
      </c>
      <c r="F1076" s="18">
        <v>0</v>
      </c>
      <c r="G1076" s="18">
        <v>0</v>
      </c>
      <c r="H1076" s="18">
        <v>0</v>
      </c>
      <c r="I1076" s="18">
        <v>0</v>
      </c>
      <c r="J1076" s="18">
        <v>0</v>
      </c>
      <c r="K1076" s="18">
        <v>0</v>
      </c>
      <c r="L1076" s="18">
        <v>0</v>
      </c>
      <c r="M1076" s="18">
        <v>0</v>
      </c>
      <c r="N1076" s="18">
        <v>0</v>
      </c>
      <c r="O1076" s="18">
        <v>0</v>
      </c>
      <c r="P1076" s="18">
        <v>0</v>
      </c>
      <c r="Q1076" s="18">
        <v>0</v>
      </c>
      <c r="R1076" s="18">
        <v>0</v>
      </c>
      <c r="S1076" s="18">
        <v>0</v>
      </c>
      <c r="T1076" s="18">
        <v>0</v>
      </c>
      <c r="U1076" s="18">
        <v>0</v>
      </c>
      <c r="V1076" s="18">
        <v>0</v>
      </c>
      <c r="W1076" s="18">
        <v>0</v>
      </c>
      <c r="X1076" s="18">
        <v>0</v>
      </c>
      <c r="Y1076" s="18">
        <v>0</v>
      </c>
      <c r="Z1076" s="18">
        <v>0</v>
      </c>
      <c r="AA1076" s="18">
        <v>0</v>
      </c>
      <c r="AB1076" s="18">
        <v>0</v>
      </c>
      <c r="AC1076" s="18">
        <v>0</v>
      </c>
      <c r="AD1076" s="18">
        <v>0</v>
      </c>
      <c r="AE1076" s="18">
        <v>0</v>
      </c>
      <c r="AF1076" s="18">
        <v>0</v>
      </c>
      <c r="AG1076" s="18">
        <v>0</v>
      </c>
      <c r="AH1076" s="18">
        <v>0</v>
      </c>
      <c r="AI1076" s="18">
        <v>0</v>
      </c>
      <c r="AJ1076" s="18">
        <v>0</v>
      </c>
      <c r="AK1076" s="18">
        <v>0</v>
      </c>
      <c r="AL1076" s="18">
        <v>0</v>
      </c>
      <c r="AM1076" s="18">
        <v>0</v>
      </c>
      <c r="AN1076" s="18">
        <v>0</v>
      </c>
      <c r="AO1076" s="18">
        <v>0</v>
      </c>
      <c r="AP1076" s="18">
        <v>0</v>
      </c>
      <c r="AQ1076" s="18">
        <v>0</v>
      </c>
      <c r="AR1076" s="18">
        <v>0</v>
      </c>
      <c r="AS1076" s="18">
        <v>0</v>
      </c>
      <c r="AT1076" s="18">
        <v>0</v>
      </c>
      <c r="AU1076" s="18">
        <v>0</v>
      </c>
      <c r="AV1076" s="18">
        <v>4.9696300000000006E-2</v>
      </c>
      <c r="AW1076" s="18">
        <v>7.1463499999999999E-2</v>
      </c>
      <c r="AX1076" s="18">
        <v>0</v>
      </c>
      <c r="AY1076" s="18">
        <v>1222.4449999999999</v>
      </c>
      <c r="AZ1076" s="18">
        <v>0</v>
      </c>
      <c r="BA1076" s="18">
        <v>0</v>
      </c>
      <c r="BB1076" s="18">
        <v>0</v>
      </c>
      <c r="BC1076" s="18">
        <v>0</v>
      </c>
      <c r="BD1076" s="18">
        <v>0</v>
      </c>
      <c r="BE1076" s="25">
        <v>0</v>
      </c>
      <c r="BF1076" s="18">
        <v>0</v>
      </c>
      <c r="BG1076" s="18">
        <v>0</v>
      </c>
      <c r="BH1076" s="18">
        <v>0</v>
      </c>
      <c r="BI1076" s="18">
        <v>0</v>
      </c>
      <c r="BJ1076" s="113">
        <v>0</v>
      </c>
      <c r="BK1076" s="34">
        <v>0</v>
      </c>
      <c r="BL1076" s="130">
        <v>0</v>
      </c>
      <c r="BM1076" s="130">
        <v>0</v>
      </c>
      <c r="BN1076" s="130">
        <v>0</v>
      </c>
      <c r="BO1076" s="130">
        <v>0</v>
      </c>
      <c r="BP1076" s="130">
        <v>0</v>
      </c>
      <c r="BQ1076" s="130">
        <v>0</v>
      </c>
      <c r="BR1076" s="101"/>
      <c r="BS1076">
        <f t="shared" si="2226"/>
        <v>0</v>
      </c>
      <c r="BT1076">
        <f t="shared" si="2226"/>
        <v>0</v>
      </c>
      <c r="BU1076">
        <f t="shared" si="2226"/>
        <v>0</v>
      </c>
      <c r="BV1076">
        <f t="shared" si="2226"/>
        <v>0</v>
      </c>
      <c r="BW1076">
        <f t="shared" si="2226"/>
        <v>0</v>
      </c>
      <c r="BX1076">
        <f t="shared" si="2226"/>
        <v>0</v>
      </c>
      <c r="BY1076">
        <f t="shared" si="2226"/>
        <v>0</v>
      </c>
      <c r="BZ1076">
        <f t="shared" si="2226"/>
        <v>0</v>
      </c>
      <c r="CA1076">
        <f t="shared" si="2226"/>
        <v>0</v>
      </c>
      <c r="CB1076">
        <f t="shared" si="2226"/>
        <v>0</v>
      </c>
      <c r="CC1076">
        <f t="shared" si="2227"/>
        <v>0</v>
      </c>
      <c r="CD1076">
        <f t="shared" si="2227"/>
        <v>0</v>
      </c>
      <c r="CE1076">
        <f t="shared" si="2227"/>
        <v>0</v>
      </c>
      <c r="CF1076">
        <f t="shared" si="2227"/>
        <v>0</v>
      </c>
      <c r="CG1076">
        <f t="shared" si="2227"/>
        <v>0</v>
      </c>
      <c r="CH1076">
        <f t="shared" si="2227"/>
        <v>0</v>
      </c>
      <c r="CI1076">
        <f t="shared" si="2227"/>
        <v>0</v>
      </c>
      <c r="CJ1076">
        <f t="shared" si="2227"/>
        <v>0</v>
      </c>
      <c r="CK1076">
        <f t="shared" si="2227"/>
        <v>0</v>
      </c>
      <c r="CL1076">
        <f t="shared" si="2227"/>
        <v>0</v>
      </c>
      <c r="CM1076">
        <f t="shared" si="2228"/>
        <v>0</v>
      </c>
      <c r="CN1076">
        <f t="shared" si="2228"/>
        <v>0</v>
      </c>
      <c r="CO1076">
        <f t="shared" si="2228"/>
        <v>0</v>
      </c>
      <c r="CP1076">
        <f t="shared" si="2228"/>
        <v>0</v>
      </c>
      <c r="CQ1076">
        <f t="shared" si="2228"/>
        <v>0</v>
      </c>
      <c r="CR1076">
        <f t="shared" si="2228"/>
        <v>0</v>
      </c>
      <c r="CS1076">
        <f t="shared" si="2228"/>
        <v>0</v>
      </c>
      <c r="CT1076">
        <f t="shared" si="2228"/>
        <v>0</v>
      </c>
      <c r="CU1076">
        <f t="shared" si="2228"/>
        <v>0</v>
      </c>
      <c r="CV1076">
        <f t="shared" si="2228"/>
        <v>0</v>
      </c>
      <c r="CW1076">
        <f t="shared" si="2229"/>
        <v>0</v>
      </c>
      <c r="CX1076">
        <f t="shared" si="2229"/>
        <v>0</v>
      </c>
      <c r="CY1076">
        <f t="shared" si="2229"/>
        <v>0</v>
      </c>
      <c r="CZ1076">
        <f t="shared" si="2229"/>
        <v>0</v>
      </c>
      <c r="DA1076">
        <f t="shared" si="2229"/>
        <v>0</v>
      </c>
      <c r="DB1076">
        <f t="shared" si="2229"/>
        <v>0</v>
      </c>
      <c r="DC1076">
        <f t="shared" si="2229"/>
        <v>0</v>
      </c>
      <c r="DD1076">
        <f t="shared" si="2229"/>
        <v>0</v>
      </c>
      <c r="DE1076">
        <f t="shared" si="2229"/>
        <v>0</v>
      </c>
      <c r="DF1076">
        <f t="shared" si="2229"/>
        <v>0</v>
      </c>
      <c r="DG1076">
        <f t="shared" si="2230"/>
        <v>0</v>
      </c>
      <c r="DH1076">
        <f t="shared" si="2230"/>
        <v>0</v>
      </c>
      <c r="DI1076">
        <f t="shared" si="2230"/>
        <v>0</v>
      </c>
      <c r="DJ1076">
        <f t="shared" si="2230"/>
        <v>0</v>
      </c>
      <c r="DK1076">
        <f t="shared" si="2230"/>
        <v>0</v>
      </c>
      <c r="DL1076">
        <f t="shared" si="2230"/>
        <v>0</v>
      </c>
      <c r="DM1076">
        <f t="shared" si="2230"/>
        <v>0</v>
      </c>
      <c r="DN1076">
        <f t="shared" si="2230"/>
        <v>0</v>
      </c>
      <c r="DO1076">
        <f t="shared" si="2230"/>
        <v>0</v>
      </c>
      <c r="DP1076">
        <f t="shared" si="2230"/>
        <v>0</v>
      </c>
      <c r="DQ1076">
        <f t="shared" si="2231"/>
        <v>0</v>
      </c>
      <c r="DR1076">
        <f t="shared" si="2231"/>
        <v>0</v>
      </c>
      <c r="DS1076">
        <f t="shared" si="2231"/>
        <v>0</v>
      </c>
      <c r="DT1076">
        <f t="shared" si="2231"/>
        <v>0</v>
      </c>
      <c r="DU1076">
        <f t="shared" si="2231"/>
        <v>0</v>
      </c>
      <c r="DV1076">
        <f t="shared" si="2231"/>
        <v>0</v>
      </c>
      <c r="DW1076">
        <f t="shared" si="2231"/>
        <v>0</v>
      </c>
      <c r="DX1076">
        <f t="shared" si="2231"/>
        <v>0</v>
      </c>
      <c r="DY1076">
        <f t="shared" si="2231"/>
        <v>0</v>
      </c>
      <c r="DZ1076">
        <f t="shared" si="2231"/>
        <v>0</v>
      </c>
      <c r="EA1076">
        <f t="shared" si="2232"/>
        <v>0</v>
      </c>
      <c r="EB1076">
        <f t="shared" si="2232"/>
        <v>0</v>
      </c>
      <c r="EC1076">
        <f t="shared" si="2232"/>
        <v>0</v>
      </c>
      <c r="ED1076">
        <f t="shared" si="2232"/>
        <v>0</v>
      </c>
      <c r="EE1076">
        <f t="shared" si="2232"/>
        <v>0</v>
      </c>
      <c r="EF1076">
        <f t="shared" si="2232"/>
        <v>0</v>
      </c>
    </row>
    <row r="1077" spans="1:136" ht="15.5">
      <c r="A1077" s="90"/>
      <c r="B1077" s="19" t="s">
        <v>18</v>
      </c>
      <c r="C1077" s="94"/>
      <c r="D1077" s="18">
        <v>0</v>
      </c>
      <c r="E1077" s="18">
        <v>0</v>
      </c>
      <c r="F1077" s="18">
        <v>0</v>
      </c>
      <c r="G1077" s="18">
        <v>0</v>
      </c>
      <c r="H1077" s="18">
        <v>0</v>
      </c>
      <c r="I1077" s="18">
        <v>0</v>
      </c>
      <c r="J1077" s="18">
        <v>0</v>
      </c>
      <c r="K1077" s="18">
        <v>0</v>
      </c>
      <c r="L1077" s="18">
        <v>0</v>
      </c>
      <c r="M1077" s="18">
        <v>0</v>
      </c>
      <c r="N1077" s="18">
        <v>0</v>
      </c>
      <c r="O1077" s="18">
        <v>0</v>
      </c>
      <c r="P1077" s="18">
        <v>0</v>
      </c>
      <c r="Q1077" s="18">
        <v>0</v>
      </c>
      <c r="R1077" s="18">
        <v>0</v>
      </c>
      <c r="S1077" s="18">
        <v>0</v>
      </c>
      <c r="T1077" s="18">
        <v>0</v>
      </c>
      <c r="U1077" s="18">
        <v>0</v>
      </c>
      <c r="V1077" s="18">
        <v>0</v>
      </c>
      <c r="W1077" s="18">
        <v>0</v>
      </c>
      <c r="X1077" s="18">
        <v>0</v>
      </c>
      <c r="Y1077" s="18">
        <v>0</v>
      </c>
      <c r="Z1077" s="18">
        <v>0</v>
      </c>
      <c r="AA1077" s="18">
        <v>0</v>
      </c>
      <c r="AB1077" s="18">
        <v>0</v>
      </c>
      <c r="AC1077" s="18">
        <v>13628</v>
      </c>
      <c r="AD1077" s="18">
        <v>16900</v>
      </c>
      <c r="AE1077" s="18">
        <v>16900</v>
      </c>
      <c r="AF1077" s="18">
        <v>0</v>
      </c>
      <c r="AG1077" s="18">
        <v>7500</v>
      </c>
      <c r="AH1077" s="18">
        <v>0</v>
      </c>
      <c r="AI1077" s="18">
        <v>0</v>
      </c>
      <c r="AJ1077" s="18">
        <v>0</v>
      </c>
      <c r="AK1077" s="18">
        <v>5000</v>
      </c>
      <c r="AL1077" s="18">
        <v>0</v>
      </c>
      <c r="AM1077" s="18">
        <v>0</v>
      </c>
      <c r="AN1077" s="18">
        <v>0</v>
      </c>
      <c r="AO1077" s="18">
        <v>0</v>
      </c>
      <c r="AP1077" s="18">
        <v>0</v>
      </c>
      <c r="AQ1077" s="18">
        <v>0</v>
      </c>
      <c r="AR1077" s="18">
        <v>0</v>
      </c>
      <c r="AS1077" s="18">
        <v>0</v>
      </c>
      <c r="AT1077" s="18">
        <v>0</v>
      </c>
      <c r="AU1077" s="18">
        <v>0</v>
      </c>
      <c r="AV1077" s="18">
        <v>0</v>
      </c>
      <c r="AW1077" s="18">
        <v>0</v>
      </c>
      <c r="AX1077" s="18">
        <v>0</v>
      </c>
      <c r="AY1077" s="18">
        <v>0</v>
      </c>
      <c r="AZ1077" s="18">
        <v>0</v>
      </c>
      <c r="BA1077" s="18">
        <v>0</v>
      </c>
      <c r="BB1077" s="18">
        <v>0</v>
      </c>
      <c r="BC1077" s="18">
        <v>0</v>
      </c>
      <c r="BD1077" s="18">
        <v>0</v>
      </c>
      <c r="BE1077" s="25">
        <v>0</v>
      </c>
      <c r="BF1077" s="18">
        <v>0</v>
      </c>
      <c r="BG1077" s="18">
        <v>0</v>
      </c>
      <c r="BH1077" s="18">
        <v>0</v>
      </c>
      <c r="BI1077" s="18">
        <v>0</v>
      </c>
      <c r="BJ1077" s="113">
        <v>0</v>
      </c>
      <c r="BK1077" s="113">
        <v>0</v>
      </c>
      <c r="BL1077" s="113">
        <v>0</v>
      </c>
      <c r="BM1077" s="113">
        <v>0</v>
      </c>
      <c r="BN1077" s="113">
        <v>0</v>
      </c>
      <c r="BO1077" s="113">
        <v>0</v>
      </c>
      <c r="BP1077" s="113">
        <v>0</v>
      </c>
      <c r="BQ1077" s="113">
        <v>0</v>
      </c>
      <c r="BR1077" s="101"/>
      <c r="BS1077">
        <f t="shared" si="2226"/>
        <v>0</v>
      </c>
      <c r="BT1077">
        <f t="shared" si="2226"/>
        <v>0</v>
      </c>
      <c r="BU1077">
        <f t="shared" si="2226"/>
        <v>0</v>
      </c>
      <c r="BV1077">
        <f t="shared" si="2226"/>
        <v>0</v>
      </c>
      <c r="BW1077">
        <f t="shared" si="2226"/>
        <v>0</v>
      </c>
      <c r="BX1077">
        <f t="shared" si="2226"/>
        <v>0</v>
      </c>
      <c r="BY1077">
        <f t="shared" si="2226"/>
        <v>0</v>
      </c>
      <c r="BZ1077">
        <f t="shared" si="2226"/>
        <v>0</v>
      </c>
      <c r="CA1077">
        <f t="shared" si="2226"/>
        <v>0</v>
      </c>
      <c r="CB1077">
        <f t="shared" si="2226"/>
        <v>0</v>
      </c>
      <c r="CC1077">
        <f t="shared" si="2227"/>
        <v>0</v>
      </c>
      <c r="CD1077">
        <f t="shared" si="2227"/>
        <v>0</v>
      </c>
      <c r="CE1077">
        <f t="shared" si="2227"/>
        <v>0</v>
      </c>
      <c r="CF1077">
        <f t="shared" si="2227"/>
        <v>0</v>
      </c>
      <c r="CG1077">
        <f t="shared" si="2227"/>
        <v>0</v>
      </c>
      <c r="CH1077">
        <f t="shared" si="2227"/>
        <v>0</v>
      </c>
      <c r="CI1077">
        <f t="shared" si="2227"/>
        <v>0</v>
      </c>
      <c r="CJ1077">
        <f t="shared" si="2227"/>
        <v>0</v>
      </c>
      <c r="CK1077">
        <f t="shared" si="2227"/>
        <v>0</v>
      </c>
      <c r="CL1077">
        <f t="shared" si="2227"/>
        <v>0</v>
      </c>
      <c r="CM1077">
        <f t="shared" si="2228"/>
        <v>0</v>
      </c>
      <c r="CN1077">
        <f t="shared" si="2228"/>
        <v>0</v>
      </c>
      <c r="CO1077">
        <f t="shared" si="2228"/>
        <v>0</v>
      </c>
      <c r="CP1077">
        <f t="shared" si="2228"/>
        <v>0</v>
      </c>
      <c r="CQ1077">
        <f t="shared" si="2228"/>
        <v>0</v>
      </c>
      <c r="CR1077">
        <f t="shared" si="2228"/>
        <v>0</v>
      </c>
      <c r="CS1077">
        <f t="shared" si="2228"/>
        <v>0</v>
      </c>
      <c r="CT1077">
        <f t="shared" si="2228"/>
        <v>0</v>
      </c>
      <c r="CU1077">
        <f t="shared" si="2228"/>
        <v>0</v>
      </c>
      <c r="CV1077">
        <f t="shared" si="2228"/>
        <v>0</v>
      </c>
      <c r="CW1077">
        <f t="shared" si="2229"/>
        <v>0</v>
      </c>
      <c r="CX1077">
        <f t="shared" si="2229"/>
        <v>0</v>
      </c>
      <c r="CY1077">
        <f t="shared" si="2229"/>
        <v>0</v>
      </c>
      <c r="CZ1077">
        <f t="shared" si="2229"/>
        <v>0</v>
      </c>
      <c r="DA1077">
        <f t="shared" si="2229"/>
        <v>0</v>
      </c>
      <c r="DB1077">
        <f t="shared" si="2229"/>
        <v>0</v>
      </c>
      <c r="DC1077">
        <f t="shared" si="2229"/>
        <v>0</v>
      </c>
      <c r="DD1077">
        <f t="shared" si="2229"/>
        <v>0</v>
      </c>
      <c r="DE1077">
        <f t="shared" si="2229"/>
        <v>0</v>
      </c>
      <c r="DF1077">
        <f t="shared" si="2229"/>
        <v>0</v>
      </c>
      <c r="DG1077">
        <f t="shared" si="2230"/>
        <v>0</v>
      </c>
      <c r="DH1077">
        <f t="shared" si="2230"/>
        <v>0</v>
      </c>
      <c r="DI1077">
        <f t="shared" si="2230"/>
        <v>0</v>
      </c>
      <c r="DJ1077">
        <f t="shared" si="2230"/>
        <v>0</v>
      </c>
      <c r="DK1077">
        <f t="shared" si="2230"/>
        <v>0</v>
      </c>
      <c r="DL1077">
        <f t="shared" si="2230"/>
        <v>0</v>
      </c>
      <c r="DM1077">
        <f t="shared" si="2230"/>
        <v>0</v>
      </c>
      <c r="DN1077">
        <f t="shared" si="2230"/>
        <v>0</v>
      </c>
      <c r="DO1077">
        <f t="shared" si="2230"/>
        <v>0</v>
      </c>
      <c r="DP1077">
        <f t="shared" si="2230"/>
        <v>0</v>
      </c>
      <c r="DQ1077">
        <f t="shared" si="2231"/>
        <v>0</v>
      </c>
      <c r="DR1077">
        <f t="shared" si="2231"/>
        <v>0</v>
      </c>
      <c r="DS1077">
        <f t="shared" si="2231"/>
        <v>0</v>
      </c>
      <c r="DT1077">
        <f t="shared" si="2231"/>
        <v>0</v>
      </c>
      <c r="DU1077">
        <f t="shared" si="2231"/>
        <v>0</v>
      </c>
      <c r="DV1077">
        <f t="shared" si="2231"/>
        <v>0</v>
      </c>
      <c r="DW1077">
        <f t="shared" si="2231"/>
        <v>0</v>
      </c>
      <c r="DX1077">
        <f t="shared" si="2231"/>
        <v>0</v>
      </c>
      <c r="DY1077">
        <f t="shared" si="2231"/>
        <v>0</v>
      </c>
      <c r="DZ1077">
        <f t="shared" si="2231"/>
        <v>0</v>
      </c>
      <c r="EA1077">
        <f t="shared" si="2232"/>
        <v>0</v>
      </c>
      <c r="EB1077">
        <f t="shared" si="2232"/>
        <v>0</v>
      </c>
      <c r="EC1077">
        <f t="shared" si="2232"/>
        <v>0</v>
      </c>
      <c r="ED1077">
        <f t="shared" si="2232"/>
        <v>0</v>
      </c>
      <c r="EE1077">
        <f t="shared" si="2232"/>
        <v>0</v>
      </c>
      <c r="EF1077">
        <f t="shared" si="2232"/>
        <v>0</v>
      </c>
    </row>
    <row r="1078" spans="1:136" ht="15.5">
      <c r="A1078" s="90"/>
      <c r="B1078" s="19"/>
      <c r="C1078" s="94"/>
      <c r="D1078" s="18"/>
      <c r="E1078" s="18"/>
      <c r="F1078" s="18"/>
      <c r="G1078" s="18"/>
      <c r="H1078" s="18"/>
      <c r="I1078" s="18"/>
      <c r="J1078" s="18"/>
      <c r="K1078" s="18"/>
      <c r="L1078" s="18"/>
      <c r="M1078" s="18"/>
      <c r="N1078" s="18"/>
      <c r="O1078" s="18"/>
      <c r="P1078" s="18"/>
      <c r="Q1078" s="18"/>
      <c r="R1078" s="18"/>
      <c r="S1078" s="18"/>
      <c r="T1078" s="18"/>
      <c r="U1078" s="18"/>
      <c r="V1078" s="18"/>
      <c r="W1078" s="18"/>
      <c r="X1078" s="18"/>
      <c r="Y1078" s="18"/>
      <c r="Z1078" s="18"/>
      <c r="AA1078" s="18"/>
      <c r="AB1078" s="18"/>
      <c r="AC1078" s="18"/>
      <c r="AD1078" s="18"/>
      <c r="AE1078" s="18"/>
      <c r="AF1078" s="18"/>
      <c r="AG1078" s="18"/>
      <c r="AH1078" s="18"/>
      <c r="AI1078" s="18"/>
      <c r="AJ1078" s="18"/>
      <c r="AK1078" s="18"/>
      <c r="AL1078" s="18"/>
      <c r="AM1078" s="18"/>
      <c r="AN1078" s="18"/>
      <c r="AO1078" s="18"/>
      <c r="AP1078" s="18"/>
      <c r="AQ1078" s="18"/>
      <c r="AR1078" s="18"/>
      <c r="AS1078" s="18"/>
      <c r="AT1078" s="18"/>
      <c r="AU1078" s="18"/>
      <c r="AV1078" s="18"/>
      <c r="AW1078" s="18"/>
      <c r="AX1078" s="18"/>
      <c r="AY1078" s="18"/>
      <c r="AZ1078" s="18"/>
      <c r="BA1078" s="18"/>
      <c r="BB1078" s="18"/>
      <c r="BC1078" s="18"/>
      <c r="BD1078" s="18"/>
      <c r="BE1078" s="25"/>
      <c r="BF1078" s="18"/>
      <c r="BG1078" s="18"/>
      <c r="BH1078" s="18"/>
      <c r="BI1078" s="2"/>
      <c r="BJ1078" s="2"/>
      <c r="BK1078" s="2"/>
      <c r="BL1078" s="22"/>
      <c r="BM1078" s="2"/>
      <c r="BN1078" s="2"/>
      <c r="BO1078" s="2"/>
      <c r="BP1078" s="2"/>
      <c r="BQ1078" s="2"/>
      <c r="BR1078" s="101"/>
    </row>
    <row r="1079" spans="1:136" ht="15.5">
      <c r="A1079" s="93">
        <v>137</v>
      </c>
      <c r="B1079" s="32" t="s">
        <v>183</v>
      </c>
      <c r="C1079" s="94">
        <v>4</v>
      </c>
      <c r="D1079" s="18"/>
      <c r="E1079" s="18"/>
      <c r="F1079" s="18"/>
      <c r="G1079" s="18"/>
      <c r="H1079" s="18"/>
      <c r="I1079" s="18"/>
      <c r="J1079" s="18"/>
      <c r="K1079" s="18"/>
      <c r="L1079" s="18"/>
      <c r="M1079" s="18"/>
      <c r="N1079" s="18"/>
      <c r="O1079" s="18"/>
      <c r="P1079" s="18"/>
      <c r="Q1079" s="18"/>
      <c r="R1079" s="18"/>
      <c r="S1079" s="18"/>
      <c r="T1079" s="18"/>
      <c r="U1079" s="18"/>
      <c r="V1079" s="18"/>
      <c r="W1079" s="18"/>
      <c r="X1079" s="18"/>
      <c r="Y1079" s="18"/>
      <c r="Z1079" s="18"/>
      <c r="AA1079" s="18"/>
      <c r="AB1079" s="18"/>
      <c r="AC1079" s="18"/>
      <c r="AD1079" s="18"/>
      <c r="AE1079" s="18"/>
      <c r="AF1079" s="18"/>
      <c r="AG1079" s="18"/>
      <c r="AH1079" s="18"/>
      <c r="AI1079" s="18"/>
      <c r="AJ1079" s="18"/>
      <c r="AK1079" s="18"/>
      <c r="AL1079" s="18"/>
      <c r="AM1079" s="18"/>
      <c r="AN1079" s="18"/>
      <c r="AO1079" s="18"/>
      <c r="AP1079" s="18"/>
      <c r="AQ1079" s="18"/>
      <c r="AR1079" s="18"/>
      <c r="AS1079" s="18"/>
      <c r="AT1079" s="18"/>
      <c r="AU1079" s="18"/>
      <c r="AV1079" s="18"/>
      <c r="AW1079" s="18"/>
      <c r="AX1079" s="18"/>
      <c r="AY1079" s="18"/>
      <c r="AZ1079" s="18"/>
      <c r="BA1079" s="18"/>
      <c r="BB1079" s="22">
        <f>BB1081+BB1083</f>
        <v>0</v>
      </c>
      <c r="BC1079" s="22">
        <f>BC1081+BC1083</f>
        <v>0</v>
      </c>
      <c r="BD1079" s="22">
        <f>BD1081+BD1083</f>
        <v>0</v>
      </c>
      <c r="BE1079" s="22">
        <f t="shared" ref="BE1079:BP1079" si="2233">SUM(BE1081:BE1083)</f>
        <v>374</v>
      </c>
      <c r="BF1079" s="22">
        <f t="shared" si="2233"/>
        <v>1584</v>
      </c>
      <c r="BG1079" s="22">
        <f t="shared" si="2233"/>
        <v>1728</v>
      </c>
      <c r="BH1079" s="22">
        <f t="shared" si="2233"/>
        <v>2040</v>
      </c>
      <c r="BI1079" s="22">
        <f t="shared" si="2233"/>
        <v>1869</v>
      </c>
      <c r="BJ1079" s="22">
        <f t="shared" si="2233"/>
        <v>719</v>
      </c>
      <c r="BK1079" s="22">
        <f t="shared" si="2233"/>
        <v>400</v>
      </c>
      <c r="BL1079" s="22">
        <f t="shared" si="2233"/>
        <v>656</v>
      </c>
      <c r="BM1079" s="22">
        <f t="shared" si="2233"/>
        <v>682</v>
      </c>
      <c r="BN1079" s="22">
        <f t="shared" si="2233"/>
        <v>709</v>
      </c>
      <c r="BO1079" s="22">
        <f t="shared" si="2233"/>
        <v>774</v>
      </c>
      <c r="BP1079" s="22">
        <f t="shared" si="2233"/>
        <v>768</v>
      </c>
      <c r="BQ1079" s="22">
        <f t="shared" ref="BQ1079" si="2234">SUM(BQ1081:BQ1083)</f>
        <v>789</v>
      </c>
      <c r="BR1079" s="101"/>
      <c r="BS1079">
        <f t="shared" ref="BS1079:CB1080" si="2235">IF($C1079&lt;&gt;"",IF(D1079&gt;0,1,0),0)</f>
        <v>0</v>
      </c>
      <c r="BT1079">
        <f t="shared" si="2235"/>
        <v>0</v>
      </c>
      <c r="BU1079">
        <f t="shared" si="2235"/>
        <v>0</v>
      </c>
      <c r="BV1079">
        <f t="shared" si="2235"/>
        <v>0</v>
      </c>
      <c r="BW1079">
        <f t="shared" si="2235"/>
        <v>0</v>
      </c>
      <c r="BX1079">
        <f t="shared" si="2235"/>
        <v>0</v>
      </c>
      <c r="BY1079">
        <f t="shared" si="2235"/>
        <v>0</v>
      </c>
      <c r="BZ1079">
        <f t="shared" si="2235"/>
        <v>0</v>
      </c>
      <c r="CA1079">
        <f t="shared" si="2235"/>
        <v>0</v>
      </c>
      <c r="CB1079">
        <f t="shared" si="2235"/>
        <v>0</v>
      </c>
      <c r="CC1079">
        <f t="shared" ref="CC1079:CL1080" si="2236">IF($C1079&lt;&gt;"",IF(N1079&gt;0,1,0),0)</f>
        <v>0</v>
      </c>
      <c r="CD1079">
        <f t="shared" si="2236"/>
        <v>0</v>
      </c>
      <c r="CE1079">
        <f t="shared" si="2236"/>
        <v>0</v>
      </c>
      <c r="CF1079">
        <f t="shared" si="2236"/>
        <v>0</v>
      </c>
      <c r="CG1079">
        <f t="shared" si="2236"/>
        <v>0</v>
      </c>
      <c r="CH1079">
        <f t="shared" si="2236"/>
        <v>0</v>
      </c>
      <c r="CI1079">
        <f t="shared" si="2236"/>
        <v>0</v>
      </c>
      <c r="CJ1079">
        <f t="shared" si="2236"/>
        <v>0</v>
      </c>
      <c r="CK1079">
        <f t="shared" si="2236"/>
        <v>0</v>
      </c>
      <c r="CL1079">
        <f t="shared" si="2236"/>
        <v>0</v>
      </c>
      <c r="CM1079">
        <f t="shared" ref="CM1079:CV1080" si="2237">IF($C1079&lt;&gt;"",IF(X1079&gt;0,1,0),0)</f>
        <v>0</v>
      </c>
      <c r="CN1079">
        <f t="shared" si="2237"/>
        <v>0</v>
      </c>
      <c r="CO1079">
        <f t="shared" si="2237"/>
        <v>0</v>
      </c>
      <c r="CP1079">
        <f t="shared" si="2237"/>
        <v>0</v>
      </c>
      <c r="CQ1079">
        <f t="shared" si="2237"/>
        <v>0</v>
      </c>
      <c r="CR1079">
        <f t="shared" si="2237"/>
        <v>0</v>
      </c>
      <c r="CS1079">
        <f t="shared" si="2237"/>
        <v>0</v>
      </c>
      <c r="CT1079">
        <f t="shared" si="2237"/>
        <v>0</v>
      </c>
      <c r="CU1079">
        <f t="shared" si="2237"/>
        <v>0</v>
      </c>
      <c r="CV1079">
        <f t="shared" si="2237"/>
        <v>0</v>
      </c>
      <c r="CW1079">
        <f t="shared" ref="CW1079:DF1080" si="2238">IF($C1079&lt;&gt;"",IF(AH1079&gt;0,1,0),0)</f>
        <v>0</v>
      </c>
      <c r="CX1079">
        <f t="shared" si="2238"/>
        <v>0</v>
      </c>
      <c r="CY1079">
        <f t="shared" si="2238"/>
        <v>0</v>
      </c>
      <c r="CZ1079">
        <f t="shared" si="2238"/>
        <v>0</v>
      </c>
      <c r="DA1079">
        <f t="shared" si="2238"/>
        <v>0</v>
      </c>
      <c r="DB1079">
        <f t="shared" si="2238"/>
        <v>0</v>
      </c>
      <c r="DC1079">
        <f t="shared" si="2238"/>
        <v>0</v>
      </c>
      <c r="DD1079">
        <f t="shared" si="2238"/>
        <v>0</v>
      </c>
      <c r="DE1079">
        <f t="shared" si="2238"/>
        <v>0</v>
      </c>
      <c r="DF1079">
        <f t="shared" si="2238"/>
        <v>0</v>
      </c>
      <c r="DG1079">
        <f t="shared" ref="DG1079:DP1080" si="2239">IF($C1079&lt;&gt;"",IF(AR1079&gt;0,1,0),0)</f>
        <v>0</v>
      </c>
      <c r="DH1079">
        <f t="shared" si="2239"/>
        <v>0</v>
      </c>
      <c r="DI1079">
        <f t="shared" si="2239"/>
        <v>0</v>
      </c>
      <c r="DJ1079">
        <f t="shared" si="2239"/>
        <v>0</v>
      </c>
      <c r="DK1079">
        <f t="shared" si="2239"/>
        <v>0</v>
      </c>
      <c r="DL1079">
        <f t="shared" si="2239"/>
        <v>0</v>
      </c>
      <c r="DM1079">
        <f t="shared" si="2239"/>
        <v>0</v>
      </c>
      <c r="DN1079">
        <f t="shared" si="2239"/>
        <v>0</v>
      </c>
      <c r="DO1079">
        <f t="shared" si="2239"/>
        <v>0</v>
      </c>
      <c r="DP1079">
        <f t="shared" si="2239"/>
        <v>0</v>
      </c>
      <c r="DQ1079">
        <f t="shared" ref="DQ1079:DZ1080" si="2240">IF($C1079&lt;&gt;"",IF(BB1079&gt;0,1,0),0)</f>
        <v>0</v>
      </c>
      <c r="DR1079">
        <f t="shared" si="2240"/>
        <v>0</v>
      </c>
      <c r="DS1079">
        <f t="shared" si="2240"/>
        <v>0</v>
      </c>
      <c r="DT1079">
        <f t="shared" si="2240"/>
        <v>1</v>
      </c>
      <c r="DU1079">
        <f t="shared" si="2240"/>
        <v>1</v>
      </c>
      <c r="DV1079">
        <f t="shared" si="2240"/>
        <v>1</v>
      </c>
      <c r="DW1079">
        <f t="shared" si="2240"/>
        <v>1</v>
      </c>
      <c r="DX1079">
        <f t="shared" si="2240"/>
        <v>1</v>
      </c>
      <c r="DY1079">
        <f t="shared" si="2240"/>
        <v>1</v>
      </c>
      <c r="DZ1079">
        <f t="shared" si="2240"/>
        <v>1</v>
      </c>
      <c r="EA1079">
        <f t="shared" ref="EA1079:EF1080" si="2241">IF($C1079&lt;&gt;"",IF(BL1079&gt;0,1,0),0)</f>
        <v>1</v>
      </c>
      <c r="EB1079">
        <f t="shared" si="2241"/>
        <v>1</v>
      </c>
      <c r="EC1079">
        <f t="shared" si="2241"/>
        <v>1</v>
      </c>
      <c r="ED1079">
        <f t="shared" si="2241"/>
        <v>1</v>
      </c>
      <c r="EE1079">
        <f t="shared" si="2241"/>
        <v>1</v>
      </c>
      <c r="EF1079">
        <f t="shared" si="2241"/>
        <v>1</v>
      </c>
    </row>
    <row r="1080" spans="1:136" ht="15.5">
      <c r="A1080" s="90"/>
      <c r="B1080" s="32" t="s">
        <v>239</v>
      </c>
      <c r="C1080" s="94"/>
      <c r="D1080" s="18"/>
      <c r="E1080" s="18"/>
      <c r="F1080" s="18"/>
      <c r="G1080" s="18"/>
      <c r="H1080" s="18"/>
      <c r="I1080" s="18"/>
      <c r="J1080" s="18"/>
      <c r="K1080" s="18"/>
      <c r="L1080" s="18"/>
      <c r="M1080" s="18"/>
      <c r="N1080" s="18"/>
      <c r="O1080" s="18"/>
      <c r="P1080" s="18"/>
      <c r="Q1080" s="18"/>
      <c r="R1080" s="18"/>
      <c r="S1080" s="18"/>
      <c r="T1080" s="18"/>
      <c r="U1080" s="18"/>
      <c r="V1080" s="18"/>
      <c r="W1080" s="18"/>
      <c r="X1080" s="18"/>
      <c r="Y1080" s="18"/>
      <c r="Z1080" s="18"/>
      <c r="AA1080" s="18"/>
      <c r="AB1080" s="18"/>
      <c r="AC1080" s="18"/>
      <c r="AD1080" s="18"/>
      <c r="AE1080" s="18"/>
      <c r="AF1080" s="18"/>
      <c r="AG1080" s="18"/>
      <c r="AH1080" s="18"/>
      <c r="AI1080" s="18"/>
      <c r="AJ1080" s="18"/>
      <c r="AK1080" s="18"/>
      <c r="AL1080" s="18"/>
      <c r="AM1080" s="18"/>
      <c r="AN1080" s="18"/>
      <c r="AO1080" s="18"/>
      <c r="AP1080" s="18"/>
      <c r="AQ1080" s="18"/>
      <c r="AR1080" s="18"/>
      <c r="AS1080" s="18"/>
      <c r="AT1080" s="18"/>
      <c r="AU1080" s="18"/>
      <c r="AV1080" s="18"/>
      <c r="AW1080" s="18"/>
      <c r="AX1080" s="18"/>
      <c r="AY1080" s="18"/>
      <c r="AZ1080" s="18"/>
      <c r="BA1080" s="18"/>
      <c r="BB1080" s="18">
        <v>0</v>
      </c>
      <c r="BC1080" s="18">
        <v>0</v>
      </c>
      <c r="BD1080" s="18">
        <v>0</v>
      </c>
      <c r="BE1080" s="25">
        <v>0</v>
      </c>
      <c r="BF1080" s="18">
        <v>0</v>
      </c>
      <c r="BG1080" s="18">
        <v>0</v>
      </c>
      <c r="BH1080" s="18">
        <v>0</v>
      </c>
      <c r="BI1080" s="18">
        <v>0</v>
      </c>
      <c r="BJ1080" s="192">
        <v>0</v>
      </c>
      <c r="BK1080" s="18">
        <v>0</v>
      </c>
      <c r="BL1080" s="18">
        <v>0</v>
      </c>
      <c r="BM1080" s="18">
        <v>0</v>
      </c>
      <c r="BN1080" s="18">
        <v>0</v>
      </c>
      <c r="BO1080" s="18">
        <v>0</v>
      </c>
      <c r="BP1080" s="18">
        <v>0</v>
      </c>
      <c r="BQ1080" s="18">
        <v>0</v>
      </c>
      <c r="BR1080" s="101"/>
      <c r="BS1080">
        <f t="shared" si="2235"/>
        <v>0</v>
      </c>
      <c r="BT1080">
        <f t="shared" si="2235"/>
        <v>0</v>
      </c>
      <c r="BU1080">
        <f t="shared" si="2235"/>
        <v>0</v>
      </c>
      <c r="BV1080">
        <f t="shared" si="2235"/>
        <v>0</v>
      </c>
      <c r="BW1080">
        <f t="shared" si="2235"/>
        <v>0</v>
      </c>
      <c r="BX1080">
        <f t="shared" si="2235"/>
        <v>0</v>
      </c>
      <c r="BY1080">
        <f t="shared" si="2235"/>
        <v>0</v>
      </c>
      <c r="BZ1080">
        <f t="shared" si="2235"/>
        <v>0</v>
      </c>
      <c r="CA1080">
        <f t="shared" si="2235"/>
        <v>0</v>
      </c>
      <c r="CB1080">
        <f t="shared" si="2235"/>
        <v>0</v>
      </c>
      <c r="CC1080">
        <f t="shared" si="2236"/>
        <v>0</v>
      </c>
      <c r="CD1080">
        <f t="shared" si="2236"/>
        <v>0</v>
      </c>
      <c r="CE1080">
        <f t="shared" si="2236"/>
        <v>0</v>
      </c>
      <c r="CF1080">
        <f t="shared" si="2236"/>
        <v>0</v>
      </c>
      <c r="CG1080">
        <f t="shared" si="2236"/>
        <v>0</v>
      </c>
      <c r="CH1080">
        <f t="shared" si="2236"/>
        <v>0</v>
      </c>
      <c r="CI1080">
        <f t="shared" si="2236"/>
        <v>0</v>
      </c>
      <c r="CJ1080">
        <f t="shared" si="2236"/>
        <v>0</v>
      </c>
      <c r="CK1080">
        <f t="shared" si="2236"/>
        <v>0</v>
      </c>
      <c r="CL1080">
        <f t="shared" si="2236"/>
        <v>0</v>
      </c>
      <c r="CM1080">
        <f t="shared" si="2237"/>
        <v>0</v>
      </c>
      <c r="CN1080">
        <f t="shared" si="2237"/>
        <v>0</v>
      </c>
      <c r="CO1080">
        <f t="shared" si="2237"/>
        <v>0</v>
      </c>
      <c r="CP1080">
        <f t="shared" si="2237"/>
        <v>0</v>
      </c>
      <c r="CQ1080">
        <f t="shared" si="2237"/>
        <v>0</v>
      </c>
      <c r="CR1080">
        <f t="shared" si="2237"/>
        <v>0</v>
      </c>
      <c r="CS1080">
        <f t="shared" si="2237"/>
        <v>0</v>
      </c>
      <c r="CT1080">
        <f t="shared" si="2237"/>
        <v>0</v>
      </c>
      <c r="CU1080">
        <f t="shared" si="2237"/>
        <v>0</v>
      </c>
      <c r="CV1080">
        <f t="shared" si="2237"/>
        <v>0</v>
      </c>
      <c r="CW1080">
        <f t="shared" si="2238"/>
        <v>0</v>
      </c>
      <c r="CX1080">
        <f t="shared" si="2238"/>
        <v>0</v>
      </c>
      <c r="CY1080">
        <f t="shared" si="2238"/>
        <v>0</v>
      </c>
      <c r="CZ1080">
        <f t="shared" si="2238"/>
        <v>0</v>
      </c>
      <c r="DA1080">
        <f t="shared" si="2238"/>
        <v>0</v>
      </c>
      <c r="DB1080">
        <f t="shared" si="2238"/>
        <v>0</v>
      </c>
      <c r="DC1080">
        <f t="shared" si="2238"/>
        <v>0</v>
      </c>
      <c r="DD1080">
        <f t="shared" si="2238"/>
        <v>0</v>
      </c>
      <c r="DE1080">
        <f t="shared" si="2238"/>
        <v>0</v>
      </c>
      <c r="DF1080">
        <f t="shared" si="2238"/>
        <v>0</v>
      </c>
      <c r="DG1080">
        <f t="shared" si="2239"/>
        <v>0</v>
      </c>
      <c r="DH1080">
        <f t="shared" si="2239"/>
        <v>0</v>
      </c>
      <c r="DI1080">
        <f t="shared" si="2239"/>
        <v>0</v>
      </c>
      <c r="DJ1080">
        <f t="shared" si="2239"/>
        <v>0</v>
      </c>
      <c r="DK1080">
        <f t="shared" si="2239"/>
        <v>0</v>
      </c>
      <c r="DL1080">
        <f t="shared" si="2239"/>
        <v>0</v>
      </c>
      <c r="DM1080">
        <f t="shared" si="2239"/>
        <v>0</v>
      </c>
      <c r="DN1080">
        <f t="shared" si="2239"/>
        <v>0</v>
      </c>
      <c r="DO1080">
        <f t="shared" si="2239"/>
        <v>0</v>
      </c>
      <c r="DP1080">
        <f t="shared" si="2239"/>
        <v>0</v>
      </c>
      <c r="DQ1080">
        <f t="shared" si="2240"/>
        <v>0</v>
      </c>
      <c r="DR1080">
        <f t="shared" si="2240"/>
        <v>0</v>
      </c>
      <c r="DS1080">
        <f t="shared" si="2240"/>
        <v>0</v>
      </c>
      <c r="DT1080">
        <f t="shared" si="2240"/>
        <v>0</v>
      </c>
      <c r="DU1080">
        <f t="shared" si="2240"/>
        <v>0</v>
      </c>
      <c r="DV1080">
        <f t="shared" si="2240"/>
        <v>0</v>
      </c>
      <c r="DW1080">
        <f t="shared" si="2240"/>
        <v>0</v>
      </c>
      <c r="DX1080">
        <f t="shared" si="2240"/>
        <v>0</v>
      </c>
      <c r="DY1080">
        <f t="shared" si="2240"/>
        <v>0</v>
      </c>
      <c r="DZ1080">
        <f t="shared" si="2240"/>
        <v>0</v>
      </c>
      <c r="EA1080">
        <f t="shared" si="2241"/>
        <v>0</v>
      </c>
      <c r="EB1080">
        <f t="shared" si="2241"/>
        <v>0</v>
      </c>
      <c r="EC1080">
        <f t="shared" si="2241"/>
        <v>0</v>
      </c>
      <c r="ED1080">
        <f t="shared" si="2241"/>
        <v>0</v>
      </c>
      <c r="EE1080">
        <f t="shared" si="2241"/>
        <v>0</v>
      </c>
      <c r="EF1080">
        <f t="shared" si="2241"/>
        <v>0</v>
      </c>
    </row>
    <row r="1081" spans="1:136" ht="15.5">
      <c r="A1081" s="90"/>
      <c r="B1081" s="57" t="s">
        <v>3</v>
      </c>
      <c r="C1081" s="94"/>
      <c r="D1081" s="18"/>
      <c r="E1081" s="18"/>
      <c r="F1081" s="18"/>
      <c r="G1081" s="18"/>
      <c r="H1081" s="18"/>
      <c r="I1081" s="18"/>
      <c r="J1081" s="18"/>
      <c r="K1081" s="18"/>
      <c r="L1081" s="18"/>
      <c r="M1081" s="18"/>
      <c r="N1081" s="18"/>
      <c r="O1081" s="18"/>
      <c r="P1081" s="18"/>
      <c r="Q1081" s="18"/>
      <c r="R1081" s="18"/>
      <c r="S1081" s="18"/>
      <c r="T1081" s="18"/>
      <c r="U1081" s="18"/>
      <c r="V1081" s="18"/>
      <c r="W1081" s="18"/>
      <c r="X1081" s="18"/>
      <c r="Y1081" s="18"/>
      <c r="Z1081" s="18"/>
      <c r="AA1081" s="18"/>
      <c r="AB1081" s="18"/>
      <c r="AC1081" s="18"/>
      <c r="AD1081" s="18"/>
      <c r="AE1081" s="18"/>
      <c r="AF1081" s="18"/>
      <c r="AG1081" s="18"/>
      <c r="AH1081" s="18"/>
      <c r="AI1081" s="18"/>
      <c r="AJ1081" s="18"/>
      <c r="AK1081" s="18"/>
      <c r="AL1081" s="18"/>
      <c r="AM1081" s="18"/>
      <c r="AN1081" s="18"/>
      <c r="AO1081" s="18"/>
      <c r="AP1081" s="18"/>
      <c r="AQ1081" s="18"/>
      <c r="AR1081" s="18"/>
      <c r="AS1081" s="18"/>
      <c r="AT1081" s="18"/>
      <c r="AU1081" s="18"/>
      <c r="AV1081" s="18"/>
      <c r="AW1081" s="18"/>
      <c r="AX1081" s="18"/>
      <c r="AY1081" s="18"/>
      <c r="AZ1081" s="18"/>
      <c r="BA1081" s="18"/>
      <c r="BB1081" s="18">
        <v>0</v>
      </c>
      <c r="BC1081" s="18">
        <v>0</v>
      </c>
      <c r="BD1081" s="18">
        <v>0</v>
      </c>
      <c r="BE1081" s="25">
        <v>41</v>
      </c>
      <c r="BF1081" s="18">
        <f>1200+41</f>
        <v>1241</v>
      </c>
      <c r="BG1081" s="18">
        <f>1200+41</f>
        <v>1241</v>
      </c>
      <c r="BH1081" s="18">
        <f>291+1200+41</f>
        <v>1532</v>
      </c>
      <c r="BI1081" s="18">
        <f>1200+70+41</f>
        <v>1311</v>
      </c>
      <c r="BJ1081" s="191">
        <f>41+70</f>
        <v>111</v>
      </c>
      <c r="BK1081" s="18">
        <v>0</v>
      </c>
      <c r="BL1081" s="113">
        <v>0</v>
      </c>
      <c r="BM1081" s="113">
        <v>0</v>
      </c>
      <c r="BN1081" s="113">
        <v>0</v>
      </c>
      <c r="BO1081" s="113">
        <v>36</v>
      </c>
      <c r="BP1081" s="18">
        <v>0</v>
      </c>
      <c r="BQ1081" s="18">
        <v>0</v>
      </c>
      <c r="BR1081" s="101"/>
      <c r="BS1081">
        <f t="shared" ref="BS1081:CB1084" si="2242">IF($C1081&lt;&gt;"",IF(D1081&gt;0,1,0),0)</f>
        <v>0</v>
      </c>
      <c r="BT1081">
        <f t="shared" si="2242"/>
        <v>0</v>
      </c>
      <c r="BU1081">
        <f t="shared" si="2242"/>
        <v>0</v>
      </c>
      <c r="BV1081">
        <f t="shared" si="2242"/>
        <v>0</v>
      </c>
      <c r="BW1081">
        <f t="shared" si="2242"/>
        <v>0</v>
      </c>
      <c r="BX1081">
        <f t="shared" si="2242"/>
        <v>0</v>
      </c>
      <c r="BY1081">
        <f t="shared" si="2242"/>
        <v>0</v>
      </c>
      <c r="BZ1081">
        <f t="shared" si="2242"/>
        <v>0</v>
      </c>
      <c r="CA1081">
        <f t="shared" si="2242"/>
        <v>0</v>
      </c>
      <c r="CB1081">
        <f t="shared" si="2242"/>
        <v>0</v>
      </c>
      <c r="CC1081">
        <f t="shared" ref="CC1081:CL1084" si="2243">IF($C1081&lt;&gt;"",IF(N1081&gt;0,1,0),0)</f>
        <v>0</v>
      </c>
      <c r="CD1081">
        <f t="shared" si="2243"/>
        <v>0</v>
      </c>
      <c r="CE1081">
        <f t="shared" si="2243"/>
        <v>0</v>
      </c>
      <c r="CF1081">
        <f t="shared" si="2243"/>
        <v>0</v>
      </c>
      <c r="CG1081">
        <f t="shared" si="2243"/>
        <v>0</v>
      </c>
      <c r="CH1081">
        <f t="shared" si="2243"/>
        <v>0</v>
      </c>
      <c r="CI1081">
        <f t="shared" si="2243"/>
        <v>0</v>
      </c>
      <c r="CJ1081">
        <f t="shared" si="2243"/>
        <v>0</v>
      </c>
      <c r="CK1081">
        <f t="shared" si="2243"/>
        <v>0</v>
      </c>
      <c r="CL1081">
        <f t="shared" si="2243"/>
        <v>0</v>
      </c>
      <c r="CM1081">
        <f t="shared" ref="CM1081:CV1084" si="2244">IF($C1081&lt;&gt;"",IF(X1081&gt;0,1,0),0)</f>
        <v>0</v>
      </c>
      <c r="CN1081">
        <f t="shared" si="2244"/>
        <v>0</v>
      </c>
      <c r="CO1081">
        <f t="shared" si="2244"/>
        <v>0</v>
      </c>
      <c r="CP1081">
        <f t="shared" si="2244"/>
        <v>0</v>
      </c>
      <c r="CQ1081">
        <f t="shared" si="2244"/>
        <v>0</v>
      </c>
      <c r="CR1081">
        <f t="shared" si="2244"/>
        <v>0</v>
      </c>
      <c r="CS1081">
        <f t="shared" si="2244"/>
        <v>0</v>
      </c>
      <c r="CT1081">
        <f t="shared" si="2244"/>
        <v>0</v>
      </c>
      <c r="CU1081">
        <f t="shared" si="2244"/>
        <v>0</v>
      </c>
      <c r="CV1081">
        <f t="shared" si="2244"/>
        <v>0</v>
      </c>
      <c r="CW1081">
        <f t="shared" ref="CW1081:DF1084" si="2245">IF($C1081&lt;&gt;"",IF(AH1081&gt;0,1,0),0)</f>
        <v>0</v>
      </c>
      <c r="CX1081">
        <f t="shared" si="2245"/>
        <v>0</v>
      </c>
      <c r="CY1081">
        <f t="shared" si="2245"/>
        <v>0</v>
      </c>
      <c r="CZ1081">
        <f t="shared" si="2245"/>
        <v>0</v>
      </c>
      <c r="DA1081">
        <f t="shared" si="2245"/>
        <v>0</v>
      </c>
      <c r="DB1081">
        <f t="shared" si="2245"/>
        <v>0</v>
      </c>
      <c r="DC1081">
        <f t="shared" si="2245"/>
        <v>0</v>
      </c>
      <c r="DD1081">
        <f t="shared" si="2245"/>
        <v>0</v>
      </c>
      <c r="DE1081">
        <f t="shared" si="2245"/>
        <v>0</v>
      </c>
      <c r="DF1081">
        <f t="shared" si="2245"/>
        <v>0</v>
      </c>
      <c r="DG1081">
        <f t="shared" ref="DG1081:DP1084" si="2246">IF($C1081&lt;&gt;"",IF(AR1081&gt;0,1,0),0)</f>
        <v>0</v>
      </c>
      <c r="DH1081">
        <f t="shared" si="2246"/>
        <v>0</v>
      </c>
      <c r="DI1081">
        <f t="shared" si="2246"/>
        <v>0</v>
      </c>
      <c r="DJ1081">
        <f t="shared" si="2246"/>
        <v>0</v>
      </c>
      <c r="DK1081">
        <f t="shared" si="2246"/>
        <v>0</v>
      </c>
      <c r="DL1081">
        <f t="shared" si="2246"/>
        <v>0</v>
      </c>
      <c r="DM1081">
        <f t="shared" si="2246"/>
        <v>0</v>
      </c>
      <c r="DN1081">
        <f t="shared" si="2246"/>
        <v>0</v>
      </c>
      <c r="DO1081">
        <f t="shared" si="2246"/>
        <v>0</v>
      </c>
      <c r="DP1081">
        <f t="shared" si="2246"/>
        <v>0</v>
      </c>
      <c r="DQ1081">
        <f t="shared" ref="DQ1081:DZ1084" si="2247">IF($C1081&lt;&gt;"",IF(BB1081&gt;0,1,0),0)</f>
        <v>0</v>
      </c>
      <c r="DR1081">
        <f t="shared" si="2247"/>
        <v>0</v>
      </c>
      <c r="DS1081">
        <f t="shared" si="2247"/>
        <v>0</v>
      </c>
      <c r="DT1081">
        <f t="shared" si="2247"/>
        <v>0</v>
      </c>
      <c r="DU1081">
        <f t="shared" si="2247"/>
        <v>0</v>
      </c>
      <c r="DV1081">
        <f t="shared" si="2247"/>
        <v>0</v>
      </c>
      <c r="DW1081">
        <f t="shared" si="2247"/>
        <v>0</v>
      </c>
      <c r="DX1081">
        <f t="shared" si="2247"/>
        <v>0</v>
      </c>
      <c r="DY1081">
        <f t="shared" si="2247"/>
        <v>0</v>
      </c>
      <c r="DZ1081">
        <f t="shared" si="2247"/>
        <v>0</v>
      </c>
      <c r="EA1081">
        <f t="shared" ref="EA1081:EF1081" si="2248">IF($C1081&lt;&gt;"",IF(BL1079&gt;0,1,0),0)</f>
        <v>0</v>
      </c>
      <c r="EB1081">
        <f t="shared" si="2248"/>
        <v>0</v>
      </c>
      <c r="EC1081">
        <f t="shared" si="2248"/>
        <v>0</v>
      </c>
      <c r="ED1081">
        <f t="shared" si="2248"/>
        <v>0</v>
      </c>
      <c r="EE1081">
        <f t="shared" si="2248"/>
        <v>0</v>
      </c>
      <c r="EF1081">
        <f t="shared" si="2248"/>
        <v>0</v>
      </c>
    </row>
    <row r="1082" spans="1:136" ht="15.5">
      <c r="A1082" s="90"/>
      <c r="B1082" s="19" t="s">
        <v>18</v>
      </c>
      <c r="C1082" s="94"/>
      <c r="D1082" s="18"/>
      <c r="E1082" s="18"/>
      <c r="F1082" s="18"/>
      <c r="G1082" s="18"/>
      <c r="H1082" s="18"/>
      <c r="I1082" s="18"/>
      <c r="J1082" s="18"/>
      <c r="K1082" s="18"/>
      <c r="L1082" s="18"/>
      <c r="M1082" s="18"/>
      <c r="N1082" s="18"/>
      <c r="O1082" s="18"/>
      <c r="P1082" s="18"/>
      <c r="Q1082" s="18"/>
      <c r="R1082" s="18"/>
      <c r="S1082" s="18"/>
      <c r="T1082" s="18"/>
      <c r="U1082" s="18"/>
      <c r="V1082" s="18"/>
      <c r="W1082" s="18"/>
      <c r="X1082" s="18"/>
      <c r="Y1082" s="18"/>
      <c r="Z1082" s="18"/>
      <c r="AA1082" s="18"/>
      <c r="AB1082" s="18"/>
      <c r="AC1082" s="18"/>
      <c r="AD1082" s="18"/>
      <c r="AE1082" s="18"/>
      <c r="AF1082" s="18"/>
      <c r="AG1082" s="18"/>
      <c r="AH1082" s="18"/>
      <c r="AI1082" s="18"/>
      <c r="AJ1082" s="18"/>
      <c r="AK1082" s="18"/>
      <c r="AL1082" s="18"/>
      <c r="AM1082" s="18"/>
      <c r="AN1082" s="18"/>
      <c r="AO1082" s="18"/>
      <c r="AP1082" s="18"/>
      <c r="AQ1082" s="18"/>
      <c r="AR1082" s="18"/>
      <c r="AS1082" s="18"/>
      <c r="AT1082" s="18"/>
      <c r="AU1082" s="18"/>
      <c r="AV1082" s="18"/>
      <c r="AW1082" s="18"/>
      <c r="AX1082" s="18"/>
      <c r="AY1082" s="18"/>
      <c r="AZ1082" s="18"/>
      <c r="BA1082" s="18"/>
      <c r="BB1082" s="18">
        <v>0</v>
      </c>
      <c r="BC1082" s="18">
        <v>0</v>
      </c>
      <c r="BD1082" s="18">
        <v>0</v>
      </c>
      <c r="BE1082" s="18">
        <v>0</v>
      </c>
      <c r="BF1082" s="18">
        <v>0</v>
      </c>
      <c r="BG1082" s="18">
        <f>452+15</f>
        <v>467</v>
      </c>
      <c r="BH1082" s="18">
        <f>BG1082+30</f>
        <v>497</v>
      </c>
      <c r="BI1082" s="18">
        <f>BH1082+50</f>
        <v>547</v>
      </c>
      <c r="BJ1082" s="18">
        <f>BI1082+50</f>
        <v>597</v>
      </c>
      <c r="BK1082" s="18">
        <v>400</v>
      </c>
      <c r="BL1082" s="113">
        <v>656</v>
      </c>
      <c r="BM1082" s="113">
        <v>682</v>
      </c>
      <c r="BN1082" s="113">
        <v>709</v>
      </c>
      <c r="BO1082" s="113">
        <v>738</v>
      </c>
      <c r="BP1082" s="18">
        <v>768</v>
      </c>
      <c r="BQ1082" s="18">
        <v>789</v>
      </c>
      <c r="BR1082" s="101"/>
      <c r="BS1082">
        <f t="shared" si="2242"/>
        <v>0</v>
      </c>
      <c r="BT1082">
        <f t="shared" si="2242"/>
        <v>0</v>
      </c>
      <c r="BU1082">
        <f t="shared" si="2242"/>
        <v>0</v>
      </c>
      <c r="BV1082">
        <f t="shared" si="2242"/>
        <v>0</v>
      </c>
      <c r="BW1082">
        <f t="shared" si="2242"/>
        <v>0</v>
      </c>
      <c r="BX1082">
        <f t="shared" si="2242"/>
        <v>0</v>
      </c>
      <c r="BY1082">
        <f t="shared" si="2242"/>
        <v>0</v>
      </c>
      <c r="BZ1082">
        <f t="shared" si="2242"/>
        <v>0</v>
      </c>
      <c r="CA1082">
        <f t="shared" si="2242"/>
        <v>0</v>
      </c>
      <c r="CB1082">
        <f t="shared" si="2242"/>
        <v>0</v>
      </c>
      <c r="CC1082">
        <f t="shared" si="2243"/>
        <v>0</v>
      </c>
      <c r="CD1082">
        <f t="shared" si="2243"/>
        <v>0</v>
      </c>
      <c r="CE1082">
        <f t="shared" si="2243"/>
        <v>0</v>
      </c>
      <c r="CF1082">
        <f t="shared" si="2243"/>
        <v>0</v>
      </c>
      <c r="CG1082">
        <f t="shared" si="2243"/>
        <v>0</v>
      </c>
      <c r="CH1082">
        <f t="shared" si="2243"/>
        <v>0</v>
      </c>
      <c r="CI1082">
        <f t="shared" si="2243"/>
        <v>0</v>
      </c>
      <c r="CJ1082">
        <f t="shared" si="2243"/>
        <v>0</v>
      </c>
      <c r="CK1082">
        <f t="shared" si="2243"/>
        <v>0</v>
      </c>
      <c r="CL1082">
        <f t="shared" si="2243"/>
        <v>0</v>
      </c>
      <c r="CM1082">
        <f t="shared" si="2244"/>
        <v>0</v>
      </c>
      <c r="CN1082">
        <f t="shared" si="2244"/>
        <v>0</v>
      </c>
      <c r="CO1082">
        <f t="shared" si="2244"/>
        <v>0</v>
      </c>
      <c r="CP1082">
        <f t="shared" si="2244"/>
        <v>0</v>
      </c>
      <c r="CQ1082">
        <f t="shared" si="2244"/>
        <v>0</v>
      </c>
      <c r="CR1082">
        <f t="shared" si="2244"/>
        <v>0</v>
      </c>
      <c r="CS1082">
        <f t="shared" si="2244"/>
        <v>0</v>
      </c>
      <c r="CT1082">
        <f t="shared" si="2244"/>
        <v>0</v>
      </c>
      <c r="CU1082">
        <f t="shared" si="2244"/>
        <v>0</v>
      </c>
      <c r="CV1082">
        <f t="shared" si="2244"/>
        <v>0</v>
      </c>
      <c r="CW1082">
        <f t="shared" si="2245"/>
        <v>0</v>
      </c>
      <c r="CX1082">
        <f t="shared" si="2245"/>
        <v>0</v>
      </c>
      <c r="CY1082">
        <f t="shared" si="2245"/>
        <v>0</v>
      </c>
      <c r="CZ1082">
        <f t="shared" si="2245"/>
        <v>0</v>
      </c>
      <c r="DA1082">
        <f t="shared" si="2245"/>
        <v>0</v>
      </c>
      <c r="DB1082">
        <f t="shared" si="2245"/>
        <v>0</v>
      </c>
      <c r="DC1082">
        <f t="shared" si="2245"/>
        <v>0</v>
      </c>
      <c r="DD1082">
        <f t="shared" si="2245"/>
        <v>0</v>
      </c>
      <c r="DE1082">
        <f t="shared" si="2245"/>
        <v>0</v>
      </c>
      <c r="DF1082">
        <f t="shared" si="2245"/>
        <v>0</v>
      </c>
      <c r="DG1082">
        <f t="shared" si="2246"/>
        <v>0</v>
      </c>
      <c r="DH1082">
        <f t="shared" si="2246"/>
        <v>0</v>
      </c>
      <c r="DI1082">
        <f t="shared" si="2246"/>
        <v>0</v>
      </c>
      <c r="DJ1082">
        <f t="shared" si="2246"/>
        <v>0</v>
      </c>
      <c r="DK1082">
        <f t="shared" si="2246"/>
        <v>0</v>
      </c>
      <c r="DL1082">
        <f t="shared" si="2246"/>
        <v>0</v>
      </c>
      <c r="DM1082">
        <f t="shared" si="2246"/>
        <v>0</v>
      </c>
      <c r="DN1082">
        <f t="shared" si="2246"/>
        <v>0</v>
      </c>
      <c r="DO1082">
        <f t="shared" si="2246"/>
        <v>0</v>
      </c>
      <c r="DP1082">
        <f t="shared" si="2246"/>
        <v>0</v>
      </c>
      <c r="DQ1082">
        <f t="shared" si="2247"/>
        <v>0</v>
      </c>
      <c r="DR1082">
        <f t="shared" si="2247"/>
        <v>0</v>
      </c>
      <c r="DS1082">
        <f t="shared" si="2247"/>
        <v>0</v>
      </c>
      <c r="DT1082">
        <f t="shared" si="2247"/>
        <v>0</v>
      </c>
      <c r="DU1082">
        <f t="shared" si="2247"/>
        <v>0</v>
      </c>
      <c r="DV1082">
        <f t="shared" si="2247"/>
        <v>0</v>
      </c>
      <c r="DW1082">
        <f t="shared" si="2247"/>
        <v>0</v>
      </c>
      <c r="DX1082">
        <f t="shared" si="2247"/>
        <v>0</v>
      </c>
      <c r="DY1082">
        <f t="shared" si="2247"/>
        <v>0</v>
      </c>
      <c r="DZ1082">
        <f t="shared" si="2247"/>
        <v>0</v>
      </c>
      <c r="EA1082">
        <f t="shared" ref="EA1082:EF1083" si="2249">IF($C1082&lt;&gt;"",IF(BL1081&gt;0,1,0),0)</f>
        <v>0</v>
      </c>
      <c r="EB1082">
        <f t="shared" si="2249"/>
        <v>0</v>
      </c>
      <c r="EC1082">
        <f t="shared" si="2249"/>
        <v>0</v>
      </c>
      <c r="ED1082">
        <f t="shared" si="2249"/>
        <v>0</v>
      </c>
      <c r="EE1082">
        <f t="shared" si="2249"/>
        <v>0</v>
      </c>
      <c r="EF1082">
        <f t="shared" si="2249"/>
        <v>0</v>
      </c>
    </row>
    <row r="1083" spans="1:136" ht="15.5">
      <c r="A1083" s="90"/>
      <c r="B1083" s="19" t="s">
        <v>208</v>
      </c>
      <c r="C1083" s="94"/>
      <c r="D1083" s="18"/>
      <c r="E1083" s="18"/>
      <c r="F1083" s="18"/>
      <c r="G1083" s="18"/>
      <c r="H1083" s="18"/>
      <c r="I1083" s="18"/>
      <c r="J1083" s="18"/>
      <c r="K1083" s="18"/>
      <c r="L1083" s="18"/>
      <c r="M1083" s="18"/>
      <c r="N1083" s="18"/>
      <c r="O1083" s="18"/>
      <c r="P1083" s="18"/>
      <c r="Q1083" s="18"/>
      <c r="R1083" s="18"/>
      <c r="S1083" s="18"/>
      <c r="T1083" s="18"/>
      <c r="U1083" s="18"/>
      <c r="V1083" s="18"/>
      <c r="W1083" s="18"/>
      <c r="X1083" s="18"/>
      <c r="Y1083" s="18"/>
      <c r="Z1083" s="18"/>
      <c r="AA1083" s="18"/>
      <c r="AB1083" s="18"/>
      <c r="AC1083" s="18"/>
      <c r="AD1083" s="18"/>
      <c r="AE1083" s="18"/>
      <c r="AF1083" s="18"/>
      <c r="AG1083" s="18"/>
      <c r="AH1083" s="18"/>
      <c r="AI1083" s="18"/>
      <c r="AJ1083" s="18"/>
      <c r="AK1083" s="18"/>
      <c r="AL1083" s="18"/>
      <c r="AM1083" s="18"/>
      <c r="AN1083" s="18"/>
      <c r="AO1083" s="18"/>
      <c r="AP1083" s="18"/>
      <c r="AQ1083" s="18"/>
      <c r="AR1083" s="18"/>
      <c r="AS1083" s="18"/>
      <c r="AT1083" s="18"/>
      <c r="AU1083" s="18"/>
      <c r="AV1083" s="18"/>
      <c r="AW1083" s="18"/>
      <c r="AX1083" s="18"/>
      <c r="AY1083" s="18"/>
      <c r="AZ1083" s="18"/>
      <c r="BA1083" s="18"/>
      <c r="BB1083" s="18">
        <v>0</v>
      </c>
      <c r="BC1083" s="18">
        <v>0</v>
      </c>
      <c r="BD1083" s="18">
        <v>0</v>
      </c>
      <c r="BE1083" s="25">
        <f>333</f>
        <v>333</v>
      </c>
      <c r="BF1083" s="18">
        <f>343</f>
        <v>343</v>
      </c>
      <c r="BG1083" s="18">
        <v>20</v>
      </c>
      <c r="BH1083" s="18">
        <v>11</v>
      </c>
      <c r="BI1083" s="18">
        <v>11</v>
      </c>
      <c r="BJ1083" s="18">
        <v>11</v>
      </c>
      <c r="BK1083" s="18">
        <v>0</v>
      </c>
      <c r="BL1083" s="18">
        <v>0</v>
      </c>
      <c r="BM1083" s="113">
        <v>0</v>
      </c>
      <c r="BN1083" s="113">
        <v>0</v>
      </c>
      <c r="BO1083" s="113">
        <v>0</v>
      </c>
      <c r="BP1083" s="18">
        <v>0</v>
      </c>
      <c r="BQ1083" s="18">
        <v>0</v>
      </c>
      <c r="BR1083" s="101"/>
      <c r="BS1083">
        <f t="shared" si="2242"/>
        <v>0</v>
      </c>
      <c r="BT1083">
        <f t="shared" si="2242"/>
        <v>0</v>
      </c>
      <c r="BU1083">
        <f t="shared" si="2242"/>
        <v>0</v>
      </c>
      <c r="BV1083">
        <f t="shared" si="2242"/>
        <v>0</v>
      </c>
      <c r="BW1083">
        <f t="shared" si="2242"/>
        <v>0</v>
      </c>
      <c r="BX1083">
        <f t="shared" si="2242"/>
        <v>0</v>
      </c>
      <c r="BY1083">
        <f t="shared" si="2242"/>
        <v>0</v>
      </c>
      <c r="BZ1083">
        <f t="shared" si="2242"/>
        <v>0</v>
      </c>
      <c r="CA1083">
        <f t="shared" si="2242"/>
        <v>0</v>
      </c>
      <c r="CB1083">
        <f t="shared" si="2242"/>
        <v>0</v>
      </c>
      <c r="CC1083">
        <f t="shared" si="2243"/>
        <v>0</v>
      </c>
      <c r="CD1083">
        <f t="shared" si="2243"/>
        <v>0</v>
      </c>
      <c r="CE1083">
        <f t="shared" si="2243"/>
        <v>0</v>
      </c>
      <c r="CF1083">
        <f t="shared" si="2243"/>
        <v>0</v>
      </c>
      <c r="CG1083">
        <f t="shared" si="2243"/>
        <v>0</v>
      </c>
      <c r="CH1083">
        <f t="shared" si="2243"/>
        <v>0</v>
      </c>
      <c r="CI1083">
        <f t="shared" si="2243"/>
        <v>0</v>
      </c>
      <c r="CJ1083">
        <f t="shared" si="2243"/>
        <v>0</v>
      </c>
      <c r="CK1083">
        <f t="shared" si="2243"/>
        <v>0</v>
      </c>
      <c r="CL1083">
        <f t="shared" si="2243"/>
        <v>0</v>
      </c>
      <c r="CM1083">
        <f t="shared" si="2244"/>
        <v>0</v>
      </c>
      <c r="CN1083">
        <f t="shared" si="2244"/>
        <v>0</v>
      </c>
      <c r="CO1083">
        <f t="shared" si="2244"/>
        <v>0</v>
      </c>
      <c r="CP1083">
        <f t="shared" si="2244"/>
        <v>0</v>
      </c>
      <c r="CQ1083">
        <f t="shared" si="2244"/>
        <v>0</v>
      </c>
      <c r="CR1083">
        <f t="shared" si="2244"/>
        <v>0</v>
      </c>
      <c r="CS1083">
        <f t="shared" si="2244"/>
        <v>0</v>
      </c>
      <c r="CT1083">
        <f t="shared" si="2244"/>
        <v>0</v>
      </c>
      <c r="CU1083">
        <f t="shared" si="2244"/>
        <v>0</v>
      </c>
      <c r="CV1083">
        <f t="shared" si="2244"/>
        <v>0</v>
      </c>
      <c r="CW1083">
        <f t="shared" si="2245"/>
        <v>0</v>
      </c>
      <c r="CX1083">
        <f t="shared" si="2245"/>
        <v>0</v>
      </c>
      <c r="CY1083">
        <f t="shared" si="2245"/>
        <v>0</v>
      </c>
      <c r="CZ1083">
        <f t="shared" si="2245"/>
        <v>0</v>
      </c>
      <c r="DA1083">
        <f t="shared" si="2245"/>
        <v>0</v>
      </c>
      <c r="DB1083">
        <f t="shared" si="2245"/>
        <v>0</v>
      </c>
      <c r="DC1083">
        <f t="shared" si="2245"/>
        <v>0</v>
      </c>
      <c r="DD1083">
        <f t="shared" si="2245"/>
        <v>0</v>
      </c>
      <c r="DE1083">
        <f t="shared" si="2245"/>
        <v>0</v>
      </c>
      <c r="DF1083">
        <f t="shared" si="2245"/>
        <v>0</v>
      </c>
      <c r="DG1083">
        <f t="shared" si="2246"/>
        <v>0</v>
      </c>
      <c r="DH1083">
        <f t="shared" si="2246"/>
        <v>0</v>
      </c>
      <c r="DI1083">
        <f t="shared" si="2246"/>
        <v>0</v>
      </c>
      <c r="DJ1083">
        <f t="shared" si="2246"/>
        <v>0</v>
      </c>
      <c r="DK1083">
        <f t="shared" si="2246"/>
        <v>0</v>
      </c>
      <c r="DL1083">
        <f t="shared" si="2246"/>
        <v>0</v>
      </c>
      <c r="DM1083">
        <f t="shared" si="2246"/>
        <v>0</v>
      </c>
      <c r="DN1083">
        <f t="shared" si="2246"/>
        <v>0</v>
      </c>
      <c r="DO1083">
        <f t="shared" si="2246"/>
        <v>0</v>
      </c>
      <c r="DP1083">
        <f t="shared" si="2246"/>
        <v>0</v>
      </c>
      <c r="DQ1083">
        <f t="shared" si="2247"/>
        <v>0</v>
      </c>
      <c r="DR1083">
        <f t="shared" si="2247"/>
        <v>0</v>
      </c>
      <c r="DS1083">
        <f t="shared" si="2247"/>
        <v>0</v>
      </c>
      <c r="DT1083">
        <f t="shared" si="2247"/>
        <v>0</v>
      </c>
      <c r="DU1083">
        <f t="shared" si="2247"/>
        <v>0</v>
      </c>
      <c r="DV1083">
        <f t="shared" si="2247"/>
        <v>0</v>
      </c>
      <c r="DW1083">
        <f t="shared" si="2247"/>
        <v>0</v>
      </c>
      <c r="DX1083">
        <f t="shared" si="2247"/>
        <v>0</v>
      </c>
      <c r="DY1083">
        <f t="shared" si="2247"/>
        <v>0</v>
      </c>
      <c r="DZ1083">
        <f t="shared" si="2247"/>
        <v>0</v>
      </c>
      <c r="EA1083">
        <f t="shared" si="2249"/>
        <v>0</v>
      </c>
      <c r="EB1083">
        <f t="shared" si="2249"/>
        <v>0</v>
      </c>
      <c r="EC1083">
        <f t="shared" si="2249"/>
        <v>0</v>
      </c>
      <c r="ED1083">
        <f t="shared" si="2249"/>
        <v>0</v>
      </c>
      <c r="EE1083">
        <f t="shared" si="2249"/>
        <v>0</v>
      </c>
      <c r="EF1083">
        <f t="shared" si="2249"/>
        <v>0</v>
      </c>
    </row>
    <row r="1084" spans="1:136" ht="15.5">
      <c r="A1084" s="90"/>
      <c r="B1084" s="19" t="s">
        <v>212</v>
      </c>
      <c r="C1084" s="94"/>
      <c r="D1084" s="18"/>
      <c r="E1084" s="18"/>
      <c r="F1084" s="18"/>
      <c r="G1084" s="18"/>
      <c r="H1084" s="18"/>
      <c r="I1084" s="18"/>
      <c r="J1084" s="18"/>
      <c r="K1084" s="18"/>
      <c r="L1084" s="18"/>
      <c r="M1084" s="18"/>
      <c r="N1084" s="18"/>
      <c r="O1084" s="18"/>
      <c r="P1084" s="18"/>
      <c r="Q1084" s="18"/>
      <c r="R1084" s="18"/>
      <c r="S1084" s="18"/>
      <c r="T1084" s="18"/>
      <c r="U1084" s="18"/>
      <c r="V1084" s="18"/>
      <c r="W1084" s="18"/>
      <c r="X1084" s="18"/>
      <c r="Y1084" s="18"/>
      <c r="Z1084" s="18"/>
      <c r="AA1084" s="18"/>
      <c r="AB1084" s="18"/>
      <c r="AC1084" s="18"/>
      <c r="AD1084" s="18"/>
      <c r="AE1084" s="18"/>
      <c r="AF1084" s="18"/>
      <c r="AG1084" s="18"/>
      <c r="AH1084" s="18"/>
      <c r="AI1084" s="18"/>
      <c r="AJ1084" s="18"/>
      <c r="AK1084" s="18"/>
      <c r="AL1084" s="18"/>
      <c r="AM1084" s="18"/>
      <c r="AN1084" s="18"/>
      <c r="AO1084" s="18"/>
      <c r="AP1084" s="18"/>
      <c r="AQ1084" s="18"/>
      <c r="AR1084" s="18"/>
      <c r="AS1084" s="18"/>
      <c r="AT1084" s="18"/>
      <c r="AU1084" s="18"/>
      <c r="AV1084" s="18"/>
      <c r="AW1084" s="18"/>
      <c r="AX1084" s="18"/>
      <c r="AY1084" s="18"/>
      <c r="AZ1084" s="18"/>
      <c r="BA1084" s="18"/>
      <c r="BB1084" s="18">
        <v>1885.4285714285713</v>
      </c>
      <c r="BC1084" s="18">
        <v>1944.8</v>
      </c>
      <c r="BD1084" s="18">
        <v>933.33333333333337</v>
      </c>
      <c r="BE1084" s="25">
        <v>976.74418604651169</v>
      </c>
      <c r="BF1084" s="18">
        <v>636.36363636363637</v>
      </c>
      <c r="BG1084" s="18">
        <v>4645.3781512605037</v>
      </c>
      <c r="BH1084" s="18">
        <v>2625.7747381919212</v>
      </c>
      <c r="BI1084" s="18">
        <v>1000.4279600570615</v>
      </c>
      <c r="BJ1084" s="18">
        <v>992.81210592686011</v>
      </c>
      <c r="BK1084" s="18">
        <v>798.90109890109886</v>
      </c>
      <c r="BL1084" s="113">
        <v>405.64166150030997</v>
      </c>
      <c r="BM1084" s="113">
        <v>396.23327075637377</v>
      </c>
      <c r="BN1084" s="113">
        <v>158.61471103327494</v>
      </c>
      <c r="BO1084" s="113">
        <v>113.25569176882662</v>
      </c>
      <c r="BP1084" s="113">
        <v>150</v>
      </c>
      <c r="BQ1084" s="113">
        <v>175</v>
      </c>
      <c r="BR1084" s="101"/>
      <c r="BS1084">
        <f t="shared" si="2242"/>
        <v>0</v>
      </c>
      <c r="BT1084">
        <f t="shared" si="2242"/>
        <v>0</v>
      </c>
      <c r="BU1084">
        <f t="shared" si="2242"/>
        <v>0</v>
      </c>
      <c r="BV1084">
        <f t="shared" si="2242"/>
        <v>0</v>
      </c>
      <c r="BW1084">
        <f t="shared" si="2242"/>
        <v>0</v>
      </c>
      <c r="BX1084">
        <f t="shared" si="2242"/>
        <v>0</v>
      </c>
      <c r="BY1084">
        <f t="shared" si="2242"/>
        <v>0</v>
      </c>
      <c r="BZ1084">
        <f t="shared" si="2242"/>
        <v>0</v>
      </c>
      <c r="CA1084">
        <f t="shared" si="2242"/>
        <v>0</v>
      </c>
      <c r="CB1084">
        <f t="shared" si="2242"/>
        <v>0</v>
      </c>
      <c r="CC1084">
        <f t="shared" si="2243"/>
        <v>0</v>
      </c>
      <c r="CD1084">
        <f t="shared" si="2243"/>
        <v>0</v>
      </c>
      <c r="CE1084">
        <f t="shared" si="2243"/>
        <v>0</v>
      </c>
      <c r="CF1084">
        <f t="shared" si="2243"/>
        <v>0</v>
      </c>
      <c r="CG1084">
        <f t="shared" si="2243"/>
        <v>0</v>
      </c>
      <c r="CH1084">
        <f t="shared" si="2243"/>
        <v>0</v>
      </c>
      <c r="CI1084">
        <f t="shared" si="2243"/>
        <v>0</v>
      </c>
      <c r="CJ1084">
        <f t="shared" si="2243"/>
        <v>0</v>
      </c>
      <c r="CK1084">
        <f t="shared" si="2243"/>
        <v>0</v>
      </c>
      <c r="CL1084">
        <f t="shared" si="2243"/>
        <v>0</v>
      </c>
      <c r="CM1084">
        <f t="shared" si="2244"/>
        <v>0</v>
      </c>
      <c r="CN1084">
        <f t="shared" si="2244"/>
        <v>0</v>
      </c>
      <c r="CO1084">
        <f t="shared" si="2244"/>
        <v>0</v>
      </c>
      <c r="CP1084">
        <f t="shared" si="2244"/>
        <v>0</v>
      </c>
      <c r="CQ1084">
        <f t="shared" si="2244"/>
        <v>0</v>
      </c>
      <c r="CR1084">
        <f t="shared" si="2244"/>
        <v>0</v>
      </c>
      <c r="CS1084">
        <f t="shared" si="2244"/>
        <v>0</v>
      </c>
      <c r="CT1084">
        <f t="shared" si="2244"/>
        <v>0</v>
      </c>
      <c r="CU1084">
        <f t="shared" si="2244"/>
        <v>0</v>
      </c>
      <c r="CV1084">
        <f t="shared" si="2244"/>
        <v>0</v>
      </c>
      <c r="CW1084">
        <f t="shared" si="2245"/>
        <v>0</v>
      </c>
      <c r="CX1084">
        <f t="shared" si="2245"/>
        <v>0</v>
      </c>
      <c r="CY1084">
        <f t="shared" si="2245"/>
        <v>0</v>
      </c>
      <c r="CZ1084">
        <f t="shared" si="2245"/>
        <v>0</v>
      </c>
      <c r="DA1084">
        <f t="shared" si="2245"/>
        <v>0</v>
      </c>
      <c r="DB1084">
        <f t="shared" si="2245"/>
        <v>0</v>
      </c>
      <c r="DC1084">
        <f t="shared" si="2245"/>
        <v>0</v>
      </c>
      <c r="DD1084">
        <f t="shared" si="2245"/>
        <v>0</v>
      </c>
      <c r="DE1084">
        <f t="shared" si="2245"/>
        <v>0</v>
      </c>
      <c r="DF1084">
        <f t="shared" si="2245"/>
        <v>0</v>
      </c>
      <c r="DG1084">
        <f t="shared" si="2246"/>
        <v>0</v>
      </c>
      <c r="DH1084">
        <f t="shared" si="2246"/>
        <v>0</v>
      </c>
      <c r="DI1084">
        <f t="shared" si="2246"/>
        <v>0</v>
      </c>
      <c r="DJ1084">
        <f t="shared" si="2246"/>
        <v>0</v>
      </c>
      <c r="DK1084">
        <f t="shared" si="2246"/>
        <v>0</v>
      </c>
      <c r="DL1084">
        <f t="shared" si="2246"/>
        <v>0</v>
      </c>
      <c r="DM1084">
        <f t="shared" si="2246"/>
        <v>0</v>
      </c>
      <c r="DN1084">
        <f t="shared" si="2246"/>
        <v>0</v>
      </c>
      <c r="DO1084">
        <f t="shared" si="2246"/>
        <v>0</v>
      </c>
      <c r="DP1084">
        <f t="shared" si="2246"/>
        <v>0</v>
      </c>
      <c r="DQ1084">
        <f t="shared" si="2247"/>
        <v>0</v>
      </c>
      <c r="DR1084">
        <f t="shared" si="2247"/>
        <v>0</v>
      </c>
      <c r="DS1084">
        <f t="shared" si="2247"/>
        <v>0</v>
      </c>
      <c r="DT1084">
        <f t="shared" si="2247"/>
        <v>0</v>
      </c>
      <c r="DU1084">
        <f t="shared" si="2247"/>
        <v>0</v>
      </c>
      <c r="DV1084">
        <f t="shared" si="2247"/>
        <v>0</v>
      </c>
      <c r="DW1084">
        <f t="shared" si="2247"/>
        <v>0</v>
      </c>
      <c r="DX1084">
        <f t="shared" si="2247"/>
        <v>0</v>
      </c>
      <c r="DY1084">
        <f t="shared" si="2247"/>
        <v>0</v>
      </c>
      <c r="DZ1084">
        <f t="shared" si="2247"/>
        <v>0</v>
      </c>
      <c r="EA1084">
        <f t="shared" ref="EA1084:EF1084" si="2250">IF($C1084&lt;&gt;"",IF(BL1084&gt;0,1,0),0)</f>
        <v>0</v>
      </c>
      <c r="EB1084">
        <f t="shared" si="2250"/>
        <v>0</v>
      </c>
      <c r="EC1084">
        <f t="shared" si="2250"/>
        <v>0</v>
      </c>
      <c r="ED1084">
        <f t="shared" si="2250"/>
        <v>0</v>
      </c>
      <c r="EE1084">
        <f t="shared" si="2250"/>
        <v>0</v>
      </c>
      <c r="EF1084">
        <f t="shared" si="2250"/>
        <v>0</v>
      </c>
    </row>
    <row r="1085" spans="1:136" ht="15.5">
      <c r="A1085" s="90"/>
      <c r="B1085" s="53"/>
      <c r="C1085" s="94"/>
      <c r="D1085" s="18"/>
      <c r="E1085" s="18"/>
      <c r="F1085" s="18"/>
      <c r="G1085" s="18"/>
      <c r="H1085" s="18"/>
      <c r="I1085" s="18"/>
      <c r="J1085" s="18"/>
      <c r="K1085" s="18"/>
      <c r="L1085" s="18"/>
      <c r="M1085" s="18"/>
      <c r="N1085" s="18"/>
      <c r="O1085" s="18"/>
      <c r="P1085" s="18"/>
      <c r="Q1085" s="18"/>
      <c r="R1085" s="18"/>
      <c r="S1085" s="18"/>
      <c r="T1085" s="18"/>
      <c r="U1085" s="18"/>
      <c r="V1085" s="18"/>
      <c r="W1085" s="18"/>
      <c r="X1085" s="18"/>
      <c r="Y1085" s="18"/>
      <c r="Z1085" s="18"/>
      <c r="AA1085" s="18"/>
      <c r="AB1085" s="18"/>
      <c r="AC1085" s="18"/>
      <c r="AD1085" s="18"/>
      <c r="AE1085" s="18"/>
      <c r="AF1085" s="18"/>
      <c r="AG1085" s="18"/>
      <c r="AH1085" s="18"/>
      <c r="AI1085" s="18"/>
      <c r="AJ1085" s="18"/>
      <c r="AK1085" s="18"/>
      <c r="AL1085" s="18"/>
      <c r="AM1085" s="18"/>
      <c r="AN1085" s="18"/>
      <c r="AO1085" s="18"/>
      <c r="AP1085" s="18"/>
      <c r="AQ1085" s="18"/>
      <c r="AR1085" s="18"/>
      <c r="AS1085" s="18"/>
      <c r="AT1085" s="18"/>
      <c r="AU1085" s="18"/>
      <c r="AV1085" s="18"/>
      <c r="AW1085" s="18"/>
      <c r="AX1085" s="18"/>
      <c r="AY1085" s="18"/>
      <c r="AZ1085" s="18"/>
      <c r="BA1085" s="18"/>
      <c r="BB1085" s="18"/>
      <c r="BC1085" s="18"/>
      <c r="BD1085" s="18"/>
      <c r="BE1085" s="25"/>
      <c r="BF1085" s="18"/>
      <c r="BG1085" s="18"/>
      <c r="BH1085" s="18"/>
      <c r="BI1085" s="18"/>
      <c r="BJ1085" s="40"/>
      <c r="BK1085" s="113"/>
      <c r="BL1085" s="18"/>
      <c r="BM1085" s="113"/>
      <c r="BN1085" s="2"/>
      <c r="BO1085" s="2"/>
      <c r="BP1085" s="2"/>
      <c r="BQ1085" s="2"/>
      <c r="BR1085" s="101"/>
    </row>
    <row r="1086" spans="1:136" ht="15.5">
      <c r="A1086" s="93">
        <v>138</v>
      </c>
      <c r="B1086" s="52" t="s">
        <v>136</v>
      </c>
      <c r="C1086" s="94">
        <v>3</v>
      </c>
      <c r="D1086" s="22">
        <f t="shared" ref="D1086:AI1086" si="2251">SUM(D1087:D1093)</f>
        <v>0</v>
      </c>
      <c r="E1086" s="22">
        <f t="shared" si="2251"/>
        <v>0</v>
      </c>
      <c r="F1086" s="22">
        <f t="shared" si="2251"/>
        <v>0</v>
      </c>
      <c r="G1086" s="22">
        <f t="shared" si="2251"/>
        <v>0</v>
      </c>
      <c r="H1086" s="22">
        <f t="shared" si="2251"/>
        <v>0</v>
      </c>
      <c r="I1086" s="22">
        <f t="shared" si="2251"/>
        <v>0</v>
      </c>
      <c r="J1086" s="22">
        <f t="shared" si="2251"/>
        <v>0</v>
      </c>
      <c r="K1086" s="22">
        <f t="shared" si="2251"/>
        <v>0</v>
      </c>
      <c r="L1086" s="22">
        <f t="shared" si="2251"/>
        <v>0</v>
      </c>
      <c r="M1086" s="22">
        <f t="shared" si="2251"/>
        <v>0</v>
      </c>
      <c r="N1086" s="22">
        <f t="shared" si="2251"/>
        <v>0</v>
      </c>
      <c r="O1086" s="22">
        <f t="shared" si="2251"/>
        <v>1.9329408000000001</v>
      </c>
      <c r="P1086" s="22">
        <f t="shared" si="2251"/>
        <v>0.37804409999999999</v>
      </c>
      <c r="Q1086" s="22">
        <f t="shared" si="2251"/>
        <v>0.21141119999999999</v>
      </c>
      <c r="R1086" s="22">
        <f t="shared" si="2251"/>
        <v>0.20901649999999999</v>
      </c>
      <c r="S1086" s="22">
        <f t="shared" si="2251"/>
        <v>1.8211499999999999E-2</v>
      </c>
      <c r="T1086" s="22">
        <f t="shared" si="2251"/>
        <v>0.55107059999999997</v>
      </c>
      <c r="U1086" s="22">
        <f t="shared" si="2251"/>
        <v>0.30906</v>
      </c>
      <c r="V1086" s="22">
        <f t="shared" si="2251"/>
        <v>0</v>
      </c>
      <c r="W1086" s="22">
        <f t="shared" si="2251"/>
        <v>0</v>
      </c>
      <c r="X1086" s="22">
        <f t="shared" si="2251"/>
        <v>0</v>
      </c>
      <c r="Y1086" s="22">
        <f t="shared" si="2251"/>
        <v>0</v>
      </c>
      <c r="Z1086" s="22">
        <f t="shared" si="2251"/>
        <v>0</v>
      </c>
      <c r="AA1086" s="22">
        <f t="shared" si="2251"/>
        <v>0</v>
      </c>
      <c r="AB1086" s="22">
        <f t="shared" si="2251"/>
        <v>0</v>
      </c>
      <c r="AC1086" s="22">
        <f t="shared" si="2251"/>
        <v>0</v>
      </c>
      <c r="AD1086" s="22">
        <f t="shared" si="2251"/>
        <v>0</v>
      </c>
      <c r="AE1086" s="22">
        <f t="shared" si="2251"/>
        <v>0</v>
      </c>
      <c r="AF1086" s="22">
        <f t="shared" si="2251"/>
        <v>3.7981737</v>
      </c>
      <c r="AG1086" s="22">
        <f t="shared" si="2251"/>
        <v>6.6643429000000003</v>
      </c>
      <c r="AH1086" s="22">
        <f t="shared" si="2251"/>
        <v>10.684625199999999</v>
      </c>
      <c r="AI1086" s="22">
        <f t="shared" si="2251"/>
        <v>15.593109700000001</v>
      </c>
      <c r="AJ1086" s="22">
        <f t="shared" ref="AJ1086:BQ1086" si="2252">SUM(AJ1087:AJ1093)</f>
        <v>22.699506499999998</v>
      </c>
      <c r="AK1086" s="22">
        <f t="shared" si="2252"/>
        <v>33.014619000000003</v>
      </c>
      <c r="AL1086" s="22">
        <f t="shared" si="2252"/>
        <v>43.111808099999998</v>
      </c>
      <c r="AM1086" s="22">
        <f t="shared" si="2252"/>
        <v>84.100177000000002</v>
      </c>
      <c r="AN1086" s="22">
        <f t="shared" si="2252"/>
        <v>432.75854749999996</v>
      </c>
      <c r="AO1086" s="22">
        <f t="shared" si="2252"/>
        <v>288.05218280000003</v>
      </c>
      <c r="AP1086" s="22">
        <f t="shared" si="2252"/>
        <v>345.13956400000001</v>
      </c>
      <c r="AQ1086" s="22">
        <f t="shared" si="2252"/>
        <v>393.58139100000005</v>
      </c>
      <c r="AR1086" s="22">
        <f t="shared" si="2252"/>
        <v>336.76713220000005</v>
      </c>
      <c r="AS1086" s="22">
        <f t="shared" si="2252"/>
        <v>280.81745509999996</v>
      </c>
      <c r="AT1086" s="22">
        <f t="shared" si="2252"/>
        <v>301.50233020000002</v>
      </c>
      <c r="AU1086" s="22">
        <f t="shared" si="2252"/>
        <v>4.4418905000000004</v>
      </c>
      <c r="AV1086" s="22">
        <f t="shared" si="2252"/>
        <v>0</v>
      </c>
      <c r="AW1086" s="22">
        <f t="shared" si="2252"/>
        <v>231.72716789999998</v>
      </c>
      <c r="AX1086" s="22">
        <f t="shared" si="2252"/>
        <v>0</v>
      </c>
      <c r="AY1086" s="22">
        <f t="shared" si="2252"/>
        <v>1.3148685</v>
      </c>
      <c r="AZ1086" s="22">
        <f t="shared" si="2252"/>
        <v>7.9100878999999997</v>
      </c>
      <c r="BA1086" s="22">
        <f t="shared" si="2252"/>
        <v>3.2626999999999996E-2</v>
      </c>
      <c r="BB1086" s="22">
        <f t="shared" si="2252"/>
        <v>5.73404E-2</v>
      </c>
      <c r="BC1086" s="22">
        <f t="shared" si="2252"/>
        <v>0.1281988</v>
      </c>
      <c r="BD1086" s="22">
        <f t="shared" si="2252"/>
        <v>4.6178999999999998E-2</v>
      </c>
      <c r="BE1086" s="22">
        <f t="shared" si="2252"/>
        <v>12.874969200000001</v>
      </c>
      <c r="BF1086" s="22">
        <f t="shared" si="2252"/>
        <v>115.16067080000001</v>
      </c>
      <c r="BG1086" s="22">
        <f t="shared" si="2252"/>
        <v>76.80977870000001</v>
      </c>
      <c r="BH1086" s="22">
        <f t="shared" si="2252"/>
        <v>143.95626659999999</v>
      </c>
      <c r="BI1086" s="22">
        <f t="shared" si="2252"/>
        <v>194.87219959999999</v>
      </c>
      <c r="BJ1086" s="22">
        <f t="shared" si="2252"/>
        <v>188.7890788</v>
      </c>
      <c r="BK1086" s="22">
        <f t="shared" si="2252"/>
        <v>228.4758022</v>
      </c>
      <c r="BL1086" s="22">
        <f t="shared" si="2252"/>
        <v>330.47138789999997</v>
      </c>
      <c r="BM1086" s="22">
        <f t="shared" si="2252"/>
        <v>310.32314180000003</v>
      </c>
      <c r="BN1086" s="22">
        <f t="shared" si="2252"/>
        <v>33047</v>
      </c>
      <c r="BO1086" s="22">
        <f t="shared" si="2252"/>
        <v>38618.314814814818</v>
      </c>
      <c r="BP1086" s="22">
        <f t="shared" si="2252"/>
        <v>30059</v>
      </c>
      <c r="BQ1086" s="22">
        <f t="shared" si="2252"/>
        <v>3970</v>
      </c>
      <c r="BR1086" s="101"/>
      <c r="BS1086">
        <f t="shared" ref="BS1086:CX1086" si="2253">IF($C1086&lt;&gt;"",IF(D1086&gt;0,1,0),0)</f>
        <v>0</v>
      </c>
      <c r="BT1086">
        <f t="shared" si="2253"/>
        <v>0</v>
      </c>
      <c r="BU1086">
        <f t="shared" si="2253"/>
        <v>0</v>
      </c>
      <c r="BV1086">
        <f t="shared" si="2253"/>
        <v>0</v>
      </c>
      <c r="BW1086">
        <f t="shared" si="2253"/>
        <v>0</v>
      </c>
      <c r="BX1086">
        <f t="shared" si="2253"/>
        <v>0</v>
      </c>
      <c r="BY1086">
        <f t="shared" si="2253"/>
        <v>0</v>
      </c>
      <c r="BZ1086">
        <f t="shared" si="2253"/>
        <v>0</v>
      </c>
      <c r="CA1086">
        <f t="shared" si="2253"/>
        <v>0</v>
      </c>
      <c r="CB1086">
        <f t="shared" si="2253"/>
        <v>0</v>
      </c>
      <c r="CC1086">
        <f t="shared" si="2253"/>
        <v>0</v>
      </c>
      <c r="CD1086">
        <f t="shared" si="2253"/>
        <v>1</v>
      </c>
      <c r="CE1086">
        <f t="shared" si="2253"/>
        <v>1</v>
      </c>
      <c r="CF1086">
        <f t="shared" si="2253"/>
        <v>1</v>
      </c>
      <c r="CG1086">
        <f t="shared" si="2253"/>
        <v>1</v>
      </c>
      <c r="CH1086">
        <f t="shared" si="2253"/>
        <v>1</v>
      </c>
      <c r="CI1086">
        <f t="shared" si="2253"/>
        <v>1</v>
      </c>
      <c r="CJ1086">
        <f t="shared" si="2253"/>
        <v>1</v>
      </c>
      <c r="CK1086">
        <f t="shared" si="2253"/>
        <v>0</v>
      </c>
      <c r="CL1086">
        <f t="shared" si="2253"/>
        <v>0</v>
      </c>
      <c r="CM1086">
        <f t="shared" si="2253"/>
        <v>0</v>
      </c>
      <c r="CN1086">
        <f t="shared" si="2253"/>
        <v>0</v>
      </c>
      <c r="CO1086">
        <f t="shared" si="2253"/>
        <v>0</v>
      </c>
      <c r="CP1086">
        <f t="shared" si="2253"/>
        <v>0</v>
      </c>
      <c r="CQ1086">
        <f t="shared" si="2253"/>
        <v>0</v>
      </c>
      <c r="CR1086">
        <f t="shared" si="2253"/>
        <v>0</v>
      </c>
      <c r="CS1086">
        <f t="shared" si="2253"/>
        <v>0</v>
      </c>
      <c r="CT1086">
        <f t="shared" si="2253"/>
        <v>0</v>
      </c>
      <c r="CU1086">
        <f t="shared" si="2253"/>
        <v>1</v>
      </c>
      <c r="CV1086">
        <f t="shared" si="2253"/>
        <v>1</v>
      </c>
      <c r="CW1086">
        <f t="shared" si="2253"/>
        <v>1</v>
      </c>
      <c r="CX1086">
        <f t="shared" si="2253"/>
        <v>1</v>
      </c>
      <c r="CY1086">
        <f t="shared" ref="CY1086:EF1086" si="2254">IF($C1086&lt;&gt;"",IF(AJ1086&gt;0,1,0),0)</f>
        <v>1</v>
      </c>
      <c r="CZ1086">
        <f t="shared" si="2254"/>
        <v>1</v>
      </c>
      <c r="DA1086">
        <f t="shared" si="2254"/>
        <v>1</v>
      </c>
      <c r="DB1086">
        <f t="shared" si="2254"/>
        <v>1</v>
      </c>
      <c r="DC1086">
        <f t="shared" si="2254"/>
        <v>1</v>
      </c>
      <c r="DD1086">
        <f t="shared" si="2254"/>
        <v>1</v>
      </c>
      <c r="DE1086">
        <f t="shared" si="2254"/>
        <v>1</v>
      </c>
      <c r="DF1086">
        <f t="shared" si="2254"/>
        <v>1</v>
      </c>
      <c r="DG1086">
        <f t="shared" si="2254"/>
        <v>1</v>
      </c>
      <c r="DH1086">
        <f t="shared" si="2254"/>
        <v>1</v>
      </c>
      <c r="DI1086">
        <f t="shared" si="2254"/>
        <v>1</v>
      </c>
      <c r="DJ1086">
        <f t="shared" si="2254"/>
        <v>1</v>
      </c>
      <c r="DK1086">
        <f t="shared" si="2254"/>
        <v>0</v>
      </c>
      <c r="DL1086">
        <f t="shared" si="2254"/>
        <v>1</v>
      </c>
      <c r="DM1086">
        <f t="shared" si="2254"/>
        <v>0</v>
      </c>
      <c r="DN1086">
        <f t="shared" si="2254"/>
        <v>1</v>
      </c>
      <c r="DO1086">
        <f t="shared" si="2254"/>
        <v>1</v>
      </c>
      <c r="DP1086">
        <f t="shared" si="2254"/>
        <v>1</v>
      </c>
      <c r="DQ1086">
        <f t="shared" si="2254"/>
        <v>1</v>
      </c>
      <c r="DR1086">
        <f t="shared" si="2254"/>
        <v>1</v>
      </c>
      <c r="DS1086">
        <f t="shared" si="2254"/>
        <v>1</v>
      </c>
      <c r="DT1086">
        <f t="shared" si="2254"/>
        <v>1</v>
      </c>
      <c r="DU1086">
        <f t="shared" si="2254"/>
        <v>1</v>
      </c>
      <c r="DV1086">
        <f t="shared" si="2254"/>
        <v>1</v>
      </c>
      <c r="DW1086">
        <f t="shared" si="2254"/>
        <v>1</v>
      </c>
      <c r="DX1086">
        <f t="shared" si="2254"/>
        <v>1</v>
      </c>
      <c r="DY1086">
        <f t="shared" si="2254"/>
        <v>1</v>
      </c>
      <c r="DZ1086">
        <f t="shared" si="2254"/>
        <v>1</v>
      </c>
      <c r="EA1086">
        <f t="shared" si="2254"/>
        <v>1</v>
      </c>
      <c r="EB1086">
        <f>IF($C1086&lt;&gt;"",IF(BM1086&gt;0,1,0),0)</f>
        <v>1</v>
      </c>
      <c r="EC1086">
        <f t="shared" si="2254"/>
        <v>1</v>
      </c>
      <c r="ED1086">
        <f t="shared" si="2254"/>
        <v>1</v>
      </c>
      <c r="EE1086">
        <f t="shared" si="2254"/>
        <v>1</v>
      </c>
      <c r="EF1086">
        <f t="shared" si="2254"/>
        <v>1</v>
      </c>
    </row>
    <row r="1087" spans="1:136" ht="15.5">
      <c r="A1087" s="90"/>
      <c r="B1087" s="19" t="s">
        <v>2</v>
      </c>
      <c r="C1087" s="94"/>
      <c r="D1087" s="18">
        <v>0</v>
      </c>
      <c r="E1087" s="18">
        <v>0</v>
      </c>
      <c r="F1087" s="18">
        <v>0</v>
      </c>
      <c r="G1087" s="18">
        <v>0</v>
      </c>
      <c r="H1087" s="18">
        <v>0</v>
      </c>
      <c r="I1087" s="18">
        <v>0</v>
      </c>
      <c r="J1087" s="18">
        <v>0</v>
      </c>
      <c r="K1087" s="18">
        <v>0</v>
      </c>
      <c r="L1087" s="18">
        <v>0</v>
      </c>
      <c r="M1087" s="18">
        <v>0</v>
      </c>
      <c r="N1087" s="18">
        <v>0</v>
      </c>
      <c r="O1087" s="18">
        <v>0</v>
      </c>
      <c r="P1087" s="18">
        <v>0</v>
      </c>
      <c r="Q1087" s="18">
        <v>0</v>
      </c>
      <c r="R1087" s="18">
        <v>0</v>
      </c>
      <c r="S1087" s="18">
        <v>0</v>
      </c>
      <c r="T1087" s="18">
        <v>0</v>
      </c>
      <c r="U1087" s="18">
        <v>0</v>
      </c>
      <c r="V1087" s="18">
        <v>0</v>
      </c>
      <c r="W1087" s="18">
        <v>0</v>
      </c>
      <c r="X1087" s="18">
        <v>0</v>
      </c>
      <c r="Y1087" s="18">
        <v>0</v>
      </c>
      <c r="Z1087" s="18">
        <v>0</v>
      </c>
      <c r="AA1087" s="18">
        <v>0</v>
      </c>
      <c r="AB1087" s="18">
        <v>0</v>
      </c>
      <c r="AC1087" s="18">
        <v>0</v>
      </c>
      <c r="AD1087" s="18">
        <v>0</v>
      </c>
      <c r="AE1087" s="18">
        <v>0</v>
      </c>
      <c r="AF1087" s="18">
        <v>0</v>
      </c>
      <c r="AG1087" s="18">
        <v>0</v>
      </c>
      <c r="AH1087" s="18">
        <v>0</v>
      </c>
      <c r="AI1087" s="18">
        <v>0</v>
      </c>
      <c r="AJ1087" s="18">
        <v>0</v>
      </c>
      <c r="AK1087" s="18">
        <v>0</v>
      </c>
      <c r="AL1087" s="22"/>
      <c r="AM1087" s="22"/>
      <c r="AN1087" s="22"/>
      <c r="AO1087" s="22"/>
      <c r="AP1087" s="22"/>
      <c r="AQ1087" s="22"/>
      <c r="AR1087" s="22"/>
      <c r="AS1087" s="22"/>
      <c r="AT1087" s="22"/>
      <c r="AU1087" s="18">
        <v>0</v>
      </c>
      <c r="AV1087" s="18">
        <v>0</v>
      </c>
      <c r="AW1087" s="18">
        <v>227</v>
      </c>
      <c r="AX1087" s="18">
        <v>0</v>
      </c>
      <c r="AY1087" s="18">
        <v>0</v>
      </c>
      <c r="AZ1087" s="18">
        <v>0</v>
      </c>
      <c r="BA1087" s="18">
        <v>0</v>
      </c>
      <c r="BB1087" s="18">
        <v>0</v>
      </c>
      <c r="BC1087" s="18">
        <v>0</v>
      </c>
      <c r="BD1087" s="18">
        <v>0</v>
      </c>
      <c r="BE1087" s="18">
        <v>0</v>
      </c>
      <c r="BF1087" s="18">
        <v>0</v>
      </c>
      <c r="BG1087" s="18">
        <v>0</v>
      </c>
      <c r="BH1087" s="18">
        <v>0</v>
      </c>
      <c r="BI1087" s="18">
        <v>0</v>
      </c>
      <c r="BJ1087" s="113">
        <v>0</v>
      </c>
      <c r="BK1087" s="113">
        <v>0</v>
      </c>
      <c r="BL1087" s="113">
        <v>0</v>
      </c>
      <c r="BM1087" s="113">
        <v>0</v>
      </c>
      <c r="BN1087" s="142">
        <v>4784</v>
      </c>
      <c r="BO1087" s="142">
        <v>4834</v>
      </c>
      <c r="BP1087" s="113">
        <v>4872</v>
      </c>
      <c r="BQ1087" s="113">
        <v>300</v>
      </c>
      <c r="BR1087" s="101"/>
      <c r="BS1087">
        <f t="shared" ref="BS1087:CB1094" si="2255">IF($C1087&lt;&gt;"",IF(D1087&gt;0,1,0),0)</f>
        <v>0</v>
      </c>
      <c r="BT1087">
        <f t="shared" si="2255"/>
        <v>0</v>
      </c>
      <c r="BU1087">
        <f t="shared" si="2255"/>
        <v>0</v>
      </c>
      <c r="BV1087">
        <f t="shared" si="2255"/>
        <v>0</v>
      </c>
      <c r="BW1087">
        <f t="shared" si="2255"/>
        <v>0</v>
      </c>
      <c r="BX1087">
        <f t="shared" si="2255"/>
        <v>0</v>
      </c>
      <c r="BY1087">
        <f t="shared" si="2255"/>
        <v>0</v>
      </c>
      <c r="BZ1087">
        <f t="shared" si="2255"/>
        <v>0</v>
      </c>
      <c r="CA1087">
        <f t="shared" si="2255"/>
        <v>0</v>
      </c>
      <c r="CB1087">
        <f t="shared" si="2255"/>
        <v>0</v>
      </c>
      <c r="CC1087">
        <f t="shared" ref="CC1087:CL1094" si="2256">IF($C1087&lt;&gt;"",IF(N1087&gt;0,1,0),0)</f>
        <v>0</v>
      </c>
      <c r="CD1087">
        <f t="shared" si="2256"/>
        <v>0</v>
      </c>
      <c r="CE1087">
        <f t="shared" si="2256"/>
        <v>0</v>
      </c>
      <c r="CF1087">
        <f t="shared" si="2256"/>
        <v>0</v>
      </c>
      <c r="CG1087">
        <f t="shared" si="2256"/>
        <v>0</v>
      </c>
      <c r="CH1087">
        <f t="shared" si="2256"/>
        <v>0</v>
      </c>
      <c r="CI1087">
        <f t="shared" si="2256"/>
        <v>0</v>
      </c>
      <c r="CJ1087">
        <f t="shared" si="2256"/>
        <v>0</v>
      </c>
      <c r="CK1087">
        <f t="shared" si="2256"/>
        <v>0</v>
      </c>
      <c r="CL1087">
        <f t="shared" si="2256"/>
        <v>0</v>
      </c>
      <c r="CM1087">
        <f t="shared" ref="CM1087:CV1094" si="2257">IF($C1087&lt;&gt;"",IF(X1087&gt;0,1,0),0)</f>
        <v>0</v>
      </c>
      <c r="CN1087">
        <f t="shared" si="2257"/>
        <v>0</v>
      </c>
      <c r="CO1087">
        <f t="shared" si="2257"/>
        <v>0</v>
      </c>
      <c r="CP1087">
        <f t="shared" si="2257"/>
        <v>0</v>
      </c>
      <c r="CQ1087">
        <f t="shared" si="2257"/>
        <v>0</v>
      </c>
      <c r="CR1087">
        <f t="shared" si="2257"/>
        <v>0</v>
      </c>
      <c r="CS1087">
        <f t="shared" si="2257"/>
        <v>0</v>
      </c>
      <c r="CT1087">
        <f t="shared" si="2257"/>
        <v>0</v>
      </c>
      <c r="CU1087">
        <f t="shared" si="2257"/>
        <v>0</v>
      </c>
      <c r="CV1087">
        <f t="shared" si="2257"/>
        <v>0</v>
      </c>
      <c r="CW1087">
        <f t="shared" ref="CW1087:DF1094" si="2258">IF($C1087&lt;&gt;"",IF(AH1087&gt;0,1,0),0)</f>
        <v>0</v>
      </c>
      <c r="CX1087">
        <f t="shared" si="2258"/>
        <v>0</v>
      </c>
      <c r="CY1087">
        <f t="shared" si="2258"/>
        <v>0</v>
      </c>
      <c r="CZ1087">
        <f t="shared" si="2258"/>
        <v>0</v>
      </c>
      <c r="DA1087">
        <f t="shared" si="2258"/>
        <v>0</v>
      </c>
      <c r="DB1087">
        <f t="shared" si="2258"/>
        <v>0</v>
      </c>
      <c r="DC1087">
        <f t="shared" si="2258"/>
        <v>0</v>
      </c>
      <c r="DD1087">
        <f t="shared" si="2258"/>
        <v>0</v>
      </c>
      <c r="DE1087">
        <f t="shared" si="2258"/>
        <v>0</v>
      </c>
      <c r="DF1087">
        <f t="shared" si="2258"/>
        <v>0</v>
      </c>
      <c r="DG1087">
        <f t="shared" ref="DG1087:DP1094" si="2259">IF($C1087&lt;&gt;"",IF(AR1087&gt;0,1,0),0)</f>
        <v>0</v>
      </c>
      <c r="DH1087">
        <f t="shared" si="2259"/>
        <v>0</v>
      </c>
      <c r="DI1087">
        <f t="shared" si="2259"/>
        <v>0</v>
      </c>
      <c r="DJ1087">
        <f t="shared" si="2259"/>
        <v>0</v>
      </c>
      <c r="DK1087">
        <f t="shared" si="2259"/>
        <v>0</v>
      </c>
      <c r="DL1087">
        <f t="shared" si="2259"/>
        <v>0</v>
      </c>
      <c r="DM1087">
        <f t="shared" si="2259"/>
        <v>0</v>
      </c>
      <c r="DN1087">
        <f t="shared" si="2259"/>
        <v>0</v>
      </c>
      <c r="DO1087">
        <f t="shared" si="2259"/>
        <v>0</v>
      </c>
      <c r="DP1087">
        <f t="shared" si="2259"/>
        <v>0</v>
      </c>
      <c r="DQ1087">
        <f t="shared" ref="DQ1087:DZ1094" si="2260">IF($C1087&lt;&gt;"",IF(BB1087&gt;0,1,0),0)</f>
        <v>0</v>
      </c>
      <c r="DR1087">
        <f t="shared" si="2260"/>
        <v>0</v>
      </c>
      <c r="DS1087">
        <f t="shared" si="2260"/>
        <v>0</v>
      </c>
      <c r="DT1087">
        <f t="shared" si="2260"/>
        <v>0</v>
      </c>
      <c r="DU1087">
        <f t="shared" si="2260"/>
        <v>0</v>
      </c>
      <c r="DV1087">
        <f t="shared" si="2260"/>
        <v>0</v>
      </c>
      <c r="DW1087">
        <f t="shared" si="2260"/>
        <v>0</v>
      </c>
      <c r="DX1087">
        <f t="shared" si="2260"/>
        <v>0</v>
      </c>
      <c r="DY1087">
        <f t="shared" si="2260"/>
        <v>0</v>
      </c>
      <c r="DZ1087">
        <f t="shared" si="2260"/>
        <v>0</v>
      </c>
      <c r="EA1087">
        <f t="shared" ref="EA1087:EF1089" si="2261">IF($C1087&lt;&gt;"",IF(BL1086&gt;0,1,0),0)</f>
        <v>0</v>
      </c>
      <c r="EB1087">
        <f>IF($C1087&lt;&gt;"",IF(BM1086&gt;0,1,0),0)</f>
        <v>0</v>
      </c>
      <c r="EC1087">
        <f t="shared" si="2261"/>
        <v>0</v>
      </c>
      <c r="ED1087">
        <f t="shared" si="2261"/>
        <v>0</v>
      </c>
      <c r="EE1087">
        <f t="shared" si="2261"/>
        <v>0</v>
      </c>
      <c r="EF1087">
        <f t="shared" si="2261"/>
        <v>0</v>
      </c>
    </row>
    <row r="1088" spans="1:136" ht="15.5">
      <c r="A1088" s="90"/>
      <c r="B1088" s="19" t="s">
        <v>205</v>
      </c>
      <c r="C1088" s="94"/>
      <c r="D1088" s="18">
        <v>0</v>
      </c>
      <c r="E1088" s="18">
        <v>0</v>
      </c>
      <c r="F1088" s="18">
        <v>0</v>
      </c>
      <c r="G1088" s="18">
        <v>0</v>
      </c>
      <c r="H1088" s="18">
        <v>0</v>
      </c>
      <c r="I1088" s="18">
        <v>0</v>
      </c>
      <c r="J1088" s="18">
        <v>0</v>
      </c>
      <c r="K1088" s="18">
        <v>0</v>
      </c>
      <c r="L1088" s="18">
        <v>0</v>
      </c>
      <c r="M1088" s="18">
        <v>0</v>
      </c>
      <c r="N1088" s="18">
        <v>0</v>
      </c>
      <c r="O1088" s="18">
        <v>0</v>
      </c>
      <c r="P1088" s="18">
        <v>0</v>
      </c>
      <c r="Q1088" s="18">
        <v>0</v>
      </c>
      <c r="R1088" s="18">
        <v>0</v>
      </c>
      <c r="S1088" s="18">
        <v>0</v>
      </c>
      <c r="T1088" s="18">
        <v>0</v>
      </c>
      <c r="U1088" s="18">
        <v>0</v>
      </c>
      <c r="V1088" s="18">
        <v>0</v>
      </c>
      <c r="W1088" s="18">
        <v>0</v>
      </c>
      <c r="X1088" s="18">
        <v>0</v>
      </c>
      <c r="Y1088" s="18">
        <v>0</v>
      </c>
      <c r="Z1088" s="18">
        <v>0</v>
      </c>
      <c r="AA1088" s="18">
        <v>0</v>
      </c>
      <c r="AB1088" s="18">
        <v>0</v>
      </c>
      <c r="AC1088" s="18">
        <v>0</v>
      </c>
      <c r="AD1088" s="18">
        <v>0</v>
      </c>
      <c r="AE1088" s="18">
        <v>0</v>
      </c>
      <c r="AF1088" s="18">
        <v>0</v>
      </c>
      <c r="AG1088" s="18">
        <v>0</v>
      </c>
      <c r="AH1088" s="18">
        <v>0</v>
      </c>
      <c r="AI1088" s="18">
        <v>0</v>
      </c>
      <c r="AJ1088" s="18">
        <v>0</v>
      </c>
      <c r="AK1088" s="18">
        <v>0</v>
      </c>
      <c r="AL1088" s="18">
        <v>0</v>
      </c>
      <c r="AM1088" s="18">
        <v>0</v>
      </c>
      <c r="AN1088" s="18">
        <v>0.31042890000000001</v>
      </c>
      <c r="AO1088" s="18">
        <v>0.24565820000000002</v>
      </c>
      <c r="AP1088" s="18">
        <v>0</v>
      </c>
      <c r="AQ1088" s="18">
        <v>0</v>
      </c>
      <c r="AR1088" s="18">
        <v>0</v>
      </c>
      <c r="AS1088" s="18">
        <v>0</v>
      </c>
      <c r="AT1088" s="18">
        <v>0</v>
      </c>
      <c r="AU1088" s="18">
        <v>0</v>
      </c>
      <c r="AV1088" s="18">
        <v>0</v>
      </c>
      <c r="AW1088" s="18">
        <v>2.3771678999999999</v>
      </c>
      <c r="AX1088" s="18">
        <v>0</v>
      </c>
      <c r="AY1088" s="18">
        <v>1.3148685</v>
      </c>
      <c r="AZ1088" s="18">
        <v>1.8251033000000001</v>
      </c>
      <c r="BA1088" s="18">
        <v>0</v>
      </c>
      <c r="BB1088" s="18">
        <v>0</v>
      </c>
      <c r="BC1088" s="18">
        <v>1E-3</v>
      </c>
      <c r="BD1088" s="18">
        <v>0</v>
      </c>
      <c r="BE1088" s="25">
        <v>0.70009339999999998</v>
      </c>
      <c r="BF1088" s="18">
        <v>13.017899699999999</v>
      </c>
      <c r="BG1088" s="18">
        <v>4.5984284000000004</v>
      </c>
      <c r="BH1088" s="18">
        <v>4.0558161000000004</v>
      </c>
      <c r="BI1088" s="18">
        <v>15.5876737</v>
      </c>
      <c r="BJ1088" s="113">
        <v>6.1230000000000002</v>
      </c>
      <c r="BK1088" s="113">
        <v>18.305</v>
      </c>
      <c r="BL1088" s="113">
        <v>44.179294299999995</v>
      </c>
      <c r="BM1088" s="113">
        <v>42.313000000000002</v>
      </c>
      <c r="BN1088" s="142">
        <f>2901+4483</f>
        <v>7384</v>
      </c>
      <c r="BO1088" s="142">
        <v>7590</v>
      </c>
      <c r="BP1088" s="113">
        <v>7745</v>
      </c>
      <c r="BQ1088" s="142">
        <v>0</v>
      </c>
      <c r="BR1088" s="101"/>
      <c r="BS1088">
        <f t="shared" si="2255"/>
        <v>0</v>
      </c>
      <c r="BT1088">
        <f t="shared" si="2255"/>
        <v>0</v>
      </c>
      <c r="BU1088">
        <f t="shared" si="2255"/>
        <v>0</v>
      </c>
      <c r="BV1088">
        <f t="shared" si="2255"/>
        <v>0</v>
      </c>
      <c r="BW1088">
        <f t="shared" si="2255"/>
        <v>0</v>
      </c>
      <c r="BX1088">
        <f t="shared" si="2255"/>
        <v>0</v>
      </c>
      <c r="BY1088">
        <f t="shared" si="2255"/>
        <v>0</v>
      </c>
      <c r="BZ1088">
        <f t="shared" si="2255"/>
        <v>0</v>
      </c>
      <c r="CA1088">
        <f t="shared" si="2255"/>
        <v>0</v>
      </c>
      <c r="CB1088">
        <f t="shared" si="2255"/>
        <v>0</v>
      </c>
      <c r="CC1088">
        <f t="shared" si="2256"/>
        <v>0</v>
      </c>
      <c r="CD1088">
        <f t="shared" si="2256"/>
        <v>0</v>
      </c>
      <c r="CE1088">
        <f t="shared" si="2256"/>
        <v>0</v>
      </c>
      <c r="CF1088">
        <f t="shared" si="2256"/>
        <v>0</v>
      </c>
      <c r="CG1088">
        <f t="shared" si="2256"/>
        <v>0</v>
      </c>
      <c r="CH1088">
        <f t="shared" si="2256"/>
        <v>0</v>
      </c>
      <c r="CI1088">
        <f t="shared" si="2256"/>
        <v>0</v>
      </c>
      <c r="CJ1088">
        <f t="shared" si="2256"/>
        <v>0</v>
      </c>
      <c r="CK1088">
        <f t="shared" si="2256"/>
        <v>0</v>
      </c>
      <c r="CL1088">
        <f t="shared" si="2256"/>
        <v>0</v>
      </c>
      <c r="CM1088">
        <f t="shared" si="2257"/>
        <v>0</v>
      </c>
      <c r="CN1088">
        <f t="shared" si="2257"/>
        <v>0</v>
      </c>
      <c r="CO1088">
        <f t="shared" si="2257"/>
        <v>0</v>
      </c>
      <c r="CP1088">
        <f t="shared" si="2257"/>
        <v>0</v>
      </c>
      <c r="CQ1088">
        <f t="shared" si="2257"/>
        <v>0</v>
      </c>
      <c r="CR1088">
        <f t="shared" si="2257"/>
        <v>0</v>
      </c>
      <c r="CS1088">
        <f t="shared" si="2257"/>
        <v>0</v>
      </c>
      <c r="CT1088">
        <f t="shared" si="2257"/>
        <v>0</v>
      </c>
      <c r="CU1088">
        <f t="shared" si="2257"/>
        <v>0</v>
      </c>
      <c r="CV1088">
        <f t="shared" si="2257"/>
        <v>0</v>
      </c>
      <c r="CW1088">
        <f t="shared" si="2258"/>
        <v>0</v>
      </c>
      <c r="CX1088">
        <f t="shared" si="2258"/>
        <v>0</v>
      </c>
      <c r="CY1088">
        <f t="shared" si="2258"/>
        <v>0</v>
      </c>
      <c r="CZ1088">
        <f t="shared" si="2258"/>
        <v>0</v>
      </c>
      <c r="DA1088">
        <f t="shared" si="2258"/>
        <v>0</v>
      </c>
      <c r="DB1088">
        <f t="shared" si="2258"/>
        <v>0</v>
      </c>
      <c r="DC1088">
        <f t="shared" si="2258"/>
        <v>0</v>
      </c>
      <c r="DD1088">
        <f t="shared" si="2258"/>
        <v>0</v>
      </c>
      <c r="DE1088">
        <f t="shared" si="2258"/>
        <v>0</v>
      </c>
      <c r="DF1088">
        <f t="shared" si="2258"/>
        <v>0</v>
      </c>
      <c r="DG1088">
        <f t="shared" si="2259"/>
        <v>0</v>
      </c>
      <c r="DH1088">
        <f t="shared" si="2259"/>
        <v>0</v>
      </c>
      <c r="DI1088">
        <f t="shared" si="2259"/>
        <v>0</v>
      </c>
      <c r="DJ1088">
        <f t="shared" si="2259"/>
        <v>0</v>
      </c>
      <c r="DK1088">
        <f t="shared" si="2259"/>
        <v>0</v>
      </c>
      <c r="DL1088">
        <f t="shared" si="2259"/>
        <v>0</v>
      </c>
      <c r="DM1088">
        <f t="shared" si="2259"/>
        <v>0</v>
      </c>
      <c r="DN1088">
        <f t="shared" si="2259"/>
        <v>0</v>
      </c>
      <c r="DO1088">
        <f t="shared" si="2259"/>
        <v>0</v>
      </c>
      <c r="DP1088">
        <f t="shared" si="2259"/>
        <v>0</v>
      </c>
      <c r="DQ1088">
        <f t="shared" si="2260"/>
        <v>0</v>
      </c>
      <c r="DR1088">
        <f t="shared" si="2260"/>
        <v>0</v>
      </c>
      <c r="DS1088">
        <f t="shared" si="2260"/>
        <v>0</v>
      </c>
      <c r="DT1088">
        <f t="shared" si="2260"/>
        <v>0</v>
      </c>
      <c r="DU1088">
        <f t="shared" si="2260"/>
        <v>0</v>
      </c>
      <c r="DV1088">
        <f t="shared" si="2260"/>
        <v>0</v>
      </c>
      <c r="DW1088">
        <f t="shared" si="2260"/>
        <v>0</v>
      </c>
      <c r="DX1088">
        <f t="shared" si="2260"/>
        <v>0</v>
      </c>
      <c r="DY1088">
        <f t="shared" si="2260"/>
        <v>0</v>
      </c>
      <c r="DZ1088">
        <f t="shared" si="2260"/>
        <v>0</v>
      </c>
      <c r="EA1088">
        <f t="shared" si="2261"/>
        <v>0</v>
      </c>
      <c r="EB1088">
        <f>IF($C1088&lt;&gt;"",IF(BM1087&gt;0,1,0),0)</f>
        <v>0</v>
      </c>
      <c r="EC1088">
        <f t="shared" si="2261"/>
        <v>0</v>
      </c>
      <c r="ED1088">
        <f t="shared" si="2261"/>
        <v>0</v>
      </c>
      <c r="EE1088">
        <f t="shared" si="2261"/>
        <v>0</v>
      </c>
      <c r="EF1088">
        <f t="shared" si="2261"/>
        <v>0</v>
      </c>
    </row>
    <row r="1089" spans="1:136" ht="15.5">
      <c r="A1089" s="90"/>
      <c r="B1089" s="19" t="s">
        <v>3</v>
      </c>
      <c r="C1089" s="94"/>
      <c r="D1089" s="18">
        <v>0</v>
      </c>
      <c r="E1089" s="18">
        <v>0</v>
      </c>
      <c r="F1089" s="18">
        <v>0</v>
      </c>
      <c r="G1089" s="18">
        <v>0</v>
      </c>
      <c r="H1089" s="18">
        <v>0</v>
      </c>
      <c r="I1089" s="18">
        <v>0</v>
      </c>
      <c r="J1089" s="18">
        <v>0</v>
      </c>
      <c r="K1089" s="18">
        <v>0</v>
      </c>
      <c r="L1089" s="18">
        <v>0</v>
      </c>
      <c r="M1089" s="18">
        <v>0</v>
      </c>
      <c r="N1089" s="18">
        <v>0</v>
      </c>
      <c r="O1089" s="18">
        <v>0</v>
      </c>
      <c r="P1089" s="18">
        <v>0</v>
      </c>
      <c r="Q1089" s="18">
        <v>0</v>
      </c>
      <c r="R1089" s="18">
        <v>0</v>
      </c>
      <c r="S1089" s="18">
        <v>0</v>
      </c>
      <c r="T1089" s="18">
        <v>0.255</v>
      </c>
      <c r="U1089" s="18">
        <v>0.28999999999999998</v>
      </c>
      <c r="V1089" s="18">
        <v>0</v>
      </c>
      <c r="W1089" s="18">
        <v>0</v>
      </c>
      <c r="X1089" s="18">
        <v>0</v>
      </c>
      <c r="Y1089" s="18">
        <v>0</v>
      </c>
      <c r="Z1089" s="18">
        <v>0</v>
      </c>
      <c r="AA1089" s="18">
        <v>0</v>
      </c>
      <c r="AB1089" s="18">
        <v>0</v>
      </c>
      <c r="AC1089" s="18">
        <v>0</v>
      </c>
      <c r="AD1089" s="18">
        <v>0</v>
      </c>
      <c r="AE1089" s="18">
        <v>0</v>
      </c>
      <c r="AF1089" s="18">
        <v>0</v>
      </c>
      <c r="AG1089" s="18">
        <v>0</v>
      </c>
      <c r="AH1089" s="18">
        <v>1.4982299999999999E-2</v>
      </c>
      <c r="AI1089" s="18">
        <v>0</v>
      </c>
      <c r="AJ1089" s="18">
        <v>0</v>
      </c>
      <c r="AK1089" s="18">
        <v>0</v>
      </c>
      <c r="AL1089" s="18">
        <v>1.5009999999999999</v>
      </c>
      <c r="AM1089" s="18">
        <v>9.5607645999999988</v>
      </c>
      <c r="AN1089" s="18">
        <v>45.249851</v>
      </c>
      <c r="AO1089" s="18">
        <v>48.366234499999997</v>
      </c>
      <c r="AP1089" s="18">
        <v>56.258773499999997</v>
      </c>
      <c r="AQ1089" s="18">
        <v>58.527767300000008</v>
      </c>
      <c r="AR1089" s="18">
        <v>51.084524099999996</v>
      </c>
      <c r="AS1089" s="18">
        <v>33.738053600000001</v>
      </c>
      <c r="AT1089" s="18">
        <v>32.717101599999999</v>
      </c>
      <c r="AU1089" s="18">
        <v>4.4418905000000004</v>
      </c>
      <c r="AV1089" s="18">
        <v>0</v>
      </c>
      <c r="AW1089" s="40" t="s">
        <v>16</v>
      </c>
      <c r="AX1089" s="18">
        <v>0</v>
      </c>
      <c r="AY1089" s="18">
        <f>1.3148685-AY1088</f>
        <v>0</v>
      </c>
      <c r="AZ1089" s="18">
        <f>7.9100879-AZ1088</f>
        <v>6.0849845999999994</v>
      </c>
      <c r="BA1089" s="18">
        <v>1.9983399999999998E-2</v>
      </c>
      <c r="BB1089" s="18">
        <v>4.9331800000000002E-2</v>
      </c>
      <c r="BC1089" s="18">
        <v>7.6129199999999994E-2</v>
      </c>
      <c r="BD1089" s="18">
        <v>4.6178999999999998E-2</v>
      </c>
      <c r="BE1089" s="25">
        <f>12.4017374-BE1088</f>
        <v>11.701644</v>
      </c>
      <c r="BF1089" s="18">
        <f>70.8715298-BF1088</f>
        <v>57.853630100000004</v>
      </c>
      <c r="BG1089" s="18">
        <f>76.0308382-BG1088</f>
        <v>71.432409800000002</v>
      </c>
      <c r="BH1089" s="18">
        <f>83.0405075-BH1088</f>
        <v>78.984691400000003</v>
      </c>
      <c r="BI1089" s="18">
        <f>34.4380388-BI1088</f>
        <v>18.850365100000001</v>
      </c>
      <c r="BJ1089" s="18">
        <f>20.8544732-BJ1088</f>
        <v>14.7314732</v>
      </c>
      <c r="BK1089" s="34">
        <f>50.0709144-BK1088</f>
        <v>31.7659144</v>
      </c>
      <c r="BL1089" s="113">
        <f>129.1705231-BL1088</f>
        <v>84.991228800000002</v>
      </c>
      <c r="BM1089" s="113">
        <f>125.0900728-BM1088</f>
        <v>82.777072799999999</v>
      </c>
      <c r="BN1089" s="142">
        <v>2204</v>
      </c>
      <c r="BO1089" s="142">
        <v>1917</v>
      </c>
      <c r="BP1089" s="113">
        <v>1950</v>
      </c>
      <c r="BQ1089" s="142">
        <v>175</v>
      </c>
      <c r="BR1089" s="101"/>
      <c r="BS1089">
        <f t="shared" si="2255"/>
        <v>0</v>
      </c>
      <c r="BT1089">
        <f t="shared" si="2255"/>
        <v>0</v>
      </c>
      <c r="BU1089">
        <f t="shared" si="2255"/>
        <v>0</v>
      </c>
      <c r="BV1089">
        <f t="shared" si="2255"/>
        <v>0</v>
      </c>
      <c r="BW1089">
        <f t="shared" si="2255"/>
        <v>0</v>
      </c>
      <c r="BX1089">
        <f t="shared" si="2255"/>
        <v>0</v>
      </c>
      <c r="BY1089">
        <f t="shared" si="2255"/>
        <v>0</v>
      </c>
      <c r="BZ1089">
        <f t="shared" si="2255"/>
        <v>0</v>
      </c>
      <c r="CA1089">
        <f t="shared" si="2255"/>
        <v>0</v>
      </c>
      <c r="CB1089">
        <f t="shared" si="2255"/>
        <v>0</v>
      </c>
      <c r="CC1089">
        <f t="shared" si="2256"/>
        <v>0</v>
      </c>
      <c r="CD1089">
        <f t="shared" si="2256"/>
        <v>0</v>
      </c>
      <c r="CE1089">
        <f t="shared" si="2256"/>
        <v>0</v>
      </c>
      <c r="CF1089">
        <f t="shared" si="2256"/>
        <v>0</v>
      </c>
      <c r="CG1089">
        <f t="shared" si="2256"/>
        <v>0</v>
      </c>
      <c r="CH1089">
        <f t="shared" si="2256"/>
        <v>0</v>
      </c>
      <c r="CI1089">
        <f t="shared" si="2256"/>
        <v>0</v>
      </c>
      <c r="CJ1089">
        <f t="shared" si="2256"/>
        <v>0</v>
      </c>
      <c r="CK1089">
        <f t="shared" si="2256"/>
        <v>0</v>
      </c>
      <c r="CL1089">
        <f t="shared" si="2256"/>
        <v>0</v>
      </c>
      <c r="CM1089">
        <f t="shared" si="2257"/>
        <v>0</v>
      </c>
      <c r="CN1089">
        <f t="shared" si="2257"/>
        <v>0</v>
      </c>
      <c r="CO1089">
        <f t="shared" si="2257"/>
        <v>0</v>
      </c>
      <c r="CP1089">
        <f t="shared" si="2257"/>
        <v>0</v>
      </c>
      <c r="CQ1089">
        <f t="shared" si="2257"/>
        <v>0</v>
      </c>
      <c r="CR1089">
        <f t="shared" si="2257"/>
        <v>0</v>
      </c>
      <c r="CS1089">
        <f t="shared" si="2257"/>
        <v>0</v>
      </c>
      <c r="CT1089">
        <f t="shared" si="2257"/>
        <v>0</v>
      </c>
      <c r="CU1089">
        <f t="shared" si="2257"/>
        <v>0</v>
      </c>
      <c r="CV1089">
        <f t="shared" si="2257"/>
        <v>0</v>
      </c>
      <c r="CW1089">
        <f t="shared" si="2258"/>
        <v>0</v>
      </c>
      <c r="CX1089">
        <f t="shared" si="2258"/>
        <v>0</v>
      </c>
      <c r="CY1089">
        <f t="shared" si="2258"/>
        <v>0</v>
      </c>
      <c r="CZ1089">
        <f t="shared" si="2258"/>
        <v>0</v>
      </c>
      <c r="DA1089">
        <f t="shared" si="2258"/>
        <v>0</v>
      </c>
      <c r="DB1089">
        <f t="shared" si="2258"/>
        <v>0</v>
      </c>
      <c r="DC1089">
        <f t="shared" si="2258"/>
        <v>0</v>
      </c>
      <c r="DD1089">
        <f t="shared" si="2258"/>
        <v>0</v>
      </c>
      <c r="DE1089">
        <f t="shared" si="2258"/>
        <v>0</v>
      </c>
      <c r="DF1089">
        <f t="shared" si="2258"/>
        <v>0</v>
      </c>
      <c r="DG1089">
        <f t="shared" si="2259"/>
        <v>0</v>
      </c>
      <c r="DH1089">
        <f t="shared" si="2259"/>
        <v>0</v>
      </c>
      <c r="DI1089">
        <f t="shared" si="2259"/>
        <v>0</v>
      </c>
      <c r="DJ1089">
        <f t="shared" si="2259"/>
        <v>0</v>
      </c>
      <c r="DK1089">
        <f t="shared" si="2259"/>
        <v>0</v>
      </c>
      <c r="DL1089">
        <f t="shared" si="2259"/>
        <v>0</v>
      </c>
      <c r="DM1089">
        <f t="shared" si="2259"/>
        <v>0</v>
      </c>
      <c r="DN1089">
        <f t="shared" si="2259"/>
        <v>0</v>
      </c>
      <c r="DO1089">
        <f t="shared" si="2259"/>
        <v>0</v>
      </c>
      <c r="DP1089">
        <f t="shared" si="2259"/>
        <v>0</v>
      </c>
      <c r="DQ1089">
        <f t="shared" si="2260"/>
        <v>0</v>
      </c>
      <c r="DR1089">
        <f t="shared" si="2260"/>
        <v>0</v>
      </c>
      <c r="DS1089">
        <f t="shared" si="2260"/>
        <v>0</v>
      </c>
      <c r="DT1089">
        <f t="shared" si="2260"/>
        <v>0</v>
      </c>
      <c r="DU1089">
        <f t="shared" si="2260"/>
        <v>0</v>
      </c>
      <c r="DV1089">
        <f t="shared" si="2260"/>
        <v>0</v>
      </c>
      <c r="DW1089">
        <f t="shared" si="2260"/>
        <v>0</v>
      </c>
      <c r="DX1089">
        <f t="shared" si="2260"/>
        <v>0</v>
      </c>
      <c r="DY1089">
        <f t="shared" si="2260"/>
        <v>0</v>
      </c>
      <c r="DZ1089">
        <f t="shared" si="2260"/>
        <v>0</v>
      </c>
      <c r="EA1089">
        <f t="shared" si="2261"/>
        <v>0</v>
      </c>
      <c r="EB1089">
        <f>IF($C1089&lt;&gt;"",IF(BM1088&gt;0,1,0),0)</f>
        <v>0</v>
      </c>
      <c r="EC1089">
        <f t="shared" si="2261"/>
        <v>0</v>
      </c>
      <c r="ED1089">
        <f t="shared" si="2261"/>
        <v>0</v>
      </c>
      <c r="EE1089">
        <f t="shared" si="2261"/>
        <v>0</v>
      </c>
      <c r="EF1089">
        <f t="shared" si="2261"/>
        <v>0</v>
      </c>
    </row>
    <row r="1090" spans="1:136" ht="15.5">
      <c r="A1090" s="90"/>
      <c r="B1090" s="19" t="s">
        <v>25</v>
      </c>
      <c r="C1090" s="94"/>
      <c r="D1090" s="18">
        <v>0</v>
      </c>
      <c r="E1090" s="18">
        <v>0</v>
      </c>
      <c r="F1090" s="18">
        <v>0</v>
      </c>
      <c r="G1090" s="18">
        <v>0</v>
      </c>
      <c r="H1090" s="18">
        <v>0</v>
      </c>
      <c r="I1090" s="18">
        <v>0</v>
      </c>
      <c r="J1090" s="18">
        <v>0</v>
      </c>
      <c r="K1090" s="18">
        <v>0</v>
      </c>
      <c r="L1090" s="18">
        <v>0</v>
      </c>
      <c r="M1090" s="18">
        <v>0</v>
      </c>
      <c r="N1090" s="18">
        <v>0</v>
      </c>
      <c r="O1090" s="18">
        <v>0</v>
      </c>
      <c r="P1090" s="18">
        <v>0</v>
      </c>
      <c r="Q1090" s="18">
        <v>0</v>
      </c>
      <c r="R1090" s="18">
        <v>0</v>
      </c>
      <c r="S1090" s="18">
        <v>0</v>
      </c>
      <c r="T1090" s="18">
        <v>0</v>
      </c>
      <c r="U1090" s="18">
        <v>0</v>
      </c>
      <c r="V1090" s="18">
        <v>0</v>
      </c>
      <c r="W1090" s="18">
        <v>0</v>
      </c>
      <c r="X1090" s="18">
        <v>0</v>
      </c>
      <c r="Y1090" s="18">
        <v>0</v>
      </c>
      <c r="Z1090" s="18">
        <v>0</v>
      </c>
      <c r="AA1090" s="18">
        <v>0</v>
      </c>
      <c r="AB1090" s="18">
        <v>0</v>
      </c>
      <c r="AC1090" s="18">
        <v>0</v>
      </c>
      <c r="AD1090" s="18">
        <v>0</v>
      </c>
      <c r="AE1090" s="18">
        <v>0</v>
      </c>
      <c r="AF1090" s="18">
        <v>0</v>
      </c>
      <c r="AG1090" s="18">
        <v>0</v>
      </c>
      <c r="AH1090" s="18">
        <v>0</v>
      </c>
      <c r="AI1090" s="18">
        <v>0</v>
      </c>
      <c r="AJ1090" s="18">
        <v>0</v>
      </c>
      <c r="AK1090" s="18">
        <v>0</v>
      </c>
      <c r="AL1090" s="18">
        <v>0</v>
      </c>
      <c r="AM1090" s="18">
        <v>0</v>
      </c>
      <c r="AN1090" s="18">
        <v>0</v>
      </c>
      <c r="AO1090" s="18">
        <v>0</v>
      </c>
      <c r="AP1090" s="18">
        <v>0</v>
      </c>
      <c r="AQ1090" s="18">
        <v>0</v>
      </c>
      <c r="AR1090" s="18">
        <v>0</v>
      </c>
      <c r="AS1090" s="18">
        <v>0</v>
      </c>
      <c r="AT1090" s="18">
        <v>0</v>
      </c>
      <c r="AU1090" s="18">
        <v>0</v>
      </c>
      <c r="AV1090" s="18">
        <v>0</v>
      </c>
      <c r="AW1090" s="18">
        <v>0</v>
      </c>
      <c r="AX1090" s="18">
        <v>0</v>
      </c>
      <c r="AY1090" s="18">
        <v>0</v>
      </c>
      <c r="AZ1090" s="18">
        <v>0</v>
      </c>
      <c r="BA1090" s="18">
        <v>0</v>
      </c>
      <c r="BB1090" s="18">
        <v>0</v>
      </c>
      <c r="BC1090" s="18">
        <v>0</v>
      </c>
      <c r="BD1090" s="18">
        <v>0</v>
      </c>
      <c r="BE1090" s="25">
        <v>0</v>
      </c>
      <c r="BF1090" s="18">
        <v>0</v>
      </c>
      <c r="BG1090" s="18">
        <v>0</v>
      </c>
      <c r="BH1090" s="18">
        <v>0</v>
      </c>
      <c r="BI1090" s="18">
        <v>0</v>
      </c>
      <c r="BJ1090" s="18">
        <v>0</v>
      </c>
      <c r="BK1090" s="34">
        <v>0</v>
      </c>
      <c r="BL1090" s="113">
        <v>0</v>
      </c>
      <c r="BM1090" s="113">
        <v>0</v>
      </c>
      <c r="BN1090" s="142">
        <v>13364</v>
      </c>
      <c r="BO1090" s="142">
        <v>14130</v>
      </c>
      <c r="BP1090" s="113">
        <v>15232</v>
      </c>
      <c r="BQ1090" s="142">
        <v>3232</v>
      </c>
      <c r="BR1090" s="101"/>
      <c r="BS1090">
        <f t="shared" si="2255"/>
        <v>0</v>
      </c>
      <c r="BT1090">
        <f t="shared" si="2255"/>
        <v>0</v>
      </c>
      <c r="BU1090">
        <f t="shared" si="2255"/>
        <v>0</v>
      </c>
      <c r="BV1090">
        <f t="shared" si="2255"/>
        <v>0</v>
      </c>
      <c r="BW1090">
        <f t="shared" si="2255"/>
        <v>0</v>
      </c>
      <c r="BX1090">
        <f t="shared" si="2255"/>
        <v>0</v>
      </c>
      <c r="BY1090">
        <f t="shared" si="2255"/>
        <v>0</v>
      </c>
      <c r="BZ1090">
        <f t="shared" si="2255"/>
        <v>0</v>
      </c>
      <c r="CA1090">
        <f t="shared" si="2255"/>
        <v>0</v>
      </c>
      <c r="CB1090">
        <f t="shared" si="2255"/>
        <v>0</v>
      </c>
      <c r="CC1090">
        <f t="shared" si="2256"/>
        <v>0</v>
      </c>
      <c r="CD1090">
        <f t="shared" si="2256"/>
        <v>0</v>
      </c>
      <c r="CE1090">
        <f t="shared" si="2256"/>
        <v>0</v>
      </c>
      <c r="CF1090">
        <f t="shared" si="2256"/>
        <v>0</v>
      </c>
      <c r="CG1090">
        <f t="shared" si="2256"/>
        <v>0</v>
      </c>
      <c r="CH1090">
        <f t="shared" si="2256"/>
        <v>0</v>
      </c>
      <c r="CI1090">
        <f t="shared" si="2256"/>
        <v>0</v>
      </c>
      <c r="CJ1090">
        <f t="shared" si="2256"/>
        <v>0</v>
      </c>
      <c r="CK1090">
        <f t="shared" si="2256"/>
        <v>0</v>
      </c>
      <c r="CL1090">
        <f t="shared" si="2256"/>
        <v>0</v>
      </c>
      <c r="CM1090">
        <f t="shared" si="2257"/>
        <v>0</v>
      </c>
      <c r="CN1090">
        <f t="shared" si="2257"/>
        <v>0</v>
      </c>
      <c r="CO1090">
        <f t="shared" si="2257"/>
        <v>0</v>
      </c>
      <c r="CP1090">
        <f t="shared" si="2257"/>
        <v>0</v>
      </c>
      <c r="CQ1090">
        <f t="shared" si="2257"/>
        <v>0</v>
      </c>
      <c r="CR1090">
        <f t="shared" si="2257"/>
        <v>0</v>
      </c>
      <c r="CS1090">
        <f t="shared" si="2257"/>
        <v>0</v>
      </c>
      <c r="CT1090">
        <f t="shared" si="2257"/>
        <v>0</v>
      </c>
      <c r="CU1090">
        <f t="shared" si="2257"/>
        <v>0</v>
      </c>
      <c r="CV1090">
        <f t="shared" si="2257"/>
        <v>0</v>
      </c>
      <c r="CW1090">
        <f t="shared" si="2258"/>
        <v>0</v>
      </c>
      <c r="CX1090">
        <f t="shared" si="2258"/>
        <v>0</v>
      </c>
      <c r="CY1090">
        <f t="shared" si="2258"/>
        <v>0</v>
      </c>
      <c r="CZ1090">
        <f t="shared" si="2258"/>
        <v>0</v>
      </c>
      <c r="DA1090">
        <f t="shared" si="2258"/>
        <v>0</v>
      </c>
      <c r="DB1090">
        <f t="shared" si="2258"/>
        <v>0</v>
      </c>
      <c r="DC1090">
        <f t="shared" si="2258"/>
        <v>0</v>
      </c>
      <c r="DD1090">
        <f t="shared" si="2258"/>
        <v>0</v>
      </c>
      <c r="DE1090">
        <f t="shared" si="2258"/>
        <v>0</v>
      </c>
      <c r="DF1090">
        <f t="shared" si="2258"/>
        <v>0</v>
      </c>
      <c r="DG1090">
        <f t="shared" si="2259"/>
        <v>0</v>
      </c>
      <c r="DH1090">
        <f t="shared" si="2259"/>
        <v>0</v>
      </c>
      <c r="DI1090">
        <f t="shared" si="2259"/>
        <v>0</v>
      </c>
      <c r="DJ1090">
        <f t="shared" si="2259"/>
        <v>0</v>
      </c>
      <c r="DK1090">
        <f t="shared" si="2259"/>
        <v>0</v>
      </c>
      <c r="DL1090">
        <f t="shared" si="2259"/>
        <v>0</v>
      </c>
      <c r="DM1090">
        <f t="shared" si="2259"/>
        <v>0</v>
      </c>
      <c r="DN1090">
        <f t="shared" si="2259"/>
        <v>0</v>
      </c>
      <c r="DO1090">
        <f t="shared" si="2259"/>
        <v>0</v>
      </c>
      <c r="DP1090">
        <f t="shared" si="2259"/>
        <v>0</v>
      </c>
      <c r="DQ1090">
        <f t="shared" si="2260"/>
        <v>0</v>
      </c>
      <c r="DR1090">
        <f t="shared" si="2260"/>
        <v>0</v>
      </c>
      <c r="DS1090">
        <f t="shared" si="2260"/>
        <v>0</v>
      </c>
      <c r="DT1090">
        <f t="shared" si="2260"/>
        <v>0</v>
      </c>
      <c r="DU1090">
        <f t="shared" si="2260"/>
        <v>0</v>
      </c>
      <c r="DV1090">
        <f t="shared" si="2260"/>
        <v>0</v>
      </c>
      <c r="DW1090">
        <f t="shared" si="2260"/>
        <v>0</v>
      </c>
      <c r="DX1090">
        <f t="shared" si="2260"/>
        <v>0</v>
      </c>
      <c r="DY1090">
        <f t="shared" si="2260"/>
        <v>0</v>
      </c>
      <c r="DZ1090">
        <f t="shared" si="2260"/>
        <v>0</v>
      </c>
      <c r="EA1090">
        <f t="shared" ref="EA1090:EF1091" si="2262">IF($C1090&lt;&gt;"",IF(BL1090&gt;0,1,0),0)</f>
        <v>0</v>
      </c>
      <c r="EB1090">
        <f>IF($C1090&lt;&gt;"",IF(BM1090&gt;0,1,0),0)</f>
        <v>0</v>
      </c>
      <c r="EC1090">
        <f t="shared" si="2262"/>
        <v>0</v>
      </c>
      <c r="ED1090">
        <f t="shared" si="2262"/>
        <v>0</v>
      </c>
      <c r="EE1090">
        <f t="shared" si="2262"/>
        <v>0</v>
      </c>
      <c r="EF1090">
        <f t="shared" si="2262"/>
        <v>0</v>
      </c>
    </row>
    <row r="1091" spans="1:136" ht="15.5">
      <c r="A1091" s="90"/>
      <c r="B1091" s="19" t="s">
        <v>18</v>
      </c>
      <c r="C1091" s="94"/>
      <c r="D1091" s="18">
        <v>0</v>
      </c>
      <c r="E1091" s="18">
        <v>0</v>
      </c>
      <c r="F1091" s="18">
        <v>0</v>
      </c>
      <c r="G1091" s="18">
        <v>0</v>
      </c>
      <c r="H1091" s="18">
        <v>0</v>
      </c>
      <c r="I1091" s="18">
        <v>0</v>
      </c>
      <c r="J1091" s="18">
        <v>0</v>
      </c>
      <c r="K1091" s="18">
        <v>0</v>
      </c>
      <c r="L1091" s="18">
        <v>0</v>
      </c>
      <c r="M1091" s="18">
        <v>0</v>
      </c>
      <c r="N1091" s="18">
        <v>0</v>
      </c>
      <c r="O1091" s="18">
        <v>0</v>
      </c>
      <c r="P1091" s="18">
        <v>0</v>
      </c>
      <c r="Q1091" s="18">
        <v>0</v>
      </c>
      <c r="R1091" s="18">
        <v>0</v>
      </c>
      <c r="S1091" s="18">
        <v>0</v>
      </c>
      <c r="T1091" s="18">
        <v>0</v>
      </c>
      <c r="U1091" s="18">
        <v>0</v>
      </c>
      <c r="V1091" s="18">
        <v>0</v>
      </c>
      <c r="W1091" s="18">
        <v>0</v>
      </c>
      <c r="X1091" s="18">
        <v>0</v>
      </c>
      <c r="Y1091" s="18">
        <v>0</v>
      </c>
      <c r="Z1091" s="18">
        <v>0</v>
      </c>
      <c r="AA1091" s="18">
        <v>0</v>
      </c>
      <c r="AB1091" s="18">
        <v>0</v>
      </c>
      <c r="AC1091" s="18">
        <v>0</v>
      </c>
      <c r="AD1091" s="18">
        <v>0</v>
      </c>
      <c r="AE1091" s="18">
        <v>0</v>
      </c>
      <c r="AF1091" s="18">
        <v>0</v>
      </c>
      <c r="AG1091" s="18">
        <v>0</v>
      </c>
      <c r="AH1091" s="18">
        <v>0</v>
      </c>
      <c r="AI1091" s="18">
        <v>0</v>
      </c>
      <c r="AJ1091" s="18">
        <v>0</v>
      </c>
      <c r="AK1091" s="18">
        <v>0</v>
      </c>
      <c r="AL1091" s="18">
        <v>0</v>
      </c>
      <c r="AM1091" s="18">
        <v>0</v>
      </c>
      <c r="AN1091" s="18">
        <v>0</v>
      </c>
      <c r="AO1091" s="18">
        <v>0</v>
      </c>
      <c r="AP1091" s="18">
        <v>0</v>
      </c>
      <c r="AQ1091" s="18">
        <v>0</v>
      </c>
      <c r="AR1091" s="18">
        <v>0</v>
      </c>
      <c r="AS1091" s="18">
        <v>0</v>
      </c>
      <c r="AT1091" s="18">
        <v>0</v>
      </c>
      <c r="AU1091" s="18">
        <v>0</v>
      </c>
      <c r="AV1091" s="18">
        <v>0</v>
      </c>
      <c r="AW1091" s="18">
        <v>0</v>
      </c>
      <c r="AX1091" s="18">
        <v>0</v>
      </c>
      <c r="AY1091" s="18">
        <v>0</v>
      </c>
      <c r="AZ1091" s="18">
        <v>0</v>
      </c>
      <c r="BA1091" s="18">
        <v>0</v>
      </c>
      <c r="BB1091" s="18">
        <v>0</v>
      </c>
      <c r="BC1091" s="18">
        <v>0</v>
      </c>
      <c r="BD1091" s="18">
        <v>0</v>
      </c>
      <c r="BE1091" s="18">
        <v>0</v>
      </c>
      <c r="BF1091" s="18">
        <v>0</v>
      </c>
      <c r="BG1091" s="18">
        <v>0</v>
      </c>
      <c r="BH1091" s="18">
        <v>0</v>
      </c>
      <c r="BI1091" s="18">
        <v>0</v>
      </c>
      <c r="BJ1091" s="18">
        <v>0</v>
      </c>
      <c r="BK1091" s="18">
        <v>0</v>
      </c>
      <c r="BL1091" s="18">
        <v>0</v>
      </c>
      <c r="BM1091" s="18">
        <v>0</v>
      </c>
      <c r="BN1091" s="142">
        <v>0</v>
      </c>
      <c r="BO1091" s="142">
        <v>0</v>
      </c>
      <c r="BP1091" s="142">
        <v>0</v>
      </c>
      <c r="BQ1091" s="142">
        <v>0</v>
      </c>
      <c r="BR1091" s="101"/>
      <c r="BS1091">
        <f t="shared" si="2255"/>
        <v>0</v>
      </c>
      <c r="BT1091">
        <f t="shared" si="2255"/>
        <v>0</v>
      </c>
      <c r="BU1091">
        <f t="shared" si="2255"/>
        <v>0</v>
      </c>
      <c r="BV1091">
        <f t="shared" si="2255"/>
        <v>0</v>
      </c>
      <c r="BW1091">
        <f t="shared" si="2255"/>
        <v>0</v>
      </c>
      <c r="BX1091">
        <f t="shared" si="2255"/>
        <v>0</v>
      </c>
      <c r="BY1091">
        <f t="shared" si="2255"/>
        <v>0</v>
      </c>
      <c r="BZ1091">
        <f t="shared" si="2255"/>
        <v>0</v>
      </c>
      <c r="CA1091">
        <f t="shared" si="2255"/>
        <v>0</v>
      </c>
      <c r="CB1091">
        <f t="shared" si="2255"/>
        <v>0</v>
      </c>
      <c r="CC1091">
        <f t="shared" si="2256"/>
        <v>0</v>
      </c>
      <c r="CD1091">
        <f t="shared" si="2256"/>
        <v>0</v>
      </c>
      <c r="CE1091">
        <f t="shared" si="2256"/>
        <v>0</v>
      </c>
      <c r="CF1091">
        <f t="shared" si="2256"/>
        <v>0</v>
      </c>
      <c r="CG1091">
        <f t="shared" si="2256"/>
        <v>0</v>
      </c>
      <c r="CH1091">
        <f t="shared" si="2256"/>
        <v>0</v>
      </c>
      <c r="CI1091">
        <f t="shared" si="2256"/>
        <v>0</v>
      </c>
      <c r="CJ1091">
        <f t="shared" si="2256"/>
        <v>0</v>
      </c>
      <c r="CK1091">
        <f t="shared" si="2256"/>
        <v>0</v>
      </c>
      <c r="CL1091">
        <f t="shared" si="2256"/>
        <v>0</v>
      </c>
      <c r="CM1091">
        <f t="shared" si="2257"/>
        <v>0</v>
      </c>
      <c r="CN1091">
        <f t="shared" si="2257"/>
        <v>0</v>
      </c>
      <c r="CO1091">
        <f t="shared" si="2257"/>
        <v>0</v>
      </c>
      <c r="CP1091">
        <f t="shared" si="2257"/>
        <v>0</v>
      </c>
      <c r="CQ1091">
        <f t="shared" si="2257"/>
        <v>0</v>
      </c>
      <c r="CR1091">
        <f t="shared" si="2257"/>
        <v>0</v>
      </c>
      <c r="CS1091">
        <f t="shared" si="2257"/>
        <v>0</v>
      </c>
      <c r="CT1091">
        <f t="shared" si="2257"/>
        <v>0</v>
      </c>
      <c r="CU1091">
        <f t="shared" si="2257"/>
        <v>0</v>
      </c>
      <c r="CV1091">
        <f t="shared" si="2257"/>
        <v>0</v>
      </c>
      <c r="CW1091">
        <f t="shared" si="2258"/>
        <v>0</v>
      </c>
      <c r="CX1091">
        <f t="shared" si="2258"/>
        <v>0</v>
      </c>
      <c r="CY1091">
        <f t="shared" si="2258"/>
        <v>0</v>
      </c>
      <c r="CZ1091">
        <f t="shared" si="2258"/>
        <v>0</v>
      </c>
      <c r="DA1091">
        <f t="shared" si="2258"/>
        <v>0</v>
      </c>
      <c r="DB1091">
        <f t="shared" si="2258"/>
        <v>0</v>
      </c>
      <c r="DC1091">
        <f t="shared" si="2258"/>
        <v>0</v>
      </c>
      <c r="DD1091">
        <f t="shared" si="2258"/>
        <v>0</v>
      </c>
      <c r="DE1091">
        <f t="shared" si="2258"/>
        <v>0</v>
      </c>
      <c r="DF1091">
        <f t="shared" si="2258"/>
        <v>0</v>
      </c>
      <c r="DG1091">
        <f t="shared" si="2259"/>
        <v>0</v>
      </c>
      <c r="DH1091">
        <f t="shared" si="2259"/>
        <v>0</v>
      </c>
      <c r="DI1091">
        <f t="shared" si="2259"/>
        <v>0</v>
      </c>
      <c r="DJ1091">
        <f t="shared" si="2259"/>
        <v>0</v>
      </c>
      <c r="DK1091">
        <f t="shared" si="2259"/>
        <v>0</v>
      </c>
      <c r="DL1091">
        <f t="shared" si="2259"/>
        <v>0</v>
      </c>
      <c r="DM1091">
        <f t="shared" si="2259"/>
        <v>0</v>
      </c>
      <c r="DN1091">
        <f t="shared" si="2259"/>
        <v>0</v>
      </c>
      <c r="DO1091">
        <f t="shared" si="2259"/>
        <v>0</v>
      </c>
      <c r="DP1091">
        <f t="shared" si="2259"/>
        <v>0</v>
      </c>
      <c r="DQ1091">
        <f t="shared" si="2260"/>
        <v>0</v>
      </c>
      <c r="DR1091">
        <f t="shared" si="2260"/>
        <v>0</v>
      </c>
      <c r="DS1091">
        <f t="shared" si="2260"/>
        <v>0</v>
      </c>
      <c r="DT1091">
        <f t="shared" si="2260"/>
        <v>0</v>
      </c>
      <c r="DU1091">
        <f t="shared" si="2260"/>
        <v>0</v>
      </c>
      <c r="DV1091">
        <f t="shared" si="2260"/>
        <v>0</v>
      </c>
      <c r="DW1091">
        <f t="shared" si="2260"/>
        <v>0</v>
      </c>
      <c r="DX1091">
        <f t="shared" si="2260"/>
        <v>0</v>
      </c>
      <c r="DY1091">
        <f t="shared" si="2260"/>
        <v>0</v>
      </c>
      <c r="DZ1091">
        <f t="shared" si="2260"/>
        <v>0</v>
      </c>
      <c r="EA1091">
        <f t="shared" si="2262"/>
        <v>0</v>
      </c>
      <c r="EB1091">
        <f>IF($C1091&lt;&gt;"",IF(BM1091&gt;0,1,0),0)</f>
        <v>0</v>
      </c>
      <c r="EC1091">
        <f t="shared" si="2262"/>
        <v>0</v>
      </c>
      <c r="ED1091">
        <f t="shared" si="2262"/>
        <v>0</v>
      </c>
      <c r="EE1091">
        <f t="shared" si="2262"/>
        <v>0</v>
      </c>
      <c r="EF1091">
        <f t="shared" si="2262"/>
        <v>0</v>
      </c>
    </row>
    <row r="1092" spans="1:136" ht="15.5">
      <c r="A1092" s="90"/>
      <c r="B1092" s="19" t="s">
        <v>208</v>
      </c>
      <c r="C1092" s="94"/>
      <c r="D1092" s="18">
        <v>0</v>
      </c>
      <c r="E1092" s="18">
        <v>0</v>
      </c>
      <c r="F1092" s="18">
        <v>0</v>
      </c>
      <c r="G1092" s="18">
        <v>0</v>
      </c>
      <c r="H1092" s="18">
        <v>0</v>
      </c>
      <c r="I1092" s="18">
        <v>0</v>
      </c>
      <c r="J1092" s="18">
        <v>0</v>
      </c>
      <c r="K1092" s="18">
        <v>0</v>
      </c>
      <c r="L1092" s="18">
        <v>0</v>
      </c>
      <c r="M1092" s="18">
        <v>0</v>
      </c>
      <c r="N1092" s="18">
        <v>0</v>
      </c>
      <c r="O1092" s="18">
        <v>1.9329408000000001</v>
      </c>
      <c r="P1092" s="18">
        <v>0.37804409999999999</v>
      </c>
      <c r="Q1092" s="18">
        <v>0.21141119999999999</v>
      </c>
      <c r="R1092" s="18">
        <v>0.20901649999999999</v>
      </c>
      <c r="S1092" s="18">
        <v>1.8211499999999999E-2</v>
      </c>
      <c r="T1092" s="18">
        <v>0.29607059999999996</v>
      </c>
      <c r="U1092" s="18">
        <v>1.9060000000000001E-2</v>
      </c>
      <c r="V1092" s="18">
        <v>0</v>
      </c>
      <c r="W1092" s="18">
        <v>0</v>
      </c>
      <c r="X1092" s="18">
        <v>0</v>
      </c>
      <c r="Y1092" s="18">
        <v>0</v>
      </c>
      <c r="Z1092" s="18">
        <v>0</v>
      </c>
      <c r="AA1092" s="18">
        <v>0</v>
      </c>
      <c r="AB1092" s="18">
        <v>0</v>
      </c>
      <c r="AC1092" s="18">
        <v>0</v>
      </c>
      <c r="AD1092" s="18">
        <v>0</v>
      </c>
      <c r="AE1092" s="18">
        <v>0</v>
      </c>
      <c r="AF1092" s="18">
        <v>3.7981737</v>
      </c>
      <c r="AG1092" s="18">
        <v>6.6643429000000003</v>
      </c>
      <c r="AH1092" s="18">
        <v>10.669642899999999</v>
      </c>
      <c r="AI1092" s="18">
        <v>15.593109700000001</v>
      </c>
      <c r="AJ1092" s="18">
        <v>22.699506499999998</v>
      </c>
      <c r="AK1092" s="18">
        <v>33.014619000000003</v>
      </c>
      <c r="AL1092" s="18">
        <v>41.6108081</v>
      </c>
      <c r="AM1092" s="18">
        <v>74.539412400000003</v>
      </c>
      <c r="AN1092" s="18">
        <v>233.59826759999999</v>
      </c>
      <c r="AO1092" s="18">
        <v>239.44029010000003</v>
      </c>
      <c r="AP1092" s="18">
        <v>288.88079049999999</v>
      </c>
      <c r="AQ1092" s="18">
        <v>335.05362370000006</v>
      </c>
      <c r="AR1092" s="18">
        <v>285.68260810000004</v>
      </c>
      <c r="AS1092" s="18">
        <v>247.07940149999999</v>
      </c>
      <c r="AT1092" s="18">
        <v>268.78522860000004</v>
      </c>
      <c r="AU1092" s="18">
        <v>0</v>
      </c>
      <c r="AV1092" s="18">
        <v>0</v>
      </c>
      <c r="AW1092" s="18">
        <v>2.35</v>
      </c>
      <c r="AX1092" s="18">
        <v>0</v>
      </c>
      <c r="AY1092" s="18">
        <v>0</v>
      </c>
      <c r="AZ1092" s="18">
        <v>0</v>
      </c>
      <c r="BA1092" s="18">
        <v>1.26436E-2</v>
      </c>
      <c r="BB1092" s="18">
        <v>8.0086000000000011E-3</v>
      </c>
      <c r="BC1092" s="18">
        <v>5.10696E-2</v>
      </c>
      <c r="BD1092" s="18">
        <v>0</v>
      </c>
      <c r="BE1092" s="25">
        <v>0.47323180000000004</v>
      </c>
      <c r="BF1092" s="18">
        <v>44.289141000000001</v>
      </c>
      <c r="BG1092" s="18">
        <v>0.77894050000000004</v>
      </c>
      <c r="BH1092" s="113">
        <v>60.915759100000002</v>
      </c>
      <c r="BI1092" s="18">
        <v>160.4341608</v>
      </c>
      <c r="BJ1092" s="18">
        <v>167.9346056</v>
      </c>
      <c r="BK1092" s="34">
        <v>178.40488780000001</v>
      </c>
      <c r="BL1092" s="113">
        <v>201.3008648</v>
      </c>
      <c r="BM1092" s="113">
        <v>185.233069</v>
      </c>
      <c r="BN1092" s="142">
        <v>258</v>
      </c>
      <c r="BO1092" s="142">
        <v>257</v>
      </c>
      <c r="BP1092" s="113">
        <v>260</v>
      </c>
      <c r="BQ1092" s="142">
        <v>263</v>
      </c>
      <c r="BR1092" s="101"/>
      <c r="BS1092">
        <f t="shared" si="2255"/>
        <v>0</v>
      </c>
      <c r="BT1092">
        <f t="shared" si="2255"/>
        <v>0</v>
      </c>
      <c r="BU1092">
        <f t="shared" si="2255"/>
        <v>0</v>
      </c>
      <c r="BV1092">
        <f t="shared" si="2255"/>
        <v>0</v>
      </c>
      <c r="BW1092">
        <f t="shared" si="2255"/>
        <v>0</v>
      </c>
      <c r="BX1092">
        <f t="shared" si="2255"/>
        <v>0</v>
      </c>
      <c r="BY1092">
        <f t="shared" si="2255"/>
        <v>0</v>
      </c>
      <c r="BZ1092">
        <f t="shared" si="2255"/>
        <v>0</v>
      </c>
      <c r="CA1092">
        <f t="shared" si="2255"/>
        <v>0</v>
      </c>
      <c r="CB1092">
        <f t="shared" si="2255"/>
        <v>0</v>
      </c>
      <c r="CC1092">
        <f t="shared" si="2256"/>
        <v>0</v>
      </c>
      <c r="CD1092">
        <f t="shared" si="2256"/>
        <v>0</v>
      </c>
      <c r="CE1092">
        <f t="shared" si="2256"/>
        <v>0</v>
      </c>
      <c r="CF1092">
        <f t="shared" si="2256"/>
        <v>0</v>
      </c>
      <c r="CG1092">
        <f t="shared" si="2256"/>
        <v>0</v>
      </c>
      <c r="CH1092">
        <f t="shared" si="2256"/>
        <v>0</v>
      </c>
      <c r="CI1092">
        <f t="shared" si="2256"/>
        <v>0</v>
      </c>
      <c r="CJ1092">
        <f t="shared" si="2256"/>
        <v>0</v>
      </c>
      <c r="CK1092">
        <f t="shared" si="2256"/>
        <v>0</v>
      </c>
      <c r="CL1092">
        <f t="shared" si="2256"/>
        <v>0</v>
      </c>
      <c r="CM1092">
        <f t="shared" si="2257"/>
        <v>0</v>
      </c>
      <c r="CN1092">
        <f t="shared" si="2257"/>
        <v>0</v>
      </c>
      <c r="CO1092">
        <f t="shared" si="2257"/>
        <v>0</v>
      </c>
      <c r="CP1092">
        <f t="shared" si="2257"/>
        <v>0</v>
      </c>
      <c r="CQ1092">
        <f t="shared" si="2257"/>
        <v>0</v>
      </c>
      <c r="CR1092">
        <f t="shared" si="2257"/>
        <v>0</v>
      </c>
      <c r="CS1092">
        <f t="shared" si="2257"/>
        <v>0</v>
      </c>
      <c r="CT1092">
        <f t="shared" si="2257"/>
        <v>0</v>
      </c>
      <c r="CU1092">
        <f t="shared" si="2257"/>
        <v>0</v>
      </c>
      <c r="CV1092">
        <f t="shared" si="2257"/>
        <v>0</v>
      </c>
      <c r="CW1092">
        <f t="shared" si="2258"/>
        <v>0</v>
      </c>
      <c r="CX1092">
        <f t="shared" si="2258"/>
        <v>0</v>
      </c>
      <c r="CY1092">
        <f t="shared" si="2258"/>
        <v>0</v>
      </c>
      <c r="CZ1092">
        <f t="shared" si="2258"/>
        <v>0</v>
      </c>
      <c r="DA1092">
        <f t="shared" si="2258"/>
        <v>0</v>
      </c>
      <c r="DB1092">
        <f t="shared" si="2258"/>
        <v>0</v>
      </c>
      <c r="DC1092">
        <f t="shared" si="2258"/>
        <v>0</v>
      </c>
      <c r="DD1092">
        <f t="shared" si="2258"/>
        <v>0</v>
      </c>
      <c r="DE1092">
        <f t="shared" si="2258"/>
        <v>0</v>
      </c>
      <c r="DF1092">
        <f t="shared" si="2258"/>
        <v>0</v>
      </c>
      <c r="DG1092">
        <f t="shared" si="2259"/>
        <v>0</v>
      </c>
      <c r="DH1092">
        <f t="shared" si="2259"/>
        <v>0</v>
      </c>
      <c r="DI1092">
        <f t="shared" si="2259"/>
        <v>0</v>
      </c>
      <c r="DJ1092">
        <f t="shared" si="2259"/>
        <v>0</v>
      </c>
      <c r="DK1092">
        <f t="shared" si="2259"/>
        <v>0</v>
      </c>
      <c r="DL1092">
        <f t="shared" si="2259"/>
        <v>0</v>
      </c>
      <c r="DM1092">
        <f t="shared" si="2259"/>
        <v>0</v>
      </c>
      <c r="DN1092">
        <f t="shared" si="2259"/>
        <v>0</v>
      </c>
      <c r="DO1092">
        <f t="shared" si="2259"/>
        <v>0</v>
      </c>
      <c r="DP1092">
        <f t="shared" si="2259"/>
        <v>0</v>
      </c>
      <c r="DQ1092">
        <f t="shared" si="2260"/>
        <v>0</v>
      </c>
      <c r="DR1092">
        <f t="shared" si="2260"/>
        <v>0</v>
      </c>
      <c r="DS1092">
        <f t="shared" si="2260"/>
        <v>0</v>
      </c>
      <c r="DT1092">
        <f t="shared" si="2260"/>
        <v>0</v>
      </c>
      <c r="DU1092">
        <f t="shared" si="2260"/>
        <v>0</v>
      </c>
      <c r="DV1092">
        <f t="shared" si="2260"/>
        <v>0</v>
      </c>
      <c r="DW1092">
        <f t="shared" si="2260"/>
        <v>0</v>
      </c>
      <c r="DX1092">
        <f t="shared" si="2260"/>
        <v>0</v>
      </c>
      <c r="DY1092">
        <f t="shared" si="2260"/>
        <v>0</v>
      </c>
      <c r="DZ1092">
        <f t="shared" si="2260"/>
        <v>0</v>
      </c>
      <c r="EA1092">
        <f t="shared" ref="EA1092:EF1092" si="2263">IF($C1092&lt;&gt;"",IF(BL1089&gt;0,1,0),0)</f>
        <v>0</v>
      </c>
      <c r="EB1092">
        <f t="shared" si="2263"/>
        <v>0</v>
      </c>
      <c r="EC1092">
        <f t="shared" si="2263"/>
        <v>0</v>
      </c>
      <c r="ED1092">
        <f t="shared" si="2263"/>
        <v>0</v>
      </c>
      <c r="EE1092">
        <f t="shared" si="2263"/>
        <v>0</v>
      </c>
      <c r="EF1092">
        <f t="shared" si="2263"/>
        <v>0</v>
      </c>
    </row>
    <row r="1093" spans="1:136" ht="15.5">
      <c r="A1093" s="90"/>
      <c r="B1093" s="53" t="s">
        <v>21</v>
      </c>
      <c r="C1093" s="94"/>
      <c r="D1093" s="18">
        <v>0</v>
      </c>
      <c r="E1093" s="18">
        <v>0</v>
      </c>
      <c r="F1093" s="18">
        <v>0</v>
      </c>
      <c r="G1093" s="18">
        <v>0</v>
      </c>
      <c r="H1093" s="18">
        <v>0</v>
      </c>
      <c r="I1093" s="18">
        <v>0</v>
      </c>
      <c r="J1093" s="18">
        <v>0</v>
      </c>
      <c r="K1093" s="18">
        <v>0</v>
      </c>
      <c r="L1093" s="18">
        <v>0</v>
      </c>
      <c r="M1093" s="18">
        <v>0</v>
      </c>
      <c r="N1093" s="18">
        <v>0</v>
      </c>
      <c r="O1093" s="18">
        <v>0</v>
      </c>
      <c r="P1093" s="18">
        <v>0</v>
      </c>
      <c r="Q1093" s="18">
        <v>0</v>
      </c>
      <c r="R1093" s="18">
        <v>0</v>
      </c>
      <c r="S1093" s="18">
        <v>0</v>
      </c>
      <c r="T1093" s="18">
        <v>0</v>
      </c>
      <c r="U1093" s="18">
        <v>0</v>
      </c>
      <c r="V1093" s="18">
        <v>0</v>
      </c>
      <c r="W1093" s="18">
        <v>0</v>
      </c>
      <c r="X1093" s="18">
        <v>0</v>
      </c>
      <c r="Y1093" s="18">
        <v>0</v>
      </c>
      <c r="Z1093" s="18">
        <v>0</v>
      </c>
      <c r="AA1093" s="18">
        <v>0</v>
      </c>
      <c r="AB1093" s="18">
        <v>0</v>
      </c>
      <c r="AC1093" s="18">
        <v>0</v>
      </c>
      <c r="AD1093" s="18">
        <v>0</v>
      </c>
      <c r="AE1093" s="18">
        <v>0</v>
      </c>
      <c r="AF1093" s="18">
        <v>0</v>
      </c>
      <c r="AG1093" s="18">
        <v>0</v>
      </c>
      <c r="AH1093" s="18">
        <v>0</v>
      </c>
      <c r="AI1093" s="18">
        <v>0</v>
      </c>
      <c r="AJ1093" s="18">
        <v>0</v>
      </c>
      <c r="AK1093" s="18">
        <v>0</v>
      </c>
      <c r="AL1093" s="18">
        <v>0</v>
      </c>
      <c r="AM1093" s="18">
        <v>0</v>
      </c>
      <c r="AN1093" s="18">
        <v>153.6</v>
      </c>
      <c r="AO1093" s="18">
        <v>0</v>
      </c>
      <c r="AP1093" s="18">
        <v>0</v>
      </c>
      <c r="AQ1093" s="18">
        <v>0</v>
      </c>
      <c r="AR1093" s="18">
        <v>0</v>
      </c>
      <c r="AS1093" s="18">
        <v>0</v>
      </c>
      <c r="AT1093" s="18">
        <v>0</v>
      </c>
      <c r="AU1093" s="18">
        <v>0</v>
      </c>
      <c r="AV1093" s="18">
        <v>0</v>
      </c>
      <c r="AW1093" s="18">
        <v>0</v>
      </c>
      <c r="AX1093" s="18">
        <v>0</v>
      </c>
      <c r="AY1093" s="18">
        <v>0</v>
      </c>
      <c r="AZ1093" s="18">
        <v>0</v>
      </c>
      <c r="BA1093" s="18">
        <v>0</v>
      </c>
      <c r="BB1093" s="18">
        <v>0</v>
      </c>
      <c r="BC1093" s="18">
        <v>0</v>
      </c>
      <c r="BD1093" s="18">
        <v>0</v>
      </c>
      <c r="BE1093" s="25">
        <v>0</v>
      </c>
      <c r="BF1093" s="18">
        <v>0</v>
      </c>
      <c r="BG1093" s="18">
        <v>0</v>
      </c>
      <c r="BH1093" s="113">
        <v>0</v>
      </c>
      <c r="BI1093" s="18">
        <v>0</v>
      </c>
      <c r="BJ1093" s="113">
        <v>0</v>
      </c>
      <c r="BK1093" s="113">
        <v>0</v>
      </c>
      <c r="BL1093" s="113">
        <v>0</v>
      </c>
      <c r="BM1093" s="113">
        <v>0</v>
      </c>
      <c r="BN1093" s="113">
        <v>5053</v>
      </c>
      <c r="BO1093" s="113">
        <f>3204462/324</f>
        <v>9890.3148148148157</v>
      </c>
      <c r="BP1093" s="113">
        <v>0</v>
      </c>
      <c r="BQ1093" s="142">
        <v>0</v>
      </c>
      <c r="BR1093" s="101"/>
      <c r="BS1093">
        <f t="shared" si="2255"/>
        <v>0</v>
      </c>
      <c r="BT1093">
        <f t="shared" si="2255"/>
        <v>0</v>
      </c>
      <c r="BU1093">
        <f t="shared" si="2255"/>
        <v>0</v>
      </c>
      <c r="BV1093">
        <f t="shared" si="2255"/>
        <v>0</v>
      </c>
      <c r="BW1093">
        <f t="shared" si="2255"/>
        <v>0</v>
      </c>
      <c r="BX1093">
        <f t="shared" si="2255"/>
        <v>0</v>
      </c>
      <c r="BY1093">
        <f t="shared" si="2255"/>
        <v>0</v>
      </c>
      <c r="BZ1093">
        <f t="shared" si="2255"/>
        <v>0</v>
      </c>
      <c r="CA1093">
        <f t="shared" si="2255"/>
        <v>0</v>
      </c>
      <c r="CB1093">
        <f t="shared" si="2255"/>
        <v>0</v>
      </c>
      <c r="CC1093">
        <f t="shared" si="2256"/>
        <v>0</v>
      </c>
      <c r="CD1093">
        <f t="shared" si="2256"/>
        <v>0</v>
      </c>
      <c r="CE1093">
        <f t="shared" si="2256"/>
        <v>0</v>
      </c>
      <c r="CF1093">
        <f t="shared" si="2256"/>
        <v>0</v>
      </c>
      <c r="CG1093">
        <f t="shared" si="2256"/>
        <v>0</v>
      </c>
      <c r="CH1093">
        <f t="shared" si="2256"/>
        <v>0</v>
      </c>
      <c r="CI1093">
        <f t="shared" si="2256"/>
        <v>0</v>
      </c>
      <c r="CJ1093">
        <f t="shared" si="2256"/>
        <v>0</v>
      </c>
      <c r="CK1093">
        <f t="shared" si="2256"/>
        <v>0</v>
      </c>
      <c r="CL1093">
        <f t="shared" si="2256"/>
        <v>0</v>
      </c>
      <c r="CM1093">
        <f t="shared" si="2257"/>
        <v>0</v>
      </c>
      <c r="CN1093">
        <f t="shared" si="2257"/>
        <v>0</v>
      </c>
      <c r="CO1093">
        <f t="shared" si="2257"/>
        <v>0</v>
      </c>
      <c r="CP1093">
        <f t="shared" si="2257"/>
        <v>0</v>
      </c>
      <c r="CQ1093">
        <f t="shared" si="2257"/>
        <v>0</v>
      </c>
      <c r="CR1093">
        <f t="shared" si="2257"/>
        <v>0</v>
      </c>
      <c r="CS1093">
        <f t="shared" si="2257"/>
        <v>0</v>
      </c>
      <c r="CT1093">
        <f t="shared" si="2257"/>
        <v>0</v>
      </c>
      <c r="CU1093">
        <f t="shared" si="2257"/>
        <v>0</v>
      </c>
      <c r="CV1093">
        <f t="shared" si="2257"/>
        <v>0</v>
      </c>
      <c r="CW1093">
        <f t="shared" si="2258"/>
        <v>0</v>
      </c>
      <c r="CX1093">
        <f t="shared" si="2258"/>
        <v>0</v>
      </c>
      <c r="CY1093">
        <f t="shared" si="2258"/>
        <v>0</v>
      </c>
      <c r="CZ1093">
        <f t="shared" si="2258"/>
        <v>0</v>
      </c>
      <c r="DA1093">
        <f t="shared" si="2258"/>
        <v>0</v>
      </c>
      <c r="DB1093">
        <f t="shared" si="2258"/>
        <v>0</v>
      </c>
      <c r="DC1093">
        <f t="shared" si="2258"/>
        <v>0</v>
      </c>
      <c r="DD1093">
        <f t="shared" si="2258"/>
        <v>0</v>
      </c>
      <c r="DE1093">
        <f t="shared" si="2258"/>
        <v>0</v>
      </c>
      <c r="DF1093">
        <f t="shared" si="2258"/>
        <v>0</v>
      </c>
      <c r="DG1093">
        <f t="shared" si="2259"/>
        <v>0</v>
      </c>
      <c r="DH1093">
        <f t="shared" si="2259"/>
        <v>0</v>
      </c>
      <c r="DI1093">
        <f t="shared" si="2259"/>
        <v>0</v>
      </c>
      <c r="DJ1093">
        <f t="shared" si="2259"/>
        <v>0</v>
      </c>
      <c r="DK1093">
        <f t="shared" si="2259"/>
        <v>0</v>
      </c>
      <c r="DL1093">
        <f t="shared" si="2259"/>
        <v>0</v>
      </c>
      <c r="DM1093">
        <f t="shared" si="2259"/>
        <v>0</v>
      </c>
      <c r="DN1093">
        <f t="shared" si="2259"/>
        <v>0</v>
      </c>
      <c r="DO1093">
        <f t="shared" si="2259"/>
        <v>0</v>
      </c>
      <c r="DP1093">
        <f t="shared" si="2259"/>
        <v>0</v>
      </c>
      <c r="DQ1093">
        <f t="shared" si="2260"/>
        <v>0</v>
      </c>
      <c r="DR1093">
        <f t="shared" si="2260"/>
        <v>0</v>
      </c>
      <c r="DS1093">
        <f t="shared" si="2260"/>
        <v>0</v>
      </c>
      <c r="DT1093">
        <f t="shared" si="2260"/>
        <v>0</v>
      </c>
      <c r="DU1093">
        <f t="shared" si="2260"/>
        <v>0</v>
      </c>
      <c r="DV1093">
        <f t="shared" si="2260"/>
        <v>0</v>
      </c>
      <c r="DW1093">
        <f t="shared" si="2260"/>
        <v>0</v>
      </c>
      <c r="DX1093">
        <f t="shared" si="2260"/>
        <v>0</v>
      </c>
      <c r="DY1093">
        <f t="shared" si="2260"/>
        <v>0</v>
      </c>
      <c r="DZ1093">
        <f t="shared" si="2260"/>
        <v>0</v>
      </c>
      <c r="EA1093">
        <f t="shared" ref="EA1093:EF1093" si="2264">IF($C1093&lt;&gt;"",IF(BL1092&gt;0,1,0),0)</f>
        <v>0</v>
      </c>
      <c r="EB1093">
        <f t="shared" si="2264"/>
        <v>0</v>
      </c>
      <c r="EC1093">
        <f t="shared" si="2264"/>
        <v>0</v>
      </c>
      <c r="ED1093">
        <f t="shared" si="2264"/>
        <v>0</v>
      </c>
      <c r="EE1093">
        <f t="shared" si="2264"/>
        <v>0</v>
      </c>
      <c r="EF1093">
        <f t="shared" si="2264"/>
        <v>0</v>
      </c>
    </row>
    <row r="1094" spans="1:136" ht="15.5">
      <c r="A1094" s="90"/>
      <c r="B1094" s="53" t="s">
        <v>212</v>
      </c>
      <c r="C1094" s="94"/>
      <c r="D1094" s="18"/>
      <c r="E1094" s="18"/>
      <c r="F1094" s="18"/>
      <c r="G1094" s="18"/>
      <c r="H1094" s="18"/>
      <c r="I1094" s="18"/>
      <c r="J1094" s="18"/>
      <c r="K1094" s="18"/>
      <c r="L1094" s="18"/>
      <c r="M1094" s="18"/>
      <c r="N1094" s="18"/>
      <c r="O1094" s="18"/>
      <c r="P1094" s="18"/>
      <c r="Q1094" s="18"/>
      <c r="R1094" s="18"/>
      <c r="S1094" s="18"/>
      <c r="T1094" s="18"/>
      <c r="U1094" s="18"/>
      <c r="V1094" s="18"/>
      <c r="W1094" s="18"/>
      <c r="X1094" s="18"/>
      <c r="Y1094" s="18"/>
      <c r="Z1094" s="18"/>
      <c r="AA1094" s="18"/>
      <c r="AB1094" s="18"/>
      <c r="AC1094" s="18"/>
      <c r="AD1094" s="18"/>
      <c r="AE1094" s="18"/>
      <c r="AF1094" s="18">
        <v>0</v>
      </c>
      <c r="AG1094" s="18">
        <v>18.723994452149793</v>
      </c>
      <c r="AH1094" s="18">
        <v>0</v>
      </c>
      <c r="AI1094" s="18">
        <v>0</v>
      </c>
      <c r="AJ1094" s="18">
        <v>0</v>
      </c>
      <c r="AK1094" s="18">
        <v>0</v>
      </c>
      <c r="AL1094" s="18">
        <v>0</v>
      </c>
      <c r="AM1094" s="18">
        <v>0</v>
      </c>
      <c r="AN1094" s="18">
        <v>0</v>
      </c>
      <c r="AO1094" s="18">
        <v>0</v>
      </c>
      <c r="AP1094" s="18">
        <v>0</v>
      </c>
      <c r="AQ1094" s="18">
        <v>0</v>
      </c>
      <c r="AR1094" s="18">
        <v>0</v>
      </c>
      <c r="AS1094" s="18">
        <v>0</v>
      </c>
      <c r="AT1094" s="18">
        <v>0</v>
      </c>
      <c r="AU1094" s="18">
        <v>0</v>
      </c>
      <c r="AV1094" s="18">
        <v>0</v>
      </c>
      <c r="AW1094" s="18">
        <v>0</v>
      </c>
      <c r="AX1094" s="18">
        <v>0</v>
      </c>
      <c r="AY1094" s="18">
        <v>0</v>
      </c>
      <c r="AZ1094" s="18">
        <v>0</v>
      </c>
      <c r="BA1094" s="18">
        <v>0</v>
      </c>
      <c r="BB1094" s="18">
        <v>0</v>
      </c>
      <c r="BC1094" s="18">
        <v>0</v>
      </c>
      <c r="BD1094" s="18">
        <v>0</v>
      </c>
      <c r="BE1094" s="25">
        <v>0</v>
      </c>
      <c r="BF1094" s="18">
        <v>0</v>
      </c>
      <c r="BG1094" s="18">
        <v>410.0678733031674</v>
      </c>
      <c r="BH1094" s="113">
        <v>0</v>
      </c>
      <c r="BI1094" s="18">
        <v>0</v>
      </c>
      <c r="BJ1094" s="113">
        <v>533</v>
      </c>
      <c r="BK1094" s="113">
        <v>1876.6</v>
      </c>
      <c r="BL1094" s="154">
        <v>1824.2</v>
      </c>
      <c r="BM1094" s="154">
        <v>534</v>
      </c>
      <c r="BN1094" s="168">
        <f>60000/367.53</f>
        <v>163.2519794302506</v>
      </c>
      <c r="BO1094" s="168">
        <f>34500/320</f>
        <v>107.8125</v>
      </c>
      <c r="BP1094" s="113">
        <v>0</v>
      </c>
      <c r="BQ1094" s="142">
        <v>0</v>
      </c>
      <c r="BR1094" s="101"/>
      <c r="BS1094">
        <f t="shared" si="2255"/>
        <v>0</v>
      </c>
      <c r="BT1094">
        <f t="shared" si="2255"/>
        <v>0</v>
      </c>
      <c r="BU1094">
        <f t="shared" si="2255"/>
        <v>0</v>
      </c>
      <c r="BV1094">
        <f t="shared" si="2255"/>
        <v>0</v>
      </c>
      <c r="BW1094">
        <f t="shared" si="2255"/>
        <v>0</v>
      </c>
      <c r="BX1094">
        <f t="shared" si="2255"/>
        <v>0</v>
      </c>
      <c r="BY1094">
        <f t="shared" si="2255"/>
        <v>0</v>
      </c>
      <c r="BZ1094">
        <f t="shared" si="2255"/>
        <v>0</v>
      </c>
      <c r="CA1094">
        <f t="shared" si="2255"/>
        <v>0</v>
      </c>
      <c r="CB1094">
        <f t="shared" si="2255"/>
        <v>0</v>
      </c>
      <c r="CC1094">
        <f t="shared" si="2256"/>
        <v>0</v>
      </c>
      <c r="CD1094">
        <f t="shared" si="2256"/>
        <v>0</v>
      </c>
      <c r="CE1094">
        <f t="shared" si="2256"/>
        <v>0</v>
      </c>
      <c r="CF1094">
        <f t="shared" si="2256"/>
        <v>0</v>
      </c>
      <c r="CG1094">
        <f t="shared" si="2256"/>
        <v>0</v>
      </c>
      <c r="CH1094">
        <f t="shared" si="2256"/>
        <v>0</v>
      </c>
      <c r="CI1094">
        <f t="shared" si="2256"/>
        <v>0</v>
      </c>
      <c r="CJ1094">
        <f t="shared" si="2256"/>
        <v>0</v>
      </c>
      <c r="CK1094">
        <f t="shared" si="2256"/>
        <v>0</v>
      </c>
      <c r="CL1094">
        <f t="shared" si="2256"/>
        <v>0</v>
      </c>
      <c r="CM1094">
        <f t="shared" si="2257"/>
        <v>0</v>
      </c>
      <c r="CN1094">
        <f t="shared" si="2257"/>
        <v>0</v>
      </c>
      <c r="CO1094">
        <f t="shared" si="2257"/>
        <v>0</v>
      </c>
      <c r="CP1094">
        <f t="shared" si="2257"/>
        <v>0</v>
      </c>
      <c r="CQ1094">
        <f t="shared" si="2257"/>
        <v>0</v>
      </c>
      <c r="CR1094">
        <f t="shared" si="2257"/>
        <v>0</v>
      </c>
      <c r="CS1094">
        <f t="shared" si="2257"/>
        <v>0</v>
      </c>
      <c r="CT1094">
        <f t="shared" si="2257"/>
        <v>0</v>
      </c>
      <c r="CU1094">
        <f t="shared" si="2257"/>
        <v>0</v>
      </c>
      <c r="CV1094">
        <f t="shared" si="2257"/>
        <v>0</v>
      </c>
      <c r="CW1094">
        <f t="shared" si="2258"/>
        <v>0</v>
      </c>
      <c r="CX1094">
        <f t="shared" si="2258"/>
        <v>0</v>
      </c>
      <c r="CY1094">
        <f t="shared" si="2258"/>
        <v>0</v>
      </c>
      <c r="CZ1094">
        <f t="shared" si="2258"/>
        <v>0</v>
      </c>
      <c r="DA1094">
        <f t="shared" si="2258"/>
        <v>0</v>
      </c>
      <c r="DB1094">
        <f t="shared" si="2258"/>
        <v>0</v>
      </c>
      <c r="DC1094">
        <f t="shared" si="2258"/>
        <v>0</v>
      </c>
      <c r="DD1094">
        <f t="shared" si="2258"/>
        <v>0</v>
      </c>
      <c r="DE1094">
        <f t="shared" si="2258"/>
        <v>0</v>
      </c>
      <c r="DF1094">
        <f t="shared" si="2258"/>
        <v>0</v>
      </c>
      <c r="DG1094">
        <f t="shared" si="2259"/>
        <v>0</v>
      </c>
      <c r="DH1094">
        <f t="shared" si="2259"/>
        <v>0</v>
      </c>
      <c r="DI1094">
        <f t="shared" si="2259"/>
        <v>0</v>
      </c>
      <c r="DJ1094">
        <f t="shared" si="2259"/>
        <v>0</v>
      </c>
      <c r="DK1094">
        <f t="shared" si="2259"/>
        <v>0</v>
      </c>
      <c r="DL1094">
        <f t="shared" si="2259"/>
        <v>0</v>
      </c>
      <c r="DM1094">
        <f t="shared" si="2259"/>
        <v>0</v>
      </c>
      <c r="DN1094">
        <f t="shared" si="2259"/>
        <v>0</v>
      </c>
      <c r="DO1094">
        <f t="shared" si="2259"/>
        <v>0</v>
      </c>
      <c r="DP1094">
        <f t="shared" si="2259"/>
        <v>0</v>
      </c>
      <c r="DQ1094">
        <f t="shared" si="2260"/>
        <v>0</v>
      </c>
      <c r="DR1094">
        <f t="shared" si="2260"/>
        <v>0</v>
      </c>
      <c r="DS1094">
        <f t="shared" si="2260"/>
        <v>0</v>
      </c>
      <c r="DT1094">
        <f t="shared" si="2260"/>
        <v>0</v>
      </c>
      <c r="DU1094">
        <f t="shared" si="2260"/>
        <v>0</v>
      </c>
      <c r="DV1094">
        <f t="shared" si="2260"/>
        <v>0</v>
      </c>
      <c r="DW1094">
        <f t="shared" si="2260"/>
        <v>0</v>
      </c>
      <c r="DX1094">
        <f t="shared" si="2260"/>
        <v>0</v>
      </c>
      <c r="DY1094">
        <f t="shared" si="2260"/>
        <v>0</v>
      </c>
      <c r="DZ1094">
        <f t="shared" si="2260"/>
        <v>0</v>
      </c>
      <c r="EA1094">
        <f t="shared" ref="EA1094:EF1094" si="2265">IF($C1094&lt;&gt;"",IF(BL1094&gt;0,1,0),0)</f>
        <v>0</v>
      </c>
      <c r="EB1094">
        <f t="shared" si="2265"/>
        <v>0</v>
      </c>
      <c r="EC1094">
        <f t="shared" si="2265"/>
        <v>0</v>
      </c>
      <c r="ED1094">
        <f t="shared" si="2265"/>
        <v>0</v>
      </c>
      <c r="EE1094">
        <f t="shared" si="2265"/>
        <v>0</v>
      </c>
      <c r="EF1094">
        <f t="shared" si="2265"/>
        <v>0</v>
      </c>
    </row>
    <row r="1095" spans="1:136" ht="15.5">
      <c r="A1095" s="90"/>
      <c r="B1095" s="19"/>
      <c r="C1095" s="94"/>
      <c r="D1095" s="18"/>
      <c r="E1095" s="18"/>
      <c r="F1095" s="18"/>
      <c r="G1095" s="18"/>
      <c r="H1095" s="18"/>
      <c r="I1095" s="18"/>
      <c r="J1095" s="18"/>
      <c r="K1095" s="18"/>
      <c r="L1095" s="18"/>
      <c r="M1095" s="18"/>
      <c r="N1095" s="18"/>
      <c r="O1095" s="18"/>
      <c r="P1095" s="18"/>
      <c r="Q1095" s="18"/>
      <c r="R1095" s="18"/>
      <c r="S1095" s="18"/>
      <c r="T1095" s="18"/>
      <c r="U1095" s="18"/>
      <c r="V1095" s="18"/>
      <c r="W1095" s="18"/>
      <c r="X1095" s="18"/>
      <c r="Y1095" s="18"/>
      <c r="Z1095" s="18"/>
      <c r="AA1095" s="18"/>
      <c r="AB1095" s="18"/>
      <c r="AC1095" s="18"/>
      <c r="AD1095" s="18"/>
      <c r="AE1095" s="18"/>
      <c r="AF1095" s="18"/>
      <c r="AG1095" s="18"/>
      <c r="AH1095" s="18"/>
      <c r="AI1095" s="18"/>
      <c r="AJ1095" s="18"/>
      <c r="AK1095" s="18"/>
      <c r="AL1095" s="18"/>
      <c r="AM1095" s="18"/>
      <c r="AN1095" s="18"/>
      <c r="AO1095" s="18"/>
      <c r="AP1095" s="18"/>
      <c r="AQ1095" s="18"/>
      <c r="AR1095" s="18"/>
      <c r="AS1095" s="18"/>
      <c r="AT1095" s="18"/>
      <c r="AU1095" s="18"/>
      <c r="AV1095" s="18"/>
      <c r="AW1095" s="18"/>
      <c r="AX1095" s="18"/>
      <c r="AY1095" s="18"/>
      <c r="AZ1095" s="18"/>
      <c r="BA1095" s="18"/>
      <c r="BB1095" s="18"/>
      <c r="BC1095" s="18"/>
      <c r="BD1095" s="18"/>
      <c r="BE1095" s="25"/>
      <c r="BF1095" s="18"/>
      <c r="BG1095" s="18"/>
      <c r="BH1095" s="2"/>
      <c r="BI1095" s="2"/>
      <c r="BJ1095" s="2"/>
      <c r="BK1095" s="2"/>
      <c r="BL1095" s="22"/>
      <c r="BM1095" s="2"/>
      <c r="BN1095" s="2"/>
      <c r="BO1095" s="2"/>
      <c r="BP1095" s="2"/>
      <c r="BQ1095" s="2"/>
      <c r="BR1095" s="101"/>
    </row>
    <row r="1096" spans="1:136" ht="15.5">
      <c r="A1096" s="93">
        <v>139</v>
      </c>
      <c r="B1096" s="32" t="s">
        <v>137</v>
      </c>
      <c r="C1096" s="94">
        <v>4</v>
      </c>
      <c r="D1096" s="22">
        <f t="shared" ref="D1096:AI1096" si="2266">SUM(D1097:D1105)</f>
        <v>0</v>
      </c>
      <c r="E1096" s="22">
        <f t="shared" si="2266"/>
        <v>0</v>
      </c>
      <c r="F1096" s="22">
        <f t="shared" si="2266"/>
        <v>0</v>
      </c>
      <c r="G1096" s="22">
        <f t="shared" si="2266"/>
        <v>0</v>
      </c>
      <c r="H1096" s="22">
        <f t="shared" si="2266"/>
        <v>0</v>
      </c>
      <c r="I1096" s="22">
        <f t="shared" si="2266"/>
        <v>0</v>
      </c>
      <c r="J1096" s="22">
        <f t="shared" si="2266"/>
        <v>0</v>
      </c>
      <c r="K1096" s="22">
        <f t="shared" si="2266"/>
        <v>0</v>
      </c>
      <c r="L1096" s="22">
        <f t="shared" si="2266"/>
        <v>0</v>
      </c>
      <c r="M1096" s="22">
        <f t="shared" si="2266"/>
        <v>0</v>
      </c>
      <c r="N1096" s="22">
        <f t="shared" si="2266"/>
        <v>0</v>
      </c>
      <c r="O1096" s="22">
        <f t="shared" si="2266"/>
        <v>0</v>
      </c>
      <c r="P1096" s="22">
        <f t="shared" si="2266"/>
        <v>0</v>
      </c>
      <c r="Q1096" s="22">
        <f t="shared" si="2266"/>
        <v>0</v>
      </c>
      <c r="R1096" s="22">
        <f t="shared" si="2266"/>
        <v>0</v>
      </c>
      <c r="S1096" s="22">
        <f t="shared" si="2266"/>
        <v>0.17399999999999999</v>
      </c>
      <c r="T1096" s="22">
        <f t="shared" si="2266"/>
        <v>23.053000000000001</v>
      </c>
      <c r="U1096" s="22">
        <f t="shared" si="2266"/>
        <v>176.36</v>
      </c>
      <c r="V1096" s="22">
        <f t="shared" si="2266"/>
        <v>248.97399999999999</v>
      </c>
      <c r="W1096" s="22">
        <f t="shared" si="2266"/>
        <v>955.976</v>
      </c>
      <c r="X1096" s="22">
        <f t="shared" si="2266"/>
        <v>613.67200000000003</v>
      </c>
      <c r="Y1096" s="22">
        <f t="shared" si="2266"/>
        <v>899.51599999999996</v>
      </c>
      <c r="Z1096" s="22">
        <f t="shared" si="2266"/>
        <v>951.77300000000002</v>
      </c>
      <c r="AA1096" s="22">
        <f t="shared" si="2266"/>
        <v>2062.864</v>
      </c>
      <c r="AB1096" s="22">
        <f t="shared" si="2266"/>
        <v>2987.7387903139861</v>
      </c>
      <c r="AC1096" s="22">
        <f t="shared" si="2266"/>
        <v>3627.6808366348714</v>
      </c>
      <c r="AD1096" s="22">
        <f t="shared" si="2266"/>
        <v>4705.8375719192518</v>
      </c>
      <c r="AE1096" s="22">
        <f t="shared" si="2266"/>
        <v>6436.7438560496412</v>
      </c>
      <c r="AF1096" s="22">
        <f t="shared" si="2266"/>
        <v>6933.3857459741957</v>
      </c>
      <c r="AG1096" s="22">
        <f t="shared" si="2266"/>
        <v>9294.4399048860669</v>
      </c>
      <c r="AH1096" s="22">
        <f t="shared" si="2266"/>
        <v>10612.827693181764</v>
      </c>
      <c r="AI1096" s="22">
        <f t="shared" si="2266"/>
        <v>13054.322216241442</v>
      </c>
      <c r="AJ1096" s="22">
        <f t="shared" ref="AJ1096:BQ1096" si="2267">SUM(AJ1097:AJ1105)</f>
        <v>12059.838971673895</v>
      </c>
      <c r="AK1096" s="22">
        <f t="shared" si="2267"/>
        <v>12815.171155853252</v>
      </c>
      <c r="AL1096" s="22">
        <f t="shared" si="2267"/>
        <v>14321.945493442741</v>
      </c>
      <c r="AM1096" s="22">
        <f t="shared" si="2267"/>
        <v>15363.847382684982</v>
      </c>
      <c r="AN1096" s="22">
        <f t="shared" si="2267"/>
        <v>15074.310370102501</v>
      </c>
      <c r="AO1096" s="22">
        <f t="shared" si="2267"/>
        <v>13665.477514944698</v>
      </c>
      <c r="AP1096" s="22">
        <f t="shared" si="2267"/>
        <v>13890.922165706846</v>
      </c>
      <c r="AQ1096" s="22">
        <f t="shared" si="2267"/>
        <v>13577.786941214536</v>
      </c>
      <c r="AR1096" s="22">
        <f t="shared" si="2267"/>
        <v>13590.590162155442</v>
      </c>
      <c r="AS1096" s="22">
        <f t="shared" si="2267"/>
        <v>13621.277452078495</v>
      </c>
      <c r="AT1096" s="22">
        <f t="shared" si="2267"/>
        <v>12975.546460030037</v>
      </c>
      <c r="AU1096" s="22">
        <f t="shared" si="2267"/>
        <v>14195.415981316119</v>
      </c>
      <c r="AV1096" s="22">
        <f t="shared" si="2267"/>
        <v>15523.863670821784</v>
      </c>
      <c r="AW1096" s="22">
        <f t="shared" si="2267"/>
        <v>15542.092927659958</v>
      </c>
      <c r="AX1096" s="22">
        <f t="shared" si="2267"/>
        <v>16677.433549545778</v>
      </c>
      <c r="AY1096" s="22">
        <f t="shared" si="2267"/>
        <v>18350.040997068631</v>
      </c>
      <c r="AZ1096" s="22">
        <f t="shared" si="2267"/>
        <v>19695.689688290193</v>
      </c>
      <c r="BA1096" s="22">
        <f t="shared" si="2267"/>
        <v>20643.021433838516</v>
      </c>
      <c r="BB1096" s="22">
        <f t="shared" si="2267"/>
        <v>21902.234115239116</v>
      </c>
      <c r="BC1096" s="22">
        <f t="shared" si="2267"/>
        <v>22913.319155417375</v>
      </c>
      <c r="BD1096" s="22">
        <f t="shared" si="2267"/>
        <v>23924.936812185166</v>
      </c>
      <c r="BE1096" s="22">
        <f t="shared" si="2267"/>
        <v>24879.575469015748</v>
      </c>
      <c r="BF1096" s="22">
        <f t="shared" si="2267"/>
        <v>25250.099191539302</v>
      </c>
      <c r="BG1096" s="22">
        <f t="shared" si="2267"/>
        <v>25998.198821564001</v>
      </c>
      <c r="BH1096" s="22">
        <f t="shared" si="2267"/>
        <v>26691.549384458001</v>
      </c>
      <c r="BI1096" s="22">
        <f t="shared" si="2267"/>
        <v>27965.080364561825</v>
      </c>
      <c r="BJ1096" s="22">
        <f t="shared" si="2267"/>
        <v>27283.291549263377</v>
      </c>
      <c r="BK1096" s="22">
        <f t="shared" si="2267"/>
        <v>27714.210595362281</v>
      </c>
      <c r="BL1096" s="22">
        <f t="shared" si="2267"/>
        <v>32492.184093834374</v>
      </c>
      <c r="BM1096" s="22">
        <f t="shared" si="2267"/>
        <v>30692.222433777784</v>
      </c>
      <c r="BN1096" s="22">
        <f t="shared" si="2267"/>
        <v>15344.477905600001</v>
      </c>
      <c r="BO1096" s="22">
        <f t="shared" si="2267"/>
        <v>16004</v>
      </c>
      <c r="BP1096" s="22">
        <f t="shared" si="2267"/>
        <v>15913</v>
      </c>
      <c r="BQ1096" s="22">
        <f t="shared" si="2267"/>
        <v>16604</v>
      </c>
      <c r="BR1096" s="101"/>
      <c r="BS1096">
        <f t="shared" ref="BS1096:CX1096" si="2268">IF($C1096&lt;&gt;"",IF(D1096&gt;0,1,0),0)</f>
        <v>0</v>
      </c>
      <c r="BT1096">
        <f t="shared" si="2268"/>
        <v>0</v>
      </c>
      <c r="BU1096">
        <f t="shared" si="2268"/>
        <v>0</v>
      </c>
      <c r="BV1096">
        <f t="shared" si="2268"/>
        <v>0</v>
      </c>
      <c r="BW1096">
        <f t="shared" si="2268"/>
        <v>0</v>
      </c>
      <c r="BX1096">
        <f t="shared" si="2268"/>
        <v>0</v>
      </c>
      <c r="BY1096">
        <f t="shared" si="2268"/>
        <v>0</v>
      </c>
      <c r="BZ1096">
        <f t="shared" si="2268"/>
        <v>0</v>
      </c>
      <c r="CA1096">
        <f t="shared" si="2268"/>
        <v>0</v>
      </c>
      <c r="CB1096">
        <f t="shared" si="2268"/>
        <v>0</v>
      </c>
      <c r="CC1096">
        <f t="shared" si="2268"/>
        <v>0</v>
      </c>
      <c r="CD1096">
        <f t="shared" si="2268"/>
        <v>0</v>
      </c>
      <c r="CE1096">
        <f t="shared" si="2268"/>
        <v>0</v>
      </c>
      <c r="CF1096">
        <f t="shared" si="2268"/>
        <v>0</v>
      </c>
      <c r="CG1096">
        <f t="shared" si="2268"/>
        <v>0</v>
      </c>
      <c r="CH1096">
        <f t="shared" si="2268"/>
        <v>1</v>
      </c>
      <c r="CI1096">
        <f t="shared" si="2268"/>
        <v>1</v>
      </c>
      <c r="CJ1096">
        <f t="shared" si="2268"/>
        <v>1</v>
      </c>
      <c r="CK1096">
        <f t="shared" si="2268"/>
        <v>1</v>
      </c>
      <c r="CL1096">
        <f t="shared" si="2268"/>
        <v>1</v>
      </c>
      <c r="CM1096">
        <f t="shared" si="2268"/>
        <v>1</v>
      </c>
      <c r="CN1096">
        <f t="shared" si="2268"/>
        <v>1</v>
      </c>
      <c r="CO1096">
        <f t="shared" si="2268"/>
        <v>1</v>
      </c>
      <c r="CP1096">
        <f t="shared" si="2268"/>
        <v>1</v>
      </c>
      <c r="CQ1096">
        <f t="shared" si="2268"/>
        <v>1</v>
      </c>
      <c r="CR1096">
        <f t="shared" si="2268"/>
        <v>1</v>
      </c>
      <c r="CS1096">
        <f t="shared" si="2268"/>
        <v>1</v>
      </c>
      <c r="CT1096">
        <f t="shared" si="2268"/>
        <v>1</v>
      </c>
      <c r="CU1096">
        <f t="shared" si="2268"/>
        <v>1</v>
      </c>
      <c r="CV1096">
        <f t="shared" si="2268"/>
        <v>1</v>
      </c>
      <c r="CW1096">
        <f t="shared" si="2268"/>
        <v>1</v>
      </c>
      <c r="CX1096">
        <f t="shared" si="2268"/>
        <v>1</v>
      </c>
      <c r="CY1096">
        <f t="shared" ref="CY1096:EF1096" si="2269">IF($C1096&lt;&gt;"",IF(AJ1096&gt;0,1,0),0)</f>
        <v>1</v>
      </c>
      <c r="CZ1096">
        <f t="shared" si="2269"/>
        <v>1</v>
      </c>
      <c r="DA1096">
        <f t="shared" si="2269"/>
        <v>1</v>
      </c>
      <c r="DB1096">
        <f t="shared" si="2269"/>
        <v>1</v>
      </c>
      <c r="DC1096">
        <f t="shared" si="2269"/>
        <v>1</v>
      </c>
      <c r="DD1096">
        <f t="shared" si="2269"/>
        <v>1</v>
      </c>
      <c r="DE1096">
        <f t="shared" si="2269"/>
        <v>1</v>
      </c>
      <c r="DF1096">
        <f t="shared" si="2269"/>
        <v>1</v>
      </c>
      <c r="DG1096">
        <f t="shared" si="2269"/>
        <v>1</v>
      </c>
      <c r="DH1096">
        <f t="shared" si="2269"/>
        <v>1</v>
      </c>
      <c r="DI1096">
        <f t="shared" si="2269"/>
        <v>1</v>
      </c>
      <c r="DJ1096">
        <f t="shared" si="2269"/>
        <v>1</v>
      </c>
      <c r="DK1096">
        <f t="shared" si="2269"/>
        <v>1</v>
      </c>
      <c r="DL1096">
        <f t="shared" si="2269"/>
        <v>1</v>
      </c>
      <c r="DM1096">
        <f t="shared" si="2269"/>
        <v>1</v>
      </c>
      <c r="DN1096">
        <f t="shared" si="2269"/>
        <v>1</v>
      </c>
      <c r="DO1096">
        <f t="shared" si="2269"/>
        <v>1</v>
      </c>
      <c r="DP1096">
        <f t="shared" si="2269"/>
        <v>1</v>
      </c>
      <c r="DQ1096">
        <f t="shared" si="2269"/>
        <v>1</v>
      </c>
      <c r="DR1096">
        <f t="shared" si="2269"/>
        <v>1</v>
      </c>
      <c r="DS1096">
        <f t="shared" si="2269"/>
        <v>1</v>
      </c>
      <c r="DT1096">
        <f t="shared" si="2269"/>
        <v>1</v>
      </c>
      <c r="DU1096">
        <f t="shared" si="2269"/>
        <v>1</v>
      </c>
      <c r="DV1096">
        <f t="shared" si="2269"/>
        <v>1</v>
      </c>
      <c r="DW1096">
        <f t="shared" si="2269"/>
        <v>1</v>
      </c>
      <c r="DX1096">
        <f t="shared" si="2269"/>
        <v>1</v>
      </c>
      <c r="DY1096">
        <f t="shared" si="2269"/>
        <v>1</v>
      </c>
      <c r="DZ1096">
        <f t="shared" si="2269"/>
        <v>1</v>
      </c>
      <c r="EA1096">
        <f t="shared" si="2269"/>
        <v>1</v>
      </c>
      <c r="EB1096">
        <f>IF($C1096&lt;&gt;"",IF(BM1096&gt;0,1,0),0)</f>
        <v>1</v>
      </c>
      <c r="EC1096">
        <f t="shared" si="2269"/>
        <v>1</v>
      </c>
      <c r="ED1096">
        <f t="shared" si="2269"/>
        <v>1</v>
      </c>
      <c r="EE1096">
        <f t="shared" si="2269"/>
        <v>1</v>
      </c>
      <c r="EF1096">
        <f t="shared" si="2269"/>
        <v>1</v>
      </c>
    </row>
    <row r="1097" spans="1:136" ht="15.5">
      <c r="A1097" s="90"/>
      <c r="B1097" s="24" t="s">
        <v>15</v>
      </c>
      <c r="C1097" s="94"/>
      <c r="D1097" s="18">
        <v>0</v>
      </c>
      <c r="E1097" s="18">
        <v>0</v>
      </c>
      <c r="F1097" s="18">
        <v>0</v>
      </c>
      <c r="G1097" s="18">
        <v>0</v>
      </c>
      <c r="H1097" s="18">
        <v>0</v>
      </c>
      <c r="I1097" s="18">
        <v>0</v>
      </c>
      <c r="J1097" s="18">
        <v>0</v>
      </c>
      <c r="K1097" s="18">
        <v>0</v>
      </c>
      <c r="L1097" s="18">
        <v>0</v>
      </c>
      <c r="M1097" s="18">
        <v>0</v>
      </c>
      <c r="N1097" s="18">
        <v>0</v>
      </c>
      <c r="O1097" s="18">
        <v>0</v>
      </c>
      <c r="P1097" s="18">
        <v>0</v>
      </c>
      <c r="Q1097" s="18">
        <v>0</v>
      </c>
      <c r="R1097" s="18">
        <v>0</v>
      </c>
      <c r="S1097" s="18">
        <v>0</v>
      </c>
      <c r="T1097" s="18">
        <v>0</v>
      </c>
      <c r="U1097" s="18">
        <v>0</v>
      </c>
      <c r="V1097" s="18">
        <v>36</v>
      </c>
      <c r="W1097" s="18">
        <v>0</v>
      </c>
      <c r="X1097" s="18">
        <v>0</v>
      </c>
      <c r="Y1097" s="18">
        <v>9.4</v>
      </c>
      <c r="Z1097" s="18">
        <v>19.5</v>
      </c>
      <c r="AA1097" s="18">
        <v>0</v>
      </c>
      <c r="AB1097" s="146">
        <v>738.19779031398627</v>
      </c>
      <c r="AC1097" s="146">
        <v>910.23889488729844</v>
      </c>
      <c r="AD1097" s="146">
        <v>1100.661933133626</v>
      </c>
      <c r="AE1097" s="146">
        <v>1371.2196270949221</v>
      </c>
      <c r="AF1097" s="147">
        <v>1401.276792946677</v>
      </c>
      <c r="AG1097" s="147">
        <v>1478.5821430490021</v>
      </c>
      <c r="AH1097" s="147">
        <v>1737.2471910772849</v>
      </c>
      <c r="AI1097" s="147">
        <v>1899.7922736280746</v>
      </c>
      <c r="AJ1097" s="147">
        <v>1962.8192482839959</v>
      </c>
      <c r="AK1097" s="147">
        <v>2081.2731942029736</v>
      </c>
      <c r="AL1097" s="147">
        <v>2327.8041683079505</v>
      </c>
      <c r="AM1097" s="147">
        <v>2449.9887294343598</v>
      </c>
      <c r="AN1097" s="146">
        <v>2442.8845664375208</v>
      </c>
      <c r="AO1097" s="18">
        <v>1164</v>
      </c>
      <c r="AP1097" s="18">
        <v>1145</v>
      </c>
      <c r="AQ1097" s="18">
        <v>1132</v>
      </c>
      <c r="AR1097" s="18">
        <v>1114</v>
      </c>
      <c r="AS1097" s="18">
        <v>1091</v>
      </c>
      <c r="AT1097" s="18">
        <v>1085</v>
      </c>
      <c r="AU1097" s="18">
        <v>1074</v>
      </c>
      <c r="AV1097" s="18">
        <f>1062*1.55301</f>
        <v>1649.2966200000001</v>
      </c>
      <c r="AW1097" s="18">
        <f>1054*1.42927</f>
        <v>1506.4505799999999</v>
      </c>
      <c r="AX1097" s="18">
        <f>1051*1.5044</f>
        <v>1581.1243999999999</v>
      </c>
      <c r="AY1097" s="18">
        <f>1026*1.58025</f>
        <v>1621.3364999999999</v>
      </c>
      <c r="AZ1097" s="18">
        <f>994*1.54027</f>
        <v>1531.02838</v>
      </c>
      <c r="BA1097" s="18">
        <f>991*1.56769</f>
        <v>1553.58079</v>
      </c>
      <c r="BB1097" s="147">
        <f>990*1.54003</f>
        <v>1524.6297</v>
      </c>
      <c r="BC1097" s="146">
        <f>986*1.53804</f>
        <v>1516.5074400000001</v>
      </c>
      <c r="BD1097" s="147">
        <f>984*1.53692</f>
        <v>1512.3292800000002</v>
      </c>
      <c r="BE1097" s="148">
        <f>981*1.54</f>
        <v>1510.74</v>
      </c>
      <c r="BF1097" s="147">
        <f>977*1.44881</f>
        <v>1415.4873699999998</v>
      </c>
      <c r="BG1097" s="146">
        <f>973*1.38573</f>
        <v>1348.31529</v>
      </c>
      <c r="BH1097" s="18">
        <f>968*1.34433</f>
        <v>1301.3114399999999</v>
      </c>
      <c r="BI1097" s="113">
        <f>965*1.42413</f>
        <v>1374.2854499999999</v>
      </c>
      <c r="BJ1097" s="18">
        <f>968*1.39079</f>
        <v>1346.2847199999999</v>
      </c>
      <c r="BK1097" s="113">
        <f>964*1.38283</f>
        <v>1333.0481199999999</v>
      </c>
      <c r="BL1097" s="113">
        <f>964.51*1.44</f>
        <v>1388.8943999999999</v>
      </c>
      <c r="BM1097" s="113">
        <f>964.3*1.39959</f>
        <v>1349.6246369999999</v>
      </c>
      <c r="BN1097" s="113">
        <v>0</v>
      </c>
      <c r="BO1097" s="113">
        <v>0</v>
      </c>
      <c r="BP1097" s="113">
        <v>0</v>
      </c>
      <c r="BQ1097" s="113">
        <v>0</v>
      </c>
      <c r="BR1097" s="101"/>
      <c r="BS1097">
        <f t="shared" ref="BS1097:BS1106" si="2270">IF($C1097&lt;&gt;"",IF(D1097&gt;0,1,0),0)</f>
        <v>0</v>
      </c>
      <c r="BT1097">
        <f t="shared" ref="BT1097:BT1106" si="2271">IF($C1097&lt;&gt;"",IF(E1097&gt;0,1,0),0)</f>
        <v>0</v>
      </c>
      <c r="BU1097">
        <f t="shared" ref="BU1097:BU1106" si="2272">IF($C1097&lt;&gt;"",IF(F1097&gt;0,1,0),0)</f>
        <v>0</v>
      </c>
      <c r="BV1097">
        <f t="shared" ref="BV1097:BV1106" si="2273">IF($C1097&lt;&gt;"",IF(G1097&gt;0,1,0),0)</f>
        <v>0</v>
      </c>
      <c r="BW1097">
        <f t="shared" ref="BW1097:BW1106" si="2274">IF($C1097&lt;&gt;"",IF(H1097&gt;0,1,0),0)</f>
        <v>0</v>
      </c>
      <c r="BX1097">
        <f t="shared" ref="BX1097:BX1106" si="2275">IF($C1097&lt;&gt;"",IF(I1097&gt;0,1,0),0)</f>
        <v>0</v>
      </c>
      <c r="BY1097">
        <f t="shared" ref="BY1097:BY1106" si="2276">IF($C1097&lt;&gt;"",IF(J1097&gt;0,1,0),0)</f>
        <v>0</v>
      </c>
      <c r="BZ1097">
        <f t="shared" ref="BZ1097:BZ1106" si="2277">IF($C1097&lt;&gt;"",IF(K1097&gt;0,1,0),0)</f>
        <v>0</v>
      </c>
      <c r="CA1097">
        <f t="shared" ref="CA1097:CA1106" si="2278">IF($C1097&lt;&gt;"",IF(L1097&gt;0,1,0),0)</f>
        <v>0</v>
      </c>
      <c r="CB1097">
        <f t="shared" ref="CB1097:CB1106" si="2279">IF($C1097&lt;&gt;"",IF(M1097&gt;0,1,0),0)</f>
        <v>0</v>
      </c>
      <c r="CC1097">
        <f t="shared" ref="CC1097:CC1106" si="2280">IF($C1097&lt;&gt;"",IF(N1097&gt;0,1,0),0)</f>
        <v>0</v>
      </c>
      <c r="CD1097">
        <f t="shared" ref="CD1097:CD1106" si="2281">IF($C1097&lt;&gt;"",IF(O1097&gt;0,1,0),0)</f>
        <v>0</v>
      </c>
      <c r="CE1097">
        <f t="shared" ref="CE1097:CE1106" si="2282">IF($C1097&lt;&gt;"",IF(P1097&gt;0,1,0),0)</f>
        <v>0</v>
      </c>
      <c r="CF1097">
        <f t="shared" ref="CF1097:CF1106" si="2283">IF($C1097&lt;&gt;"",IF(Q1097&gt;0,1,0),0)</f>
        <v>0</v>
      </c>
      <c r="CG1097">
        <f t="shared" ref="CG1097:CG1106" si="2284">IF($C1097&lt;&gt;"",IF(R1097&gt;0,1,0),0)</f>
        <v>0</v>
      </c>
      <c r="CH1097">
        <f t="shared" ref="CH1097:CH1106" si="2285">IF($C1097&lt;&gt;"",IF(S1097&gt;0,1,0),0)</f>
        <v>0</v>
      </c>
      <c r="CI1097">
        <f t="shared" ref="CI1097:CI1106" si="2286">IF($C1097&lt;&gt;"",IF(T1097&gt;0,1,0),0)</f>
        <v>0</v>
      </c>
      <c r="CJ1097">
        <f t="shared" ref="CJ1097:CJ1106" si="2287">IF($C1097&lt;&gt;"",IF(U1097&gt;0,1,0),0)</f>
        <v>0</v>
      </c>
      <c r="CK1097">
        <f t="shared" ref="CK1097:CK1106" si="2288">IF($C1097&lt;&gt;"",IF(V1097&gt;0,1,0),0)</f>
        <v>0</v>
      </c>
      <c r="CL1097">
        <f t="shared" ref="CL1097:CL1106" si="2289">IF($C1097&lt;&gt;"",IF(W1097&gt;0,1,0),0)</f>
        <v>0</v>
      </c>
      <c r="CM1097">
        <f t="shared" ref="CM1097:CM1106" si="2290">IF($C1097&lt;&gt;"",IF(X1097&gt;0,1,0),0)</f>
        <v>0</v>
      </c>
      <c r="CN1097">
        <f t="shared" ref="CN1097:CN1106" si="2291">IF($C1097&lt;&gt;"",IF(Y1097&gt;0,1,0),0)</f>
        <v>0</v>
      </c>
      <c r="CO1097">
        <f t="shared" ref="CO1097:CO1106" si="2292">IF($C1097&lt;&gt;"",IF(Z1097&gt;0,1,0),0)</f>
        <v>0</v>
      </c>
      <c r="CP1097">
        <f t="shared" ref="CP1097:CP1106" si="2293">IF($C1097&lt;&gt;"",IF(AA1097&gt;0,1,0),0)</f>
        <v>0</v>
      </c>
      <c r="CQ1097">
        <f t="shared" ref="CQ1097:CQ1106" si="2294">IF($C1097&lt;&gt;"",IF(AB1097&gt;0,1,0),0)</f>
        <v>0</v>
      </c>
      <c r="CR1097">
        <f t="shared" ref="CR1097:CR1106" si="2295">IF($C1097&lt;&gt;"",IF(AC1097&gt;0,1,0),0)</f>
        <v>0</v>
      </c>
      <c r="CS1097">
        <f t="shared" ref="CS1097:CS1106" si="2296">IF($C1097&lt;&gt;"",IF(AD1097&gt;0,1,0),0)</f>
        <v>0</v>
      </c>
      <c r="CT1097">
        <f t="shared" ref="CT1097:CT1106" si="2297">IF($C1097&lt;&gt;"",IF(AE1097&gt;0,1,0),0)</f>
        <v>0</v>
      </c>
      <c r="CU1097">
        <f t="shared" ref="CU1097:CU1106" si="2298">IF($C1097&lt;&gt;"",IF(AF1097&gt;0,1,0),0)</f>
        <v>0</v>
      </c>
      <c r="CV1097">
        <f t="shared" ref="CV1097:CV1106" si="2299">IF($C1097&lt;&gt;"",IF(AG1097&gt;0,1,0),0)</f>
        <v>0</v>
      </c>
      <c r="CW1097">
        <f t="shared" ref="CW1097:CW1106" si="2300">IF($C1097&lt;&gt;"",IF(AH1097&gt;0,1,0),0)</f>
        <v>0</v>
      </c>
      <c r="CX1097">
        <f t="shared" ref="CX1097:CX1106" si="2301">IF($C1097&lt;&gt;"",IF(AI1097&gt;0,1,0),0)</f>
        <v>0</v>
      </c>
      <c r="CY1097">
        <f t="shared" ref="CY1097:CY1106" si="2302">IF($C1097&lt;&gt;"",IF(AJ1097&gt;0,1,0),0)</f>
        <v>0</v>
      </c>
      <c r="CZ1097">
        <f t="shared" ref="CZ1097:CZ1106" si="2303">IF($C1097&lt;&gt;"",IF(AK1097&gt;0,1,0),0)</f>
        <v>0</v>
      </c>
      <c r="DA1097">
        <f t="shared" ref="DA1097:DA1106" si="2304">IF($C1097&lt;&gt;"",IF(AL1097&gt;0,1,0),0)</f>
        <v>0</v>
      </c>
      <c r="DB1097">
        <f t="shared" ref="DB1097:DB1106" si="2305">IF($C1097&lt;&gt;"",IF(AM1097&gt;0,1,0),0)</f>
        <v>0</v>
      </c>
      <c r="DC1097">
        <f t="shared" ref="DC1097:DC1106" si="2306">IF($C1097&lt;&gt;"",IF(AN1097&gt;0,1,0),0)</f>
        <v>0</v>
      </c>
      <c r="DD1097">
        <f t="shared" ref="DD1097:DD1106" si="2307">IF($C1097&lt;&gt;"",IF(AO1097&gt;0,1,0),0)</f>
        <v>0</v>
      </c>
      <c r="DE1097">
        <f t="shared" ref="DE1097:DE1106" si="2308">IF($C1097&lt;&gt;"",IF(AP1097&gt;0,1,0),0)</f>
        <v>0</v>
      </c>
      <c r="DF1097">
        <f t="shared" ref="DF1097:DF1106" si="2309">IF($C1097&lt;&gt;"",IF(AQ1097&gt;0,1,0),0)</f>
        <v>0</v>
      </c>
      <c r="DG1097">
        <f t="shared" ref="DG1097:DG1106" si="2310">IF($C1097&lt;&gt;"",IF(AR1097&gt;0,1,0),0)</f>
        <v>0</v>
      </c>
      <c r="DH1097">
        <f t="shared" ref="DH1097:DH1106" si="2311">IF($C1097&lt;&gt;"",IF(AS1097&gt;0,1,0),0)</f>
        <v>0</v>
      </c>
      <c r="DI1097">
        <f t="shared" ref="DI1097:DI1106" si="2312">IF($C1097&lt;&gt;"",IF(AT1097&gt;0,1,0),0)</f>
        <v>0</v>
      </c>
      <c r="DJ1097">
        <f t="shared" ref="DJ1097:DJ1106" si="2313">IF($C1097&lt;&gt;"",IF(AU1097&gt;0,1,0),0)</f>
        <v>0</v>
      </c>
      <c r="DK1097">
        <f t="shared" ref="DK1097:DK1106" si="2314">IF($C1097&lt;&gt;"",IF(AV1097&gt;0,1,0),0)</f>
        <v>0</v>
      </c>
      <c r="DL1097">
        <f t="shared" ref="DL1097:DL1106" si="2315">IF($C1097&lt;&gt;"",IF(AW1097&gt;0,1,0),0)</f>
        <v>0</v>
      </c>
      <c r="DM1097">
        <f t="shared" ref="DM1097:DM1106" si="2316">IF($C1097&lt;&gt;"",IF(AX1097&gt;0,1,0),0)</f>
        <v>0</v>
      </c>
      <c r="DN1097">
        <f t="shared" ref="DN1097:DN1106" si="2317">IF($C1097&lt;&gt;"",IF(AY1097&gt;0,1,0),0)</f>
        <v>0</v>
      </c>
      <c r="DO1097">
        <f t="shared" ref="DO1097:DO1106" si="2318">IF($C1097&lt;&gt;"",IF(AZ1097&gt;0,1,0),0)</f>
        <v>0</v>
      </c>
      <c r="DP1097">
        <f t="shared" ref="DP1097:DP1106" si="2319">IF($C1097&lt;&gt;"",IF(BA1097&gt;0,1,0),0)</f>
        <v>0</v>
      </c>
      <c r="DQ1097">
        <f t="shared" ref="DQ1097:DQ1106" si="2320">IF($C1097&lt;&gt;"",IF(BB1097&gt;0,1,0),0)</f>
        <v>0</v>
      </c>
      <c r="DR1097">
        <f t="shared" ref="DR1097:DR1106" si="2321">IF($C1097&lt;&gt;"",IF(BC1097&gt;0,1,0),0)</f>
        <v>0</v>
      </c>
      <c r="DS1097">
        <f t="shared" ref="DS1097:DS1106" si="2322">IF($C1097&lt;&gt;"",IF(BD1097&gt;0,1,0),0)</f>
        <v>0</v>
      </c>
      <c r="DT1097">
        <f t="shared" ref="DT1097:DT1106" si="2323">IF($C1097&lt;&gt;"",IF(BE1097&gt;0,1,0),0)</f>
        <v>0</v>
      </c>
      <c r="DU1097">
        <f t="shared" ref="DU1097:DU1106" si="2324">IF($C1097&lt;&gt;"",IF(BF1097&gt;0,1,0),0)</f>
        <v>0</v>
      </c>
      <c r="DV1097">
        <f t="shared" ref="DV1097:DV1106" si="2325">IF($C1097&lt;&gt;"",IF(BG1097&gt;0,1,0),0)</f>
        <v>0</v>
      </c>
      <c r="DW1097">
        <f t="shared" ref="DW1097:DW1106" si="2326">IF($C1097&lt;&gt;"",IF(BH1097&gt;0,1,0),0)</f>
        <v>0</v>
      </c>
      <c r="DX1097">
        <f t="shared" ref="DX1097:DX1106" si="2327">IF($C1097&lt;&gt;"",IF(BI1097&gt;0,1,0),0)</f>
        <v>0</v>
      </c>
      <c r="DY1097">
        <f t="shared" ref="DY1097:DY1106" si="2328">IF($C1097&lt;&gt;"",IF(BJ1097&gt;0,1,0),0)</f>
        <v>0</v>
      </c>
      <c r="DZ1097">
        <f t="shared" ref="DZ1097:DZ1106" si="2329">IF($C1097&lt;&gt;"",IF(BK1097&gt;0,1,0),0)</f>
        <v>0</v>
      </c>
      <c r="EA1097">
        <f t="shared" ref="EA1097:EA1105" si="2330">IF($C1097&lt;&gt;"",IF(BL1096&gt;0,1,0),0)</f>
        <v>0</v>
      </c>
      <c r="EB1097">
        <f t="shared" ref="EB1097:EB1105" si="2331">IF($C1097&lt;&gt;"",IF(BM1096&gt;0,1,0),0)</f>
        <v>0</v>
      </c>
      <c r="EC1097">
        <f t="shared" ref="EC1097:EC1105" si="2332">IF($C1097&lt;&gt;"",IF(BN1096&gt;0,1,0),0)</f>
        <v>0</v>
      </c>
      <c r="ED1097">
        <f t="shared" ref="ED1097:EF1105" si="2333">IF($C1097&lt;&gt;"",IF(BO1096&gt;0,1,0),0)</f>
        <v>0</v>
      </c>
      <c r="EE1097">
        <f t="shared" si="2333"/>
        <v>0</v>
      </c>
      <c r="EF1097">
        <f t="shared" si="2333"/>
        <v>0</v>
      </c>
    </row>
    <row r="1098" spans="1:136" ht="15.5">
      <c r="A1098" s="90"/>
      <c r="B1098" s="57" t="s">
        <v>184</v>
      </c>
      <c r="C1098" s="94"/>
      <c r="D1098" s="18">
        <v>0</v>
      </c>
      <c r="E1098" s="18">
        <v>0</v>
      </c>
      <c r="F1098" s="18">
        <v>0</v>
      </c>
      <c r="G1098" s="18">
        <v>0</v>
      </c>
      <c r="H1098" s="18">
        <v>0</v>
      </c>
      <c r="I1098" s="18">
        <v>0</v>
      </c>
      <c r="J1098" s="18">
        <v>0</v>
      </c>
      <c r="K1098" s="18">
        <v>0</v>
      </c>
      <c r="L1098" s="18">
        <v>0</v>
      </c>
      <c r="M1098" s="18">
        <v>0</v>
      </c>
      <c r="N1098" s="18">
        <v>0</v>
      </c>
      <c r="O1098" s="18">
        <v>0</v>
      </c>
      <c r="P1098" s="18">
        <v>0</v>
      </c>
      <c r="Q1098" s="18">
        <v>0</v>
      </c>
      <c r="R1098" s="18">
        <v>0</v>
      </c>
      <c r="S1098" s="18">
        <v>0</v>
      </c>
      <c r="T1098" s="18">
        <v>0</v>
      </c>
      <c r="U1098" s="18">
        <v>0</v>
      </c>
      <c r="V1098" s="18">
        <v>0</v>
      </c>
      <c r="W1098" s="18">
        <v>0</v>
      </c>
      <c r="X1098" s="18">
        <v>0</v>
      </c>
      <c r="Y1098" s="18">
        <v>0</v>
      </c>
      <c r="Z1098" s="18">
        <v>0</v>
      </c>
      <c r="AA1098" s="18">
        <v>0</v>
      </c>
      <c r="AB1098" s="18">
        <v>0</v>
      </c>
      <c r="AC1098" s="18">
        <v>0</v>
      </c>
      <c r="AD1098" s="18">
        <v>0</v>
      </c>
      <c r="AE1098" s="18">
        <v>0</v>
      </c>
      <c r="AF1098" s="18">
        <v>0</v>
      </c>
      <c r="AG1098" s="18">
        <v>0</v>
      </c>
      <c r="AH1098" s="18">
        <v>0</v>
      </c>
      <c r="AI1098" s="18">
        <v>0</v>
      </c>
      <c r="AJ1098" s="18">
        <v>0</v>
      </c>
      <c r="AK1098" s="18">
        <v>0</v>
      </c>
      <c r="AL1098" s="18">
        <v>1</v>
      </c>
      <c r="AM1098" s="18">
        <v>2</v>
      </c>
      <c r="AN1098" s="18">
        <v>3</v>
      </c>
      <c r="AO1098" s="18">
        <v>4</v>
      </c>
      <c r="AP1098" s="18">
        <v>5</v>
      </c>
      <c r="AQ1098" s="18">
        <v>6</v>
      </c>
      <c r="AR1098" s="18">
        <v>0</v>
      </c>
      <c r="AS1098" s="18">
        <v>0</v>
      </c>
      <c r="AT1098" s="18">
        <v>0</v>
      </c>
      <c r="AU1098" s="18">
        <v>0</v>
      </c>
      <c r="AV1098" s="18">
        <v>0</v>
      </c>
      <c r="AW1098" s="18">
        <v>0</v>
      </c>
      <c r="AX1098" s="18">
        <v>0</v>
      </c>
      <c r="AY1098" s="18">
        <v>0</v>
      </c>
      <c r="AZ1098" s="18">
        <v>0</v>
      </c>
      <c r="BA1098" s="18">
        <v>0</v>
      </c>
      <c r="BB1098" s="18">
        <v>0</v>
      </c>
      <c r="BC1098" s="18">
        <v>0</v>
      </c>
      <c r="BD1098" s="18">
        <v>0</v>
      </c>
      <c r="BE1098" s="25">
        <v>0</v>
      </c>
      <c r="BF1098" s="18">
        <v>0</v>
      </c>
      <c r="BG1098" s="18">
        <v>0</v>
      </c>
      <c r="BH1098" s="113">
        <v>0</v>
      </c>
      <c r="BI1098" s="113">
        <v>0</v>
      </c>
      <c r="BJ1098" s="113">
        <v>0</v>
      </c>
      <c r="BK1098" s="113">
        <v>0</v>
      </c>
      <c r="BL1098" s="113">
        <v>0</v>
      </c>
      <c r="BM1098" s="113">
        <v>0</v>
      </c>
      <c r="BN1098" s="113">
        <v>0</v>
      </c>
      <c r="BO1098" s="113">
        <v>0</v>
      </c>
      <c r="BP1098" s="113">
        <v>0</v>
      </c>
      <c r="BQ1098" s="113">
        <v>0</v>
      </c>
      <c r="BR1098" s="101"/>
      <c r="BS1098">
        <f t="shared" si="2270"/>
        <v>0</v>
      </c>
      <c r="BT1098">
        <f t="shared" si="2271"/>
        <v>0</v>
      </c>
      <c r="BU1098">
        <f t="shared" si="2272"/>
        <v>0</v>
      </c>
      <c r="BV1098">
        <f t="shared" si="2273"/>
        <v>0</v>
      </c>
      <c r="BW1098">
        <f t="shared" si="2274"/>
        <v>0</v>
      </c>
      <c r="BX1098">
        <f t="shared" si="2275"/>
        <v>0</v>
      </c>
      <c r="BY1098">
        <f t="shared" si="2276"/>
        <v>0</v>
      </c>
      <c r="BZ1098">
        <f t="shared" si="2277"/>
        <v>0</v>
      </c>
      <c r="CA1098">
        <f t="shared" si="2278"/>
        <v>0</v>
      </c>
      <c r="CB1098">
        <f t="shared" si="2279"/>
        <v>0</v>
      </c>
      <c r="CC1098">
        <f t="shared" si="2280"/>
        <v>0</v>
      </c>
      <c r="CD1098">
        <f t="shared" si="2281"/>
        <v>0</v>
      </c>
      <c r="CE1098">
        <f t="shared" si="2282"/>
        <v>0</v>
      </c>
      <c r="CF1098">
        <f t="shared" si="2283"/>
        <v>0</v>
      </c>
      <c r="CG1098">
        <f t="shared" si="2284"/>
        <v>0</v>
      </c>
      <c r="CH1098">
        <f t="shared" si="2285"/>
        <v>0</v>
      </c>
      <c r="CI1098">
        <f t="shared" si="2286"/>
        <v>0</v>
      </c>
      <c r="CJ1098">
        <f t="shared" si="2287"/>
        <v>0</v>
      </c>
      <c r="CK1098">
        <f t="shared" si="2288"/>
        <v>0</v>
      </c>
      <c r="CL1098">
        <f t="shared" si="2289"/>
        <v>0</v>
      </c>
      <c r="CM1098">
        <f t="shared" si="2290"/>
        <v>0</v>
      </c>
      <c r="CN1098">
        <f t="shared" si="2291"/>
        <v>0</v>
      </c>
      <c r="CO1098">
        <f t="shared" si="2292"/>
        <v>0</v>
      </c>
      <c r="CP1098">
        <f t="shared" si="2293"/>
        <v>0</v>
      </c>
      <c r="CQ1098">
        <f t="shared" si="2294"/>
        <v>0</v>
      </c>
      <c r="CR1098">
        <f t="shared" si="2295"/>
        <v>0</v>
      </c>
      <c r="CS1098">
        <f t="shared" si="2296"/>
        <v>0</v>
      </c>
      <c r="CT1098">
        <f t="shared" si="2297"/>
        <v>0</v>
      </c>
      <c r="CU1098">
        <f t="shared" si="2298"/>
        <v>0</v>
      </c>
      <c r="CV1098">
        <f t="shared" si="2299"/>
        <v>0</v>
      </c>
      <c r="CW1098">
        <f t="shared" si="2300"/>
        <v>0</v>
      </c>
      <c r="CX1098">
        <f t="shared" si="2301"/>
        <v>0</v>
      </c>
      <c r="CY1098">
        <f t="shared" si="2302"/>
        <v>0</v>
      </c>
      <c r="CZ1098">
        <f t="shared" si="2303"/>
        <v>0</v>
      </c>
      <c r="DA1098">
        <f t="shared" si="2304"/>
        <v>0</v>
      </c>
      <c r="DB1098">
        <f t="shared" si="2305"/>
        <v>0</v>
      </c>
      <c r="DC1098">
        <f t="shared" si="2306"/>
        <v>0</v>
      </c>
      <c r="DD1098">
        <f t="shared" si="2307"/>
        <v>0</v>
      </c>
      <c r="DE1098">
        <f t="shared" si="2308"/>
        <v>0</v>
      </c>
      <c r="DF1098">
        <f t="shared" si="2309"/>
        <v>0</v>
      </c>
      <c r="DG1098">
        <f t="shared" si="2310"/>
        <v>0</v>
      </c>
      <c r="DH1098">
        <f t="shared" si="2311"/>
        <v>0</v>
      </c>
      <c r="DI1098">
        <f t="shared" si="2312"/>
        <v>0</v>
      </c>
      <c r="DJ1098">
        <f t="shared" si="2313"/>
        <v>0</v>
      </c>
      <c r="DK1098">
        <f t="shared" si="2314"/>
        <v>0</v>
      </c>
      <c r="DL1098">
        <f t="shared" si="2315"/>
        <v>0</v>
      </c>
      <c r="DM1098">
        <f t="shared" si="2316"/>
        <v>0</v>
      </c>
      <c r="DN1098">
        <f t="shared" si="2317"/>
        <v>0</v>
      </c>
      <c r="DO1098">
        <f t="shared" si="2318"/>
        <v>0</v>
      </c>
      <c r="DP1098">
        <f t="shared" si="2319"/>
        <v>0</v>
      </c>
      <c r="DQ1098">
        <f t="shared" si="2320"/>
        <v>0</v>
      </c>
      <c r="DR1098">
        <f t="shared" si="2321"/>
        <v>0</v>
      </c>
      <c r="DS1098">
        <f t="shared" si="2322"/>
        <v>0</v>
      </c>
      <c r="DT1098">
        <f t="shared" si="2323"/>
        <v>0</v>
      </c>
      <c r="DU1098">
        <f t="shared" si="2324"/>
        <v>0</v>
      </c>
      <c r="DV1098">
        <f t="shared" si="2325"/>
        <v>0</v>
      </c>
      <c r="DW1098">
        <f t="shared" si="2326"/>
        <v>0</v>
      </c>
      <c r="DX1098">
        <f t="shared" si="2327"/>
        <v>0</v>
      </c>
      <c r="DY1098">
        <f t="shared" si="2328"/>
        <v>0</v>
      </c>
      <c r="DZ1098">
        <f t="shared" si="2329"/>
        <v>0</v>
      </c>
      <c r="EA1098">
        <f t="shared" si="2330"/>
        <v>0</v>
      </c>
      <c r="EB1098">
        <f t="shared" si="2331"/>
        <v>0</v>
      </c>
      <c r="EC1098">
        <f t="shared" si="2332"/>
        <v>0</v>
      </c>
      <c r="ED1098">
        <f t="shared" si="2333"/>
        <v>0</v>
      </c>
      <c r="EE1098">
        <f t="shared" si="2333"/>
        <v>0</v>
      </c>
      <c r="EF1098">
        <f t="shared" si="2333"/>
        <v>0</v>
      </c>
    </row>
    <row r="1099" spans="1:136" ht="15.5">
      <c r="A1099" s="90"/>
      <c r="B1099" s="57" t="s">
        <v>202</v>
      </c>
      <c r="C1099" s="94"/>
      <c r="D1099" s="18"/>
      <c r="E1099" s="18"/>
      <c r="F1099" s="18"/>
      <c r="G1099" s="18"/>
      <c r="H1099" s="18"/>
      <c r="I1099" s="18"/>
      <c r="J1099" s="18"/>
      <c r="K1099" s="18"/>
      <c r="L1099" s="18"/>
      <c r="M1099" s="18"/>
      <c r="N1099" s="18"/>
      <c r="O1099" s="18"/>
      <c r="P1099" s="18"/>
      <c r="Q1099" s="18"/>
      <c r="R1099" s="18"/>
      <c r="S1099" s="18"/>
      <c r="T1099" s="18"/>
      <c r="U1099" s="18"/>
      <c r="V1099" s="18"/>
      <c r="W1099" s="18"/>
      <c r="X1099" s="18"/>
      <c r="Y1099" s="18"/>
      <c r="Z1099" s="18"/>
      <c r="AA1099" s="18"/>
      <c r="AB1099" s="18"/>
      <c r="AC1099" s="18"/>
      <c r="AD1099" s="18"/>
      <c r="AE1099" s="18"/>
      <c r="AF1099" s="18"/>
      <c r="AG1099" s="18"/>
      <c r="AH1099" s="18"/>
      <c r="AI1099" s="18"/>
      <c r="AJ1099" s="18"/>
      <c r="AK1099" s="18"/>
      <c r="AL1099" s="146">
        <v>17</v>
      </c>
      <c r="AM1099" s="146">
        <v>39</v>
      </c>
      <c r="AN1099" s="146">
        <v>59</v>
      </c>
      <c r="AO1099" s="146">
        <v>81</v>
      </c>
      <c r="AP1099" s="146">
        <v>102</v>
      </c>
      <c r="AQ1099" s="146">
        <v>129</v>
      </c>
      <c r="AR1099" s="146">
        <v>157</v>
      </c>
      <c r="AS1099" s="146">
        <v>179</v>
      </c>
      <c r="AT1099" s="146">
        <v>217</v>
      </c>
      <c r="AU1099" s="146">
        <v>256</v>
      </c>
      <c r="AV1099" s="146">
        <v>297</v>
      </c>
      <c r="AW1099" s="146">
        <v>337</v>
      </c>
      <c r="AX1099" s="146">
        <v>378</v>
      </c>
      <c r="AY1099" s="146">
        <v>429</v>
      </c>
      <c r="AZ1099" s="146">
        <v>496</v>
      </c>
      <c r="BA1099" s="146">
        <v>530</v>
      </c>
      <c r="BB1099" s="146">
        <v>566</v>
      </c>
      <c r="BC1099" s="146">
        <v>647</v>
      </c>
      <c r="BD1099" s="18">
        <v>679</v>
      </c>
      <c r="BE1099" s="146">
        <v>727</v>
      </c>
      <c r="BF1099" s="146">
        <v>791</v>
      </c>
      <c r="BG1099" s="146">
        <v>797</v>
      </c>
      <c r="BH1099" s="146">
        <v>844</v>
      </c>
      <c r="BI1099" s="142">
        <v>890</v>
      </c>
      <c r="BJ1099" s="18">
        <v>945</v>
      </c>
      <c r="BK1099" s="113">
        <v>987</v>
      </c>
      <c r="BL1099" s="113">
        <v>1029</v>
      </c>
      <c r="BM1099" s="113">
        <v>1093</v>
      </c>
      <c r="BN1099" s="113">
        <v>0</v>
      </c>
      <c r="BO1099" s="113">
        <v>0</v>
      </c>
      <c r="BP1099" s="113">
        <v>0</v>
      </c>
      <c r="BQ1099" s="113">
        <v>0</v>
      </c>
      <c r="BR1099" s="101"/>
      <c r="BS1099">
        <f t="shared" si="2270"/>
        <v>0</v>
      </c>
      <c r="BT1099">
        <f t="shared" si="2271"/>
        <v>0</v>
      </c>
      <c r="BU1099">
        <f t="shared" si="2272"/>
        <v>0</v>
      </c>
      <c r="BV1099">
        <f t="shared" si="2273"/>
        <v>0</v>
      </c>
      <c r="BW1099">
        <f t="shared" si="2274"/>
        <v>0</v>
      </c>
      <c r="BX1099">
        <f t="shared" si="2275"/>
        <v>0</v>
      </c>
      <c r="BY1099">
        <f t="shared" si="2276"/>
        <v>0</v>
      </c>
      <c r="BZ1099">
        <f t="shared" si="2277"/>
        <v>0</v>
      </c>
      <c r="CA1099">
        <f t="shared" si="2278"/>
        <v>0</v>
      </c>
      <c r="CB1099">
        <f t="shared" si="2279"/>
        <v>0</v>
      </c>
      <c r="CC1099">
        <f t="shared" si="2280"/>
        <v>0</v>
      </c>
      <c r="CD1099">
        <f t="shared" si="2281"/>
        <v>0</v>
      </c>
      <c r="CE1099">
        <f t="shared" si="2282"/>
        <v>0</v>
      </c>
      <c r="CF1099">
        <f t="shared" si="2283"/>
        <v>0</v>
      </c>
      <c r="CG1099">
        <f t="shared" si="2284"/>
        <v>0</v>
      </c>
      <c r="CH1099">
        <f t="shared" si="2285"/>
        <v>0</v>
      </c>
      <c r="CI1099">
        <f t="shared" si="2286"/>
        <v>0</v>
      </c>
      <c r="CJ1099">
        <f t="shared" si="2287"/>
        <v>0</v>
      </c>
      <c r="CK1099">
        <f t="shared" si="2288"/>
        <v>0</v>
      </c>
      <c r="CL1099">
        <f t="shared" si="2289"/>
        <v>0</v>
      </c>
      <c r="CM1099">
        <f t="shared" si="2290"/>
        <v>0</v>
      </c>
      <c r="CN1099">
        <f t="shared" si="2291"/>
        <v>0</v>
      </c>
      <c r="CO1099">
        <f t="shared" si="2292"/>
        <v>0</v>
      </c>
      <c r="CP1099">
        <f t="shared" si="2293"/>
        <v>0</v>
      </c>
      <c r="CQ1099">
        <f t="shared" si="2294"/>
        <v>0</v>
      </c>
      <c r="CR1099">
        <f t="shared" si="2295"/>
        <v>0</v>
      </c>
      <c r="CS1099">
        <f t="shared" si="2296"/>
        <v>0</v>
      </c>
      <c r="CT1099">
        <f t="shared" si="2297"/>
        <v>0</v>
      </c>
      <c r="CU1099">
        <f t="shared" si="2298"/>
        <v>0</v>
      </c>
      <c r="CV1099">
        <f t="shared" si="2299"/>
        <v>0</v>
      </c>
      <c r="CW1099">
        <f t="shared" si="2300"/>
        <v>0</v>
      </c>
      <c r="CX1099">
        <f t="shared" si="2301"/>
        <v>0</v>
      </c>
      <c r="CY1099">
        <f t="shared" si="2302"/>
        <v>0</v>
      </c>
      <c r="CZ1099">
        <f t="shared" si="2303"/>
        <v>0</v>
      </c>
      <c r="DA1099">
        <f t="shared" si="2304"/>
        <v>0</v>
      </c>
      <c r="DB1099">
        <f t="shared" si="2305"/>
        <v>0</v>
      </c>
      <c r="DC1099">
        <f t="shared" si="2306"/>
        <v>0</v>
      </c>
      <c r="DD1099">
        <f t="shared" si="2307"/>
        <v>0</v>
      </c>
      <c r="DE1099">
        <f t="shared" si="2308"/>
        <v>0</v>
      </c>
      <c r="DF1099">
        <f t="shared" si="2309"/>
        <v>0</v>
      </c>
      <c r="DG1099">
        <f t="shared" si="2310"/>
        <v>0</v>
      </c>
      <c r="DH1099">
        <f t="shared" si="2311"/>
        <v>0</v>
      </c>
      <c r="DI1099">
        <f t="shared" si="2312"/>
        <v>0</v>
      </c>
      <c r="DJ1099">
        <f t="shared" si="2313"/>
        <v>0</v>
      </c>
      <c r="DK1099">
        <f t="shared" si="2314"/>
        <v>0</v>
      </c>
      <c r="DL1099">
        <f t="shared" si="2315"/>
        <v>0</v>
      </c>
      <c r="DM1099">
        <f t="shared" si="2316"/>
        <v>0</v>
      </c>
      <c r="DN1099">
        <f t="shared" si="2317"/>
        <v>0</v>
      </c>
      <c r="DO1099">
        <f t="shared" si="2318"/>
        <v>0</v>
      </c>
      <c r="DP1099">
        <f t="shared" si="2319"/>
        <v>0</v>
      </c>
      <c r="DQ1099">
        <f t="shared" si="2320"/>
        <v>0</v>
      </c>
      <c r="DR1099">
        <f t="shared" si="2321"/>
        <v>0</v>
      </c>
      <c r="DS1099">
        <f t="shared" si="2322"/>
        <v>0</v>
      </c>
      <c r="DT1099">
        <f t="shared" si="2323"/>
        <v>0</v>
      </c>
      <c r="DU1099">
        <f t="shared" si="2324"/>
        <v>0</v>
      </c>
      <c r="DV1099">
        <f t="shared" si="2325"/>
        <v>0</v>
      </c>
      <c r="DW1099">
        <f t="shared" si="2326"/>
        <v>0</v>
      </c>
      <c r="DX1099">
        <f t="shared" si="2327"/>
        <v>0</v>
      </c>
      <c r="DY1099">
        <f t="shared" si="2328"/>
        <v>0</v>
      </c>
      <c r="DZ1099">
        <f t="shared" si="2329"/>
        <v>0</v>
      </c>
      <c r="EA1099">
        <f t="shared" si="2330"/>
        <v>0</v>
      </c>
      <c r="EB1099">
        <f t="shared" si="2331"/>
        <v>0</v>
      </c>
      <c r="EC1099">
        <f t="shared" si="2332"/>
        <v>0</v>
      </c>
      <c r="ED1099">
        <f t="shared" si="2333"/>
        <v>0</v>
      </c>
      <c r="EE1099">
        <f t="shared" si="2333"/>
        <v>0</v>
      </c>
      <c r="EF1099">
        <f t="shared" si="2333"/>
        <v>0</v>
      </c>
    </row>
    <row r="1100" spans="1:136" ht="15.5">
      <c r="A1100" s="90"/>
      <c r="B1100" s="19" t="s">
        <v>2</v>
      </c>
      <c r="C1100" s="94"/>
      <c r="D1100" s="18">
        <v>0</v>
      </c>
      <c r="E1100" s="18">
        <v>0</v>
      </c>
      <c r="F1100" s="18">
        <v>0</v>
      </c>
      <c r="G1100" s="18">
        <v>0</v>
      </c>
      <c r="H1100" s="18">
        <v>0</v>
      </c>
      <c r="I1100" s="18">
        <v>0</v>
      </c>
      <c r="J1100" s="18">
        <v>0</v>
      </c>
      <c r="K1100" s="18">
        <v>0</v>
      </c>
      <c r="L1100" s="18">
        <v>0</v>
      </c>
      <c r="M1100" s="18">
        <v>0</v>
      </c>
      <c r="N1100" s="18">
        <v>0</v>
      </c>
      <c r="O1100" s="18">
        <v>0</v>
      </c>
      <c r="P1100" s="18">
        <v>0</v>
      </c>
      <c r="Q1100" s="18">
        <v>0</v>
      </c>
      <c r="R1100" s="18">
        <v>0</v>
      </c>
      <c r="S1100" s="18">
        <v>0</v>
      </c>
      <c r="T1100" s="18"/>
      <c r="U1100" s="18"/>
      <c r="V1100" s="40" t="s">
        <v>16</v>
      </c>
      <c r="W1100" s="18">
        <v>487</v>
      </c>
      <c r="X1100" s="40" t="s">
        <v>16</v>
      </c>
      <c r="Y1100" s="40" t="s">
        <v>16</v>
      </c>
      <c r="Z1100" s="18">
        <v>270</v>
      </c>
      <c r="AA1100" s="18">
        <v>516</v>
      </c>
      <c r="AB1100" s="18">
        <v>263</v>
      </c>
      <c r="AC1100" s="40" t="s">
        <v>16</v>
      </c>
      <c r="AD1100" s="40" t="s">
        <v>16</v>
      </c>
      <c r="AE1100" s="40" t="s">
        <v>16</v>
      </c>
      <c r="AF1100" s="40" t="s">
        <v>16</v>
      </c>
      <c r="AG1100" s="40" t="s">
        <v>16</v>
      </c>
      <c r="AH1100" s="40" t="s">
        <v>16</v>
      </c>
      <c r="AI1100" s="40" t="s">
        <v>16</v>
      </c>
      <c r="AJ1100" s="40" t="s">
        <v>16</v>
      </c>
      <c r="AK1100" s="40" t="s">
        <v>16</v>
      </c>
      <c r="AL1100" s="40" t="s">
        <v>16</v>
      </c>
      <c r="AM1100" s="18">
        <f>AN1100-290</f>
        <v>5826</v>
      </c>
      <c r="AN1100" s="18">
        <f>AO1100-310</f>
        <v>6116</v>
      </c>
      <c r="AO1100" s="18">
        <f>AP1100-332</f>
        <v>6426</v>
      </c>
      <c r="AP1100" s="18">
        <f>AQ1100-366</f>
        <v>6758</v>
      </c>
      <c r="AQ1100" s="18">
        <f>AR1100-402</f>
        <v>7124</v>
      </c>
      <c r="AR1100" s="18">
        <f>AS1100-437</f>
        <v>7526</v>
      </c>
      <c r="AS1100" s="18">
        <f>AT1100-470</f>
        <v>7963</v>
      </c>
      <c r="AT1100" s="18">
        <f>AU1100-506</f>
        <v>8433</v>
      </c>
      <c r="AU1100" s="18">
        <f>AV1100-545</f>
        <v>8939</v>
      </c>
      <c r="AV1100" s="18">
        <f>AW1100-586</f>
        <v>9484</v>
      </c>
      <c r="AW1100" s="18">
        <f>AX1100-630</f>
        <v>10070</v>
      </c>
      <c r="AX1100" s="18">
        <f>AY1100-816</f>
        <v>10700</v>
      </c>
      <c r="AY1100" s="18">
        <f>AZ1100-816</f>
        <v>11516</v>
      </c>
      <c r="AZ1100" s="18">
        <f>BA1100-816</f>
        <v>12332</v>
      </c>
      <c r="BA1100" s="18">
        <f>BB1100-816</f>
        <v>13148</v>
      </c>
      <c r="BB1100" s="18">
        <v>13964</v>
      </c>
      <c r="BC1100" s="18">
        <v>14632</v>
      </c>
      <c r="BD1100" s="18">
        <v>15246</v>
      </c>
      <c r="BE1100" s="25">
        <v>15693</v>
      </c>
      <c r="BF1100" s="18">
        <v>16514</v>
      </c>
      <c r="BG1100" s="113">
        <v>17633</v>
      </c>
      <c r="BH1100" s="18">
        <v>18360</v>
      </c>
      <c r="BI1100" s="18">
        <f>BH1100*1.044</f>
        <v>19167.84</v>
      </c>
      <c r="BJ1100" s="18">
        <v>18445</v>
      </c>
      <c r="BK1100" s="113">
        <v>19075</v>
      </c>
      <c r="BL1100" s="113">
        <v>23506</v>
      </c>
      <c r="BM1100" s="113">
        <v>22073</v>
      </c>
      <c r="BN1100" s="113">
        <v>3853</v>
      </c>
      <c r="BO1100" s="113">
        <v>4237</v>
      </c>
      <c r="BP1100" s="113">
        <v>4163</v>
      </c>
      <c r="BQ1100" s="113">
        <v>4575</v>
      </c>
      <c r="BR1100" s="101"/>
      <c r="BS1100">
        <f t="shared" si="2270"/>
        <v>0</v>
      </c>
      <c r="BT1100">
        <f t="shared" si="2271"/>
        <v>0</v>
      </c>
      <c r="BU1100">
        <f t="shared" si="2272"/>
        <v>0</v>
      </c>
      <c r="BV1100">
        <f t="shared" si="2273"/>
        <v>0</v>
      </c>
      <c r="BW1100">
        <f t="shared" si="2274"/>
        <v>0</v>
      </c>
      <c r="BX1100">
        <f t="shared" si="2275"/>
        <v>0</v>
      </c>
      <c r="BY1100">
        <f t="shared" si="2276"/>
        <v>0</v>
      </c>
      <c r="BZ1100">
        <f t="shared" si="2277"/>
        <v>0</v>
      </c>
      <c r="CA1100">
        <f t="shared" si="2278"/>
        <v>0</v>
      </c>
      <c r="CB1100">
        <f t="shared" si="2279"/>
        <v>0</v>
      </c>
      <c r="CC1100">
        <f t="shared" si="2280"/>
        <v>0</v>
      </c>
      <c r="CD1100">
        <f t="shared" si="2281"/>
        <v>0</v>
      </c>
      <c r="CE1100">
        <f t="shared" si="2282"/>
        <v>0</v>
      </c>
      <c r="CF1100">
        <f t="shared" si="2283"/>
        <v>0</v>
      </c>
      <c r="CG1100">
        <f t="shared" si="2284"/>
        <v>0</v>
      </c>
      <c r="CH1100">
        <f t="shared" si="2285"/>
        <v>0</v>
      </c>
      <c r="CI1100">
        <f t="shared" si="2286"/>
        <v>0</v>
      </c>
      <c r="CJ1100">
        <f t="shared" si="2287"/>
        <v>0</v>
      </c>
      <c r="CK1100">
        <f t="shared" si="2288"/>
        <v>0</v>
      </c>
      <c r="CL1100">
        <f t="shared" si="2289"/>
        <v>0</v>
      </c>
      <c r="CM1100">
        <f t="shared" si="2290"/>
        <v>0</v>
      </c>
      <c r="CN1100">
        <f t="shared" si="2291"/>
        <v>0</v>
      </c>
      <c r="CO1100">
        <f t="shared" si="2292"/>
        <v>0</v>
      </c>
      <c r="CP1100">
        <f t="shared" si="2293"/>
        <v>0</v>
      </c>
      <c r="CQ1100">
        <f t="shared" si="2294"/>
        <v>0</v>
      </c>
      <c r="CR1100">
        <f t="shared" si="2295"/>
        <v>0</v>
      </c>
      <c r="CS1100">
        <f t="shared" si="2296"/>
        <v>0</v>
      </c>
      <c r="CT1100">
        <f t="shared" si="2297"/>
        <v>0</v>
      </c>
      <c r="CU1100">
        <f t="shared" si="2298"/>
        <v>0</v>
      </c>
      <c r="CV1100">
        <f t="shared" si="2299"/>
        <v>0</v>
      </c>
      <c r="CW1100">
        <f t="shared" si="2300"/>
        <v>0</v>
      </c>
      <c r="CX1100">
        <f t="shared" si="2301"/>
        <v>0</v>
      </c>
      <c r="CY1100">
        <f t="shared" si="2302"/>
        <v>0</v>
      </c>
      <c r="CZ1100">
        <f t="shared" si="2303"/>
        <v>0</v>
      </c>
      <c r="DA1100">
        <f t="shared" si="2304"/>
        <v>0</v>
      </c>
      <c r="DB1100">
        <f t="shared" si="2305"/>
        <v>0</v>
      </c>
      <c r="DC1100">
        <f t="shared" si="2306"/>
        <v>0</v>
      </c>
      <c r="DD1100">
        <f t="shared" si="2307"/>
        <v>0</v>
      </c>
      <c r="DE1100">
        <f t="shared" si="2308"/>
        <v>0</v>
      </c>
      <c r="DF1100">
        <f t="shared" si="2309"/>
        <v>0</v>
      </c>
      <c r="DG1100">
        <f t="shared" si="2310"/>
        <v>0</v>
      </c>
      <c r="DH1100">
        <f t="shared" si="2311"/>
        <v>0</v>
      </c>
      <c r="DI1100">
        <f t="shared" si="2312"/>
        <v>0</v>
      </c>
      <c r="DJ1100">
        <f t="shared" si="2313"/>
        <v>0</v>
      </c>
      <c r="DK1100">
        <f t="shared" si="2314"/>
        <v>0</v>
      </c>
      <c r="DL1100">
        <f t="shared" si="2315"/>
        <v>0</v>
      </c>
      <c r="DM1100">
        <f t="shared" si="2316"/>
        <v>0</v>
      </c>
      <c r="DN1100">
        <f t="shared" si="2317"/>
        <v>0</v>
      </c>
      <c r="DO1100">
        <f t="shared" si="2318"/>
        <v>0</v>
      </c>
      <c r="DP1100">
        <f t="shared" si="2319"/>
        <v>0</v>
      </c>
      <c r="DQ1100">
        <f t="shared" si="2320"/>
        <v>0</v>
      </c>
      <c r="DR1100">
        <f t="shared" si="2321"/>
        <v>0</v>
      </c>
      <c r="DS1100">
        <f t="shared" si="2322"/>
        <v>0</v>
      </c>
      <c r="DT1100">
        <f t="shared" si="2323"/>
        <v>0</v>
      </c>
      <c r="DU1100">
        <f t="shared" si="2324"/>
        <v>0</v>
      </c>
      <c r="DV1100">
        <f t="shared" si="2325"/>
        <v>0</v>
      </c>
      <c r="DW1100">
        <f t="shared" si="2326"/>
        <v>0</v>
      </c>
      <c r="DX1100">
        <f t="shared" si="2327"/>
        <v>0</v>
      </c>
      <c r="DY1100">
        <f t="shared" si="2328"/>
        <v>0</v>
      </c>
      <c r="DZ1100">
        <f t="shared" si="2329"/>
        <v>0</v>
      </c>
      <c r="EA1100">
        <f t="shared" si="2330"/>
        <v>0</v>
      </c>
      <c r="EB1100">
        <f t="shared" si="2331"/>
        <v>0</v>
      </c>
      <c r="EC1100">
        <f t="shared" si="2332"/>
        <v>0</v>
      </c>
      <c r="ED1100">
        <f t="shared" si="2333"/>
        <v>0</v>
      </c>
      <c r="EE1100">
        <f t="shared" si="2333"/>
        <v>0</v>
      </c>
      <c r="EF1100">
        <f t="shared" si="2333"/>
        <v>0</v>
      </c>
    </row>
    <row r="1101" spans="1:136" ht="15.5">
      <c r="A1101" s="90"/>
      <c r="B1101" s="19" t="s">
        <v>205</v>
      </c>
      <c r="C1101" s="94"/>
      <c r="D1101" s="18">
        <v>0</v>
      </c>
      <c r="E1101" s="18">
        <v>0</v>
      </c>
      <c r="F1101" s="18">
        <v>0</v>
      </c>
      <c r="G1101" s="18">
        <v>0</v>
      </c>
      <c r="H1101" s="18">
        <v>0</v>
      </c>
      <c r="I1101" s="18">
        <v>0</v>
      </c>
      <c r="J1101" s="18">
        <v>0</v>
      </c>
      <c r="K1101" s="18">
        <v>0</v>
      </c>
      <c r="L1101" s="18">
        <v>0</v>
      </c>
      <c r="M1101" s="18">
        <v>0</v>
      </c>
      <c r="N1101" s="18">
        <v>0</v>
      </c>
      <c r="O1101" s="18">
        <v>0</v>
      </c>
      <c r="P1101" s="18">
        <v>0</v>
      </c>
      <c r="Q1101" s="18">
        <v>0</v>
      </c>
      <c r="R1101" s="18">
        <v>0</v>
      </c>
      <c r="S1101" s="18">
        <v>0</v>
      </c>
      <c r="T1101" s="18">
        <v>0</v>
      </c>
      <c r="U1101" s="18">
        <v>0</v>
      </c>
      <c r="V1101" s="40">
        <v>0</v>
      </c>
      <c r="W1101" s="18">
        <v>0</v>
      </c>
      <c r="X1101" s="71">
        <v>0</v>
      </c>
      <c r="Y1101" s="71">
        <v>0</v>
      </c>
      <c r="Z1101" s="18">
        <v>15.515000000000001</v>
      </c>
      <c r="AA1101" s="18">
        <v>33.281999999999996</v>
      </c>
      <c r="AB1101" s="18">
        <v>44.311</v>
      </c>
      <c r="AC1101" s="18">
        <v>53.216000000000001</v>
      </c>
      <c r="AD1101" s="18">
        <v>59.155700000000003</v>
      </c>
      <c r="AE1101" s="18">
        <v>71.950950000000006</v>
      </c>
      <c r="AF1101" s="18">
        <v>77.324250000000006</v>
      </c>
      <c r="AG1101" s="18">
        <v>78.7149</v>
      </c>
      <c r="AH1101" s="18">
        <v>85.102767599999993</v>
      </c>
      <c r="AI1101" s="18">
        <v>93.029599400000009</v>
      </c>
      <c r="AJ1101" s="18">
        <v>96.882929000000004</v>
      </c>
      <c r="AK1101" s="18">
        <v>101.9560007</v>
      </c>
      <c r="AL1101" s="18">
        <v>93.702148199999996</v>
      </c>
      <c r="AM1101" s="18">
        <v>97.953813799999992</v>
      </c>
      <c r="AN1101" s="18">
        <v>101.0394285</v>
      </c>
      <c r="AO1101" s="18">
        <v>103.21128540000001</v>
      </c>
      <c r="AP1101" s="18">
        <v>104.7639582</v>
      </c>
      <c r="AQ1101" s="18">
        <v>107.2758517</v>
      </c>
      <c r="AR1101" s="18">
        <v>24.464207300000002</v>
      </c>
      <c r="AS1101" s="18">
        <v>31.178319500000001</v>
      </c>
      <c r="AT1101" s="18">
        <v>38.424488200000006</v>
      </c>
      <c r="AU1101" s="18">
        <v>36.559893299999999</v>
      </c>
      <c r="AV1101" s="18">
        <v>46.459855399999995</v>
      </c>
      <c r="AW1101" s="18">
        <v>77.854411900000002</v>
      </c>
      <c r="AX1101" s="18">
        <v>97.703697599999998</v>
      </c>
      <c r="AY1101" s="18">
        <v>100.20699999999999</v>
      </c>
      <c r="AZ1101" s="18">
        <v>193.31769869999999</v>
      </c>
      <c r="BA1101" s="18">
        <v>244.81116010000002</v>
      </c>
      <c r="BB1101" s="18">
        <v>21.6919176</v>
      </c>
      <c r="BC1101" s="18">
        <v>189.94394149999999</v>
      </c>
      <c r="BD1101" s="18">
        <v>312.63939850000003</v>
      </c>
      <c r="BE1101" s="25">
        <v>492.7970818</v>
      </c>
      <c r="BF1101" s="18">
        <v>638.01747840000007</v>
      </c>
      <c r="BG1101" s="18">
        <v>275.82371239999998</v>
      </c>
      <c r="BH1101" s="18">
        <v>275.39620090000005</v>
      </c>
      <c r="BI1101" s="18">
        <v>311.1871999</v>
      </c>
      <c r="BJ1101" s="71">
        <v>331.01764370000001</v>
      </c>
      <c r="BK1101" s="113">
        <v>352.84697469999998</v>
      </c>
      <c r="BL1101" s="113">
        <v>381.39034189999995</v>
      </c>
      <c r="BM1101" s="113">
        <v>402.95515489999997</v>
      </c>
      <c r="BN1101" s="113">
        <v>432.47790560000004</v>
      </c>
      <c r="BO1101" s="113">
        <v>442</v>
      </c>
      <c r="BP1101" s="113">
        <v>449</v>
      </c>
      <c r="BQ1101" s="18">
        <v>455</v>
      </c>
      <c r="BR1101" s="101"/>
      <c r="BS1101">
        <f t="shared" si="2270"/>
        <v>0</v>
      </c>
      <c r="BT1101">
        <f t="shared" si="2271"/>
        <v>0</v>
      </c>
      <c r="BU1101">
        <f t="shared" si="2272"/>
        <v>0</v>
      </c>
      <c r="BV1101">
        <f t="shared" si="2273"/>
        <v>0</v>
      </c>
      <c r="BW1101">
        <f t="shared" si="2274"/>
        <v>0</v>
      </c>
      <c r="BX1101">
        <f t="shared" si="2275"/>
        <v>0</v>
      </c>
      <c r="BY1101">
        <f t="shared" si="2276"/>
        <v>0</v>
      </c>
      <c r="BZ1101">
        <f t="shared" si="2277"/>
        <v>0</v>
      </c>
      <c r="CA1101">
        <f t="shared" si="2278"/>
        <v>0</v>
      </c>
      <c r="CB1101">
        <f t="shared" si="2279"/>
        <v>0</v>
      </c>
      <c r="CC1101">
        <f t="shared" si="2280"/>
        <v>0</v>
      </c>
      <c r="CD1101">
        <f t="shared" si="2281"/>
        <v>0</v>
      </c>
      <c r="CE1101">
        <f t="shared" si="2282"/>
        <v>0</v>
      </c>
      <c r="CF1101">
        <f t="shared" si="2283"/>
        <v>0</v>
      </c>
      <c r="CG1101">
        <f t="shared" si="2284"/>
        <v>0</v>
      </c>
      <c r="CH1101">
        <f t="shared" si="2285"/>
        <v>0</v>
      </c>
      <c r="CI1101">
        <f t="shared" si="2286"/>
        <v>0</v>
      </c>
      <c r="CJ1101">
        <f t="shared" si="2287"/>
        <v>0</v>
      </c>
      <c r="CK1101">
        <f t="shared" si="2288"/>
        <v>0</v>
      </c>
      <c r="CL1101">
        <f t="shared" si="2289"/>
        <v>0</v>
      </c>
      <c r="CM1101">
        <f t="shared" si="2290"/>
        <v>0</v>
      </c>
      <c r="CN1101">
        <f t="shared" si="2291"/>
        <v>0</v>
      </c>
      <c r="CO1101">
        <f t="shared" si="2292"/>
        <v>0</v>
      </c>
      <c r="CP1101">
        <f t="shared" si="2293"/>
        <v>0</v>
      </c>
      <c r="CQ1101">
        <f t="shared" si="2294"/>
        <v>0</v>
      </c>
      <c r="CR1101">
        <f t="shared" si="2295"/>
        <v>0</v>
      </c>
      <c r="CS1101">
        <f t="shared" si="2296"/>
        <v>0</v>
      </c>
      <c r="CT1101">
        <f t="shared" si="2297"/>
        <v>0</v>
      </c>
      <c r="CU1101">
        <f t="shared" si="2298"/>
        <v>0</v>
      </c>
      <c r="CV1101">
        <f t="shared" si="2299"/>
        <v>0</v>
      </c>
      <c r="CW1101">
        <f t="shared" si="2300"/>
        <v>0</v>
      </c>
      <c r="CX1101">
        <f t="shared" si="2301"/>
        <v>0</v>
      </c>
      <c r="CY1101">
        <f t="shared" si="2302"/>
        <v>0</v>
      </c>
      <c r="CZ1101">
        <f t="shared" si="2303"/>
        <v>0</v>
      </c>
      <c r="DA1101">
        <f t="shared" si="2304"/>
        <v>0</v>
      </c>
      <c r="DB1101">
        <f t="shared" si="2305"/>
        <v>0</v>
      </c>
      <c r="DC1101">
        <f t="shared" si="2306"/>
        <v>0</v>
      </c>
      <c r="DD1101">
        <f t="shared" si="2307"/>
        <v>0</v>
      </c>
      <c r="DE1101">
        <f t="shared" si="2308"/>
        <v>0</v>
      </c>
      <c r="DF1101">
        <f t="shared" si="2309"/>
        <v>0</v>
      </c>
      <c r="DG1101">
        <f t="shared" si="2310"/>
        <v>0</v>
      </c>
      <c r="DH1101">
        <f t="shared" si="2311"/>
        <v>0</v>
      </c>
      <c r="DI1101">
        <f t="shared" si="2312"/>
        <v>0</v>
      </c>
      <c r="DJ1101">
        <f t="shared" si="2313"/>
        <v>0</v>
      </c>
      <c r="DK1101">
        <f t="shared" si="2314"/>
        <v>0</v>
      </c>
      <c r="DL1101">
        <f t="shared" si="2315"/>
        <v>0</v>
      </c>
      <c r="DM1101">
        <f t="shared" si="2316"/>
        <v>0</v>
      </c>
      <c r="DN1101">
        <f t="shared" si="2317"/>
        <v>0</v>
      </c>
      <c r="DO1101">
        <f t="shared" si="2318"/>
        <v>0</v>
      </c>
      <c r="DP1101">
        <f t="shared" si="2319"/>
        <v>0</v>
      </c>
      <c r="DQ1101">
        <f t="shared" si="2320"/>
        <v>0</v>
      </c>
      <c r="DR1101">
        <f t="shared" si="2321"/>
        <v>0</v>
      </c>
      <c r="DS1101">
        <f t="shared" si="2322"/>
        <v>0</v>
      </c>
      <c r="DT1101">
        <f t="shared" si="2323"/>
        <v>0</v>
      </c>
      <c r="DU1101">
        <f t="shared" si="2324"/>
        <v>0</v>
      </c>
      <c r="DV1101">
        <f t="shared" si="2325"/>
        <v>0</v>
      </c>
      <c r="DW1101">
        <f t="shared" si="2326"/>
        <v>0</v>
      </c>
      <c r="DX1101">
        <f t="shared" si="2327"/>
        <v>0</v>
      </c>
      <c r="DY1101">
        <f t="shared" si="2328"/>
        <v>0</v>
      </c>
      <c r="DZ1101">
        <f t="shared" si="2329"/>
        <v>0</v>
      </c>
      <c r="EA1101">
        <f t="shared" si="2330"/>
        <v>0</v>
      </c>
      <c r="EB1101">
        <f t="shared" si="2331"/>
        <v>0</v>
      </c>
      <c r="EC1101">
        <f t="shared" si="2332"/>
        <v>0</v>
      </c>
      <c r="ED1101">
        <f t="shared" si="2333"/>
        <v>0</v>
      </c>
      <c r="EE1101">
        <f t="shared" si="2333"/>
        <v>0</v>
      </c>
      <c r="EF1101">
        <f t="shared" si="2333"/>
        <v>0</v>
      </c>
    </row>
    <row r="1102" spans="1:136" ht="15.75" customHeight="1">
      <c r="A1102" s="90"/>
      <c r="B1102" s="57" t="s">
        <v>3</v>
      </c>
      <c r="C1102" s="88"/>
      <c r="D1102" s="18">
        <v>0</v>
      </c>
      <c r="E1102" s="18">
        <v>0</v>
      </c>
      <c r="F1102" s="18">
        <v>0</v>
      </c>
      <c r="G1102" s="18">
        <v>0</v>
      </c>
      <c r="H1102" s="18">
        <v>0</v>
      </c>
      <c r="I1102" s="18">
        <v>0</v>
      </c>
      <c r="J1102" s="18">
        <v>0</v>
      </c>
      <c r="K1102" s="18">
        <v>0</v>
      </c>
      <c r="L1102" s="18">
        <v>0</v>
      </c>
      <c r="M1102" s="18">
        <v>0</v>
      </c>
      <c r="N1102" s="18">
        <v>0</v>
      </c>
      <c r="O1102" s="18">
        <v>0</v>
      </c>
      <c r="P1102" s="18">
        <v>0</v>
      </c>
      <c r="Q1102" s="18">
        <v>0</v>
      </c>
      <c r="R1102" s="18">
        <v>0</v>
      </c>
      <c r="S1102" s="18">
        <v>0.17399999999999999</v>
      </c>
      <c r="T1102" s="18">
        <v>9.7530000000000001</v>
      </c>
      <c r="U1102" s="18">
        <v>52.96</v>
      </c>
      <c r="V1102" s="18">
        <v>82.573999999999998</v>
      </c>
      <c r="W1102" s="18">
        <v>70.975999999999999</v>
      </c>
      <c r="X1102" s="18">
        <v>140.37200000000001</v>
      </c>
      <c r="Y1102" s="18">
        <v>392.11599999999999</v>
      </c>
      <c r="Z1102" s="18">
        <f>607.273-Z1101</f>
        <v>591.75800000000004</v>
      </c>
      <c r="AA1102" s="18">
        <f>756.864-AA1101</f>
        <v>723.58199999999999</v>
      </c>
      <c r="AB1102" s="18">
        <f>1148.541-AB1101</f>
        <v>1104.23</v>
      </c>
      <c r="AC1102" s="18">
        <f>1920.84-AC1101</f>
        <v>1867.624</v>
      </c>
      <c r="AD1102" s="18">
        <f>2523.064-AD1101</f>
        <v>2463.9083000000001</v>
      </c>
      <c r="AE1102" s="18">
        <f>3611.528-AE1101</f>
        <v>3539.5770499999999</v>
      </c>
      <c r="AF1102" s="18">
        <f>4236.697-AF1101</f>
        <v>4159.3727500000005</v>
      </c>
      <c r="AG1102" s="18">
        <f>6490.166-AG1101</f>
        <v>6411.4511000000002</v>
      </c>
      <c r="AH1102" s="18">
        <f>7136.971-AH1101</f>
        <v>7051.8682323999992</v>
      </c>
      <c r="AI1102" s="18">
        <f>7905.661-AI1101</f>
        <v>7812.6314006000002</v>
      </c>
      <c r="AJ1102" s="18">
        <f>8257.664-AJ1101</f>
        <v>8160.7810710000003</v>
      </c>
      <c r="AK1102" s="18">
        <f>8749.338-AK1101</f>
        <v>8647.3819992999997</v>
      </c>
      <c r="AL1102" s="18">
        <f>9574.512-AL1101</f>
        <v>9480.8098518000006</v>
      </c>
      <c r="AM1102" s="18">
        <f t="shared" ref="AM1102:AS1102" si="2334">10030.249-AM1100-AM1099-AM1098-AM1101</f>
        <v>4065.2951862</v>
      </c>
      <c r="AN1102" s="18">
        <f t="shared" si="2334"/>
        <v>3751.2095714999996</v>
      </c>
      <c r="AO1102" s="18">
        <f t="shared" si="2334"/>
        <v>3416.0377145999996</v>
      </c>
      <c r="AP1102" s="18">
        <f t="shared" si="2334"/>
        <v>3060.4850417999996</v>
      </c>
      <c r="AQ1102" s="18">
        <f t="shared" si="2334"/>
        <v>2663.9731482999996</v>
      </c>
      <c r="AR1102" s="18">
        <f t="shared" si="2334"/>
        <v>2322.7847926999998</v>
      </c>
      <c r="AS1102" s="18">
        <f t="shared" si="2334"/>
        <v>1857.0706804999998</v>
      </c>
      <c r="AT1102" s="18">
        <f>8754.314-AT1099-AT1100-AT1101</f>
        <v>65.889511800000292</v>
      </c>
      <c r="AU1102" s="18">
        <f>9497.581-AU1099-AU1100-AU1101</f>
        <v>266.02110670000013</v>
      </c>
      <c r="AV1102" s="18">
        <f>9867.045-AV1098-AV1099-AV1100-AV1101</f>
        <v>39.585144600000078</v>
      </c>
      <c r="AW1102" s="40" t="s">
        <v>16</v>
      </c>
      <c r="AX1102" s="40" t="s">
        <v>16</v>
      </c>
      <c r="AY1102" s="40" t="s">
        <v>16</v>
      </c>
      <c r="AZ1102" s="40" t="s">
        <v>16</v>
      </c>
      <c r="BA1102" s="40" t="s">
        <v>16</v>
      </c>
      <c r="BB1102" s="40" t="s">
        <v>16</v>
      </c>
      <c r="BC1102" s="40" t="s">
        <v>16</v>
      </c>
      <c r="BD1102" s="40" t="s">
        <v>16</v>
      </c>
      <c r="BE1102" s="40" t="s">
        <v>16</v>
      </c>
      <c r="BF1102" s="40" t="s">
        <v>16</v>
      </c>
      <c r="BG1102" s="40" t="s">
        <v>16</v>
      </c>
      <c r="BH1102" s="40" t="s">
        <v>16</v>
      </c>
      <c r="BI1102" s="40" t="s">
        <v>16</v>
      </c>
      <c r="BJ1102" s="40" t="s">
        <v>16</v>
      </c>
      <c r="BK1102" s="40" t="s">
        <v>16</v>
      </c>
      <c r="BL1102" s="40" t="s">
        <v>16</v>
      </c>
      <c r="BM1102" s="40" t="s">
        <v>16</v>
      </c>
      <c r="BN1102" s="71">
        <v>5977</v>
      </c>
      <c r="BO1102" s="71">
        <v>6016</v>
      </c>
      <c r="BP1102" s="71">
        <v>6170</v>
      </c>
      <c r="BQ1102" s="71">
        <v>6324</v>
      </c>
      <c r="BR1102" s="101"/>
      <c r="BS1102">
        <f t="shared" si="2270"/>
        <v>0</v>
      </c>
      <c r="BT1102">
        <f t="shared" si="2271"/>
        <v>0</v>
      </c>
      <c r="BU1102">
        <f t="shared" si="2272"/>
        <v>0</v>
      </c>
      <c r="BV1102">
        <f t="shared" si="2273"/>
        <v>0</v>
      </c>
      <c r="BW1102">
        <f t="shared" si="2274"/>
        <v>0</v>
      </c>
      <c r="BX1102">
        <f t="shared" si="2275"/>
        <v>0</v>
      </c>
      <c r="BY1102">
        <f t="shared" si="2276"/>
        <v>0</v>
      </c>
      <c r="BZ1102">
        <f t="shared" si="2277"/>
        <v>0</v>
      </c>
      <c r="CA1102">
        <f t="shared" si="2278"/>
        <v>0</v>
      </c>
      <c r="CB1102">
        <f t="shared" si="2279"/>
        <v>0</v>
      </c>
      <c r="CC1102">
        <f t="shared" si="2280"/>
        <v>0</v>
      </c>
      <c r="CD1102">
        <f t="shared" si="2281"/>
        <v>0</v>
      </c>
      <c r="CE1102">
        <f t="shared" si="2282"/>
        <v>0</v>
      </c>
      <c r="CF1102">
        <f t="shared" si="2283"/>
        <v>0</v>
      </c>
      <c r="CG1102">
        <f t="shared" si="2284"/>
        <v>0</v>
      </c>
      <c r="CH1102">
        <f t="shared" si="2285"/>
        <v>0</v>
      </c>
      <c r="CI1102">
        <f t="shared" si="2286"/>
        <v>0</v>
      </c>
      <c r="CJ1102">
        <f t="shared" si="2287"/>
        <v>0</v>
      </c>
      <c r="CK1102">
        <f t="shared" si="2288"/>
        <v>0</v>
      </c>
      <c r="CL1102">
        <f t="shared" si="2289"/>
        <v>0</v>
      </c>
      <c r="CM1102">
        <f t="shared" si="2290"/>
        <v>0</v>
      </c>
      <c r="CN1102">
        <f t="shared" si="2291"/>
        <v>0</v>
      </c>
      <c r="CO1102">
        <f t="shared" si="2292"/>
        <v>0</v>
      </c>
      <c r="CP1102">
        <f t="shared" si="2293"/>
        <v>0</v>
      </c>
      <c r="CQ1102">
        <f t="shared" si="2294"/>
        <v>0</v>
      </c>
      <c r="CR1102">
        <f t="shared" si="2295"/>
        <v>0</v>
      </c>
      <c r="CS1102">
        <f t="shared" si="2296"/>
        <v>0</v>
      </c>
      <c r="CT1102">
        <f t="shared" si="2297"/>
        <v>0</v>
      </c>
      <c r="CU1102">
        <f t="shared" si="2298"/>
        <v>0</v>
      </c>
      <c r="CV1102">
        <f t="shared" si="2299"/>
        <v>0</v>
      </c>
      <c r="CW1102">
        <f t="shared" si="2300"/>
        <v>0</v>
      </c>
      <c r="CX1102">
        <f t="shared" si="2301"/>
        <v>0</v>
      </c>
      <c r="CY1102">
        <f t="shared" si="2302"/>
        <v>0</v>
      </c>
      <c r="CZ1102">
        <f t="shared" si="2303"/>
        <v>0</v>
      </c>
      <c r="DA1102">
        <f t="shared" si="2304"/>
        <v>0</v>
      </c>
      <c r="DB1102">
        <f t="shared" si="2305"/>
        <v>0</v>
      </c>
      <c r="DC1102">
        <f t="shared" si="2306"/>
        <v>0</v>
      </c>
      <c r="DD1102">
        <f t="shared" si="2307"/>
        <v>0</v>
      </c>
      <c r="DE1102">
        <f t="shared" si="2308"/>
        <v>0</v>
      </c>
      <c r="DF1102">
        <f t="shared" si="2309"/>
        <v>0</v>
      </c>
      <c r="DG1102">
        <f t="shared" si="2310"/>
        <v>0</v>
      </c>
      <c r="DH1102">
        <f t="shared" si="2311"/>
        <v>0</v>
      </c>
      <c r="DI1102">
        <f t="shared" si="2312"/>
        <v>0</v>
      </c>
      <c r="DJ1102">
        <f t="shared" si="2313"/>
        <v>0</v>
      </c>
      <c r="DK1102">
        <f t="shared" si="2314"/>
        <v>0</v>
      </c>
      <c r="DL1102">
        <f t="shared" si="2315"/>
        <v>0</v>
      </c>
      <c r="DM1102">
        <f t="shared" si="2316"/>
        <v>0</v>
      </c>
      <c r="DN1102">
        <f t="shared" si="2317"/>
        <v>0</v>
      </c>
      <c r="DO1102">
        <f t="shared" si="2318"/>
        <v>0</v>
      </c>
      <c r="DP1102">
        <f t="shared" si="2319"/>
        <v>0</v>
      </c>
      <c r="DQ1102">
        <f t="shared" si="2320"/>
        <v>0</v>
      </c>
      <c r="DR1102">
        <f t="shared" si="2321"/>
        <v>0</v>
      </c>
      <c r="DS1102">
        <f t="shared" si="2322"/>
        <v>0</v>
      </c>
      <c r="DT1102">
        <f t="shared" si="2323"/>
        <v>0</v>
      </c>
      <c r="DU1102">
        <f t="shared" si="2324"/>
        <v>0</v>
      </c>
      <c r="DV1102">
        <f t="shared" si="2325"/>
        <v>0</v>
      </c>
      <c r="DW1102">
        <f t="shared" si="2326"/>
        <v>0</v>
      </c>
      <c r="DX1102">
        <f t="shared" si="2327"/>
        <v>0</v>
      </c>
      <c r="DY1102">
        <f t="shared" si="2328"/>
        <v>0</v>
      </c>
      <c r="DZ1102">
        <f t="shared" si="2329"/>
        <v>0</v>
      </c>
      <c r="EA1102">
        <f t="shared" si="2330"/>
        <v>0</v>
      </c>
      <c r="EB1102">
        <f t="shared" si="2331"/>
        <v>0</v>
      </c>
      <c r="EC1102">
        <f t="shared" si="2332"/>
        <v>0</v>
      </c>
      <c r="ED1102">
        <f t="shared" si="2333"/>
        <v>0</v>
      </c>
      <c r="EE1102">
        <f t="shared" si="2333"/>
        <v>0</v>
      </c>
      <c r="EF1102">
        <f t="shared" si="2333"/>
        <v>0</v>
      </c>
    </row>
    <row r="1103" spans="1:136" ht="15.75" customHeight="1">
      <c r="A1103" s="90"/>
      <c r="B1103" s="19" t="s">
        <v>18</v>
      </c>
      <c r="C1103" s="94"/>
      <c r="D1103" s="20">
        <v>0</v>
      </c>
      <c r="E1103" s="20">
        <v>0</v>
      </c>
      <c r="F1103" s="20">
        <v>0</v>
      </c>
      <c r="G1103" s="20">
        <v>0</v>
      </c>
      <c r="H1103" s="20">
        <v>0</v>
      </c>
      <c r="I1103" s="20">
        <v>0</v>
      </c>
      <c r="J1103" s="20">
        <v>0</v>
      </c>
      <c r="K1103" s="20">
        <v>0</v>
      </c>
      <c r="L1103" s="20">
        <v>0</v>
      </c>
      <c r="M1103" s="20">
        <v>0</v>
      </c>
      <c r="N1103" s="20">
        <v>0</v>
      </c>
      <c r="O1103" s="20">
        <v>0</v>
      </c>
      <c r="P1103" s="20">
        <v>0</v>
      </c>
      <c r="Q1103" s="20">
        <v>0</v>
      </c>
      <c r="R1103" s="20">
        <v>0</v>
      </c>
      <c r="S1103" s="40" t="s">
        <v>16</v>
      </c>
      <c r="T1103" s="40" t="s">
        <v>16</v>
      </c>
      <c r="U1103" s="40" t="s">
        <v>16</v>
      </c>
      <c r="V1103" s="40" t="s">
        <v>16</v>
      </c>
      <c r="W1103" s="71">
        <v>398</v>
      </c>
      <c r="X1103" s="40" t="s">
        <v>16</v>
      </c>
      <c r="Y1103" s="18">
        <v>498</v>
      </c>
      <c r="Z1103" s="18">
        <v>55</v>
      </c>
      <c r="AA1103" s="18">
        <v>790</v>
      </c>
      <c r="AB1103" s="18">
        <v>838</v>
      </c>
      <c r="AC1103" s="18">
        <v>796.60194174757282</v>
      </c>
      <c r="AD1103" s="18">
        <v>1082.1116387856257</v>
      </c>
      <c r="AE1103" s="18">
        <v>1453.9962289547188</v>
      </c>
      <c r="AF1103" s="18">
        <v>1295.4119530275182</v>
      </c>
      <c r="AG1103" s="18">
        <v>1325.6917618370637</v>
      </c>
      <c r="AH1103" s="18">
        <v>1738.6095021044794</v>
      </c>
      <c r="AI1103" s="18">
        <v>1802.8689426133687</v>
      </c>
      <c r="AJ1103" s="18">
        <v>1839.3557233898998</v>
      </c>
      <c r="AK1103" s="18">
        <v>1984.5599616502793</v>
      </c>
      <c r="AL1103" s="18">
        <v>2401.6293251347897</v>
      </c>
      <c r="AM1103" s="18">
        <v>2883.6096532506217</v>
      </c>
      <c r="AN1103" s="18">
        <v>2601.1768036649814</v>
      </c>
      <c r="AO1103" s="18">
        <v>2471.2285149446971</v>
      </c>
      <c r="AP1103" s="18">
        <v>2715.6731657068462</v>
      </c>
      <c r="AQ1103" s="18">
        <v>2415.5379412145357</v>
      </c>
      <c r="AR1103" s="18">
        <v>2446.3411621554428</v>
      </c>
      <c r="AS1103" s="18">
        <v>2500.0284520784958</v>
      </c>
      <c r="AT1103" s="18">
        <v>3136.2324600300371</v>
      </c>
      <c r="AU1103" s="18">
        <v>3623.8349813161185</v>
      </c>
      <c r="AV1103" s="18">
        <v>4007.5220508217826</v>
      </c>
      <c r="AW1103" s="18">
        <v>3550.7879357599581</v>
      </c>
      <c r="AX1103" s="18">
        <v>3920.6054519457794</v>
      </c>
      <c r="AY1103" s="18">
        <v>4352.4974970686326</v>
      </c>
      <c r="AZ1103" s="18">
        <v>4812.3436095901916</v>
      </c>
      <c r="BA1103" s="18">
        <v>5166.6294837385167</v>
      </c>
      <c r="BB1103" s="18">
        <v>5825.9124976391167</v>
      </c>
      <c r="BC1103" s="18">
        <v>5927.8677739173718</v>
      </c>
      <c r="BD1103" s="18">
        <v>6174.9681336851681</v>
      </c>
      <c r="BE1103" s="18">
        <v>6456.0383872157508</v>
      </c>
      <c r="BF1103" s="18">
        <v>5891.5943431393043</v>
      </c>
      <c r="BG1103" s="18">
        <v>5944.0598191640011</v>
      </c>
      <c r="BH1103" s="113">
        <v>5910.8417435580022</v>
      </c>
      <c r="BI1103" s="113">
        <v>6221.7677146618271</v>
      </c>
      <c r="BJ1103" s="113">
        <v>6215.989185563375</v>
      </c>
      <c r="BK1103" s="113">
        <v>5966.3155006622792</v>
      </c>
      <c r="BL1103" s="113">
        <v>6186.8993519343721</v>
      </c>
      <c r="BM1103" s="113">
        <v>5773.6426418777846</v>
      </c>
      <c r="BN1103" s="113">
        <v>5082</v>
      </c>
      <c r="BO1103" s="154">
        <v>5309</v>
      </c>
      <c r="BP1103" s="113">
        <v>5131</v>
      </c>
      <c r="BQ1103" s="18">
        <v>5250</v>
      </c>
      <c r="BR1103" s="101"/>
      <c r="BS1103">
        <f t="shared" si="2270"/>
        <v>0</v>
      </c>
      <c r="BT1103">
        <f t="shared" si="2271"/>
        <v>0</v>
      </c>
      <c r="BU1103">
        <f t="shared" si="2272"/>
        <v>0</v>
      </c>
      <c r="BV1103">
        <f t="shared" si="2273"/>
        <v>0</v>
      </c>
      <c r="BW1103">
        <f t="shared" si="2274"/>
        <v>0</v>
      </c>
      <c r="BX1103">
        <f t="shared" si="2275"/>
        <v>0</v>
      </c>
      <c r="BY1103">
        <f t="shared" si="2276"/>
        <v>0</v>
      </c>
      <c r="BZ1103">
        <f t="shared" si="2277"/>
        <v>0</v>
      </c>
      <c r="CA1103">
        <f t="shared" si="2278"/>
        <v>0</v>
      </c>
      <c r="CB1103">
        <f t="shared" si="2279"/>
        <v>0</v>
      </c>
      <c r="CC1103">
        <f t="shared" si="2280"/>
        <v>0</v>
      </c>
      <c r="CD1103">
        <f t="shared" si="2281"/>
        <v>0</v>
      </c>
      <c r="CE1103">
        <f t="shared" si="2282"/>
        <v>0</v>
      </c>
      <c r="CF1103">
        <f t="shared" si="2283"/>
        <v>0</v>
      </c>
      <c r="CG1103">
        <f t="shared" si="2284"/>
        <v>0</v>
      </c>
      <c r="CH1103">
        <f t="shared" si="2285"/>
        <v>0</v>
      </c>
      <c r="CI1103">
        <f t="shared" si="2286"/>
        <v>0</v>
      </c>
      <c r="CJ1103">
        <f t="shared" si="2287"/>
        <v>0</v>
      </c>
      <c r="CK1103">
        <f t="shared" si="2288"/>
        <v>0</v>
      </c>
      <c r="CL1103">
        <f t="shared" si="2289"/>
        <v>0</v>
      </c>
      <c r="CM1103">
        <f t="shared" si="2290"/>
        <v>0</v>
      </c>
      <c r="CN1103">
        <f t="shared" si="2291"/>
        <v>0</v>
      </c>
      <c r="CO1103">
        <f t="shared" si="2292"/>
        <v>0</v>
      </c>
      <c r="CP1103">
        <f t="shared" si="2293"/>
        <v>0</v>
      </c>
      <c r="CQ1103">
        <f t="shared" si="2294"/>
        <v>0</v>
      </c>
      <c r="CR1103">
        <f t="shared" si="2295"/>
        <v>0</v>
      </c>
      <c r="CS1103">
        <f t="shared" si="2296"/>
        <v>0</v>
      </c>
      <c r="CT1103">
        <f t="shared" si="2297"/>
        <v>0</v>
      </c>
      <c r="CU1103">
        <f t="shared" si="2298"/>
        <v>0</v>
      </c>
      <c r="CV1103">
        <f t="shared" si="2299"/>
        <v>0</v>
      </c>
      <c r="CW1103">
        <f t="shared" si="2300"/>
        <v>0</v>
      </c>
      <c r="CX1103">
        <f t="shared" si="2301"/>
        <v>0</v>
      </c>
      <c r="CY1103">
        <f t="shared" si="2302"/>
        <v>0</v>
      </c>
      <c r="CZ1103">
        <f t="shared" si="2303"/>
        <v>0</v>
      </c>
      <c r="DA1103">
        <f t="shared" si="2304"/>
        <v>0</v>
      </c>
      <c r="DB1103">
        <f t="shared" si="2305"/>
        <v>0</v>
      </c>
      <c r="DC1103">
        <f t="shared" si="2306"/>
        <v>0</v>
      </c>
      <c r="DD1103">
        <f t="shared" si="2307"/>
        <v>0</v>
      </c>
      <c r="DE1103">
        <f t="shared" si="2308"/>
        <v>0</v>
      </c>
      <c r="DF1103">
        <f t="shared" si="2309"/>
        <v>0</v>
      </c>
      <c r="DG1103">
        <f t="shared" si="2310"/>
        <v>0</v>
      </c>
      <c r="DH1103">
        <f t="shared" si="2311"/>
        <v>0</v>
      </c>
      <c r="DI1103">
        <f t="shared" si="2312"/>
        <v>0</v>
      </c>
      <c r="DJ1103">
        <f t="shared" si="2313"/>
        <v>0</v>
      </c>
      <c r="DK1103">
        <f t="shared" si="2314"/>
        <v>0</v>
      </c>
      <c r="DL1103">
        <f t="shared" si="2315"/>
        <v>0</v>
      </c>
      <c r="DM1103">
        <f t="shared" si="2316"/>
        <v>0</v>
      </c>
      <c r="DN1103">
        <f t="shared" si="2317"/>
        <v>0</v>
      </c>
      <c r="DO1103">
        <f t="shared" si="2318"/>
        <v>0</v>
      </c>
      <c r="DP1103">
        <f t="shared" si="2319"/>
        <v>0</v>
      </c>
      <c r="DQ1103">
        <f t="shared" si="2320"/>
        <v>0</v>
      </c>
      <c r="DR1103">
        <f t="shared" si="2321"/>
        <v>0</v>
      </c>
      <c r="DS1103">
        <f t="shared" si="2322"/>
        <v>0</v>
      </c>
      <c r="DT1103">
        <f t="shared" si="2323"/>
        <v>0</v>
      </c>
      <c r="DU1103">
        <f t="shared" si="2324"/>
        <v>0</v>
      </c>
      <c r="DV1103">
        <f t="shared" si="2325"/>
        <v>0</v>
      </c>
      <c r="DW1103">
        <f t="shared" si="2326"/>
        <v>0</v>
      </c>
      <c r="DX1103">
        <f t="shared" si="2327"/>
        <v>0</v>
      </c>
      <c r="DY1103">
        <f t="shared" si="2328"/>
        <v>0</v>
      </c>
      <c r="DZ1103">
        <f t="shared" si="2329"/>
        <v>0</v>
      </c>
      <c r="EA1103">
        <f t="shared" si="2330"/>
        <v>0</v>
      </c>
      <c r="EB1103">
        <f t="shared" si="2331"/>
        <v>0</v>
      </c>
      <c r="EC1103">
        <f t="shared" si="2332"/>
        <v>0</v>
      </c>
      <c r="ED1103">
        <f t="shared" si="2333"/>
        <v>0</v>
      </c>
      <c r="EE1103">
        <f t="shared" si="2333"/>
        <v>0</v>
      </c>
      <c r="EF1103">
        <f t="shared" si="2333"/>
        <v>0</v>
      </c>
    </row>
    <row r="1104" spans="1:136" ht="15.5">
      <c r="A1104" s="90"/>
      <c r="B1104" s="57" t="s">
        <v>208</v>
      </c>
      <c r="C1104" s="88"/>
      <c r="D1104" s="18">
        <v>0</v>
      </c>
      <c r="E1104" s="18">
        <v>0</v>
      </c>
      <c r="F1104" s="18">
        <v>0</v>
      </c>
      <c r="G1104" s="18">
        <v>0</v>
      </c>
      <c r="H1104" s="18">
        <v>0</v>
      </c>
      <c r="I1104" s="18">
        <v>0</v>
      </c>
      <c r="J1104" s="18">
        <v>0</v>
      </c>
      <c r="K1104" s="18">
        <v>0</v>
      </c>
      <c r="L1104" s="18">
        <v>0</v>
      </c>
      <c r="M1104" s="18">
        <v>0</v>
      </c>
      <c r="N1104" s="18">
        <v>0</v>
      </c>
      <c r="O1104" s="18">
        <v>0</v>
      </c>
      <c r="P1104" s="18">
        <v>0</v>
      </c>
      <c r="Q1104" s="18">
        <v>0</v>
      </c>
      <c r="R1104" s="18">
        <v>0</v>
      </c>
      <c r="S1104" s="18">
        <v>0</v>
      </c>
      <c r="T1104" s="18">
        <v>13.3</v>
      </c>
      <c r="U1104" s="18">
        <v>123.4</v>
      </c>
      <c r="V1104" s="18">
        <v>130.4</v>
      </c>
      <c r="W1104" s="40" t="s">
        <v>16</v>
      </c>
      <c r="X1104" s="18">
        <v>473.3</v>
      </c>
      <c r="Y1104" s="40" t="s">
        <v>16</v>
      </c>
      <c r="Z1104" s="40" t="s">
        <v>16</v>
      </c>
      <c r="AA1104" s="40" t="s">
        <v>16</v>
      </c>
      <c r="AB1104" s="40" t="s">
        <v>16</v>
      </c>
      <c r="AC1104" s="40" t="s">
        <v>16</v>
      </c>
      <c r="AD1104" s="40" t="s">
        <v>16</v>
      </c>
      <c r="AE1104" s="40" t="s">
        <v>16</v>
      </c>
      <c r="AF1104" s="40" t="s">
        <v>16</v>
      </c>
      <c r="AG1104" s="40" t="s">
        <v>16</v>
      </c>
      <c r="AH1104" s="40" t="s">
        <v>16</v>
      </c>
      <c r="AI1104" s="40" t="s">
        <v>16</v>
      </c>
      <c r="AJ1104" s="40" t="s">
        <v>16</v>
      </c>
      <c r="AK1104" s="40" t="s">
        <v>16</v>
      </c>
      <c r="AL1104" s="40" t="s">
        <v>16</v>
      </c>
      <c r="AM1104" s="40" t="s">
        <v>16</v>
      </c>
      <c r="AN1104" s="40" t="s">
        <v>16</v>
      </c>
      <c r="AO1104" s="40" t="s">
        <v>16</v>
      </c>
      <c r="AP1104" s="40" t="s">
        <v>16</v>
      </c>
      <c r="AQ1104" s="40" t="s">
        <v>16</v>
      </c>
      <c r="AR1104" s="40" t="s">
        <v>16</v>
      </c>
      <c r="AS1104" s="40" t="s">
        <v>16</v>
      </c>
      <c r="AT1104" s="40" t="s">
        <v>16</v>
      </c>
      <c r="AU1104" s="40" t="s">
        <v>16</v>
      </c>
      <c r="AV1104" s="40" t="s">
        <v>16</v>
      </c>
      <c r="AW1104" s="40" t="s">
        <v>16</v>
      </c>
      <c r="AX1104" s="40" t="s">
        <v>16</v>
      </c>
      <c r="AY1104" s="40" t="s">
        <v>16</v>
      </c>
      <c r="AZ1104" s="40" t="s">
        <v>16</v>
      </c>
      <c r="BA1104" s="40" t="s">
        <v>16</v>
      </c>
      <c r="BB1104" s="40" t="s">
        <v>16</v>
      </c>
      <c r="BC1104" s="40" t="s">
        <v>16</v>
      </c>
      <c r="BD1104" s="40" t="s">
        <v>16</v>
      </c>
      <c r="BE1104" s="40" t="s">
        <v>16</v>
      </c>
      <c r="BF1104" s="40" t="s">
        <v>16</v>
      </c>
      <c r="BG1104" s="40" t="s">
        <v>16</v>
      </c>
      <c r="BH1104" s="40" t="s">
        <v>16</v>
      </c>
      <c r="BI1104" s="40" t="s">
        <v>16</v>
      </c>
      <c r="BJ1104" s="40" t="s">
        <v>16</v>
      </c>
      <c r="BK1104" s="40" t="s">
        <v>16</v>
      </c>
      <c r="BL1104" s="40" t="s">
        <v>16</v>
      </c>
      <c r="BM1104" s="40" t="s">
        <v>16</v>
      </c>
      <c r="BN1104" s="40" t="s">
        <v>16</v>
      </c>
      <c r="BO1104" s="40" t="s">
        <v>16</v>
      </c>
      <c r="BP1104" s="40" t="s">
        <v>16</v>
      </c>
      <c r="BQ1104" s="40" t="s">
        <v>16</v>
      </c>
      <c r="BR1104" s="101"/>
      <c r="BS1104">
        <f t="shared" si="2270"/>
        <v>0</v>
      </c>
      <c r="BT1104">
        <f t="shared" si="2271"/>
        <v>0</v>
      </c>
      <c r="BU1104">
        <f t="shared" si="2272"/>
        <v>0</v>
      </c>
      <c r="BV1104">
        <f t="shared" si="2273"/>
        <v>0</v>
      </c>
      <c r="BW1104">
        <f t="shared" si="2274"/>
        <v>0</v>
      </c>
      <c r="BX1104">
        <f t="shared" si="2275"/>
        <v>0</v>
      </c>
      <c r="BY1104">
        <f t="shared" si="2276"/>
        <v>0</v>
      </c>
      <c r="BZ1104">
        <f t="shared" si="2277"/>
        <v>0</v>
      </c>
      <c r="CA1104">
        <f t="shared" si="2278"/>
        <v>0</v>
      </c>
      <c r="CB1104">
        <f t="shared" si="2279"/>
        <v>0</v>
      </c>
      <c r="CC1104">
        <f t="shared" si="2280"/>
        <v>0</v>
      </c>
      <c r="CD1104">
        <f t="shared" si="2281"/>
        <v>0</v>
      </c>
      <c r="CE1104">
        <f t="shared" si="2282"/>
        <v>0</v>
      </c>
      <c r="CF1104">
        <f t="shared" si="2283"/>
        <v>0</v>
      </c>
      <c r="CG1104">
        <f t="shared" si="2284"/>
        <v>0</v>
      </c>
      <c r="CH1104">
        <f t="shared" si="2285"/>
        <v>0</v>
      </c>
      <c r="CI1104">
        <f t="shared" si="2286"/>
        <v>0</v>
      </c>
      <c r="CJ1104">
        <f t="shared" si="2287"/>
        <v>0</v>
      </c>
      <c r="CK1104">
        <f t="shared" si="2288"/>
        <v>0</v>
      </c>
      <c r="CL1104">
        <f t="shared" si="2289"/>
        <v>0</v>
      </c>
      <c r="CM1104">
        <f t="shared" si="2290"/>
        <v>0</v>
      </c>
      <c r="CN1104">
        <f t="shared" si="2291"/>
        <v>0</v>
      </c>
      <c r="CO1104">
        <f t="shared" si="2292"/>
        <v>0</v>
      </c>
      <c r="CP1104">
        <f t="shared" si="2293"/>
        <v>0</v>
      </c>
      <c r="CQ1104">
        <f t="shared" si="2294"/>
        <v>0</v>
      </c>
      <c r="CR1104">
        <f t="shared" si="2295"/>
        <v>0</v>
      </c>
      <c r="CS1104">
        <f t="shared" si="2296"/>
        <v>0</v>
      </c>
      <c r="CT1104">
        <f t="shared" si="2297"/>
        <v>0</v>
      </c>
      <c r="CU1104">
        <f t="shared" si="2298"/>
        <v>0</v>
      </c>
      <c r="CV1104">
        <f t="shared" si="2299"/>
        <v>0</v>
      </c>
      <c r="CW1104">
        <f t="shared" si="2300"/>
        <v>0</v>
      </c>
      <c r="CX1104">
        <f t="shared" si="2301"/>
        <v>0</v>
      </c>
      <c r="CY1104">
        <f t="shared" si="2302"/>
        <v>0</v>
      </c>
      <c r="CZ1104">
        <f t="shared" si="2303"/>
        <v>0</v>
      </c>
      <c r="DA1104">
        <f t="shared" si="2304"/>
        <v>0</v>
      </c>
      <c r="DB1104">
        <f t="shared" si="2305"/>
        <v>0</v>
      </c>
      <c r="DC1104">
        <f t="shared" si="2306"/>
        <v>0</v>
      </c>
      <c r="DD1104">
        <f t="shared" si="2307"/>
        <v>0</v>
      </c>
      <c r="DE1104">
        <f t="shared" si="2308"/>
        <v>0</v>
      </c>
      <c r="DF1104">
        <f t="shared" si="2309"/>
        <v>0</v>
      </c>
      <c r="DG1104">
        <f t="shared" si="2310"/>
        <v>0</v>
      </c>
      <c r="DH1104">
        <f t="shared" si="2311"/>
        <v>0</v>
      </c>
      <c r="DI1104">
        <f t="shared" si="2312"/>
        <v>0</v>
      </c>
      <c r="DJ1104">
        <f t="shared" si="2313"/>
        <v>0</v>
      </c>
      <c r="DK1104">
        <f t="shared" si="2314"/>
        <v>0</v>
      </c>
      <c r="DL1104">
        <f t="shared" si="2315"/>
        <v>0</v>
      </c>
      <c r="DM1104">
        <f t="shared" si="2316"/>
        <v>0</v>
      </c>
      <c r="DN1104">
        <f t="shared" si="2317"/>
        <v>0</v>
      </c>
      <c r="DO1104">
        <f t="shared" si="2318"/>
        <v>0</v>
      </c>
      <c r="DP1104">
        <f t="shared" si="2319"/>
        <v>0</v>
      </c>
      <c r="DQ1104">
        <f t="shared" si="2320"/>
        <v>0</v>
      </c>
      <c r="DR1104">
        <f t="shared" si="2321"/>
        <v>0</v>
      </c>
      <c r="DS1104">
        <f t="shared" si="2322"/>
        <v>0</v>
      </c>
      <c r="DT1104">
        <f t="shared" si="2323"/>
        <v>0</v>
      </c>
      <c r="DU1104">
        <f t="shared" si="2324"/>
        <v>0</v>
      </c>
      <c r="DV1104">
        <f t="shared" si="2325"/>
        <v>0</v>
      </c>
      <c r="DW1104">
        <f t="shared" si="2326"/>
        <v>0</v>
      </c>
      <c r="DX1104">
        <f t="shared" si="2327"/>
        <v>0</v>
      </c>
      <c r="DY1104">
        <f t="shared" si="2328"/>
        <v>0</v>
      </c>
      <c r="DZ1104">
        <f t="shared" si="2329"/>
        <v>0</v>
      </c>
      <c r="EA1104">
        <f t="shared" si="2330"/>
        <v>0</v>
      </c>
      <c r="EB1104">
        <f t="shared" si="2331"/>
        <v>0</v>
      </c>
      <c r="EC1104">
        <f t="shared" si="2332"/>
        <v>0</v>
      </c>
      <c r="ED1104">
        <f t="shared" si="2333"/>
        <v>0</v>
      </c>
      <c r="EE1104">
        <f t="shared" si="2333"/>
        <v>0</v>
      </c>
      <c r="EF1104">
        <f t="shared" si="2333"/>
        <v>0</v>
      </c>
    </row>
    <row r="1105" spans="1:136" ht="15.5">
      <c r="A1105" s="90"/>
      <c r="B1105" s="53" t="s">
        <v>21</v>
      </c>
      <c r="C1105" s="94"/>
      <c r="D1105" s="20">
        <v>0</v>
      </c>
      <c r="E1105" s="20">
        <v>0</v>
      </c>
      <c r="F1105" s="20">
        <v>0</v>
      </c>
      <c r="G1105" s="20">
        <v>0</v>
      </c>
      <c r="H1105" s="20">
        <v>0</v>
      </c>
      <c r="I1105" s="20">
        <v>0</v>
      </c>
      <c r="J1105" s="20">
        <v>0</v>
      </c>
      <c r="K1105" s="20">
        <v>0</v>
      </c>
      <c r="L1105" s="20">
        <v>0</v>
      </c>
      <c r="M1105" s="20">
        <v>0</v>
      </c>
      <c r="N1105" s="20">
        <v>0</v>
      </c>
      <c r="O1105" s="20">
        <v>0</v>
      </c>
      <c r="P1105" s="20">
        <v>0</v>
      </c>
      <c r="Q1105" s="20">
        <v>0</v>
      </c>
      <c r="R1105" s="20">
        <v>0</v>
      </c>
      <c r="S1105" s="20">
        <v>0</v>
      </c>
      <c r="T1105" s="20">
        <v>0</v>
      </c>
      <c r="U1105" s="20">
        <v>0</v>
      </c>
      <c r="V1105" s="20">
        <v>0</v>
      </c>
      <c r="W1105" s="20">
        <v>0</v>
      </c>
      <c r="X1105" s="20">
        <v>0</v>
      </c>
      <c r="Y1105" s="20">
        <v>0</v>
      </c>
      <c r="Z1105" s="20">
        <v>0</v>
      </c>
      <c r="AA1105" s="20">
        <v>0</v>
      </c>
      <c r="AB1105" s="20">
        <v>0</v>
      </c>
      <c r="AC1105" s="20">
        <v>0</v>
      </c>
      <c r="AD1105" s="20">
        <v>0</v>
      </c>
      <c r="AE1105" s="20">
        <v>0</v>
      </c>
      <c r="AF1105" s="20">
        <v>0</v>
      </c>
      <c r="AG1105" s="20">
        <v>0</v>
      </c>
      <c r="AH1105" s="20">
        <v>0</v>
      </c>
      <c r="AI1105" s="18">
        <v>1446</v>
      </c>
      <c r="AJ1105" s="20">
        <v>0</v>
      </c>
      <c r="AK1105" s="20">
        <v>0</v>
      </c>
      <c r="AL1105" s="20">
        <v>0</v>
      </c>
      <c r="AM1105" s="20">
        <v>0</v>
      </c>
      <c r="AN1105" s="20">
        <v>0</v>
      </c>
      <c r="AO1105" s="20">
        <v>0</v>
      </c>
      <c r="AP1105" s="20">
        <v>0</v>
      </c>
      <c r="AQ1105" s="20">
        <v>0</v>
      </c>
      <c r="AR1105" s="20">
        <v>0</v>
      </c>
      <c r="AS1105" s="20">
        <v>0</v>
      </c>
      <c r="AT1105" s="20">
        <v>0</v>
      </c>
      <c r="AU1105" s="20">
        <v>0</v>
      </c>
      <c r="AV1105" s="20">
        <v>0</v>
      </c>
      <c r="AW1105" s="20">
        <v>0</v>
      </c>
      <c r="AX1105" s="20">
        <v>0</v>
      </c>
      <c r="AY1105" s="20">
        <v>331</v>
      </c>
      <c r="AZ1105" s="20">
        <v>331</v>
      </c>
      <c r="BA1105" s="20">
        <v>0</v>
      </c>
      <c r="BB1105" s="20">
        <v>0</v>
      </c>
      <c r="BC1105" s="20">
        <v>0</v>
      </c>
      <c r="BD1105" s="20">
        <v>0</v>
      </c>
      <c r="BE1105" s="20">
        <v>0</v>
      </c>
      <c r="BF1105" s="20">
        <v>0</v>
      </c>
      <c r="BG1105" s="20">
        <v>0</v>
      </c>
      <c r="BH1105" s="20">
        <v>0</v>
      </c>
      <c r="BI1105" s="20">
        <v>0</v>
      </c>
      <c r="BJ1105" s="20">
        <v>0</v>
      </c>
      <c r="BK1105" s="20">
        <v>0</v>
      </c>
      <c r="BL1105" s="20">
        <v>0</v>
      </c>
      <c r="BM1105" s="20">
        <v>0</v>
      </c>
      <c r="BN1105" s="20">
        <v>0</v>
      </c>
      <c r="BO1105" s="20">
        <v>0</v>
      </c>
      <c r="BP1105" s="20">
        <v>0</v>
      </c>
      <c r="BQ1105" s="20">
        <v>0</v>
      </c>
      <c r="BR1105" s="101"/>
      <c r="BS1105">
        <f t="shared" si="2270"/>
        <v>0</v>
      </c>
      <c r="BT1105">
        <f t="shared" si="2271"/>
        <v>0</v>
      </c>
      <c r="BU1105">
        <f t="shared" si="2272"/>
        <v>0</v>
      </c>
      <c r="BV1105">
        <f t="shared" si="2273"/>
        <v>0</v>
      </c>
      <c r="BW1105">
        <f t="shared" si="2274"/>
        <v>0</v>
      </c>
      <c r="BX1105">
        <f t="shared" si="2275"/>
        <v>0</v>
      </c>
      <c r="BY1105">
        <f t="shared" si="2276"/>
        <v>0</v>
      </c>
      <c r="BZ1105">
        <f t="shared" si="2277"/>
        <v>0</v>
      </c>
      <c r="CA1105">
        <f t="shared" si="2278"/>
        <v>0</v>
      </c>
      <c r="CB1105">
        <f t="shared" si="2279"/>
        <v>0</v>
      </c>
      <c r="CC1105">
        <f t="shared" si="2280"/>
        <v>0</v>
      </c>
      <c r="CD1105">
        <f t="shared" si="2281"/>
        <v>0</v>
      </c>
      <c r="CE1105">
        <f t="shared" si="2282"/>
        <v>0</v>
      </c>
      <c r="CF1105">
        <f t="shared" si="2283"/>
        <v>0</v>
      </c>
      <c r="CG1105">
        <f t="shared" si="2284"/>
        <v>0</v>
      </c>
      <c r="CH1105">
        <f t="shared" si="2285"/>
        <v>0</v>
      </c>
      <c r="CI1105">
        <f t="shared" si="2286"/>
        <v>0</v>
      </c>
      <c r="CJ1105">
        <f t="shared" si="2287"/>
        <v>0</v>
      </c>
      <c r="CK1105">
        <f t="shared" si="2288"/>
        <v>0</v>
      </c>
      <c r="CL1105">
        <f t="shared" si="2289"/>
        <v>0</v>
      </c>
      <c r="CM1105">
        <f t="shared" si="2290"/>
        <v>0</v>
      </c>
      <c r="CN1105">
        <f t="shared" si="2291"/>
        <v>0</v>
      </c>
      <c r="CO1105">
        <f t="shared" si="2292"/>
        <v>0</v>
      </c>
      <c r="CP1105">
        <f t="shared" si="2293"/>
        <v>0</v>
      </c>
      <c r="CQ1105">
        <f t="shared" si="2294"/>
        <v>0</v>
      </c>
      <c r="CR1105">
        <f t="shared" si="2295"/>
        <v>0</v>
      </c>
      <c r="CS1105">
        <f t="shared" si="2296"/>
        <v>0</v>
      </c>
      <c r="CT1105">
        <f t="shared" si="2297"/>
        <v>0</v>
      </c>
      <c r="CU1105">
        <f t="shared" si="2298"/>
        <v>0</v>
      </c>
      <c r="CV1105">
        <f t="shared" si="2299"/>
        <v>0</v>
      </c>
      <c r="CW1105">
        <f t="shared" si="2300"/>
        <v>0</v>
      </c>
      <c r="CX1105">
        <f t="shared" si="2301"/>
        <v>0</v>
      </c>
      <c r="CY1105">
        <f t="shared" si="2302"/>
        <v>0</v>
      </c>
      <c r="CZ1105">
        <f t="shared" si="2303"/>
        <v>0</v>
      </c>
      <c r="DA1105">
        <f t="shared" si="2304"/>
        <v>0</v>
      </c>
      <c r="DB1105">
        <f t="shared" si="2305"/>
        <v>0</v>
      </c>
      <c r="DC1105">
        <f t="shared" si="2306"/>
        <v>0</v>
      </c>
      <c r="DD1105">
        <f t="shared" si="2307"/>
        <v>0</v>
      </c>
      <c r="DE1105">
        <f t="shared" si="2308"/>
        <v>0</v>
      </c>
      <c r="DF1105">
        <f t="shared" si="2309"/>
        <v>0</v>
      </c>
      <c r="DG1105">
        <f t="shared" si="2310"/>
        <v>0</v>
      </c>
      <c r="DH1105">
        <f t="shared" si="2311"/>
        <v>0</v>
      </c>
      <c r="DI1105">
        <f t="shared" si="2312"/>
        <v>0</v>
      </c>
      <c r="DJ1105">
        <f t="shared" si="2313"/>
        <v>0</v>
      </c>
      <c r="DK1105">
        <f t="shared" si="2314"/>
        <v>0</v>
      </c>
      <c r="DL1105">
        <f t="shared" si="2315"/>
        <v>0</v>
      </c>
      <c r="DM1105">
        <f t="shared" si="2316"/>
        <v>0</v>
      </c>
      <c r="DN1105">
        <f t="shared" si="2317"/>
        <v>0</v>
      </c>
      <c r="DO1105">
        <f t="shared" si="2318"/>
        <v>0</v>
      </c>
      <c r="DP1105">
        <f t="shared" si="2319"/>
        <v>0</v>
      </c>
      <c r="DQ1105">
        <f t="shared" si="2320"/>
        <v>0</v>
      </c>
      <c r="DR1105">
        <f t="shared" si="2321"/>
        <v>0</v>
      </c>
      <c r="DS1105">
        <f t="shared" si="2322"/>
        <v>0</v>
      </c>
      <c r="DT1105">
        <f t="shared" si="2323"/>
        <v>0</v>
      </c>
      <c r="DU1105">
        <f t="shared" si="2324"/>
        <v>0</v>
      </c>
      <c r="DV1105">
        <f t="shared" si="2325"/>
        <v>0</v>
      </c>
      <c r="DW1105">
        <f t="shared" si="2326"/>
        <v>0</v>
      </c>
      <c r="DX1105">
        <f t="shared" si="2327"/>
        <v>0</v>
      </c>
      <c r="DY1105">
        <f t="shared" si="2328"/>
        <v>0</v>
      </c>
      <c r="DZ1105">
        <f t="shared" si="2329"/>
        <v>0</v>
      </c>
      <c r="EA1105">
        <f t="shared" si="2330"/>
        <v>0</v>
      </c>
      <c r="EB1105">
        <f t="shared" si="2331"/>
        <v>0</v>
      </c>
      <c r="EC1105">
        <f t="shared" si="2332"/>
        <v>0</v>
      </c>
      <c r="ED1105">
        <f t="shared" si="2333"/>
        <v>0</v>
      </c>
      <c r="EE1105">
        <f t="shared" si="2333"/>
        <v>0</v>
      </c>
      <c r="EF1105">
        <f t="shared" si="2333"/>
        <v>0</v>
      </c>
    </row>
    <row r="1106" spans="1:136" ht="15.5">
      <c r="A1106" s="90"/>
      <c r="B1106" s="19" t="s">
        <v>212</v>
      </c>
      <c r="C1106" s="94"/>
      <c r="D1106" s="20"/>
      <c r="E1106" s="20"/>
      <c r="F1106" s="20"/>
      <c r="G1106" s="20"/>
      <c r="H1106" s="20"/>
      <c r="I1106" s="20"/>
      <c r="J1106" s="20"/>
      <c r="K1106" s="20"/>
      <c r="L1106" s="20"/>
      <c r="M1106" s="20"/>
      <c r="N1106" s="20"/>
      <c r="O1106" s="20"/>
      <c r="P1106" s="20"/>
      <c r="Q1106" s="20"/>
      <c r="R1106" s="20"/>
      <c r="S1106" s="20"/>
      <c r="T1106" s="20"/>
      <c r="U1106" s="20"/>
      <c r="V1106" s="20"/>
      <c r="W1106" s="20"/>
      <c r="X1106" s="20"/>
      <c r="Y1106" s="20"/>
      <c r="Z1106" s="20"/>
      <c r="AA1106" s="20"/>
      <c r="AB1106" s="20"/>
      <c r="AC1106" s="20"/>
      <c r="AD1106" s="20"/>
      <c r="AE1106" s="20"/>
      <c r="AF1106" s="20"/>
      <c r="AG1106" s="20"/>
      <c r="AH1106" s="168">
        <v>271.52317880794703</v>
      </c>
      <c r="AI1106" s="168">
        <f>145.762711864407+AI1105</f>
        <v>1591.762711864407</v>
      </c>
      <c r="AJ1106" s="149">
        <v>102.20440881763527</v>
      </c>
      <c r="AK1106" s="149">
        <v>77.601410934744266</v>
      </c>
      <c r="AL1106" s="149">
        <v>71.550255536626921</v>
      </c>
      <c r="AM1106" s="149">
        <v>60.927152317880797</v>
      </c>
      <c r="AN1106" s="149">
        <v>49.945711183496201</v>
      </c>
      <c r="AO1106" s="149">
        <v>1565.1376146788991</v>
      </c>
      <c r="AP1106" s="149">
        <v>981.71355498721232</v>
      </c>
      <c r="AQ1106" s="149">
        <v>851.10864745011088</v>
      </c>
      <c r="AR1106" s="149">
        <v>5976.6446087971981</v>
      </c>
      <c r="AS1106" s="149">
        <v>5937.8399378399381</v>
      </c>
      <c r="AT1106" s="149">
        <v>5814.8431522570781</v>
      </c>
      <c r="AU1106" s="149">
        <v>5693.54222392052</v>
      </c>
      <c r="AV1106" s="149">
        <v>4409.961685823755</v>
      </c>
      <c r="AW1106" s="149">
        <v>2430.2325581395348</v>
      </c>
      <c r="AX1106" s="149">
        <v>1663.9344262295083</v>
      </c>
      <c r="AY1106" s="149">
        <v>1012.066952121448</v>
      </c>
      <c r="AZ1106" s="149">
        <v>854.2713567839196</v>
      </c>
      <c r="BA1106" s="149">
        <v>4463.8888888888887</v>
      </c>
      <c r="BB1106" s="149">
        <v>3614.9122807017548</v>
      </c>
      <c r="BC1106" s="149">
        <v>2910.8</v>
      </c>
      <c r="BD1106" s="149">
        <v>2680.681818181818</v>
      </c>
      <c r="BE1106" s="149">
        <v>1586.2068965517242</v>
      </c>
      <c r="BF1106" s="159">
        <v>875.65674255691772</v>
      </c>
      <c r="BG1106" s="149">
        <v>530.03533568904595</v>
      </c>
      <c r="BH1106" s="149">
        <v>296.54036243822077</v>
      </c>
      <c r="BI1106" s="149">
        <v>247.29520865533232</v>
      </c>
      <c r="BJ1106" s="154">
        <v>186.7816091954023</v>
      </c>
      <c r="BK1106" s="149">
        <v>21.017234131988232</v>
      </c>
      <c r="BL1106" s="149">
        <v>0</v>
      </c>
      <c r="BM1106" s="149">
        <v>0</v>
      </c>
      <c r="BN1106" s="154">
        <v>0</v>
      </c>
      <c r="BO1106" s="154">
        <v>0</v>
      </c>
      <c r="BP1106" s="154">
        <v>0</v>
      </c>
      <c r="BQ1106" s="20">
        <v>0</v>
      </c>
      <c r="BR1106" s="101"/>
      <c r="BS1106">
        <f t="shared" si="2270"/>
        <v>0</v>
      </c>
      <c r="BT1106">
        <f t="shared" si="2271"/>
        <v>0</v>
      </c>
      <c r="BU1106">
        <f t="shared" si="2272"/>
        <v>0</v>
      </c>
      <c r="BV1106">
        <f t="shared" si="2273"/>
        <v>0</v>
      </c>
      <c r="BW1106">
        <f t="shared" si="2274"/>
        <v>0</v>
      </c>
      <c r="BX1106">
        <f t="shared" si="2275"/>
        <v>0</v>
      </c>
      <c r="BY1106">
        <f t="shared" si="2276"/>
        <v>0</v>
      </c>
      <c r="BZ1106">
        <f t="shared" si="2277"/>
        <v>0</v>
      </c>
      <c r="CA1106">
        <f t="shared" si="2278"/>
        <v>0</v>
      </c>
      <c r="CB1106">
        <f t="shared" si="2279"/>
        <v>0</v>
      </c>
      <c r="CC1106">
        <f t="shared" si="2280"/>
        <v>0</v>
      </c>
      <c r="CD1106">
        <f t="shared" si="2281"/>
        <v>0</v>
      </c>
      <c r="CE1106">
        <f t="shared" si="2282"/>
        <v>0</v>
      </c>
      <c r="CF1106">
        <f t="shared" si="2283"/>
        <v>0</v>
      </c>
      <c r="CG1106">
        <f t="shared" si="2284"/>
        <v>0</v>
      </c>
      <c r="CH1106">
        <f t="shared" si="2285"/>
        <v>0</v>
      </c>
      <c r="CI1106">
        <f t="shared" si="2286"/>
        <v>0</v>
      </c>
      <c r="CJ1106">
        <f t="shared" si="2287"/>
        <v>0</v>
      </c>
      <c r="CK1106">
        <f t="shared" si="2288"/>
        <v>0</v>
      </c>
      <c r="CL1106">
        <f t="shared" si="2289"/>
        <v>0</v>
      </c>
      <c r="CM1106">
        <f t="shared" si="2290"/>
        <v>0</v>
      </c>
      <c r="CN1106">
        <f t="shared" si="2291"/>
        <v>0</v>
      </c>
      <c r="CO1106">
        <f t="shared" si="2292"/>
        <v>0</v>
      </c>
      <c r="CP1106">
        <f t="shared" si="2293"/>
        <v>0</v>
      </c>
      <c r="CQ1106">
        <f t="shared" si="2294"/>
        <v>0</v>
      </c>
      <c r="CR1106">
        <f t="shared" si="2295"/>
        <v>0</v>
      </c>
      <c r="CS1106">
        <f t="shared" si="2296"/>
        <v>0</v>
      </c>
      <c r="CT1106">
        <f t="shared" si="2297"/>
        <v>0</v>
      </c>
      <c r="CU1106">
        <f t="shared" si="2298"/>
        <v>0</v>
      </c>
      <c r="CV1106">
        <f t="shared" si="2299"/>
        <v>0</v>
      </c>
      <c r="CW1106">
        <f t="shared" si="2300"/>
        <v>0</v>
      </c>
      <c r="CX1106">
        <f t="shared" si="2301"/>
        <v>0</v>
      </c>
      <c r="CY1106">
        <f t="shared" si="2302"/>
        <v>0</v>
      </c>
      <c r="CZ1106">
        <f t="shared" si="2303"/>
        <v>0</v>
      </c>
      <c r="DA1106">
        <f t="shared" si="2304"/>
        <v>0</v>
      </c>
      <c r="DB1106">
        <f t="shared" si="2305"/>
        <v>0</v>
      </c>
      <c r="DC1106">
        <f t="shared" si="2306"/>
        <v>0</v>
      </c>
      <c r="DD1106">
        <f t="shared" si="2307"/>
        <v>0</v>
      </c>
      <c r="DE1106">
        <f t="shared" si="2308"/>
        <v>0</v>
      </c>
      <c r="DF1106">
        <f t="shared" si="2309"/>
        <v>0</v>
      </c>
      <c r="DG1106">
        <f t="shared" si="2310"/>
        <v>0</v>
      </c>
      <c r="DH1106">
        <f t="shared" si="2311"/>
        <v>0</v>
      </c>
      <c r="DI1106">
        <f t="shared" si="2312"/>
        <v>0</v>
      </c>
      <c r="DJ1106">
        <f t="shared" si="2313"/>
        <v>0</v>
      </c>
      <c r="DK1106">
        <f t="shared" si="2314"/>
        <v>0</v>
      </c>
      <c r="DL1106">
        <f t="shared" si="2315"/>
        <v>0</v>
      </c>
      <c r="DM1106">
        <f t="shared" si="2316"/>
        <v>0</v>
      </c>
      <c r="DN1106">
        <f t="shared" si="2317"/>
        <v>0</v>
      </c>
      <c r="DO1106">
        <f t="shared" si="2318"/>
        <v>0</v>
      </c>
      <c r="DP1106">
        <f t="shared" si="2319"/>
        <v>0</v>
      </c>
      <c r="DQ1106">
        <f t="shared" si="2320"/>
        <v>0</v>
      </c>
      <c r="DR1106">
        <f t="shared" si="2321"/>
        <v>0</v>
      </c>
      <c r="DS1106">
        <f t="shared" si="2322"/>
        <v>0</v>
      </c>
      <c r="DT1106">
        <f t="shared" si="2323"/>
        <v>0</v>
      </c>
      <c r="DU1106">
        <f t="shared" si="2324"/>
        <v>0</v>
      </c>
      <c r="DV1106">
        <f t="shared" si="2325"/>
        <v>0</v>
      </c>
      <c r="DW1106">
        <f t="shared" si="2326"/>
        <v>0</v>
      </c>
      <c r="DX1106">
        <f t="shared" si="2327"/>
        <v>0</v>
      </c>
      <c r="DY1106">
        <f t="shared" si="2328"/>
        <v>0</v>
      </c>
      <c r="DZ1106">
        <f t="shared" si="2329"/>
        <v>0</v>
      </c>
      <c r="EA1106">
        <f t="shared" ref="EA1106:EF1106" si="2335">IF($C1106&lt;&gt;"",IF(BL1106&gt;0,1,0),0)</f>
        <v>0</v>
      </c>
      <c r="EB1106">
        <f t="shared" si="2335"/>
        <v>0</v>
      </c>
      <c r="EC1106">
        <f t="shared" si="2335"/>
        <v>0</v>
      </c>
      <c r="ED1106">
        <f t="shared" si="2335"/>
        <v>0</v>
      </c>
      <c r="EE1106">
        <f t="shared" si="2335"/>
        <v>0</v>
      </c>
      <c r="EF1106">
        <f t="shared" si="2335"/>
        <v>0</v>
      </c>
    </row>
    <row r="1107" spans="1:136" ht="15.5">
      <c r="A1107" s="90"/>
      <c r="B1107" s="19"/>
      <c r="C1107" s="94"/>
      <c r="D1107" s="38"/>
      <c r="E1107" s="38"/>
      <c r="F1107" s="38"/>
      <c r="G1107" s="38"/>
      <c r="H1107" s="38"/>
      <c r="I1107" s="38"/>
      <c r="J1107" s="38"/>
      <c r="K1107" s="38"/>
      <c r="L1107" s="38"/>
      <c r="M1107" s="38"/>
      <c r="N1107" s="38"/>
      <c r="O1107" s="38"/>
      <c r="P1107" s="38"/>
      <c r="Q1107" s="38"/>
      <c r="R1107" s="38"/>
      <c r="S1107" s="38"/>
      <c r="T1107" s="38"/>
      <c r="U1107" s="31"/>
      <c r="V1107" s="31"/>
      <c r="W1107" s="31"/>
      <c r="X1107" s="31"/>
      <c r="Y1107" s="18"/>
      <c r="Z1107" s="18"/>
      <c r="AA1107" s="18"/>
      <c r="AB1107" s="18"/>
      <c r="AC1107" s="18"/>
      <c r="AD1107" s="18"/>
      <c r="AE1107" s="18"/>
      <c r="AF1107" s="18"/>
      <c r="AG1107" s="18"/>
      <c r="AH1107" s="18"/>
      <c r="AI1107" s="18"/>
      <c r="AJ1107" s="18"/>
      <c r="AK1107" s="18"/>
      <c r="AL1107" s="18"/>
      <c r="AM1107" s="18"/>
      <c r="AN1107" s="18"/>
      <c r="AO1107" s="18"/>
      <c r="AP1107" s="18"/>
      <c r="AQ1107" s="18"/>
      <c r="AR1107" s="18"/>
      <c r="AS1107" s="18"/>
      <c r="AT1107" s="18"/>
      <c r="AU1107" s="18"/>
      <c r="AV1107" s="18"/>
      <c r="AW1107" s="18"/>
      <c r="AX1107" s="20"/>
      <c r="AY1107" s="20"/>
      <c r="AZ1107" s="20"/>
      <c r="BA1107" s="20"/>
      <c r="BB1107" s="34"/>
      <c r="BC1107" s="34"/>
      <c r="BD1107" s="34"/>
      <c r="BE1107" s="25"/>
      <c r="BF1107" s="20"/>
      <c r="BG1107" s="18"/>
      <c r="BH1107" s="113"/>
      <c r="BI1107" s="120"/>
      <c r="BJ1107" s="2"/>
      <c r="BK1107" s="2"/>
      <c r="BL1107" s="22"/>
      <c r="BM1107" s="2"/>
      <c r="BN1107" s="2"/>
      <c r="BO1107" s="2"/>
      <c r="BP1107" s="2"/>
      <c r="BQ1107" s="2"/>
      <c r="BR1107" s="101"/>
    </row>
    <row r="1108" spans="1:136" ht="15.5">
      <c r="A1108" s="93">
        <v>140</v>
      </c>
      <c r="B1108" s="52" t="s">
        <v>138</v>
      </c>
      <c r="C1108" s="94">
        <v>3</v>
      </c>
      <c r="D1108" s="22"/>
      <c r="E1108" s="22"/>
      <c r="F1108" s="22"/>
      <c r="G1108" s="22"/>
      <c r="H1108" s="22"/>
      <c r="I1108" s="22"/>
      <c r="J1108" s="22"/>
      <c r="K1108" s="22"/>
      <c r="L1108" s="22"/>
      <c r="M1108" s="22"/>
      <c r="N1108" s="22"/>
      <c r="O1108" s="22"/>
      <c r="P1108" s="22"/>
      <c r="Q1108" s="22"/>
      <c r="R1108" s="22"/>
      <c r="S1108" s="22">
        <f t="shared" ref="S1108:AX1108" si="2336">SUM(S1109:S1117)</f>
        <v>0</v>
      </c>
      <c r="T1108" s="22">
        <f t="shared" si="2336"/>
        <v>0</v>
      </c>
      <c r="U1108" s="22">
        <f t="shared" si="2336"/>
        <v>0</v>
      </c>
      <c r="V1108" s="22">
        <f t="shared" si="2336"/>
        <v>0</v>
      </c>
      <c r="W1108" s="22">
        <f t="shared" si="2336"/>
        <v>0</v>
      </c>
      <c r="X1108" s="22">
        <f t="shared" si="2336"/>
        <v>0</v>
      </c>
      <c r="Y1108" s="22">
        <f t="shared" si="2336"/>
        <v>0</v>
      </c>
      <c r="Z1108" s="22">
        <f t="shared" si="2336"/>
        <v>0</v>
      </c>
      <c r="AA1108" s="22">
        <f t="shared" si="2336"/>
        <v>0</v>
      </c>
      <c r="AB1108" s="22">
        <f t="shared" si="2336"/>
        <v>0</v>
      </c>
      <c r="AC1108" s="22">
        <f t="shared" si="2336"/>
        <v>0</v>
      </c>
      <c r="AD1108" s="22">
        <f t="shared" si="2336"/>
        <v>0</v>
      </c>
      <c r="AE1108" s="22">
        <f t="shared" si="2336"/>
        <v>0</v>
      </c>
      <c r="AF1108" s="22">
        <f t="shared" si="2336"/>
        <v>0</v>
      </c>
      <c r="AG1108" s="22">
        <f t="shared" si="2336"/>
        <v>0</v>
      </c>
      <c r="AH1108" s="22">
        <f t="shared" si="2336"/>
        <v>2</v>
      </c>
      <c r="AI1108" s="22">
        <f t="shared" si="2336"/>
        <v>21</v>
      </c>
      <c r="AJ1108" s="22">
        <f t="shared" si="2336"/>
        <v>37.799999999999997</v>
      </c>
      <c r="AK1108" s="22">
        <f t="shared" si="2336"/>
        <v>54</v>
      </c>
      <c r="AL1108" s="22">
        <f t="shared" si="2336"/>
        <v>58</v>
      </c>
      <c r="AM1108" s="22">
        <f t="shared" si="2336"/>
        <v>20</v>
      </c>
      <c r="AN1108" s="22">
        <f t="shared" si="2336"/>
        <v>20</v>
      </c>
      <c r="AO1108" s="22">
        <f t="shared" si="2336"/>
        <v>19</v>
      </c>
      <c r="AP1108" s="22">
        <f t="shared" si="2336"/>
        <v>36</v>
      </c>
      <c r="AQ1108" s="22">
        <f t="shared" si="2336"/>
        <v>53</v>
      </c>
      <c r="AR1108" s="22">
        <f t="shared" si="2336"/>
        <v>57</v>
      </c>
      <c r="AS1108" s="22">
        <f t="shared" si="2336"/>
        <v>148</v>
      </c>
      <c r="AT1108" s="22">
        <f t="shared" si="2336"/>
        <v>136</v>
      </c>
      <c r="AU1108" s="22">
        <f t="shared" si="2336"/>
        <v>107</v>
      </c>
      <c r="AV1108" s="22">
        <f t="shared" si="2336"/>
        <v>123</v>
      </c>
      <c r="AW1108" s="22">
        <f t="shared" si="2336"/>
        <v>141</v>
      </c>
      <c r="AX1108" s="22">
        <f t="shared" si="2336"/>
        <v>148</v>
      </c>
      <c r="AY1108" s="22">
        <f t="shared" ref="AY1108:BQ1108" si="2337">SUM(AY1109:AY1117)</f>
        <v>140</v>
      </c>
      <c r="AZ1108" s="22">
        <f t="shared" si="2337"/>
        <v>150</v>
      </c>
      <c r="BA1108" s="22">
        <f t="shared" si="2337"/>
        <v>117</v>
      </c>
      <c r="BB1108" s="22">
        <f t="shared" si="2337"/>
        <v>48</v>
      </c>
      <c r="BC1108" s="22">
        <f t="shared" si="2337"/>
        <v>14</v>
      </c>
      <c r="BD1108" s="22">
        <f t="shared" si="2337"/>
        <v>27</v>
      </c>
      <c r="BE1108" s="22">
        <f t="shared" si="2337"/>
        <v>17</v>
      </c>
      <c r="BF1108" s="22">
        <f t="shared" si="2337"/>
        <v>17</v>
      </c>
      <c r="BG1108" s="22">
        <f t="shared" si="2337"/>
        <v>17.2091612</v>
      </c>
      <c r="BH1108" s="22">
        <f t="shared" si="2337"/>
        <v>16.990716299999999</v>
      </c>
      <c r="BI1108" s="22">
        <f t="shared" si="2337"/>
        <v>0.79500000000000004</v>
      </c>
      <c r="BJ1108" s="22">
        <f t="shared" si="2337"/>
        <v>0</v>
      </c>
      <c r="BK1108" s="22">
        <f t="shared" si="2337"/>
        <v>3.3702000000000003E-2</v>
      </c>
      <c r="BL1108" s="22">
        <f t="shared" si="2337"/>
        <v>710.76747490000002</v>
      </c>
      <c r="BM1108" s="22">
        <f t="shared" si="2337"/>
        <v>967.93993272465161</v>
      </c>
      <c r="BN1108" s="22">
        <f t="shared" si="2337"/>
        <v>1138.76022536652</v>
      </c>
      <c r="BO1108" s="22">
        <f t="shared" si="2337"/>
        <v>1073.838675775092</v>
      </c>
      <c r="BP1108" s="22">
        <f t="shared" si="2337"/>
        <v>282</v>
      </c>
      <c r="BQ1108" s="22">
        <f t="shared" si="2337"/>
        <v>5</v>
      </c>
      <c r="BR1108" s="101"/>
      <c r="BS1108">
        <f t="shared" ref="BS1108:BS1117" si="2338">IF($C1108&lt;&gt;"",IF(D1108&gt;0,1,0),0)</f>
        <v>0</v>
      </c>
      <c r="BT1108">
        <f t="shared" ref="BT1108:BT1117" si="2339">IF($C1108&lt;&gt;"",IF(E1108&gt;0,1,0),0)</f>
        <v>0</v>
      </c>
      <c r="BU1108">
        <f t="shared" ref="BU1108:BU1117" si="2340">IF($C1108&lt;&gt;"",IF(F1108&gt;0,1,0),0)</f>
        <v>0</v>
      </c>
      <c r="BV1108">
        <f t="shared" ref="BV1108:BV1117" si="2341">IF($C1108&lt;&gt;"",IF(G1108&gt;0,1,0),0)</f>
        <v>0</v>
      </c>
      <c r="BW1108">
        <f t="shared" ref="BW1108:BW1117" si="2342">IF($C1108&lt;&gt;"",IF(H1108&gt;0,1,0),0)</f>
        <v>0</v>
      </c>
      <c r="BX1108">
        <f t="shared" ref="BX1108:BX1117" si="2343">IF($C1108&lt;&gt;"",IF(I1108&gt;0,1,0),0)</f>
        <v>0</v>
      </c>
      <c r="BY1108">
        <f t="shared" ref="BY1108:BY1117" si="2344">IF($C1108&lt;&gt;"",IF(J1108&gt;0,1,0),0)</f>
        <v>0</v>
      </c>
      <c r="BZ1108">
        <f t="shared" ref="BZ1108:BZ1117" si="2345">IF($C1108&lt;&gt;"",IF(K1108&gt;0,1,0),0)</f>
        <v>0</v>
      </c>
      <c r="CA1108">
        <f t="shared" ref="CA1108:CA1117" si="2346">IF($C1108&lt;&gt;"",IF(L1108&gt;0,1,0),0)</f>
        <v>0</v>
      </c>
      <c r="CB1108">
        <f t="shared" ref="CB1108:CB1117" si="2347">IF($C1108&lt;&gt;"",IF(M1108&gt;0,1,0),0)</f>
        <v>0</v>
      </c>
      <c r="CC1108">
        <f t="shared" ref="CC1108:CC1117" si="2348">IF($C1108&lt;&gt;"",IF(N1108&gt;0,1,0),0)</f>
        <v>0</v>
      </c>
      <c r="CD1108">
        <f t="shared" ref="CD1108:CD1117" si="2349">IF($C1108&lt;&gt;"",IF(O1108&gt;0,1,0),0)</f>
        <v>0</v>
      </c>
      <c r="CE1108">
        <f t="shared" ref="CE1108:CE1117" si="2350">IF($C1108&lt;&gt;"",IF(P1108&gt;0,1,0),0)</f>
        <v>0</v>
      </c>
      <c r="CF1108">
        <f t="shared" ref="CF1108:CF1117" si="2351">IF($C1108&lt;&gt;"",IF(Q1108&gt;0,1,0),0)</f>
        <v>0</v>
      </c>
      <c r="CG1108">
        <f t="shared" ref="CG1108:CG1117" si="2352">IF($C1108&lt;&gt;"",IF(R1108&gt;0,1,0),0)</f>
        <v>0</v>
      </c>
      <c r="CH1108">
        <f t="shared" ref="CH1108:CH1117" si="2353">IF($C1108&lt;&gt;"",IF(S1108&gt;0,1,0),0)</f>
        <v>0</v>
      </c>
      <c r="CI1108">
        <f t="shared" ref="CI1108:CI1117" si="2354">IF($C1108&lt;&gt;"",IF(T1108&gt;0,1,0),0)</f>
        <v>0</v>
      </c>
      <c r="CJ1108">
        <f t="shared" ref="CJ1108:CJ1117" si="2355">IF($C1108&lt;&gt;"",IF(U1108&gt;0,1,0),0)</f>
        <v>0</v>
      </c>
      <c r="CK1108">
        <f t="shared" ref="CK1108:CK1117" si="2356">IF($C1108&lt;&gt;"",IF(V1108&gt;0,1,0),0)</f>
        <v>0</v>
      </c>
      <c r="CL1108">
        <f t="shared" ref="CL1108:CL1117" si="2357">IF($C1108&lt;&gt;"",IF(W1108&gt;0,1,0),0)</f>
        <v>0</v>
      </c>
      <c r="CM1108">
        <f t="shared" ref="CM1108:CM1117" si="2358">IF($C1108&lt;&gt;"",IF(X1108&gt;0,1,0),0)</f>
        <v>0</v>
      </c>
      <c r="CN1108">
        <f t="shared" ref="CN1108:CN1117" si="2359">IF($C1108&lt;&gt;"",IF(Y1108&gt;0,1,0),0)</f>
        <v>0</v>
      </c>
      <c r="CO1108">
        <f t="shared" ref="CO1108:CO1117" si="2360">IF($C1108&lt;&gt;"",IF(Z1108&gt;0,1,0),0)</f>
        <v>0</v>
      </c>
      <c r="CP1108">
        <f t="shared" ref="CP1108:CP1117" si="2361">IF($C1108&lt;&gt;"",IF(AA1108&gt;0,1,0),0)</f>
        <v>0</v>
      </c>
      <c r="CQ1108">
        <f t="shared" ref="CQ1108:CQ1117" si="2362">IF($C1108&lt;&gt;"",IF(AB1108&gt;0,1,0),0)</f>
        <v>0</v>
      </c>
      <c r="CR1108">
        <f t="shared" ref="CR1108:CR1117" si="2363">IF($C1108&lt;&gt;"",IF(AC1108&gt;0,1,0),0)</f>
        <v>0</v>
      </c>
      <c r="CS1108">
        <f t="shared" ref="CS1108:CS1117" si="2364">IF($C1108&lt;&gt;"",IF(AD1108&gt;0,1,0),0)</f>
        <v>0</v>
      </c>
      <c r="CT1108">
        <f t="shared" ref="CT1108:CT1117" si="2365">IF($C1108&lt;&gt;"",IF(AE1108&gt;0,1,0),0)</f>
        <v>0</v>
      </c>
      <c r="CU1108">
        <f t="shared" ref="CU1108:CU1117" si="2366">IF($C1108&lt;&gt;"",IF(AF1108&gt;0,1,0),0)</f>
        <v>0</v>
      </c>
      <c r="CV1108">
        <f t="shared" ref="CV1108:CV1117" si="2367">IF($C1108&lt;&gt;"",IF(AG1108&gt;0,1,0),0)</f>
        <v>0</v>
      </c>
      <c r="CW1108">
        <f t="shared" ref="CW1108:CW1117" si="2368">IF($C1108&lt;&gt;"",IF(AH1108&gt;0,1,0),0)</f>
        <v>1</v>
      </c>
      <c r="CX1108">
        <f t="shared" ref="CX1108:CX1117" si="2369">IF($C1108&lt;&gt;"",IF(AI1108&gt;0,1,0),0)</f>
        <v>1</v>
      </c>
      <c r="CY1108">
        <f t="shared" ref="CY1108:CY1117" si="2370">IF($C1108&lt;&gt;"",IF(AJ1108&gt;0,1,0),0)</f>
        <v>1</v>
      </c>
      <c r="CZ1108">
        <f t="shared" ref="CZ1108:CZ1117" si="2371">IF($C1108&lt;&gt;"",IF(AK1108&gt;0,1,0),0)</f>
        <v>1</v>
      </c>
      <c r="DA1108">
        <f t="shared" ref="DA1108:DA1117" si="2372">IF($C1108&lt;&gt;"",IF(AL1108&gt;0,1,0),0)</f>
        <v>1</v>
      </c>
      <c r="DB1108">
        <f t="shared" ref="DB1108:DB1117" si="2373">IF($C1108&lt;&gt;"",IF(AM1108&gt;0,1,0),0)</f>
        <v>1</v>
      </c>
      <c r="DC1108">
        <f t="shared" ref="DC1108:DC1117" si="2374">IF($C1108&lt;&gt;"",IF(AN1108&gt;0,1,0),0)</f>
        <v>1</v>
      </c>
      <c r="DD1108">
        <f t="shared" ref="DD1108:DD1117" si="2375">IF($C1108&lt;&gt;"",IF(AO1108&gt;0,1,0),0)</f>
        <v>1</v>
      </c>
      <c r="DE1108">
        <f t="shared" ref="DE1108:DE1117" si="2376">IF($C1108&lt;&gt;"",IF(AP1108&gt;0,1,0),0)</f>
        <v>1</v>
      </c>
      <c r="DF1108">
        <f t="shared" ref="DF1108:DF1117" si="2377">IF($C1108&lt;&gt;"",IF(AQ1108&gt;0,1,0),0)</f>
        <v>1</v>
      </c>
      <c r="DG1108">
        <f t="shared" ref="DG1108:DG1117" si="2378">IF($C1108&lt;&gt;"",IF(AR1108&gt;0,1,0),0)</f>
        <v>1</v>
      </c>
      <c r="DH1108">
        <f t="shared" ref="DH1108:DH1117" si="2379">IF($C1108&lt;&gt;"",IF(AS1108&gt;0,1,0),0)</f>
        <v>1</v>
      </c>
      <c r="DI1108">
        <f t="shared" ref="DI1108:DI1117" si="2380">IF($C1108&lt;&gt;"",IF(AT1108&gt;0,1,0),0)</f>
        <v>1</v>
      </c>
      <c r="DJ1108">
        <f t="shared" ref="DJ1108:DJ1117" si="2381">IF($C1108&lt;&gt;"",IF(AU1108&gt;0,1,0),0)</f>
        <v>1</v>
      </c>
      <c r="DK1108">
        <f t="shared" ref="DK1108:DK1117" si="2382">IF($C1108&lt;&gt;"",IF(AV1108&gt;0,1,0),0)</f>
        <v>1</v>
      </c>
      <c r="DL1108">
        <f t="shared" ref="DL1108:DL1117" si="2383">IF($C1108&lt;&gt;"",IF(AW1108&gt;0,1,0),0)</f>
        <v>1</v>
      </c>
      <c r="DM1108">
        <f t="shared" ref="DM1108:DM1117" si="2384">IF($C1108&lt;&gt;"",IF(AX1108&gt;0,1,0),0)</f>
        <v>1</v>
      </c>
      <c r="DN1108">
        <f t="shared" ref="DN1108:DN1117" si="2385">IF($C1108&lt;&gt;"",IF(AY1108&gt;0,1,0),0)</f>
        <v>1</v>
      </c>
      <c r="DO1108">
        <f t="shared" ref="DO1108:DO1117" si="2386">IF($C1108&lt;&gt;"",IF(AZ1108&gt;0,1,0),0)</f>
        <v>1</v>
      </c>
      <c r="DP1108">
        <f t="shared" ref="DP1108:DP1117" si="2387">IF($C1108&lt;&gt;"",IF(BA1108&gt;0,1,0),0)</f>
        <v>1</v>
      </c>
      <c r="DQ1108">
        <f t="shared" ref="DQ1108:DQ1117" si="2388">IF($C1108&lt;&gt;"",IF(BB1108&gt;0,1,0),0)</f>
        <v>1</v>
      </c>
      <c r="DR1108">
        <f t="shared" ref="DR1108:DR1117" si="2389">IF($C1108&lt;&gt;"",IF(BC1108&gt;0,1,0),0)</f>
        <v>1</v>
      </c>
      <c r="DS1108">
        <f t="shared" ref="DS1108:DS1117" si="2390">IF($C1108&lt;&gt;"",IF(BD1108&gt;0,1,0),0)</f>
        <v>1</v>
      </c>
      <c r="DT1108">
        <f t="shared" ref="DT1108:DT1117" si="2391">IF($C1108&lt;&gt;"",IF(BE1108&gt;0,1,0),0)</f>
        <v>1</v>
      </c>
      <c r="DU1108">
        <f t="shared" ref="DU1108:DU1117" si="2392">IF($C1108&lt;&gt;"",IF(BF1108&gt;0,1,0),0)</f>
        <v>1</v>
      </c>
      <c r="DV1108">
        <f t="shared" ref="DV1108:DV1117" si="2393">IF($C1108&lt;&gt;"",IF(BG1108&gt;0,1,0),0)</f>
        <v>1</v>
      </c>
      <c r="DW1108">
        <f t="shared" ref="DW1108:DW1117" si="2394">IF($C1108&lt;&gt;"",IF(BH1108&gt;0,1,0),0)</f>
        <v>1</v>
      </c>
      <c r="DX1108">
        <f t="shared" ref="DX1108:DX1117" si="2395">IF($C1108&lt;&gt;"",IF(BI1108&gt;0,1,0),0)</f>
        <v>1</v>
      </c>
      <c r="DY1108">
        <f t="shared" ref="DY1108:DY1117" si="2396">IF($C1108&lt;&gt;"",IF(BJ1108&gt;0,1,0),0)</f>
        <v>0</v>
      </c>
      <c r="DZ1108">
        <f t="shared" ref="DZ1108:DZ1117" si="2397">IF($C1108&lt;&gt;"",IF(BK1108&gt;0,1,0),0)</f>
        <v>1</v>
      </c>
      <c r="EA1108">
        <f t="shared" ref="EA1108:EA1117" si="2398">IF($C1108&lt;&gt;"",IF(BL1108&gt;0,1,0),0)</f>
        <v>1</v>
      </c>
      <c r="EB1108">
        <f t="shared" ref="EB1108:EB1113" si="2399">IF($C1108&lt;&gt;"",IF(BM1108&gt;0,1,0),0)</f>
        <v>1</v>
      </c>
      <c r="EC1108">
        <f t="shared" ref="EC1108:EC1117" si="2400">IF($C1108&lt;&gt;"",IF(BN1108&gt;0,1,0),0)</f>
        <v>1</v>
      </c>
      <c r="ED1108">
        <f t="shared" ref="ED1108:EF1117" si="2401">IF($C1108&lt;&gt;"",IF(BO1108&gt;0,1,0),0)</f>
        <v>1</v>
      </c>
      <c r="EE1108">
        <f t="shared" si="2401"/>
        <v>1</v>
      </c>
      <c r="EF1108">
        <f t="shared" si="2401"/>
        <v>1</v>
      </c>
    </row>
    <row r="1109" spans="1:136" ht="15.5">
      <c r="A1109" s="90"/>
      <c r="B1109" s="24" t="s">
        <v>15</v>
      </c>
      <c r="C1109" s="94"/>
      <c r="D1109" s="22"/>
      <c r="E1109" s="22"/>
      <c r="F1109" s="22"/>
      <c r="G1109" s="22"/>
      <c r="H1109" s="22"/>
      <c r="I1109" s="22"/>
      <c r="J1109" s="22"/>
      <c r="K1109" s="22"/>
      <c r="L1109" s="22"/>
      <c r="M1109" s="22"/>
      <c r="N1109" s="22"/>
      <c r="O1109" s="22"/>
      <c r="P1109" s="22"/>
      <c r="Q1109" s="22"/>
      <c r="R1109" s="22"/>
      <c r="S1109" s="34">
        <v>0</v>
      </c>
      <c r="T1109" s="34">
        <v>0</v>
      </c>
      <c r="U1109" s="34">
        <v>0</v>
      </c>
      <c r="V1109" s="34">
        <v>0</v>
      </c>
      <c r="W1109" s="34">
        <v>0</v>
      </c>
      <c r="X1109" s="34">
        <v>0</v>
      </c>
      <c r="Y1109" s="34">
        <v>0</v>
      </c>
      <c r="Z1109" s="34">
        <v>0</v>
      </c>
      <c r="AA1109" s="34">
        <v>0</v>
      </c>
      <c r="AB1109" s="34">
        <v>0</v>
      </c>
      <c r="AC1109" s="34">
        <v>0</v>
      </c>
      <c r="AD1109" s="34">
        <v>0</v>
      </c>
      <c r="AE1109" s="34">
        <v>0</v>
      </c>
      <c r="AF1109" s="34">
        <v>0</v>
      </c>
      <c r="AG1109" s="34">
        <v>0</v>
      </c>
      <c r="AH1109" s="34">
        <v>0</v>
      </c>
      <c r="AI1109" s="34">
        <v>0</v>
      </c>
      <c r="AJ1109" s="71">
        <v>0.2</v>
      </c>
      <c r="AK1109" s="18">
        <v>0</v>
      </c>
      <c r="AL1109" s="18">
        <v>0</v>
      </c>
      <c r="AM1109" s="18">
        <v>0</v>
      </c>
      <c r="AN1109" s="18">
        <v>0</v>
      </c>
      <c r="AO1109" s="18">
        <v>0</v>
      </c>
      <c r="AP1109" s="18">
        <v>0</v>
      </c>
      <c r="AQ1109" s="18">
        <v>0</v>
      </c>
      <c r="AR1109" s="18">
        <v>0</v>
      </c>
      <c r="AS1109" s="18">
        <v>0</v>
      </c>
      <c r="AT1109" s="18">
        <v>0</v>
      </c>
      <c r="AU1109" s="18">
        <v>0</v>
      </c>
      <c r="AV1109" s="18">
        <v>0</v>
      </c>
      <c r="AW1109" s="18">
        <v>0</v>
      </c>
      <c r="AX1109" s="18">
        <v>0</v>
      </c>
      <c r="AY1109" s="18">
        <v>0</v>
      </c>
      <c r="AZ1109" s="18">
        <v>0</v>
      </c>
      <c r="BA1109" s="18">
        <v>0</v>
      </c>
      <c r="BB1109" s="18">
        <v>0</v>
      </c>
      <c r="BC1109" s="18">
        <v>0</v>
      </c>
      <c r="BD1109" s="18">
        <v>0</v>
      </c>
      <c r="BE1109" s="25">
        <v>0</v>
      </c>
      <c r="BF1109" s="18">
        <v>0</v>
      </c>
      <c r="BG1109" s="18">
        <v>0</v>
      </c>
      <c r="BH1109" s="18">
        <v>0</v>
      </c>
      <c r="BI1109" s="18">
        <v>0</v>
      </c>
      <c r="BJ1109" s="18">
        <v>0</v>
      </c>
      <c r="BK1109" s="18">
        <v>0</v>
      </c>
      <c r="BL1109" s="18">
        <v>0</v>
      </c>
      <c r="BM1109" s="18">
        <v>0</v>
      </c>
      <c r="BN1109" s="18">
        <v>0</v>
      </c>
      <c r="BO1109" s="18">
        <v>0</v>
      </c>
      <c r="BP1109" s="18">
        <v>0</v>
      </c>
      <c r="BQ1109" s="18">
        <v>0</v>
      </c>
      <c r="BR1109" s="101"/>
      <c r="BS1109">
        <f t="shared" si="2338"/>
        <v>0</v>
      </c>
      <c r="BT1109">
        <f t="shared" si="2339"/>
        <v>0</v>
      </c>
      <c r="BU1109">
        <f t="shared" si="2340"/>
        <v>0</v>
      </c>
      <c r="BV1109">
        <f t="shared" si="2341"/>
        <v>0</v>
      </c>
      <c r="BW1109">
        <f t="shared" si="2342"/>
        <v>0</v>
      </c>
      <c r="BX1109">
        <f t="shared" si="2343"/>
        <v>0</v>
      </c>
      <c r="BY1109">
        <f t="shared" si="2344"/>
        <v>0</v>
      </c>
      <c r="BZ1109">
        <f t="shared" si="2345"/>
        <v>0</v>
      </c>
      <c r="CA1109">
        <f t="shared" si="2346"/>
        <v>0</v>
      </c>
      <c r="CB1109">
        <f t="shared" si="2347"/>
        <v>0</v>
      </c>
      <c r="CC1109">
        <f t="shared" si="2348"/>
        <v>0</v>
      </c>
      <c r="CD1109">
        <f t="shared" si="2349"/>
        <v>0</v>
      </c>
      <c r="CE1109">
        <f t="shared" si="2350"/>
        <v>0</v>
      </c>
      <c r="CF1109">
        <f t="shared" si="2351"/>
        <v>0</v>
      </c>
      <c r="CG1109">
        <f t="shared" si="2352"/>
        <v>0</v>
      </c>
      <c r="CH1109">
        <f t="shared" si="2353"/>
        <v>0</v>
      </c>
      <c r="CI1109">
        <f t="shared" si="2354"/>
        <v>0</v>
      </c>
      <c r="CJ1109">
        <f t="shared" si="2355"/>
        <v>0</v>
      </c>
      <c r="CK1109">
        <f t="shared" si="2356"/>
        <v>0</v>
      </c>
      <c r="CL1109">
        <f t="shared" si="2357"/>
        <v>0</v>
      </c>
      <c r="CM1109">
        <f t="shared" si="2358"/>
        <v>0</v>
      </c>
      <c r="CN1109">
        <f t="shared" si="2359"/>
        <v>0</v>
      </c>
      <c r="CO1109">
        <f t="shared" si="2360"/>
        <v>0</v>
      </c>
      <c r="CP1109">
        <f t="shared" si="2361"/>
        <v>0</v>
      </c>
      <c r="CQ1109">
        <f t="shared" si="2362"/>
        <v>0</v>
      </c>
      <c r="CR1109">
        <f t="shared" si="2363"/>
        <v>0</v>
      </c>
      <c r="CS1109">
        <f t="shared" si="2364"/>
        <v>0</v>
      </c>
      <c r="CT1109">
        <f t="shared" si="2365"/>
        <v>0</v>
      </c>
      <c r="CU1109">
        <f t="shared" si="2366"/>
        <v>0</v>
      </c>
      <c r="CV1109">
        <f t="shared" si="2367"/>
        <v>0</v>
      </c>
      <c r="CW1109">
        <f t="shared" si="2368"/>
        <v>0</v>
      </c>
      <c r="CX1109">
        <f t="shared" si="2369"/>
        <v>0</v>
      </c>
      <c r="CY1109">
        <f t="shared" si="2370"/>
        <v>0</v>
      </c>
      <c r="CZ1109">
        <f t="shared" si="2371"/>
        <v>0</v>
      </c>
      <c r="DA1109">
        <f t="shared" si="2372"/>
        <v>0</v>
      </c>
      <c r="DB1109">
        <f t="shared" si="2373"/>
        <v>0</v>
      </c>
      <c r="DC1109">
        <f t="shared" si="2374"/>
        <v>0</v>
      </c>
      <c r="DD1109">
        <f t="shared" si="2375"/>
        <v>0</v>
      </c>
      <c r="DE1109">
        <f t="shared" si="2376"/>
        <v>0</v>
      </c>
      <c r="DF1109">
        <f t="shared" si="2377"/>
        <v>0</v>
      </c>
      <c r="DG1109">
        <f t="shared" si="2378"/>
        <v>0</v>
      </c>
      <c r="DH1109">
        <f t="shared" si="2379"/>
        <v>0</v>
      </c>
      <c r="DI1109">
        <f t="shared" si="2380"/>
        <v>0</v>
      </c>
      <c r="DJ1109">
        <f t="shared" si="2381"/>
        <v>0</v>
      </c>
      <c r="DK1109">
        <f t="shared" si="2382"/>
        <v>0</v>
      </c>
      <c r="DL1109">
        <f t="shared" si="2383"/>
        <v>0</v>
      </c>
      <c r="DM1109">
        <f t="shared" si="2384"/>
        <v>0</v>
      </c>
      <c r="DN1109">
        <f t="shared" si="2385"/>
        <v>0</v>
      </c>
      <c r="DO1109">
        <f t="shared" si="2386"/>
        <v>0</v>
      </c>
      <c r="DP1109">
        <f t="shared" si="2387"/>
        <v>0</v>
      </c>
      <c r="DQ1109">
        <f t="shared" si="2388"/>
        <v>0</v>
      </c>
      <c r="DR1109">
        <f t="shared" si="2389"/>
        <v>0</v>
      </c>
      <c r="DS1109">
        <f t="shared" si="2390"/>
        <v>0</v>
      </c>
      <c r="DT1109">
        <f t="shared" si="2391"/>
        <v>0</v>
      </c>
      <c r="DU1109">
        <f t="shared" si="2392"/>
        <v>0</v>
      </c>
      <c r="DV1109">
        <f t="shared" si="2393"/>
        <v>0</v>
      </c>
      <c r="DW1109">
        <f t="shared" si="2394"/>
        <v>0</v>
      </c>
      <c r="DX1109">
        <f t="shared" si="2395"/>
        <v>0</v>
      </c>
      <c r="DY1109">
        <f t="shared" si="2396"/>
        <v>0</v>
      </c>
      <c r="DZ1109">
        <f t="shared" si="2397"/>
        <v>0</v>
      </c>
      <c r="EA1109">
        <f t="shared" si="2398"/>
        <v>0</v>
      </c>
      <c r="EB1109">
        <f t="shared" si="2399"/>
        <v>0</v>
      </c>
      <c r="EC1109">
        <f t="shared" si="2400"/>
        <v>0</v>
      </c>
      <c r="ED1109">
        <f t="shared" si="2401"/>
        <v>0</v>
      </c>
      <c r="EE1109">
        <f t="shared" si="2401"/>
        <v>0</v>
      </c>
      <c r="EF1109">
        <f t="shared" si="2401"/>
        <v>0</v>
      </c>
    </row>
    <row r="1110" spans="1:136" ht="15.5">
      <c r="A1110" s="90"/>
      <c r="B1110" s="24" t="s">
        <v>238</v>
      </c>
      <c r="C1110" s="94"/>
      <c r="D1110" s="22"/>
      <c r="E1110" s="22"/>
      <c r="F1110" s="22"/>
      <c r="G1110" s="22"/>
      <c r="H1110" s="22"/>
      <c r="I1110" s="22"/>
      <c r="J1110" s="22"/>
      <c r="K1110" s="22"/>
      <c r="L1110" s="22"/>
      <c r="M1110" s="22"/>
      <c r="N1110" s="22"/>
      <c r="O1110" s="22"/>
      <c r="P1110" s="22"/>
      <c r="Q1110" s="22"/>
      <c r="R1110" s="22"/>
      <c r="S1110" s="34">
        <v>0</v>
      </c>
      <c r="T1110" s="34">
        <v>0</v>
      </c>
      <c r="U1110" s="34">
        <v>0</v>
      </c>
      <c r="V1110" s="34">
        <v>0</v>
      </c>
      <c r="W1110" s="34">
        <v>0</v>
      </c>
      <c r="X1110" s="34">
        <v>0</v>
      </c>
      <c r="Y1110" s="34">
        <v>0</v>
      </c>
      <c r="Z1110" s="34">
        <v>0</v>
      </c>
      <c r="AA1110" s="34">
        <v>0</v>
      </c>
      <c r="AB1110" s="34">
        <v>0</v>
      </c>
      <c r="AC1110" s="34">
        <v>0</v>
      </c>
      <c r="AD1110" s="34">
        <v>0</v>
      </c>
      <c r="AE1110" s="34">
        <v>0</v>
      </c>
      <c r="AF1110" s="34">
        <v>0</v>
      </c>
      <c r="AG1110" s="34">
        <v>0</v>
      </c>
      <c r="AH1110" s="34">
        <v>0</v>
      </c>
      <c r="AI1110" s="34">
        <v>0</v>
      </c>
      <c r="AJ1110" s="71">
        <v>11.6</v>
      </c>
      <c r="AK1110" s="18">
        <v>13</v>
      </c>
      <c r="AL1110" s="34">
        <v>0</v>
      </c>
      <c r="AM1110" s="34">
        <v>0</v>
      </c>
      <c r="AN1110" s="34">
        <v>0</v>
      </c>
      <c r="AO1110" s="34">
        <v>0</v>
      </c>
      <c r="AP1110" s="34">
        <v>0</v>
      </c>
      <c r="AQ1110" s="169">
        <v>27</v>
      </c>
      <c r="AR1110" s="18">
        <v>27</v>
      </c>
      <c r="AS1110" s="34">
        <v>0</v>
      </c>
      <c r="AT1110" s="34">
        <v>0</v>
      </c>
      <c r="AU1110" s="34">
        <v>0</v>
      </c>
      <c r="AV1110" s="34">
        <v>0</v>
      </c>
      <c r="AW1110" s="34">
        <v>0</v>
      </c>
      <c r="AX1110" s="34">
        <v>0</v>
      </c>
      <c r="AY1110" s="34">
        <v>0</v>
      </c>
      <c r="AZ1110" s="34">
        <v>0</v>
      </c>
      <c r="BA1110" s="34">
        <v>0</v>
      </c>
      <c r="BB1110" s="34">
        <v>0</v>
      </c>
      <c r="BC1110" s="34">
        <v>0</v>
      </c>
      <c r="BD1110" s="34">
        <v>0</v>
      </c>
      <c r="BE1110" s="34">
        <v>0</v>
      </c>
      <c r="BF1110" s="34">
        <v>0</v>
      </c>
      <c r="BG1110" s="34">
        <v>0</v>
      </c>
      <c r="BH1110" s="34">
        <v>0</v>
      </c>
      <c r="BI1110" s="34">
        <v>0</v>
      </c>
      <c r="BJ1110" s="34">
        <v>0</v>
      </c>
      <c r="BK1110" s="34">
        <v>0</v>
      </c>
      <c r="BL1110" s="34">
        <v>0</v>
      </c>
      <c r="BM1110" s="34">
        <v>0</v>
      </c>
      <c r="BN1110" s="34">
        <v>0</v>
      </c>
      <c r="BO1110" s="34">
        <v>0</v>
      </c>
      <c r="BP1110" s="34">
        <v>0</v>
      </c>
      <c r="BQ1110" s="18">
        <v>0</v>
      </c>
      <c r="BR1110" s="101"/>
      <c r="BS1110">
        <f t="shared" si="2338"/>
        <v>0</v>
      </c>
      <c r="BT1110">
        <f t="shared" si="2339"/>
        <v>0</v>
      </c>
      <c r="BU1110">
        <f t="shared" si="2340"/>
        <v>0</v>
      </c>
      <c r="BV1110">
        <f t="shared" si="2341"/>
        <v>0</v>
      </c>
      <c r="BW1110">
        <f t="shared" si="2342"/>
        <v>0</v>
      </c>
      <c r="BX1110">
        <f t="shared" si="2343"/>
        <v>0</v>
      </c>
      <c r="BY1110">
        <f t="shared" si="2344"/>
        <v>0</v>
      </c>
      <c r="BZ1110">
        <f t="shared" si="2345"/>
        <v>0</v>
      </c>
      <c r="CA1110">
        <f t="shared" si="2346"/>
        <v>0</v>
      </c>
      <c r="CB1110">
        <f t="shared" si="2347"/>
        <v>0</v>
      </c>
      <c r="CC1110">
        <f t="shared" si="2348"/>
        <v>0</v>
      </c>
      <c r="CD1110">
        <f t="shared" si="2349"/>
        <v>0</v>
      </c>
      <c r="CE1110">
        <f t="shared" si="2350"/>
        <v>0</v>
      </c>
      <c r="CF1110">
        <f t="shared" si="2351"/>
        <v>0</v>
      </c>
      <c r="CG1110">
        <f t="shared" si="2352"/>
        <v>0</v>
      </c>
      <c r="CH1110">
        <f t="shared" si="2353"/>
        <v>0</v>
      </c>
      <c r="CI1110">
        <f t="shared" si="2354"/>
        <v>0</v>
      </c>
      <c r="CJ1110">
        <f t="shared" si="2355"/>
        <v>0</v>
      </c>
      <c r="CK1110">
        <f t="shared" si="2356"/>
        <v>0</v>
      </c>
      <c r="CL1110">
        <f t="shared" si="2357"/>
        <v>0</v>
      </c>
      <c r="CM1110">
        <f t="shared" si="2358"/>
        <v>0</v>
      </c>
      <c r="CN1110">
        <f t="shared" si="2359"/>
        <v>0</v>
      </c>
      <c r="CO1110">
        <f t="shared" si="2360"/>
        <v>0</v>
      </c>
      <c r="CP1110">
        <f t="shared" si="2361"/>
        <v>0</v>
      </c>
      <c r="CQ1110">
        <f t="shared" si="2362"/>
        <v>0</v>
      </c>
      <c r="CR1110">
        <f t="shared" si="2363"/>
        <v>0</v>
      </c>
      <c r="CS1110">
        <f t="shared" si="2364"/>
        <v>0</v>
      </c>
      <c r="CT1110">
        <f t="shared" si="2365"/>
        <v>0</v>
      </c>
      <c r="CU1110">
        <f t="shared" si="2366"/>
        <v>0</v>
      </c>
      <c r="CV1110">
        <f t="shared" si="2367"/>
        <v>0</v>
      </c>
      <c r="CW1110">
        <f t="shared" si="2368"/>
        <v>0</v>
      </c>
      <c r="CX1110">
        <f t="shared" si="2369"/>
        <v>0</v>
      </c>
      <c r="CY1110">
        <f t="shared" si="2370"/>
        <v>0</v>
      </c>
      <c r="CZ1110">
        <f t="shared" si="2371"/>
        <v>0</v>
      </c>
      <c r="DA1110">
        <f t="shared" si="2372"/>
        <v>0</v>
      </c>
      <c r="DB1110">
        <f t="shared" si="2373"/>
        <v>0</v>
      </c>
      <c r="DC1110">
        <f t="shared" si="2374"/>
        <v>0</v>
      </c>
      <c r="DD1110">
        <f t="shared" si="2375"/>
        <v>0</v>
      </c>
      <c r="DE1110">
        <f t="shared" si="2376"/>
        <v>0</v>
      </c>
      <c r="DF1110">
        <f t="shared" si="2377"/>
        <v>0</v>
      </c>
      <c r="DG1110">
        <f t="shared" si="2378"/>
        <v>0</v>
      </c>
      <c r="DH1110">
        <f t="shared" si="2379"/>
        <v>0</v>
      </c>
      <c r="DI1110">
        <f t="shared" si="2380"/>
        <v>0</v>
      </c>
      <c r="DJ1110">
        <f t="shared" si="2381"/>
        <v>0</v>
      </c>
      <c r="DK1110">
        <f t="shared" si="2382"/>
        <v>0</v>
      </c>
      <c r="DL1110">
        <f t="shared" si="2383"/>
        <v>0</v>
      </c>
      <c r="DM1110">
        <f t="shared" si="2384"/>
        <v>0</v>
      </c>
      <c r="DN1110">
        <f t="shared" si="2385"/>
        <v>0</v>
      </c>
      <c r="DO1110">
        <f t="shared" si="2386"/>
        <v>0</v>
      </c>
      <c r="DP1110">
        <f t="shared" si="2387"/>
        <v>0</v>
      </c>
      <c r="DQ1110">
        <f t="shared" si="2388"/>
        <v>0</v>
      </c>
      <c r="DR1110">
        <f t="shared" si="2389"/>
        <v>0</v>
      </c>
      <c r="DS1110">
        <f t="shared" si="2390"/>
        <v>0</v>
      </c>
      <c r="DT1110">
        <f t="shared" si="2391"/>
        <v>0</v>
      </c>
      <c r="DU1110">
        <f t="shared" si="2392"/>
        <v>0</v>
      </c>
      <c r="DV1110">
        <f t="shared" si="2393"/>
        <v>0</v>
      </c>
      <c r="DW1110">
        <f t="shared" si="2394"/>
        <v>0</v>
      </c>
      <c r="DX1110">
        <f t="shared" si="2395"/>
        <v>0</v>
      </c>
      <c r="DY1110">
        <f t="shared" si="2396"/>
        <v>0</v>
      </c>
      <c r="DZ1110">
        <f t="shared" si="2397"/>
        <v>0</v>
      </c>
      <c r="EA1110">
        <f t="shared" si="2398"/>
        <v>0</v>
      </c>
      <c r="EB1110">
        <f t="shared" si="2399"/>
        <v>0</v>
      </c>
      <c r="EC1110">
        <f t="shared" si="2400"/>
        <v>0</v>
      </c>
      <c r="ED1110">
        <f t="shared" si="2401"/>
        <v>0</v>
      </c>
      <c r="EE1110">
        <f t="shared" si="2401"/>
        <v>0</v>
      </c>
      <c r="EF1110">
        <f t="shared" si="2401"/>
        <v>0</v>
      </c>
    </row>
    <row r="1111" spans="1:136" ht="15.5">
      <c r="A1111" s="90"/>
      <c r="B1111" s="24" t="s">
        <v>2</v>
      </c>
      <c r="C1111" s="94"/>
      <c r="D1111" s="22"/>
      <c r="E1111" s="22"/>
      <c r="F1111" s="22"/>
      <c r="G1111" s="22"/>
      <c r="H1111" s="22"/>
      <c r="I1111" s="22"/>
      <c r="J1111" s="22"/>
      <c r="K1111" s="22"/>
      <c r="L1111" s="22"/>
      <c r="M1111" s="22"/>
      <c r="N1111" s="22"/>
      <c r="O1111" s="22"/>
      <c r="P1111" s="22"/>
      <c r="Q1111" s="22"/>
      <c r="R1111" s="22"/>
      <c r="S1111" s="34">
        <v>0</v>
      </c>
      <c r="T1111" s="34">
        <v>0</v>
      </c>
      <c r="U1111" s="34">
        <v>0</v>
      </c>
      <c r="V1111" s="34">
        <v>0</v>
      </c>
      <c r="W1111" s="34">
        <v>0</v>
      </c>
      <c r="X1111" s="34">
        <v>0</v>
      </c>
      <c r="Y1111" s="34">
        <v>0</v>
      </c>
      <c r="Z1111" s="34">
        <v>0</v>
      </c>
      <c r="AA1111" s="34">
        <v>0</v>
      </c>
      <c r="AB1111" s="34">
        <v>0</v>
      </c>
      <c r="AC1111" s="34">
        <v>0</v>
      </c>
      <c r="AD1111" s="34">
        <v>0</v>
      </c>
      <c r="AE1111" s="34">
        <v>0</v>
      </c>
      <c r="AF1111" s="34">
        <v>0</v>
      </c>
      <c r="AG1111" s="34">
        <v>0</v>
      </c>
      <c r="AH1111" s="34">
        <v>0</v>
      </c>
      <c r="AI1111" s="34">
        <v>0</v>
      </c>
      <c r="AJ1111" s="71">
        <v>0</v>
      </c>
      <c r="AK1111" s="18">
        <v>0</v>
      </c>
      <c r="AL1111" s="18">
        <v>0</v>
      </c>
      <c r="AM1111" s="18">
        <v>0</v>
      </c>
      <c r="AN1111" s="18">
        <v>0</v>
      </c>
      <c r="AO1111" s="18">
        <v>0</v>
      </c>
      <c r="AP1111" s="18">
        <v>0</v>
      </c>
      <c r="AQ1111" s="18">
        <v>0</v>
      </c>
      <c r="AR1111" s="18">
        <v>0</v>
      </c>
      <c r="AS1111" s="18">
        <v>0</v>
      </c>
      <c r="AT1111" s="18">
        <v>0</v>
      </c>
      <c r="AU1111" s="18">
        <v>0</v>
      </c>
      <c r="AV1111" s="18">
        <v>0</v>
      </c>
      <c r="AW1111" s="18">
        <v>0</v>
      </c>
      <c r="AX1111" s="18">
        <v>0</v>
      </c>
      <c r="AY1111" s="18">
        <v>0</v>
      </c>
      <c r="AZ1111" s="18">
        <v>0</v>
      </c>
      <c r="BA1111" s="18">
        <v>0</v>
      </c>
      <c r="BB1111" s="18">
        <v>0</v>
      </c>
      <c r="BC1111" s="18">
        <v>0</v>
      </c>
      <c r="BD1111" s="18">
        <v>0</v>
      </c>
      <c r="BE1111" s="25">
        <v>0</v>
      </c>
      <c r="BF1111" s="18">
        <v>0</v>
      </c>
      <c r="BG1111" s="18">
        <v>0</v>
      </c>
      <c r="BH1111" s="18">
        <v>0</v>
      </c>
      <c r="BI1111" s="18">
        <v>0</v>
      </c>
      <c r="BJ1111" s="18">
        <v>0</v>
      </c>
      <c r="BK1111" s="18">
        <v>0</v>
      </c>
      <c r="BL1111" s="18">
        <v>0</v>
      </c>
      <c r="BM1111" s="18">
        <v>67</v>
      </c>
      <c r="BN1111" s="113">
        <v>98</v>
      </c>
      <c r="BO1111" s="113">
        <v>72</v>
      </c>
      <c r="BP1111" s="113">
        <v>88</v>
      </c>
      <c r="BQ1111" s="18">
        <v>0</v>
      </c>
      <c r="BR1111" s="101"/>
      <c r="BS1111">
        <f t="shared" si="2338"/>
        <v>0</v>
      </c>
      <c r="BT1111">
        <f t="shared" si="2339"/>
        <v>0</v>
      </c>
      <c r="BU1111">
        <f t="shared" si="2340"/>
        <v>0</v>
      </c>
      <c r="BV1111">
        <f t="shared" si="2341"/>
        <v>0</v>
      </c>
      <c r="BW1111">
        <f t="shared" si="2342"/>
        <v>0</v>
      </c>
      <c r="BX1111">
        <f t="shared" si="2343"/>
        <v>0</v>
      </c>
      <c r="BY1111">
        <f t="shared" si="2344"/>
        <v>0</v>
      </c>
      <c r="BZ1111">
        <f t="shared" si="2345"/>
        <v>0</v>
      </c>
      <c r="CA1111">
        <f t="shared" si="2346"/>
        <v>0</v>
      </c>
      <c r="CB1111">
        <f t="shared" si="2347"/>
        <v>0</v>
      </c>
      <c r="CC1111">
        <f t="shared" si="2348"/>
        <v>0</v>
      </c>
      <c r="CD1111">
        <f t="shared" si="2349"/>
        <v>0</v>
      </c>
      <c r="CE1111">
        <f t="shared" si="2350"/>
        <v>0</v>
      </c>
      <c r="CF1111">
        <f t="shared" si="2351"/>
        <v>0</v>
      </c>
      <c r="CG1111">
        <f t="shared" si="2352"/>
        <v>0</v>
      </c>
      <c r="CH1111">
        <f t="shared" si="2353"/>
        <v>0</v>
      </c>
      <c r="CI1111">
        <f t="shared" si="2354"/>
        <v>0</v>
      </c>
      <c r="CJ1111">
        <f t="shared" si="2355"/>
        <v>0</v>
      </c>
      <c r="CK1111">
        <f t="shared" si="2356"/>
        <v>0</v>
      </c>
      <c r="CL1111">
        <f t="shared" si="2357"/>
        <v>0</v>
      </c>
      <c r="CM1111">
        <f t="shared" si="2358"/>
        <v>0</v>
      </c>
      <c r="CN1111">
        <f t="shared" si="2359"/>
        <v>0</v>
      </c>
      <c r="CO1111">
        <f t="shared" si="2360"/>
        <v>0</v>
      </c>
      <c r="CP1111">
        <f t="shared" si="2361"/>
        <v>0</v>
      </c>
      <c r="CQ1111">
        <f t="shared" si="2362"/>
        <v>0</v>
      </c>
      <c r="CR1111">
        <f t="shared" si="2363"/>
        <v>0</v>
      </c>
      <c r="CS1111">
        <f t="shared" si="2364"/>
        <v>0</v>
      </c>
      <c r="CT1111">
        <f t="shared" si="2365"/>
        <v>0</v>
      </c>
      <c r="CU1111">
        <f t="shared" si="2366"/>
        <v>0</v>
      </c>
      <c r="CV1111">
        <f t="shared" si="2367"/>
        <v>0</v>
      </c>
      <c r="CW1111">
        <f t="shared" si="2368"/>
        <v>0</v>
      </c>
      <c r="CX1111">
        <f t="shared" si="2369"/>
        <v>0</v>
      </c>
      <c r="CY1111">
        <f t="shared" si="2370"/>
        <v>0</v>
      </c>
      <c r="CZ1111">
        <f t="shared" si="2371"/>
        <v>0</v>
      </c>
      <c r="DA1111">
        <f t="shared" si="2372"/>
        <v>0</v>
      </c>
      <c r="DB1111">
        <f t="shared" si="2373"/>
        <v>0</v>
      </c>
      <c r="DC1111">
        <f t="shared" si="2374"/>
        <v>0</v>
      </c>
      <c r="DD1111">
        <f t="shared" si="2375"/>
        <v>0</v>
      </c>
      <c r="DE1111">
        <f t="shared" si="2376"/>
        <v>0</v>
      </c>
      <c r="DF1111">
        <f t="shared" si="2377"/>
        <v>0</v>
      </c>
      <c r="DG1111">
        <f t="shared" si="2378"/>
        <v>0</v>
      </c>
      <c r="DH1111">
        <f t="shared" si="2379"/>
        <v>0</v>
      </c>
      <c r="DI1111">
        <f t="shared" si="2380"/>
        <v>0</v>
      </c>
      <c r="DJ1111">
        <f t="shared" si="2381"/>
        <v>0</v>
      </c>
      <c r="DK1111">
        <f t="shared" si="2382"/>
        <v>0</v>
      </c>
      <c r="DL1111">
        <f t="shared" si="2383"/>
        <v>0</v>
      </c>
      <c r="DM1111">
        <f t="shared" si="2384"/>
        <v>0</v>
      </c>
      <c r="DN1111">
        <f t="shared" si="2385"/>
        <v>0</v>
      </c>
      <c r="DO1111">
        <f t="shared" si="2386"/>
        <v>0</v>
      </c>
      <c r="DP1111">
        <f t="shared" si="2387"/>
        <v>0</v>
      </c>
      <c r="DQ1111">
        <f t="shared" si="2388"/>
        <v>0</v>
      </c>
      <c r="DR1111">
        <f t="shared" si="2389"/>
        <v>0</v>
      </c>
      <c r="DS1111">
        <f t="shared" si="2390"/>
        <v>0</v>
      </c>
      <c r="DT1111">
        <f t="shared" si="2391"/>
        <v>0</v>
      </c>
      <c r="DU1111">
        <f t="shared" si="2392"/>
        <v>0</v>
      </c>
      <c r="DV1111">
        <f t="shared" si="2393"/>
        <v>0</v>
      </c>
      <c r="DW1111">
        <f t="shared" si="2394"/>
        <v>0</v>
      </c>
      <c r="DX1111">
        <f t="shared" si="2395"/>
        <v>0</v>
      </c>
      <c r="DY1111">
        <f t="shared" si="2396"/>
        <v>0</v>
      </c>
      <c r="DZ1111">
        <f t="shared" si="2397"/>
        <v>0</v>
      </c>
      <c r="EA1111">
        <f t="shared" si="2398"/>
        <v>0</v>
      </c>
      <c r="EB1111">
        <f t="shared" si="2399"/>
        <v>0</v>
      </c>
      <c r="EC1111">
        <f t="shared" si="2400"/>
        <v>0</v>
      </c>
      <c r="ED1111">
        <f t="shared" si="2401"/>
        <v>0</v>
      </c>
      <c r="EE1111">
        <f t="shared" si="2401"/>
        <v>0</v>
      </c>
      <c r="EF1111">
        <f t="shared" si="2401"/>
        <v>0</v>
      </c>
    </row>
    <row r="1112" spans="1:136" ht="15.5">
      <c r="A1112" s="90"/>
      <c r="B1112" s="24" t="s">
        <v>205</v>
      </c>
      <c r="C1112" s="94"/>
      <c r="D1112" s="22"/>
      <c r="E1112" s="22"/>
      <c r="F1112" s="22"/>
      <c r="G1112" s="22"/>
      <c r="H1112" s="22"/>
      <c r="I1112" s="22"/>
      <c r="J1112" s="22"/>
      <c r="K1112" s="22"/>
      <c r="L1112" s="22"/>
      <c r="M1112" s="22"/>
      <c r="N1112" s="22"/>
      <c r="O1112" s="22"/>
      <c r="P1112" s="22"/>
      <c r="Q1112" s="22"/>
      <c r="R1112" s="22"/>
      <c r="S1112" s="34">
        <v>0</v>
      </c>
      <c r="T1112" s="34">
        <v>0</v>
      </c>
      <c r="U1112" s="34">
        <v>0</v>
      </c>
      <c r="V1112" s="34">
        <v>0</v>
      </c>
      <c r="W1112" s="34">
        <v>0</v>
      </c>
      <c r="X1112" s="34">
        <v>0</v>
      </c>
      <c r="Y1112" s="34">
        <v>0</v>
      </c>
      <c r="Z1112" s="34">
        <v>0</v>
      </c>
      <c r="AA1112" s="34">
        <v>0</v>
      </c>
      <c r="AB1112" s="34">
        <v>0</v>
      </c>
      <c r="AC1112" s="34">
        <v>0</v>
      </c>
      <c r="AD1112" s="34">
        <v>0</v>
      </c>
      <c r="AE1112" s="34">
        <v>0</v>
      </c>
      <c r="AF1112" s="34">
        <v>0</v>
      </c>
      <c r="AG1112" s="34">
        <v>0</v>
      </c>
      <c r="AH1112" s="34">
        <v>0</v>
      </c>
      <c r="AI1112" s="34">
        <v>0</v>
      </c>
      <c r="AJ1112" s="71">
        <v>0</v>
      </c>
      <c r="AK1112" s="18">
        <v>0</v>
      </c>
      <c r="AL1112" s="18">
        <v>0</v>
      </c>
      <c r="AM1112" s="18">
        <v>0</v>
      </c>
      <c r="AN1112" s="18">
        <v>0</v>
      </c>
      <c r="AO1112" s="18">
        <v>0</v>
      </c>
      <c r="AP1112" s="18">
        <v>0</v>
      </c>
      <c r="AQ1112" s="18">
        <v>0</v>
      </c>
      <c r="AR1112" s="18">
        <v>0</v>
      </c>
      <c r="AS1112" s="18">
        <v>0</v>
      </c>
      <c r="AT1112" s="18">
        <v>0</v>
      </c>
      <c r="AU1112" s="18">
        <v>0</v>
      </c>
      <c r="AV1112" s="18">
        <v>0</v>
      </c>
      <c r="AW1112" s="18">
        <v>0</v>
      </c>
      <c r="AX1112" s="18">
        <v>0</v>
      </c>
      <c r="AY1112" s="18">
        <v>0</v>
      </c>
      <c r="AZ1112" s="18">
        <v>0</v>
      </c>
      <c r="BA1112" s="18">
        <v>0</v>
      </c>
      <c r="BB1112" s="18">
        <v>0</v>
      </c>
      <c r="BC1112" s="18">
        <v>0</v>
      </c>
      <c r="BD1112" s="18">
        <v>0</v>
      </c>
      <c r="BE1112" s="25">
        <v>0</v>
      </c>
      <c r="BF1112" s="18">
        <v>0</v>
      </c>
      <c r="BG1112" s="18">
        <v>17</v>
      </c>
      <c r="BH1112" s="18">
        <v>17</v>
      </c>
      <c r="BI1112" s="18">
        <v>0</v>
      </c>
      <c r="BJ1112" s="18">
        <v>0</v>
      </c>
      <c r="BK1112" s="18">
        <v>0</v>
      </c>
      <c r="BL1112" s="18">
        <v>13.239975699999999</v>
      </c>
      <c r="BM1112" s="18">
        <v>41</v>
      </c>
      <c r="BN1112" s="113">
        <v>85</v>
      </c>
      <c r="BO1112" s="113">
        <v>53</v>
      </c>
      <c r="BP1112" s="113">
        <v>83</v>
      </c>
      <c r="BQ1112" s="18">
        <v>0</v>
      </c>
      <c r="BR1112" s="101"/>
      <c r="BS1112">
        <f t="shared" si="2338"/>
        <v>0</v>
      </c>
      <c r="BT1112">
        <f t="shared" si="2339"/>
        <v>0</v>
      </c>
      <c r="BU1112">
        <f t="shared" si="2340"/>
        <v>0</v>
      </c>
      <c r="BV1112">
        <f t="shared" si="2341"/>
        <v>0</v>
      </c>
      <c r="BW1112">
        <f t="shared" si="2342"/>
        <v>0</v>
      </c>
      <c r="BX1112">
        <f t="shared" si="2343"/>
        <v>0</v>
      </c>
      <c r="BY1112">
        <f t="shared" si="2344"/>
        <v>0</v>
      </c>
      <c r="BZ1112">
        <f t="shared" si="2345"/>
        <v>0</v>
      </c>
      <c r="CA1112">
        <f t="shared" si="2346"/>
        <v>0</v>
      </c>
      <c r="CB1112">
        <f t="shared" si="2347"/>
        <v>0</v>
      </c>
      <c r="CC1112">
        <f t="shared" si="2348"/>
        <v>0</v>
      </c>
      <c r="CD1112">
        <f t="shared" si="2349"/>
        <v>0</v>
      </c>
      <c r="CE1112">
        <f t="shared" si="2350"/>
        <v>0</v>
      </c>
      <c r="CF1112">
        <f t="shared" si="2351"/>
        <v>0</v>
      </c>
      <c r="CG1112">
        <f t="shared" si="2352"/>
        <v>0</v>
      </c>
      <c r="CH1112">
        <f t="shared" si="2353"/>
        <v>0</v>
      </c>
      <c r="CI1112">
        <f t="shared" si="2354"/>
        <v>0</v>
      </c>
      <c r="CJ1112">
        <f t="shared" si="2355"/>
        <v>0</v>
      </c>
      <c r="CK1112">
        <f t="shared" si="2356"/>
        <v>0</v>
      </c>
      <c r="CL1112">
        <f t="shared" si="2357"/>
        <v>0</v>
      </c>
      <c r="CM1112">
        <f t="shared" si="2358"/>
        <v>0</v>
      </c>
      <c r="CN1112">
        <f t="shared" si="2359"/>
        <v>0</v>
      </c>
      <c r="CO1112">
        <f t="shared" si="2360"/>
        <v>0</v>
      </c>
      <c r="CP1112">
        <f t="shared" si="2361"/>
        <v>0</v>
      </c>
      <c r="CQ1112">
        <f t="shared" si="2362"/>
        <v>0</v>
      </c>
      <c r="CR1112">
        <f t="shared" si="2363"/>
        <v>0</v>
      </c>
      <c r="CS1112">
        <f t="shared" si="2364"/>
        <v>0</v>
      </c>
      <c r="CT1112">
        <f t="shared" si="2365"/>
        <v>0</v>
      </c>
      <c r="CU1112">
        <f t="shared" si="2366"/>
        <v>0</v>
      </c>
      <c r="CV1112">
        <f t="shared" si="2367"/>
        <v>0</v>
      </c>
      <c r="CW1112">
        <f t="shared" si="2368"/>
        <v>0</v>
      </c>
      <c r="CX1112">
        <f t="shared" si="2369"/>
        <v>0</v>
      </c>
      <c r="CY1112">
        <f t="shared" si="2370"/>
        <v>0</v>
      </c>
      <c r="CZ1112">
        <f t="shared" si="2371"/>
        <v>0</v>
      </c>
      <c r="DA1112">
        <f t="shared" si="2372"/>
        <v>0</v>
      </c>
      <c r="DB1112">
        <f t="shared" si="2373"/>
        <v>0</v>
      </c>
      <c r="DC1112">
        <f t="shared" si="2374"/>
        <v>0</v>
      </c>
      <c r="DD1112">
        <f t="shared" si="2375"/>
        <v>0</v>
      </c>
      <c r="DE1112">
        <f t="shared" si="2376"/>
        <v>0</v>
      </c>
      <c r="DF1112">
        <f t="shared" si="2377"/>
        <v>0</v>
      </c>
      <c r="DG1112">
        <f t="shared" si="2378"/>
        <v>0</v>
      </c>
      <c r="DH1112">
        <f t="shared" si="2379"/>
        <v>0</v>
      </c>
      <c r="DI1112">
        <f t="shared" si="2380"/>
        <v>0</v>
      </c>
      <c r="DJ1112">
        <f t="shared" si="2381"/>
        <v>0</v>
      </c>
      <c r="DK1112">
        <f t="shared" si="2382"/>
        <v>0</v>
      </c>
      <c r="DL1112">
        <f t="shared" si="2383"/>
        <v>0</v>
      </c>
      <c r="DM1112">
        <f t="shared" si="2384"/>
        <v>0</v>
      </c>
      <c r="DN1112">
        <f t="shared" si="2385"/>
        <v>0</v>
      </c>
      <c r="DO1112">
        <f t="shared" si="2386"/>
        <v>0</v>
      </c>
      <c r="DP1112">
        <f t="shared" si="2387"/>
        <v>0</v>
      </c>
      <c r="DQ1112">
        <f t="shared" si="2388"/>
        <v>0</v>
      </c>
      <c r="DR1112">
        <f t="shared" si="2389"/>
        <v>0</v>
      </c>
      <c r="DS1112">
        <f t="shared" si="2390"/>
        <v>0</v>
      </c>
      <c r="DT1112">
        <f t="shared" si="2391"/>
        <v>0</v>
      </c>
      <c r="DU1112">
        <f t="shared" si="2392"/>
        <v>0</v>
      </c>
      <c r="DV1112">
        <f t="shared" si="2393"/>
        <v>0</v>
      </c>
      <c r="DW1112">
        <f t="shared" si="2394"/>
        <v>0</v>
      </c>
      <c r="DX1112">
        <f t="shared" si="2395"/>
        <v>0</v>
      </c>
      <c r="DY1112">
        <f t="shared" si="2396"/>
        <v>0</v>
      </c>
      <c r="DZ1112">
        <f t="shared" si="2397"/>
        <v>0</v>
      </c>
      <c r="EA1112">
        <f t="shared" si="2398"/>
        <v>0</v>
      </c>
      <c r="EB1112">
        <f t="shared" si="2399"/>
        <v>0</v>
      </c>
      <c r="EC1112">
        <f t="shared" si="2400"/>
        <v>0</v>
      </c>
      <c r="ED1112">
        <f t="shared" si="2401"/>
        <v>0</v>
      </c>
      <c r="EE1112">
        <f t="shared" si="2401"/>
        <v>0</v>
      </c>
      <c r="EF1112">
        <f t="shared" si="2401"/>
        <v>0</v>
      </c>
    </row>
    <row r="1113" spans="1:136" ht="15.5">
      <c r="A1113" s="90"/>
      <c r="B1113" s="19" t="s">
        <v>3</v>
      </c>
      <c r="C1113" s="94"/>
      <c r="D1113" s="34"/>
      <c r="E1113" s="34"/>
      <c r="F1113" s="34"/>
      <c r="G1113" s="34"/>
      <c r="H1113" s="34"/>
      <c r="I1113" s="34"/>
      <c r="J1113" s="34"/>
      <c r="K1113" s="34"/>
      <c r="L1113" s="34"/>
      <c r="M1113" s="34"/>
      <c r="N1113" s="34"/>
      <c r="O1113" s="34"/>
      <c r="P1113" s="34"/>
      <c r="Q1113" s="34"/>
      <c r="R1113" s="34"/>
      <c r="S1113" s="34">
        <v>0</v>
      </c>
      <c r="T1113" s="34">
        <v>0</v>
      </c>
      <c r="U1113" s="34">
        <v>0</v>
      </c>
      <c r="V1113" s="34">
        <v>0</v>
      </c>
      <c r="W1113" s="34">
        <v>0</v>
      </c>
      <c r="X1113" s="34">
        <v>0</v>
      </c>
      <c r="Y1113" s="34">
        <v>0</v>
      </c>
      <c r="Z1113" s="34">
        <v>0</v>
      </c>
      <c r="AA1113" s="34">
        <v>0</v>
      </c>
      <c r="AB1113" s="34">
        <v>0</v>
      </c>
      <c r="AC1113" s="34">
        <v>0</v>
      </c>
      <c r="AD1113" s="34">
        <v>0</v>
      </c>
      <c r="AE1113" s="34">
        <v>0</v>
      </c>
      <c r="AF1113" s="34">
        <v>0</v>
      </c>
      <c r="AG1113" s="34">
        <v>0</v>
      </c>
      <c r="AH1113" s="34">
        <v>0</v>
      </c>
      <c r="AI1113" s="34">
        <v>16</v>
      </c>
      <c r="AJ1113" s="34">
        <v>13</v>
      </c>
      <c r="AK1113" s="34">
        <v>21</v>
      </c>
      <c r="AL1113" s="34">
        <v>26</v>
      </c>
      <c r="AM1113" s="34">
        <v>2</v>
      </c>
      <c r="AN1113" s="34">
        <v>2</v>
      </c>
      <c r="AO1113" s="34">
        <v>0</v>
      </c>
      <c r="AP1113" s="34">
        <v>18</v>
      </c>
      <c r="AQ1113" s="34">
        <f>34-AQ1110</f>
        <v>7</v>
      </c>
      <c r="AR1113" s="34">
        <v>12</v>
      </c>
      <c r="AS1113" s="34">
        <v>87</v>
      </c>
      <c r="AT1113" s="34">
        <v>93</v>
      </c>
      <c r="AU1113" s="34">
        <v>107</v>
      </c>
      <c r="AV1113" s="34">
        <v>123</v>
      </c>
      <c r="AW1113" s="34">
        <v>141</v>
      </c>
      <c r="AX1113" s="34">
        <v>148</v>
      </c>
      <c r="AY1113" s="34">
        <v>140</v>
      </c>
      <c r="AZ1113" s="34">
        <v>150</v>
      </c>
      <c r="BA1113" s="34">
        <v>117</v>
      </c>
      <c r="BB1113" s="34">
        <v>48</v>
      </c>
      <c r="BC1113" s="34">
        <v>14</v>
      </c>
      <c r="BD1113" s="34">
        <v>27</v>
      </c>
      <c r="BE1113" s="42">
        <v>17</v>
      </c>
      <c r="BF1113" s="34">
        <v>17</v>
      </c>
      <c r="BG1113" s="34">
        <f>17.2091612-BG1112</f>
        <v>0.20916120000000049</v>
      </c>
      <c r="BH1113" s="34">
        <f>16.9907163-BH1112</f>
        <v>-9.283700000001005E-3</v>
      </c>
      <c r="BI1113" s="34">
        <v>0.79500000000000004</v>
      </c>
      <c r="BJ1113" s="34">
        <v>0</v>
      </c>
      <c r="BK1113" s="34">
        <v>3.3702000000000003E-2</v>
      </c>
      <c r="BL1113" s="18">
        <f>22.7674749-BL1112</f>
        <v>9.5274992000000012</v>
      </c>
      <c r="BM1113" s="113">
        <v>54.563952700000002</v>
      </c>
      <c r="BN1113" s="113">
        <v>81.396188900000013</v>
      </c>
      <c r="BO1113" s="113">
        <v>24</v>
      </c>
      <c r="BP1113" s="34">
        <v>23</v>
      </c>
      <c r="BQ1113" s="18">
        <v>0</v>
      </c>
      <c r="BR1113" s="101"/>
      <c r="BS1113">
        <f t="shared" si="2338"/>
        <v>0</v>
      </c>
      <c r="BT1113">
        <f t="shared" si="2339"/>
        <v>0</v>
      </c>
      <c r="BU1113">
        <f t="shared" si="2340"/>
        <v>0</v>
      </c>
      <c r="BV1113">
        <f t="shared" si="2341"/>
        <v>0</v>
      </c>
      <c r="BW1113">
        <f t="shared" si="2342"/>
        <v>0</v>
      </c>
      <c r="BX1113">
        <f t="shared" si="2343"/>
        <v>0</v>
      </c>
      <c r="BY1113">
        <f t="shared" si="2344"/>
        <v>0</v>
      </c>
      <c r="BZ1113">
        <f t="shared" si="2345"/>
        <v>0</v>
      </c>
      <c r="CA1113">
        <f t="shared" si="2346"/>
        <v>0</v>
      </c>
      <c r="CB1113">
        <f t="shared" si="2347"/>
        <v>0</v>
      </c>
      <c r="CC1113">
        <f t="shared" si="2348"/>
        <v>0</v>
      </c>
      <c r="CD1113">
        <f t="shared" si="2349"/>
        <v>0</v>
      </c>
      <c r="CE1113">
        <f t="shared" si="2350"/>
        <v>0</v>
      </c>
      <c r="CF1113">
        <f t="shared" si="2351"/>
        <v>0</v>
      </c>
      <c r="CG1113">
        <f t="shared" si="2352"/>
        <v>0</v>
      </c>
      <c r="CH1113">
        <f t="shared" si="2353"/>
        <v>0</v>
      </c>
      <c r="CI1113">
        <f t="shared" si="2354"/>
        <v>0</v>
      </c>
      <c r="CJ1113">
        <f t="shared" si="2355"/>
        <v>0</v>
      </c>
      <c r="CK1113">
        <f t="shared" si="2356"/>
        <v>0</v>
      </c>
      <c r="CL1113">
        <f t="shared" si="2357"/>
        <v>0</v>
      </c>
      <c r="CM1113">
        <f t="shared" si="2358"/>
        <v>0</v>
      </c>
      <c r="CN1113">
        <f t="shared" si="2359"/>
        <v>0</v>
      </c>
      <c r="CO1113">
        <f t="shared" si="2360"/>
        <v>0</v>
      </c>
      <c r="CP1113">
        <f t="shared" si="2361"/>
        <v>0</v>
      </c>
      <c r="CQ1113">
        <f t="shared" si="2362"/>
        <v>0</v>
      </c>
      <c r="CR1113">
        <f t="shared" si="2363"/>
        <v>0</v>
      </c>
      <c r="CS1113">
        <f t="shared" si="2364"/>
        <v>0</v>
      </c>
      <c r="CT1113">
        <f t="shared" si="2365"/>
        <v>0</v>
      </c>
      <c r="CU1113">
        <f t="shared" si="2366"/>
        <v>0</v>
      </c>
      <c r="CV1113">
        <f t="shared" si="2367"/>
        <v>0</v>
      </c>
      <c r="CW1113">
        <f t="shared" si="2368"/>
        <v>0</v>
      </c>
      <c r="CX1113">
        <f t="shared" si="2369"/>
        <v>0</v>
      </c>
      <c r="CY1113">
        <f t="shared" si="2370"/>
        <v>0</v>
      </c>
      <c r="CZ1113">
        <f t="shared" si="2371"/>
        <v>0</v>
      </c>
      <c r="DA1113">
        <f t="shared" si="2372"/>
        <v>0</v>
      </c>
      <c r="DB1113">
        <f t="shared" si="2373"/>
        <v>0</v>
      </c>
      <c r="DC1113">
        <f t="shared" si="2374"/>
        <v>0</v>
      </c>
      <c r="DD1113">
        <f t="shared" si="2375"/>
        <v>0</v>
      </c>
      <c r="DE1113">
        <f t="shared" si="2376"/>
        <v>0</v>
      </c>
      <c r="DF1113">
        <f t="shared" si="2377"/>
        <v>0</v>
      </c>
      <c r="DG1113">
        <f t="shared" si="2378"/>
        <v>0</v>
      </c>
      <c r="DH1113">
        <f t="shared" si="2379"/>
        <v>0</v>
      </c>
      <c r="DI1113">
        <f t="shared" si="2380"/>
        <v>0</v>
      </c>
      <c r="DJ1113">
        <f t="shared" si="2381"/>
        <v>0</v>
      </c>
      <c r="DK1113">
        <f t="shared" si="2382"/>
        <v>0</v>
      </c>
      <c r="DL1113">
        <f t="shared" si="2383"/>
        <v>0</v>
      </c>
      <c r="DM1113">
        <f t="shared" si="2384"/>
        <v>0</v>
      </c>
      <c r="DN1113">
        <f t="shared" si="2385"/>
        <v>0</v>
      </c>
      <c r="DO1113">
        <f t="shared" si="2386"/>
        <v>0</v>
      </c>
      <c r="DP1113">
        <f t="shared" si="2387"/>
        <v>0</v>
      </c>
      <c r="DQ1113">
        <f t="shared" si="2388"/>
        <v>0</v>
      </c>
      <c r="DR1113">
        <f t="shared" si="2389"/>
        <v>0</v>
      </c>
      <c r="DS1113">
        <f t="shared" si="2390"/>
        <v>0</v>
      </c>
      <c r="DT1113">
        <f t="shared" si="2391"/>
        <v>0</v>
      </c>
      <c r="DU1113">
        <f t="shared" si="2392"/>
        <v>0</v>
      </c>
      <c r="DV1113">
        <f t="shared" si="2393"/>
        <v>0</v>
      </c>
      <c r="DW1113">
        <f t="shared" si="2394"/>
        <v>0</v>
      </c>
      <c r="DX1113">
        <f t="shared" si="2395"/>
        <v>0</v>
      </c>
      <c r="DY1113">
        <f t="shared" si="2396"/>
        <v>0</v>
      </c>
      <c r="DZ1113">
        <f t="shared" si="2397"/>
        <v>0</v>
      </c>
      <c r="EA1113">
        <f t="shared" si="2398"/>
        <v>0</v>
      </c>
      <c r="EB1113">
        <f t="shared" si="2399"/>
        <v>0</v>
      </c>
      <c r="EC1113">
        <f t="shared" si="2400"/>
        <v>0</v>
      </c>
      <c r="ED1113">
        <f t="shared" si="2401"/>
        <v>0</v>
      </c>
      <c r="EE1113">
        <f t="shared" si="2401"/>
        <v>0</v>
      </c>
      <c r="EF1113">
        <f t="shared" si="2401"/>
        <v>0</v>
      </c>
    </row>
    <row r="1114" spans="1:136" ht="15.5">
      <c r="A1114" s="90"/>
      <c r="B1114" s="19" t="s">
        <v>18</v>
      </c>
      <c r="C1114" s="94"/>
      <c r="D1114" s="34"/>
      <c r="E1114" s="34"/>
      <c r="F1114" s="34"/>
      <c r="G1114" s="34"/>
      <c r="H1114" s="34"/>
      <c r="I1114" s="34"/>
      <c r="J1114" s="34"/>
      <c r="K1114" s="34"/>
      <c r="L1114" s="34"/>
      <c r="M1114" s="34"/>
      <c r="N1114" s="34"/>
      <c r="O1114" s="34"/>
      <c r="P1114" s="34"/>
      <c r="Q1114" s="34"/>
      <c r="R1114" s="34"/>
      <c r="S1114" s="34">
        <v>0</v>
      </c>
      <c r="T1114" s="34">
        <v>0</v>
      </c>
      <c r="U1114" s="34">
        <v>0</v>
      </c>
      <c r="V1114" s="34">
        <v>0</v>
      </c>
      <c r="W1114" s="34">
        <v>0</v>
      </c>
      <c r="X1114" s="34">
        <v>0</v>
      </c>
      <c r="Y1114" s="34">
        <v>0</v>
      </c>
      <c r="Z1114" s="34">
        <v>0</v>
      </c>
      <c r="AA1114" s="34">
        <v>0</v>
      </c>
      <c r="AB1114" s="34">
        <v>0</v>
      </c>
      <c r="AC1114" s="34">
        <v>0</v>
      </c>
      <c r="AD1114" s="34">
        <v>0</v>
      </c>
      <c r="AE1114" s="34">
        <v>0</v>
      </c>
      <c r="AF1114" s="34">
        <v>0</v>
      </c>
      <c r="AG1114" s="34">
        <v>0</v>
      </c>
      <c r="AH1114" s="34">
        <v>0</v>
      </c>
      <c r="AI1114" s="34">
        <v>0</v>
      </c>
      <c r="AJ1114" s="34">
        <v>0</v>
      </c>
      <c r="AK1114" s="34">
        <v>0</v>
      </c>
      <c r="AL1114" s="34">
        <v>0</v>
      </c>
      <c r="AM1114" s="34">
        <v>0</v>
      </c>
      <c r="AN1114" s="34">
        <v>0</v>
      </c>
      <c r="AO1114" s="34">
        <v>0</v>
      </c>
      <c r="AP1114" s="34">
        <v>0</v>
      </c>
      <c r="AQ1114" s="34">
        <v>0</v>
      </c>
      <c r="AR1114" s="34">
        <v>0</v>
      </c>
      <c r="AS1114" s="34">
        <v>36</v>
      </c>
      <c r="AT1114" s="34">
        <v>0</v>
      </c>
      <c r="AU1114" s="34">
        <v>0</v>
      </c>
      <c r="AV1114" s="34">
        <v>0</v>
      </c>
      <c r="AW1114" s="34">
        <v>0</v>
      </c>
      <c r="AX1114" s="34">
        <v>0</v>
      </c>
      <c r="AY1114" s="34">
        <v>0</v>
      </c>
      <c r="AZ1114" s="34">
        <v>0</v>
      </c>
      <c r="BA1114" s="34">
        <v>0</v>
      </c>
      <c r="BB1114" s="34">
        <v>0</v>
      </c>
      <c r="BC1114" s="34">
        <v>0</v>
      </c>
      <c r="BD1114" s="34">
        <v>0</v>
      </c>
      <c r="BE1114" s="42">
        <v>0</v>
      </c>
      <c r="BF1114" s="34">
        <v>0</v>
      </c>
      <c r="BG1114" s="34">
        <v>0</v>
      </c>
      <c r="BH1114" s="34">
        <v>0</v>
      </c>
      <c r="BI1114" s="34">
        <v>0</v>
      </c>
      <c r="BJ1114" s="34">
        <v>0</v>
      </c>
      <c r="BK1114" s="34">
        <v>0</v>
      </c>
      <c r="BL1114" s="18">
        <v>0</v>
      </c>
      <c r="BM1114" s="113">
        <v>0</v>
      </c>
      <c r="BN1114" s="113">
        <v>0</v>
      </c>
      <c r="BO1114" s="113">
        <v>0</v>
      </c>
      <c r="BP1114" s="18">
        <v>0</v>
      </c>
      <c r="BQ1114" s="18">
        <v>0</v>
      </c>
      <c r="BR1114" s="101"/>
    </row>
    <row r="1115" spans="1:136" ht="15.5">
      <c r="A1115" s="90"/>
      <c r="B1115" s="19" t="s">
        <v>25</v>
      </c>
      <c r="C1115" s="94"/>
      <c r="D1115" s="34"/>
      <c r="E1115" s="34"/>
      <c r="F1115" s="34"/>
      <c r="G1115" s="34"/>
      <c r="H1115" s="34"/>
      <c r="I1115" s="34"/>
      <c r="J1115" s="34"/>
      <c r="K1115" s="34"/>
      <c r="L1115" s="34"/>
      <c r="M1115" s="34"/>
      <c r="N1115" s="34"/>
      <c r="O1115" s="34"/>
      <c r="P1115" s="34"/>
      <c r="Q1115" s="34"/>
      <c r="R1115" s="34"/>
      <c r="S1115" s="34">
        <v>0</v>
      </c>
      <c r="T1115" s="34">
        <v>0</v>
      </c>
      <c r="U1115" s="34">
        <v>0</v>
      </c>
      <c r="V1115" s="34">
        <v>0</v>
      </c>
      <c r="W1115" s="34">
        <v>0</v>
      </c>
      <c r="X1115" s="34">
        <v>0</v>
      </c>
      <c r="Y1115" s="34">
        <v>0</v>
      </c>
      <c r="Z1115" s="34">
        <v>0</v>
      </c>
      <c r="AA1115" s="34">
        <v>0</v>
      </c>
      <c r="AB1115" s="34">
        <v>0</v>
      </c>
      <c r="AC1115" s="34">
        <v>0</v>
      </c>
      <c r="AD1115" s="34">
        <v>0</v>
      </c>
      <c r="AE1115" s="34">
        <v>0</v>
      </c>
      <c r="AF1115" s="34">
        <v>0</v>
      </c>
      <c r="AG1115" s="34">
        <v>0</v>
      </c>
      <c r="AH1115" s="34">
        <v>0</v>
      </c>
      <c r="AI1115" s="34">
        <v>0</v>
      </c>
      <c r="AJ1115" s="34">
        <v>0</v>
      </c>
      <c r="AK1115" s="34">
        <v>0</v>
      </c>
      <c r="AL1115" s="34">
        <v>0</v>
      </c>
      <c r="AM1115" s="34">
        <v>0</v>
      </c>
      <c r="AN1115" s="34">
        <v>0</v>
      </c>
      <c r="AO1115" s="34">
        <v>0</v>
      </c>
      <c r="AP1115" s="34">
        <v>0</v>
      </c>
      <c r="AQ1115" s="34">
        <v>0</v>
      </c>
      <c r="AR1115" s="34">
        <v>0</v>
      </c>
      <c r="AS1115" s="34">
        <v>0</v>
      </c>
      <c r="AT1115" s="34">
        <v>0</v>
      </c>
      <c r="AU1115" s="34">
        <v>0</v>
      </c>
      <c r="AV1115" s="34">
        <v>0</v>
      </c>
      <c r="AW1115" s="34">
        <v>0</v>
      </c>
      <c r="AX1115" s="34">
        <v>0</v>
      </c>
      <c r="AY1115" s="34">
        <v>0</v>
      </c>
      <c r="AZ1115" s="34">
        <v>0</v>
      </c>
      <c r="BA1115" s="34">
        <v>0</v>
      </c>
      <c r="BB1115" s="34">
        <v>0</v>
      </c>
      <c r="BC1115" s="34">
        <v>0</v>
      </c>
      <c r="BD1115" s="34">
        <v>0</v>
      </c>
      <c r="BE1115" s="34">
        <v>0</v>
      </c>
      <c r="BF1115" s="34">
        <v>0</v>
      </c>
      <c r="BG1115" s="34">
        <v>0</v>
      </c>
      <c r="BH1115" s="34">
        <v>0</v>
      </c>
      <c r="BI1115" s="34">
        <v>0</v>
      </c>
      <c r="BJ1115" s="34">
        <v>0</v>
      </c>
      <c r="BK1115" s="34">
        <v>0</v>
      </c>
      <c r="BL1115" s="113">
        <f>675+13</f>
        <v>688</v>
      </c>
      <c r="BM1115" s="113">
        <f>BL1115+26-BM1113</f>
        <v>659.43604730000004</v>
      </c>
      <c r="BN1115" s="113">
        <v>753</v>
      </c>
      <c r="BO1115" s="113">
        <v>813</v>
      </c>
      <c r="BP1115" s="18">
        <v>0</v>
      </c>
      <c r="BQ1115" s="18">
        <v>0</v>
      </c>
      <c r="BR1115" s="101"/>
      <c r="BS1115">
        <f t="shared" si="2338"/>
        <v>0</v>
      </c>
      <c r="BT1115">
        <f t="shared" si="2339"/>
        <v>0</v>
      </c>
      <c r="BU1115">
        <f t="shared" si="2340"/>
        <v>0</v>
      </c>
      <c r="BV1115">
        <f t="shared" si="2341"/>
        <v>0</v>
      </c>
      <c r="BW1115">
        <f t="shared" si="2342"/>
        <v>0</v>
      </c>
      <c r="BX1115">
        <f t="shared" si="2343"/>
        <v>0</v>
      </c>
      <c r="BY1115">
        <f t="shared" si="2344"/>
        <v>0</v>
      </c>
      <c r="BZ1115">
        <f t="shared" si="2345"/>
        <v>0</v>
      </c>
      <c r="CA1115">
        <f t="shared" si="2346"/>
        <v>0</v>
      </c>
      <c r="CB1115">
        <f t="shared" si="2347"/>
        <v>0</v>
      </c>
      <c r="CC1115">
        <f t="shared" si="2348"/>
        <v>0</v>
      </c>
      <c r="CD1115">
        <f t="shared" si="2349"/>
        <v>0</v>
      </c>
      <c r="CE1115">
        <f t="shared" si="2350"/>
        <v>0</v>
      </c>
      <c r="CF1115">
        <f t="shared" si="2351"/>
        <v>0</v>
      </c>
      <c r="CG1115">
        <f t="shared" si="2352"/>
        <v>0</v>
      </c>
      <c r="CH1115">
        <f t="shared" si="2353"/>
        <v>0</v>
      </c>
      <c r="CI1115">
        <f t="shared" si="2354"/>
        <v>0</v>
      </c>
      <c r="CJ1115">
        <f t="shared" si="2355"/>
        <v>0</v>
      </c>
      <c r="CK1115">
        <f t="shared" si="2356"/>
        <v>0</v>
      </c>
      <c r="CL1115">
        <f t="shared" si="2357"/>
        <v>0</v>
      </c>
      <c r="CM1115">
        <f t="shared" si="2358"/>
        <v>0</v>
      </c>
      <c r="CN1115">
        <f t="shared" si="2359"/>
        <v>0</v>
      </c>
      <c r="CO1115">
        <f t="shared" si="2360"/>
        <v>0</v>
      </c>
      <c r="CP1115">
        <f t="shared" si="2361"/>
        <v>0</v>
      </c>
      <c r="CQ1115">
        <f t="shared" si="2362"/>
        <v>0</v>
      </c>
      <c r="CR1115">
        <f t="shared" si="2363"/>
        <v>0</v>
      </c>
      <c r="CS1115">
        <f t="shared" si="2364"/>
        <v>0</v>
      </c>
      <c r="CT1115">
        <f t="shared" si="2365"/>
        <v>0</v>
      </c>
      <c r="CU1115">
        <f t="shared" si="2366"/>
        <v>0</v>
      </c>
      <c r="CV1115">
        <f t="shared" si="2367"/>
        <v>0</v>
      </c>
      <c r="CW1115">
        <f t="shared" si="2368"/>
        <v>0</v>
      </c>
      <c r="CX1115">
        <f t="shared" si="2369"/>
        <v>0</v>
      </c>
      <c r="CY1115">
        <f t="shared" si="2370"/>
        <v>0</v>
      </c>
      <c r="CZ1115">
        <f t="shared" si="2371"/>
        <v>0</v>
      </c>
      <c r="DA1115">
        <f t="shared" si="2372"/>
        <v>0</v>
      </c>
      <c r="DB1115">
        <f t="shared" si="2373"/>
        <v>0</v>
      </c>
      <c r="DC1115">
        <f t="shared" si="2374"/>
        <v>0</v>
      </c>
      <c r="DD1115">
        <f t="shared" si="2375"/>
        <v>0</v>
      </c>
      <c r="DE1115">
        <f t="shared" si="2376"/>
        <v>0</v>
      </c>
      <c r="DF1115">
        <f t="shared" si="2377"/>
        <v>0</v>
      </c>
      <c r="DG1115">
        <f t="shared" si="2378"/>
        <v>0</v>
      </c>
      <c r="DH1115">
        <f t="shared" si="2379"/>
        <v>0</v>
      </c>
      <c r="DI1115">
        <f t="shared" si="2380"/>
        <v>0</v>
      </c>
      <c r="DJ1115">
        <f t="shared" si="2381"/>
        <v>0</v>
      </c>
      <c r="DK1115">
        <f t="shared" si="2382"/>
        <v>0</v>
      </c>
      <c r="DL1115">
        <f t="shared" si="2383"/>
        <v>0</v>
      </c>
      <c r="DM1115">
        <f t="shared" si="2384"/>
        <v>0</v>
      </c>
      <c r="DN1115">
        <f t="shared" si="2385"/>
        <v>0</v>
      </c>
      <c r="DO1115">
        <f t="shared" si="2386"/>
        <v>0</v>
      </c>
      <c r="DP1115">
        <f t="shared" si="2387"/>
        <v>0</v>
      </c>
      <c r="DQ1115">
        <f t="shared" si="2388"/>
        <v>0</v>
      </c>
      <c r="DR1115">
        <f t="shared" si="2389"/>
        <v>0</v>
      </c>
      <c r="DS1115">
        <f t="shared" si="2390"/>
        <v>0</v>
      </c>
      <c r="DT1115">
        <f t="shared" si="2391"/>
        <v>0</v>
      </c>
      <c r="DU1115">
        <f t="shared" si="2392"/>
        <v>0</v>
      </c>
      <c r="DV1115">
        <f t="shared" si="2393"/>
        <v>0</v>
      </c>
      <c r="DW1115">
        <f t="shared" si="2394"/>
        <v>0</v>
      </c>
      <c r="DX1115">
        <f t="shared" si="2395"/>
        <v>0</v>
      </c>
      <c r="DY1115">
        <f t="shared" si="2396"/>
        <v>0</v>
      </c>
      <c r="DZ1115">
        <f t="shared" si="2397"/>
        <v>0</v>
      </c>
      <c r="EA1115">
        <f t="shared" si="2398"/>
        <v>0</v>
      </c>
      <c r="EB1115">
        <f>IF($C1115&lt;&gt;"",IF(BM1115&gt;0,1,0),0)</f>
        <v>0</v>
      </c>
      <c r="EC1115">
        <f t="shared" si="2400"/>
        <v>0</v>
      </c>
      <c r="ED1115">
        <f t="shared" si="2401"/>
        <v>0</v>
      </c>
      <c r="EE1115">
        <f t="shared" si="2401"/>
        <v>0</v>
      </c>
      <c r="EF1115">
        <f t="shared" si="2401"/>
        <v>0</v>
      </c>
    </row>
    <row r="1116" spans="1:136" ht="15.5">
      <c r="A1116" s="90"/>
      <c r="B1116" s="57" t="s">
        <v>208</v>
      </c>
      <c r="C1116" s="94"/>
      <c r="D1116" s="34"/>
      <c r="E1116" s="34"/>
      <c r="F1116" s="34"/>
      <c r="G1116" s="34"/>
      <c r="H1116" s="34"/>
      <c r="I1116" s="34"/>
      <c r="J1116" s="34"/>
      <c r="K1116" s="34"/>
      <c r="L1116" s="34"/>
      <c r="M1116" s="34"/>
      <c r="N1116" s="34"/>
      <c r="O1116" s="34"/>
      <c r="P1116" s="34"/>
      <c r="Q1116" s="34"/>
      <c r="R1116" s="34"/>
      <c r="S1116" s="34">
        <v>0</v>
      </c>
      <c r="T1116" s="34">
        <v>0</v>
      </c>
      <c r="U1116" s="34">
        <v>0</v>
      </c>
      <c r="V1116" s="34">
        <v>0</v>
      </c>
      <c r="W1116" s="34">
        <v>0</v>
      </c>
      <c r="X1116" s="34">
        <v>0</v>
      </c>
      <c r="Y1116" s="34">
        <v>0</v>
      </c>
      <c r="Z1116" s="34">
        <v>0</v>
      </c>
      <c r="AA1116" s="34">
        <v>0</v>
      </c>
      <c r="AB1116" s="34">
        <v>0</v>
      </c>
      <c r="AC1116" s="34">
        <v>0</v>
      </c>
      <c r="AD1116" s="34">
        <v>0</v>
      </c>
      <c r="AE1116" s="34">
        <v>0</v>
      </c>
      <c r="AF1116" s="34">
        <v>0</v>
      </c>
      <c r="AG1116" s="34">
        <v>0</v>
      </c>
      <c r="AH1116" s="34">
        <v>2</v>
      </c>
      <c r="AI1116" s="34">
        <v>5</v>
      </c>
      <c r="AJ1116" s="34">
        <v>13</v>
      </c>
      <c r="AK1116" s="34">
        <v>20</v>
      </c>
      <c r="AL1116" s="34">
        <v>32</v>
      </c>
      <c r="AM1116" s="34">
        <v>18</v>
      </c>
      <c r="AN1116" s="34">
        <v>18</v>
      </c>
      <c r="AO1116" s="34">
        <v>19</v>
      </c>
      <c r="AP1116" s="34">
        <v>18</v>
      </c>
      <c r="AQ1116" s="34">
        <v>19</v>
      </c>
      <c r="AR1116" s="34">
        <v>18</v>
      </c>
      <c r="AS1116" s="40" t="s">
        <v>16</v>
      </c>
      <c r="AT1116" s="34">
        <v>18</v>
      </c>
      <c r="AU1116" s="34">
        <v>0</v>
      </c>
      <c r="AV1116" s="34">
        <v>0</v>
      </c>
      <c r="AW1116" s="34">
        <v>0</v>
      </c>
      <c r="AX1116" s="34">
        <v>0</v>
      </c>
      <c r="AY1116" s="34">
        <v>0</v>
      </c>
      <c r="AZ1116" s="34">
        <v>0</v>
      </c>
      <c r="BA1116" s="34">
        <v>0</v>
      </c>
      <c r="BB1116" s="34">
        <v>0</v>
      </c>
      <c r="BC1116" s="34">
        <v>0</v>
      </c>
      <c r="BD1116" s="34">
        <v>0</v>
      </c>
      <c r="BE1116" s="42">
        <v>0</v>
      </c>
      <c r="BF1116" s="34">
        <v>0</v>
      </c>
      <c r="BG1116" s="34">
        <v>0</v>
      </c>
      <c r="BH1116" s="34">
        <v>0</v>
      </c>
      <c r="BI1116" s="34">
        <v>0</v>
      </c>
      <c r="BJ1116" s="34">
        <v>0</v>
      </c>
      <c r="BK1116" s="34">
        <v>0</v>
      </c>
      <c r="BL1116" s="113">
        <v>0</v>
      </c>
      <c r="BM1116" s="113">
        <v>21</v>
      </c>
      <c r="BN1116" s="113">
        <v>39</v>
      </c>
      <c r="BO1116" s="113">
        <v>43</v>
      </c>
      <c r="BP1116" s="18">
        <v>88</v>
      </c>
      <c r="BQ1116" s="113">
        <v>5</v>
      </c>
      <c r="BR1116" s="101"/>
      <c r="BS1116">
        <f t="shared" si="2338"/>
        <v>0</v>
      </c>
      <c r="BT1116">
        <f t="shared" si="2339"/>
        <v>0</v>
      </c>
      <c r="BU1116">
        <f t="shared" si="2340"/>
        <v>0</v>
      </c>
      <c r="BV1116">
        <f t="shared" si="2341"/>
        <v>0</v>
      </c>
      <c r="BW1116">
        <f t="shared" si="2342"/>
        <v>0</v>
      </c>
      <c r="BX1116">
        <f t="shared" si="2343"/>
        <v>0</v>
      </c>
      <c r="BY1116">
        <f t="shared" si="2344"/>
        <v>0</v>
      </c>
      <c r="BZ1116">
        <f t="shared" si="2345"/>
        <v>0</v>
      </c>
      <c r="CA1116">
        <f t="shared" si="2346"/>
        <v>0</v>
      </c>
      <c r="CB1116">
        <f t="shared" si="2347"/>
        <v>0</v>
      </c>
      <c r="CC1116">
        <f t="shared" si="2348"/>
        <v>0</v>
      </c>
      <c r="CD1116">
        <f t="shared" si="2349"/>
        <v>0</v>
      </c>
      <c r="CE1116">
        <f t="shared" si="2350"/>
        <v>0</v>
      </c>
      <c r="CF1116">
        <f t="shared" si="2351"/>
        <v>0</v>
      </c>
      <c r="CG1116">
        <f t="shared" si="2352"/>
        <v>0</v>
      </c>
      <c r="CH1116">
        <f t="shared" si="2353"/>
        <v>0</v>
      </c>
      <c r="CI1116">
        <f t="shared" si="2354"/>
        <v>0</v>
      </c>
      <c r="CJ1116">
        <f t="shared" si="2355"/>
        <v>0</v>
      </c>
      <c r="CK1116">
        <f t="shared" si="2356"/>
        <v>0</v>
      </c>
      <c r="CL1116">
        <f t="shared" si="2357"/>
        <v>0</v>
      </c>
      <c r="CM1116">
        <f t="shared" si="2358"/>
        <v>0</v>
      </c>
      <c r="CN1116">
        <f t="shared" si="2359"/>
        <v>0</v>
      </c>
      <c r="CO1116">
        <f t="shared" si="2360"/>
        <v>0</v>
      </c>
      <c r="CP1116">
        <f t="shared" si="2361"/>
        <v>0</v>
      </c>
      <c r="CQ1116">
        <f t="shared" si="2362"/>
        <v>0</v>
      </c>
      <c r="CR1116">
        <f t="shared" si="2363"/>
        <v>0</v>
      </c>
      <c r="CS1116">
        <f t="shared" si="2364"/>
        <v>0</v>
      </c>
      <c r="CT1116">
        <f t="shared" si="2365"/>
        <v>0</v>
      </c>
      <c r="CU1116">
        <f t="shared" si="2366"/>
        <v>0</v>
      </c>
      <c r="CV1116">
        <f t="shared" si="2367"/>
        <v>0</v>
      </c>
      <c r="CW1116">
        <f t="shared" si="2368"/>
        <v>0</v>
      </c>
      <c r="CX1116">
        <f t="shared" si="2369"/>
        <v>0</v>
      </c>
      <c r="CY1116">
        <f t="shared" si="2370"/>
        <v>0</v>
      </c>
      <c r="CZ1116">
        <f t="shared" si="2371"/>
        <v>0</v>
      </c>
      <c r="DA1116">
        <f t="shared" si="2372"/>
        <v>0</v>
      </c>
      <c r="DB1116">
        <f t="shared" si="2373"/>
        <v>0</v>
      </c>
      <c r="DC1116">
        <f t="shared" si="2374"/>
        <v>0</v>
      </c>
      <c r="DD1116">
        <f t="shared" si="2375"/>
        <v>0</v>
      </c>
      <c r="DE1116">
        <f t="shared" si="2376"/>
        <v>0</v>
      </c>
      <c r="DF1116">
        <f t="shared" si="2377"/>
        <v>0</v>
      </c>
      <c r="DG1116">
        <f t="shared" si="2378"/>
        <v>0</v>
      </c>
      <c r="DH1116">
        <f t="shared" si="2379"/>
        <v>0</v>
      </c>
      <c r="DI1116">
        <f t="shared" si="2380"/>
        <v>0</v>
      </c>
      <c r="DJ1116">
        <f t="shared" si="2381"/>
        <v>0</v>
      </c>
      <c r="DK1116">
        <f t="shared" si="2382"/>
        <v>0</v>
      </c>
      <c r="DL1116">
        <f t="shared" si="2383"/>
        <v>0</v>
      </c>
      <c r="DM1116">
        <f t="shared" si="2384"/>
        <v>0</v>
      </c>
      <c r="DN1116">
        <f t="shared" si="2385"/>
        <v>0</v>
      </c>
      <c r="DO1116">
        <f t="shared" si="2386"/>
        <v>0</v>
      </c>
      <c r="DP1116">
        <f t="shared" si="2387"/>
        <v>0</v>
      </c>
      <c r="DQ1116">
        <f t="shared" si="2388"/>
        <v>0</v>
      </c>
      <c r="DR1116">
        <f t="shared" si="2389"/>
        <v>0</v>
      </c>
      <c r="DS1116">
        <f t="shared" si="2390"/>
        <v>0</v>
      </c>
      <c r="DT1116">
        <f t="shared" si="2391"/>
        <v>0</v>
      </c>
      <c r="DU1116">
        <f t="shared" si="2392"/>
        <v>0</v>
      </c>
      <c r="DV1116">
        <f t="shared" si="2393"/>
        <v>0</v>
      </c>
      <c r="DW1116">
        <f t="shared" si="2394"/>
        <v>0</v>
      </c>
      <c r="DX1116">
        <f t="shared" si="2395"/>
        <v>0</v>
      </c>
      <c r="DY1116">
        <f t="shared" si="2396"/>
        <v>0</v>
      </c>
      <c r="DZ1116">
        <f t="shared" si="2397"/>
        <v>0</v>
      </c>
      <c r="EA1116">
        <f t="shared" si="2398"/>
        <v>0</v>
      </c>
      <c r="EB1116">
        <f>IF($C1116&lt;&gt;"",IF(BM1116&gt;0,1,0),0)</f>
        <v>0</v>
      </c>
      <c r="EC1116">
        <f t="shared" si="2400"/>
        <v>0</v>
      </c>
      <c r="ED1116">
        <f t="shared" si="2401"/>
        <v>0</v>
      </c>
      <c r="EE1116">
        <f t="shared" si="2401"/>
        <v>0</v>
      </c>
      <c r="EF1116">
        <f t="shared" si="2401"/>
        <v>0</v>
      </c>
    </row>
    <row r="1117" spans="1:136" ht="15.5">
      <c r="A1117" s="90"/>
      <c r="B1117" s="53" t="s">
        <v>21</v>
      </c>
      <c r="C1117" s="94"/>
      <c r="D1117" s="18"/>
      <c r="E1117" s="18"/>
      <c r="F1117" s="18"/>
      <c r="G1117" s="18"/>
      <c r="H1117" s="18"/>
      <c r="I1117" s="18"/>
      <c r="J1117" s="18"/>
      <c r="K1117" s="18"/>
      <c r="L1117" s="18"/>
      <c r="M1117" s="18"/>
      <c r="N1117" s="18"/>
      <c r="O1117" s="18"/>
      <c r="P1117" s="18"/>
      <c r="Q1117" s="18"/>
      <c r="R1117" s="18"/>
      <c r="S1117" s="18">
        <v>0</v>
      </c>
      <c r="T1117" s="18">
        <v>0</v>
      </c>
      <c r="U1117" s="18">
        <v>0</v>
      </c>
      <c r="V1117" s="18">
        <v>0</v>
      </c>
      <c r="W1117" s="18">
        <v>0</v>
      </c>
      <c r="X1117" s="18">
        <v>0</v>
      </c>
      <c r="Y1117" s="18">
        <v>0</v>
      </c>
      <c r="Z1117" s="18">
        <v>0</v>
      </c>
      <c r="AA1117" s="18">
        <v>0</v>
      </c>
      <c r="AB1117" s="18">
        <v>0</v>
      </c>
      <c r="AC1117" s="18">
        <v>0</v>
      </c>
      <c r="AD1117" s="18">
        <v>0</v>
      </c>
      <c r="AE1117" s="18">
        <v>0</v>
      </c>
      <c r="AF1117" s="18">
        <v>0</v>
      </c>
      <c r="AG1117" s="18">
        <v>0</v>
      </c>
      <c r="AH1117" s="18">
        <v>0</v>
      </c>
      <c r="AI1117" s="18">
        <v>0</v>
      </c>
      <c r="AJ1117" s="18">
        <v>0</v>
      </c>
      <c r="AK1117" s="18">
        <v>0</v>
      </c>
      <c r="AL1117" s="18">
        <v>0</v>
      </c>
      <c r="AM1117" s="18">
        <v>0</v>
      </c>
      <c r="AN1117" s="18">
        <v>0</v>
      </c>
      <c r="AO1117" s="18">
        <v>0</v>
      </c>
      <c r="AP1117" s="18">
        <v>0</v>
      </c>
      <c r="AQ1117" s="18">
        <v>0</v>
      </c>
      <c r="AR1117" s="18">
        <v>0</v>
      </c>
      <c r="AS1117" s="18">
        <v>25</v>
      </c>
      <c r="AT1117" s="18">
        <v>25</v>
      </c>
      <c r="AU1117" s="18">
        <v>0</v>
      </c>
      <c r="AV1117" s="18">
        <v>0</v>
      </c>
      <c r="AW1117" s="18">
        <v>0</v>
      </c>
      <c r="AX1117" s="18">
        <v>0</v>
      </c>
      <c r="AY1117" s="18">
        <v>0</v>
      </c>
      <c r="AZ1117" s="18">
        <v>0</v>
      </c>
      <c r="BA1117" s="18">
        <v>0</v>
      </c>
      <c r="BB1117" s="18">
        <v>0</v>
      </c>
      <c r="BC1117" s="18">
        <v>0</v>
      </c>
      <c r="BD1117" s="18">
        <v>0</v>
      </c>
      <c r="BE1117" s="25">
        <v>0</v>
      </c>
      <c r="BF1117" s="18">
        <v>0</v>
      </c>
      <c r="BG1117" s="18">
        <v>0</v>
      </c>
      <c r="BH1117" s="18">
        <v>0</v>
      </c>
      <c r="BI1117" s="18">
        <v>0</v>
      </c>
      <c r="BJ1117" s="18">
        <v>0</v>
      </c>
      <c r="BK1117" s="18">
        <v>0</v>
      </c>
      <c r="BL1117" s="18">
        <v>0</v>
      </c>
      <c r="BM1117" s="113">
        <f>2600/20.81</f>
        <v>124.93993272465161</v>
      </c>
      <c r="BN1117" s="18">
        <f>2620/31.81</f>
        <v>82.364036466519963</v>
      </c>
      <c r="BO1117" s="113">
        <f>2620/38.06</f>
        <v>68.838675775091957</v>
      </c>
      <c r="BP1117" s="18">
        <v>0</v>
      </c>
      <c r="BQ1117" s="18">
        <v>0</v>
      </c>
      <c r="BR1117" s="101"/>
      <c r="BS1117">
        <f t="shared" si="2338"/>
        <v>0</v>
      </c>
      <c r="BT1117">
        <f t="shared" si="2339"/>
        <v>0</v>
      </c>
      <c r="BU1117">
        <f t="shared" si="2340"/>
        <v>0</v>
      </c>
      <c r="BV1117">
        <f t="shared" si="2341"/>
        <v>0</v>
      </c>
      <c r="BW1117">
        <f t="shared" si="2342"/>
        <v>0</v>
      </c>
      <c r="BX1117">
        <f t="shared" si="2343"/>
        <v>0</v>
      </c>
      <c r="BY1117">
        <f t="shared" si="2344"/>
        <v>0</v>
      </c>
      <c r="BZ1117">
        <f t="shared" si="2345"/>
        <v>0</v>
      </c>
      <c r="CA1117">
        <f t="shared" si="2346"/>
        <v>0</v>
      </c>
      <c r="CB1117">
        <f t="shared" si="2347"/>
        <v>0</v>
      </c>
      <c r="CC1117">
        <f t="shared" si="2348"/>
        <v>0</v>
      </c>
      <c r="CD1117">
        <f t="shared" si="2349"/>
        <v>0</v>
      </c>
      <c r="CE1117">
        <f t="shared" si="2350"/>
        <v>0</v>
      </c>
      <c r="CF1117">
        <f t="shared" si="2351"/>
        <v>0</v>
      </c>
      <c r="CG1117">
        <f t="shared" si="2352"/>
        <v>0</v>
      </c>
      <c r="CH1117">
        <f t="shared" si="2353"/>
        <v>0</v>
      </c>
      <c r="CI1117">
        <f t="shared" si="2354"/>
        <v>0</v>
      </c>
      <c r="CJ1117">
        <f t="shared" si="2355"/>
        <v>0</v>
      </c>
      <c r="CK1117">
        <f t="shared" si="2356"/>
        <v>0</v>
      </c>
      <c r="CL1117">
        <f t="shared" si="2357"/>
        <v>0</v>
      </c>
      <c r="CM1117">
        <f t="shared" si="2358"/>
        <v>0</v>
      </c>
      <c r="CN1117">
        <f t="shared" si="2359"/>
        <v>0</v>
      </c>
      <c r="CO1117">
        <f t="shared" si="2360"/>
        <v>0</v>
      </c>
      <c r="CP1117">
        <f t="shared" si="2361"/>
        <v>0</v>
      </c>
      <c r="CQ1117">
        <f t="shared" si="2362"/>
        <v>0</v>
      </c>
      <c r="CR1117">
        <f t="shared" si="2363"/>
        <v>0</v>
      </c>
      <c r="CS1117">
        <f t="shared" si="2364"/>
        <v>0</v>
      </c>
      <c r="CT1117">
        <f t="shared" si="2365"/>
        <v>0</v>
      </c>
      <c r="CU1117">
        <f t="shared" si="2366"/>
        <v>0</v>
      </c>
      <c r="CV1117">
        <f t="shared" si="2367"/>
        <v>0</v>
      </c>
      <c r="CW1117">
        <f t="shared" si="2368"/>
        <v>0</v>
      </c>
      <c r="CX1117">
        <f t="shared" si="2369"/>
        <v>0</v>
      </c>
      <c r="CY1117">
        <f t="shared" si="2370"/>
        <v>0</v>
      </c>
      <c r="CZ1117">
        <f t="shared" si="2371"/>
        <v>0</v>
      </c>
      <c r="DA1117">
        <f t="shared" si="2372"/>
        <v>0</v>
      </c>
      <c r="DB1117">
        <f t="shared" si="2373"/>
        <v>0</v>
      </c>
      <c r="DC1117">
        <f t="shared" si="2374"/>
        <v>0</v>
      </c>
      <c r="DD1117">
        <f t="shared" si="2375"/>
        <v>0</v>
      </c>
      <c r="DE1117">
        <f t="shared" si="2376"/>
        <v>0</v>
      </c>
      <c r="DF1117">
        <f t="shared" si="2377"/>
        <v>0</v>
      </c>
      <c r="DG1117">
        <f t="shared" si="2378"/>
        <v>0</v>
      </c>
      <c r="DH1117">
        <f t="shared" si="2379"/>
        <v>0</v>
      </c>
      <c r="DI1117">
        <f t="shared" si="2380"/>
        <v>0</v>
      </c>
      <c r="DJ1117">
        <f t="shared" si="2381"/>
        <v>0</v>
      </c>
      <c r="DK1117">
        <f t="shared" si="2382"/>
        <v>0</v>
      </c>
      <c r="DL1117">
        <f t="shared" si="2383"/>
        <v>0</v>
      </c>
      <c r="DM1117">
        <f t="shared" si="2384"/>
        <v>0</v>
      </c>
      <c r="DN1117">
        <f t="shared" si="2385"/>
        <v>0</v>
      </c>
      <c r="DO1117">
        <f t="shared" si="2386"/>
        <v>0</v>
      </c>
      <c r="DP1117">
        <f t="shared" si="2387"/>
        <v>0</v>
      </c>
      <c r="DQ1117">
        <f t="shared" si="2388"/>
        <v>0</v>
      </c>
      <c r="DR1117">
        <f t="shared" si="2389"/>
        <v>0</v>
      </c>
      <c r="DS1117">
        <f t="shared" si="2390"/>
        <v>0</v>
      </c>
      <c r="DT1117">
        <f t="shared" si="2391"/>
        <v>0</v>
      </c>
      <c r="DU1117">
        <f t="shared" si="2392"/>
        <v>0</v>
      </c>
      <c r="DV1117">
        <f t="shared" si="2393"/>
        <v>0</v>
      </c>
      <c r="DW1117">
        <f t="shared" si="2394"/>
        <v>0</v>
      </c>
      <c r="DX1117">
        <f t="shared" si="2395"/>
        <v>0</v>
      </c>
      <c r="DY1117">
        <f t="shared" si="2396"/>
        <v>0</v>
      </c>
      <c r="DZ1117">
        <f t="shared" si="2397"/>
        <v>0</v>
      </c>
      <c r="EA1117">
        <f t="shared" si="2398"/>
        <v>0</v>
      </c>
      <c r="EB1117">
        <f>IF($C1117&lt;&gt;"",IF(BM1117&gt;0,1,0),0)</f>
        <v>0</v>
      </c>
      <c r="EC1117">
        <f t="shared" si="2400"/>
        <v>0</v>
      </c>
      <c r="ED1117">
        <f t="shared" si="2401"/>
        <v>0</v>
      </c>
      <c r="EE1117">
        <f t="shared" si="2401"/>
        <v>0</v>
      </c>
      <c r="EF1117">
        <f t="shared" si="2401"/>
        <v>0</v>
      </c>
    </row>
    <row r="1118" spans="1:136" ht="15.5">
      <c r="A1118" s="90"/>
      <c r="B1118" s="53" t="s">
        <v>212</v>
      </c>
      <c r="C1118" s="94"/>
      <c r="D1118" s="18"/>
      <c r="E1118" s="18"/>
      <c r="F1118" s="18"/>
      <c r="G1118" s="18"/>
      <c r="H1118" s="18"/>
      <c r="I1118" s="18"/>
      <c r="J1118" s="18"/>
      <c r="K1118" s="18"/>
      <c r="L1118" s="18"/>
      <c r="M1118" s="18"/>
      <c r="N1118" s="18"/>
      <c r="O1118" s="18"/>
      <c r="P1118" s="18"/>
      <c r="Q1118" s="18"/>
      <c r="R1118" s="18"/>
      <c r="S1118" s="18"/>
      <c r="T1118" s="18"/>
      <c r="U1118" s="18"/>
      <c r="V1118" s="18"/>
      <c r="W1118" s="18"/>
      <c r="X1118" s="18"/>
      <c r="Y1118" s="18"/>
      <c r="Z1118" s="18"/>
      <c r="AA1118" s="18"/>
      <c r="AB1118" s="18"/>
      <c r="AC1118" s="18"/>
      <c r="AD1118" s="18"/>
      <c r="AE1118" s="18"/>
      <c r="AF1118" s="18"/>
      <c r="AG1118" s="18"/>
      <c r="AH1118" s="18">
        <v>0</v>
      </c>
      <c r="AI1118" s="18">
        <v>0</v>
      </c>
      <c r="AJ1118" s="18">
        <v>0</v>
      </c>
      <c r="AK1118" s="18">
        <v>0</v>
      </c>
      <c r="AL1118" s="18">
        <v>0</v>
      </c>
      <c r="AM1118" s="18">
        <v>0</v>
      </c>
      <c r="AN1118" s="18">
        <v>0</v>
      </c>
      <c r="AO1118" s="18">
        <v>0</v>
      </c>
      <c r="AP1118" s="18">
        <v>11</v>
      </c>
      <c r="AQ1118" s="18">
        <v>25</v>
      </c>
      <c r="AR1118" s="18">
        <v>45</v>
      </c>
      <c r="AS1118" s="18">
        <v>0</v>
      </c>
      <c r="AT1118" s="18">
        <v>0</v>
      </c>
      <c r="AU1118" s="18">
        <v>0</v>
      </c>
      <c r="AV1118" s="18">
        <v>0</v>
      </c>
      <c r="AW1118" s="18">
        <v>0</v>
      </c>
      <c r="AX1118" s="18">
        <v>0</v>
      </c>
      <c r="AY1118" s="18">
        <v>5</v>
      </c>
      <c r="AZ1118" s="18">
        <v>11</v>
      </c>
      <c r="BA1118" s="71">
        <v>23</v>
      </c>
      <c r="BB1118" s="18">
        <v>59</v>
      </c>
      <c r="BC1118" s="18">
        <f>227/3.27</f>
        <v>69.418960244648318</v>
      </c>
      <c r="BD1118" s="71">
        <v>0</v>
      </c>
      <c r="BE1118" s="169">
        <f>307/3.3</f>
        <v>93.030303030303031</v>
      </c>
      <c r="BF1118" s="169">
        <v>279.09090909090912</v>
      </c>
      <c r="BG1118" s="169">
        <v>74.561403508771932</v>
      </c>
      <c r="BH1118" s="169">
        <v>891.17174959871579</v>
      </c>
      <c r="BI1118" s="147">
        <v>711.88251001335107</v>
      </c>
      <c r="BJ1118" s="18">
        <v>581.63538873994639</v>
      </c>
      <c r="BK1118" s="18">
        <v>713.10810810810813</v>
      </c>
      <c r="BL1118" s="18">
        <v>502.28245363766052</v>
      </c>
      <c r="BM1118" s="113">
        <v>197.02066314271985</v>
      </c>
      <c r="BN1118" s="113">
        <v>364.80769230769232</v>
      </c>
      <c r="BO1118" s="113">
        <v>187.16577540106954</v>
      </c>
      <c r="BP1118" s="18">
        <v>174</v>
      </c>
      <c r="BQ1118" s="113">
        <v>190</v>
      </c>
      <c r="BR1118" s="101"/>
      <c r="BS1118">
        <f t="shared" ref="BS1118:CX1118" si="2402">IF($C1118&lt;&gt;"",IF(D1118&gt;0,1,0),0)</f>
        <v>0</v>
      </c>
      <c r="BT1118">
        <f t="shared" si="2402"/>
        <v>0</v>
      </c>
      <c r="BU1118">
        <f t="shared" si="2402"/>
        <v>0</v>
      </c>
      <c r="BV1118">
        <f t="shared" si="2402"/>
        <v>0</v>
      </c>
      <c r="BW1118">
        <f t="shared" si="2402"/>
        <v>0</v>
      </c>
      <c r="BX1118">
        <f t="shared" si="2402"/>
        <v>0</v>
      </c>
      <c r="BY1118">
        <f t="shared" si="2402"/>
        <v>0</v>
      </c>
      <c r="BZ1118">
        <f t="shared" si="2402"/>
        <v>0</v>
      </c>
      <c r="CA1118">
        <f t="shared" si="2402"/>
        <v>0</v>
      </c>
      <c r="CB1118">
        <f t="shared" si="2402"/>
        <v>0</v>
      </c>
      <c r="CC1118">
        <f t="shared" si="2402"/>
        <v>0</v>
      </c>
      <c r="CD1118">
        <f t="shared" si="2402"/>
        <v>0</v>
      </c>
      <c r="CE1118">
        <f t="shared" si="2402"/>
        <v>0</v>
      </c>
      <c r="CF1118">
        <f t="shared" si="2402"/>
        <v>0</v>
      </c>
      <c r="CG1118">
        <f t="shared" si="2402"/>
        <v>0</v>
      </c>
      <c r="CH1118">
        <f t="shared" si="2402"/>
        <v>0</v>
      </c>
      <c r="CI1118">
        <f t="shared" si="2402"/>
        <v>0</v>
      </c>
      <c r="CJ1118">
        <f t="shared" si="2402"/>
        <v>0</v>
      </c>
      <c r="CK1118">
        <f t="shared" si="2402"/>
        <v>0</v>
      </c>
      <c r="CL1118">
        <f t="shared" si="2402"/>
        <v>0</v>
      </c>
      <c r="CM1118">
        <f t="shared" si="2402"/>
        <v>0</v>
      </c>
      <c r="CN1118">
        <f t="shared" si="2402"/>
        <v>0</v>
      </c>
      <c r="CO1118">
        <f t="shared" si="2402"/>
        <v>0</v>
      </c>
      <c r="CP1118">
        <f t="shared" si="2402"/>
        <v>0</v>
      </c>
      <c r="CQ1118">
        <f t="shared" si="2402"/>
        <v>0</v>
      </c>
      <c r="CR1118">
        <f t="shared" si="2402"/>
        <v>0</v>
      </c>
      <c r="CS1118">
        <f t="shared" si="2402"/>
        <v>0</v>
      </c>
      <c r="CT1118">
        <f t="shared" si="2402"/>
        <v>0</v>
      </c>
      <c r="CU1118">
        <f t="shared" si="2402"/>
        <v>0</v>
      </c>
      <c r="CV1118">
        <f t="shared" si="2402"/>
        <v>0</v>
      </c>
      <c r="CW1118">
        <f t="shared" si="2402"/>
        <v>0</v>
      </c>
      <c r="CX1118">
        <f t="shared" si="2402"/>
        <v>0</v>
      </c>
      <c r="CY1118">
        <f t="shared" ref="CY1118:DR1118" si="2403">IF($C1118&lt;&gt;"",IF(AJ1118&gt;0,1,0),0)</f>
        <v>0</v>
      </c>
      <c r="CZ1118">
        <f t="shared" si="2403"/>
        <v>0</v>
      </c>
      <c r="DA1118">
        <f t="shared" si="2403"/>
        <v>0</v>
      </c>
      <c r="DB1118">
        <f t="shared" si="2403"/>
        <v>0</v>
      </c>
      <c r="DC1118">
        <f t="shared" si="2403"/>
        <v>0</v>
      </c>
      <c r="DD1118">
        <f t="shared" si="2403"/>
        <v>0</v>
      </c>
      <c r="DE1118">
        <f t="shared" si="2403"/>
        <v>0</v>
      </c>
      <c r="DF1118">
        <f t="shared" si="2403"/>
        <v>0</v>
      </c>
      <c r="DG1118">
        <f t="shared" si="2403"/>
        <v>0</v>
      </c>
      <c r="DH1118">
        <f t="shared" si="2403"/>
        <v>0</v>
      </c>
      <c r="DI1118">
        <f t="shared" si="2403"/>
        <v>0</v>
      </c>
      <c r="DJ1118">
        <f t="shared" si="2403"/>
        <v>0</v>
      </c>
      <c r="DK1118">
        <f t="shared" si="2403"/>
        <v>0</v>
      </c>
      <c r="DL1118">
        <f t="shared" si="2403"/>
        <v>0</v>
      </c>
      <c r="DM1118">
        <f t="shared" si="2403"/>
        <v>0</v>
      </c>
      <c r="DN1118">
        <f t="shared" si="2403"/>
        <v>0</v>
      </c>
      <c r="DO1118">
        <f t="shared" si="2403"/>
        <v>0</v>
      </c>
      <c r="DP1118">
        <f t="shared" si="2403"/>
        <v>0</v>
      </c>
      <c r="DQ1118">
        <f t="shared" si="2403"/>
        <v>0</v>
      </c>
      <c r="DR1118">
        <f t="shared" si="2403"/>
        <v>0</v>
      </c>
      <c r="DS1118">
        <f t="shared" ref="DS1118:EF1118" si="2404">IF($C1118&lt;&gt;"",IF(BD1118&gt;0,1,0),0)</f>
        <v>0</v>
      </c>
      <c r="DT1118">
        <f t="shared" si="2404"/>
        <v>0</v>
      </c>
      <c r="DU1118">
        <f t="shared" si="2404"/>
        <v>0</v>
      </c>
      <c r="DV1118">
        <f t="shared" si="2404"/>
        <v>0</v>
      </c>
      <c r="DW1118">
        <f t="shared" si="2404"/>
        <v>0</v>
      </c>
      <c r="DX1118">
        <f t="shared" si="2404"/>
        <v>0</v>
      </c>
      <c r="DY1118">
        <f t="shared" si="2404"/>
        <v>0</v>
      </c>
      <c r="DZ1118">
        <f t="shared" si="2404"/>
        <v>0</v>
      </c>
      <c r="EA1118">
        <f t="shared" si="2404"/>
        <v>0</v>
      </c>
      <c r="EB1118">
        <f>IF($C1118&lt;&gt;"",IF(BM1118&gt;0,1,0),0)</f>
        <v>0</v>
      </c>
      <c r="EC1118">
        <f t="shared" si="2404"/>
        <v>0</v>
      </c>
      <c r="ED1118">
        <f t="shared" si="2404"/>
        <v>0</v>
      </c>
      <c r="EE1118">
        <f t="shared" si="2404"/>
        <v>0</v>
      </c>
      <c r="EF1118">
        <f t="shared" si="2404"/>
        <v>0</v>
      </c>
    </row>
    <row r="1119" spans="1:136" ht="15.5">
      <c r="A1119" s="90"/>
      <c r="B1119" s="37"/>
      <c r="C1119" s="94"/>
      <c r="D1119" s="18"/>
      <c r="E1119" s="18"/>
      <c r="F1119" s="18"/>
      <c r="G1119" s="18"/>
      <c r="H1119" s="18"/>
      <c r="I1119" s="18"/>
      <c r="J1119" s="18"/>
      <c r="K1119" s="18"/>
      <c r="L1119" s="18"/>
      <c r="M1119" s="18"/>
      <c r="N1119" s="18"/>
      <c r="O1119" s="18"/>
      <c r="P1119" s="18"/>
      <c r="Q1119" s="18"/>
      <c r="R1119" s="18"/>
      <c r="S1119" s="18"/>
      <c r="T1119" s="18"/>
      <c r="U1119" s="18"/>
      <c r="V1119" s="18"/>
      <c r="W1119" s="18"/>
      <c r="X1119" s="18"/>
      <c r="Y1119" s="18"/>
      <c r="Z1119" s="18"/>
      <c r="AA1119" s="18"/>
      <c r="AB1119" s="18"/>
      <c r="AC1119" s="18"/>
      <c r="AD1119" s="18"/>
      <c r="AE1119" s="18"/>
      <c r="AF1119" s="18"/>
      <c r="AG1119" s="18"/>
      <c r="AH1119" s="18"/>
      <c r="AI1119" s="18"/>
      <c r="AJ1119" s="18"/>
      <c r="AK1119" s="18"/>
      <c r="AL1119" s="18"/>
      <c r="AM1119" s="18"/>
      <c r="AN1119" s="18"/>
      <c r="AO1119" s="18"/>
      <c r="AP1119" s="18"/>
      <c r="AQ1119" s="18"/>
      <c r="AR1119" s="18"/>
      <c r="AS1119" s="18"/>
      <c r="AT1119" s="18"/>
      <c r="AU1119" s="18"/>
      <c r="AV1119" s="18"/>
      <c r="AW1119" s="18"/>
      <c r="AX1119" s="18"/>
      <c r="AY1119" s="18"/>
      <c r="AZ1119" s="18"/>
      <c r="BA1119" s="18"/>
      <c r="BB1119" s="18"/>
      <c r="BC1119" s="18"/>
      <c r="BD1119" s="18"/>
      <c r="BE1119" s="25"/>
      <c r="BF1119" s="18"/>
      <c r="BG1119" s="18"/>
      <c r="BH1119" s="2"/>
      <c r="BI1119" s="2"/>
      <c r="BJ1119" s="2"/>
      <c r="BK1119" s="2"/>
      <c r="BL1119" s="22"/>
      <c r="BM1119" s="2"/>
      <c r="BN1119" s="2"/>
      <c r="BO1119" s="2"/>
      <c r="BP1119" s="2"/>
      <c r="BQ1119" s="2"/>
      <c r="BR1119" s="101"/>
    </row>
    <row r="1120" spans="1:136" ht="15.5">
      <c r="A1120" s="93">
        <v>141</v>
      </c>
      <c r="B1120" s="32" t="s">
        <v>204</v>
      </c>
      <c r="C1120" s="94">
        <v>3</v>
      </c>
      <c r="D1120" s="9"/>
      <c r="E1120" s="9"/>
      <c r="F1120" s="9"/>
      <c r="G1120" s="9"/>
      <c r="H1120" s="9"/>
      <c r="I1120" s="9"/>
      <c r="J1120" s="9"/>
      <c r="K1120" s="9"/>
      <c r="L1120" s="9">
        <f>SUM(L1121:L1123)</f>
        <v>0</v>
      </c>
      <c r="M1120" s="9">
        <f t="shared" ref="M1120:BP1120" si="2405">SUM(M1121:M1123)</f>
        <v>0</v>
      </c>
      <c r="N1120" s="9">
        <f t="shared" si="2405"/>
        <v>0</v>
      </c>
      <c r="O1120" s="9">
        <f t="shared" si="2405"/>
        <v>0</v>
      </c>
      <c r="P1120" s="9">
        <f t="shared" si="2405"/>
        <v>0</v>
      </c>
      <c r="Q1120" s="9">
        <f t="shared" si="2405"/>
        <v>0</v>
      </c>
      <c r="R1120" s="9">
        <f t="shared" si="2405"/>
        <v>0</v>
      </c>
      <c r="S1120" s="9">
        <f t="shared" si="2405"/>
        <v>0</v>
      </c>
      <c r="T1120" s="9">
        <f t="shared" si="2405"/>
        <v>0</v>
      </c>
      <c r="U1120" s="9">
        <f t="shared" si="2405"/>
        <v>0</v>
      </c>
      <c r="V1120" s="9">
        <f t="shared" si="2405"/>
        <v>8.0000000000000002E-3</v>
      </c>
      <c r="W1120" s="9">
        <f t="shared" si="2405"/>
        <v>0</v>
      </c>
      <c r="X1120" s="9">
        <f t="shared" si="2405"/>
        <v>0</v>
      </c>
      <c r="Y1120" s="9">
        <f t="shared" si="2405"/>
        <v>0</v>
      </c>
      <c r="Z1120" s="9">
        <f t="shared" si="2405"/>
        <v>0</v>
      </c>
      <c r="AA1120" s="9">
        <f t="shared" si="2405"/>
        <v>0</v>
      </c>
      <c r="AB1120" s="9">
        <f t="shared" si="2405"/>
        <v>0</v>
      </c>
      <c r="AC1120" s="9">
        <f t="shared" si="2405"/>
        <v>0</v>
      </c>
      <c r="AD1120" s="9">
        <f t="shared" si="2405"/>
        <v>6.972239999999999E-2</v>
      </c>
      <c r="AE1120" s="9">
        <f t="shared" si="2405"/>
        <v>1.2E-2</v>
      </c>
      <c r="AF1120" s="9">
        <f t="shared" si="2405"/>
        <v>0.12890309999999999</v>
      </c>
      <c r="AG1120" s="9">
        <f t="shared" si="2405"/>
        <v>4.4954000000000001E-2</v>
      </c>
      <c r="AH1120" s="9">
        <f t="shared" si="2405"/>
        <v>0.20025200000000001</v>
      </c>
      <c r="AI1120" s="9">
        <f t="shared" si="2405"/>
        <v>2.0699736</v>
      </c>
      <c r="AJ1120" s="9">
        <f t="shared" si="2405"/>
        <v>4.1874205</v>
      </c>
      <c r="AK1120" s="9">
        <f t="shared" si="2405"/>
        <v>4.6516551000000002</v>
      </c>
      <c r="AL1120" s="9">
        <f t="shared" si="2405"/>
        <v>4.3279006999999998</v>
      </c>
      <c r="AM1120" s="9">
        <f t="shared" si="2405"/>
        <v>4.2915716000000002</v>
      </c>
      <c r="AN1120" s="9">
        <f t="shared" si="2405"/>
        <v>1.2361044999999999</v>
      </c>
      <c r="AO1120" s="9">
        <f t="shared" si="2405"/>
        <v>1.1262338000000001</v>
      </c>
      <c r="AP1120" s="9">
        <f t="shared" si="2405"/>
        <v>1.1880058999999998</v>
      </c>
      <c r="AQ1120" s="9">
        <f t="shared" si="2405"/>
        <v>0.34055940000000001</v>
      </c>
      <c r="AR1120" s="9">
        <f t="shared" si="2405"/>
        <v>0.21628310000000001</v>
      </c>
      <c r="AS1120" s="9">
        <f t="shared" si="2405"/>
        <v>0.24999909999999997</v>
      </c>
      <c r="AT1120" s="9">
        <f t="shared" si="2405"/>
        <v>7.6880196000000005</v>
      </c>
      <c r="AU1120" s="9">
        <f t="shared" si="2405"/>
        <v>16.4824056</v>
      </c>
      <c r="AV1120" s="9">
        <f t="shared" si="2405"/>
        <v>13.5429434</v>
      </c>
      <c r="AW1120" s="9">
        <f t="shared" si="2405"/>
        <v>20.899162100000002</v>
      </c>
      <c r="AX1120" s="9">
        <f t="shared" si="2405"/>
        <v>23.656906899999999</v>
      </c>
      <c r="AY1120" s="9">
        <f t="shared" si="2405"/>
        <v>6.5237632000000003</v>
      </c>
      <c r="AZ1120" s="9">
        <f t="shared" si="2405"/>
        <v>3.6675222000000001</v>
      </c>
      <c r="BA1120" s="9">
        <f t="shared" si="2405"/>
        <v>7.355439800000001</v>
      </c>
      <c r="BB1120" s="9">
        <f t="shared" si="2405"/>
        <v>14.725465</v>
      </c>
      <c r="BC1120" s="9">
        <f t="shared" si="2405"/>
        <v>14.876569400000001</v>
      </c>
      <c r="BD1120" s="9">
        <f t="shared" si="2405"/>
        <v>11.003816999999998</v>
      </c>
      <c r="BE1120" s="9">
        <f t="shared" si="2405"/>
        <v>11.1285597</v>
      </c>
      <c r="BF1120" s="9">
        <f t="shared" si="2405"/>
        <v>11.6755751</v>
      </c>
      <c r="BG1120" s="9">
        <f t="shared" si="2405"/>
        <v>11.534365899999999</v>
      </c>
      <c r="BH1120" s="9">
        <f t="shared" si="2405"/>
        <v>13.079440999999999</v>
      </c>
      <c r="BI1120" s="9">
        <f t="shared" si="2405"/>
        <v>8.6947061999999988</v>
      </c>
      <c r="BJ1120" s="9">
        <f t="shared" si="2405"/>
        <v>4.7663510000000002</v>
      </c>
      <c r="BK1120" s="9">
        <f t="shared" si="2405"/>
        <v>3.0687725999999995</v>
      </c>
      <c r="BL1120" s="9">
        <f t="shared" si="2405"/>
        <v>8.9880500000000002E-2</v>
      </c>
      <c r="BM1120" s="9">
        <f t="shared" si="2405"/>
        <v>2.7992E-3</v>
      </c>
      <c r="BN1120" s="9">
        <f t="shared" si="2405"/>
        <v>0.39526060000000002</v>
      </c>
      <c r="BO1120" s="9">
        <f t="shared" si="2405"/>
        <v>0.39526060000000002</v>
      </c>
      <c r="BP1120" s="9">
        <f t="shared" si="2405"/>
        <v>0.39526060000000002</v>
      </c>
      <c r="BQ1120" s="9">
        <f t="shared" ref="BQ1120" si="2406">SUM(BQ1121:BQ1123)</f>
        <v>0.39526060000000002</v>
      </c>
      <c r="BR1120" s="101"/>
      <c r="BS1120">
        <f t="shared" ref="BS1120:CX1120" si="2407">IF($C1120&lt;&gt;"",IF(D1120&gt;0,1,0),0)</f>
        <v>0</v>
      </c>
      <c r="BT1120">
        <f t="shared" si="2407"/>
        <v>0</v>
      </c>
      <c r="BU1120">
        <f t="shared" si="2407"/>
        <v>0</v>
      </c>
      <c r="BV1120">
        <f t="shared" si="2407"/>
        <v>0</v>
      </c>
      <c r="BW1120">
        <f t="shared" si="2407"/>
        <v>0</v>
      </c>
      <c r="BX1120">
        <f t="shared" si="2407"/>
        <v>0</v>
      </c>
      <c r="BY1120">
        <f t="shared" si="2407"/>
        <v>0</v>
      </c>
      <c r="BZ1120">
        <f t="shared" si="2407"/>
        <v>0</v>
      </c>
      <c r="CA1120">
        <f t="shared" si="2407"/>
        <v>0</v>
      </c>
      <c r="CB1120">
        <f t="shared" si="2407"/>
        <v>0</v>
      </c>
      <c r="CC1120">
        <f t="shared" si="2407"/>
        <v>0</v>
      </c>
      <c r="CD1120">
        <f t="shared" si="2407"/>
        <v>0</v>
      </c>
      <c r="CE1120">
        <f t="shared" si="2407"/>
        <v>0</v>
      </c>
      <c r="CF1120">
        <f t="shared" si="2407"/>
        <v>0</v>
      </c>
      <c r="CG1120">
        <f t="shared" si="2407"/>
        <v>0</v>
      </c>
      <c r="CH1120">
        <f t="shared" si="2407"/>
        <v>0</v>
      </c>
      <c r="CI1120">
        <f t="shared" si="2407"/>
        <v>0</v>
      </c>
      <c r="CJ1120">
        <f t="shared" si="2407"/>
        <v>0</v>
      </c>
      <c r="CK1120">
        <f t="shared" si="2407"/>
        <v>1</v>
      </c>
      <c r="CL1120">
        <f t="shared" si="2407"/>
        <v>0</v>
      </c>
      <c r="CM1120">
        <f t="shared" si="2407"/>
        <v>0</v>
      </c>
      <c r="CN1120">
        <f t="shared" si="2407"/>
        <v>0</v>
      </c>
      <c r="CO1120">
        <f t="shared" si="2407"/>
        <v>0</v>
      </c>
      <c r="CP1120">
        <f t="shared" si="2407"/>
        <v>0</v>
      </c>
      <c r="CQ1120">
        <f t="shared" si="2407"/>
        <v>0</v>
      </c>
      <c r="CR1120">
        <f t="shared" si="2407"/>
        <v>0</v>
      </c>
      <c r="CS1120">
        <f t="shared" si="2407"/>
        <v>1</v>
      </c>
      <c r="CT1120">
        <f t="shared" si="2407"/>
        <v>1</v>
      </c>
      <c r="CU1120">
        <f t="shared" si="2407"/>
        <v>1</v>
      </c>
      <c r="CV1120">
        <f t="shared" si="2407"/>
        <v>1</v>
      </c>
      <c r="CW1120">
        <f t="shared" si="2407"/>
        <v>1</v>
      </c>
      <c r="CX1120">
        <f t="shared" si="2407"/>
        <v>1</v>
      </c>
      <c r="CY1120">
        <f t="shared" ref="CY1120:EF1120" si="2408">IF($C1120&lt;&gt;"",IF(AJ1120&gt;0,1,0),0)</f>
        <v>1</v>
      </c>
      <c r="CZ1120">
        <f t="shared" si="2408"/>
        <v>1</v>
      </c>
      <c r="DA1120">
        <f t="shared" si="2408"/>
        <v>1</v>
      </c>
      <c r="DB1120">
        <f t="shared" si="2408"/>
        <v>1</v>
      </c>
      <c r="DC1120">
        <f t="shared" si="2408"/>
        <v>1</v>
      </c>
      <c r="DD1120">
        <f t="shared" si="2408"/>
        <v>1</v>
      </c>
      <c r="DE1120">
        <f t="shared" si="2408"/>
        <v>1</v>
      </c>
      <c r="DF1120">
        <f t="shared" si="2408"/>
        <v>1</v>
      </c>
      <c r="DG1120">
        <f t="shared" si="2408"/>
        <v>1</v>
      </c>
      <c r="DH1120">
        <f t="shared" si="2408"/>
        <v>1</v>
      </c>
      <c r="DI1120">
        <f t="shared" si="2408"/>
        <v>1</v>
      </c>
      <c r="DJ1120">
        <f t="shared" si="2408"/>
        <v>1</v>
      </c>
      <c r="DK1120">
        <f t="shared" si="2408"/>
        <v>1</v>
      </c>
      <c r="DL1120">
        <f t="shared" si="2408"/>
        <v>1</v>
      </c>
      <c r="DM1120">
        <f t="shared" si="2408"/>
        <v>1</v>
      </c>
      <c r="DN1120">
        <f t="shared" si="2408"/>
        <v>1</v>
      </c>
      <c r="DO1120">
        <f t="shared" si="2408"/>
        <v>1</v>
      </c>
      <c r="DP1120">
        <f t="shared" si="2408"/>
        <v>1</v>
      </c>
      <c r="DQ1120">
        <f t="shared" si="2408"/>
        <v>1</v>
      </c>
      <c r="DR1120">
        <f t="shared" si="2408"/>
        <v>1</v>
      </c>
      <c r="DS1120">
        <f t="shared" si="2408"/>
        <v>1</v>
      </c>
      <c r="DT1120">
        <f t="shared" si="2408"/>
        <v>1</v>
      </c>
      <c r="DU1120">
        <f t="shared" si="2408"/>
        <v>1</v>
      </c>
      <c r="DV1120">
        <f t="shared" si="2408"/>
        <v>1</v>
      </c>
      <c r="DW1120">
        <f t="shared" si="2408"/>
        <v>1</v>
      </c>
      <c r="DX1120">
        <f t="shared" si="2408"/>
        <v>1</v>
      </c>
      <c r="DY1120">
        <f t="shared" si="2408"/>
        <v>1</v>
      </c>
      <c r="DZ1120">
        <f t="shared" si="2408"/>
        <v>1</v>
      </c>
      <c r="EA1120">
        <f t="shared" si="2408"/>
        <v>1</v>
      </c>
      <c r="EB1120">
        <f>IF($C1120&lt;&gt;"",IF(BM1120&gt;0,1,0),0)</f>
        <v>1</v>
      </c>
      <c r="EC1120">
        <f t="shared" si="2408"/>
        <v>1</v>
      </c>
      <c r="ED1120">
        <f t="shared" si="2408"/>
        <v>1</v>
      </c>
      <c r="EE1120">
        <f t="shared" si="2408"/>
        <v>1</v>
      </c>
      <c r="EF1120">
        <f t="shared" si="2408"/>
        <v>1</v>
      </c>
    </row>
    <row r="1121" spans="1:136" ht="15.5">
      <c r="A1121" s="90"/>
      <c r="B1121" s="24" t="s">
        <v>205</v>
      </c>
      <c r="C1121" s="94"/>
      <c r="D1121" s="9"/>
      <c r="E1121" s="9"/>
      <c r="F1121" s="9"/>
      <c r="G1121" s="9"/>
      <c r="H1121" s="9"/>
      <c r="I1121" s="9"/>
      <c r="J1121" s="9"/>
      <c r="K1121" s="9"/>
      <c r="L1121" s="34">
        <v>0</v>
      </c>
      <c r="M1121" s="34">
        <v>0</v>
      </c>
      <c r="N1121" s="34">
        <v>0</v>
      </c>
      <c r="O1121" s="34">
        <v>0</v>
      </c>
      <c r="P1121" s="34">
        <v>0</v>
      </c>
      <c r="Q1121" s="34">
        <v>0</v>
      </c>
      <c r="R1121" s="34">
        <v>0</v>
      </c>
      <c r="S1121" s="34">
        <v>0</v>
      </c>
      <c r="T1121" s="34">
        <v>0</v>
      </c>
      <c r="U1121" s="34">
        <v>0</v>
      </c>
      <c r="V1121" s="34">
        <v>0</v>
      </c>
      <c r="W1121" s="34">
        <v>0</v>
      </c>
      <c r="X1121" s="34">
        <v>0</v>
      </c>
      <c r="Y1121" s="34">
        <v>0</v>
      </c>
      <c r="Z1121" s="34">
        <v>0</v>
      </c>
      <c r="AA1121" s="34">
        <v>0</v>
      </c>
      <c r="AB1121" s="34">
        <v>0</v>
      </c>
      <c r="AC1121" s="34">
        <v>0</v>
      </c>
      <c r="AD1121" s="34">
        <v>0</v>
      </c>
      <c r="AE1121" s="34">
        <v>0</v>
      </c>
      <c r="AF1121" s="34">
        <v>0</v>
      </c>
      <c r="AG1121" s="34">
        <v>0</v>
      </c>
      <c r="AH1121" s="34">
        <v>0</v>
      </c>
      <c r="AI1121" s="34">
        <v>0</v>
      </c>
      <c r="AJ1121" s="34">
        <v>0</v>
      </c>
      <c r="AK1121" s="34">
        <v>0</v>
      </c>
      <c r="AL1121" s="34">
        <v>0</v>
      </c>
      <c r="AM1121" s="34">
        <v>0</v>
      </c>
      <c r="AN1121" s="34">
        <v>0</v>
      </c>
      <c r="AO1121" s="34">
        <v>0</v>
      </c>
      <c r="AP1121" s="34">
        <v>0</v>
      </c>
      <c r="AQ1121" s="34">
        <v>0</v>
      </c>
      <c r="AR1121" s="34">
        <v>0</v>
      </c>
      <c r="AS1121" s="34">
        <v>0</v>
      </c>
      <c r="AT1121" s="34">
        <v>0.14699999999999999</v>
      </c>
      <c r="AU1121" s="34">
        <v>0</v>
      </c>
      <c r="AV1121" s="34">
        <v>0</v>
      </c>
      <c r="AW1121" s="34">
        <v>0</v>
      </c>
      <c r="AX1121" s="34">
        <v>0</v>
      </c>
      <c r="AY1121" s="34">
        <v>1.0275080000000001</v>
      </c>
      <c r="AZ1121" s="34">
        <v>0</v>
      </c>
      <c r="BA1121" s="34">
        <v>0</v>
      </c>
      <c r="BB1121" s="34">
        <v>0</v>
      </c>
      <c r="BC1121" s="34">
        <v>0</v>
      </c>
      <c r="BD1121" s="34">
        <v>0</v>
      </c>
      <c r="BE1121" s="34">
        <v>0</v>
      </c>
      <c r="BF1121" s="34">
        <v>0</v>
      </c>
      <c r="BG1121" s="34">
        <v>0</v>
      </c>
      <c r="BH1121" s="34">
        <v>0</v>
      </c>
      <c r="BI1121" s="34">
        <v>0</v>
      </c>
      <c r="BJ1121" s="34">
        <v>0</v>
      </c>
      <c r="BK1121" s="34">
        <v>0</v>
      </c>
      <c r="BL1121" s="34">
        <v>0</v>
      </c>
      <c r="BM1121" s="34">
        <v>0</v>
      </c>
      <c r="BN1121" s="34">
        <v>0</v>
      </c>
      <c r="BO1121" s="34">
        <v>0</v>
      </c>
      <c r="BP1121" s="34">
        <v>0</v>
      </c>
      <c r="BQ1121" s="34">
        <v>0</v>
      </c>
      <c r="BR1121" s="101"/>
    </row>
    <row r="1122" spans="1:136" ht="15.5">
      <c r="A1122" s="90"/>
      <c r="B1122" s="57" t="s">
        <v>3</v>
      </c>
      <c r="C1122" s="94"/>
      <c r="D1122" s="18"/>
      <c r="E1122" s="18"/>
      <c r="F1122" s="18"/>
      <c r="G1122" s="18"/>
      <c r="H1122" s="18"/>
      <c r="I1122" s="18"/>
      <c r="J1122" s="18"/>
      <c r="K1122" s="18"/>
      <c r="L1122" s="18">
        <v>0</v>
      </c>
      <c r="M1122" s="18">
        <v>0</v>
      </c>
      <c r="N1122" s="18">
        <v>0</v>
      </c>
      <c r="O1122" s="18">
        <v>0</v>
      </c>
      <c r="P1122" s="18">
        <v>0</v>
      </c>
      <c r="Q1122" s="18">
        <v>0</v>
      </c>
      <c r="R1122" s="18">
        <v>0</v>
      </c>
      <c r="S1122" s="18">
        <v>0</v>
      </c>
      <c r="T1122" s="18">
        <v>0</v>
      </c>
      <c r="U1122" s="18">
        <v>0</v>
      </c>
      <c r="V1122" s="40">
        <v>5.0000000000000001E-3</v>
      </c>
      <c r="W1122" s="18">
        <v>0</v>
      </c>
      <c r="X1122" s="18">
        <v>0</v>
      </c>
      <c r="Y1122" s="18">
        <v>0</v>
      </c>
      <c r="Z1122" s="18">
        <v>0</v>
      </c>
      <c r="AA1122" s="18">
        <v>0</v>
      </c>
      <c r="AB1122" s="18">
        <v>0</v>
      </c>
      <c r="AC1122" s="18">
        <v>0</v>
      </c>
      <c r="AD1122" s="18">
        <v>0</v>
      </c>
      <c r="AE1122" s="18">
        <v>0</v>
      </c>
      <c r="AF1122" s="18">
        <v>0</v>
      </c>
      <c r="AG1122" s="18">
        <v>0</v>
      </c>
      <c r="AH1122" s="18">
        <v>0</v>
      </c>
      <c r="AI1122" s="18">
        <v>0.20907319999999999</v>
      </c>
      <c r="AJ1122" s="18">
        <v>0.35485419999999995</v>
      </c>
      <c r="AK1122" s="18">
        <v>0.93884770000000006</v>
      </c>
      <c r="AL1122" s="18">
        <v>0.55181519999999995</v>
      </c>
      <c r="AM1122" s="18">
        <v>0.27000049999999998</v>
      </c>
      <c r="AN1122" s="18">
        <v>0</v>
      </c>
      <c r="AO1122" s="18">
        <v>0</v>
      </c>
      <c r="AP1122" s="18">
        <v>0</v>
      </c>
      <c r="AQ1122" s="18">
        <v>0</v>
      </c>
      <c r="AR1122" s="18">
        <v>0.21628310000000001</v>
      </c>
      <c r="AS1122" s="18">
        <v>0.24999909999999997</v>
      </c>
      <c r="AT1122" s="18">
        <v>6.4664826</v>
      </c>
      <c r="AU1122" s="18">
        <v>16.4824056</v>
      </c>
      <c r="AV1122" s="18">
        <v>13.5429434</v>
      </c>
      <c r="AW1122" s="18">
        <v>20.899162100000002</v>
      </c>
      <c r="AX1122" s="18">
        <v>23.656906899999999</v>
      </c>
      <c r="AY1122" s="18">
        <f>6.5237632-AY1121</f>
        <v>5.4962552000000002</v>
      </c>
      <c r="AZ1122" s="18">
        <v>3.6675222000000001</v>
      </c>
      <c r="BA1122" s="18">
        <v>6.1221979000000006</v>
      </c>
      <c r="BB1122" s="18">
        <v>10.299485599999999</v>
      </c>
      <c r="BC1122" s="18">
        <v>10.0286252</v>
      </c>
      <c r="BD1122" s="18">
        <v>9.9332176999999984</v>
      </c>
      <c r="BE1122" s="25">
        <v>9.0859829000000012</v>
      </c>
      <c r="BF1122" s="18">
        <v>10.015435</v>
      </c>
      <c r="BG1122" s="18">
        <v>10.807379699999998</v>
      </c>
      <c r="BH1122" s="18">
        <v>11.674488699999999</v>
      </c>
      <c r="BI1122" s="18">
        <v>8.6947061999999988</v>
      </c>
      <c r="BJ1122" s="18">
        <v>3.3173352999999999</v>
      </c>
      <c r="BK1122" s="34">
        <v>3.0687725999999995</v>
      </c>
      <c r="BL1122" s="103">
        <v>8.9880500000000002E-2</v>
      </c>
      <c r="BM1122" s="187">
        <v>2.7992E-3</v>
      </c>
      <c r="BN1122" s="103">
        <v>0.39526060000000002</v>
      </c>
      <c r="BO1122" s="103">
        <v>0.39526060000000002</v>
      </c>
      <c r="BP1122" s="103">
        <v>0.39526060000000002</v>
      </c>
      <c r="BQ1122" s="103">
        <v>0.39526060000000002</v>
      </c>
      <c r="BR1122" s="101"/>
      <c r="BS1122">
        <f t="shared" ref="BS1122:CB1124" si="2409">IF($C1122&lt;&gt;"",IF(D1122&gt;0,1,0),0)</f>
        <v>0</v>
      </c>
      <c r="BT1122">
        <f t="shared" si="2409"/>
        <v>0</v>
      </c>
      <c r="BU1122">
        <f t="shared" si="2409"/>
        <v>0</v>
      </c>
      <c r="BV1122">
        <f t="shared" si="2409"/>
        <v>0</v>
      </c>
      <c r="BW1122">
        <f t="shared" si="2409"/>
        <v>0</v>
      </c>
      <c r="BX1122">
        <f t="shared" si="2409"/>
        <v>0</v>
      </c>
      <c r="BY1122">
        <f t="shared" si="2409"/>
        <v>0</v>
      </c>
      <c r="BZ1122">
        <f t="shared" si="2409"/>
        <v>0</v>
      </c>
      <c r="CA1122">
        <f t="shared" si="2409"/>
        <v>0</v>
      </c>
      <c r="CB1122">
        <f t="shared" si="2409"/>
        <v>0</v>
      </c>
      <c r="CC1122">
        <f t="shared" ref="CC1122:CL1124" si="2410">IF($C1122&lt;&gt;"",IF(N1122&gt;0,1,0),0)</f>
        <v>0</v>
      </c>
      <c r="CD1122">
        <f t="shared" si="2410"/>
        <v>0</v>
      </c>
      <c r="CE1122">
        <f t="shared" si="2410"/>
        <v>0</v>
      </c>
      <c r="CF1122">
        <f t="shared" si="2410"/>
        <v>0</v>
      </c>
      <c r="CG1122">
        <f t="shared" si="2410"/>
        <v>0</v>
      </c>
      <c r="CH1122">
        <f t="shared" si="2410"/>
        <v>0</v>
      </c>
      <c r="CI1122">
        <f t="shared" si="2410"/>
        <v>0</v>
      </c>
      <c r="CJ1122">
        <f t="shared" si="2410"/>
        <v>0</v>
      </c>
      <c r="CK1122">
        <f t="shared" si="2410"/>
        <v>0</v>
      </c>
      <c r="CL1122">
        <f t="shared" si="2410"/>
        <v>0</v>
      </c>
      <c r="CM1122">
        <f t="shared" ref="CM1122:CV1124" si="2411">IF($C1122&lt;&gt;"",IF(X1122&gt;0,1,0),0)</f>
        <v>0</v>
      </c>
      <c r="CN1122">
        <f t="shared" si="2411"/>
        <v>0</v>
      </c>
      <c r="CO1122">
        <f t="shared" si="2411"/>
        <v>0</v>
      </c>
      <c r="CP1122">
        <f t="shared" si="2411"/>
        <v>0</v>
      </c>
      <c r="CQ1122">
        <f t="shared" si="2411"/>
        <v>0</v>
      </c>
      <c r="CR1122">
        <f t="shared" si="2411"/>
        <v>0</v>
      </c>
      <c r="CS1122">
        <f t="shared" si="2411"/>
        <v>0</v>
      </c>
      <c r="CT1122">
        <f t="shared" si="2411"/>
        <v>0</v>
      </c>
      <c r="CU1122">
        <f t="shared" si="2411"/>
        <v>0</v>
      </c>
      <c r="CV1122">
        <f t="shared" si="2411"/>
        <v>0</v>
      </c>
      <c r="CW1122">
        <f t="shared" ref="CW1122:DF1124" si="2412">IF($C1122&lt;&gt;"",IF(AH1122&gt;0,1,0),0)</f>
        <v>0</v>
      </c>
      <c r="CX1122">
        <f t="shared" si="2412"/>
        <v>0</v>
      </c>
      <c r="CY1122">
        <f t="shared" si="2412"/>
        <v>0</v>
      </c>
      <c r="CZ1122">
        <f t="shared" si="2412"/>
        <v>0</v>
      </c>
      <c r="DA1122">
        <f t="shared" si="2412"/>
        <v>0</v>
      </c>
      <c r="DB1122">
        <f t="shared" si="2412"/>
        <v>0</v>
      </c>
      <c r="DC1122">
        <f t="shared" si="2412"/>
        <v>0</v>
      </c>
      <c r="DD1122">
        <f t="shared" si="2412"/>
        <v>0</v>
      </c>
      <c r="DE1122">
        <f t="shared" si="2412"/>
        <v>0</v>
      </c>
      <c r="DF1122">
        <f t="shared" si="2412"/>
        <v>0</v>
      </c>
      <c r="DG1122">
        <f t="shared" ref="DG1122:DP1124" si="2413">IF($C1122&lt;&gt;"",IF(AR1122&gt;0,1,0),0)</f>
        <v>0</v>
      </c>
      <c r="DH1122">
        <f t="shared" si="2413"/>
        <v>0</v>
      </c>
      <c r="DI1122">
        <f t="shared" si="2413"/>
        <v>0</v>
      </c>
      <c r="DJ1122">
        <f t="shared" si="2413"/>
        <v>0</v>
      </c>
      <c r="DK1122">
        <f t="shared" si="2413"/>
        <v>0</v>
      </c>
      <c r="DL1122">
        <f t="shared" si="2413"/>
        <v>0</v>
      </c>
      <c r="DM1122">
        <f t="shared" si="2413"/>
        <v>0</v>
      </c>
      <c r="DN1122">
        <f t="shared" si="2413"/>
        <v>0</v>
      </c>
      <c r="DO1122">
        <f t="shared" si="2413"/>
        <v>0</v>
      </c>
      <c r="DP1122">
        <f t="shared" si="2413"/>
        <v>0</v>
      </c>
      <c r="DQ1122">
        <f t="shared" ref="DQ1122:DZ1124" si="2414">IF($C1122&lt;&gt;"",IF(BB1122&gt;0,1,0),0)</f>
        <v>0</v>
      </c>
      <c r="DR1122">
        <f t="shared" si="2414"/>
        <v>0</v>
      </c>
      <c r="DS1122">
        <f t="shared" si="2414"/>
        <v>0</v>
      </c>
      <c r="DT1122">
        <f t="shared" si="2414"/>
        <v>0</v>
      </c>
      <c r="DU1122">
        <f t="shared" si="2414"/>
        <v>0</v>
      </c>
      <c r="DV1122">
        <f t="shared" si="2414"/>
        <v>0</v>
      </c>
      <c r="DW1122">
        <f t="shared" si="2414"/>
        <v>0</v>
      </c>
      <c r="DX1122">
        <f t="shared" si="2414"/>
        <v>0</v>
      </c>
      <c r="DY1122">
        <f t="shared" si="2414"/>
        <v>0</v>
      </c>
      <c r="DZ1122">
        <f t="shared" si="2414"/>
        <v>0</v>
      </c>
      <c r="EA1122">
        <f t="shared" ref="EA1122:EF1122" si="2415">IF($C1122&lt;&gt;"",IF(BL1120&gt;0,1,0),0)</f>
        <v>0</v>
      </c>
      <c r="EB1122">
        <f t="shared" si="2415"/>
        <v>0</v>
      </c>
      <c r="EC1122">
        <f t="shared" si="2415"/>
        <v>0</v>
      </c>
      <c r="ED1122">
        <f t="shared" si="2415"/>
        <v>0</v>
      </c>
      <c r="EE1122">
        <f t="shared" si="2415"/>
        <v>0</v>
      </c>
      <c r="EF1122">
        <f t="shared" si="2415"/>
        <v>0</v>
      </c>
    </row>
    <row r="1123" spans="1:136" ht="15.5">
      <c r="A1123" s="90"/>
      <c r="B1123" s="19" t="s">
        <v>208</v>
      </c>
      <c r="C1123" s="94"/>
      <c r="D1123" s="18"/>
      <c r="E1123" s="18"/>
      <c r="F1123" s="18"/>
      <c r="G1123" s="18"/>
      <c r="H1123" s="18"/>
      <c r="I1123" s="18"/>
      <c r="J1123" s="18"/>
      <c r="K1123" s="18"/>
      <c r="L1123" s="18">
        <v>0</v>
      </c>
      <c r="M1123" s="18">
        <v>0</v>
      </c>
      <c r="N1123" s="18">
        <v>0</v>
      </c>
      <c r="O1123" s="18">
        <v>0</v>
      </c>
      <c r="P1123" s="18">
        <v>0</v>
      </c>
      <c r="Q1123" s="18">
        <v>0</v>
      </c>
      <c r="R1123" s="18">
        <v>0</v>
      </c>
      <c r="S1123" s="18">
        <v>0</v>
      </c>
      <c r="T1123" s="18">
        <v>0</v>
      </c>
      <c r="U1123" s="18">
        <v>0</v>
      </c>
      <c r="V1123" s="18">
        <v>3.0000000000000001E-3</v>
      </c>
      <c r="W1123" s="18">
        <v>0</v>
      </c>
      <c r="X1123" s="18">
        <v>0</v>
      </c>
      <c r="Y1123" s="18">
        <v>0</v>
      </c>
      <c r="Z1123" s="18">
        <v>0</v>
      </c>
      <c r="AA1123" s="18">
        <v>0</v>
      </c>
      <c r="AB1123" s="18">
        <v>0</v>
      </c>
      <c r="AC1123" s="18">
        <v>0</v>
      </c>
      <c r="AD1123" s="18">
        <v>6.972239999999999E-2</v>
      </c>
      <c r="AE1123" s="18">
        <v>1.2E-2</v>
      </c>
      <c r="AF1123" s="18">
        <v>0.12890309999999999</v>
      </c>
      <c r="AG1123" s="18">
        <v>4.4954000000000001E-2</v>
      </c>
      <c r="AH1123" s="18">
        <v>0.20025200000000001</v>
      </c>
      <c r="AI1123" s="18">
        <v>1.8609004</v>
      </c>
      <c r="AJ1123" s="18">
        <v>3.8325662999999999</v>
      </c>
      <c r="AK1123" s="18">
        <v>3.7128074</v>
      </c>
      <c r="AL1123" s="18">
        <v>3.7760855000000002</v>
      </c>
      <c r="AM1123" s="18">
        <v>4.0215711000000001</v>
      </c>
      <c r="AN1123" s="18">
        <v>1.2361044999999999</v>
      </c>
      <c r="AO1123" s="18">
        <v>1.1262338000000001</v>
      </c>
      <c r="AP1123" s="18">
        <v>1.1880058999999998</v>
      </c>
      <c r="AQ1123" s="18">
        <v>0.34055940000000001</v>
      </c>
      <c r="AR1123" s="18">
        <v>0</v>
      </c>
      <c r="AS1123" s="18">
        <v>0</v>
      </c>
      <c r="AT1123" s="18">
        <v>1.0745370000000001</v>
      </c>
      <c r="AU1123" s="18">
        <v>0</v>
      </c>
      <c r="AV1123" s="18">
        <v>0</v>
      </c>
      <c r="AW1123" s="18">
        <v>0</v>
      </c>
      <c r="AX1123" s="18">
        <v>0</v>
      </c>
      <c r="AY1123" s="18">
        <v>0</v>
      </c>
      <c r="AZ1123" s="18">
        <v>0</v>
      </c>
      <c r="BA1123" s="18">
        <v>1.2332418999999999</v>
      </c>
      <c r="BB1123" s="18">
        <v>4.4259794000000001</v>
      </c>
      <c r="BC1123" s="18">
        <v>4.8479442000000006</v>
      </c>
      <c r="BD1123" s="18">
        <v>1.0705993</v>
      </c>
      <c r="BE1123" s="25">
        <v>2.0425768</v>
      </c>
      <c r="BF1123" s="18">
        <v>1.6601401</v>
      </c>
      <c r="BG1123" s="18">
        <v>0.72698619999999992</v>
      </c>
      <c r="BH1123" s="18">
        <v>1.4049523000000002</v>
      </c>
      <c r="BI1123" s="18">
        <v>0</v>
      </c>
      <c r="BJ1123" s="18">
        <v>1.4490156999999999</v>
      </c>
      <c r="BK1123" s="18">
        <v>0</v>
      </c>
      <c r="BL1123" s="113">
        <v>0</v>
      </c>
      <c r="BM1123" s="113">
        <v>0</v>
      </c>
      <c r="BN1123" s="113">
        <v>0</v>
      </c>
      <c r="BO1123" s="113">
        <v>0</v>
      </c>
      <c r="BP1123" s="34">
        <v>0</v>
      </c>
      <c r="BQ1123" s="34">
        <v>0</v>
      </c>
      <c r="BR1123" s="101"/>
      <c r="BS1123">
        <f t="shared" si="2409"/>
        <v>0</v>
      </c>
      <c r="BT1123">
        <f t="shared" si="2409"/>
        <v>0</v>
      </c>
      <c r="BU1123">
        <f t="shared" si="2409"/>
        <v>0</v>
      </c>
      <c r="BV1123">
        <f t="shared" si="2409"/>
        <v>0</v>
      </c>
      <c r="BW1123">
        <f t="shared" si="2409"/>
        <v>0</v>
      </c>
      <c r="BX1123">
        <f t="shared" si="2409"/>
        <v>0</v>
      </c>
      <c r="BY1123">
        <f t="shared" si="2409"/>
        <v>0</v>
      </c>
      <c r="BZ1123">
        <f t="shared" si="2409"/>
        <v>0</v>
      </c>
      <c r="CA1123">
        <f t="shared" si="2409"/>
        <v>0</v>
      </c>
      <c r="CB1123">
        <f t="shared" si="2409"/>
        <v>0</v>
      </c>
      <c r="CC1123">
        <f t="shared" si="2410"/>
        <v>0</v>
      </c>
      <c r="CD1123">
        <f t="shared" si="2410"/>
        <v>0</v>
      </c>
      <c r="CE1123">
        <f t="shared" si="2410"/>
        <v>0</v>
      </c>
      <c r="CF1123">
        <f t="shared" si="2410"/>
        <v>0</v>
      </c>
      <c r="CG1123">
        <f t="shared" si="2410"/>
        <v>0</v>
      </c>
      <c r="CH1123">
        <f t="shared" si="2410"/>
        <v>0</v>
      </c>
      <c r="CI1123">
        <f t="shared" si="2410"/>
        <v>0</v>
      </c>
      <c r="CJ1123">
        <f t="shared" si="2410"/>
        <v>0</v>
      </c>
      <c r="CK1123">
        <f t="shared" si="2410"/>
        <v>0</v>
      </c>
      <c r="CL1123">
        <f t="shared" si="2410"/>
        <v>0</v>
      </c>
      <c r="CM1123">
        <f t="shared" si="2411"/>
        <v>0</v>
      </c>
      <c r="CN1123">
        <f t="shared" si="2411"/>
        <v>0</v>
      </c>
      <c r="CO1123">
        <f t="shared" si="2411"/>
        <v>0</v>
      </c>
      <c r="CP1123">
        <f t="shared" si="2411"/>
        <v>0</v>
      </c>
      <c r="CQ1123">
        <f t="shared" si="2411"/>
        <v>0</v>
      </c>
      <c r="CR1123">
        <f t="shared" si="2411"/>
        <v>0</v>
      </c>
      <c r="CS1123">
        <f t="shared" si="2411"/>
        <v>0</v>
      </c>
      <c r="CT1123">
        <f t="shared" si="2411"/>
        <v>0</v>
      </c>
      <c r="CU1123">
        <f t="shared" si="2411"/>
        <v>0</v>
      </c>
      <c r="CV1123">
        <f t="shared" si="2411"/>
        <v>0</v>
      </c>
      <c r="CW1123">
        <f t="shared" si="2412"/>
        <v>0</v>
      </c>
      <c r="CX1123">
        <f t="shared" si="2412"/>
        <v>0</v>
      </c>
      <c r="CY1123">
        <f t="shared" si="2412"/>
        <v>0</v>
      </c>
      <c r="CZ1123">
        <f t="shared" si="2412"/>
        <v>0</v>
      </c>
      <c r="DA1123">
        <f t="shared" si="2412"/>
        <v>0</v>
      </c>
      <c r="DB1123">
        <f t="shared" si="2412"/>
        <v>0</v>
      </c>
      <c r="DC1123">
        <f t="shared" si="2412"/>
        <v>0</v>
      </c>
      <c r="DD1123">
        <f t="shared" si="2412"/>
        <v>0</v>
      </c>
      <c r="DE1123">
        <f t="shared" si="2412"/>
        <v>0</v>
      </c>
      <c r="DF1123">
        <f t="shared" si="2412"/>
        <v>0</v>
      </c>
      <c r="DG1123">
        <f t="shared" si="2413"/>
        <v>0</v>
      </c>
      <c r="DH1123">
        <f t="shared" si="2413"/>
        <v>0</v>
      </c>
      <c r="DI1123">
        <f t="shared" si="2413"/>
        <v>0</v>
      </c>
      <c r="DJ1123">
        <f t="shared" si="2413"/>
        <v>0</v>
      </c>
      <c r="DK1123">
        <f t="shared" si="2413"/>
        <v>0</v>
      </c>
      <c r="DL1123">
        <f t="shared" si="2413"/>
        <v>0</v>
      </c>
      <c r="DM1123">
        <f t="shared" si="2413"/>
        <v>0</v>
      </c>
      <c r="DN1123">
        <f t="shared" si="2413"/>
        <v>0</v>
      </c>
      <c r="DO1123">
        <f t="shared" si="2413"/>
        <v>0</v>
      </c>
      <c r="DP1123">
        <f t="shared" si="2413"/>
        <v>0</v>
      </c>
      <c r="DQ1123">
        <f t="shared" si="2414"/>
        <v>0</v>
      </c>
      <c r="DR1123">
        <f t="shared" si="2414"/>
        <v>0</v>
      </c>
      <c r="DS1123">
        <f t="shared" si="2414"/>
        <v>0</v>
      </c>
      <c r="DT1123">
        <f t="shared" si="2414"/>
        <v>0</v>
      </c>
      <c r="DU1123">
        <f t="shared" si="2414"/>
        <v>0</v>
      </c>
      <c r="DV1123">
        <f t="shared" si="2414"/>
        <v>0</v>
      </c>
      <c r="DW1123">
        <f t="shared" si="2414"/>
        <v>0</v>
      </c>
      <c r="DX1123">
        <f t="shared" si="2414"/>
        <v>0</v>
      </c>
      <c r="DY1123">
        <f t="shared" si="2414"/>
        <v>0</v>
      </c>
      <c r="DZ1123">
        <f t="shared" si="2414"/>
        <v>0</v>
      </c>
      <c r="EA1123">
        <f t="shared" ref="EA1123:EF1123" si="2416">IF($C1123&lt;&gt;"",IF(BL1122&gt;0,1,0),0)</f>
        <v>0</v>
      </c>
      <c r="EB1123">
        <f t="shared" si="2416"/>
        <v>0</v>
      </c>
      <c r="EC1123">
        <f t="shared" si="2416"/>
        <v>0</v>
      </c>
      <c r="ED1123">
        <f t="shared" si="2416"/>
        <v>0</v>
      </c>
      <c r="EE1123">
        <f t="shared" si="2416"/>
        <v>0</v>
      </c>
      <c r="EF1123">
        <f t="shared" si="2416"/>
        <v>0</v>
      </c>
    </row>
    <row r="1124" spans="1:136" ht="15.5">
      <c r="A1124" s="90"/>
      <c r="B1124" s="53" t="s">
        <v>212</v>
      </c>
      <c r="C1124" s="94"/>
      <c r="D1124" s="18"/>
      <c r="E1124" s="18"/>
      <c r="F1124" s="18"/>
      <c r="G1124" s="18"/>
      <c r="H1124" s="18"/>
      <c r="I1124" s="18"/>
      <c r="J1124" s="18"/>
      <c r="K1124" s="18"/>
      <c r="L1124" s="18"/>
      <c r="M1124" s="18"/>
      <c r="N1124" s="18"/>
      <c r="O1124" s="18"/>
      <c r="P1124" s="18"/>
      <c r="Q1124" s="18"/>
      <c r="R1124" s="18"/>
      <c r="S1124" s="18"/>
      <c r="T1124" s="18"/>
      <c r="U1124" s="18"/>
      <c r="V1124" s="18"/>
      <c r="W1124" s="18"/>
      <c r="X1124" s="18"/>
      <c r="Y1124" s="18"/>
      <c r="Z1124" s="18"/>
      <c r="AA1124" s="18"/>
      <c r="AB1124" s="18"/>
      <c r="AC1124" s="18"/>
      <c r="AD1124" s="18"/>
      <c r="AE1124" s="18"/>
      <c r="AF1124" s="18"/>
      <c r="AG1124" s="18"/>
      <c r="AH1124" s="18">
        <v>0</v>
      </c>
      <c r="AI1124" s="18">
        <v>0</v>
      </c>
      <c r="AJ1124" s="18">
        <v>0</v>
      </c>
      <c r="AK1124" s="18">
        <v>0</v>
      </c>
      <c r="AL1124" s="18">
        <v>0</v>
      </c>
      <c r="AM1124" s="18">
        <v>0</v>
      </c>
      <c r="AN1124" s="18">
        <v>0</v>
      </c>
      <c r="AO1124" s="147">
        <v>0</v>
      </c>
      <c r="AP1124" s="147">
        <v>0</v>
      </c>
      <c r="AQ1124" s="147">
        <v>0</v>
      </c>
      <c r="AR1124" s="147">
        <v>0</v>
      </c>
      <c r="AS1124" s="147">
        <v>0</v>
      </c>
      <c r="AT1124" s="147">
        <v>0</v>
      </c>
      <c r="AU1124" s="147">
        <v>14.947089947089948</v>
      </c>
      <c r="AV1124" s="147">
        <v>65.944272445820431</v>
      </c>
      <c r="AW1124" s="147">
        <v>0</v>
      </c>
      <c r="AX1124" s="147">
        <v>0</v>
      </c>
      <c r="AY1124" s="147">
        <v>0</v>
      </c>
      <c r="AZ1124" s="147">
        <v>0</v>
      </c>
      <c r="BA1124" s="147">
        <v>0</v>
      </c>
      <c r="BB1124" s="147">
        <v>186.00583090379007</v>
      </c>
      <c r="BC1124" s="147">
        <v>185.10638297872339</v>
      </c>
      <c r="BD1124" s="147">
        <v>281.11638954869358</v>
      </c>
      <c r="BE1124" s="152">
        <v>201.22989593188268</v>
      </c>
      <c r="BF1124" s="147">
        <v>217.60138050043142</v>
      </c>
      <c r="BG1124" s="147">
        <v>83.697813121272361</v>
      </c>
      <c r="BH1124" s="147">
        <v>150.69191551347413</v>
      </c>
      <c r="BI1124" s="147">
        <v>189.90461049284579</v>
      </c>
      <c r="BJ1124" s="147">
        <v>312.23071577484365</v>
      </c>
      <c r="BK1124" s="147">
        <v>377</v>
      </c>
      <c r="BL1124" s="154">
        <v>546</v>
      </c>
      <c r="BM1124" s="154">
        <v>342.19435736677116</v>
      </c>
      <c r="BN1124" s="113">
        <v>254.52904002407465</v>
      </c>
      <c r="BO1124" s="113">
        <v>211.08695652173915</v>
      </c>
      <c r="BP1124" s="113">
        <v>328.65497076023388</v>
      </c>
      <c r="BQ1124" s="113">
        <f>2286/16.5</f>
        <v>138.54545454545453</v>
      </c>
      <c r="BR1124" s="101"/>
      <c r="BS1124">
        <f t="shared" si="2409"/>
        <v>0</v>
      </c>
      <c r="BT1124">
        <f t="shared" si="2409"/>
        <v>0</v>
      </c>
      <c r="BU1124">
        <f t="shared" si="2409"/>
        <v>0</v>
      </c>
      <c r="BV1124">
        <f t="shared" si="2409"/>
        <v>0</v>
      </c>
      <c r="BW1124">
        <f t="shared" si="2409"/>
        <v>0</v>
      </c>
      <c r="BX1124">
        <f t="shared" si="2409"/>
        <v>0</v>
      </c>
      <c r="BY1124">
        <f t="shared" si="2409"/>
        <v>0</v>
      </c>
      <c r="BZ1124">
        <f t="shared" si="2409"/>
        <v>0</v>
      </c>
      <c r="CA1124">
        <f t="shared" si="2409"/>
        <v>0</v>
      </c>
      <c r="CB1124">
        <f t="shared" si="2409"/>
        <v>0</v>
      </c>
      <c r="CC1124">
        <f t="shared" si="2410"/>
        <v>0</v>
      </c>
      <c r="CD1124">
        <f t="shared" si="2410"/>
        <v>0</v>
      </c>
      <c r="CE1124">
        <f t="shared" si="2410"/>
        <v>0</v>
      </c>
      <c r="CF1124">
        <f t="shared" si="2410"/>
        <v>0</v>
      </c>
      <c r="CG1124">
        <f t="shared" si="2410"/>
        <v>0</v>
      </c>
      <c r="CH1124">
        <f t="shared" si="2410"/>
        <v>0</v>
      </c>
      <c r="CI1124">
        <f t="shared" si="2410"/>
        <v>0</v>
      </c>
      <c r="CJ1124">
        <f t="shared" si="2410"/>
        <v>0</v>
      </c>
      <c r="CK1124">
        <f t="shared" si="2410"/>
        <v>0</v>
      </c>
      <c r="CL1124">
        <f t="shared" si="2410"/>
        <v>0</v>
      </c>
      <c r="CM1124">
        <f t="shared" si="2411"/>
        <v>0</v>
      </c>
      <c r="CN1124">
        <f t="shared" si="2411"/>
        <v>0</v>
      </c>
      <c r="CO1124">
        <f t="shared" si="2411"/>
        <v>0</v>
      </c>
      <c r="CP1124">
        <f t="shared" si="2411"/>
        <v>0</v>
      </c>
      <c r="CQ1124">
        <f t="shared" si="2411"/>
        <v>0</v>
      </c>
      <c r="CR1124">
        <f t="shared" si="2411"/>
        <v>0</v>
      </c>
      <c r="CS1124">
        <f t="shared" si="2411"/>
        <v>0</v>
      </c>
      <c r="CT1124">
        <f t="shared" si="2411"/>
        <v>0</v>
      </c>
      <c r="CU1124">
        <f t="shared" si="2411"/>
        <v>0</v>
      </c>
      <c r="CV1124">
        <f t="shared" si="2411"/>
        <v>0</v>
      </c>
      <c r="CW1124">
        <f t="shared" si="2412"/>
        <v>0</v>
      </c>
      <c r="CX1124">
        <f t="shared" si="2412"/>
        <v>0</v>
      </c>
      <c r="CY1124">
        <f t="shared" si="2412"/>
        <v>0</v>
      </c>
      <c r="CZ1124">
        <f t="shared" si="2412"/>
        <v>0</v>
      </c>
      <c r="DA1124">
        <f t="shared" si="2412"/>
        <v>0</v>
      </c>
      <c r="DB1124">
        <f t="shared" si="2412"/>
        <v>0</v>
      </c>
      <c r="DC1124">
        <f t="shared" si="2412"/>
        <v>0</v>
      </c>
      <c r="DD1124">
        <f t="shared" si="2412"/>
        <v>0</v>
      </c>
      <c r="DE1124">
        <f t="shared" si="2412"/>
        <v>0</v>
      </c>
      <c r="DF1124">
        <f t="shared" si="2412"/>
        <v>0</v>
      </c>
      <c r="DG1124">
        <f t="shared" si="2413"/>
        <v>0</v>
      </c>
      <c r="DH1124">
        <f t="shared" si="2413"/>
        <v>0</v>
      </c>
      <c r="DI1124">
        <f t="shared" si="2413"/>
        <v>0</v>
      </c>
      <c r="DJ1124">
        <f t="shared" si="2413"/>
        <v>0</v>
      </c>
      <c r="DK1124">
        <f t="shared" si="2413"/>
        <v>0</v>
      </c>
      <c r="DL1124">
        <f t="shared" si="2413"/>
        <v>0</v>
      </c>
      <c r="DM1124">
        <f t="shared" si="2413"/>
        <v>0</v>
      </c>
      <c r="DN1124">
        <f t="shared" si="2413"/>
        <v>0</v>
      </c>
      <c r="DO1124">
        <f t="shared" si="2413"/>
        <v>0</v>
      </c>
      <c r="DP1124">
        <f t="shared" si="2413"/>
        <v>0</v>
      </c>
      <c r="DQ1124">
        <f t="shared" si="2414"/>
        <v>0</v>
      </c>
      <c r="DR1124">
        <f t="shared" si="2414"/>
        <v>0</v>
      </c>
      <c r="DS1124">
        <f t="shared" si="2414"/>
        <v>0</v>
      </c>
      <c r="DT1124">
        <f t="shared" si="2414"/>
        <v>0</v>
      </c>
      <c r="DU1124">
        <f t="shared" si="2414"/>
        <v>0</v>
      </c>
      <c r="DV1124">
        <f t="shared" si="2414"/>
        <v>0</v>
      </c>
      <c r="DW1124">
        <f t="shared" si="2414"/>
        <v>0</v>
      </c>
      <c r="DX1124">
        <f t="shared" si="2414"/>
        <v>0</v>
      </c>
      <c r="DY1124">
        <f t="shared" si="2414"/>
        <v>0</v>
      </c>
      <c r="DZ1124">
        <f t="shared" si="2414"/>
        <v>0</v>
      </c>
      <c r="EA1124">
        <f t="shared" ref="EA1124:EF1124" si="2417">IF($C1124&lt;&gt;"",IF(BL1124&gt;0,1,0),0)</f>
        <v>0</v>
      </c>
      <c r="EB1124">
        <f t="shared" si="2417"/>
        <v>0</v>
      </c>
      <c r="EC1124">
        <f t="shared" si="2417"/>
        <v>0</v>
      </c>
      <c r="ED1124">
        <f t="shared" si="2417"/>
        <v>0</v>
      </c>
      <c r="EE1124">
        <f t="shared" si="2417"/>
        <v>0</v>
      </c>
      <c r="EF1124">
        <f t="shared" si="2417"/>
        <v>0</v>
      </c>
    </row>
    <row r="1125" spans="1:136" ht="15.5">
      <c r="A1125" s="90"/>
      <c r="B1125" s="37"/>
      <c r="C1125" s="94"/>
      <c r="D1125" s="18"/>
      <c r="E1125" s="18"/>
      <c r="F1125" s="18"/>
      <c r="G1125" s="18"/>
      <c r="H1125" s="18"/>
      <c r="I1125" s="18"/>
      <c r="J1125" s="18"/>
      <c r="K1125" s="18"/>
      <c r="L1125" s="18"/>
      <c r="M1125" s="18"/>
      <c r="N1125" s="18"/>
      <c r="O1125" s="18"/>
      <c r="P1125" s="18"/>
      <c r="Q1125" s="18"/>
      <c r="R1125" s="18"/>
      <c r="S1125" s="18"/>
      <c r="T1125" s="18"/>
      <c r="U1125" s="18"/>
      <c r="V1125" s="18"/>
      <c r="W1125" s="18"/>
      <c r="X1125" s="18"/>
      <c r="Y1125" s="18"/>
      <c r="Z1125" s="18"/>
      <c r="AA1125" s="18"/>
      <c r="AB1125" s="18"/>
      <c r="AC1125" s="18"/>
      <c r="AD1125" s="18"/>
      <c r="AE1125" s="18"/>
      <c r="AF1125" s="18"/>
      <c r="AG1125" s="18"/>
      <c r="AH1125" s="18"/>
      <c r="AI1125" s="18"/>
      <c r="AJ1125" s="18"/>
      <c r="AK1125" s="18"/>
      <c r="AL1125" s="18"/>
      <c r="AM1125" s="18"/>
      <c r="AN1125" s="18"/>
      <c r="AO1125" s="18"/>
      <c r="AP1125" s="18"/>
      <c r="AQ1125" s="18"/>
      <c r="AR1125" s="18"/>
      <c r="AS1125" s="18"/>
      <c r="AT1125" s="18"/>
      <c r="AU1125" s="18"/>
      <c r="AV1125" s="18"/>
      <c r="AW1125" s="18"/>
      <c r="AX1125" s="18"/>
      <c r="AY1125" s="18"/>
      <c r="AZ1125" s="18"/>
      <c r="BA1125" s="18"/>
      <c r="BB1125" s="18"/>
      <c r="BC1125" s="18"/>
      <c r="BD1125" s="18"/>
      <c r="BE1125" s="25"/>
      <c r="BF1125" s="18"/>
      <c r="BG1125" s="18"/>
      <c r="BH1125" s="2"/>
      <c r="BI1125" s="2"/>
      <c r="BJ1125" s="2"/>
      <c r="BK1125" s="2"/>
      <c r="BL1125" s="22"/>
      <c r="BM1125" s="2"/>
      <c r="BN1125" s="2"/>
      <c r="BO1125" s="2"/>
      <c r="BP1125" s="2"/>
      <c r="BQ1125" s="2"/>
      <c r="BR1125" s="101"/>
    </row>
    <row r="1126" spans="1:136" ht="15.5">
      <c r="A1126" s="93">
        <v>142</v>
      </c>
      <c r="B1126" s="80" t="s">
        <v>140</v>
      </c>
      <c r="C1126" s="94">
        <v>4</v>
      </c>
      <c r="D1126" s="22"/>
      <c r="E1126" s="22">
        <f t="shared" ref="E1126:AJ1126" si="2418">SUM(E1127:E1133)</f>
        <v>0</v>
      </c>
      <c r="F1126" s="22">
        <f t="shared" si="2418"/>
        <v>0</v>
      </c>
      <c r="G1126" s="22">
        <f t="shared" si="2418"/>
        <v>0</v>
      </c>
      <c r="H1126" s="22">
        <f t="shared" si="2418"/>
        <v>0</v>
      </c>
      <c r="I1126" s="22">
        <f t="shared" si="2418"/>
        <v>3.6</v>
      </c>
      <c r="J1126" s="22">
        <f t="shared" si="2418"/>
        <v>0</v>
      </c>
      <c r="K1126" s="22">
        <f t="shared" si="2418"/>
        <v>0</v>
      </c>
      <c r="L1126" s="22">
        <f t="shared" si="2418"/>
        <v>0</v>
      </c>
      <c r="M1126" s="22">
        <f t="shared" si="2418"/>
        <v>0</v>
      </c>
      <c r="N1126" s="22">
        <f t="shared" si="2418"/>
        <v>0</v>
      </c>
      <c r="O1126" s="22">
        <f t="shared" si="2418"/>
        <v>0</v>
      </c>
      <c r="P1126" s="22">
        <f t="shared" si="2418"/>
        <v>0</v>
      </c>
      <c r="Q1126" s="22">
        <f t="shared" si="2418"/>
        <v>0</v>
      </c>
      <c r="R1126" s="22">
        <f t="shared" si="2418"/>
        <v>0</v>
      </c>
      <c r="S1126" s="22">
        <f t="shared" si="2418"/>
        <v>0</v>
      </c>
      <c r="T1126" s="22">
        <f t="shared" si="2418"/>
        <v>0</v>
      </c>
      <c r="U1126" s="22">
        <f t="shared" si="2418"/>
        <v>0</v>
      </c>
      <c r="V1126" s="22">
        <f t="shared" si="2418"/>
        <v>0</v>
      </c>
      <c r="W1126" s="22">
        <f t="shared" si="2418"/>
        <v>0</v>
      </c>
      <c r="X1126" s="22">
        <f t="shared" si="2418"/>
        <v>0</v>
      </c>
      <c r="Y1126" s="22">
        <f t="shared" si="2418"/>
        <v>0</v>
      </c>
      <c r="Z1126" s="22">
        <f t="shared" si="2418"/>
        <v>0</v>
      </c>
      <c r="AA1126" s="22">
        <f t="shared" si="2418"/>
        <v>0</v>
      </c>
      <c r="AB1126" s="22">
        <f t="shared" si="2418"/>
        <v>0</v>
      </c>
      <c r="AC1126" s="22">
        <f t="shared" si="2418"/>
        <v>0</v>
      </c>
      <c r="AD1126" s="22">
        <f t="shared" si="2418"/>
        <v>0</v>
      </c>
      <c r="AE1126" s="22">
        <f t="shared" si="2418"/>
        <v>65</v>
      </c>
      <c r="AF1126" s="22">
        <f t="shared" si="2418"/>
        <v>92</v>
      </c>
      <c r="AG1126" s="22">
        <f t="shared" si="2418"/>
        <v>268</v>
      </c>
      <c r="AH1126" s="22">
        <f t="shared" si="2418"/>
        <v>313</v>
      </c>
      <c r="AI1126" s="22">
        <f t="shared" si="2418"/>
        <v>390</v>
      </c>
      <c r="AJ1126" s="22">
        <f t="shared" si="2418"/>
        <v>399</v>
      </c>
      <c r="AK1126" s="22">
        <f t="shared" ref="AK1126:BQ1126" si="2419">SUM(AK1127:AK1133)</f>
        <v>432</v>
      </c>
      <c r="AL1126" s="22">
        <f t="shared" si="2419"/>
        <v>1408</v>
      </c>
      <c r="AM1126" s="22">
        <f t="shared" si="2419"/>
        <v>7790.9470000000001</v>
      </c>
      <c r="AN1126" s="22">
        <f t="shared" si="2419"/>
        <v>7875.8109999999997</v>
      </c>
      <c r="AO1126" s="22">
        <f t="shared" si="2419"/>
        <v>7875.0839999999998</v>
      </c>
      <c r="AP1126" s="22">
        <f t="shared" si="2419"/>
        <v>7926.1269999999995</v>
      </c>
      <c r="AQ1126" s="22">
        <f t="shared" si="2419"/>
        <v>7862.7179999999998</v>
      </c>
      <c r="AR1126" s="22">
        <f t="shared" si="2419"/>
        <v>11665.733</v>
      </c>
      <c r="AS1126" s="22">
        <f t="shared" si="2419"/>
        <v>12099.239</v>
      </c>
      <c r="AT1126" s="22">
        <f t="shared" si="2419"/>
        <v>70</v>
      </c>
      <c r="AU1126" s="22">
        <f t="shared" si="2419"/>
        <v>0</v>
      </c>
      <c r="AV1126" s="22">
        <f t="shared" si="2419"/>
        <v>2600</v>
      </c>
      <c r="AW1126" s="22">
        <f t="shared" si="2419"/>
        <v>13450</v>
      </c>
      <c r="AX1126" s="40" t="s">
        <v>16</v>
      </c>
      <c r="AY1126" s="40" t="s">
        <v>16</v>
      </c>
      <c r="AZ1126" s="22">
        <f t="shared" si="2419"/>
        <v>420.2250507</v>
      </c>
      <c r="BA1126" s="22">
        <f t="shared" si="2419"/>
        <v>470.60831489999998</v>
      </c>
      <c r="BB1126" s="22">
        <f t="shared" si="2419"/>
        <v>459.38412630000005</v>
      </c>
      <c r="BC1126" s="22">
        <f t="shared" si="2419"/>
        <v>471.64945869999997</v>
      </c>
      <c r="BD1126" s="22">
        <f t="shared" si="2419"/>
        <v>1060.0404953000002</v>
      </c>
      <c r="BE1126" s="22">
        <f t="shared" si="2419"/>
        <v>1666.6614798999999</v>
      </c>
      <c r="BF1126" s="22">
        <f t="shared" si="2419"/>
        <v>2090.1324506000001</v>
      </c>
      <c r="BG1126" s="22">
        <f t="shared" si="2419"/>
        <v>2383.2145561000002</v>
      </c>
      <c r="BH1126" s="22">
        <f t="shared" si="2419"/>
        <v>2672.3657171999998</v>
      </c>
      <c r="BI1126" s="22">
        <f t="shared" si="2419"/>
        <v>2985.8649882</v>
      </c>
      <c r="BJ1126" s="22">
        <f t="shared" si="2419"/>
        <v>3187.5952646000001</v>
      </c>
      <c r="BK1126" s="22">
        <f t="shared" si="2419"/>
        <v>3358.9668733999997</v>
      </c>
      <c r="BL1126" s="22">
        <f t="shared" si="2419"/>
        <v>3597.9410823000003</v>
      </c>
      <c r="BM1126" s="22">
        <f t="shared" si="2419"/>
        <v>3609.3291417</v>
      </c>
      <c r="BN1126" s="22">
        <f t="shared" si="2419"/>
        <v>3481.5750048</v>
      </c>
      <c r="BO1126" s="22">
        <f t="shared" si="2419"/>
        <v>4122</v>
      </c>
      <c r="BP1126" s="22">
        <f t="shared" si="2419"/>
        <v>4204</v>
      </c>
      <c r="BQ1126" s="22">
        <f t="shared" si="2419"/>
        <v>4290</v>
      </c>
      <c r="BR1126" s="101"/>
      <c r="BS1126">
        <f t="shared" ref="BS1126:CB1133" si="2420">IF($C1126&lt;&gt;"",IF(D1126&gt;0,1,0),0)</f>
        <v>0</v>
      </c>
      <c r="BT1126">
        <f t="shared" si="2420"/>
        <v>0</v>
      </c>
      <c r="BU1126">
        <f t="shared" si="2420"/>
        <v>0</v>
      </c>
      <c r="BV1126">
        <f t="shared" si="2420"/>
        <v>0</v>
      </c>
      <c r="BW1126">
        <f t="shared" si="2420"/>
        <v>0</v>
      </c>
      <c r="BX1126">
        <f t="shared" si="2420"/>
        <v>1</v>
      </c>
      <c r="BY1126">
        <f t="shared" si="2420"/>
        <v>0</v>
      </c>
      <c r="BZ1126">
        <f t="shared" si="2420"/>
        <v>0</v>
      </c>
      <c r="CA1126">
        <f t="shared" si="2420"/>
        <v>0</v>
      </c>
      <c r="CB1126">
        <f t="shared" si="2420"/>
        <v>0</v>
      </c>
      <c r="CC1126">
        <f t="shared" ref="CC1126:CL1133" si="2421">IF($C1126&lt;&gt;"",IF(N1126&gt;0,1,0),0)</f>
        <v>0</v>
      </c>
      <c r="CD1126">
        <f t="shared" si="2421"/>
        <v>0</v>
      </c>
      <c r="CE1126">
        <f t="shared" si="2421"/>
        <v>0</v>
      </c>
      <c r="CF1126">
        <f t="shared" si="2421"/>
        <v>0</v>
      </c>
      <c r="CG1126">
        <f t="shared" si="2421"/>
        <v>0</v>
      </c>
      <c r="CH1126">
        <f t="shared" si="2421"/>
        <v>0</v>
      </c>
      <c r="CI1126">
        <f t="shared" si="2421"/>
        <v>0</v>
      </c>
      <c r="CJ1126">
        <f t="shared" si="2421"/>
        <v>0</v>
      </c>
      <c r="CK1126">
        <f t="shared" si="2421"/>
        <v>0</v>
      </c>
      <c r="CL1126">
        <f t="shared" si="2421"/>
        <v>0</v>
      </c>
      <c r="CM1126">
        <f t="shared" ref="CM1126:CV1133" si="2422">IF($C1126&lt;&gt;"",IF(X1126&gt;0,1,0),0)</f>
        <v>0</v>
      </c>
      <c r="CN1126">
        <f t="shared" si="2422"/>
        <v>0</v>
      </c>
      <c r="CO1126">
        <f t="shared" si="2422"/>
        <v>0</v>
      </c>
      <c r="CP1126">
        <f t="shared" si="2422"/>
        <v>0</v>
      </c>
      <c r="CQ1126">
        <f t="shared" si="2422"/>
        <v>0</v>
      </c>
      <c r="CR1126">
        <f t="shared" si="2422"/>
        <v>0</v>
      </c>
      <c r="CS1126">
        <f t="shared" si="2422"/>
        <v>0</v>
      </c>
      <c r="CT1126">
        <f t="shared" si="2422"/>
        <v>1</v>
      </c>
      <c r="CU1126">
        <f t="shared" si="2422"/>
        <v>1</v>
      </c>
      <c r="CV1126">
        <f t="shared" si="2422"/>
        <v>1</v>
      </c>
      <c r="CW1126">
        <f t="shared" ref="CW1126:DF1133" si="2423">IF($C1126&lt;&gt;"",IF(AH1126&gt;0,1,0),0)</f>
        <v>1</v>
      </c>
      <c r="CX1126">
        <f t="shared" si="2423"/>
        <v>1</v>
      </c>
      <c r="CY1126">
        <f t="shared" si="2423"/>
        <v>1</v>
      </c>
      <c r="CZ1126">
        <f t="shared" si="2423"/>
        <v>1</v>
      </c>
      <c r="DA1126">
        <f t="shared" si="2423"/>
        <v>1</v>
      </c>
      <c r="DB1126">
        <f t="shared" si="2423"/>
        <v>1</v>
      </c>
      <c r="DC1126">
        <f t="shared" si="2423"/>
        <v>1</v>
      </c>
      <c r="DD1126">
        <f t="shared" si="2423"/>
        <v>1</v>
      </c>
      <c r="DE1126">
        <f t="shared" si="2423"/>
        <v>1</v>
      </c>
      <c r="DF1126">
        <f t="shared" si="2423"/>
        <v>1</v>
      </c>
      <c r="DG1126">
        <f t="shared" ref="DG1126:DP1133" si="2424">IF($C1126&lt;&gt;"",IF(AR1126&gt;0,1,0),0)</f>
        <v>1</v>
      </c>
      <c r="DH1126">
        <f t="shared" si="2424"/>
        <v>1</v>
      </c>
      <c r="DI1126">
        <f t="shared" si="2424"/>
        <v>1</v>
      </c>
      <c r="DJ1126">
        <f t="shared" si="2424"/>
        <v>0</v>
      </c>
      <c r="DK1126">
        <f t="shared" si="2424"/>
        <v>1</v>
      </c>
      <c r="DL1126">
        <f t="shared" si="2424"/>
        <v>1</v>
      </c>
      <c r="DM1126">
        <f t="shared" si="2424"/>
        <v>1</v>
      </c>
      <c r="DN1126">
        <f t="shared" si="2424"/>
        <v>1</v>
      </c>
      <c r="DO1126">
        <f t="shared" si="2424"/>
        <v>1</v>
      </c>
      <c r="DP1126">
        <f t="shared" si="2424"/>
        <v>1</v>
      </c>
      <c r="DQ1126">
        <f t="shared" ref="DQ1126:DZ1133" si="2425">IF($C1126&lt;&gt;"",IF(BB1126&gt;0,1,0),0)</f>
        <v>1</v>
      </c>
      <c r="DR1126">
        <f t="shared" si="2425"/>
        <v>1</v>
      </c>
      <c r="DS1126">
        <f t="shared" si="2425"/>
        <v>1</v>
      </c>
      <c r="DT1126">
        <f t="shared" si="2425"/>
        <v>1</v>
      </c>
      <c r="DU1126">
        <f t="shared" si="2425"/>
        <v>1</v>
      </c>
      <c r="DV1126">
        <f t="shared" si="2425"/>
        <v>1</v>
      </c>
      <c r="DW1126">
        <f t="shared" si="2425"/>
        <v>1</v>
      </c>
      <c r="DX1126">
        <f t="shared" si="2425"/>
        <v>1</v>
      </c>
      <c r="DY1126">
        <f t="shared" si="2425"/>
        <v>1</v>
      </c>
      <c r="DZ1126">
        <f t="shared" si="2425"/>
        <v>1</v>
      </c>
      <c r="EA1126">
        <f t="shared" ref="EA1126:EF1133" si="2426">IF($C1126&lt;&gt;"",IF(BL1126&gt;0,1,0),0)</f>
        <v>1</v>
      </c>
      <c r="EB1126">
        <f>IF($C1126&lt;&gt;"",IF(BM1126&gt;0,1,0),0)</f>
        <v>1</v>
      </c>
      <c r="EC1126">
        <f t="shared" si="2426"/>
        <v>1</v>
      </c>
      <c r="ED1126">
        <f t="shared" si="2426"/>
        <v>1</v>
      </c>
      <c r="EE1126">
        <f t="shared" si="2426"/>
        <v>1</v>
      </c>
      <c r="EF1126">
        <f t="shared" si="2426"/>
        <v>1</v>
      </c>
    </row>
    <row r="1127" spans="1:136" ht="15.5">
      <c r="A1127" s="90"/>
      <c r="B1127" s="24" t="s">
        <v>15</v>
      </c>
      <c r="C1127" s="94"/>
      <c r="D1127" s="18"/>
      <c r="E1127" s="18">
        <v>0</v>
      </c>
      <c r="F1127" s="18">
        <v>0</v>
      </c>
      <c r="G1127" s="18">
        <v>0</v>
      </c>
      <c r="H1127" s="18">
        <v>0</v>
      </c>
      <c r="I1127" s="18">
        <v>3.6</v>
      </c>
      <c r="J1127" s="18">
        <v>0</v>
      </c>
      <c r="K1127" s="18">
        <v>0</v>
      </c>
      <c r="L1127" s="18">
        <v>0</v>
      </c>
      <c r="M1127" s="18">
        <v>0</v>
      </c>
      <c r="N1127" s="18">
        <v>0</v>
      </c>
      <c r="O1127" s="18">
        <v>0</v>
      </c>
      <c r="P1127" s="18">
        <v>0</v>
      </c>
      <c r="Q1127" s="18">
        <v>0</v>
      </c>
      <c r="R1127" s="18">
        <v>0</v>
      </c>
      <c r="S1127" s="18">
        <v>0</v>
      </c>
      <c r="T1127" s="18">
        <v>0</v>
      </c>
      <c r="U1127" s="18">
        <v>0</v>
      </c>
      <c r="V1127" s="18">
        <v>0</v>
      </c>
      <c r="W1127" s="18">
        <v>0</v>
      </c>
      <c r="X1127" s="18">
        <v>0</v>
      </c>
      <c r="Y1127" s="18">
        <v>0</v>
      </c>
      <c r="Z1127" s="18">
        <v>0</v>
      </c>
      <c r="AA1127" s="18">
        <v>0</v>
      </c>
      <c r="AB1127" s="18">
        <v>0</v>
      </c>
      <c r="AC1127" s="18">
        <v>0</v>
      </c>
      <c r="AD1127" s="18">
        <v>0</v>
      </c>
      <c r="AE1127" s="18">
        <v>0</v>
      </c>
      <c r="AF1127" s="18">
        <v>0</v>
      </c>
      <c r="AG1127" s="18">
        <v>0</v>
      </c>
      <c r="AH1127" s="18">
        <v>0</v>
      </c>
      <c r="AI1127" s="18">
        <v>0</v>
      </c>
      <c r="AJ1127" s="18">
        <v>0</v>
      </c>
      <c r="AK1127" s="18">
        <v>0</v>
      </c>
      <c r="AL1127" s="18">
        <v>0</v>
      </c>
      <c r="AM1127" s="18">
        <v>0</v>
      </c>
      <c r="AN1127" s="18">
        <v>0</v>
      </c>
      <c r="AO1127" s="18">
        <v>0</v>
      </c>
      <c r="AP1127" s="18">
        <v>0</v>
      </c>
      <c r="AQ1127" s="18">
        <v>0</v>
      </c>
      <c r="AR1127" s="18">
        <v>0</v>
      </c>
      <c r="AS1127" s="18">
        <v>0</v>
      </c>
      <c r="AT1127" s="18">
        <v>0</v>
      </c>
      <c r="AU1127" s="18">
        <v>0</v>
      </c>
      <c r="AV1127" s="18">
        <v>0</v>
      </c>
      <c r="AW1127" s="18">
        <v>0</v>
      </c>
      <c r="AX1127" s="18">
        <v>0</v>
      </c>
      <c r="AY1127" s="18">
        <v>0</v>
      </c>
      <c r="AZ1127" s="18">
        <v>0</v>
      </c>
      <c r="BA1127" s="18">
        <v>0</v>
      </c>
      <c r="BB1127" s="18">
        <v>0</v>
      </c>
      <c r="BC1127" s="18">
        <v>0</v>
      </c>
      <c r="BD1127" s="18">
        <v>0</v>
      </c>
      <c r="BE1127" s="18">
        <v>0</v>
      </c>
      <c r="BF1127" s="18">
        <v>0</v>
      </c>
      <c r="BG1127" s="18">
        <v>0</v>
      </c>
      <c r="BH1127" s="18">
        <v>0</v>
      </c>
      <c r="BI1127" s="18">
        <v>0</v>
      </c>
      <c r="BJ1127" s="18">
        <v>0</v>
      </c>
      <c r="BK1127" s="18">
        <v>0</v>
      </c>
      <c r="BL1127" s="18">
        <v>0</v>
      </c>
      <c r="BM1127" s="18">
        <v>0</v>
      </c>
      <c r="BN1127" s="18">
        <v>0</v>
      </c>
      <c r="BO1127" s="18">
        <v>0</v>
      </c>
      <c r="BP1127" s="18">
        <v>0</v>
      </c>
      <c r="BQ1127" s="18">
        <v>0</v>
      </c>
      <c r="BR1127" s="101"/>
      <c r="BS1127">
        <f t="shared" si="2420"/>
        <v>0</v>
      </c>
      <c r="BT1127">
        <f t="shared" si="2420"/>
        <v>0</v>
      </c>
      <c r="BU1127">
        <f t="shared" si="2420"/>
        <v>0</v>
      </c>
      <c r="BV1127">
        <f t="shared" si="2420"/>
        <v>0</v>
      </c>
      <c r="BW1127">
        <f t="shared" si="2420"/>
        <v>0</v>
      </c>
      <c r="BX1127">
        <f t="shared" si="2420"/>
        <v>0</v>
      </c>
      <c r="BY1127">
        <f t="shared" si="2420"/>
        <v>0</v>
      </c>
      <c r="BZ1127">
        <f t="shared" si="2420"/>
        <v>0</v>
      </c>
      <c r="CA1127">
        <f t="shared" si="2420"/>
        <v>0</v>
      </c>
      <c r="CB1127">
        <f t="shared" si="2420"/>
        <v>0</v>
      </c>
      <c r="CC1127">
        <f t="shared" si="2421"/>
        <v>0</v>
      </c>
      <c r="CD1127">
        <f t="shared" si="2421"/>
        <v>0</v>
      </c>
      <c r="CE1127">
        <f t="shared" si="2421"/>
        <v>0</v>
      </c>
      <c r="CF1127">
        <f t="shared" si="2421"/>
        <v>0</v>
      </c>
      <c r="CG1127">
        <f t="shared" si="2421"/>
        <v>0</v>
      </c>
      <c r="CH1127">
        <f t="shared" si="2421"/>
        <v>0</v>
      </c>
      <c r="CI1127">
        <f t="shared" si="2421"/>
        <v>0</v>
      </c>
      <c r="CJ1127">
        <f t="shared" si="2421"/>
        <v>0</v>
      </c>
      <c r="CK1127">
        <f t="shared" si="2421"/>
        <v>0</v>
      </c>
      <c r="CL1127">
        <f t="shared" si="2421"/>
        <v>0</v>
      </c>
      <c r="CM1127">
        <f t="shared" si="2422"/>
        <v>0</v>
      </c>
      <c r="CN1127">
        <f t="shared" si="2422"/>
        <v>0</v>
      </c>
      <c r="CO1127">
        <f t="shared" si="2422"/>
        <v>0</v>
      </c>
      <c r="CP1127">
        <f t="shared" si="2422"/>
        <v>0</v>
      </c>
      <c r="CQ1127">
        <f t="shared" si="2422"/>
        <v>0</v>
      </c>
      <c r="CR1127">
        <f t="shared" si="2422"/>
        <v>0</v>
      </c>
      <c r="CS1127">
        <f t="shared" si="2422"/>
        <v>0</v>
      </c>
      <c r="CT1127">
        <f t="shared" si="2422"/>
        <v>0</v>
      </c>
      <c r="CU1127">
        <f t="shared" si="2422"/>
        <v>0</v>
      </c>
      <c r="CV1127">
        <f t="shared" si="2422"/>
        <v>0</v>
      </c>
      <c r="CW1127">
        <f t="shared" si="2423"/>
        <v>0</v>
      </c>
      <c r="CX1127">
        <f t="shared" si="2423"/>
        <v>0</v>
      </c>
      <c r="CY1127">
        <f t="shared" si="2423"/>
        <v>0</v>
      </c>
      <c r="CZ1127">
        <f t="shared" si="2423"/>
        <v>0</v>
      </c>
      <c r="DA1127">
        <f t="shared" si="2423"/>
        <v>0</v>
      </c>
      <c r="DB1127">
        <f t="shared" si="2423"/>
        <v>0</v>
      </c>
      <c r="DC1127">
        <f t="shared" si="2423"/>
        <v>0</v>
      </c>
      <c r="DD1127">
        <f t="shared" si="2423"/>
        <v>0</v>
      </c>
      <c r="DE1127">
        <f t="shared" si="2423"/>
        <v>0</v>
      </c>
      <c r="DF1127">
        <f t="shared" si="2423"/>
        <v>0</v>
      </c>
      <c r="DG1127">
        <f t="shared" si="2424"/>
        <v>0</v>
      </c>
      <c r="DH1127">
        <f t="shared" si="2424"/>
        <v>0</v>
      </c>
      <c r="DI1127">
        <f t="shared" si="2424"/>
        <v>0</v>
      </c>
      <c r="DJ1127">
        <f t="shared" si="2424"/>
        <v>0</v>
      </c>
      <c r="DK1127">
        <f t="shared" si="2424"/>
        <v>0</v>
      </c>
      <c r="DL1127">
        <f t="shared" si="2424"/>
        <v>0</v>
      </c>
      <c r="DM1127">
        <f t="shared" si="2424"/>
        <v>0</v>
      </c>
      <c r="DN1127">
        <f t="shared" si="2424"/>
        <v>0</v>
      </c>
      <c r="DO1127">
        <f t="shared" si="2424"/>
        <v>0</v>
      </c>
      <c r="DP1127">
        <f t="shared" si="2424"/>
        <v>0</v>
      </c>
      <c r="DQ1127">
        <f t="shared" si="2425"/>
        <v>0</v>
      </c>
      <c r="DR1127">
        <f t="shared" si="2425"/>
        <v>0</v>
      </c>
      <c r="DS1127">
        <f t="shared" si="2425"/>
        <v>0</v>
      </c>
      <c r="DT1127">
        <f t="shared" si="2425"/>
        <v>0</v>
      </c>
      <c r="DU1127">
        <f t="shared" si="2425"/>
        <v>0</v>
      </c>
      <c r="DV1127">
        <f t="shared" si="2425"/>
        <v>0</v>
      </c>
      <c r="DW1127">
        <f t="shared" si="2425"/>
        <v>0</v>
      </c>
      <c r="DX1127">
        <f t="shared" si="2425"/>
        <v>0</v>
      </c>
      <c r="DY1127">
        <f t="shared" si="2425"/>
        <v>0</v>
      </c>
      <c r="DZ1127">
        <f t="shared" si="2425"/>
        <v>0</v>
      </c>
      <c r="EA1127">
        <f t="shared" si="2426"/>
        <v>0</v>
      </c>
      <c r="EB1127">
        <f>IF($C1127&lt;&gt;"",IF(BM1127&gt;0,1,0),0)</f>
        <v>0</v>
      </c>
      <c r="EC1127">
        <f t="shared" si="2426"/>
        <v>0</v>
      </c>
      <c r="ED1127">
        <f t="shared" si="2426"/>
        <v>0</v>
      </c>
      <c r="EE1127">
        <f t="shared" si="2426"/>
        <v>0</v>
      </c>
      <c r="EF1127">
        <f t="shared" si="2426"/>
        <v>0</v>
      </c>
    </row>
    <row r="1128" spans="1:136" ht="15.5">
      <c r="A1128" s="90"/>
      <c r="B1128" s="57" t="s">
        <v>184</v>
      </c>
      <c r="C1128" s="94"/>
      <c r="D1128" s="18"/>
      <c r="E1128" s="18">
        <v>0</v>
      </c>
      <c r="F1128" s="18">
        <v>0</v>
      </c>
      <c r="G1128" s="18">
        <v>0</v>
      </c>
      <c r="H1128" s="18">
        <v>0</v>
      </c>
      <c r="I1128" s="18">
        <v>0</v>
      </c>
      <c r="J1128" s="18">
        <v>0</v>
      </c>
      <c r="K1128" s="18">
        <v>0</v>
      </c>
      <c r="L1128" s="18">
        <v>0</v>
      </c>
      <c r="M1128" s="18">
        <v>0</v>
      </c>
      <c r="N1128" s="18">
        <v>0</v>
      </c>
      <c r="O1128" s="18">
        <v>0</v>
      </c>
      <c r="P1128" s="18">
        <v>0</v>
      </c>
      <c r="Q1128" s="18">
        <v>0</v>
      </c>
      <c r="R1128" s="18">
        <v>0</v>
      </c>
      <c r="S1128" s="18">
        <v>0</v>
      </c>
      <c r="T1128" s="18">
        <v>0</v>
      </c>
      <c r="U1128" s="18">
        <v>0</v>
      </c>
      <c r="V1128" s="18">
        <v>0</v>
      </c>
      <c r="W1128" s="18">
        <v>0</v>
      </c>
      <c r="X1128" s="18">
        <v>0</v>
      </c>
      <c r="Y1128" s="18">
        <v>0</v>
      </c>
      <c r="Z1128" s="18">
        <v>0</v>
      </c>
      <c r="AA1128" s="18">
        <v>0</v>
      </c>
      <c r="AB1128" s="18">
        <v>0</v>
      </c>
      <c r="AC1128" s="18">
        <v>0</v>
      </c>
      <c r="AD1128" s="18">
        <v>0</v>
      </c>
      <c r="AE1128" s="18">
        <v>65</v>
      </c>
      <c r="AF1128" s="18">
        <v>90</v>
      </c>
      <c r="AG1128" s="18">
        <v>266</v>
      </c>
      <c r="AH1128" s="18">
        <v>309</v>
      </c>
      <c r="AI1128" s="18">
        <v>387</v>
      </c>
      <c r="AJ1128" s="18">
        <v>395</v>
      </c>
      <c r="AK1128" s="18">
        <v>426</v>
      </c>
      <c r="AL1128" s="18">
        <v>430</v>
      </c>
      <c r="AM1128" s="18">
        <v>511</v>
      </c>
      <c r="AN1128" s="18">
        <v>514</v>
      </c>
      <c r="AO1128" s="18">
        <v>513</v>
      </c>
      <c r="AP1128" s="18">
        <v>228</v>
      </c>
      <c r="AQ1128" s="18">
        <v>180</v>
      </c>
      <c r="AR1128" s="18">
        <v>130</v>
      </c>
      <c r="AS1128" s="18">
        <v>6</v>
      </c>
      <c r="AT1128" s="18">
        <v>70</v>
      </c>
      <c r="AU1128" s="18">
        <v>0</v>
      </c>
      <c r="AV1128" s="18">
        <v>0</v>
      </c>
      <c r="AW1128" s="18">
        <v>0</v>
      </c>
      <c r="AX1128" s="18">
        <v>0</v>
      </c>
      <c r="AY1128" s="18">
        <v>0</v>
      </c>
      <c r="AZ1128" s="18">
        <v>0</v>
      </c>
      <c r="BA1128" s="18">
        <v>0</v>
      </c>
      <c r="BB1128" s="18">
        <v>0</v>
      </c>
      <c r="BC1128" s="18">
        <v>0</v>
      </c>
      <c r="BD1128" s="18">
        <v>0</v>
      </c>
      <c r="BE1128" s="25">
        <v>0</v>
      </c>
      <c r="BF1128" s="18">
        <v>0</v>
      </c>
      <c r="BG1128" s="18">
        <v>0</v>
      </c>
      <c r="BH1128" s="18">
        <v>0</v>
      </c>
      <c r="BI1128" s="18">
        <v>0</v>
      </c>
      <c r="BJ1128" s="18">
        <v>0</v>
      </c>
      <c r="BK1128" s="18">
        <v>0</v>
      </c>
      <c r="BL1128" s="18">
        <v>0</v>
      </c>
      <c r="BM1128" s="18">
        <v>0</v>
      </c>
      <c r="BN1128" s="18">
        <v>0</v>
      </c>
      <c r="BO1128" s="18">
        <v>0</v>
      </c>
      <c r="BP1128" s="18">
        <v>0</v>
      </c>
      <c r="BQ1128" s="18">
        <v>0</v>
      </c>
      <c r="BR1128" s="101"/>
      <c r="BS1128">
        <f t="shared" si="2420"/>
        <v>0</v>
      </c>
      <c r="BT1128">
        <f t="shared" si="2420"/>
        <v>0</v>
      </c>
      <c r="BU1128">
        <f t="shared" si="2420"/>
        <v>0</v>
      </c>
      <c r="BV1128">
        <f t="shared" si="2420"/>
        <v>0</v>
      </c>
      <c r="BW1128">
        <f t="shared" si="2420"/>
        <v>0</v>
      </c>
      <c r="BX1128">
        <f t="shared" si="2420"/>
        <v>0</v>
      </c>
      <c r="BY1128">
        <f t="shared" si="2420"/>
        <v>0</v>
      </c>
      <c r="BZ1128">
        <f t="shared" si="2420"/>
        <v>0</v>
      </c>
      <c r="CA1128">
        <f t="shared" si="2420"/>
        <v>0</v>
      </c>
      <c r="CB1128">
        <f t="shared" si="2420"/>
        <v>0</v>
      </c>
      <c r="CC1128">
        <f t="shared" si="2421"/>
        <v>0</v>
      </c>
      <c r="CD1128">
        <f t="shared" si="2421"/>
        <v>0</v>
      </c>
      <c r="CE1128">
        <f t="shared" si="2421"/>
        <v>0</v>
      </c>
      <c r="CF1128">
        <f t="shared" si="2421"/>
        <v>0</v>
      </c>
      <c r="CG1128">
        <f t="shared" si="2421"/>
        <v>0</v>
      </c>
      <c r="CH1128">
        <f t="shared" si="2421"/>
        <v>0</v>
      </c>
      <c r="CI1128">
        <f t="shared" si="2421"/>
        <v>0</v>
      </c>
      <c r="CJ1128">
        <f t="shared" si="2421"/>
        <v>0</v>
      </c>
      <c r="CK1128">
        <f t="shared" si="2421"/>
        <v>0</v>
      </c>
      <c r="CL1128">
        <f t="shared" si="2421"/>
        <v>0</v>
      </c>
      <c r="CM1128">
        <f t="shared" si="2422"/>
        <v>0</v>
      </c>
      <c r="CN1128">
        <f t="shared" si="2422"/>
        <v>0</v>
      </c>
      <c r="CO1128">
        <f t="shared" si="2422"/>
        <v>0</v>
      </c>
      <c r="CP1128">
        <f t="shared" si="2422"/>
        <v>0</v>
      </c>
      <c r="CQ1128">
        <f t="shared" si="2422"/>
        <v>0</v>
      </c>
      <c r="CR1128">
        <f t="shared" si="2422"/>
        <v>0</v>
      </c>
      <c r="CS1128">
        <f t="shared" si="2422"/>
        <v>0</v>
      </c>
      <c r="CT1128">
        <f t="shared" si="2422"/>
        <v>0</v>
      </c>
      <c r="CU1128">
        <f t="shared" si="2422"/>
        <v>0</v>
      </c>
      <c r="CV1128">
        <f t="shared" si="2422"/>
        <v>0</v>
      </c>
      <c r="CW1128">
        <f t="shared" si="2423"/>
        <v>0</v>
      </c>
      <c r="CX1128">
        <f t="shared" si="2423"/>
        <v>0</v>
      </c>
      <c r="CY1128">
        <f t="shared" si="2423"/>
        <v>0</v>
      </c>
      <c r="CZ1128">
        <f t="shared" si="2423"/>
        <v>0</v>
      </c>
      <c r="DA1128">
        <f t="shared" si="2423"/>
        <v>0</v>
      </c>
      <c r="DB1128">
        <f t="shared" si="2423"/>
        <v>0</v>
      </c>
      <c r="DC1128">
        <f t="shared" si="2423"/>
        <v>0</v>
      </c>
      <c r="DD1128">
        <f t="shared" si="2423"/>
        <v>0</v>
      </c>
      <c r="DE1128">
        <f t="shared" si="2423"/>
        <v>0</v>
      </c>
      <c r="DF1128">
        <f t="shared" si="2423"/>
        <v>0</v>
      </c>
      <c r="DG1128">
        <f t="shared" si="2424"/>
        <v>0</v>
      </c>
      <c r="DH1128">
        <f t="shared" si="2424"/>
        <v>0</v>
      </c>
      <c r="DI1128">
        <f t="shared" si="2424"/>
        <v>0</v>
      </c>
      <c r="DJ1128">
        <f t="shared" si="2424"/>
        <v>0</v>
      </c>
      <c r="DK1128">
        <f t="shared" si="2424"/>
        <v>0</v>
      </c>
      <c r="DL1128">
        <f t="shared" si="2424"/>
        <v>0</v>
      </c>
      <c r="DM1128">
        <f t="shared" si="2424"/>
        <v>0</v>
      </c>
      <c r="DN1128">
        <f t="shared" si="2424"/>
        <v>0</v>
      </c>
      <c r="DO1128">
        <f t="shared" si="2424"/>
        <v>0</v>
      </c>
      <c r="DP1128">
        <f t="shared" si="2424"/>
        <v>0</v>
      </c>
      <c r="DQ1128">
        <f t="shared" si="2425"/>
        <v>0</v>
      </c>
      <c r="DR1128">
        <f t="shared" si="2425"/>
        <v>0</v>
      </c>
      <c r="DS1128">
        <f t="shared" si="2425"/>
        <v>0</v>
      </c>
      <c r="DT1128">
        <f t="shared" si="2425"/>
        <v>0</v>
      </c>
      <c r="DU1128">
        <f t="shared" si="2425"/>
        <v>0</v>
      </c>
      <c r="DV1128">
        <f t="shared" si="2425"/>
        <v>0</v>
      </c>
      <c r="DW1128">
        <f t="shared" si="2425"/>
        <v>0</v>
      </c>
      <c r="DX1128">
        <f t="shared" si="2425"/>
        <v>0</v>
      </c>
      <c r="DY1128">
        <f t="shared" si="2425"/>
        <v>0</v>
      </c>
      <c r="DZ1128">
        <f t="shared" si="2425"/>
        <v>0</v>
      </c>
      <c r="EA1128">
        <f t="shared" si="2426"/>
        <v>0</v>
      </c>
      <c r="EB1128">
        <f>IF($C1128&lt;&gt;"",IF(BM1128&gt;0,1,0),0)</f>
        <v>0</v>
      </c>
      <c r="EC1128">
        <f t="shared" si="2426"/>
        <v>0</v>
      </c>
      <c r="ED1128">
        <f t="shared" si="2426"/>
        <v>0</v>
      </c>
      <c r="EE1128">
        <f t="shared" si="2426"/>
        <v>0</v>
      </c>
      <c r="EF1128">
        <f t="shared" si="2426"/>
        <v>0</v>
      </c>
    </row>
    <row r="1129" spans="1:136" ht="15.5">
      <c r="A1129" s="90"/>
      <c r="B1129" s="57" t="s">
        <v>202</v>
      </c>
      <c r="C1129" s="94"/>
      <c r="D1129" s="18"/>
      <c r="E1129" s="18">
        <v>0</v>
      </c>
      <c r="F1129" s="18">
        <v>0</v>
      </c>
      <c r="G1129" s="18">
        <v>0</v>
      </c>
      <c r="H1129" s="18">
        <v>0</v>
      </c>
      <c r="I1129" s="18">
        <v>0</v>
      </c>
      <c r="J1129" s="18">
        <v>0</v>
      </c>
      <c r="K1129" s="18">
        <v>0</v>
      </c>
      <c r="L1129" s="18">
        <v>0</v>
      </c>
      <c r="M1129" s="18">
        <v>0</v>
      </c>
      <c r="N1129" s="18">
        <v>0</v>
      </c>
      <c r="O1129" s="18">
        <v>0</v>
      </c>
      <c r="P1129" s="18">
        <v>0</v>
      </c>
      <c r="Q1129" s="18">
        <v>0</v>
      </c>
      <c r="R1129" s="18">
        <v>0</v>
      </c>
      <c r="S1129" s="18">
        <v>0</v>
      </c>
      <c r="T1129" s="18">
        <v>0</v>
      </c>
      <c r="U1129" s="18">
        <v>0</v>
      </c>
      <c r="V1129" s="18">
        <v>0</v>
      </c>
      <c r="W1129" s="18">
        <v>0</v>
      </c>
      <c r="X1129" s="18">
        <v>0</v>
      </c>
      <c r="Y1129" s="18">
        <v>0</v>
      </c>
      <c r="Z1129" s="18">
        <v>0</v>
      </c>
      <c r="AA1129" s="18">
        <v>0</v>
      </c>
      <c r="AB1129" s="18">
        <v>0</v>
      </c>
      <c r="AC1129" s="18">
        <v>0</v>
      </c>
      <c r="AD1129" s="18">
        <v>0</v>
      </c>
      <c r="AE1129" s="18">
        <v>0</v>
      </c>
      <c r="AF1129" s="18">
        <v>2</v>
      </c>
      <c r="AG1129" s="18">
        <v>2</v>
      </c>
      <c r="AH1129" s="18">
        <v>4</v>
      </c>
      <c r="AI1129" s="18">
        <v>3</v>
      </c>
      <c r="AJ1129" s="18">
        <v>4</v>
      </c>
      <c r="AK1129" s="18">
        <v>6</v>
      </c>
      <c r="AL1129" s="18">
        <v>8</v>
      </c>
      <c r="AM1129" s="18">
        <v>9</v>
      </c>
      <c r="AN1129" s="18">
        <v>11</v>
      </c>
      <c r="AO1129" s="18">
        <v>12</v>
      </c>
      <c r="AP1129" s="18">
        <v>0</v>
      </c>
      <c r="AQ1129" s="18">
        <v>0</v>
      </c>
      <c r="AR1129" s="18">
        <v>0</v>
      </c>
      <c r="AS1129" s="18">
        <v>0</v>
      </c>
      <c r="AT1129" s="18">
        <v>0</v>
      </c>
      <c r="AU1129" s="18">
        <v>0</v>
      </c>
      <c r="AV1129" s="18">
        <v>0</v>
      </c>
      <c r="AW1129" s="18">
        <v>0</v>
      </c>
      <c r="AX1129" s="18">
        <v>0</v>
      </c>
      <c r="AY1129" s="18">
        <v>0</v>
      </c>
      <c r="AZ1129" s="18">
        <v>0</v>
      </c>
      <c r="BA1129" s="18">
        <v>0</v>
      </c>
      <c r="BB1129" s="18">
        <v>0</v>
      </c>
      <c r="BC1129" s="18">
        <v>0</v>
      </c>
      <c r="BD1129" s="18">
        <v>14</v>
      </c>
      <c r="BE1129" s="25">
        <v>15</v>
      </c>
      <c r="BF1129" s="18">
        <v>15</v>
      </c>
      <c r="BG1129" s="18">
        <v>15</v>
      </c>
      <c r="BH1129" s="18">
        <v>15</v>
      </c>
      <c r="BI1129" s="18">
        <v>15</v>
      </c>
      <c r="BJ1129" s="113">
        <v>15</v>
      </c>
      <c r="BK1129" s="113">
        <v>15</v>
      </c>
      <c r="BL1129" s="113">
        <v>15</v>
      </c>
      <c r="BM1129" s="113">
        <v>15</v>
      </c>
      <c r="BN1129" s="113">
        <v>15</v>
      </c>
      <c r="BO1129" s="113">
        <v>15</v>
      </c>
      <c r="BP1129" s="113">
        <v>15</v>
      </c>
      <c r="BQ1129" s="113">
        <v>16</v>
      </c>
      <c r="BR1129" s="101"/>
      <c r="BS1129">
        <f t="shared" si="2420"/>
        <v>0</v>
      </c>
      <c r="BT1129">
        <f t="shared" si="2420"/>
        <v>0</v>
      </c>
      <c r="BU1129">
        <f t="shared" si="2420"/>
        <v>0</v>
      </c>
      <c r="BV1129">
        <f t="shared" si="2420"/>
        <v>0</v>
      </c>
      <c r="BW1129">
        <f t="shared" si="2420"/>
        <v>0</v>
      </c>
      <c r="BX1129">
        <f t="shared" si="2420"/>
        <v>0</v>
      </c>
      <c r="BY1129">
        <f t="shared" si="2420"/>
        <v>0</v>
      </c>
      <c r="BZ1129">
        <f t="shared" si="2420"/>
        <v>0</v>
      </c>
      <c r="CA1129">
        <f t="shared" si="2420"/>
        <v>0</v>
      </c>
      <c r="CB1129">
        <f t="shared" si="2420"/>
        <v>0</v>
      </c>
      <c r="CC1129">
        <f t="shared" si="2421"/>
        <v>0</v>
      </c>
      <c r="CD1129">
        <f t="shared" si="2421"/>
        <v>0</v>
      </c>
      <c r="CE1129">
        <f t="shared" si="2421"/>
        <v>0</v>
      </c>
      <c r="CF1129">
        <f t="shared" si="2421"/>
        <v>0</v>
      </c>
      <c r="CG1129">
        <f t="shared" si="2421"/>
        <v>0</v>
      </c>
      <c r="CH1129">
        <f t="shared" si="2421"/>
        <v>0</v>
      </c>
      <c r="CI1129">
        <f t="shared" si="2421"/>
        <v>0</v>
      </c>
      <c r="CJ1129">
        <f t="shared" si="2421"/>
        <v>0</v>
      </c>
      <c r="CK1129">
        <f t="shared" si="2421"/>
        <v>0</v>
      </c>
      <c r="CL1129">
        <f t="shared" si="2421"/>
        <v>0</v>
      </c>
      <c r="CM1129">
        <f t="shared" si="2422"/>
        <v>0</v>
      </c>
      <c r="CN1129">
        <f t="shared" si="2422"/>
        <v>0</v>
      </c>
      <c r="CO1129">
        <f t="shared" si="2422"/>
        <v>0</v>
      </c>
      <c r="CP1129">
        <f t="shared" si="2422"/>
        <v>0</v>
      </c>
      <c r="CQ1129">
        <f t="shared" si="2422"/>
        <v>0</v>
      </c>
      <c r="CR1129">
        <f t="shared" si="2422"/>
        <v>0</v>
      </c>
      <c r="CS1129">
        <f t="shared" si="2422"/>
        <v>0</v>
      </c>
      <c r="CT1129">
        <f t="shared" si="2422"/>
        <v>0</v>
      </c>
      <c r="CU1129">
        <f t="shared" si="2422"/>
        <v>0</v>
      </c>
      <c r="CV1129">
        <f t="shared" si="2422"/>
        <v>0</v>
      </c>
      <c r="CW1129">
        <f t="shared" si="2423"/>
        <v>0</v>
      </c>
      <c r="CX1129">
        <f t="shared" si="2423"/>
        <v>0</v>
      </c>
      <c r="CY1129">
        <f t="shared" si="2423"/>
        <v>0</v>
      </c>
      <c r="CZ1129">
        <f t="shared" si="2423"/>
        <v>0</v>
      </c>
      <c r="DA1129">
        <f t="shared" si="2423"/>
        <v>0</v>
      </c>
      <c r="DB1129">
        <f t="shared" si="2423"/>
        <v>0</v>
      </c>
      <c r="DC1129">
        <f t="shared" si="2423"/>
        <v>0</v>
      </c>
      <c r="DD1129">
        <f t="shared" si="2423"/>
        <v>0</v>
      </c>
      <c r="DE1129">
        <f t="shared" si="2423"/>
        <v>0</v>
      </c>
      <c r="DF1129">
        <f t="shared" si="2423"/>
        <v>0</v>
      </c>
      <c r="DG1129">
        <f t="shared" si="2424"/>
        <v>0</v>
      </c>
      <c r="DH1129">
        <f t="shared" si="2424"/>
        <v>0</v>
      </c>
      <c r="DI1129">
        <f t="shared" si="2424"/>
        <v>0</v>
      </c>
      <c r="DJ1129">
        <f t="shared" si="2424"/>
        <v>0</v>
      </c>
      <c r="DK1129">
        <f t="shared" si="2424"/>
        <v>0</v>
      </c>
      <c r="DL1129">
        <f t="shared" si="2424"/>
        <v>0</v>
      </c>
      <c r="DM1129">
        <f t="shared" si="2424"/>
        <v>0</v>
      </c>
      <c r="DN1129">
        <f t="shared" si="2424"/>
        <v>0</v>
      </c>
      <c r="DO1129">
        <f t="shared" si="2424"/>
        <v>0</v>
      </c>
      <c r="DP1129">
        <f t="shared" si="2424"/>
        <v>0</v>
      </c>
      <c r="DQ1129">
        <f t="shared" si="2425"/>
        <v>0</v>
      </c>
      <c r="DR1129">
        <f t="shared" si="2425"/>
        <v>0</v>
      </c>
      <c r="DS1129">
        <f t="shared" si="2425"/>
        <v>0</v>
      </c>
      <c r="DT1129">
        <f t="shared" si="2425"/>
        <v>0</v>
      </c>
      <c r="DU1129">
        <f t="shared" si="2425"/>
        <v>0</v>
      </c>
      <c r="DV1129">
        <f t="shared" si="2425"/>
        <v>0</v>
      </c>
      <c r="DW1129">
        <f t="shared" si="2425"/>
        <v>0</v>
      </c>
      <c r="DX1129">
        <f t="shared" si="2425"/>
        <v>0</v>
      </c>
      <c r="DY1129">
        <f t="shared" si="2425"/>
        <v>0</v>
      </c>
      <c r="DZ1129">
        <f t="shared" si="2425"/>
        <v>0</v>
      </c>
      <c r="EA1129">
        <f t="shared" si="2426"/>
        <v>0</v>
      </c>
      <c r="EB1129">
        <f>IF($C1129&lt;&gt;"",IF(BM1129&gt;0,1,0),0)</f>
        <v>0</v>
      </c>
      <c r="EC1129">
        <f t="shared" si="2426"/>
        <v>0</v>
      </c>
      <c r="ED1129">
        <f t="shared" si="2426"/>
        <v>0</v>
      </c>
      <c r="EE1129">
        <f t="shared" si="2426"/>
        <v>0</v>
      </c>
      <c r="EF1129">
        <f t="shared" si="2426"/>
        <v>0</v>
      </c>
    </row>
    <row r="1130" spans="1:136" ht="15.5">
      <c r="A1130" s="90"/>
      <c r="B1130" s="57" t="s">
        <v>2</v>
      </c>
      <c r="C1130" s="94"/>
      <c r="D1130" s="18"/>
      <c r="E1130" s="18"/>
      <c r="F1130" s="18"/>
      <c r="G1130" s="18"/>
      <c r="H1130" s="18"/>
      <c r="I1130" s="18"/>
      <c r="J1130" s="18"/>
      <c r="K1130" s="18"/>
      <c r="L1130" s="18"/>
      <c r="M1130" s="18"/>
      <c r="N1130" s="18">
        <v>0</v>
      </c>
      <c r="O1130" s="18">
        <v>0</v>
      </c>
      <c r="P1130" s="18">
        <v>0</v>
      </c>
      <c r="Q1130" s="18">
        <v>0</v>
      </c>
      <c r="R1130" s="18">
        <v>0</v>
      </c>
      <c r="S1130" s="18">
        <v>0</v>
      </c>
      <c r="T1130" s="18">
        <v>0</v>
      </c>
      <c r="U1130" s="18">
        <v>0</v>
      </c>
      <c r="V1130" s="18">
        <v>0</v>
      </c>
      <c r="W1130" s="18">
        <v>0</v>
      </c>
      <c r="X1130" s="18">
        <v>0</v>
      </c>
      <c r="Y1130" s="18">
        <v>0</v>
      </c>
      <c r="Z1130" s="18">
        <v>0</v>
      </c>
      <c r="AA1130" s="18">
        <v>0</v>
      </c>
      <c r="AB1130" s="18">
        <v>0</v>
      </c>
      <c r="AC1130" s="18">
        <v>0</v>
      </c>
      <c r="AD1130" s="18">
        <v>0</v>
      </c>
      <c r="AE1130" s="18">
        <v>0</v>
      </c>
      <c r="AF1130" s="18">
        <v>0</v>
      </c>
      <c r="AG1130" s="18">
        <v>0</v>
      </c>
      <c r="AH1130" s="18">
        <v>0</v>
      </c>
      <c r="AI1130" s="18">
        <v>0</v>
      </c>
      <c r="AJ1130" s="18">
        <v>0</v>
      </c>
      <c r="AK1130" s="18">
        <v>0</v>
      </c>
      <c r="AL1130" s="18">
        <v>970</v>
      </c>
      <c r="AM1130" s="18">
        <v>1123</v>
      </c>
      <c r="AN1130" s="18">
        <v>1344</v>
      </c>
      <c r="AO1130" s="18">
        <v>1660</v>
      </c>
      <c r="AP1130" s="18">
        <v>1890</v>
      </c>
      <c r="AQ1130" s="18">
        <v>2050</v>
      </c>
      <c r="AR1130" s="40" t="s">
        <v>16</v>
      </c>
      <c r="AS1130" s="40" t="s">
        <v>16</v>
      </c>
      <c r="AT1130" s="18"/>
      <c r="AU1130" s="18"/>
      <c r="AV1130" s="18"/>
      <c r="AW1130" s="18"/>
      <c r="AX1130" s="18"/>
      <c r="AY1130" s="18"/>
      <c r="AZ1130" s="18"/>
      <c r="BA1130" s="18"/>
      <c r="BB1130" s="18"/>
      <c r="BC1130" s="18"/>
      <c r="BD1130" s="18"/>
      <c r="BE1130" s="25"/>
      <c r="BF1130" s="18"/>
      <c r="BG1130" s="18"/>
      <c r="BH1130" s="18">
        <v>929</v>
      </c>
      <c r="BI1130" s="18">
        <v>974</v>
      </c>
      <c r="BJ1130" s="113">
        <v>981</v>
      </c>
      <c r="BK1130" s="113">
        <v>989</v>
      </c>
      <c r="BL1130" s="113">
        <v>1039</v>
      </c>
      <c r="BM1130" s="113">
        <v>982</v>
      </c>
      <c r="BN1130" s="113">
        <v>915</v>
      </c>
      <c r="BO1130" s="113">
        <v>920</v>
      </c>
      <c r="BP1130" s="113">
        <v>947</v>
      </c>
      <c r="BQ1130" s="113">
        <v>974</v>
      </c>
      <c r="BR1130" s="101"/>
      <c r="BS1130">
        <f t="shared" si="2420"/>
        <v>0</v>
      </c>
      <c r="BT1130">
        <f t="shared" si="2420"/>
        <v>0</v>
      </c>
      <c r="BU1130">
        <f t="shared" si="2420"/>
        <v>0</v>
      </c>
      <c r="BV1130">
        <f t="shared" si="2420"/>
        <v>0</v>
      </c>
      <c r="BW1130">
        <f t="shared" si="2420"/>
        <v>0</v>
      </c>
      <c r="BX1130">
        <f t="shared" si="2420"/>
        <v>0</v>
      </c>
      <c r="BY1130">
        <f t="shared" si="2420"/>
        <v>0</v>
      </c>
      <c r="BZ1130">
        <f t="shared" si="2420"/>
        <v>0</v>
      </c>
      <c r="CA1130">
        <f t="shared" si="2420"/>
        <v>0</v>
      </c>
      <c r="CB1130">
        <f t="shared" si="2420"/>
        <v>0</v>
      </c>
      <c r="CC1130">
        <f t="shared" si="2421"/>
        <v>0</v>
      </c>
      <c r="CD1130">
        <f t="shared" si="2421"/>
        <v>0</v>
      </c>
      <c r="CE1130">
        <f t="shared" si="2421"/>
        <v>0</v>
      </c>
      <c r="CF1130">
        <f t="shared" si="2421"/>
        <v>0</v>
      </c>
      <c r="CG1130">
        <f t="shared" si="2421"/>
        <v>0</v>
      </c>
      <c r="CH1130">
        <f t="shared" si="2421"/>
        <v>0</v>
      </c>
      <c r="CI1130">
        <f t="shared" si="2421"/>
        <v>0</v>
      </c>
      <c r="CJ1130">
        <f t="shared" si="2421"/>
        <v>0</v>
      </c>
      <c r="CK1130">
        <f t="shared" si="2421"/>
        <v>0</v>
      </c>
      <c r="CL1130">
        <f t="shared" si="2421"/>
        <v>0</v>
      </c>
      <c r="CM1130">
        <f t="shared" si="2422"/>
        <v>0</v>
      </c>
      <c r="CN1130">
        <f t="shared" si="2422"/>
        <v>0</v>
      </c>
      <c r="CO1130">
        <f t="shared" si="2422"/>
        <v>0</v>
      </c>
      <c r="CP1130">
        <f t="shared" si="2422"/>
        <v>0</v>
      </c>
      <c r="CQ1130">
        <f t="shared" si="2422"/>
        <v>0</v>
      </c>
      <c r="CR1130">
        <f t="shared" si="2422"/>
        <v>0</v>
      </c>
      <c r="CS1130">
        <f t="shared" si="2422"/>
        <v>0</v>
      </c>
      <c r="CT1130">
        <f t="shared" si="2422"/>
        <v>0</v>
      </c>
      <c r="CU1130">
        <f t="shared" si="2422"/>
        <v>0</v>
      </c>
      <c r="CV1130">
        <f t="shared" si="2422"/>
        <v>0</v>
      </c>
      <c r="CW1130">
        <f t="shared" si="2423"/>
        <v>0</v>
      </c>
      <c r="CX1130">
        <f t="shared" si="2423"/>
        <v>0</v>
      </c>
      <c r="CY1130">
        <f t="shared" si="2423"/>
        <v>0</v>
      </c>
      <c r="CZ1130">
        <f t="shared" si="2423"/>
        <v>0</v>
      </c>
      <c r="DA1130">
        <f t="shared" si="2423"/>
        <v>0</v>
      </c>
      <c r="DB1130">
        <f t="shared" si="2423"/>
        <v>0</v>
      </c>
      <c r="DC1130">
        <f t="shared" si="2423"/>
        <v>0</v>
      </c>
      <c r="DD1130">
        <f t="shared" si="2423"/>
        <v>0</v>
      </c>
      <c r="DE1130">
        <f t="shared" si="2423"/>
        <v>0</v>
      </c>
      <c r="DF1130">
        <f t="shared" si="2423"/>
        <v>0</v>
      </c>
      <c r="DG1130">
        <f t="shared" si="2424"/>
        <v>0</v>
      </c>
      <c r="DH1130">
        <f t="shared" si="2424"/>
        <v>0</v>
      </c>
      <c r="DI1130">
        <f t="shared" si="2424"/>
        <v>0</v>
      </c>
      <c r="DJ1130">
        <f t="shared" si="2424"/>
        <v>0</v>
      </c>
      <c r="DK1130">
        <f t="shared" si="2424"/>
        <v>0</v>
      </c>
      <c r="DL1130">
        <f t="shared" si="2424"/>
        <v>0</v>
      </c>
      <c r="DM1130">
        <f t="shared" si="2424"/>
        <v>0</v>
      </c>
      <c r="DN1130">
        <f t="shared" si="2424"/>
        <v>0</v>
      </c>
      <c r="DO1130">
        <f t="shared" si="2424"/>
        <v>0</v>
      </c>
      <c r="DP1130">
        <f t="shared" si="2424"/>
        <v>0</v>
      </c>
      <c r="DQ1130">
        <f t="shared" si="2425"/>
        <v>0</v>
      </c>
      <c r="DR1130">
        <f t="shared" si="2425"/>
        <v>0</v>
      </c>
      <c r="DS1130">
        <f t="shared" si="2425"/>
        <v>0</v>
      </c>
      <c r="DT1130">
        <f t="shared" si="2425"/>
        <v>0</v>
      </c>
      <c r="DU1130">
        <f t="shared" si="2425"/>
        <v>0</v>
      </c>
      <c r="DV1130">
        <f t="shared" si="2425"/>
        <v>0</v>
      </c>
      <c r="DW1130">
        <f t="shared" si="2425"/>
        <v>0</v>
      </c>
      <c r="DX1130">
        <f t="shared" si="2425"/>
        <v>0</v>
      </c>
      <c r="DY1130">
        <f t="shared" si="2425"/>
        <v>0</v>
      </c>
      <c r="DZ1130">
        <f t="shared" si="2425"/>
        <v>0</v>
      </c>
      <c r="EA1130">
        <f t="shared" si="2426"/>
        <v>0</v>
      </c>
      <c r="EB1130">
        <f>IF($C1130&lt;&gt;"",IF(BM1130&gt;0,1,0),0)</f>
        <v>0</v>
      </c>
      <c r="EC1130">
        <f t="shared" si="2426"/>
        <v>0</v>
      </c>
      <c r="ED1130">
        <f t="shared" si="2426"/>
        <v>0</v>
      </c>
      <c r="EE1130">
        <f t="shared" si="2426"/>
        <v>0</v>
      </c>
      <c r="EF1130">
        <f t="shared" si="2426"/>
        <v>0</v>
      </c>
    </row>
    <row r="1131" spans="1:136" ht="15.5">
      <c r="A1131" s="90"/>
      <c r="B1131" s="19" t="s">
        <v>205</v>
      </c>
      <c r="C1131" s="94"/>
      <c r="D1131" s="18"/>
      <c r="E1131" s="18"/>
      <c r="F1131" s="18"/>
      <c r="G1131" s="18"/>
      <c r="H1131" s="18"/>
      <c r="I1131" s="18"/>
      <c r="J1131" s="18"/>
      <c r="K1131" s="18"/>
      <c r="L1131" s="18"/>
      <c r="M1131" s="18"/>
      <c r="N1131" s="18">
        <v>0</v>
      </c>
      <c r="O1131" s="18">
        <v>0</v>
      </c>
      <c r="P1131" s="18">
        <v>0</v>
      </c>
      <c r="Q1131" s="18">
        <v>0</v>
      </c>
      <c r="R1131" s="18">
        <v>0</v>
      </c>
      <c r="S1131" s="18">
        <v>0</v>
      </c>
      <c r="T1131" s="18">
        <v>0</v>
      </c>
      <c r="U1131" s="18">
        <v>0</v>
      </c>
      <c r="V1131" s="18">
        <v>0</v>
      </c>
      <c r="W1131" s="18">
        <v>0</v>
      </c>
      <c r="X1131" s="18">
        <v>0</v>
      </c>
      <c r="Y1131" s="18">
        <v>0</v>
      </c>
      <c r="Z1131" s="18">
        <v>0</v>
      </c>
      <c r="AA1131" s="18">
        <v>0</v>
      </c>
      <c r="AB1131" s="18">
        <v>0</v>
      </c>
      <c r="AC1131" s="18">
        <v>0</v>
      </c>
      <c r="AD1131" s="18">
        <v>0</v>
      </c>
      <c r="AE1131" s="18">
        <v>0</v>
      </c>
      <c r="AF1131" s="18">
        <v>0</v>
      </c>
      <c r="AG1131" s="18">
        <v>0</v>
      </c>
      <c r="AH1131" s="18">
        <v>0</v>
      </c>
      <c r="AI1131" s="18">
        <v>0</v>
      </c>
      <c r="AJ1131" s="18">
        <v>0</v>
      </c>
      <c r="AK1131" s="18">
        <v>0</v>
      </c>
      <c r="AL1131" s="18">
        <v>0</v>
      </c>
      <c r="AM1131" s="18">
        <v>0</v>
      </c>
      <c r="AN1131" s="18">
        <v>0</v>
      </c>
      <c r="AO1131" s="18">
        <v>0</v>
      </c>
      <c r="AP1131" s="18">
        <v>0</v>
      </c>
      <c r="AQ1131" s="18">
        <v>0</v>
      </c>
      <c r="AR1131" s="18">
        <v>0</v>
      </c>
      <c r="AS1131" s="18">
        <v>0</v>
      </c>
      <c r="AT1131" s="18">
        <v>0</v>
      </c>
      <c r="AU1131" s="18">
        <v>0</v>
      </c>
      <c r="AV1131" s="18">
        <v>0</v>
      </c>
      <c r="AW1131" s="18">
        <v>0</v>
      </c>
      <c r="AX1131" s="40" t="s">
        <v>16</v>
      </c>
      <c r="AY1131" s="40" t="s">
        <v>16</v>
      </c>
      <c r="AZ1131" s="18">
        <v>14.052760900000001</v>
      </c>
      <c r="BA1131" s="18">
        <v>14.7937963</v>
      </c>
      <c r="BB1131" s="18">
        <v>15.437497200000001</v>
      </c>
      <c r="BC1131" s="18">
        <v>16.031836699999999</v>
      </c>
      <c r="BD1131" s="18">
        <v>19.4261956</v>
      </c>
      <c r="BE1131" s="25">
        <v>30.673341699999998</v>
      </c>
      <c r="BF1131" s="18">
        <v>37.008498200000005</v>
      </c>
      <c r="BG1131" s="18">
        <v>49</v>
      </c>
      <c r="BH1131" s="18">
        <v>56</v>
      </c>
      <c r="BI1131" s="18">
        <v>64</v>
      </c>
      <c r="BJ1131" s="113">
        <v>65</v>
      </c>
      <c r="BK1131" s="113">
        <v>66</v>
      </c>
      <c r="BL1131" s="113">
        <v>74</v>
      </c>
      <c r="BM1131" s="113">
        <v>79</v>
      </c>
      <c r="BN1131" s="113">
        <v>73</v>
      </c>
      <c r="BO1131" s="113">
        <v>72</v>
      </c>
      <c r="BP1131" s="113">
        <v>70</v>
      </c>
      <c r="BQ1131" s="113">
        <v>70</v>
      </c>
      <c r="BR1131" s="101"/>
      <c r="CC1131">
        <f t="shared" si="2421"/>
        <v>0</v>
      </c>
      <c r="CD1131">
        <f t="shared" si="2421"/>
        <v>0</v>
      </c>
      <c r="CE1131">
        <f t="shared" si="2421"/>
        <v>0</v>
      </c>
      <c r="CF1131">
        <f t="shared" si="2421"/>
        <v>0</v>
      </c>
      <c r="CG1131">
        <f t="shared" si="2421"/>
        <v>0</v>
      </c>
      <c r="CH1131">
        <f t="shared" si="2421"/>
        <v>0</v>
      </c>
      <c r="CI1131">
        <f t="shared" si="2421"/>
        <v>0</v>
      </c>
      <c r="CJ1131">
        <f t="shared" si="2421"/>
        <v>0</v>
      </c>
      <c r="CK1131">
        <f t="shared" si="2421"/>
        <v>0</v>
      </c>
      <c r="DB1131">
        <f t="shared" si="2423"/>
        <v>0</v>
      </c>
      <c r="DC1131">
        <f t="shared" si="2423"/>
        <v>0</v>
      </c>
      <c r="DD1131">
        <f t="shared" si="2423"/>
        <v>0</v>
      </c>
      <c r="DE1131">
        <f t="shared" si="2423"/>
        <v>0</v>
      </c>
      <c r="DF1131">
        <f t="shared" si="2423"/>
        <v>0</v>
      </c>
    </row>
    <row r="1132" spans="1:136" ht="15.5">
      <c r="A1132" s="90"/>
      <c r="B1132" s="57" t="s">
        <v>3</v>
      </c>
      <c r="C1132" s="94"/>
      <c r="D1132" s="18"/>
      <c r="E1132" s="18"/>
      <c r="F1132" s="18"/>
      <c r="G1132" s="18"/>
      <c r="H1132" s="18"/>
      <c r="I1132" s="18"/>
      <c r="J1132" s="18"/>
      <c r="K1132" s="18"/>
      <c r="L1132" s="18"/>
      <c r="M1132" s="18"/>
      <c r="N1132" s="18">
        <v>0</v>
      </c>
      <c r="O1132" s="18">
        <v>0</v>
      </c>
      <c r="P1132" s="18">
        <v>0</v>
      </c>
      <c r="Q1132" s="18">
        <v>0</v>
      </c>
      <c r="R1132" s="18">
        <v>0</v>
      </c>
      <c r="S1132" s="18">
        <v>0</v>
      </c>
      <c r="T1132" s="18">
        <v>0</v>
      </c>
      <c r="U1132" s="18">
        <v>0</v>
      </c>
      <c r="V1132" s="18">
        <v>0</v>
      </c>
      <c r="W1132" s="18">
        <v>0</v>
      </c>
      <c r="X1132" s="18">
        <v>0</v>
      </c>
      <c r="Y1132" s="18">
        <v>0</v>
      </c>
      <c r="Z1132" s="18">
        <v>0</v>
      </c>
      <c r="AA1132" s="18">
        <v>0</v>
      </c>
      <c r="AB1132" s="18">
        <v>0</v>
      </c>
      <c r="AC1132" s="18">
        <v>0</v>
      </c>
      <c r="AD1132" s="18">
        <v>0</v>
      </c>
      <c r="AE1132" s="18">
        <v>0</v>
      </c>
      <c r="AF1132" s="18">
        <v>0</v>
      </c>
      <c r="AG1132" s="18">
        <v>0</v>
      </c>
      <c r="AH1132" s="18">
        <v>0</v>
      </c>
      <c r="AI1132" s="18">
        <v>0</v>
      </c>
      <c r="AJ1132" s="18">
        <v>0</v>
      </c>
      <c r="AK1132" s="18">
        <v>0</v>
      </c>
      <c r="AL1132" s="18">
        <v>0</v>
      </c>
      <c r="AM1132" s="18">
        <f>6796.736-AM1128-AM1129-AM1130</f>
        <v>5153.7359999999999</v>
      </c>
      <c r="AN1132" s="18">
        <f>6796.736-AN1128-AN1129-AN1130</f>
        <v>4927.7359999999999</v>
      </c>
      <c r="AO1132" s="18">
        <f>6796.736-AO1128-AO1129-AO1130</f>
        <v>4611.7359999999999</v>
      </c>
      <c r="AP1132" s="18">
        <f>6796.736-AP1128-AP1129-AP1130</f>
        <v>4678.7359999999999</v>
      </c>
      <c r="AQ1132" s="18">
        <f>6796.736-AQ1128-AQ1129-AQ1130</f>
        <v>4566.7359999999999</v>
      </c>
      <c r="AR1132" s="18">
        <f>10605.752-AR1128</f>
        <v>10475.752</v>
      </c>
      <c r="AS1132" s="18">
        <f>11123.011-AS1128</f>
        <v>11117.011</v>
      </c>
      <c r="AT1132" s="18"/>
      <c r="AU1132" s="18"/>
      <c r="AV1132" s="18">
        <v>2600</v>
      </c>
      <c r="AW1132" s="18">
        <v>13450</v>
      </c>
      <c r="AX1132" s="40" t="s">
        <v>16</v>
      </c>
      <c r="AY1132" s="40" t="s">
        <v>16</v>
      </c>
      <c r="AZ1132" s="18">
        <f>409.1060507-AZ1131</f>
        <v>395.05328980000002</v>
      </c>
      <c r="BA1132" s="18">
        <f>459.4893149-BA1131</f>
        <v>444.69551860000001</v>
      </c>
      <c r="BB1132" s="18">
        <f>448.2651263-BB1131</f>
        <v>432.82762910000002</v>
      </c>
      <c r="BC1132" s="18">
        <f>460.5304587-BC1131</f>
        <v>444.49862200000001</v>
      </c>
      <c r="BD1132" s="18">
        <f>1047.4094629-BD1131-BD1129</f>
        <v>1013.9832673000001</v>
      </c>
      <c r="BE1132" s="25">
        <f>1652.4105438-BE1131-BE1129</f>
        <v>1606.7372020999999</v>
      </c>
      <c r="BF1132" s="18">
        <f>2074.9122208-BF1131-BF1129</f>
        <v>2022.9037225999998</v>
      </c>
      <c r="BG1132" s="18">
        <f>2367.2355993-BG1131-BG1129</f>
        <v>2303.2355993000001</v>
      </c>
      <c r="BH1132" s="18">
        <f>2655.4744656-BH1131-BH1129-BH1130</f>
        <v>1655.4744655999998</v>
      </c>
      <c r="BI1132" s="18">
        <f>2967.281626-BI1131-BI1129-BI1130</f>
        <v>1914.281626</v>
      </c>
      <c r="BJ1132" s="18">
        <f>3169.2971146-BJ1131-BJ1129-BJ1130</f>
        <v>2108.2971146</v>
      </c>
      <c r="BK1132" s="34">
        <f>3340.516565-BK1131-BK1129-BK1130</f>
        <v>2270.5165649999999</v>
      </c>
      <c r="BL1132" s="113">
        <f>3577.9074217-BL1131-BL1129-BL1130</f>
        <v>2449.9074217000002</v>
      </c>
      <c r="BM1132" s="113">
        <f>3589.2228769-BM1131-BM1129-BM1130</f>
        <v>2513.2228768999998</v>
      </c>
      <c r="BN1132" s="113">
        <f>3462-BN1131-BN1130-BN1129</f>
        <v>2459</v>
      </c>
      <c r="BO1132" s="113">
        <f>4100-BO1131-BO1129-BO1130</f>
        <v>3093</v>
      </c>
      <c r="BP1132" s="113">
        <v>3150</v>
      </c>
      <c r="BQ1132" s="113">
        <v>3207</v>
      </c>
      <c r="BR1132" s="101"/>
      <c r="BS1132">
        <f t="shared" si="2420"/>
        <v>0</v>
      </c>
      <c r="BT1132">
        <f t="shared" si="2420"/>
        <v>0</v>
      </c>
      <c r="BU1132">
        <f t="shared" si="2420"/>
        <v>0</v>
      </c>
      <c r="BV1132">
        <f t="shared" si="2420"/>
        <v>0</v>
      </c>
      <c r="BW1132">
        <f t="shared" si="2420"/>
        <v>0</v>
      </c>
      <c r="BX1132">
        <f t="shared" si="2420"/>
        <v>0</v>
      </c>
      <c r="BY1132">
        <f t="shared" si="2420"/>
        <v>0</v>
      </c>
      <c r="BZ1132">
        <f t="shared" si="2420"/>
        <v>0</v>
      </c>
      <c r="CA1132">
        <f t="shared" si="2420"/>
        <v>0</v>
      </c>
      <c r="CB1132">
        <f t="shared" si="2420"/>
        <v>0</v>
      </c>
      <c r="CC1132">
        <f t="shared" si="2421"/>
        <v>0</v>
      </c>
      <c r="CD1132">
        <f t="shared" si="2421"/>
        <v>0</v>
      </c>
      <c r="CE1132">
        <f t="shared" si="2421"/>
        <v>0</v>
      </c>
      <c r="CF1132">
        <f t="shared" si="2421"/>
        <v>0</v>
      </c>
      <c r="CG1132">
        <f t="shared" si="2421"/>
        <v>0</v>
      </c>
      <c r="CH1132">
        <f t="shared" si="2421"/>
        <v>0</v>
      </c>
      <c r="CI1132">
        <f t="shared" si="2421"/>
        <v>0</v>
      </c>
      <c r="CJ1132">
        <f t="shared" si="2421"/>
        <v>0</v>
      </c>
      <c r="CK1132">
        <f t="shared" si="2421"/>
        <v>0</v>
      </c>
      <c r="CL1132">
        <f t="shared" si="2421"/>
        <v>0</v>
      </c>
      <c r="CM1132">
        <f t="shared" si="2422"/>
        <v>0</v>
      </c>
      <c r="CN1132">
        <f t="shared" si="2422"/>
        <v>0</v>
      </c>
      <c r="CO1132">
        <f t="shared" si="2422"/>
        <v>0</v>
      </c>
      <c r="CP1132">
        <f t="shared" si="2422"/>
        <v>0</v>
      </c>
      <c r="CQ1132">
        <f t="shared" si="2422"/>
        <v>0</v>
      </c>
      <c r="CR1132">
        <f t="shared" si="2422"/>
        <v>0</v>
      </c>
      <c r="CS1132">
        <f t="shared" si="2422"/>
        <v>0</v>
      </c>
      <c r="CT1132">
        <f t="shared" si="2422"/>
        <v>0</v>
      </c>
      <c r="CU1132">
        <f t="shared" si="2422"/>
        <v>0</v>
      </c>
      <c r="CV1132">
        <f t="shared" si="2422"/>
        <v>0</v>
      </c>
      <c r="CW1132">
        <f t="shared" si="2423"/>
        <v>0</v>
      </c>
      <c r="CX1132">
        <f t="shared" si="2423"/>
        <v>0</v>
      </c>
      <c r="CY1132">
        <f t="shared" si="2423"/>
        <v>0</v>
      </c>
      <c r="CZ1132">
        <f t="shared" si="2423"/>
        <v>0</v>
      </c>
      <c r="DA1132">
        <f t="shared" si="2423"/>
        <v>0</v>
      </c>
      <c r="DB1132">
        <f t="shared" si="2423"/>
        <v>0</v>
      </c>
      <c r="DC1132">
        <f t="shared" si="2423"/>
        <v>0</v>
      </c>
      <c r="DD1132">
        <f t="shared" si="2423"/>
        <v>0</v>
      </c>
      <c r="DE1132">
        <f t="shared" si="2423"/>
        <v>0</v>
      </c>
      <c r="DF1132">
        <f t="shared" si="2423"/>
        <v>0</v>
      </c>
      <c r="DG1132">
        <f t="shared" si="2424"/>
        <v>0</v>
      </c>
      <c r="DH1132">
        <f t="shared" si="2424"/>
        <v>0</v>
      </c>
      <c r="DI1132">
        <f t="shared" si="2424"/>
        <v>0</v>
      </c>
      <c r="DJ1132">
        <f t="shared" si="2424"/>
        <v>0</v>
      </c>
      <c r="DK1132">
        <f t="shared" si="2424"/>
        <v>0</v>
      </c>
      <c r="DL1132">
        <f t="shared" si="2424"/>
        <v>0</v>
      </c>
      <c r="DM1132">
        <f t="shared" si="2424"/>
        <v>0</v>
      </c>
      <c r="DN1132">
        <f t="shared" si="2424"/>
        <v>0</v>
      </c>
      <c r="DO1132">
        <f t="shared" si="2424"/>
        <v>0</v>
      </c>
      <c r="DP1132">
        <f t="shared" si="2424"/>
        <v>0</v>
      </c>
      <c r="DQ1132">
        <f t="shared" si="2425"/>
        <v>0</v>
      </c>
      <c r="DR1132">
        <f t="shared" si="2425"/>
        <v>0</v>
      </c>
      <c r="DS1132">
        <f t="shared" si="2425"/>
        <v>0</v>
      </c>
      <c r="DT1132">
        <f t="shared" si="2425"/>
        <v>0</v>
      </c>
      <c r="DU1132">
        <f t="shared" si="2425"/>
        <v>0</v>
      </c>
      <c r="DV1132">
        <f t="shared" si="2425"/>
        <v>0</v>
      </c>
      <c r="DW1132">
        <f t="shared" si="2425"/>
        <v>0</v>
      </c>
      <c r="DX1132">
        <f t="shared" si="2425"/>
        <v>0</v>
      </c>
      <c r="DY1132">
        <f t="shared" si="2425"/>
        <v>0</v>
      </c>
      <c r="DZ1132">
        <f t="shared" si="2425"/>
        <v>0</v>
      </c>
      <c r="EA1132">
        <f t="shared" si="2426"/>
        <v>0</v>
      </c>
      <c r="EB1132">
        <f>IF($C1132&lt;&gt;"",IF(BM1132&gt;0,1,0),0)</f>
        <v>0</v>
      </c>
      <c r="EC1132">
        <f t="shared" si="2426"/>
        <v>0</v>
      </c>
      <c r="ED1132">
        <f t="shared" si="2426"/>
        <v>0</v>
      </c>
      <c r="EE1132">
        <f t="shared" si="2426"/>
        <v>0</v>
      </c>
      <c r="EF1132">
        <f t="shared" si="2426"/>
        <v>0</v>
      </c>
    </row>
    <row r="1133" spans="1:136" ht="15.5">
      <c r="A1133" s="90"/>
      <c r="B1133" s="19" t="s">
        <v>208</v>
      </c>
      <c r="C1133" s="94"/>
      <c r="D1133" s="18"/>
      <c r="E1133" s="18"/>
      <c r="F1133" s="18"/>
      <c r="G1133" s="18"/>
      <c r="H1133" s="18"/>
      <c r="I1133" s="18"/>
      <c r="J1133" s="18"/>
      <c r="K1133" s="18"/>
      <c r="L1133" s="18"/>
      <c r="M1133" s="18"/>
      <c r="N1133" s="18">
        <v>0</v>
      </c>
      <c r="O1133" s="18">
        <v>0</v>
      </c>
      <c r="P1133" s="18">
        <v>0</v>
      </c>
      <c r="Q1133" s="18">
        <v>0</v>
      </c>
      <c r="R1133" s="18">
        <v>0</v>
      </c>
      <c r="S1133" s="18">
        <v>0</v>
      </c>
      <c r="T1133" s="18">
        <v>0</v>
      </c>
      <c r="U1133" s="18">
        <v>0</v>
      </c>
      <c r="V1133" s="18">
        <v>0</v>
      </c>
      <c r="W1133" s="18">
        <v>0</v>
      </c>
      <c r="X1133" s="18">
        <v>0</v>
      </c>
      <c r="Y1133" s="18">
        <v>0</v>
      </c>
      <c r="Z1133" s="18">
        <v>0</v>
      </c>
      <c r="AA1133" s="18">
        <v>0</v>
      </c>
      <c r="AB1133" s="18">
        <v>0</v>
      </c>
      <c r="AC1133" s="18">
        <v>0</v>
      </c>
      <c r="AD1133" s="18">
        <v>0</v>
      </c>
      <c r="AE1133" s="18">
        <v>0</v>
      </c>
      <c r="AF1133" s="18">
        <v>0</v>
      </c>
      <c r="AG1133" s="18">
        <v>0</v>
      </c>
      <c r="AH1133" s="18">
        <v>0</v>
      </c>
      <c r="AI1133" s="18">
        <v>0</v>
      </c>
      <c r="AJ1133" s="18">
        <v>0</v>
      </c>
      <c r="AK1133" s="18">
        <v>0</v>
      </c>
      <c r="AL1133" s="18">
        <v>0</v>
      </c>
      <c r="AM1133" s="18">
        <v>994.21100000000001</v>
      </c>
      <c r="AN1133" s="18">
        <v>1079.075</v>
      </c>
      <c r="AO1133" s="18">
        <v>1078.348</v>
      </c>
      <c r="AP1133" s="18">
        <v>1129.3909999999998</v>
      </c>
      <c r="AQ1133" s="18">
        <v>1065.982</v>
      </c>
      <c r="AR1133" s="18">
        <v>1059.981</v>
      </c>
      <c r="AS1133" s="18">
        <v>976.22799999999995</v>
      </c>
      <c r="AT1133" s="18">
        <v>0</v>
      </c>
      <c r="AU1133" s="18">
        <v>0</v>
      </c>
      <c r="AV1133" s="18">
        <v>0</v>
      </c>
      <c r="AW1133" s="18">
        <v>0</v>
      </c>
      <c r="AX1133" s="40" t="s">
        <v>16</v>
      </c>
      <c r="AY1133" s="40" t="s">
        <v>16</v>
      </c>
      <c r="AZ1133" s="18">
        <v>11.119</v>
      </c>
      <c r="BA1133" s="18">
        <v>11.119</v>
      </c>
      <c r="BB1133" s="18">
        <v>11.119</v>
      </c>
      <c r="BC1133" s="18">
        <v>11.119</v>
      </c>
      <c r="BD1133" s="18">
        <v>12.6310324</v>
      </c>
      <c r="BE1133" s="25">
        <v>14.250936099999999</v>
      </c>
      <c r="BF1133" s="18">
        <v>15.220229799999998</v>
      </c>
      <c r="BG1133" s="18">
        <v>15.978956800000001</v>
      </c>
      <c r="BH1133" s="18">
        <v>16.8912516</v>
      </c>
      <c r="BI1133" s="18">
        <v>18.583362200000003</v>
      </c>
      <c r="BJ1133" s="18">
        <v>18.29815</v>
      </c>
      <c r="BK1133" s="113">
        <v>18.450308399999997</v>
      </c>
      <c r="BL1133" s="113">
        <v>20.033660600000001</v>
      </c>
      <c r="BM1133" s="113">
        <v>20.106264800000002</v>
      </c>
      <c r="BN1133" s="113">
        <v>19.575004799999999</v>
      </c>
      <c r="BO1133" s="113">
        <v>22</v>
      </c>
      <c r="BP1133" s="113">
        <v>22</v>
      </c>
      <c r="BQ1133" s="113">
        <v>23</v>
      </c>
      <c r="BR1133" s="101"/>
      <c r="BS1133">
        <f t="shared" si="2420"/>
        <v>0</v>
      </c>
      <c r="BT1133">
        <f t="shared" si="2420"/>
        <v>0</v>
      </c>
      <c r="BU1133">
        <f t="shared" si="2420"/>
        <v>0</v>
      </c>
      <c r="BV1133">
        <f t="shared" si="2420"/>
        <v>0</v>
      </c>
      <c r="BW1133">
        <f t="shared" si="2420"/>
        <v>0</v>
      </c>
      <c r="BX1133">
        <f t="shared" si="2420"/>
        <v>0</v>
      </c>
      <c r="BY1133">
        <f t="shared" si="2420"/>
        <v>0</v>
      </c>
      <c r="BZ1133">
        <f t="shared" si="2420"/>
        <v>0</v>
      </c>
      <c r="CA1133">
        <f t="shared" si="2420"/>
        <v>0</v>
      </c>
      <c r="CB1133">
        <f t="shared" si="2420"/>
        <v>0</v>
      </c>
      <c r="CC1133">
        <f t="shared" si="2421"/>
        <v>0</v>
      </c>
      <c r="CD1133">
        <f t="shared" si="2421"/>
        <v>0</v>
      </c>
      <c r="CE1133">
        <f t="shared" si="2421"/>
        <v>0</v>
      </c>
      <c r="CF1133">
        <f t="shared" si="2421"/>
        <v>0</v>
      </c>
      <c r="CG1133">
        <f t="shared" si="2421"/>
        <v>0</v>
      </c>
      <c r="CH1133">
        <f t="shared" si="2421"/>
        <v>0</v>
      </c>
      <c r="CI1133">
        <f t="shared" si="2421"/>
        <v>0</v>
      </c>
      <c r="CJ1133">
        <f t="shared" si="2421"/>
        <v>0</v>
      </c>
      <c r="CK1133">
        <f t="shared" si="2421"/>
        <v>0</v>
      </c>
      <c r="CL1133">
        <f t="shared" si="2421"/>
        <v>0</v>
      </c>
      <c r="CM1133">
        <f t="shared" si="2422"/>
        <v>0</v>
      </c>
      <c r="CN1133">
        <f t="shared" si="2422"/>
        <v>0</v>
      </c>
      <c r="CO1133">
        <f t="shared" si="2422"/>
        <v>0</v>
      </c>
      <c r="CP1133">
        <f t="shared" si="2422"/>
        <v>0</v>
      </c>
      <c r="CQ1133">
        <f t="shared" si="2422"/>
        <v>0</v>
      </c>
      <c r="CR1133">
        <f t="shared" si="2422"/>
        <v>0</v>
      </c>
      <c r="CS1133">
        <f t="shared" si="2422"/>
        <v>0</v>
      </c>
      <c r="CT1133">
        <f t="shared" si="2422"/>
        <v>0</v>
      </c>
      <c r="CU1133">
        <f t="shared" si="2422"/>
        <v>0</v>
      </c>
      <c r="CV1133">
        <f t="shared" si="2422"/>
        <v>0</v>
      </c>
      <c r="CW1133">
        <f t="shared" si="2423"/>
        <v>0</v>
      </c>
      <c r="CX1133">
        <f t="shared" si="2423"/>
        <v>0</v>
      </c>
      <c r="CY1133">
        <f t="shared" si="2423"/>
        <v>0</v>
      </c>
      <c r="CZ1133">
        <f t="shared" si="2423"/>
        <v>0</v>
      </c>
      <c r="DA1133">
        <f t="shared" si="2423"/>
        <v>0</v>
      </c>
      <c r="DB1133">
        <f t="shared" si="2423"/>
        <v>0</v>
      </c>
      <c r="DC1133">
        <f t="shared" si="2423"/>
        <v>0</v>
      </c>
      <c r="DD1133">
        <f t="shared" si="2423"/>
        <v>0</v>
      </c>
      <c r="DE1133">
        <f t="shared" si="2423"/>
        <v>0</v>
      </c>
      <c r="DF1133">
        <f t="shared" si="2423"/>
        <v>0</v>
      </c>
      <c r="DG1133">
        <f t="shared" si="2424"/>
        <v>0</v>
      </c>
      <c r="DH1133">
        <f t="shared" si="2424"/>
        <v>0</v>
      </c>
      <c r="DI1133">
        <f t="shared" si="2424"/>
        <v>0</v>
      </c>
      <c r="DJ1133">
        <f t="shared" si="2424"/>
        <v>0</v>
      </c>
      <c r="DK1133">
        <f t="shared" si="2424"/>
        <v>0</v>
      </c>
      <c r="DL1133">
        <f t="shared" si="2424"/>
        <v>0</v>
      </c>
      <c r="DM1133">
        <f t="shared" si="2424"/>
        <v>0</v>
      </c>
      <c r="DN1133">
        <f t="shared" si="2424"/>
        <v>0</v>
      </c>
      <c r="DO1133">
        <f t="shared" si="2424"/>
        <v>0</v>
      </c>
      <c r="DP1133">
        <f t="shared" si="2424"/>
        <v>0</v>
      </c>
      <c r="DQ1133">
        <f t="shared" si="2425"/>
        <v>0</v>
      </c>
      <c r="DR1133">
        <f t="shared" si="2425"/>
        <v>0</v>
      </c>
      <c r="DS1133">
        <f t="shared" si="2425"/>
        <v>0</v>
      </c>
      <c r="DT1133">
        <f t="shared" si="2425"/>
        <v>0</v>
      </c>
      <c r="DU1133">
        <f t="shared" si="2425"/>
        <v>0</v>
      </c>
      <c r="DV1133">
        <f t="shared" si="2425"/>
        <v>0</v>
      </c>
      <c r="DW1133">
        <f t="shared" si="2425"/>
        <v>0</v>
      </c>
      <c r="DX1133">
        <f t="shared" si="2425"/>
        <v>0</v>
      </c>
      <c r="DY1133">
        <f t="shared" si="2425"/>
        <v>0</v>
      </c>
      <c r="DZ1133">
        <f t="shared" si="2425"/>
        <v>0</v>
      </c>
      <c r="EA1133">
        <f t="shared" si="2426"/>
        <v>0</v>
      </c>
      <c r="EB1133">
        <f>IF($C1133&lt;&gt;"",IF(BM1133&gt;0,1,0),0)</f>
        <v>0</v>
      </c>
      <c r="EC1133">
        <f t="shared" si="2426"/>
        <v>0</v>
      </c>
      <c r="ED1133">
        <f t="shared" si="2426"/>
        <v>0</v>
      </c>
      <c r="EE1133">
        <f t="shared" si="2426"/>
        <v>0</v>
      </c>
      <c r="EF1133">
        <f t="shared" si="2426"/>
        <v>0</v>
      </c>
    </row>
    <row r="1134" spans="1:136" ht="15.5">
      <c r="A1134" s="90"/>
      <c r="B1134" s="37"/>
      <c r="C1134" s="94"/>
      <c r="D1134" s="31"/>
      <c r="E1134" s="31"/>
      <c r="F1134" s="31"/>
      <c r="G1134" s="31"/>
      <c r="H1134" s="31"/>
      <c r="I1134" s="31"/>
      <c r="J1134" s="31"/>
      <c r="K1134" s="31"/>
      <c r="L1134" s="31"/>
      <c r="M1134" s="31"/>
      <c r="N1134" s="31"/>
      <c r="O1134" s="31"/>
      <c r="P1134" s="31"/>
      <c r="Q1134" s="31"/>
      <c r="R1134" s="31"/>
      <c r="S1134" s="31"/>
      <c r="T1134" s="31"/>
      <c r="U1134" s="31"/>
      <c r="V1134" s="31"/>
      <c r="W1134" s="31"/>
      <c r="X1134" s="31"/>
      <c r="Y1134" s="31"/>
      <c r="Z1134" s="31"/>
      <c r="AA1134" s="31"/>
      <c r="AB1134" s="31"/>
      <c r="AC1134" s="31"/>
      <c r="AD1134" s="31"/>
      <c r="AE1134" s="31"/>
      <c r="AF1134" s="31"/>
      <c r="AG1134" s="31"/>
      <c r="AH1134" s="31"/>
      <c r="AI1134" s="31"/>
      <c r="AJ1134" s="31"/>
      <c r="AK1134" s="31"/>
      <c r="AL1134" s="31"/>
      <c r="AM1134" s="31"/>
      <c r="AN1134" s="31"/>
      <c r="AO1134" s="31"/>
      <c r="AP1134" s="31"/>
      <c r="AQ1134" s="31"/>
      <c r="AR1134" s="31"/>
      <c r="AS1134" s="31"/>
      <c r="AT1134" s="31"/>
      <c r="AU1134" s="31"/>
      <c r="AV1134" s="31"/>
      <c r="AW1134" s="31"/>
      <c r="AX1134" s="31"/>
      <c r="AY1134" s="31"/>
      <c r="AZ1134" s="31"/>
      <c r="BA1134" s="31"/>
      <c r="BB1134" s="31"/>
      <c r="BC1134" s="31"/>
      <c r="BD1134" s="31"/>
      <c r="BE1134" s="55"/>
      <c r="BF1134" s="18"/>
      <c r="BG1134" s="31"/>
      <c r="BH1134" s="2"/>
      <c r="BI1134" s="2"/>
      <c r="BJ1134" s="2"/>
      <c r="BK1134" s="2"/>
      <c r="BL1134" s="22"/>
      <c r="BM1134" s="2"/>
      <c r="BN1134" s="2"/>
      <c r="BO1134" s="2"/>
      <c r="BP1134" s="2"/>
      <c r="BQ1134" s="2"/>
      <c r="BR1134" s="101"/>
    </row>
    <row r="1135" spans="1:136" ht="15.5">
      <c r="A1135" s="93">
        <v>143</v>
      </c>
      <c r="B1135" s="54" t="s">
        <v>141</v>
      </c>
      <c r="C1135" s="94">
        <v>4</v>
      </c>
      <c r="D1135" s="22"/>
      <c r="E1135" s="22"/>
      <c r="F1135" s="22"/>
      <c r="G1135" s="22"/>
      <c r="H1135" s="22"/>
      <c r="I1135" s="22"/>
      <c r="J1135" s="22"/>
      <c r="K1135" s="22"/>
      <c r="L1135" s="22"/>
      <c r="M1135" s="22"/>
      <c r="N1135" s="22"/>
      <c r="O1135" s="22"/>
      <c r="P1135" s="22"/>
      <c r="Q1135" s="22"/>
      <c r="R1135" s="22"/>
      <c r="S1135" s="22"/>
      <c r="T1135" s="22"/>
      <c r="U1135" s="22"/>
      <c r="V1135" s="22"/>
      <c r="W1135" s="22"/>
      <c r="X1135" s="22"/>
      <c r="Y1135" s="22"/>
      <c r="Z1135" s="22"/>
      <c r="AA1135" s="22"/>
      <c r="AB1135" s="22"/>
      <c r="AC1135" s="22"/>
      <c r="AD1135" s="22"/>
      <c r="AE1135" s="22"/>
      <c r="AF1135" s="22"/>
      <c r="AG1135" s="22"/>
      <c r="AH1135" s="22"/>
      <c r="AI1135" s="22">
        <f t="shared" ref="AI1135:BK1135" si="2427">SUM(AI1136:AI1139)</f>
        <v>0</v>
      </c>
      <c r="AJ1135" s="22">
        <f t="shared" si="2427"/>
        <v>0</v>
      </c>
      <c r="AK1135" s="22">
        <f t="shared" si="2427"/>
        <v>0.307</v>
      </c>
      <c r="AL1135" s="22">
        <f t="shared" si="2427"/>
        <v>78.558999999999997</v>
      </c>
      <c r="AM1135" s="22">
        <f t="shared" si="2427"/>
        <v>185.078</v>
      </c>
      <c r="AN1135" s="22">
        <f t="shared" si="2427"/>
        <v>601.02499999999998</v>
      </c>
      <c r="AO1135" s="22">
        <f t="shared" si="2427"/>
        <v>154.52600000000001</v>
      </c>
      <c r="AP1135" s="22">
        <f t="shared" si="2427"/>
        <v>306.863</v>
      </c>
      <c r="AQ1135" s="22">
        <f t="shared" si="2427"/>
        <v>136.88800000000001</v>
      </c>
      <c r="AR1135" s="22">
        <f t="shared" si="2427"/>
        <v>166.33446910000004</v>
      </c>
      <c r="AS1135" s="22">
        <f t="shared" si="2427"/>
        <v>189.23590440000001</v>
      </c>
      <c r="AT1135" s="22">
        <f t="shared" si="2427"/>
        <v>96.2353691</v>
      </c>
      <c r="AU1135" s="22">
        <f t="shared" si="2427"/>
        <v>108.6286774</v>
      </c>
      <c r="AV1135" s="22">
        <f t="shared" si="2427"/>
        <v>106.9778295</v>
      </c>
      <c r="AW1135" s="22">
        <f t="shared" si="2427"/>
        <v>106.1739196</v>
      </c>
      <c r="AX1135" s="22">
        <f t="shared" si="2427"/>
        <v>102.9142585</v>
      </c>
      <c r="AY1135" s="22">
        <f t="shared" si="2427"/>
        <v>0</v>
      </c>
      <c r="AZ1135" s="22">
        <f t="shared" si="2427"/>
        <v>0</v>
      </c>
      <c r="BA1135" s="22">
        <f t="shared" si="2427"/>
        <v>0</v>
      </c>
      <c r="BB1135" s="22">
        <f t="shared" si="2427"/>
        <v>363.78800000000001</v>
      </c>
      <c r="BC1135" s="22">
        <f t="shared" si="2427"/>
        <v>299.31700000000001</v>
      </c>
      <c r="BD1135" s="22">
        <f t="shared" si="2427"/>
        <v>18.39</v>
      </c>
      <c r="BE1135" s="22">
        <f t="shared" si="2427"/>
        <v>0.79290159999999998</v>
      </c>
      <c r="BF1135" s="22">
        <f t="shared" si="2427"/>
        <v>0.5875475</v>
      </c>
      <c r="BG1135" s="22">
        <f t="shared" si="2427"/>
        <v>0.11640139999999999</v>
      </c>
      <c r="BH1135" s="22">
        <f t="shared" si="2427"/>
        <v>0.11830120000000001</v>
      </c>
      <c r="BI1135" s="22">
        <f t="shared" si="2427"/>
        <v>0.74549140000000003</v>
      </c>
      <c r="BJ1135" s="22">
        <f t="shared" si="2427"/>
        <v>0.1015278</v>
      </c>
      <c r="BK1135" s="22">
        <f t="shared" si="2427"/>
        <v>0</v>
      </c>
      <c r="BL1135" s="22">
        <f t="shared" ref="BL1135:BQ1135" si="2428">SUM(BL1136:BL1139)</f>
        <v>42.267000000000003</v>
      </c>
      <c r="BM1135" s="22">
        <f t="shared" si="2428"/>
        <v>40</v>
      </c>
      <c r="BN1135" s="22">
        <f t="shared" si="2428"/>
        <v>0</v>
      </c>
      <c r="BO1135" s="22">
        <f t="shared" si="2428"/>
        <v>0</v>
      </c>
      <c r="BP1135" s="256">
        <f t="shared" si="2428"/>
        <v>0</v>
      </c>
      <c r="BQ1135" s="256">
        <f t="shared" si="2428"/>
        <v>0</v>
      </c>
      <c r="BR1135" s="101"/>
      <c r="BS1135">
        <f t="shared" ref="BS1135:CB1140" si="2429">IF($C1135&lt;&gt;"",IF(D1135&gt;0,1,0),0)</f>
        <v>0</v>
      </c>
      <c r="BT1135">
        <f t="shared" si="2429"/>
        <v>0</v>
      </c>
      <c r="BU1135">
        <f t="shared" si="2429"/>
        <v>0</v>
      </c>
      <c r="BV1135">
        <f t="shared" si="2429"/>
        <v>0</v>
      </c>
      <c r="BW1135">
        <f t="shared" si="2429"/>
        <v>0</v>
      </c>
      <c r="BX1135">
        <f t="shared" si="2429"/>
        <v>0</v>
      </c>
      <c r="BY1135">
        <f t="shared" si="2429"/>
        <v>0</v>
      </c>
      <c r="BZ1135">
        <f t="shared" si="2429"/>
        <v>0</v>
      </c>
      <c r="CA1135">
        <f t="shared" si="2429"/>
        <v>0</v>
      </c>
      <c r="CB1135">
        <f t="shared" si="2429"/>
        <v>0</v>
      </c>
      <c r="CC1135">
        <f t="shared" ref="CC1135:CL1140" si="2430">IF($C1135&lt;&gt;"",IF(N1135&gt;0,1,0),0)</f>
        <v>0</v>
      </c>
      <c r="CD1135">
        <f t="shared" si="2430"/>
        <v>0</v>
      </c>
      <c r="CE1135">
        <f t="shared" si="2430"/>
        <v>0</v>
      </c>
      <c r="CF1135">
        <f t="shared" si="2430"/>
        <v>0</v>
      </c>
      <c r="CG1135">
        <f t="shared" si="2430"/>
        <v>0</v>
      </c>
      <c r="CH1135">
        <f t="shared" si="2430"/>
        <v>0</v>
      </c>
      <c r="CI1135">
        <f t="shared" si="2430"/>
        <v>0</v>
      </c>
      <c r="CJ1135">
        <f t="shared" si="2430"/>
        <v>0</v>
      </c>
      <c r="CK1135">
        <f t="shared" si="2430"/>
        <v>0</v>
      </c>
      <c r="CL1135">
        <f t="shared" si="2430"/>
        <v>0</v>
      </c>
      <c r="CM1135">
        <f t="shared" ref="CM1135:CV1140" si="2431">IF($C1135&lt;&gt;"",IF(X1135&gt;0,1,0),0)</f>
        <v>0</v>
      </c>
      <c r="CN1135">
        <f t="shared" si="2431"/>
        <v>0</v>
      </c>
      <c r="CO1135">
        <f t="shared" si="2431"/>
        <v>0</v>
      </c>
      <c r="CP1135">
        <f t="shared" si="2431"/>
        <v>0</v>
      </c>
      <c r="CQ1135">
        <f t="shared" si="2431"/>
        <v>0</v>
      </c>
      <c r="CR1135">
        <f t="shared" si="2431"/>
        <v>0</v>
      </c>
      <c r="CS1135">
        <f t="shared" si="2431"/>
        <v>0</v>
      </c>
      <c r="CT1135">
        <f t="shared" si="2431"/>
        <v>0</v>
      </c>
      <c r="CU1135">
        <f t="shared" si="2431"/>
        <v>0</v>
      </c>
      <c r="CV1135">
        <f t="shared" si="2431"/>
        <v>0</v>
      </c>
      <c r="CW1135">
        <f t="shared" ref="CW1135:DF1140" si="2432">IF($C1135&lt;&gt;"",IF(AH1135&gt;0,1,0),0)</f>
        <v>0</v>
      </c>
      <c r="CX1135">
        <f t="shared" si="2432"/>
        <v>0</v>
      </c>
      <c r="CY1135">
        <f t="shared" si="2432"/>
        <v>0</v>
      </c>
      <c r="CZ1135">
        <f t="shared" si="2432"/>
        <v>1</v>
      </c>
      <c r="DA1135">
        <f t="shared" si="2432"/>
        <v>1</v>
      </c>
      <c r="DB1135">
        <f t="shared" si="2432"/>
        <v>1</v>
      </c>
      <c r="DC1135">
        <f t="shared" si="2432"/>
        <v>1</v>
      </c>
      <c r="DD1135">
        <f t="shared" si="2432"/>
        <v>1</v>
      </c>
      <c r="DE1135">
        <f t="shared" si="2432"/>
        <v>1</v>
      </c>
      <c r="DF1135">
        <f t="shared" si="2432"/>
        <v>1</v>
      </c>
      <c r="DG1135">
        <f t="shared" ref="DG1135:DP1140" si="2433">IF($C1135&lt;&gt;"",IF(AR1135&gt;0,1,0),0)</f>
        <v>1</v>
      </c>
      <c r="DH1135">
        <f t="shared" si="2433"/>
        <v>1</v>
      </c>
      <c r="DI1135">
        <f t="shared" si="2433"/>
        <v>1</v>
      </c>
      <c r="DJ1135">
        <f t="shared" si="2433"/>
        <v>1</v>
      </c>
      <c r="DK1135">
        <f t="shared" si="2433"/>
        <v>1</v>
      </c>
      <c r="DL1135">
        <f t="shared" si="2433"/>
        <v>1</v>
      </c>
      <c r="DM1135">
        <f t="shared" si="2433"/>
        <v>1</v>
      </c>
      <c r="DN1135">
        <f t="shared" si="2433"/>
        <v>0</v>
      </c>
      <c r="DO1135">
        <f t="shared" si="2433"/>
        <v>0</v>
      </c>
      <c r="DP1135">
        <f t="shared" si="2433"/>
        <v>0</v>
      </c>
      <c r="DQ1135">
        <f t="shared" ref="DQ1135:DZ1140" si="2434">IF($C1135&lt;&gt;"",IF(BB1135&gt;0,1,0),0)</f>
        <v>1</v>
      </c>
      <c r="DR1135">
        <f t="shared" si="2434"/>
        <v>1</v>
      </c>
      <c r="DS1135">
        <f t="shared" si="2434"/>
        <v>1</v>
      </c>
      <c r="DT1135">
        <f t="shared" si="2434"/>
        <v>1</v>
      </c>
      <c r="DU1135">
        <f t="shared" si="2434"/>
        <v>1</v>
      </c>
      <c r="DV1135">
        <f t="shared" si="2434"/>
        <v>1</v>
      </c>
      <c r="DW1135">
        <f t="shared" si="2434"/>
        <v>1</v>
      </c>
      <c r="DX1135">
        <f t="shared" si="2434"/>
        <v>1</v>
      </c>
      <c r="DY1135">
        <f t="shared" si="2434"/>
        <v>1</v>
      </c>
      <c r="DZ1135">
        <f t="shared" si="2434"/>
        <v>0</v>
      </c>
      <c r="EA1135">
        <f t="shared" ref="EA1135:EF1140" si="2435">IF($C1135&lt;&gt;"",IF(BL1135&gt;0,1,0),0)</f>
        <v>1</v>
      </c>
      <c r="EB1135">
        <f t="shared" ref="EB1135:EB1140" si="2436">IF($C1135&lt;&gt;"",IF(BM1135&gt;0,1,0),0)</f>
        <v>1</v>
      </c>
      <c r="EC1135">
        <f t="shared" si="2435"/>
        <v>0</v>
      </c>
      <c r="ED1135">
        <f t="shared" si="2435"/>
        <v>0</v>
      </c>
      <c r="EE1135">
        <f t="shared" si="2435"/>
        <v>0</v>
      </c>
      <c r="EF1135">
        <f t="shared" si="2435"/>
        <v>0</v>
      </c>
    </row>
    <row r="1136" spans="1:136" ht="15.5">
      <c r="A1136" s="90"/>
      <c r="B1136" s="57" t="s">
        <v>2</v>
      </c>
      <c r="C1136" s="94"/>
      <c r="D1136" s="22"/>
      <c r="E1136" s="22"/>
      <c r="F1136" s="22"/>
      <c r="G1136" s="22"/>
      <c r="H1136" s="22"/>
      <c r="I1136" s="22"/>
      <c r="J1136" s="22"/>
      <c r="K1136" s="22"/>
      <c r="L1136" s="22"/>
      <c r="M1136" s="22"/>
      <c r="N1136" s="22"/>
      <c r="O1136" s="22"/>
      <c r="P1136" s="22"/>
      <c r="Q1136" s="22"/>
      <c r="R1136" s="22"/>
      <c r="S1136" s="22"/>
      <c r="T1136" s="22"/>
      <c r="U1136" s="22"/>
      <c r="V1136" s="22"/>
      <c r="W1136" s="22"/>
      <c r="X1136" s="22"/>
      <c r="Y1136" s="22"/>
      <c r="Z1136" s="22"/>
      <c r="AA1136" s="22"/>
      <c r="AB1136" s="22"/>
      <c r="AC1136" s="22"/>
      <c r="AD1136" s="22"/>
      <c r="AE1136" s="22"/>
      <c r="AF1136" s="22"/>
      <c r="AG1136" s="22"/>
      <c r="AH1136" s="22"/>
      <c r="AI1136" s="18">
        <v>0</v>
      </c>
      <c r="AJ1136" s="18">
        <v>0</v>
      </c>
      <c r="AK1136" s="18">
        <v>0</v>
      </c>
      <c r="AL1136" s="18">
        <v>0</v>
      </c>
      <c r="AM1136" s="18">
        <v>0</v>
      </c>
      <c r="AN1136" s="18">
        <v>0</v>
      </c>
      <c r="AO1136" s="18">
        <v>0</v>
      </c>
      <c r="AP1136" s="18">
        <v>0</v>
      </c>
      <c r="AQ1136" s="18">
        <v>0</v>
      </c>
      <c r="AR1136" s="18">
        <v>0</v>
      </c>
      <c r="AS1136" s="18">
        <v>0</v>
      </c>
      <c r="AT1136" s="18">
        <v>0</v>
      </c>
      <c r="AU1136" s="18">
        <v>0</v>
      </c>
      <c r="AV1136" s="18">
        <v>0</v>
      </c>
      <c r="AW1136" s="18">
        <v>0</v>
      </c>
      <c r="AX1136" s="18">
        <v>0</v>
      </c>
      <c r="AY1136" s="18">
        <v>0</v>
      </c>
      <c r="AZ1136" s="18">
        <v>0</v>
      </c>
      <c r="BA1136" s="18">
        <v>0</v>
      </c>
      <c r="BB1136" s="18">
        <v>0</v>
      </c>
      <c r="BC1136" s="18">
        <v>0</v>
      </c>
      <c r="BD1136" s="18">
        <v>0</v>
      </c>
      <c r="BE1136" s="18">
        <v>0</v>
      </c>
      <c r="BF1136" s="18">
        <v>0</v>
      </c>
      <c r="BG1136" s="18">
        <v>0</v>
      </c>
      <c r="BH1136" s="18">
        <v>0</v>
      </c>
      <c r="BI1136" s="18">
        <v>0</v>
      </c>
      <c r="BJ1136" s="18">
        <v>0</v>
      </c>
      <c r="BK1136" s="18">
        <v>0</v>
      </c>
      <c r="BL1136" s="18">
        <v>2</v>
      </c>
      <c r="BM1136" s="18">
        <v>40</v>
      </c>
      <c r="BN1136" s="113">
        <v>0</v>
      </c>
      <c r="BO1136" s="113">
        <v>0</v>
      </c>
      <c r="BP1136" s="257">
        <v>0</v>
      </c>
      <c r="BQ1136" s="257">
        <v>0</v>
      </c>
      <c r="BR1136" s="101"/>
      <c r="BS1136">
        <f t="shared" si="2429"/>
        <v>0</v>
      </c>
      <c r="BT1136">
        <f t="shared" si="2429"/>
        <v>0</v>
      </c>
      <c r="BU1136">
        <f t="shared" si="2429"/>
        <v>0</v>
      </c>
      <c r="BV1136">
        <f t="shared" si="2429"/>
        <v>0</v>
      </c>
      <c r="BW1136">
        <f t="shared" si="2429"/>
        <v>0</v>
      </c>
      <c r="BX1136">
        <f t="shared" si="2429"/>
        <v>0</v>
      </c>
      <c r="BY1136">
        <f t="shared" si="2429"/>
        <v>0</v>
      </c>
      <c r="BZ1136">
        <f t="shared" si="2429"/>
        <v>0</v>
      </c>
      <c r="CA1136">
        <f t="shared" si="2429"/>
        <v>0</v>
      </c>
      <c r="CB1136">
        <f t="shared" si="2429"/>
        <v>0</v>
      </c>
      <c r="CC1136">
        <f t="shared" si="2430"/>
        <v>0</v>
      </c>
      <c r="CD1136">
        <f t="shared" si="2430"/>
        <v>0</v>
      </c>
      <c r="CE1136">
        <f t="shared" si="2430"/>
        <v>0</v>
      </c>
      <c r="CF1136">
        <f t="shared" si="2430"/>
        <v>0</v>
      </c>
      <c r="CG1136">
        <f t="shared" si="2430"/>
        <v>0</v>
      </c>
      <c r="CH1136">
        <f t="shared" si="2430"/>
        <v>0</v>
      </c>
      <c r="CI1136">
        <f t="shared" si="2430"/>
        <v>0</v>
      </c>
      <c r="CJ1136">
        <f t="shared" si="2430"/>
        <v>0</v>
      </c>
      <c r="CK1136">
        <f t="shared" si="2430"/>
        <v>0</v>
      </c>
      <c r="CL1136">
        <f t="shared" si="2430"/>
        <v>0</v>
      </c>
      <c r="CM1136">
        <f t="shared" si="2431"/>
        <v>0</v>
      </c>
      <c r="CN1136">
        <f t="shared" si="2431"/>
        <v>0</v>
      </c>
      <c r="CO1136">
        <f t="shared" si="2431"/>
        <v>0</v>
      </c>
      <c r="CP1136">
        <f t="shared" si="2431"/>
        <v>0</v>
      </c>
      <c r="CQ1136">
        <f t="shared" si="2431"/>
        <v>0</v>
      </c>
      <c r="CR1136">
        <f t="shared" si="2431"/>
        <v>0</v>
      </c>
      <c r="CS1136">
        <f t="shared" si="2431"/>
        <v>0</v>
      </c>
      <c r="CT1136">
        <f t="shared" si="2431"/>
        <v>0</v>
      </c>
      <c r="CU1136">
        <f t="shared" si="2431"/>
        <v>0</v>
      </c>
      <c r="CV1136">
        <f t="shared" si="2431"/>
        <v>0</v>
      </c>
      <c r="CW1136">
        <f t="shared" si="2432"/>
        <v>0</v>
      </c>
      <c r="CX1136">
        <f t="shared" si="2432"/>
        <v>0</v>
      </c>
      <c r="CY1136">
        <f t="shared" si="2432"/>
        <v>0</v>
      </c>
      <c r="CZ1136">
        <f t="shared" si="2432"/>
        <v>0</v>
      </c>
      <c r="DA1136">
        <f t="shared" si="2432"/>
        <v>0</v>
      </c>
      <c r="DB1136">
        <f t="shared" si="2432"/>
        <v>0</v>
      </c>
      <c r="DC1136">
        <f t="shared" si="2432"/>
        <v>0</v>
      </c>
      <c r="DD1136">
        <f t="shared" si="2432"/>
        <v>0</v>
      </c>
      <c r="DE1136">
        <f t="shared" si="2432"/>
        <v>0</v>
      </c>
      <c r="DF1136">
        <f t="shared" si="2432"/>
        <v>0</v>
      </c>
      <c r="DG1136">
        <f t="shared" si="2433"/>
        <v>0</v>
      </c>
      <c r="DH1136">
        <f t="shared" si="2433"/>
        <v>0</v>
      </c>
      <c r="DI1136">
        <f t="shared" si="2433"/>
        <v>0</v>
      </c>
      <c r="DJ1136">
        <f t="shared" si="2433"/>
        <v>0</v>
      </c>
      <c r="DK1136">
        <f t="shared" si="2433"/>
        <v>0</v>
      </c>
      <c r="DL1136">
        <f t="shared" si="2433"/>
        <v>0</v>
      </c>
      <c r="DM1136">
        <f t="shared" si="2433"/>
        <v>0</v>
      </c>
      <c r="DN1136">
        <f t="shared" si="2433"/>
        <v>0</v>
      </c>
      <c r="DO1136">
        <f t="shared" si="2433"/>
        <v>0</v>
      </c>
      <c r="DP1136">
        <f t="shared" si="2433"/>
        <v>0</v>
      </c>
      <c r="DQ1136">
        <f t="shared" si="2434"/>
        <v>0</v>
      </c>
      <c r="DR1136">
        <f t="shared" si="2434"/>
        <v>0</v>
      </c>
      <c r="DS1136">
        <f t="shared" si="2434"/>
        <v>0</v>
      </c>
      <c r="DT1136">
        <f t="shared" si="2434"/>
        <v>0</v>
      </c>
      <c r="DU1136">
        <f t="shared" si="2434"/>
        <v>0</v>
      </c>
      <c r="DV1136">
        <f t="shared" si="2434"/>
        <v>0</v>
      </c>
      <c r="DW1136">
        <f t="shared" si="2434"/>
        <v>0</v>
      </c>
      <c r="DX1136">
        <f t="shared" si="2434"/>
        <v>0</v>
      </c>
      <c r="DY1136">
        <f t="shared" si="2434"/>
        <v>0</v>
      </c>
      <c r="DZ1136">
        <f t="shared" si="2434"/>
        <v>0</v>
      </c>
      <c r="EA1136">
        <f t="shared" si="2435"/>
        <v>0</v>
      </c>
      <c r="EB1136">
        <f t="shared" si="2436"/>
        <v>0</v>
      </c>
      <c r="EC1136">
        <f t="shared" si="2435"/>
        <v>0</v>
      </c>
      <c r="ED1136">
        <f t="shared" si="2435"/>
        <v>0</v>
      </c>
      <c r="EE1136">
        <f t="shared" si="2435"/>
        <v>0</v>
      </c>
      <c r="EF1136">
        <f t="shared" si="2435"/>
        <v>0</v>
      </c>
    </row>
    <row r="1137" spans="1:136" ht="15.5">
      <c r="A1137" s="90"/>
      <c r="B1137" s="19" t="s">
        <v>205</v>
      </c>
      <c r="C1137" s="94"/>
      <c r="D1137" s="22"/>
      <c r="E1137" s="22"/>
      <c r="F1137" s="22"/>
      <c r="G1137" s="22"/>
      <c r="H1137" s="22"/>
      <c r="I1137" s="22"/>
      <c r="J1137" s="22"/>
      <c r="K1137" s="22"/>
      <c r="L1137" s="22"/>
      <c r="M1137" s="22"/>
      <c r="N1137" s="22"/>
      <c r="O1137" s="18"/>
      <c r="P1137" s="18"/>
      <c r="Q1137" s="18"/>
      <c r="R1137" s="18"/>
      <c r="S1137" s="18"/>
      <c r="T1137" s="18"/>
      <c r="U1137" s="18"/>
      <c r="V1137" s="18"/>
      <c r="W1137" s="18"/>
      <c r="X1137" s="18"/>
      <c r="Y1137" s="18"/>
      <c r="Z1137" s="18"/>
      <c r="AA1137" s="18"/>
      <c r="AB1137" s="18"/>
      <c r="AC1137" s="18"/>
      <c r="AD1137" s="18"/>
      <c r="AE1137" s="18"/>
      <c r="AF1137" s="18"/>
      <c r="AG1137" s="18"/>
      <c r="AH1137" s="18"/>
      <c r="AI1137" s="18">
        <v>0</v>
      </c>
      <c r="AJ1137" s="18">
        <v>0</v>
      </c>
      <c r="AK1137" s="18">
        <v>0</v>
      </c>
      <c r="AL1137" s="18">
        <v>0</v>
      </c>
      <c r="AM1137" s="18">
        <v>0</v>
      </c>
      <c r="AN1137" s="18">
        <v>5.6609999999999996</v>
      </c>
      <c r="AO1137" s="18">
        <v>6.1</v>
      </c>
      <c r="AP1137" s="18">
        <v>6.367</v>
      </c>
      <c r="AQ1137" s="18">
        <v>6.3663242999999996</v>
      </c>
      <c r="AR1137" s="18">
        <f>6.4+4.4898163</f>
        <v>10.8898163</v>
      </c>
      <c r="AS1137" s="18">
        <v>4.4901411000000007</v>
      </c>
      <c r="AT1137" s="18">
        <v>0.72899999999999998</v>
      </c>
      <c r="AU1137" s="18">
        <v>1.7359230000000001</v>
      </c>
      <c r="AV1137" s="18">
        <v>1.7359473999999999</v>
      </c>
      <c r="AW1137" s="18">
        <v>4.4851428000000002</v>
      </c>
      <c r="AX1137" s="18">
        <v>0.75351849999999998</v>
      </c>
      <c r="AY1137" s="18">
        <v>0</v>
      </c>
      <c r="AZ1137" s="18">
        <v>0</v>
      </c>
      <c r="BA1137" s="18">
        <v>0</v>
      </c>
      <c r="BB1137" s="18">
        <v>0</v>
      </c>
      <c r="BC1137" s="18">
        <v>0</v>
      </c>
      <c r="BD1137" s="18">
        <v>0</v>
      </c>
      <c r="BE1137" s="25">
        <v>0</v>
      </c>
      <c r="BF1137" s="18">
        <v>0</v>
      </c>
      <c r="BG1137" s="18">
        <v>0</v>
      </c>
      <c r="BH1137" s="18">
        <v>0</v>
      </c>
      <c r="BI1137" s="18">
        <v>0</v>
      </c>
      <c r="BJ1137" s="18">
        <v>0</v>
      </c>
      <c r="BK1137" s="18">
        <v>0</v>
      </c>
      <c r="BL1137" s="18">
        <v>39.267000000000003</v>
      </c>
      <c r="BM1137" s="18">
        <v>0</v>
      </c>
      <c r="BN1137" s="113">
        <v>0</v>
      </c>
      <c r="BO1137" s="113">
        <v>0</v>
      </c>
      <c r="BP1137" s="257">
        <v>0</v>
      </c>
      <c r="BQ1137" s="257">
        <v>0</v>
      </c>
      <c r="BR1137" s="101"/>
      <c r="BS1137">
        <f t="shared" si="2429"/>
        <v>0</v>
      </c>
      <c r="BT1137">
        <f t="shared" si="2429"/>
        <v>0</v>
      </c>
      <c r="BU1137">
        <f t="shared" si="2429"/>
        <v>0</v>
      </c>
      <c r="BV1137">
        <f t="shared" si="2429"/>
        <v>0</v>
      </c>
      <c r="BW1137">
        <f t="shared" si="2429"/>
        <v>0</v>
      </c>
      <c r="BX1137">
        <f t="shared" si="2429"/>
        <v>0</v>
      </c>
      <c r="BY1137">
        <f t="shared" si="2429"/>
        <v>0</v>
      </c>
      <c r="BZ1137">
        <f t="shared" si="2429"/>
        <v>0</v>
      </c>
      <c r="CA1137">
        <f t="shared" si="2429"/>
        <v>0</v>
      </c>
      <c r="CB1137">
        <f t="shared" si="2429"/>
        <v>0</v>
      </c>
      <c r="CC1137">
        <f t="shared" si="2430"/>
        <v>0</v>
      </c>
      <c r="CD1137">
        <f t="shared" si="2430"/>
        <v>0</v>
      </c>
      <c r="CE1137">
        <f t="shared" si="2430"/>
        <v>0</v>
      </c>
      <c r="CF1137">
        <f t="shared" si="2430"/>
        <v>0</v>
      </c>
      <c r="CG1137">
        <f t="shared" si="2430"/>
        <v>0</v>
      </c>
      <c r="CH1137">
        <f t="shared" si="2430"/>
        <v>0</v>
      </c>
      <c r="CI1137">
        <f t="shared" si="2430"/>
        <v>0</v>
      </c>
      <c r="CJ1137">
        <f t="shared" si="2430"/>
        <v>0</v>
      </c>
      <c r="CK1137">
        <f t="shared" si="2430"/>
        <v>0</v>
      </c>
      <c r="CL1137">
        <f t="shared" si="2430"/>
        <v>0</v>
      </c>
      <c r="CM1137">
        <f t="shared" si="2431"/>
        <v>0</v>
      </c>
      <c r="CN1137">
        <f t="shared" si="2431"/>
        <v>0</v>
      </c>
      <c r="CO1137">
        <f t="shared" si="2431"/>
        <v>0</v>
      </c>
      <c r="CP1137">
        <f t="shared" si="2431"/>
        <v>0</v>
      </c>
      <c r="CQ1137">
        <f t="shared" si="2431"/>
        <v>0</v>
      </c>
      <c r="CR1137">
        <f t="shared" si="2431"/>
        <v>0</v>
      </c>
      <c r="CS1137">
        <f t="shared" si="2431"/>
        <v>0</v>
      </c>
      <c r="CT1137">
        <f t="shared" si="2431"/>
        <v>0</v>
      </c>
      <c r="CU1137">
        <f t="shared" si="2431"/>
        <v>0</v>
      </c>
      <c r="CV1137">
        <f t="shared" si="2431"/>
        <v>0</v>
      </c>
      <c r="CW1137">
        <f t="shared" si="2432"/>
        <v>0</v>
      </c>
      <c r="CX1137">
        <f t="shared" si="2432"/>
        <v>0</v>
      </c>
      <c r="CY1137">
        <f t="shared" si="2432"/>
        <v>0</v>
      </c>
      <c r="CZ1137">
        <f t="shared" si="2432"/>
        <v>0</v>
      </c>
      <c r="DA1137">
        <f t="shared" si="2432"/>
        <v>0</v>
      </c>
      <c r="DB1137">
        <f t="shared" si="2432"/>
        <v>0</v>
      </c>
      <c r="DC1137">
        <f t="shared" si="2432"/>
        <v>0</v>
      </c>
      <c r="DD1137">
        <f t="shared" si="2432"/>
        <v>0</v>
      </c>
      <c r="DE1137">
        <f t="shared" si="2432"/>
        <v>0</v>
      </c>
      <c r="DF1137">
        <f t="shared" si="2432"/>
        <v>0</v>
      </c>
      <c r="DG1137">
        <f t="shared" si="2433"/>
        <v>0</v>
      </c>
      <c r="DH1137">
        <f t="shared" si="2433"/>
        <v>0</v>
      </c>
      <c r="DI1137">
        <f t="shared" si="2433"/>
        <v>0</v>
      </c>
      <c r="DJ1137">
        <f t="shared" si="2433"/>
        <v>0</v>
      </c>
      <c r="DK1137">
        <f t="shared" si="2433"/>
        <v>0</v>
      </c>
      <c r="DL1137">
        <f t="shared" si="2433"/>
        <v>0</v>
      </c>
      <c r="DM1137">
        <f t="shared" si="2433"/>
        <v>0</v>
      </c>
      <c r="DN1137">
        <f t="shared" si="2433"/>
        <v>0</v>
      </c>
      <c r="DO1137">
        <f t="shared" si="2433"/>
        <v>0</v>
      </c>
      <c r="DP1137">
        <f t="shared" si="2433"/>
        <v>0</v>
      </c>
      <c r="DQ1137">
        <f t="shared" si="2434"/>
        <v>0</v>
      </c>
      <c r="DR1137">
        <f t="shared" si="2434"/>
        <v>0</v>
      </c>
      <c r="DS1137">
        <f t="shared" si="2434"/>
        <v>0</v>
      </c>
      <c r="DT1137">
        <f t="shared" si="2434"/>
        <v>0</v>
      </c>
      <c r="DU1137">
        <f t="shared" si="2434"/>
        <v>0</v>
      </c>
      <c r="DV1137">
        <f t="shared" si="2434"/>
        <v>0</v>
      </c>
      <c r="DW1137">
        <f t="shared" si="2434"/>
        <v>0</v>
      </c>
      <c r="DX1137">
        <f t="shared" si="2434"/>
        <v>0</v>
      </c>
      <c r="DY1137">
        <f t="shared" si="2434"/>
        <v>0</v>
      </c>
      <c r="DZ1137">
        <f t="shared" si="2434"/>
        <v>0</v>
      </c>
      <c r="EA1137">
        <f t="shared" si="2435"/>
        <v>0</v>
      </c>
      <c r="EB1137">
        <f t="shared" si="2436"/>
        <v>0</v>
      </c>
      <c r="EC1137">
        <f t="shared" si="2435"/>
        <v>0</v>
      </c>
      <c r="ED1137">
        <f t="shared" si="2435"/>
        <v>0</v>
      </c>
      <c r="EE1137">
        <f t="shared" si="2435"/>
        <v>0</v>
      </c>
      <c r="EF1137">
        <f t="shared" si="2435"/>
        <v>0</v>
      </c>
    </row>
    <row r="1138" spans="1:136" ht="15.5">
      <c r="A1138" s="90"/>
      <c r="B1138" s="57" t="s">
        <v>3</v>
      </c>
      <c r="C1138" s="95"/>
      <c r="D1138" s="18"/>
      <c r="E1138" s="18"/>
      <c r="F1138" s="18"/>
      <c r="G1138" s="18"/>
      <c r="H1138" s="18"/>
      <c r="I1138" s="18"/>
      <c r="J1138" s="18"/>
      <c r="K1138" s="18"/>
      <c r="L1138" s="18"/>
      <c r="M1138" s="18"/>
      <c r="N1138" s="18"/>
      <c r="O1138" s="18"/>
      <c r="P1138" s="18"/>
      <c r="Q1138" s="18"/>
      <c r="R1138" s="18"/>
      <c r="S1138" s="18"/>
      <c r="T1138" s="18"/>
      <c r="U1138" s="18"/>
      <c r="V1138" s="18"/>
      <c r="W1138" s="18"/>
      <c r="X1138" s="18"/>
      <c r="Y1138" s="18"/>
      <c r="Z1138" s="18"/>
      <c r="AA1138" s="18"/>
      <c r="AB1138" s="18"/>
      <c r="AC1138" s="18"/>
      <c r="AD1138" s="18"/>
      <c r="AE1138" s="18"/>
      <c r="AF1138" s="18"/>
      <c r="AG1138" s="18"/>
      <c r="AH1138" s="18"/>
      <c r="AI1138" s="18">
        <v>0</v>
      </c>
      <c r="AJ1138" s="18">
        <v>0</v>
      </c>
      <c r="AK1138" s="18">
        <v>0.307</v>
      </c>
      <c r="AL1138" s="18">
        <v>76.22</v>
      </c>
      <c r="AM1138" s="18">
        <f>157.166-AM1137</f>
        <v>157.166</v>
      </c>
      <c r="AN1138" s="18">
        <f>524.581-AN1137</f>
        <v>518.92000000000007</v>
      </c>
      <c r="AO1138" s="18">
        <f>64.576-AO1137</f>
        <v>58.475999999999992</v>
      </c>
      <c r="AP1138" s="18">
        <f>227.248-AP1137</f>
        <v>220.881</v>
      </c>
      <c r="AQ1138" s="18">
        <f>61.738-AQ1137</f>
        <v>55.371675699999997</v>
      </c>
      <c r="AR1138" s="18">
        <f>93.7070854-AR1137</f>
        <v>82.817269100000004</v>
      </c>
      <c r="AS1138" s="18">
        <f>135.4985044-AS1137</f>
        <v>131.00836330000001</v>
      </c>
      <c r="AT1138" s="18">
        <f>60.367-AT1137</f>
        <v>59.637999999999998</v>
      </c>
      <c r="AU1138" s="18">
        <f>102.7338295-AU1137</f>
        <v>100.9979065</v>
      </c>
      <c r="AV1138" s="18">
        <f>102.7338295-AV1137</f>
        <v>100.9978821</v>
      </c>
      <c r="AW1138" s="18">
        <f>102.7338295-AW1137</f>
        <v>98.248686699999993</v>
      </c>
      <c r="AX1138" s="18">
        <f>102.7338295-AX1137</f>
        <v>101.980311</v>
      </c>
      <c r="AY1138" s="18">
        <v>0</v>
      </c>
      <c r="AZ1138" s="18">
        <v>0</v>
      </c>
      <c r="BA1138" s="18">
        <v>0</v>
      </c>
      <c r="BB1138" s="18">
        <v>0</v>
      </c>
      <c r="BC1138" s="18">
        <v>0</v>
      </c>
      <c r="BD1138" s="18">
        <v>0</v>
      </c>
      <c r="BE1138" s="25">
        <v>0.79290159999999998</v>
      </c>
      <c r="BF1138" s="18">
        <v>0.5875475</v>
      </c>
      <c r="BG1138" s="18">
        <v>0.11640139999999999</v>
      </c>
      <c r="BH1138" s="18">
        <v>0.11830120000000001</v>
      </c>
      <c r="BI1138" s="18">
        <v>0.74549140000000003</v>
      </c>
      <c r="BJ1138" s="40">
        <v>0.1015278</v>
      </c>
      <c r="BK1138" s="18">
        <v>0</v>
      </c>
      <c r="BL1138" s="113">
        <v>1</v>
      </c>
      <c r="BM1138" s="113">
        <v>0</v>
      </c>
      <c r="BN1138" s="113">
        <v>0</v>
      </c>
      <c r="BO1138" s="113">
        <v>0</v>
      </c>
      <c r="BP1138" s="257">
        <v>0</v>
      </c>
      <c r="BQ1138" s="257">
        <v>0</v>
      </c>
      <c r="BR1138" s="101"/>
      <c r="BS1138">
        <f t="shared" si="2429"/>
        <v>0</v>
      </c>
      <c r="BT1138">
        <f t="shared" si="2429"/>
        <v>0</v>
      </c>
      <c r="BU1138">
        <f t="shared" si="2429"/>
        <v>0</v>
      </c>
      <c r="BV1138">
        <f t="shared" si="2429"/>
        <v>0</v>
      </c>
      <c r="BW1138">
        <f t="shared" si="2429"/>
        <v>0</v>
      </c>
      <c r="BX1138">
        <f t="shared" si="2429"/>
        <v>0</v>
      </c>
      <c r="BY1138">
        <f t="shared" si="2429"/>
        <v>0</v>
      </c>
      <c r="BZ1138">
        <f t="shared" si="2429"/>
        <v>0</v>
      </c>
      <c r="CA1138">
        <f t="shared" si="2429"/>
        <v>0</v>
      </c>
      <c r="CB1138">
        <f t="shared" si="2429"/>
        <v>0</v>
      </c>
      <c r="CC1138">
        <f t="shared" si="2430"/>
        <v>0</v>
      </c>
      <c r="CD1138">
        <f t="shared" si="2430"/>
        <v>0</v>
      </c>
      <c r="CE1138">
        <f t="shared" si="2430"/>
        <v>0</v>
      </c>
      <c r="CF1138">
        <f t="shared" si="2430"/>
        <v>0</v>
      </c>
      <c r="CG1138">
        <f t="shared" si="2430"/>
        <v>0</v>
      </c>
      <c r="CH1138">
        <f t="shared" si="2430"/>
        <v>0</v>
      </c>
      <c r="CI1138">
        <f t="shared" si="2430"/>
        <v>0</v>
      </c>
      <c r="CJ1138">
        <f t="shared" si="2430"/>
        <v>0</v>
      </c>
      <c r="CK1138">
        <f t="shared" si="2430"/>
        <v>0</v>
      </c>
      <c r="CL1138">
        <f t="shared" si="2430"/>
        <v>0</v>
      </c>
      <c r="CM1138">
        <f t="shared" si="2431"/>
        <v>0</v>
      </c>
      <c r="CN1138">
        <f t="shared" si="2431"/>
        <v>0</v>
      </c>
      <c r="CO1138">
        <f t="shared" si="2431"/>
        <v>0</v>
      </c>
      <c r="CP1138">
        <f t="shared" si="2431"/>
        <v>0</v>
      </c>
      <c r="CQ1138">
        <f t="shared" si="2431"/>
        <v>0</v>
      </c>
      <c r="CR1138">
        <f t="shared" si="2431"/>
        <v>0</v>
      </c>
      <c r="CS1138">
        <f t="shared" si="2431"/>
        <v>0</v>
      </c>
      <c r="CT1138">
        <f t="shared" si="2431"/>
        <v>0</v>
      </c>
      <c r="CU1138">
        <f t="shared" si="2431"/>
        <v>0</v>
      </c>
      <c r="CV1138">
        <f t="shared" si="2431"/>
        <v>0</v>
      </c>
      <c r="CW1138">
        <f t="shared" si="2432"/>
        <v>0</v>
      </c>
      <c r="CX1138">
        <f t="shared" si="2432"/>
        <v>0</v>
      </c>
      <c r="CY1138">
        <f t="shared" si="2432"/>
        <v>0</v>
      </c>
      <c r="CZ1138">
        <f t="shared" si="2432"/>
        <v>0</v>
      </c>
      <c r="DA1138">
        <f t="shared" si="2432"/>
        <v>0</v>
      </c>
      <c r="DB1138">
        <f t="shared" si="2432"/>
        <v>0</v>
      </c>
      <c r="DC1138">
        <f t="shared" si="2432"/>
        <v>0</v>
      </c>
      <c r="DD1138">
        <f t="shared" si="2432"/>
        <v>0</v>
      </c>
      <c r="DE1138">
        <f t="shared" si="2432"/>
        <v>0</v>
      </c>
      <c r="DF1138">
        <f t="shared" si="2432"/>
        <v>0</v>
      </c>
      <c r="DG1138">
        <f t="shared" si="2433"/>
        <v>0</v>
      </c>
      <c r="DH1138">
        <f t="shared" si="2433"/>
        <v>0</v>
      </c>
      <c r="DI1138">
        <f t="shared" si="2433"/>
        <v>0</v>
      </c>
      <c r="DJ1138">
        <f t="shared" si="2433"/>
        <v>0</v>
      </c>
      <c r="DK1138">
        <f t="shared" si="2433"/>
        <v>0</v>
      </c>
      <c r="DL1138">
        <f t="shared" si="2433"/>
        <v>0</v>
      </c>
      <c r="DM1138">
        <f t="shared" si="2433"/>
        <v>0</v>
      </c>
      <c r="DN1138">
        <f t="shared" si="2433"/>
        <v>0</v>
      </c>
      <c r="DO1138">
        <f t="shared" si="2433"/>
        <v>0</v>
      </c>
      <c r="DP1138">
        <f t="shared" si="2433"/>
        <v>0</v>
      </c>
      <c r="DQ1138">
        <f t="shared" si="2434"/>
        <v>0</v>
      </c>
      <c r="DR1138">
        <f t="shared" si="2434"/>
        <v>0</v>
      </c>
      <c r="DS1138">
        <f t="shared" si="2434"/>
        <v>0</v>
      </c>
      <c r="DT1138">
        <f t="shared" si="2434"/>
        <v>0</v>
      </c>
      <c r="DU1138">
        <f t="shared" si="2434"/>
        <v>0</v>
      </c>
      <c r="DV1138">
        <f t="shared" si="2434"/>
        <v>0</v>
      </c>
      <c r="DW1138">
        <f t="shared" si="2434"/>
        <v>0</v>
      </c>
      <c r="DX1138">
        <f t="shared" si="2434"/>
        <v>0</v>
      </c>
      <c r="DY1138">
        <f t="shared" si="2434"/>
        <v>0</v>
      </c>
      <c r="DZ1138">
        <f t="shared" si="2434"/>
        <v>0</v>
      </c>
      <c r="EA1138">
        <f t="shared" si="2435"/>
        <v>0</v>
      </c>
      <c r="EB1138">
        <f t="shared" si="2436"/>
        <v>0</v>
      </c>
      <c r="EC1138">
        <f t="shared" si="2435"/>
        <v>0</v>
      </c>
      <c r="ED1138">
        <f t="shared" si="2435"/>
        <v>0</v>
      </c>
      <c r="EE1138">
        <f t="shared" si="2435"/>
        <v>0</v>
      </c>
      <c r="EF1138">
        <f t="shared" si="2435"/>
        <v>0</v>
      </c>
    </row>
    <row r="1139" spans="1:136" ht="15.5">
      <c r="A1139" s="90"/>
      <c r="B1139" s="19" t="s">
        <v>208</v>
      </c>
      <c r="C1139" s="95"/>
      <c r="D1139" s="18"/>
      <c r="E1139" s="18"/>
      <c r="F1139" s="18"/>
      <c r="G1139" s="18"/>
      <c r="H1139" s="18"/>
      <c r="I1139" s="18"/>
      <c r="J1139" s="18"/>
      <c r="K1139" s="18"/>
      <c r="L1139" s="18"/>
      <c r="M1139" s="18"/>
      <c r="N1139" s="18"/>
      <c r="O1139" s="18"/>
      <c r="P1139" s="18"/>
      <c r="Q1139" s="18"/>
      <c r="R1139" s="18"/>
      <c r="S1139" s="18"/>
      <c r="T1139" s="18"/>
      <c r="U1139" s="18"/>
      <c r="V1139" s="18"/>
      <c r="W1139" s="18"/>
      <c r="X1139" s="18"/>
      <c r="Y1139" s="18"/>
      <c r="Z1139" s="18"/>
      <c r="AA1139" s="18"/>
      <c r="AB1139" s="18"/>
      <c r="AC1139" s="18"/>
      <c r="AD1139" s="18"/>
      <c r="AE1139" s="18"/>
      <c r="AF1139" s="18"/>
      <c r="AG1139" s="18"/>
      <c r="AH1139" s="18"/>
      <c r="AI1139" s="18">
        <v>0</v>
      </c>
      <c r="AJ1139" s="18">
        <v>0</v>
      </c>
      <c r="AK1139" s="18">
        <v>0</v>
      </c>
      <c r="AL1139" s="18">
        <v>2.339</v>
      </c>
      <c r="AM1139" s="18">
        <v>27.911999999999999</v>
      </c>
      <c r="AN1139" s="18">
        <v>76.444000000000003</v>
      </c>
      <c r="AO1139" s="18">
        <v>89.95</v>
      </c>
      <c r="AP1139" s="18">
        <v>79.615000000000009</v>
      </c>
      <c r="AQ1139" s="18">
        <v>75.150000000000006</v>
      </c>
      <c r="AR1139" s="18">
        <v>72.62738370000001</v>
      </c>
      <c r="AS1139" s="18">
        <v>53.737400000000001</v>
      </c>
      <c r="AT1139" s="18">
        <v>35.868369100000002</v>
      </c>
      <c r="AU1139" s="18">
        <v>5.8948479000000003</v>
      </c>
      <c r="AV1139" s="18">
        <v>4.2439999999999998</v>
      </c>
      <c r="AW1139" s="18">
        <v>3.4400900999999999</v>
      </c>
      <c r="AX1139" s="18">
        <v>0.18042900000000001</v>
      </c>
      <c r="AY1139" s="18">
        <v>0</v>
      </c>
      <c r="AZ1139" s="18">
        <v>0</v>
      </c>
      <c r="BA1139" s="18">
        <v>0</v>
      </c>
      <c r="BB1139" s="18">
        <v>363.78800000000001</v>
      </c>
      <c r="BC1139" s="18">
        <v>299.31700000000001</v>
      </c>
      <c r="BD1139" s="18">
        <v>18.39</v>
      </c>
      <c r="BE1139" s="25">
        <v>0</v>
      </c>
      <c r="BF1139" s="18">
        <v>0</v>
      </c>
      <c r="BG1139" s="18">
        <v>0</v>
      </c>
      <c r="BH1139" s="18">
        <v>0</v>
      </c>
      <c r="BI1139" s="18">
        <v>0</v>
      </c>
      <c r="BJ1139" s="18">
        <v>0</v>
      </c>
      <c r="BK1139" s="18">
        <v>0</v>
      </c>
      <c r="BL1139" s="18">
        <v>0</v>
      </c>
      <c r="BM1139" s="18">
        <v>0</v>
      </c>
      <c r="BN1139" s="113">
        <v>0</v>
      </c>
      <c r="BO1139" s="113">
        <v>0</v>
      </c>
      <c r="BP1139" s="257">
        <v>0</v>
      </c>
      <c r="BQ1139" s="257">
        <v>0</v>
      </c>
      <c r="BR1139" s="101"/>
      <c r="BS1139">
        <f t="shared" si="2429"/>
        <v>0</v>
      </c>
      <c r="BT1139">
        <f t="shared" si="2429"/>
        <v>0</v>
      </c>
      <c r="BU1139">
        <f t="shared" si="2429"/>
        <v>0</v>
      </c>
      <c r="BV1139">
        <f t="shared" si="2429"/>
        <v>0</v>
      </c>
      <c r="BW1139">
        <f t="shared" si="2429"/>
        <v>0</v>
      </c>
      <c r="BX1139">
        <f t="shared" si="2429"/>
        <v>0</v>
      </c>
      <c r="BY1139">
        <f t="shared" si="2429"/>
        <v>0</v>
      </c>
      <c r="BZ1139">
        <f t="shared" si="2429"/>
        <v>0</v>
      </c>
      <c r="CA1139">
        <f t="shared" si="2429"/>
        <v>0</v>
      </c>
      <c r="CB1139">
        <f t="shared" si="2429"/>
        <v>0</v>
      </c>
      <c r="CC1139">
        <f t="shared" si="2430"/>
        <v>0</v>
      </c>
      <c r="CD1139">
        <f t="shared" si="2430"/>
        <v>0</v>
      </c>
      <c r="CE1139">
        <f t="shared" si="2430"/>
        <v>0</v>
      </c>
      <c r="CF1139">
        <f t="shared" si="2430"/>
        <v>0</v>
      </c>
      <c r="CG1139">
        <f t="shared" si="2430"/>
        <v>0</v>
      </c>
      <c r="CH1139">
        <f t="shared" si="2430"/>
        <v>0</v>
      </c>
      <c r="CI1139">
        <f t="shared" si="2430"/>
        <v>0</v>
      </c>
      <c r="CJ1139">
        <f t="shared" si="2430"/>
        <v>0</v>
      </c>
      <c r="CK1139">
        <f t="shared" si="2430"/>
        <v>0</v>
      </c>
      <c r="CL1139">
        <f t="shared" si="2430"/>
        <v>0</v>
      </c>
      <c r="CM1139">
        <f t="shared" si="2431"/>
        <v>0</v>
      </c>
      <c r="CN1139">
        <f t="shared" si="2431"/>
        <v>0</v>
      </c>
      <c r="CO1139">
        <f t="shared" si="2431"/>
        <v>0</v>
      </c>
      <c r="CP1139">
        <f t="shared" si="2431"/>
        <v>0</v>
      </c>
      <c r="CQ1139">
        <f t="shared" si="2431"/>
        <v>0</v>
      </c>
      <c r="CR1139">
        <f t="shared" si="2431"/>
        <v>0</v>
      </c>
      <c r="CS1139">
        <f t="shared" si="2431"/>
        <v>0</v>
      </c>
      <c r="CT1139">
        <f t="shared" si="2431"/>
        <v>0</v>
      </c>
      <c r="CU1139">
        <f t="shared" si="2431"/>
        <v>0</v>
      </c>
      <c r="CV1139">
        <f t="shared" si="2431"/>
        <v>0</v>
      </c>
      <c r="CW1139">
        <f t="shared" si="2432"/>
        <v>0</v>
      </c>
      <c r="CX1139">
        <f t="shared" si="2432"/>
        <v>0</v>
      </c>
      <c r="CY1139">
        <f t="shared" si="2432"/>
        <v>0</v>
      </c>
      <c r="CZ1139">
        <f t="shared" si="2432"/>
        <v>0</v>
      </c>
      <c r="DA1139">
        <f t="shared" si="2432"/>
        <v>0</v>
      </c>
      <c r="DB1139">
        <f t="shared" si="2432"/>
        <v>0</v>
      </c>
      <c r="DC1139">
        <f t="shared" si="2432"/>
        <v>0</v>
      </c>
      <c r="DD1139">
        <f t="shared" si="2432"/>
        <v>0</v>
      </c>
      <c r="DE1139">
        <f t="shared" si="2432"/>
        <v>0</v>
      </c>
      <c r="DF1139">
        <f t="shared" si="2432"/>
        <v>0</v>
      </c>
      <c r="DG1139">
        <f t="shared" si="2433"/>
        <v>0</v>
      </c>
      <c r="DH1139">
        <f t="shared" si="2433"/>
        <v>0</v>
      </c>
      <c r="DI1139">
        <f t="shared" si="2433"/>
        <v>0</v>
      </c>
      <c r="DJ1139">
        <f t="shared" si="2433"/>
        <v>0</v>
      </c>
      <c r="DK1139">
        <f t="shared" si="2433"/>
        <v>0</v>
      </c>
      <c r="DL1139">
        <f t="shared" si="2433"/>
        <v>0</v>
      </c>
      <c r="DM1139">
        <f t="shared" si="2433"/>
        <v>0</v>
      </c>
      <c r="DN1139">
        <f t="shared" si="2433"/>
        <v>0</v>
      </c>
      <c r="DO1139">
        <f t="shared" si="2433"/>
        <v>0</v>
      </c>
      <c r="DP1139">
        <f t="shared" si="2433"/>
        <v>0</v>
      </c>
      <c r="DQ1139">
        <f t="shared" si="2434"/>
        <v>0</v>
      </c>
      <c r="DR1139">
        <f t="shared" si="2434"/>
        <v>0</v>
      </c>
      <c r="DS1139">
        <f t="shared" si="2434"/>
        <v>0</v>
      </c>
      <c r="DT1139">
        <f t="shared" si="2434"/>
        <v>0</v>
      </c>
      <c r="DU1139">
        <f t="shared" si="2434"/>
        <v>0</v>
      </c>
      <c r="DV1139">
        <f t="shared" si="2434"/>
        <v>0</v>
      </c>
      <c r="DW1139">
        <f t="shared" si="2434"/>
        <v>0</v>
      </c>
      <c r="DX1139">
        <f t="shared" si="2434"/>
        <v>0</v>
      </c>
      <c r="DY1139">
        <f t="shared" si="2434"/>
        <v>0</v>
      </c>
      <c r="DZ1139">
        <f t="shared" si="2434"/>
        <v>0</v>
      </c>
      <c r="EA1139">
        <f t="shared" si="2435"/>
        <v>0</v>
      </c>
      <c r="EB1139">
        <f t="shared" si="2436"/>
        <v>0</v>
      </c>
      <c r="EC1139">
        <f t="shared" si="2435"/>
        <v>0</v>
      </c>
      <c r="ED1139">
        <f t="shared" si="2435"/>
        <v>0</v>
      </c>
      <c r="EE1139">
        <f t="shared" si="2435"/>
        <v>0</v>
      </c>
      <c r="EF1139">
        <f t="shared" si="2435"/>
        <v>0</v>
      </c>
    </row>
    <row r="1140" spans="1:136" ht="15.5">
      <c r="A1140" s="90"/>
      <c r="B1140" s="53" t="s">
        <v>212</v>
      </c>
      <c r="C1140" s="95"/>
      <c r="D1140" s="18"/>
      <c r="E1140" s="18"/>
      <c r="F1140" s="18"/>
      <c r="G1140" s="18"/>
      <c r="H1140" s="18"/>
      <c r="I1140" s="18"/>
      <c r="J1140" s="18"/>
      <c r="K1140" s="18"/>
      <c r="L1140" s="18"/>
      <c r="M1140" s="18"/>
      <c r="N1140" s="18"/>
      <c r="O1140" s="18"/>
      <c r="P1140" s="18"/>
      <c r="Q1140" s="18"/>
      <c r="R1140" s="18"/>
      <c r="S1140" s="18"/>
      <c r="T1140" s="18"/>
      <c r="U1140" s="18"/>
      <c r="V1140" s="18"/>
      <c r="W1140" s="18"/>
      <c r="X1140" s="18"/>
      <c r="Y1140" s="18"/>
      <c r="Z1140" s="18"/>
      <c r="AA1140" s="18"/>
      <c r="AB1140" s="18"/>
      <c r="AC1140" s="18"/>
      <c r="AD1140" s="18"/>
      <c r="AE1140" s="18"/>
      <c r="AF1140" s="18"/>
      <c r="AG1140" s="18"/>
      <c r="AH1140" s="18"/>
      <c r="AI1140" s="18">
        <v>0</v>
      </c>
      <c r="AJ1140" s="18">
        <f>1836/5735</f>
        <v>0.32013949433304273</v>
      </c>
      <c r="AK1140" s="18">
        <f>2769/5735</f>
        <v>0.48282476024411508</v>
      </c>
      <c r="AL1140" s="18">
        <f>1785/1957</f>
        <v>0.91211037301992848</v>
      </c>
      <c r="AM1140" s="147">
        <v>10.3</v>
      </c>
      <c r="AN1140" s="147">
        <v>5</v>
      </c>
      <c r="AO1140" s="18">
        <v>0</v>
      </c>
      <c r="AP1140" s="18">
        <v>0</v>
      </c>
      <c r="AQ1140" s="18">
        <v>0</v>
      </c>
      <c r="AR1140" s="18">
        <v>0</v>
      </c>
      <c r="AS1140" s="18">
        <v>0</v>
      </c>
      <c r="AT1140" s="18">
        <v>0</v>
      </c>
      <c r="AU1140" s="18">
        <v>0</v>
      </c>
      <c r="AV1140" s="34">
        <f>24/3</f>
        <v>8</v>
      </c>
      <c r="AW1140" s="18">
        <v>0</v>
      </c>
      <c r="AX1140" s="18">
        <v>0</v>
      </c>
      <c r="AY1140" s="18">
        <v>0</v>
      </c>
      <c r="AZ1140" s="18">
        <v>0</v>
      </c>
      <c r="BA1140" s="18">
        <v>0</v>
      </c>
      <c r="BB1140" s="18">
        <v>0</v>
      </c>
      <c r="BC1140" s="18">
        <v>0</v>
      </c>
      <c r="BD1140" s="18">
        <f>929/4.76</f>
        <v>195.16806722689077</v>
      </c>
      <c r="BE1140" s="25">
        <f>1400/4.77</f>
        <v>293.50104821802938</v>
      </c>
      <c r="BF1140" s="18">
        <f>2390/5.31</f>
        <v>450.09416195856875</v>
      </c>
      <c r="BG1140" s="18">
        <f>3380/6.2</f>
        <v>545.16129032258061</v>
      </c>
      <c r="BH1140" s="18">
        <f>4950/7.8</f>
        <v>634.61538461538464</v>
      </c>
      <c r="BI1140" s="18">
        <f>7220/8.5</f>
        <v>849.41176470588232</v>
      </c>
      <c r="BJ1140" s="18">
        <f>9550/9.2</f>
        <v>1038.0434782608697</v>
      </c>
      <c r="BK1140" s="18">
        <f>11810/9.5</f>
        <v>1243.1578947368421</v>
      </c>
      <c r="BL1140" s="18">
        <f>14340/10.32</f>
        <v>1389.5348837209301</v>
      </c>
      <c r="BM1140" s="18">
        <f>16920/11.31</f>
        <v>1496.0212201591512</v>
      </c>
      <c r="BN1140" s="147">
        <f>(0.082*115730)/11.03</f>
        <v>860.36808703535826</v>
      </c>
      <c r="BO1140" s="147">
        <v>885</v>
      </c>
      <c r="BP1140" s="258">
        <v>1022</v>
      </c>
      <c r="BQ1140" s="113">
        <v>1007</v>
      </c>
      <c r="BR1140" s="101"/>
      <c r="BS1140">
        <f t="shared" si="2429"/>
        <v>0</v>
      </c>
      <c r="BT1140">
        <f t="shared" si="2429"/>
        <v>0</v>
      </c>
      <c r="BU1140">
        <f t="shared" si="2429"/>
        <v>0</v>
      </c>
      <c r="BV1140">
        <f t="shared" si="2429"/>
        <v>0</v>
      </c>
      <c r="BW1140">
        <f t="shared" si="2429"/>
        <v>0</v>
      </c>
      <c r="BX1140">
        <f t="shared" si="2429"/>
        <v>0</v>
      </c>
      <c r="BY1140">
        <f t="shared" si="2429"/>
        <v>0</v>
      </c>
      <c r="BZ1140">
        <f t="shared" si="2429"/>
        <v>0</v>
      </c>
      <c r="CA1140">
        <f t="shared" si="2429"/>
        <v>0</v>
      </c>
      <c r="CB1140">
        <f t="shared" si="2429"/>
        <v>0</v>
      </c>
      <c r="CC1140">
        <f t="shared" si="2430"/>
        <v>0</v>
      </c>
      <c r="CD1140">
        <f t="shared" si="2430"/>
        <v>0</v>
      </c>
      <c r="CE1140">
        <f t="shared" si="2430"/>
        <v>0</v>
      </c>
      <c r="CF1140">
        <f t="shared" si="2430"/>
        <v>0</v>
      </c>
      <c r="CG1140">
        <f t="shared" si="2430"/>
        <v>0</v>
      </c>
      <c r="CH1140">
        <f t="shared" si="2430"/>
        <v>0</v>
      </c>
      <c r="CI1140">
        <f t="shared" si="2430"/>
        <v>0</v>
      </c>
      <c r="CJ1140">
        <f t="shared" si="2430"/>
        <v>0</v>
      </c>
      <c r="CK1140">
        <f t="shared" si="2430"/>
        <v>0</v>
      </c>
      <c r="CL1140">
        <f t="shared" si="2430"/>
        <v>0</v>
      </c>
      <c r="CM1140">
        <f t="shared" si="2431"/>
        <v>0</v>
      </c>
      <c r="CN1140">
        <f t="shared" si="2431"/>
        <v>0</v>
      </c>
      <c r="CO1140">
        <f t="shared" si="2431"/>
        <v>0</v>
      </c>
      <c r="CP1140">
        <f t="shared" si="2431"/>
        <v>0</v>
      </c>
      <c r="CQ1140">
        <f t="shared" si="2431"/>
        <v>0</v>
      </c>
      <c r="CR1140">
        <f t="shared" si="2431"/>
        <v>0</v>
      </c>
      <c r="CS1140">
        <f t="shared" si="2431"/>
        <v>0</v>
      </c>
      <c r="CT1140">
        <f t="shared" si="2431"/>
        <v>0</v>
      </c>
      <c r="CU1140">
        <f t="shared" si="2431"/>
        <v>0</v>
      </c>
      <c r="CV1140">
        <f t="shared" si="2431"/>
        <v>0</v>
      </c>
      <c r="CW1140">
        <f t="shared" si="2432"/>
        <v>0</v>
      </c>
      <c r="CX1140">
        <f t="shared" si="2432"/>
        <v>0</v>
      </c>
      <c r="CY1140">
        <f t="shared" si="2432"/>
        <v>0</v>
      </c>
      <c r="CZ1140">
        <f t="shared" si="2432"/>
        <v>0</v>
      </c>
      <c r="DA1140">
        <f t="shared" si="2432"/>
        <v>0</v>
      </c>
      <c r="DB1140">
        <f t="shared" si="2432"/>
        <v>0</v>
      </c>
      <c r="DC1140">
        <f t="shared" si="2432"/>
        <v>0</v>
      </c>
      <c r="DD1140">
        <f t="shared" si="2432"/>
        <v>0</v>
      </c>
      <c r="DE1140">
        <f t="shared" si="2432"/>
        <v>0</v>
      </c>
      <c r="DF1140">
        <f t="shared" si="2432"/>
        <v>0</v>
      </c>
      <c r="DG1140">
        <f t="shared" si="2433"/>
        <v>0</v>
      </c>
      <c r="DH1140">
        <f t="shared" si="2433"/>
        <v>0</v>
      </c>
      <c r="DI1140">
        <f t="shared" si="2433"/>
        <v>0</v>
      </c>
      <c r="DJ1140">
        <f t="shared" si="2433"/>
        <v>0</v>
      </c>
      <c r="DK1140">
        <f t="shared" si="2433"/>
        <v>0</v>
      </c>
      <c r="DL1140">
        <f t="shared" si="2433"/>
        <v>0</v>
      </c>
      <c r="DM1140">
        <f t="shared" si="2433"/>
        <v>0</v>
      </c>
      <c r="DN1140">
        <f t="shared" si="2433"/>
        <v>0</v>
      </c>
      <c r="DO1140">
        <f t="shared" si="2433"/>
        <v>0</v>
      </c>
      <c r="DP1140">
        <f t="shared" si="2433"/>
        <v>0</v>
      </c>
      <c r="DQ1140">
        <f t="shared" si="2434"/>
        <v>0</v>
      </c>
      <c r="DR1140">
        <f t="shared" si="2434"/>
        <v>0</v>
      </c>
      <c r="DS1140">
        <f t="shared" si="2434"/>
        <v>0</v>
      </c>
      <c r="DT1140">
        <f t="shared" si="2434"/>
        <v>0</v>
      </c>
      <c r="DU1140">
        <f t="shared" si="2434"/>
        <v>0</v>
      </c>
      <c r="DV1140">
        <f t="shared" si="2434"/>
        <v>0</v>
      </c>
      <c r="DW1140">
        <f t="shared" si="2434"/>
        <v>0</v>
      </c>
      <c r="DX1140">
        <f t="shared" si="2434"/>
        <v>0</v>
      </c>
      <c r="DY1140">
        <f t="shared" si="2434"/>
        <v>0</v>
      </c>
      <c r="DZ1140">
        <f t="shared" si="2434"/>
        <v>0</v>
      </c>
      <c r="EA1140">
        <f t="shared" si="2435"/>
        <v>0</v>
      </c>
      <c r="EB1140">
        <f t="shared" si="2436"/>
        <v>0</v>
      </c>
      <c r="EC1140">
        <f t="shared" si="2435"/>
        <v>0</v>
      </c>
      <c r="ED1140">
        <f t="shared" si="2435"/>
        <v>0</v>
      </c>
      <c r="EE1140">
        <f t="shared" si="2435"/>
        <v>0</v>
      </c>
      <c r="EF1140">
        <f t="shared" si="2435"/>
        <v>0</v>
      </c>
    </row>
    <row r="1141" spans="1:136" ht="15.5">
      <c r="A1141" s="90"/>
      <c r="B1141" s="44"/>
      <c r="C1141" s="95"/>
      <c r="D1141" s="9"/>
      <c r="E1141" s="9"/>
      <c r="F1141" s="9"/>
      <c r="G1141" s="9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  <c r="AA1141" s="9"/>
      <c r="AB1141" s="9"/>
      <c r="AC1141" s="9"/>
      <c r="AD1141" s="9"/>
      <c r="AE1141" s="9"/>
      <c r="AF1141" s="9"/>
      <c r="AG1141" s="9"/>
      <c r="AH1141" s="9"/>
      <c r="AI1141" s="9"/>
      <c r="AJ1141" s="9"/>
      <c r="AK1141" s="9"/>
      <c r="AL1141" s="9"/>
      <c r="AM1141" s="9"/>
      <c r="AN1141" s="9"/>
      <c r="AO1141" s="9"/>
      <c r="AP1141" s="9"/>
      <c r="AQ1141" s="9"/>
      <c r="AR1141" s="9"/>
      <c r="AS1141" s="9"/>
      <c r="AT1141" s="9"/>
      <c r="AU1141" s="9"/>
      <c r="AV1141" s="9"/>
      <c r="AW1141" s="34"/>
      <c r="AX1141" s="34"/>
      <c r="AY1141" s="34"/>
      <c r="AZ1141" s="34"/>
      <c r="BA1141" s="34"/>
      <c r="BB1141" s="34"/>
      <c r="BC1141" s="34"/>
      <c r="BD1141" s="34"/>
      <c r="BE1141" s="42"/>
      <c r="BF1141" s="18"/>
      <c r="BG1141" s="34"/>
      <c r="BH1141" s="113"/>
      <c r="BI1141" s="113"/>
      <c r="BJ1141" s="113"/>
      <c r="BK1141" s="113"/>
      <c r="BL1141" s="18"/>
      <c r="BM1141" s="113"/>
      <c r="BN1141" s="2"/>
      <c r="BO1141" s="2"/>
      <c r="BP1141" s="2"/>
      <c r="BQ1141" s="2"/>
      <c r="BR1141" s="101"/>
    </row>
    <row r="1142" spans="1:136" ht="15.5">
      <c r="A1142" s="93">
        <v>144</v>
      </c>
      <c r="B1142" s="52" t="s">
        <v>142</v>
      </c>
      <c r="C1142" s="95">
        <v>3</v>
      </c>
      <c r="D1142" s="18"/>
      <c r="E1142" s="22">
        <f t="shared" ref="E1142:AJ1142" si="2437">SUM(E1143:E1149)</f>
        <v>0</v>
      </c>
      <c r="F1142" s="22">
        <f t="shared" si="2437"/>
        <v>0</v>
      </c>
      <c r="G1142" s="22">
        <f t="shared" si="2437"/>
        <v>0</v>
      </c>
      <c r="H1142" s="22">
        <f t="shared" si="2437"/>
        <v>0</v>
      </c>
      <c r="I1142" s="22">
        <f t="shared" si="2437"/>
        <v>0</v>
      </c>
      <c r="J1142" s="22">
        <f t="shared" si="2437"/>
        <v>0</v>
      </c>
      <c r="K1142" s="22">
        <f t="shared" si="2437"/>
        <v>0</v>
      </c>
      <c r="L1142" s="22">
        <f t="shared" si="2437"/>
        <v>0</v>
      </c>
      <c r="M1142" s="22">
        <f t="shared" si="2437"/>
        <v>0</v>
      </c>
      <c r="N1142" s="22">
        <f t="shared" si="2437"/>
        <v>0</v>
      </c>
      <c r="O1142" s="22">
        <f t="shared" si="2437"/>
        <v>2.2613378000000002</v>
      </c>
      <c r="P1142" s="22">
        <f t="shared" si="2437"/>
        <v>72.710273700000002</v>
      </c>
      <c r="Q1142" s="22">
        <f t="shared" si="2437"/>
        <v>151.9642078</v>
      </c>
      <c r="R1142" s="22">
        <f t="shared" si="2437"/>
        <v>219.88133630000002</v>
      </c>
      <c r="S1142" s="22">
        <f t="shared" si="2437"/>
        <v>304.99563160000002</v>
      </c>
      <c r="T1142" s="22">
        <f t="shared" si="2437"/>
        <v>495.1967032</v>
      </c>
      <c r="U1142" s="22">
        <f t="shared" si="2437"/>
        <v>842.78956310000001</v>
      </c>
      <c r="V1142" s="22">
        <f t="shared" si="2437"/>
        <v>1359.9581694000001</v>
      </c>
      <c r="W1142" s="22">
        <f t="shared" si="2437"/>
        <v>1413.0776738</v>
      </c>
      <c r="X1142" s="22">
        <f t="shared" si="2437"/>
        <v>2060.8411492999999</v>
      </c>
      <c r="Y1142" s="22">
        <f t="shared" si="2437"/>
        <v>2322.9835286000002</v>
      </c>
      <c r="Z1142" s="22">
        <f t="shared" si="2437"/>
        <v>2622.6136547999999</v>
      </c>
      <c r="AA1142" s="22">
        <f t="shared" si="2437"/>
        <v>3172.8029289000001</v>
      </c>
      <c r="AB1142" s="22">
        <f t="shared" si="2437"/>
        <v>3538.0645476999998</v>
      </c>
      <c r="AC1142" s="22">
        <f t="shared" si="2437"/>
        <v>5334.9295583310304</v>
      </c>
      <c r="AD1142" s="22">
        <f t="shared" si="2437"/>
        <v>1412.641733489301</v>
      </c>
      <c r="AE1142" s="22">
        <f t="shared" si="2437"/>
        <v>769.96892789999993</v>
      </c>
      <c r="AF1142" s="22">
        <f t="shared" si="2437"/>
        <v>1189.8806829999999</v>
      </c>
      <c r="AG1142" s="22">
        <f t="shared" si="2437"/>
        <v>1174.2814888</v>
      </c>
      <c r="AH1142" s="22">
        <f t="shared" si="2437"/>
        <v>1696.1456840000001</v>
      </c>
      <c r="AI1142" s="22">
        <f t="shared" si="2437"/>
        <v>1670.0743531000001</v>
      </c>
      <c r="AJ1142" s="22">
        <f t="shared" si="2437"/>
        <v>2647.4280011000001</v>
      </c>
      <c r="AK1142" s="22">
        <f t="shared" ref="AK1142:BQ1142" si="2438">SUM(AK1143:AK1149)</f>
        <v>2089.7797380000002</v>
      </c>
      <c r="AL1142" s="22">
        <f t="shared" si="2438"/>
        <v>2179.7551247000001</v>
      </c>
      <c r="AM1142" s="22">
        <f t="shared" si="2438"/>
        <v>2538.0027893000001</v>
      </c>
      <c r="AN1142" s="22">
        <f t="shared" si="2438"/>
        <v>2372.6478397704677</v>
      </c>
      <c r="AO1142" s="22">
        <f t="shared" si="2438"/>
        <v>4263.4346904073127</v>
      </c>
      <c r="AP1142" s="22">
        <f t="shared" si="2438"/>
        <v>1946.2569509470025</v>
      </c>
      <c r="AQ1142" s="22">
        <f t="shared" si="2438"/>
        <v>2030.7492282444869</v>
      </c>
      <c r="AR1142" s="22">
        <f t="shared" si="2438"/>
        <v>1996.3633964922067</v>
      </c>
      <c r="AS1142" s="22">
        <f t="shared" si="2438"/>
        <v>1418.0462716784714</v>
      </c>
      <c r="AT1142" s="22">
        <f t="shared" si="2438"/>
        <v>1966.6279522623001</v>
      </c>
      <c r="AU1142" s="22">
        <f t="shared" si="2438"/>
        <v>1653.8326198</v>
      </c>
      <c r="AV1142" s="22">
        <f t="shared" si="2438"/>
        <v>1737.8895099000001</v>
      </c>
      <c r="AW1142" s="22">
        <f t="shared" si="2438"/>
        <v>1260.1497710000001</v>
      </c>
      <c r="AX1142" s="22">
        <f t="shared" si="2438"/>
        <v>1000.848625</v>
      </c>
      <c r="AY1142" s="22">
        <f t="shared" si="2438"/>
        <v>1058.2835176999999</v>
      </c>
      <c r="AZ1142" s="22">
        <f t="shared" si="2438"/>
        <v>1262.0211653000001</v>
      </c>
      <c r="BA1142" s="22">
        <f t="shared" si="2438"/>
        <v>1359.5614379000001</v>
      </c>
      <c r="BB1142" s="22">
        <f t="shared" si="2438"/>
        <v>1321.9399083000001</v>
      </c>
      <c r="BC1142" s="22">
        <f t="shared" si="2438"/>
        <v>1428.3332719999999</v>
      </c>
      <c r="BD1142" s="22">
        <f t="shared" si="2438"/>
        <v>1450.3638317</v>
      </c>
      <c r="BE1142" s="22">
        <f t="shared" si="2438"/>
        <v>1197.2544179000001</v>
      </c>
      <c r="BF1142" s="22">
        <f t="shared" si="2438"/>
        <v>1248.0061242000002</v>
      </c>
      <c r="BG1142" s="22">
        <f t="shared" si="2438"/>
        <v>2691.0172729999999</v>
      </c>
      <c r="BH1142" s="22">
        <f t="shared" si="2438"/>
        <v>2986.3645115999998</v>
      </c>
      <c r="BI1142" s="22">
        <f t="shared" si="2438"/>
        <v>3624.2887151999998</v>
      </c>
      <c r="BJ1142" s="22">
        <f t="shared" si="2438"/>
        <v>4354.4851465000002</v>
      </c>
      <c r="BK1142" s="22">
        <f t="shared" si="2438"/>
        <v>5192.5894232000001</v>
      </c>
      <c r="BL1142" s="22">
        <f t="shared" si="2438"/>
        <v>6394.8679607000004</v>
      </c>
      <c r="BM1142" s="22">
        <f t="shared" si="2438"/>
        <v>6666.9869079999999</v>
      </c>
      <c r="BN1142" s="22">
        <f t="shared" si="2438"/>
        <v>7503.445823699999</v>
      </c>
      <c r="BO1142" s="22">
        <f t="shared" si="2438"/>
        <v>6746.55591</v>
      </c>
      <c r="BP1142" s="22">
        <f t="shared" si="2438"/>
        <v>2384.1656860000003</v>
      </c>
      <c r="BQ1142" s="22">
        <f t="shared" si="2438"/>
        <v>1089</v>
      </c>
      <c r="BR1142" s="101"/>
      <c r="BS1142">
        <f t="shared" ref="BS1142:CX1142" si="2439">IF($C1142&lt;&gt;"",IF(D1142&gt;0,1,0),0)</f>
        <v>0</v>
      </c>
      <c r="BT1142">
        <f t="shared" si="2439"/>
        <v>0</v>
      </c>
      <c r="BU1142">
        <f t="shared" si="2439"/>
        <v>0</v>
      </c>
      <c r="BV1142">
        <f t="shared" si="2439"/>
        <v>0</v>
      </c>
      <c r="BW1142">
        <f t="shared" si="2439"/>
        <v>0</v>
      </c>
      <c r="BX1142">
        <f t="shared" si="2439"/>
        <v>0</v>
      </c>
      <c r="BY1142">
        <f t="shared" si="2439"/>
        <v>0</v>
      </c>
      <c r="BZ1142">
        <f t="shared" si="2439"/>
        <v>0</v>
      </c>
      <c r="CA1142">
        <f t="shared" si="2439"/>
        <v>0</v>
      </c>
      <c r="CB1142">
        <f t="shared" si="2439"/>
        <v>0</v>
      </c>
      <c r="CC1142">
        <f t="shared" si="2439"/>
        <v>0</v>
      </c>
      <c r="CD1142">
        <f t="shared" si="2439"/>
        <v>1</v>
      </c>
      <c r="CE1142">
        <f t="shared" si="2439"/>
        <v>1</v>
      </c>
      <c r="CF1142">
        <f t="shared" si="2439"/>
        <v>1</v>
      </c>
      <c r="CG1142">
        <f t="shared" si="2439"/>
        <v>1</v>
      </c>
      <c r="CH1142">
        <f t="shared" si="2439"/>
        <v>1</v>
      </c>
      <c r="CI1142">
        <f t="shared" si="2439"/>
        <v>1</v>
      </c>
      <c r="CJ1142">
        <f t="shared" si="2439"/>
        <v>1</v>
      </c>
      <c r="CK1142">
        <f t="shared" si="2439"/>
        <v>1</v>
      </c>
      <c r="CL1142">
        <f t="shared" si="2439"/>
        <v>1</v>
      </c>
      <c r="CM1142">
        <f t="shared" si="2439"/>
        <v>1</v>
      </c>
      <c r="CN1142">
        <f t="shared" si="2439"/>
        <v>1</v>
      </c>
      <c r="CO1142">
        <f t="shared" si="2439"/>
        <v>1</v>
      </c>
      <c r="CP1142">
        <f t="shared" si="2439"/>
        <v>1</v>
      </c>
      <c r="CQ1142">
        <f t="shared" si="2439"/>
        <v>1</v>
      </c>
      <c r="CR1142">
        <f t="shared" si="2439"/>
        <v>1</v>
      </c>
      <c r="CS1142">
        <f t="shared" si="2439"/>
        <v>1</v>
      </c>
      <c r="CT1142">
        <f t="shared" si="2439"/>
        <v>1</v>
      </c>
      <c r="CU1142">
        <f t="shared" si="2439"/>
        <v>1</v>
      </c>
      <c r="CV1142">
        <f t="shared" si="2439"/>
        <v>1</v>
      </c>
      <c r="CW1142">
        <f t="shared" si="2439"/>
        <v>1</v>
      </c>
      <c r="CX1142">
        <f t="shared" si="2439"/>
        <v>1</v>
      </c>
      <c r="CY1142">
        <f t="shared" ref="CY1142:EF1142" si="2440">IF($C1142&lt;&gt;"",IF(AJ1142&gt;0,1,0),0)</f>
        <v>1</v>
      </c>
      <c r="CZ1142">
        <f t="shared" si="2440"/>
        <v>1</v>
      </c>
      <c r="DA1142">
        <f t="shared" si="2440"/>
        <v>1</v>
      </c>
      <c r="DB1142">
        <f t="shared" si="2440"/>
        <v>1</v>
      </c>
      <c r="DC1142">
        <f t="shared" si="2440"/>
        <v>1</v>
      </c>
      <c r="DD1142">
        <f t="shared" si="2440"/>
        <v>1</v>
      </c>
      <c r="DE1142">
        <f t="shared" si="2440"/>
        <v>1</v>
      </c>
      <c r="DF1142">
        <f t="shared" si="2440"/>
        <v>1</v>
      </c>
      <c r="DG1142">
        <f t="shared" si="2440"/>
        <v>1</v>
      </c>
      <c r="DH1142">
        <f t="shared" si="2440"/>
        <v>1</v>
      </c>
      <c r="DI1142">
        <f t="shared" si="2440"/>
        <v>1</v>
      </c>
      <c r="DJ1142">
        <f t="shared" si="2440"/>
        <v>1</v>
      </c>
      <c r="DK1142">
        <f t="shared" si="2440"/>
        <v>1</v>
      </c>
      <c r="DL1142">
        <f t="shared" si="2440"/>
        <v>1</v>
      </c>
      <c r="DM1142">
        <f t="shared" si="2440"/>
        <v>1</v>
      </c>
      <c r="DN1142">
        <f t="shared" si="2440"/>
        <v>1</v>
      </c>
      <c r="DO1142">
        <f t="shared" si="2440"/>
        <v>1</v>
      </c>
      <c r="DP1142">
        <f t="shared" si="2440"/>
        <v>1</v>
      </c>
      <c r="DQ1142">
        <f t="shared" si="2440"/>
        <v>1</v>
      </c>
      <c r="DR1142">
        <f t="shared" si="2440"/>
        <v>1</v>
      </c>
      <c r="DS1142">
        <f t="shared" si="2440"/>
        <v>1</v>
      </c>
      <c r="DT1142">
        <f t="shared" si="2440"/>
        <v>1</v>
      </c>
      <c r="DU1142">
        <f t="shared" si="2440"/>
        <v>1</v>
      </c>
      <c r="DV1142">
        <f t="shared" si="2440"/>
        <v>1</v>
      </c>
      <c r="DW1142">
        <f t="shared" si="2440"/>
        <v>1</v>
      </c>
      <c r="DX1142">
        <f t="shared" si="2440"/>
        <v>1</v>
      </c>
      <c r="DY1142">
        <f t="shared" si="2440"/>
        <v>1</v>
      </c>
      <c r="DZ1142">
        <f t="shared" si="2440"/>
        <v>1</v>
      </c>
      <c r="EA1142">
        <f t="shared" si="2440"/>
        <v>1</v>
      </c>
      <c r="EB1142">
        <f>IF($C1142&lt;&gt;"",IF(BM1142&gt;0,1,0),0)</f>
        <v>1</v>
      </c>
      <c r="EC1142">
        <f t="shared" si="2440"/>
        <v>1</v>
      </c>
      <c r="ED1142">
        <f t="shared" si="2440"/>
        <v>1</v>
      </c>
      <c r="EE1142">
        <f t="shared" si="2440"/>
        <v>1</v>
      </c>
      <c r="EF1142">
        <f t="shared" si="2440"/>
        <v>1</v>
      </c>
    </row>
    <row r="1143" spans="1:136" ht="15.5">
      <c r="A1143" s="93"/>
      <c r="B1143" s="24" t="s">
        <v>15</v>
      </c>
      <c r="C1143" s="95"/>
      <c r="D1143" s="18"/>
      <c r="E1143" s="18">
        <v>0</v>
      </c>
      <c r="F1143" s="18">
        <v>0</v>
      </c>
      <c r="G1143" s="18">
        <v>0</v>
      </c>
      <c r="H1143" s="18">
        <v>0</v>
      </c>
      <c r="I1143" s="18">
        <v>0</v>
      </c>
      <c r="J1143" s="18">
        <v>0</v>
      </c>
      <c r="K1143" s="18">
        <v>0</v>
      </c>
      <c r="L1143" s="18">
        <v>0</v>
      </c>
      <c r="M1143" s="18">
        <v>0</v>
      </c>
      <c r="N1143" s="18">
        <v>0</v>
      </c>
      <c r="O1143" s="18">
        <v>0</v>
      </c>
      <c r="P1143" s="18">
        <v>0</v>
      </c>
      <c r="Q1143" s="18">
        <v>0</v>
      </c>
      <c r="R1143" s="18">
        <v>0</v>
      </c>
      <c r="S1143" s="18">
        <v>0</v>
      </c>
      <c r="T1143" s="18">
        <v>0</v>
      </c>
      <c r="U1143" s="18">
        <v>0</v>
      </c>
      <c r="V1143" s="18">
        <v>0</v>
      </c>
      <c r="W1143" s="18">
        <v>0</v>
      </c>
      <c r="X1143" s="18">
        <v>0</v>
      </c>
      <c r="Y1143" s="18">
        <v>0</v>
      </c>
      <c r="Z1143" s="18">
        <v>0</v>
      </c>
      <c r="AA1143" s="18">
        <v>0</v>
      </c>
      <c r="AB1143" s="18">
        <v>3</v>
      </c>
      <c r="AC1143" s="18">
        <v>64.865729531031135</v>
      </c>
      <c r="AD1143" s="18">
        <v>78.435715789301113</v>
      </c>
      <c r="AE1143" s="18">
        <v>0</v>
      </c>
      <c r="AF1143" s="18">
        <v>0</v>
      </c>
      <c r="AG1143" s="18">
        <v>0</v>
      </c>
      <c r="AH1143" s="18">
        <v>0</v>
      </c>
      <c r="AI1143" s="18">
        <v>0</v>
      </c>
      <c r="AJ1143" s="18">
        <v>0</v>
      </c>
      <c r="AK1143" s="18">
        <v>0</v>
      </c>
      <c r="AL1143" s="18">
        <v>0</v>
      </c>
      <c r="AM1143" s="18">
        <v>0</v>
      </c>
      <c r="AN1143" s="18">
        <v>0</v>
      </c>
      <c r="AO1143" s="18">
        <v>0</v>
      </c>
      <c r="AP1143" s="18">
        <v>0</v>
      </c>
      <c r="AQ1143" s="18">
        <v>0</v>
      </c>
      <c r="AR1143" s="18">
        <v>0</v>
      </c>
      <c r="AS1143" s="18">
        <v>0</v>
      </c>
      <c r="AT1143" s="18">
        <v>0</v>
      </c>
      <c r="AU1143" s="18">
        <v>0</v>
      </c>
      <c r="AV1143" s="18">
        <v>0</v>
      </c>
      <c r="AW1143" s="18">
        <v>0</v>
      </c>
      <c r="AX1143" s="18">
        <v>0</v>
      </c>
      <c r="AY1143" s="18">
        <v>0</v>
      </c>
      <c r="AZ1143" s="18">
        <v>0</v>
      </c>
      <c r="BA1143" s="18">
        <v>0</v>
      </c>
      <c r="BB1143" s="18">
        <v>0</v>
      </c>
      <c r="BC1143" s="18">
        <v>0</v>
      </c>
      <c r="BD1143" s="18">
        <v>0</v>
      </c>
      <c r="BE1143" s="25">
        <v>0</v>
      </c>
      <c r="BF1143" s="18">
        <v>0</v>
      </c>
      <c r="BG1143" s="18">
        <v>0</v>
      </c>
      <c r="BH1143" s="18">
        <v>0</v>
      </c>
      <c r="BI1143" s="113">
        <v>0</v>
      </c>
      <c r="BJ1143" s="113">
        <v>0</v>
      </c>
      <c r="BK1143" s="113">
        <v>0</v>
      </c>
      <c r="BL1143" s="113">
        <v>0</v>
      </c>
      <c r="BM1143" s="113">
        <v>0</v>
      </c>
      <c r="BN1143" s="113">
        <v>0</v>
      </c>
      <c r="BO1143" s="113">
        <v>0</v>
      </c>
      <c r="BP1143" s="113">
        <v>0</v>
      </c>
      <c r="BQ1143" s="113">
        <v>0</v>
      </c>
      <c r="BR1143" s="101"/>
      <c r="BS1143">
        <f t="shared" ref="BS1143:CB1149" si="2441">IF($C1143&lt;&gt;"",IF(D1143&gt;0,1,0),0)</f>
        <v>0</v>
      </c>
      <c r="BT1143">
        <f t="shared" si="2441"/>
        <v>0</v>
      </c>
      <c r="BU1143">
        <f t="shared" si="2441"/>
        <v>0</v>
      </c>
      <c r="BV1143">
        <f t="shared" si="2441"/>
        <v>0</v>
      </c>
      <c r="BW1143">
        <f t="shared" si="2441"/>
        <v>0</v>
      </c>
      <c r="BX1143">
        <f t="shared" si="2441"/>
        <v>0</v>
      </c>
      <c r="BY1143">
        <f t="shared" si="2441"/>
        <v>0</v>
      </c>
      <c r="BZ1143">
        <f t="shared" si="2441"/>
        <v>0</v>
      </c>
      <c r="CA1143">
        <f t="shared" si="2441"/>
        <v>0</v>
      </c>
      <c r="CB1143">
        <f t="shared" si="2441"/>
        <v>0</v>
      </c>
      <c r="CC1143">
        <f t="shared" ref="CC1143:CL1149" si="2442">IF($C1143&lt;&gt;"",IF(N1143&gt;0,1,0),0)</f>
        <v>0</v>
      </c>
      <c r="CD1143">
        <f t="shared" si="2442"/>
        <v>0</v>
      </c>
      <c r="CE1143">
        <f t="shared" si="2442"/>
        <v>0</v>
      </c>
      <c r="CF1143">
        <f t="shared" si="2442"/>
        <v>0</v>
      </c>
      <c r="CG1143">
        <f t="shared" si="2442"/>
        <v>0</v>
      </c>
      <c r="CH1143">
        <f t="shared" si="2442"/>
        <v>0</v>
      </c>
      <c r="CI1143">
        <f t="shared" si="2442"/>
        <v>0</v>
      </c>
      <c r="CJ1143">
        <f t="shared" si="2442"/>
        <v>0</v>
      </c>
      <c r="CK1143">
        <f t="shared" si="2442"/>
        <v>0</v>
      </c>
      <c r="CL1143">
        <f t="shared" si="2442"/>
        <v>0</v>
      </c>
      <c r="CM1143">
        <f t="shared" ref="CM1143:CV1149" si="2443">IF($C1143&lt;&gt;"",IF(X1143&gt;0,1,0),0)</f>
        <v>0</v>
      </c>
      <c r="CN1143">
        <f t="shared" si="2443"/>
        <v>0</v>
      </c>
      <c r="CO1143">
        <f t="shared" si="2443"/>
        <v>0</v>
      </c>
      <c r="CP1143">
        <f t="shared" si="2443"/>
        <v>0</v>
      </c>
      <c r="CQ1143">
        <f t="shared" si="2443"/>
        <v>0</v>
      </c>
      <c r="CR1143">
        <f t="shared" si="2443"/>
        <v>0</v>
      </c>
      <c r="CS1143">
        <f t="shared" si="2443"/>
        <v>0</v>
      </c>
      <c r="CT1143">
        <f t="shared" si="2443"/>
        <v>0</v>
      </c>
      <c r="CU1143">
        <f t="shared" si="2443"/>
        <v>0</v>
      </c>
      <c r="CV1143">
        <f t="shared" si="2443"/>
        <v>0</v>
      </c>
      <c r="CW1143">
        <f t="shared" ref="CW1143:DF1149" si="2444">IF($C1143&lt;&gt;"",IF(AH1143&gt;0,1,0),0)</f>
        <v>0</v>
      </c>
      <c r="CX1143">
        <f t="shared" si="2444"/>
        <v>0</v>
      </c>
      <c r="CY1143">
        <f t="shared" si="2444"/>
        <v>0</v>
      </c>
      <c r="CZ1143">
        <f t="shared" si="2444"/>
        <v>0</v>
      </c>
      <c r="DA1143">
        <f t="shared" si="2444"/>
        <v>0</v>
      </c>
      <c r="DB1143">
        <f t="shared" si="2444"/>
        <v>0</v>
      </c>
      <c r="DC1143">
        <f t="shared" si="2444"/>
        <v>0</v>
      </c>
      <c r="DD1143">
        <f t="shared" si="2444"/>
        <v>0</v>
      </c>
      <c r="DE1143">
        <f t="shared" si="2444"/>
        <v>0</v>
      </c>
      <c r="DF1143">
        <f t="shared" si="2444"/>
        <v>0</v>
      </c>
      <c r="DG1143">
        <f t="shared" ref="DG1143:DP1149" si="2445">IF($C1143&lt;&gt;"",IF(AR1143&gt;0,1,0),0)</f>
        <v>0</v>
      </c>
      <c r="DH1143">
        <f t="shared" si="2445"/>
        <v>0</v>
      </c>
      <c r="DI1143">
        <f t="shared" si="2445"/>
        <v>0</v>
      </c>
      <c r="DJ1143">
        <f t="shared" si="2445"/>
        <v>0</v>
      </c>
      <c r="DK1143">
        <f t="shared" si="2445"/>
        <v>0</v>
      </c>
      <c r="DL1143">
        <f t="shared" si="2445"/>
        <v>0</v>
      </c>
      <c r="DM1143">
        <f t="shared" si="2445"/>
        <v>0</v>
      </c>
      <c r="DN1143">
        <f t="shared" si="2445"/>
        <v>0</v>
      </c>
      <c r="DO1143">
        <f t="shared" si="2445"/>
        <v>0</v>
      </c>
      <c r="DP1143">
        <f t="shared" si="2445"/>
        <v>0</v>
      </c>
      <c r="DQ1143">
        <f t="shared" ref="DQ1143:DZ1149" si="2446">IF($C1143&lt;&gt;"",IF(BB1143&gt;0,1,0),0)</f>
        <v>0</v>
      </c>
      <c r="DR1143">
        <f t="shared" si="2446"/>
        <v>0</v>
      </c>
      <c r="DS1143">
        <f t="shared" si="2446"/>
        <v>0</v>
      </c>
      <c r="DT1143">
        <f t="shared" si="2446"/>
        <v>0</v>
      </c>
      <c r="DU1143">
        <f t="shared" si="2446"/>
        <v>0</v>
      </c>
      <c r="DV1143">
        <f t="shared" si="2446"/>
        <v>0</v>
      </c>
      <c r="DW1143">
        <f t="shared" si="2446"/>
        <v>0</v>
      </c>
      <c r="DX1143">
        <f t="shared" si="2446"/>
        <v>0</v>
      </c>
      <c r="DY1143">
        <f t="shared" si="2446"/>
        <v>0</v>
      </c>
      <c r="DZ1143">
        <f t="shared" si="2446"/>
        <v>0</v>
      </c>
      <c r="EA1143">
        <f t="shared" ref="EA1143:EF1148" si="2447">IF($C1143&lt;&gt;"",IF(BL1142&gt;0,1,0),0)</f>
        <v>0</v>
      </c>
      <c r="EB1143">
        <f t="shared" ref="EB1143:EB1148" si="2448">IF($C1143&lt;&gt;"",IF(BM1142&gt;0,1,0),0)</f>
        <v>0</v>
      </c>
      <c r="EC1143">
        <f t="shared" si="2447"/>
        <v>0</v>
      </c>
      <c r="ED1143">
        <f t="shared" si="2447"/>
        <v>0</v>
      </c>
      <c r="EE1143">
        <f t="shared" si="2447"/>
        <v>0</v>
      </c>
      <c r="EF1143">
        <f t="shared" si="2447"/>
        <v>0</v>
      </c>
    </row>
    <row r="1144" spans="1:136" ht="15.5">
      <c r="A1144" s="90"/>
      <c r="B1144" s="19" t="s">
        <v>2</v>
      </c>
      <c r="C1144" s="95"/>
      <c r="D1144" s="18"/>
      <c r="E1144" s="18">
        <v>0</v>
      </c>
      <c r="F1144" s="18">
        <v>0</v>
      </c>
      <c r="G1144" s="18">
        <v>0</v>
      </c>
      <c r="H1144" s="18">
        <v>0</v>
      </c>
      <c r="I1144" s="18">
        <v>0</v>
      </c>
      <c r="J1144" s="18">
        <v>0</v>
      </c>
      <c r="K1144" s="18">
        <v>0</v>
      </c>
      <c r="L1144" s="18">
        <v>0</v>
      </c>
      <c r="M1144" s="18">
        <v>0</v>
      </c>
      <c r="N1144" s="18">
        <v>0</v>
      </c>
      <c r="O1144" s="18">
        <v>0</v>
      </c>
      <c r="P1144" s="18"/>
      <c r="Q1144" s="18"/>
      <c r="R1144" s="18"/>
      <c r="S1144" s="18"/>
      <c r="T1144" s="18"/>
      <c r="U1144" s="18"/>
      <c r="V1144" s="18"/>
      <c r="W1144" s="18"/>
      <c r="X1144" s="18"/>
      <c r="Y1144" s="18"/>
      <c r="Z1144" s="18"/>
      <c r="AA1144" s="18"/>
      <c r="AB1144" s="40" t="s">
        <v>16</v>
      </c>
      <c r="AC1144" s="40" t="s">
        <v>16</v>
      </c>
      <c r="AD1144" s="18">
        <v>800</v>
      </c>
      <c r="AE1144" s="40" t="s">
        <v>16</v>
      </c>
      <c r="AF1144" s="18">
        <v>341</v>
      </c>
      <c r="AG1144" s="40" t="s">
        <v>16</v>
      </c>
      <c r="AH1144" s="18">
        <v>199</v>
      </c>
      <c r="AI1144" s="40" t="s">
        <v>16</v>
      </c>
      <c r="AJ1144" s="18">
        <v>691</v>
      </c>
      <c r="AK1144" s="18"/>
      <c r="AL1144" s="18"/>
      <c r="AM1144" s="18"/>
      <c r="AN1144" s="40" t="s">
        <v>16</v>
      </c>
      <c r="AO1144" s="18">
        <v>1608</v>
      </c>
      <c r="AP1144" s="18"/>
      <c r="AQ1144" s="40" t="s">
        <v>16</v>
      </c>
      <c r="AR1144" s="18">
        <v>711</v>
      </c>
      <c r="AS1144" s="18">
        <v>0</v>
      </c>
      <c r="AT1144" s="18">
        <v>1700</v>
      </c>
      <c r="AU1144" s="18">
        <v>0</v>
      </c>
      <c r="AV1144" s="18">
        <v>0</v>
      </c>
      <c r="AW1144" s="18">
        <v>0</v>
      </c>
      <c r="AX1144" s="18">
        <v>0</v>
      </c>
      <c r="AY1144" s="18">
        <v>0</v>
      </c>
      <c r="AZ1144" s="18">
        <v>0</v>
      </c>
      <c r="BA1144" s="18">
        <v>0</v>
      </c>
      <c r="BB1144" s="18">
        <v>0</v>
      </c>
      <c r="BC1144" s="18">
        <v>0</v>
      </c>
      <c r="BD1144" s="18">
        <v>0</v>
      </c>
      <c r="BE1144" s="18">
        <v>0</v>
      </c>
      <c r="BF1144" s="18">
        <v>0</v>
      </c>
      <c r="BG1144" s="18">
        <v>0</v>
      </c>
      <c r="BH1144" s="18">
        <v>0</v>
      </c>
      <c r="BI1144" s="18">
        <v>0</v>
      </c>
      <c r="BJ1144" s="18">
        <v>0</v>
      </c>
      <c r="BK1144" s="18">
        <v>0</v>
      </c>
      <c r="BL1144" s="18">
        <v>0</v>
      </c>
      <c r="BM1144" s="18">
        <v>0</v>
      </c>
      <c r="BN1144" s="18">
        <v>0</v>
      </c>
      <c r="BO1144" s="18">
        <v>0</v>
      </c>
      <c r="BP1144" s="18">
        <v>0</v>
      </c>
      <c r="BQ1144" s="18">
        <v>0</v>
      </c>
      <c r="BR1144" s="101"/>
      <c r="BS1144">
        <f t="shared" si="2441"/>
        <v>0</v>
      </c>
      <c r="BT1144">
        <f t="shared" si="2441"/>
        <v>0</v>
      </c>
      <c r="BU1144">
        <f t="shared" si="2441"/>
        <v>0</v>
      </c>
      <c r="BV1144">
        <f t="shared" si="2441"/>
        <v>0</v>
      </c>
      <c r="BW1144">
        <f t="shared" si="2441"/>
        <v>0</v>
      </c>
      <c r="BX1144">
        <f t="shared" si="2441"/>
        <v>0</v>
      </c>
      <c r="BY1144">
        <f t="shared" si="2441"/>
        <v>0</v>
      </c>
      <c r="BZ1144">
        <f t="shared" si="2441"/>
        <v>0</v>
      </c>
      <c r="CA1144">
        <f t="shared" si="2441"/>
        <v>0</v>
      </c>
      <c r="CB1144">
        <f t="shared" si="2441"/>
        <v>0</v>
      </c>
      <c r="CC1144">
        <f t="shared" si="2442"/>
        <v>0</v>
      </c>
      <c r="CD1144">
        <f t="shared" si="2442"/>
        <v>0</v>
      </c>
      <c r="CE1144">
        <f t="shared" si="2442"/>
        <v>0</v>
      </c>
      <c r="CF1144">
        <f t="shared" si="2442"/>
        <v>0</v>
      </c>
      <c r="CG1144">
        <f t="shared" si="2442"/>
        <v>0</v>
      </c>
      <c r="CH1144">
        <f t="shared" si="2442"/>
        <v>0</v>
      </c>
      <c r="CI1144">
        <f t="shared" si="2442"/>
        <v>0</v>
      </c>
      <c r="CJ1144">
        <f t="shared" si="2442"/>
        <v>0</v>
      </c>
      <c r="CK1144">
        <f t="shared" si="2442"/>
        <v>0</v>
      </c>
      <c r="CL1144">
        <f t="shared" si="2442"/>
        <v>0</v>
      </c>
      <c r="CM1144">
        <f t="shared" si="2443"/>
        <v>0</v>
      </c>
      <c r="CN1144">
        <f t="shared" si="2443"/>
        <v>0</v>
      </c>
      <c r="CO1144">
        <f t="shared" si="2443"/>
        <v>0</v>
      </c>
      <c r="CP1144">
        <f t="shared" si="2443"/>
        <v>0</v>
      </c>
      <c r="CQ1144">
        <f t="shared" si="2443"/>
        <v>0</v>
      </c>
      <c r="CR1144">
        <f t="shared" si="2443"/>
        <v>0</v>
      </c>
      <c r="CS1144">
        <f t="shared" si="2443"/>
        <v>0</v>
      </c>
      <c r="CT1144">
        <f t="shared" si="2443"/>
        <v>0</v>
      </c>
      <c r="CU1144">
        <f t="shared" si="2443"/>
        <v>0</v>
      </c>
      <c r="CV1144">
        <f t="shared" si="2443"/>
        <v>0</v>
      </c>
      <c r="CW1144">
        <f t="shared" si="2444"/>
        <v>0</v>
      </c>
      <c r="CX1144">
        <f t="shared" si="2444"/>
        <v>0</v>
      </c>
      <c r="CY1144">
        <f t="shared" si="2444"/>
        <v>0</v>
      </c>
      <c r="CZ1144">
        <f t="shared" si="2444"/>
        <v>0</v>
      </c>
      <c r="DA1144">
        <f t="shared" si="2444"/>
        <v>0</v>
      </c>
      <c r="DB1144">
        <f t="shared" si="2444"/>
        <v>0</v>
      </c>
      <c r="DC1144">
        <f t="shared" si="2444"/>
        <v>0</v>
      </c>
      <c r="DD1144">
        <f t="shared" si="2444"/>
        <v>0</v>
      </c>
      <c r="DE1144">
        <f t="shared" si="2444"/>
        <v>0</v>
      </c>
      <c r="DF1144">
        <f t="shared" si="2444"/>
        <v>0</v>
      </c>
      <c r="DG1144">
        <f t="shared" si="2445"/>
        <v>0</v>
      </c>
      <c r="DH1144">
        <f t="shared" si="2445"/>
        <v>0</v>
      </c>
      <c r="DI1144">
        <f t="shared" si="2445"/>
        <v>0</v>
      </c>
      <c r="DJ1144">
        <f t="shared" si="2445"/>
        <v>0</v>
      </c>
      <c r="DK1144">
        <f t="shared" si="2445"/>
        <v>0</v>
      </c>
      <c r="DL1144">
        <f t="shared" si="2445"/>
        <v>0</v>
      </c>
      <c r="DM1144">
        <f t="shared" si="2445"/>
        <v>0</v>
      </c>
      <c r="DN1144">
        <f t="shared" si="2445"/>
        <v>0</v>
      </c>
      <c r="DO1144">
        <f t="shared" si="2445"/>
        <v>0</v>
      </c>
      <c r="DP1144">
        <f t="shared" si="2445"/>
        <v>0</v>
      </c>
      <c r="DQ1144">
        <f t="shared" si="2446"/>
        <v>0</v>
      </c>
      <c r="DR1144">
        <f t="shared" si="2446"/>
        <v>0</v>
      </c>
      <c r="DS1144">
        <f t="shared" si="2446"/>
        <v>0</v>
      </c>
      <c r="DT1144">
        <f t="shared" si="2446"/>
        <v>0</v>
      </c>
      <c r="DU1144">
        <f t="shared" si="2446"/>
        <v>0</v>
      </c>
      <c r="DV1144">
        <f t="shared" si="2446"/>
        <v>0</v>
      </c>
      <c r="DW1144">
        <f t="shared" si="2446"/>
        <v>0</v>
      </c>
      <c r="DX1144">
        <f t="shared" si="2446"/>
        <v>0</v>
      </c>
      <c r="DY1144">
        <f t="shared" si="2446"/>
        <v>0</v>
      </c>
      <c r="DZ1144">
        <f t="shared" si="2446"/>
        <v>0</v>
      </c>
      <c r="EA1144">
        <f t="shared" si="2447"/>
        <v>0</v>
      </c>
      <c r="EB1144">
        <f t="shared" si="2448"/>
        <v>0</v>
      </c>
      <c r="EC1144">
        <f t="shared" si="2447"/>
        <v>0</v>
      </c>
      <c r="ED1144">
        <f t="shared" si="2447"/>
        <v>0</v>
      </c>
      <c r="EE1144">
        <f t="shared" si="2447"/>
        <v>0</v>
      </c>
      <c r="EF1144">
        <f t="shared" si="2447"/>
        <v>0</v>
      </c>
    </row>
    <row r="1145" spans="1:136" ht="15.5">
      <c r="A1145" s="90"/>
      <c r="B1145" s="19" t="s">
        <v>205</v>
      </c>
      <c r="C1145" s="95"/>
      <c r="D1145" s="18"/>
      <c r="E1145" s="18"/>
      <c r="F1145" s="18"/>
      <c r="G1145" s="18"/>
      <c r="H1145" s="18"/>
      <c r="I1145" s="18"/>
      <c r="J1145" s="18"/>
      <c r="K1145" s="18"/>
      <c r="L1145" s="18"/>
      <c r="M1145" s="18"/>
      <c r="N1145" s="18">
        <v>0</v>
      </c>
      <c r="O1145" s="18">
        <v>2.1771118999999999</v>
      </c>
      <c r="P1145" s="18">
        <v>4.0058585999999998</v>
      </c>
      <c r="Q1145" s="18">
        <v>5.9450687999999996</v>
      </c>
      <c r="R1145" s="18">
        <v>8.0130820000000007</v>
      </c>
      <c r="S1145" s="18">
        <v>8.6322510000000001</v>
      </c>
      <c r="T1145" s="18">
        <v>7.2624384000000006</v>
      </c>
      <c r="U1145" s="18">
        <v>8.2796640000000004</v>
      </c>
      <c r="V1145" s="18">
        <v>9.0006280000000007</v>
      </c>
      <c r="W1145" s="18">
        <v>10.012447999999999</v>
      </c>
      <c r="X1145" s="18">
        <v>10.92807</v>
      </c>
      <c r="Y1145" s="18">
        <v>9.6669339999999995</v>
      </c>
      <c r="Z1145" s="18">
        <v>9.3741459999999996</v>
      </c>
      <c r="AA1145" s="18">
        <v>21.436469600000002</v>
      </c>
      <c r="AB1145" s="18">
        <v>30.083964000000002</v>
      </c>
      <c r="AC1145" s="18">
        <v>40.981297499999997</v>
      </c>
      <c r="AD1145" s="18">
        <v>46.907799600000004</v>
      </c>
      <c r="AE1145" s="18">
        <v>59.408194799999997</v>
      </c>
      <c r="AF1145" s="18">
        <v>69.113560700000008</v>
      </c>
      <c r="AG1145" s="18">
        <v>64.577837200000005</v>
      </c>
      <c r="AH1145" s="18">
        <v>72.106292799999991</v>
      </c>
      <c r="AI1145" s="18">
        <v>83.480156099999988</v>
      </c>
      <c r="AJ1145" s="18">
        <v>85.322733700000001</v>
      </c>
      <c r="AK1145" s="18">
        <v>91.298600500000006</v>
      </c>
      <c r="AL1145" s="18">
        <v>49.529673899999999</v>
      </c>
      <c r="AM1145" s="18">
        <v>53.408729799999996</v>
      </c>
      <c r="AN1145" s="18">
        <v>47.351522100000004</v>
      </c>
      <c r="AO1145" s="18">
        <v>46.965705499999999</v>
      </c>
      <c r="AP1145" s="18">
        <v>36.476879799999999</v>
      </c>
      <c r="AQ1145" s="18">
        <v>51.273097799999995</v>
      </c>
      <c r="AR1145" s="18">
        <v>55.7684815</v>
      </c>
      <c r="AS1145" s="147">
        <v>66.580567400000007</v>
      </c>
      <c r="AT1145" s="18">
        <v>34.632187100000003</v>
      </c>
      <c r="AU1145" s="18">
        <v>40.472652100000005</v>
      </c>
      <c r="AV1145" s="18">
        <v>48.488008299999997</v>
      </c>
      <c r="AW1145" s="18">
        <v>62.389903600000004</v>
      </c>
      <c r="AX1145" s="18">
        <v>67.706505500000006</v>
      </c>
      <c r="AY1145" s="18">
        <v>87.2704624</v>
      </c>
      <c r="AZ1145" s="18">
        <v>95.669205200000007</v>
      </c>
      <c r="BA1145" s="18">
        <v>108.25221690000001</v>
      </c>
      <c r="BB1145" s="18">
        <v>123.14187280000002</v>
      </c>
      <c r="BC1145" s="18">
        <v>90.190095200000002</v>
      </c>
      <c r="BD1145" s="18">
        <v>55.595546499999998</v>
      </c>
      <c r="BE1145" s="25">
        <v>66.208652199999989</v>
      </c>
      <c r="BF1145" s="18">
        <v>71.316996100000011</v>
      </c>
      <c r="BG1145" s="18">
        <v>80.25467909999999</v>
      </c>
      <c r="BH1145" s="113">
        <v>88.2112664</v>
      </c>
      <c r="BI1145" s="113">
        <v>102.4819766</v>
      </c>
      <c r="BJ1145" s="113">
        <v>103.045863</v>
      </c>
      <c r="BK1145" s="113">
        <v>110.30644049999999</v>
      </c>
      <c r="BL1145" s="113">
        <v>135</v>
      </c>
      <c r="BM1145" s="113">
        <v>230</v>
      </c>
      <c r="BN1145" s="113">
        <v>130.19078140000002</v>
      </c>
      <c r="BO1145" s="113">
        <v>121</v>
      </c>
      <c r="BP1145" s="113">
        <v>119</v>
      </c>
      <c r="BQ1145" s="113">
        <v>120</v>
      </c>
      <c r="BR1145" s="101"/>
      <c r="BS1145">
        <f t="shared" si="2441"/>
        <v>0</v>
      </c>
      <c r="BT1145">
        <f t="shared" si="2441"/>
        <v>0</v>
      </c>
      <c r="BU1145">
        <f t="shared" si="2441"/>
        <v>0</v>
      </c>
      <c r="BV1145">
        <f t="shared" si="2441"/>
        <v>0</v>
      </c>
      <c r="BW1145">
        <f t="shared" si="2441"/>
        <v>0</v>
      </c>
      <c r="BX1145">
        <f t="shared" si="2441"/>
        <v>0</v>
      </c>
      <c r="BY1145">
        <f t="shared" si="2441"/>
        <v>0</v>
      </c>
      <c r="BZ1145">
        <f t="shared" si="2441"/>
        <v>0</v>
      </c>
      <c r="CA1145">
        <f t="shared" si="2441"/>
        <v>0</v>
      </c>
      <c r="CB1145">
        <f t="shared" si="2441"/>
        <v>0</v>
      </c>
      <c r="CC1145">
        <f t="shared" si="2442"/>
        <v>0</v>
      </c>
      <c r="CD1145">
        <f t="shared" si="2442"/>
        <v>0</v>
      </c>
      <c r="CE1145">
        <f t="shared" si="2442"/>
        <v>0</v>
      </c>
      <c r="CF1145">
        <f t="shared" si="2442"/>
        <v>0</v>
      </c>
      <c r="CG1145">
        <f t="shared" si="2442"/>
        <v>0</v>
      </c>
      <c r="CH1145">
        <f t="shared" si="2442"/>
        <v>0</v>
      </c>
      <c r="CI1145">
        <f t="shared" si="2442"/>
        <v>0</v>
      </c>
      <c r="CJ1145">
        <f t="shared" si="2442"/>
        <v>0</v>
      </c>
      <c r="CK1145">
        <f t="shared" si="2442"/>
        <v>0</v>
      </c>
      <c r="CL1145">
        <f t="shared" si="2442"/>
        <v>0</v>
      </c>
      <c r="CM1145">
        <f t="shared" si="2443"/>
        <v>0</v>
      </c>
      <c r="CN1145">
        <f t="shared" si="2443"/>
        <v>0</v>
      </c>
      <c r="CO1145">
        <f t="shared" si="2443"/>
        <v>0</v>
      </c>
      <c r="CP1145">
        <f t="shared" si="2443"/>
        <v>0</v>
      </c>
      <c r="CQ1145">
        <f t="shared" si="2443"/>
        <v>0</v>
      </c>
      <c r="CR1145">
        <f t="shared" si="2443"/>
        <v>0</v>
      </c>
      <c r="CS1145">
        <f t="shared" si="2443"/>
        <v>0</v>
      </c>
      <c r="CT1145">
        <f t="shared" si="2443"/>
        <v>0</v>
      </c>
      <c r="CU1145">
        <f t="shared" si="2443"/>
        <v>0</v>
      </c>
      <c r="CV1145">
        <f t="shared" si="2443"/>
        <v>0</v>
      </c>
      <c r="CW1145">
        <f t="shared" si="2444"/>
        <v>0</v>
      </c>
      <c r="CX1145">
        <f t="shared" si="2444"/>
        <v>0</v>
      </c>
      <c r="CY1145">
        <f t="shared" si="2444"/>
        <v>0</v>
      </c>
      <c r="CZ1145">
        <f t="shared" si="2444"/>
        <v>0</v>
      </c>
      <c r="DA1145">
        <f t="shared" si="2444"/>
        <v>0</v>
      </c>
      <c r="DB1145">
        <f t="shared" si="2444"/>
        <v>0</v>
      </c>
      <c r="DC1145">
        <f t="shared" si="2444"/>
        <v>0</v>
      </c>
      <c r="DD1145">
        <f t="shared" si="2444"/>
        <v>0</v>
      </c>
      <c r="DE1145">
        <f t="shared" si="2444"/>
        <v>0</v>
      </c>
      <c r="DF1145">
        <f t="shared" si="2444"/>
        <v>0</v>
      </c>
      <c r="DG1145">
        <f t="shared" si="2445"/>
        <v>0</v>
      </c>
      <c r="DH1145">
        <f t="shared" si="2445"/>
        <v>0</v>
      </c>
      <c r="DI1145">
        <f t="shared" si="2445"/>
        <v>0</v>
      </c>
      <c r="DJ1145">
        <f t="shared" si="2445"/>
        <v>0</v>
      </c>
      <c r="DK1145">
        <f t="shared" si="2445"/>
        <v>0</v>
      </c>
      <c r="DL1145">
        <f t="shared" si="2445"/>
        <v>0</v>
      </c>
      <c r="DM1145">
        <f t="shared" si="2445"/>
        <v>0</v>
      </c>
      <c r="DN1145">
        <f t="shared" si="2445"/>
        <v>0</v>
      </c>
      <c r="DO1145">
        <f t="shared" si="2445"/>
        <v>0</v>
      </c>
      <c r="DP1145">
        <f t="shared" si="2445"/>
        <v>0</v>
      </c>
      <c r="DQ1145">
        <f t="shared" si="2446"/>
        <v>0</v>
      </c>
      <c r="DR1145">
        <f t="shared" si="2446"/>
        <v>0</v>
      </c>
      <c r="DS1145">
        <f t="shared" si="2446"/>
        <v>0</v>
      </c>
      <c r="DT1145">
        <f t="shared" si="2446"/>
        <v>0</v>
      </c>
      <c r="DU1145">
        <f t="shared" si="2446"/>
        <v>0</v>
      </c>
      <c r="DV1145">
        <f t="shared" si="2446"/>
        <v>0</v>
      </c>
      <c r="DW1145">
        <f t="shared" si="2446"/>
        <v>0</v>
      </c>
      <c r="DX1145">
        <f t="shared" si="2446"/>
        <v>0</v>
      </c>
      <c r="DY1145">
        <f t="shared" si="2446"/>
        <v>0</v>
      </c>
      <c r="DZ1145">
        <f t="shared" si="2446"/>
        <v>0</v>
      </c>
      <c r="EA1145">
        <f t="shared" si="2447"/>
        <v>0</v>
      </c>
      <c r="EB1145">
        <f t="shared" si="2448"/>
        <v>0</v>
      </c>
      <c r="EC1145">
        <f t="shared" si="2447"/>
        <v>0</v>
      </c>
      <c r="ED1145">
        <f t="shared" si="2447"/>
        <v>0</v>
      </c>
      <c r="EE1145">
        <f t="shared" si="2447"/>
        <v>0</v>
      </c>
      <c r="EF1145">
        <f t="shared" si="2447"/>
        <v>0</v>
      </c>
    </row>
    <row r="1146" spans="1:136" ht="15.5">
      <c r="A1146" s="90"/>
      <c r="B1146" s="57" t="s">
        <v>3</v>
      </c>
      <c r="C1146" s="95"/>
      <c r="D1146" s="18"/>
      <c r="E1146" s="18"/>
      <c r="F1146" s="18"/>
      <c r="G1146" s="18"/>
      <c r="H1146" s="18"/>
      <c r="I1146" s="18"/>
      <c r="J1146" s="18"/>
      <c r="K1146" s="18"/>
      <c r="L1146" s="18"/>
      <c r="M1146" s="18"/>
      <c r="N1146" s="18">
        <v>0</v>
      </c>
      <c r="O1146" s="18">
        <f>2.2613378-O1145</f>
        <v>8.4225900000000298E-2</v>
      </c>
      <c r="P1146" s="18">
        <f>72.7102737-P1145</f>
        <v>68.704415100000006</v>
      </c>
      <c r="Q1146" s="18">
        <f>150.9706278-Q1145</f>
        <v>145.02555899999999</v>
      </c>
      <c r="R1146" s="18">
        <f>218.0425763-R1145</f>
        <v>210.02949430000001</v>
      </c>
      <c r="S1146" s="18">
        <f>301.9614414-S1145</f>
        <v>293.32919040000002</v>
      </c>
      <c r="T1146" s="18">
        <f>491.6061721-T1145</f>
        <v>484.34373369999997</v>
      </c>
      <c r="U1146" s="18">
        <f>837.4014539-U1145</f>
        <v>829.12178989999995</v>
      </c>
      <c r="V1146" s="18">
        <f>1357.8854913-V1145</f>
        <v>1348.8848633</v>
      </c>
      <c r="W1146" s="18">
        <f>1409.1134301-W1145</f>
        <v>1399.1009821</v>
      </c>
      <c r="X1146" s="18">
        <f>2050.5984627-X1145</f>
        <v>2039.6703926999999</v>
      </c>
      <c r="Y1146" s="18">
        <f>2301.5150112-Y1145</f>
        <v>2291.8480772000003</v>
      </c>
      <c r="Z1146" s="18">
        <f>2586.0605674-Z1145</f>
        <v>2576.6864213999997</v>
      </c>
      <c r="AA1146" s="18">
        <f>3118.1947553-AA1145</f>
        <v>3096.7582857000002</v>
      </c>
      <c r="AB1146" s="18">
        <f>3442.8619122-AB1145</f>
        <v>3412.7779482000001</v>
      </c>
      <c r="AC1146" s="18">
        <f>5113.2987829-AC1145</f>
        <v>5072.3174853999999</v>
      </c>
      <c r="AD1146" s="18">
        <f>419.8232789-AD1145</f>
        <v>372.91547930000002</v>
      </c>
      <c r="AE1146" s="18">
        <f>603.8082379-AE1145</f>
        <v>544.40004309999995</v>
      </c>
      <c r="AF1146" s="18">
        <f>641.4361768-AF1145</f>
        <v>572.3226161</v>
      </c>
      <c r="AG1146" s="18">
        <f>893.9339299-AG1145</f>
        <v>829.35609269999998</v>
      </c>
      <c r="AH1146" s="18">
        <f>1147.8837586-AH1145</f>
        <v>1075.7774658000001</v>
      </c>
      <c r="AI1146" s="18">
        <f>1285.7492715-AI1145</f>
        <v>1202.2691154000001</v>
      </c>
      <c r="AJ1146" s="18">
        <f>1651.8392295-AJ1145</f>
        <v>1566.5164958</v>
      </c>
      <c r="AK1146" s="18">
        <f>1710.4014405-AK1145</f>
        <v>1619.10284</v>
      </c>
      <c r="AL1146" s="18">
        <f>1770.2517376-AL1145</f>
        <v>1720.7220637</v>
      </c>
      <c r="AM1146" s="18">
        <f>2096.6480462-AM1145</f>
        <v>2043.2393164</v>
      </c>
      <c r="AN1146" s="18">
        <f>2089.477039-AN1145</f>
        <v>2042.1255168999999</v>
      </c>
      <c r="AO1146" s="18">
        <f>2309.6605877-AO1145</f>
        <v>2262.6948822000004</v>
      </c>
      <c r="AP1146" s="18">
        <f>1614.9359509-AP1145</f>
        <v>1578.4590711000001</v>
      </c>
      <c r="AQ1146" s="18">
        <f>1754.3335088-AQ1145</f>
        <v>1703.0604109999999</v>
      </c>
      <c r="AR1146" s="18">
        <f>1752.0723326-AR1144</f>
        <v>1041.0723326</v>
      </c>
      <c r="AS1146" s="18">
        <f>1213.0102791-AS1145</f>
        <v>1146.4297116999999</v>
      </c>
      <c r="AT1146" s="40" t="s">
        <v>16</v>
      </c>
      <c r="AU1146" s="18">
        <f>1387.7583867-AU1145</f>
        <v>1347.2857346000001</v>
      </c>
      <c r="AV1146" s="18">
        <f>1468.1778789-AV1145</f>
        <v>1419.6898705999999</v>
      </c>
      <c r="AW1146" s="18">
        <f>1260.149771-AW1145</f>
        <v>1197.7598674000001</v>
      </c>
      <c r="AX1146" s="18">
        <f>860.4413678-AX1145</f>
        <v>792.73486229999992</v>
      </c>
      <c r="AY1146" s="18">
        <f>894.8266077-AY1145</f>
        <v>807.55614529999991</v>
      </c>
      <c r="AZ1146" s="18">
        <f>1080.699413-AZ1145</f>
        <v>985.03020780000008</v>
      </c>
      <c r="BA1146" s="18">
        <f>1162.6344128-BA1145</f>
        <v>1054.3821959000002</v>
      </c>
      <c r="BB1146" s="18">
        <f>1134.2918777-BB1145</f>
        <v>1011.1500049</v>
      </c>
      <c r="BC1146" s="18">
        <f>1224.2100942-BC1145</f>
        <v>1134.0199989999999</v>
      </c>
      <c r="BD1146" s="18">
        <f>1219.2991845-BD1145</f>
        <v>1163.703638</v>
      </c>
      <c r="BE1146" s="25">
        <f>931.1801848-BE1145</f>
        <v>864.97153260000005</v>
      </c>
      <c r="BF1146" s="18">
        <f>978.2944932-BF1145</f>
        <v>906.97749710000005</v>
      </c>
      <c r="BG1146" s="18">
        <f>1074.2073888-BG1145</f>
        <v>993.95270970000001</v>
      </c>
      <c r="BH1146" s="18">
        <f>1145.7845305-BH1145</f>
        <v>1057.5732641</v>
      </c>
      <c r="BI1146" s="18">
        <f>1189.8889905-BI1145</f>
        <v>1087.4070139</v>
      </c>
      <c r="BJ1146" s="18">
        <f>1249.5576192-BJ1145</f>
        <v>1146.5117562</v>
      </c>
      <c r="BK1146" s="18">
        <f>1328.0737846-BK1145</f>
        <v>1217.7673440999999</v>
      </c>
      <c r="BL1146" s="113">
        <f>1486.3964261-BL1145</f>
        <v>1351.3964261000001</v>
      </c>
      <c r="BM1146" s="113">
        <f>1687.2901494-BM1145</f>
        <v>1457.2901494</v>
      </c>
      <c r="BN1146" s="113">
        <f>1491.5885994-BN1145</f>
        <v>1361.3978179999999</v>
      </c>
      <c r="BO1146" s="113">
        <f>950.938221-BO1145</f>
        <v>829.938221</v>
      </c>
      <c r="BP1146" s="113">
        <f>1871.0543204-BP1145</f>
        <v>1752.0543204000001</v>
      </c>
      <c r="BQ1146" s="113">
        <v>969</v>
      </c>
      <c r="BR1146" s="101"/>
      <c r="BS1146">
        <f t="shared" si="2441"/>
        <v>0</v>
      </c>
      <c r="BT1146">
        <f t="shared" si="2441"/>
        <v>0</v>
      </c>
      <c r="BU1146">
        <f t="shared" si="2441"/>
        <v>0</v>
      </c>
      <c r="BV1146">
        <f t="shared" si="2441"/>
        <v>0</v>
      </c>
      <c r="BW1146">
        <f t="shared" si="2441"/>
        <v>0</v>
      </c>
      <c r="BX1146">
        <f t="shared" si="2441"/>
        <v>0</v>
      </c>
      <c r="BY1146">
        <f t="shared" si="2441"/>
        <v>0</v>
      </c>
      <c r="BZ1146">
        <f t="shared" si="2441"/>
        <v>0</v>
      </c>
      <c r="CA1146">
        <f t="shared" si="2441"/>
        <v>0</v>
      </c>
      <c r="CB1146">
        <f t="shared" si="2441"/>
        <v>0</v>
      </c>
      <c r="CC1146">
        <f t="shared" si="2442"/>
        <v>0</v>
      </c>
      <c r="CD1146">
        <f t="shared" si="2442"/>
        <v>0</v>
      </c>
      <c r="CE1146">
        <f t="shared" si="2442"/>
        <v>0</v>
      </c>
      <c r="CF1146">
        <f t="shared" si="2442"/>
        <v>0</v>
      </c>
      <c r="CG1146">
        <f t="shared" si="2442"/>
        <v>0</v>
      </c>
      <c r="CH1146">
        <f t="shared" si="2442"/>
        <v>0</v>
      </c>
      <c r="CI1146">
        <f t="shared" si="2442"/>
        <v>0</v>
      </c>
      <c r="CJ1146">
        <f t="shared" si="2442"/>
        <v>0</v>
      </c>
      <c r="CK1146">
        <f t="shared" si="2442"/>
        <v>0</v>
      </c>
      <c r="CL1146">
        <f t="shared" si="2442"/>
        <v>0</v>
      </c>
      <c r="CM1146">
        <f t="shared" si="2443"/>
        <v>0</v>
      </c>
      <c r="CN1146">
        <f t="shared" si="2443"/>
        <v>0</v>
      </c>
      <c r="CO1146">
        <f t="shared" si="2443"/>
        <v>0</v>
      </c>
      <c r="CP1146">
        <f t="shared" si="2443"/>
        <v>0</v>
      </c>
      <c r="CQ1146">
        <f t="shared" si="2443"/>
        <v>0</v>
      </c>
      <c r="CR1146">
        <f t="shared" si="2443"/>
        <v>0</v>
      </c>
      <c r="CS1146">
        <f t="shared" si="2443"/>
        <v>0</v>
      </c>
      <c r="CT1146">
        <f t="shared" si="2443"/>
        <v>0</v>
      </c>
      <c r="CU1146">
        <f t="shared" si="2443"/>
        <v>0</v>
      </c>
      <c r="CV1146">
        <f t="shared" si="2443"/>
        <v>0</v>
      </c>
      <c r="CW1146">
        <f t="shared" si="2444"/>
        <v>0</v>
      </c>
      <c r="CX1146">
        <f t="shared" si="2444"/>
        <v>0</v>
      </c>
      <c r="CY1146">
        <f t="shared" si="2444"/>
        <v>0</v>
      </c>
      <c r="CZ1146">
        <f t="shared" si="2444"/>
        <v>0</v>
      </c>
      <c r="DA1146">
        <f t="shared" si="2444"/>
        <v>0</v>
      </c>
      <c r="DB1146">
        <f t="shared" si="2444"/>
        <v>0</v>
      </c>
      <c r="DC1146">
        <f t="shared" si="2444"/>
        <v>0</v>
      </c>
      <c r="DD1146">
        <f t="shared" si="2444"/>
        <v>0</v>
      </c>
      <c r="DE1146">
        <f t="shared" si="2444"/>
        <v>0</v>
      </c>
      <c r="DF1146">
        <f t="shared" si="2444"/>
        <v>0</v>
      </c>
      <c r="DG1146">
        <f t="shared" si="2445"/>
        <v>0</v>
      </c>
      <c r="DH1146">
        <f t="shared" si="2445"/>
        <v>0</v>
      </c>
      <c r="DI1146">
        <f t="shared" si="2445"/>
        <v>0</v>
      </c>
      <c r="DJ1146">
        <f t="shared" si="2445"/>
        <v>0</v>
      </c>
      <c r="DK1146">
        <f t="shared" si="2445"/>
        <v>0</v>
      </c>
      <c r="DL1146">
        <f t="shared" si="2445"/>
        <v>0</v>
      </c>
      <c r="DM1146">
        <f t="shared" si="2445"/>
        <v>0</v>
      </c>
      <c r="DN1146">
        <f t="shared" si="2445"/>
        <v>0</v>
      </c>
      <c r="DO1146">
        <f t="shared" si="2445"/>
        <v>0</v>
      </c>
      <c r="DP1146">
        <f t="shared" si="2445"/>
        <v>0</v>
      </c>
      <c r="DQ1146">
        <f t="shared" si="2446"/>
        <v>0</v>
      </c>
      <c r="DR1146">
        <f t="shared" si="2446"/>
        <v>0</v>
      </c>
      <c r="DS1146">
        <f t="shared" si="2446"/>
        <v>0</v>
      </c>
      <c r="DT1146">
        <f t="shared" si="2446"/>
        <v>0</v>
      </c>
      <c r="DU1146">
        <f t="shared" si="2446"/>
        <v>0</v>
      </c>
      <c r="DV1146">
        <f t="shared" si="2446"/>
        <v>0</v>
      </c>
      <c r="DW1146">
        <f t="shared" si="2446"/>
        <v>0</v>
      </c>
      <c r="DX1146">
        <f t="shared" si="2446"/>
        <v>0</v>
      </c>
      <c r="DY1146">
        <f t="shared" si="2446"/>
        <v>0</v>
      </c>
      <c r="DZ1146">
        <f t="shared" si="2446"/>
        <v>0</v>
      </c>
      <c r="EA1146">
        <f t="shared" si="2447"/>
        <v>0</v>
      </c>
      <c r="EB1146">
        <f t="shared" si="2448"/>
        <v>0</v>
      </c>
      <c r="EC1146">
        <f t="shared" si="2447"/>
        <v>0</v>
      </c>
      <c r="ED1146">
        <f t="shared" si="2447"/>
        <v>0</v>
      </c>
      <c r="EE1146">
        <f t="shared" si="2447"/>
        <v>0</v>
      </c>
      <c r="EF1146">
        <f t="shared" si="2447"/>
        <v>0</v>
      </c>
    </row>
    <row r="1147" spans="1:136" ht="15.5">
      <c r="A1147" s="90"/>
      <c r="B1147" s="19" t="s">
        <v>18</v>
      </c>
      <c r="C1147" s="95"/>
      <c r="D1147" s="18"/>
      <c r="E1147" s="18">
        <v>0</v>
      </c>
      <c r="F1147" s="18">
        <v>0</v>
      </c>
      <c r="G1147" s="18">
        <v>0</v>
      </c>
      <c r="H1147" s="18">
        <v>0</v>
      </c>
      <c r="I1147" s="18">
        <v>0</v>
      </c>
      <c r="J1147" s="18">
        <v>0</v>
      </c>
      <c r="K1147" s="18">
        <v>0</v>
      </c>
      <c r="L1147" s="18">
        <v>0</v>
      </c>
      <c r="M1147" s="18">
        <v>0</v>
      </c>
      <c r="N1147" s="18">
        <v>0</v>
      </c>
      <c r="O1147" s="18">
        <v>0</v>
      </c>
      <c r="P1147" s="18">
        <v>0</v>
      </c>
      <c r="Q1147" s="18">
        <v>0</v>
      </c>
      <c r="R1147" s="18">
        <v>0</v>
      </c>
      <c r="S1147" s="18">
        <v>0</v>
      </c>
      <c r="T1147" s="18">
        <v>0</v>
      </c>
      <c r="U1147" s="18">
        <v>0</v>
      </c>
      <c r="V1147" s="18">
        <v>0</v>
      </c>
      <c r="W1147" s="18">
        <v>0</v>
      </c>
      <c r="X1147" s="18">
        <v>0</v>
      </c>
      <c r="Y1147" s="18">
        <v>0</v>
      </c>
      <c r="Z1147" s="18">
        <v>0</v>
      </c>
      <c r="AA1147" s="18">
        <v>0</v>
      </c>
      <c r="AB1147" s="40" t="s">
        <v>16</v>
      </c>
      <c r="AC1147" s="40" t="s">
        <v>16</v>
      </c>
      <c r="AD1147" s="40" t="s">
        <v>16</v>
      </c>
      <c r="AE1147" s="40" t="s">
        <v>16</v>
      </c>
      <c r="AF1147" s="40" t="s">
        <v>16</v>
      </c>
      <c r="AG1147" s="40" t="s">
        <v>16</v>
      </c>
      <c r="AH1147" s="40" t="s">
        <v>16</v>
      </c>
      <c r="AI1147" s="40" t="s">
        <v>16</v>
      </c>
      <c r="AJ1147" s="40" t="s">
        <v>16</v>
      </c>
      <c r="AK1147" s="40" t="s">
        <v>16</v>
      </c>
      <c r="AL1147" s="40" t="s">
        <v>16</v>
      </c>
      <c r="AM1147" s="40" t="s">
        <v>16</v>
      </c>
      <c r="AN1147" s="40" t="s">
        <v>16</v>
      </c>
      <c r="AO1147" s="40" t="s">
        <v>16</v>
      </c>
      <c r="AP1147" s="40" t="s">
        <v>16</v>
      </c>
      <c r="AQ1147" s="40" t="s">
        <v>16</v>
      </c>
      <c r="AR1147" s="40" t="s">
        <v>16</v>
      </c>
      <c r="AS1147" s="40" t="s">
        <v>16</v>
      </c>
      <c r="AT1147" s="40" t="s">
        <v>16</v>
      </c>
      <c r="AU1147" s="40" t="s">
        <v>16</v>
      </c>
      <c r="AV1147" s="18">
        <v>203</v>
      </c>
      <c r="AW1147" s="18">
        <v>0</v>
      </c>
      <c r="AX1147" s="18">
        <v>0</v>
      </c>
      <c r="AY1147" s="18">
        <v>0</v>
      </c>
      <c r="AZ1147" s="18">
        <v>0</v>
      </c>
      <c r="BA1147" s="18">
        <v>0</v>
      </c>
      <c r="BB1147" s="18">
        <v>0</v>
      </c>
      <c r="BC1147" s="18">
        <v>0</v>
      </c>
      <c r="BD1147" s="18">
        <v>0</v>
      </c>
      <c r="BE1147" s="25">
        <v>0</v>
      </c>
      <c r="BF1147" s="25">
        <v>0</v>
      </c>
      <c r="BG1147" s="25">
        <v>0</v>
      </c>
      <c r="BH1147" s="18">
        <v>0</v>
      </c>
      <c r="BI1147" s="18">
        <v>0</v>
      </c>
      <c r="BJ1147" s="113">
        <v>0</v>
      </c>
      <c r="BK1147" s="113">
        <v>0</v>
      </c>
      <c r="BL1147" s="113">
        <v>0</v>
      </c>
      <c r="BM1147" s="113">
        <v>0</v>
      </c>
      <c r="BN1147" s="113">
        <v>0</v>
      </c>
      <c r="BO1147" s="113">
        <v>0</v>
      </c>
      <c r="BP1147" s="113">
        <v>0</v>
      </c>
      <c r="BQ1147" s="113">
        <v>0</v>
      </c>
      <c r="BR1147" s="101"/>
      <c r="BS1147">
        <f t="shared" si="2441"/>
        <v>0</v>
      </c>
      <c r="BT1147">
        <f t="shared" si="2441"/>
        <v>0</v>
      </c>
      <c r="BU1147">
        <f t="shared" si="2441"/>
        <v>0</v>
      </c>
      <c r="BV1147">
        <f t="shared" si="2441"/>
        <v>0</v>
      </c>
      <c r="BW1147">
        <f t="shared" si="2441"/>
        <v>0</v>
      </c>
      <c r="BX1147">
        <f t="shared" si="2441"/>
        <v>0</v>
      </c>
      <c r="BY1147">
        <f t="shared" si="2441"/>
        <v>0</v>
      </c>
      <c r="BZ1147">
        <f t="shared" si="2441"/>
        <v>0</v>
      </c>
      <c r="CA1147">
        <f t="shared" si="2441"/>
        <v>0</v>
      </c>
      <c r="CB1147">
        <f t="shared" si="2441"/>
        <v>0</v>
      </c>
      <c r="CC1147">
        <f t="shared" si="2442"/>
        <v>0</v>
      </c>
      <c r="CD1147">
        <f t="shared" si="2442"/>
        <v>0</v>
      </c>
      <c r="CE1147">
        <f t="shared" si="2442"/>
        <v>0</v>
      </c>
      <c r="CF1147">
        <f t="shared" si="2442"/>
        <v>0</v>
      </c>
      <c r="CG1147">
        <f t="shared" si="2442"/>
        <v>0</v>
      </c>
      <c r="CH1147">
        <f t="shared" si="2442"/>
        <v>0</v>
      </c>
      <c r="CI1147">
        <f t="shared" si="2442"/>
        <v>0</v>
      </c>
      <c r="CJ1147">
        <f t="shared" si="2442"/>
        <v>0</v>
      </c>
      <c r="CK1147">
        <f t="shared" si="2442"/>
        <v>0</v>
      </c>
      <c r="CL1147">
        <f t="shared" si="2442"/>
        <v>0</v>
      </c>
      <c r="CM1147">
        <f t="shared" si="2443"/>
        <v>0</v>
      </c>
      <c r="CN1147">
        <f t="shared" si="2443"/>
        <v>0</v>
      </c>
      <c r="CO1147">
        <f t="shared" si="2443"/>
        <v>0</v>
      </c>
      <c r="CP1147">
        <f t="shared" si="2443"/>
        <v>0</v>
      </c>
      <c r="CQ1147">
        <f t="shared" si="2443"/>
        <v>0</v>
      </c>
      <c r="CR1147">
        <f t="shared" si="2443"/>
        <v>0</v>
      </c>
      <c r="CS1147">
        <f t="shared" si="2443"/>
        <v>0</v>
      </c>
      <c r="CT1147">
        <f t="shared" si="2443"/>
        <v>0</v>
      </c>
      <c r="CU1147">
        <f t="shared" si="2443"/>
        <v>0</v>
      </c>
      <c r="CV1147">
        <f t="shared" si="2443"/>
        <v>0</v>
      </c>
      <c r="CW1147">
        <f t="shared" si="2444"/>
        <v>0</v>
      </c>
      <c r="CX1147">
        <f t="shared" si="2444"/>
        <v>0</v>
      </c>
      <c r="CY1147">
        <f t="shared" si="2444"/>
        <v>0</v>
      </c>
      <c r="CZ1147">
        <f t="shared" si="2444"/>
        <v>0</v>
      </c>
      <c r="DA1147">
        <f t="shared" si="2444"/>
        <v>0</v>
      </c>
      <c r="DB1147">
        <f t="shared" si="2444"/>
        <v>0</v>
      </c>
      <c r="DC1147">
        <f t="shared" si="2444"/>
        <v>0</v>
      </c>
      <c r="DD1147">
        <f t="shared" si="2444"/>
        <v>0</v>
      </c>
      <c r="DE1147">
        <f t="shared" si="2444"/>
        <v>0</v>
      </c>
      <c r="DF1147">
        <f t="shared" si="2444"/>
        <v>0</v>
      </c>
      <c r="DG1147">
        <f t="shared" si="2445"/>
        <v>0</v>
      </c>
      <c r="DH1147">
        <f t="shared" si="2445"/>
        <v>0</v>
      </c>
      <c r="DI1147">
        <f t="shared" si="2445"/>
        <v>0</v>
      </c>
      <c r="DJ1147">
        <f t="shared" si="2445"/>
        <v>0</v>
      </c>
      <c r="DK1147">
        <f t="shared" si="2445"/>
        <v>0</v>
      </c>
      <c r="DL1147">
        <f t="shared" si="2445"/>
        <v>0</v>
      </c>
      <c r="DM1147">
        <f t="shared" si="2445"/>
        <v>0</v>
      </c>
      <c r="DN1147">
        <f t="shared" si="2445"/>
        <v>0</v>
      </c>
      <c r="DO1147">
        <f t="shared" si="2445"/>
        <v>0</v>
      </c>
      <c r="DP1147">
        <f t="shared" si="2445"/>
        <v>0</v>
      </c>
      <c r="DQ1147">
        <f t="shared" si="2446"/>
        <v>0</v>
      </c>
      <c r="DR1147">
        <f t="shared" si="2446"/>
        <v>0</v>
      </c>
      <c r="DS1147">
        <f t="shared" si="2446"/>
        <v>0</v>
      </c>
      <c r="DT1147">
        <f t="shared" si="2446"/>
        <v>0</v>
      </c>
      <c r="DU1147">
        <f t="shared" si="2446"/>
        <v>0</v>
      </c>
      <c r="DV1147">
        <f t="shared" si="2446"/>
        <v>0</v>
      </c>
      <c r="DW1147">
        <f t="shared" si="2446"/>
        <v>0</v>
      </c>
      <c r="DX1147">
        <f t="shared" si="2446"/>
        <v>0</v>
      </c>
      <c r="DY1147">
        <f t="shared" si="2446"/>
        <v>0</v>
      </c>
      <c r="DZ1147">
        <f t="shared" si="2446"/>
        <v>0</v>
      </c>
      <c r="EA1147">
        <f t="shared" si="2447"/>
        <v>0</v>
      </c>
      <c r="EB1147">
        <f t="shared" si="2448"/>
        <v>0</v>
      </c>
      <c r="EC1147">
        <f t="shared" si="2447"/>
        <v>0</v>
      </c>
      <c r="ED1147">
        <f t="shared" si="2447"/>
        <v>0</v>
      </c>
      <c r="EE1147">
        <f t="shared" si="2447"/>
        <v>0</v>
      </c>
      <c r="EF1147">
        <f t="shared" si="2447"/>
        <v>0</v>
      </c>
    </row>
    <row r="1148" spans="1:136" ht="15.5">
      <c r="A1148" s="90"/>
      <c r="B1148" s="19" t="s">
        <v>208</v>
      </c>
      <c r="C1148" s="95"/>
      <c r="D1148" s="18"/>
      <c r="E1148" s="18"/>
      <c r="F1148" s="18"/>
      <c r="G1148" s="18"/>
      <c r="H1148" s="18"/>
      <c r="I1148" s="18"/>
      <c r="J1148" s="18"/>
      <c r="K1148" s="18"/>
      <c r="L1148" s="18"/>
      <c r="M1148" s="18"/>
      <c r="N1148" s="18">
        <v>0</v>
      </c>
      <c r="O1148" s="18">
        <v>0</v>
      </c>
      <c r="P1148" s="18">
        <v>0</v>
      </c>
      <c r="Q1148" s="18">
        <v>0.99358000000000002</v>
      </c>
      <c r="R1148" s="18">
        <v>1.83876</v>
      </c>
      <c r="S1148" s="18">
        <v>3.0341902000000003</v>
      </c>
      <c r="T1148" s="18">
        <v>3.5905311000000002</v>
      </c>
      <c r="U1148" s="18">
        <v>5.3881092000000006</v>
      </c>
      <c r="V1148" s="18">
        <v>2.0726781000000001</v>
      </c>
      <c r="W1148" s="18">
        <v>3.9642437000000004</v>
      </c>
      <c r="X1148" s="18">
        <v>10.242686599999999</v>
      </c>
      <c r="Y1148" s="18">
        <v>21.4685174</v>
      </c>
      <c r="Z1148" s="18">
        <v>36.553087399999995</v>
      </c>
      <c r="AA1148" s="18">
        <v>54.608173600000001</v>
      </c>
      <c r="AB1148" s="18">
        <v>92.2026355</v>
      </c>
      <c r="AC1148" s="18">
        <v>156.76504590000002</v>
      </c>
      <c r="AD1148" s="18">
        <v>114.38273880000001</v>
      </c>
      <c r="AE1148" s="18">
        <v>166.16068999999999</v>
      </c>
      <c r="AF1148" s="18">
        <v>207.44450619999998</v>
      </c>
      <c r="AG1148" s="18">
        <v>280.34755890000002</v>
      </c>
      <c r="AH1148" s="18">
        <v>349.2619254</v>
      </c>
      <c r="AI1148" s="18">
        <v>384.32508160000003</v>
      </c>
      <c r="AJ1148" s="18">
        <v>304.58877160000003</v>
      </c>
      <c r="AK1148" s="18">
        <v>379.37829750000009</v>
      </c>
      <c r="AL1148" s="18">
        <v>409.5033871</v>
      </c>
      <c r="AM1148" s="18">
        <v>441.35474310000001</v>
      </c>
      <c r="AN1148" s="18">
        <v>140.40725719999998</v>
      </c>
      <c r="AO1148" s="18">
        <v>163.45690999999999</v>
      </c>
      <c r="AP1148" s="18">
        <v>181.32175230000001</v>
      </c>
      <c r="AQ1148" s="18">
        <v>196.92702510000004</v>
      </c>
      <c r="AR1148" s="18">
        <v>187.64803060000003</v>
      </c>
      <c r="AS1148" s="18">
        <v>204.12317780000001</v>
      </c>
      <c r="AT1148" s="18">
        <v>231.0646472</v>
      </c>
      <c r="AU1148" s="18">
        <v>266.07423310000001</v>
      </c>
      <c r="AV1148" s="169">
        <f>269.711631-AV1147</f>
        <v>66.711631000000011</v>
      </c>
      <c r="AW1148" s="18">
        <v>0</v>
      </c>
      <c r="AX1148" s="18">
        <v>140.40725719999998</v>
      </c>
      <c r="AY1148" s="18">
        <v>163.45690999999999</v>
      </c>
      <c r="AZ1148" s="18">
        <v>181.32175230000001</v>
      </c>
      <c r="BA1148" s="18">
        <v>196.92702510000004</v>
      </c>
      <c r="BB1148" s="18">
        <v>187.64803060000003</v>
      </c>
      <c r="BC1148" s="18">
        <v>204.12317780000001</v>
      </c>
      <c r="BD1148" s="18">
        <v>231.0646472</v>
      </c>
      <c r="BE1148" s="25">
        <v>266.07423310000001</v>
      </c>
      <c r="BF1148" s="18">
        <v>269.71163100000001</v>
      </c>
      <c r="BG1148" s="18">
        <v>1616.8098841999999</v>
      </c>
      <c r="BH1148" s="18">
        <v>1840.5799810999999</v>
      </c>
      <c r="BI1148" s="18">
        <v>2434.3997246999998</v>
      </c>
      <c r="BJ1148" s="18">
        <v>3104.9275273000003</v>
      </c>
      <c r="BK1148" s="71">
        <v>3864.5156385999999</v>
      </c>
      <c r="BL1148" s="71">
        <v>4908.4715346000003</v>
      </c>
      <c r="BM1148" s="113">
        <v>4979.6967586000001</v>
      </c>
      <c r="BN1148" s="113">
        <v>6011.857224299999</v>
      </c>
      <c r="BO1148" s="113">
        <v>5795.6176889999997</v>
      </c>
      <c r="BP1148" s="113">
        <v>513.1113656</v>
      </c>
      <c r="BQ1148" s="113">
        <v>0</v>
      </c>
      <c r="BR1148" s="101"/>
      <c r="BS1148">
        <f t="shared" si="2441"/>
        <v>0</v>
      </c>
      <c r="BT1148">
        <f t="shared" si="2441"/>
        <v>0</v>
      </c>
      <c r="BU1148">
        <f t="shared" si="2441"/>
        <v>0</v>
      </c>
      <c r="BV1148">
        <f t="shared" si="2441"/>
        <v>0</v>
      </c>
      <c r="BW1148">
        <f t="shared" si="2441"/>
        <v>0</v>
      </c>
      <c r="BX1148">
        <f t="shared" si="2441"/>
        <v>0</v>
      </c>
      <c r="BY1148">
        <f t="shared" si="2441"/>
        <v>0</v>
      </c>
      <c r="BZ1148">
        <f t="shared" si="2441"/>
        <v>0</v>
      </c>
      <c r="CA1148">
        <f t="shared" si="2441"/>
        <v>0</v>
      </c>
      <c r="CB1148">
        <f t="shared" si="2441"/>
        <v>0</v>
      </c>
      <c r="CC1148">
        <f t="shared" si="2442"/>
        <v>0</v>
      </c>
      <c r="CD1148">
        <f t="shared" si="2442"/>
        <v>0</v>
      </c>
      <c r="CE1148">
        <f t="shared" si="2442"/>
        <v>0</v>
      </c>
      <c r="CF1148">
        <f t="shared" si="2442"/>
        <v>0</v>
      </c>
      <c r="CG1148">
        <f t="shared" si="2442"/>
        <v>0</v>
      </c>
      <c r="CH1148">
        <f t="shared" si="2442"/>
        <v>0</v>
      </c>
      <c r="CI1148">
        <f t="shared" si="2442"/>
        <v>0</v>
      </c>
      <c r="CJ1148">
        <f t="shared" si="2442"/>
        <v>0</v>
      </c>
      <c r="CK1148">
        <f t="shared" si="2442"/>
        <v>0</v>
      </c>
      <c r="CL1148">
        <f t="shared" si="2442"/>
        <v>0</v>
      </c>
      <c r="CM1148">
        <f t="shared" si="2443"/>
        <v>0</v>
      </c>
      <c r="CN1148">
        <f t="shared" si="2443"/>
        <v>0</v>
      </c>
      <c r="CO1148">
        <f t="shared" si="2443"/>
        <v>0</v>
      </c>
      <c r="CP1148">
        <f t="shared" si="2443"/>
        <v>0</v>
      </c>
      <c r="CQ1148">
        <f t="shared" si="2443"/>
        <v>0</v>
      </c>
      <c r="CR1148">
        <f t="shared" si="2443"/>
        <v>0</v>
      </c>
      <c r="CS1148">
        <f t="shared" si="2443"/>
        <v>0</v>
      </c>
      <c r="CT1148">
        <f t="shared" si="2443"/>
        <v>0</v>
      </c>
      <c r="CU1148">
        <f t="shared" si="2443"/>
        <v>0</v>
      </c>
      <c r="CV1148">
        <f t="shared" si="2443"/>
        <v>0</v>
      </c>
      <c r="CW1148">
        <f t="shared" si="2444"/>
        <v>0</v>
      </c>
      <c r="CX1148">
        <f t="shared" si="2444"/>
        <v>0</v>
      </c>
      <c r="CY1148">
        <f t="shared" si="2444"/>
        <v>0</v>
      </c>
      <c r="CZ1148">
        <f t="shared" si="2444"/>
        <v>0</v>
      </c>
      <c r="DA1148">
        <f t="shared" si="2444"/>
        <v>0</v>
      </c>
      <c r="DB1148">
        <f t="shared" si="2444"/>
        <v>0</v>
      </c>
      <c r="DC1148">
        <f t="shared" si="2444"/>
        <v>0</v>
      </c>
      <c r="DD1148">
        <f t="shared" si="2444"/>
        <v>0</v>
      </c>
      <c r="DE1148">
        <f t="shared" si="2444"/>
        <v>0</v>
      </c>
      <c r="DF1148">
        <f t="shared" si="2444"/>
        <v>0</v>
      </c>
      <c r="DG1148">
        <f t="shared" si="2445"/>
        <v>0</v>
      </c>
      <c r="DH1148">
        <f t="shared" si="2445"/>
        <v>0</v>
      </c>
      <c r="DI1148">
        <f t="shared" si="2445"/>
        <v>0</v>
      </c>
      <c r="DJ1148">
        <f t="shared" si="2445"/>
        <v>0</v>
      </c>
      <c r="DK1148">
        <f t="shared" si="2445"/>
        <v>0</v>
      </c>
      <c r="DL1148">
        <f t="shared" si="2445"/>
        <v>0</v>
      </c>
      <c r="DM1148">
        <f t="shared" si="2445"/>
        <v>0</v>
      </c>
      <c r="DN1148">
        <f t="shared" si="2445"/>
        <v>0</v>
      </c>
      <c r="DO1148">
        <f t="shared" si="2445"/>
        <v>0</v>
      </c>
      <c r="DP1148">
        <f t="shared" si="2445"/>
        <v>0</v>
      </c>
      <c r="DQ1148">
        <f t="shared" si="2446"/>
        <v>0</v>
      </c>
      <c r="DR1148">
        <f t="shared" si="2446"/>
        <v>0</v>
      </c>
      <c r="DS1148">
        <f t="shared" si="2446"/>
        <v>0</v>
      </c>
      <c r="DT1148">
        <f t="shared" si="2446"/>
        <v>0</v>
      </c>
      <c r="DU1148">
        <f t="shared" si="2446"/>
        <v>0</v>
      </c>
      <c r="DV1148">
        <f t="shared" si="2446"/>
        <v>0</v>
      </c>
      <c r="DW1148">
        <f t="shared" si="2446"/>
        <v>0</v>
      </c>
      <c r="DX1148">
        <f t="shared" si="2446"/>
        <v>0</v>
      </c>
      <c r="DY1148">
        <f t="shared" si="2446"/>
        <v>0</v>
      </c>
      <c r="DZ1148">
        <f t="shared" si="2446"/>
        <v>0</v>
      </c>
      <c r="EA1148">
        <f t="shared" si="2447"/>
        <v>0</v>
      </c>
      <c r="EB1148">
        <f t="shared" si="2448"/>
        <v>0</v>
      </c>
      <c r="EC1148">
        <f t="shared" si="2447"/>
        <v>0</v>
      </c>
      <c r="ED1148">
        <f t="shared" si="2447"/>
        <v>0</v>
      </c>
      <c r="EE1148">
        <f t="shared" si="2447"/>
        <v>0</v>
      </c>
      <c r="EF1148">
        <f t="shared" si="2447"/>
        <v>0</v>
      </c>
    </row>
    <row r="1149" spans="1:136" ht="15.5">
      <c r="A1149" s="90"/>
      <c r="B1149" s="53" t="s">
        <v>21</v>
      </c>
      <c r="C1149" s="95"/>
      <c r="D1149" s="18"/>
      <c r="E1149" s="18"/>
      <c r="F1149" s="18"/>
      <c r="G1149" s="18"/>
      <c r="H1149" s="18"/>
      <c r="I1149" s="18"/>
      <c r="J1149" s="18"/>
      <c r="K1149" s="18"/>
      <c r="L1149" s="18"/>
      <c r="M1149" s="18"/>
      <c r="N1149" s="18"/>
      <c r="O1149" s="18"/>
      <c r="P1149" s="18"/>
      <c r="Q1149" s="18"/>
      <c r="R1149" s="18"/>
      <c r="S1149" s="18"/>
      <c r="T1149" s="18"/>
      <c r="U1149" s="18"/>
      <c r="V1149" s="18"/>
      <c r="W1149" s="18"/>
      <c r="X1149" s="18"/>
      <c r="Y1149" s="18"/>
      <c r="Z1149" s="18"/>
      <c r="AA1149" s="18"/>
      <c r="AB1149" s="18"/>
      <c r="AC1149" s="18"/>
      <c r="AD1149" s="18"/>
      <c r="AE1149" s="18"/>
      <c r="AF1149" s="18"/>
      <c r="AG1149" s="18"/>
      <c r="AH1149" s="18"/>
      <c r="AI1149" s="18"/>
      <c r="AJ1149" s="18"/>
      <c r="AK1149" s="18"/>
      <c r="AL1149" s="18"/>
      <c r="AM1149" s="18"/>
      <c r="AN1149" s="147">
        <f>82800/579.98</f>
        <v>142.76354357046793</v>
      </c>
      <c r="AO1149" s="147">
        <f>111600/612.12</f>
        <v>182.3171927073123</v>
      </c>
      <c r="AP1149" s="147">
        <f>99700/664.67</f>
        <v>149.99924774700227</v>
      </c>
      <c r="AQ1149" s="147">
        <f>59200/744.76</f>
        <v>79.488694344486817</v>
      </c>
      <c r="AR1149" s="147">
        <f>700/800.41</f>
        <v>0.87455179220649426</v>
      </c>
      <c r="AS1149" s="147">
        <f>800/876.41</f>
        <v>0.91281477847126347</v>
      </c>
      <c r="AT1149" s="147">
        <f>900/966.58</f>
        <v>0.93111796230006827</v>
      </c>
      <c r="AU1149" s="18">
        <v>0</v>
      </c>
      <c r="AV1149" s="18">
        <v>0</v>
      </c>
      <c r="AW1149" s="18">
        <v>0</v>
      </c>
      <c r="AX1149" s="18">
        <v>0</v>
      </c>
      <c r="AY1149" s="18">
        <v>0</v>
      </c>
      <c r="AZ1149" s="18">
        <v>0</v>
      </c>
      <c r="BA1149" s="18">
        <v>0</v>
      </c>
      <c r="BB1149" s="18">
        <v>0</v>
      </c>
      <c r="BC1149" s="18">
        <v>0</v>
      </c>
      <c r="BD1149" s="18">
        <v>0</v>
      </c>
      <c r="BE1149" s="25">
        <v>0</v>
      </c>
      <c r="BF1149" s="18">
        <v>0</v>
      </c>
      <c r="BG1149" s="18">
        <v>0</v>
      </c>
      <c r="BH1149" s="18">
        <v>0</v>
      </c>
      <c r="BI1149" s="18">
        <v>0</v>
      </c>
      <c r="BJ1149" s="18">
        <v>0</v>
      </c>
      <c r="BK1149" s="71">
        <v>0</v>
      </c>
      <c r="BL1149" s="71">
        <v>0</v>
      </c>
      <c r="BM1149" s="113">
        <v>0</v>
      </c>
      <c r="BN1149" s="113">
        <v>0</v>
      </c>
      <c r="BO1149" s="113">
        <v>0</v>
      </c>
      <c r="BP1149" s="113">
        <v>0</v>
      </c>
      <c r="BQ1149" s="113">
        <v>0</v>
      </c>
      <c r="BR1149" s="101"/>
      <c r="BS1149">
        <f t="shared" si="2441"/>
        <v>0</v>
      </c>
      <c r="BT1149">
        <f t="shared" si="2441"/>
        <v>0</v>
      </c>
      <c r="BU1149">
        <f t="shared" si="2441"/>
        <v>0</v>
      </c>
      <c r="BV1149">
        <f t="shared" si="2441"/>
        <v>0</v>
      </c>
      <c r="BW1149">
        <f t="shared" si="2441"/>
        <v>0</v>
      </c>
      <c r="BX1149">
        <f t="shared" si="2441"/>
        <v>0</v>
      </c>
      <c r="BY1149">
        <f t="shared" si="2441"/>
        <v>0</v>
      </c>
      <c r="BZ1149">
        <f t="shared" si="2441"/>
        <v>0</v>
      </c>
      <c r="CA1149">
        <f t="shared" si="2441"/>
        <v>0</v>
      </c>
      <c r="CB1149">
        <f t="shared" si="2441"/>
        <v>0</v>
      </c>
      <c r="CC1149">
        <f t="shared" si="2442"/>
        <v>0</v>
      </c>
      <c r="CD1149">
        <f t="shared" si="2442"/>
        <v>0</v>
      </c>
      <c r="CE1149">
        <f t="shared" si="2442"/>
        <v>0</v>
      </c>
      <c r="CF1149">
        <f t="shared" si="2442"/>
        <v>0</v>
      </c>
      <c r="CG1149">
        <f t="shared" si="2442"/>
        <v>0</v>
      </c>
      <c r="CH1149">
        <f t="shared" si="2442"/>
        <v>0</v>
      </c>
      <c r="CI1149">
        <f t="shared" si="2442"/>
        <v>0</v>
      </c>
      <c r="CJ1149">
        <f t="shared" si="2442"/>
        <v>0</v>
      </c>
      <c r="CK1149">
        <f t="shared" si="2442"/>
        <v>0</v>
      </c>
      <c r="CL1149">
        <f t="shared" si="2442"/>
        <v>0</v>
      </c>
      <c r="CM1149">
        <f t="shared" si="2443"/>
        <v>0</v>
      </c>
      <c r="CN1149">
        <f t="shared" si="2443"/>
        <v>0</v>
      </c>
      <c r="CO1149">
        <f t="shared" si="2443"/>
        <v>0</v>
      </c>
      <c r="CP1149">
        <f t="shared" si="2443"/>
        <v>0</v>
      </c>
      <c r="CQ1149">
        <f t="shared" si="2443"/>
        <v>0</v>
      </c>
      <c r="CR1149">
        <f t="shared" si="2443"/>
        <v>0</v>
      </c>
      <c r="CS1149">
        <f t="shared" si="2443"/>
        <v>0</v>
      </c>
      <c r="CT1149">
        <f t="shared" si="2443"/>
        <v>0</v>
      </c>
      <c r="CU1149">
        <f t="shared" si="2443"/>
        <v>0</v>
      </c>
      <c r="CV1149">
        <f t="shared" si="2443"/>
        <v>0</v>
      </c>
      <c r="CW1149">
        <f t="shared" si="2444"/>
        <v>0</v>
      </c>
      <c r="CX1149">
        <f t="shared" si="2444"/>
        <v>0</v>
      </c>
      <c r="CY1149">
        <f t="shared" si="2444"/>
        <v>0</v>
      </c>
      <c r="CZ1149">
        <f t="shared" si="2444"/>
        <v>0</v>
      </c>
      <c r="DA1149">
        <f t="shared" si="2444"/>
        <v>0</v>
      </c>
      <c r="DB1149">
        <f t="shared" si="2444"/>
        <v>0</v>
      </c>
      <c r="DC1149">
        <f t="shared" si="2444"/>
        <v>0</v>
      </c>
      <c r="DD1149">
        <f t="shared" si="2444"/>
        <v>0</v>
      </c>
      <c r="DE1149">
        <f t="shared" si="2444"/>
        <v>0</v>
      </c>
      <c r="DF1149">
        <f t="shared" si="2444"/>
        <v>0</v>
      </c>
      <c r="DG1149">
        <f t="shared" si="2445"/>
        <v>0</v>
      </c>
      <c r="DH1149">
        <f t="shared" si="2445"/>
        <v>0</v>
      </c>
      <c r="DI1149">
        <f t="shared" si="2445"/>
        <v>0</v>
      </c>
      <c r="DJ1149">
        <f t="shared" si="2445"/>
        <v>0</v>
      </c>
      <c r="DK1149">
        <f t="shared" si="2445"/>
        <v>0</v>
      </c>
      <c r="DL1149">
        <f t="shared" si="2445"/>
        <v>0</v>
      </c>
      <c r="DM1149">
        <f t="shared" si="2445"/>
        <v>0</v>
      </c>
      <c r="DN1149">
        <f t="shared" si="2445"/>
        <v>0</v>
      </c>
      <c r="DO1149">
        <f t="shared" si="2445"/>
        <v>0</v>
      </c>
      <c r="DP1149">
        <f t="shared" si="2445"/>
        <v>0</v>
      </c>
      <c r="DQ1149">
        <f t="shared" si="2446"/>
        <v>0</v>
      </c>
      <c r="DR1149">
        <f t="shared" si="2446"/>
        <v>0</v>
      </c>
      <c r="DS1149">
        <f t="shared" si="2446"/>
        <v>0</v>
      </c>
      <c r="DT1149">
        <f t="shared" si="2446"/>
        <v>0</v>
      </c>
      <c r="DU1149">
        <f t="shared" si="2446"/>
        <v>0</v>
      </c>
      <c r="DV1149">
        <f t="shared" si="2446"/>
        <v>0</v>
      </c>
      <c r="DW1149">
        <f t="shared" si="2446"/>
        <v>0</v>
      </c>
      <c r="DX1149">
        <f t="shared" si="2446"/>
        <v>0</v>
      </c>
      <c r="DY1149">
        <f t="shared" si="2446"/>
        <v>0</v>
      </c>
      <c r="DZ1149">
        <f t="shared" si="2446"/>
        <v>0</v>
      </c>
      <c r="EA1149">
        <f t="shared" ref="EA1149:EF1150" si="2449">IF($C1149&lt;&gt;"",IF(BL1149&gt;0,1,0),0)</f>
        <v>0</v>
      </c>
      <c r="EB1149">
        <f>IF($C1149&lt;&gt;"",IF(BM1149&gt;0,1,0),0)</f>
        <v>0</v>
      </c>
      <c r="EC1149">
        <f t="shared" si="2449"/>
        <v>0</v>
      </c>
      <c r="ED1149">
        <f t="shared" si="2449"/>
        <v>0</v>
      </c>
      <c r="EE1149">
        <f t="shared" si="2449"/>
        <v>0</v>
      </c>
      <c r="EF1149">
        <f t="shared" si="2449"/>
        <v>0</v>
      </c>
    </row>
    <row r="1150" spans="1:136" ht="15.5">
      <c r="A1150" s="90"/>
      <c r="B1150" s="53" t="s">
        <v>212</v>
      </c>
      <c r="C1150" s="95"/>
      <c r="D1150" s="18"/>
      <c r="E1150" s="18"/>
      <c r="F1150" s="18"/>
      <c r="G1150" s="18"/>
      <c r="H1150" s="18"/>
      <c r="I1150" s="18"/>
      <c r="J1150" s="18"/>
      <c r="K1150" s="18"/>
      <c r="L1150" s="18"/>
      <c r="M1150" s="18"/>
      <c r="N1150" s="18"/>
      <c r="O1150" s="18"/>
      <c r="P1150" s="18"/>
      <c r="Q1150" s="18"/>
      <c r="R1150" s="18"/>
      <c r="S1150" s="18"/>
      <c r="T1150" s="18"/>
      <c r="U1150" s="18"/>
      <c r="V1150" s="18"/>
      <c r="W1150" s="18"/>
      <c r="X1150" s="18"/>
      <c r="Y1150" s="18"/>
      <c r="Z1150" s="18"/>
      <c r="AA1150" s="18"/>
      <c r="AB1150" s="18"/>
      <c r="AC1150" s="18"/>
      <c r="AD1150" s="18"/>
      <c r="AE1150" s="18"/>
      <c r="AF1150" s="18"/>
      <c r="AG1150" s="18"/>
      <c r="AH1150" s="18">
        <v>966.88198503024705</v>
      </c>
      <c r="AI1150" s="18">
        <v>860.55849607592631</v>
      </c>
      <c r="AJ1150" s="18">
        <v>632.88590604026842</v>
      </c>
      <c r="AK1150" s="18">
        <v>492.83950617283949</v>
      </c>
      <c r="AL1150" s="18">
        <v>433.13725490196077</v>
      </c>
      <c r="AM1150" s="31">
        <v>406.43478260869563</v>
      </c>
      <c r="AN1150" s="18">
        <v>334.1494534294286</v>
      </c>
      <c r="AO1150" s="18">
        <v>424.75331634320065</v>
      </c>
      <c r="AP1150" s="18">
        <v>210.56410256410257</v>
      </c>
      <c r="AQ1150" s="18">
        <v>148.41025641025641</v>
      </c>
      <c r="AR1150" s="18">
        <v>480.00399795105011</v>
      </c>
      <c r="AS1150" s="18">
        <v>373.79765178398242</v>
      </c>
      <c r="AT1150" s="18">
        <v>388.27619027912846</v>
      </c>
      <c r="AU1150" s="18">
        <v>0</v>
      </c>
      <c r="AV1150" s="18">
        <v>0</v>
      </c>
      <c r="AW1150" s="18">
        <v>0</v>
      </c>
      <c r="AX1150" s="18">
        <v>0</v>
      </c>
      <c r="AY1150" s="18">
        <v>0</v>
      </c>
      <c r="AZ1150" s="18">
        <v>0</v>
      </c>
      <c r="BA1150" s="18">
        <v>0</v>
      </c>
      <c r="BB1150" s="18">
        <v>275.10243553008598</v>
      </c>
      <c r="BC1150" s="18">
        <v>132.04881181759794</v>
      </c>
      <c r="BD1150" s="18">
        <v>321.88295165394402</v>
      </c>
      <c r="BE1150" s="25">
        <v>718.39799749687108</v>
      </c>
      <c r="BF1150" s="18">
        <v>1047.7918935269208</v>
      </c>
      <c r="BG1150" s="147">
        <v>881.93047974719912</v>
      </c>
      <c r="BH1150" s="18">
        <v>938.74677305796763</v>
      </c>
      <c r="BI1150" s="18">
        <v>1048.8394363628072</v>
      </c>
      <c r="BJ1150" s="18">
        <v>1350.5271412389998</v>
      </c>
      <c r="BK1150" s="71">
        <v>1216.3336229365768</v>
      </c>
      <c r="BL1150" s="71">
        <v>1125.5411255411254</v>
      </c>
      <c r="BM1150" s="71">
        <v>1691.2402428447529</v>
      </c>
      <c r="BN1150" s="113">
        <v>1369.2768506632435</v>
      </c>
      <c r="BO1150" s="168">
        <v>820</v>
      </c>
      <c r="BP1150" s="113">
        <v>329</v>
      </c>
      <c r="BQ1150" s="113">
        <v>268</v>
      </c>
      <c r="BR1150" s="101"/>
      <c r="BS1150">
        <f t="shared" ref="BS1150:DA1150" si="2450">IF($C1150&lt;&gt;"",IF(D1150&gt;0,1,0),0)</f>
        <v>0</v>
      </c>
      <c r="BT1150">
        <f t="shared" si="2450"/>
        <v>0</v>
      </c>
      <c r="BU1150">
        <f t="shared" si="2450"/>
        <v>0</v>
      </c>
      <c r="BV1150">
        <f t="shared" si="2450"/>
        <v>0</v>
      </c>
      <c r="BW1150">
        <f t="shared" si="2450"/>
        <v>0</v>
      </c>
      <c r="BX1150">
        <f t="shared" si="2450"/>
        <v>0</v>
      </c>
      <c r="BY1150">
        <f t="shared" si="2450"/>
        <v>0</v>
      </c>
      <c r="BZ1150">
        <f t="shared" si="2450"/>
        <v>0</v>
      </c>
      <c r="CA1150">
        <f t="shared" si="2450"/>
        <v>0</v>
      </c>
      <c r="CB1150">
        <f t="shared" si="2450"/>
        <v>0</v>
      </c>
      <c r="CC1150">
        <f t="shared" si="2450"/>
        <v>0</v>
      </c>
      <c r="CD1150">
        <f t="shared" si="2450"/>
        <v>0</v>
      </c>
      <c r="CE1150">
        <f t="shared" si="2450"/>
        <v>0</v>
      </c>
      <c r="CF1150">
        <f t="shared" si="2450"/>
        <v>0</v>
      </c>
      <c r="CG1150">
        <f t="shared" si="2450"/>
        <v>0</v>
      </c>
      <c r="CH1150">
        <f t="shared" si="2450"/>
        <v>0</v>
      </c>
      <c r="CI1150">
        <f t="shared" si="2450"/>
        <v>0</v>
      </c>
      <c r="CJ1150">
        <f t="shared" si="2450"/>
        <v>0</v>
      </c>
      <c r="CK1150">
        <f t="shared" si="2450"/>
        <v>0</v>
      </c>
      <c r="CL1150">
        <f t="shared" si="2450"/>
        <v>0</v>
      </c>
      <c r="CM1150">
        <f t="shared" si="2450"/>
        <v>0</v>
      </c>
      <c r="CN1150">
        <f t="shared" si="2450"/>
        <v>0</v>
      </c>
      <c r="CO1150">
        <f t="shared" si="2450"/>
        <v>0</v>
      </c>
      <c r="CP1150">
        <f t="shared" si="2450"/>
        <v>0</v>
      </c>
      <c r="CQ1150">
        <f t="shared" si="2450"/>
        <v>0</v>
      </c>
      <c r="CR1150">
        <f t="shared" si="2450"/>
        <v>0</v>
      </c>
      <c r="CS1150">
        <f t="shared" si="2450"/>
        <v>0</v>
      </c>
      <c r="CT1150">
        <f t="shared" si="2450"/>
        <v>0</v>
      </c>
      <c r="CU1150">
        <f t="shared" si="2450"/>
        <v>0</v>
      </c>
      <c r="CV1150">
        <f t="shared" si="2450"/>
        <v>0</v>
      </c>
      <c r="CW1150">
        <f t="shared" si="2450"/>
        <v>0</v>
      </c>
      <c r="CX1150">
        <f t="shared" si="2450"/>
        <v>0</v>
      </c>
      <c r="CY1150">
        <f t="shared" si="2450"/>
        <v>0</v>
      </c>
      <c r="CZ1150">
        <f t="shared" si="2450"/>
        <v>0</v>
      </c>
      <c r="DA1150">
        <f t="shared" si="2450"/>
        <v>0</v>
      </c>
      <c r="DB1150">
        <f>IF($C1150&lt;&gt;"",IF(AM1155&gt;0,1,0),0)</f>
        <v>0</v>
      </c>
      <c r="DC1150">
        <f t="shared" ref="DC1150:DZ1150" si="2451">IF($C1150&lt;&gt;"",IF(AN1150&gt;0,1,0),0)</f>
        <v>0</v>
      </c>
      <c r="DD1150">
        <f t="shared" si="2451"/>
        <v>0</v>
      </c>
      <c r="DE1150">
        <f t="shared" si="2451"/>
        <v>0</v>
      </c>
      <c r="DF1150">
        <f t="shared" si="2451"/>
        <v>0</v>
      </c>
      <c r="DG1150">
        <f t="shared" si="2451"/>
        <v>0</v>
      </c>
      <c r="DH1150">
        <f t="shared" si="2451"/>
        <v>0</v>
      </c>
      <c r="DI1150">
        <f t="shared" si="2451"/>
        <v>0</v>
      </c>
      <c r="DJ1150">
        <f t="shared" si="2451"/>
        <v>0</v>
      </c>
      <c r="DK1150">
        <f t="shared" si="2451"/>
        <v>0</v>
      </c>
      <c r="DL1150">
        <f t="shared" si="2451"/>
        <v>0</v>
      </c>
      <c r="DM1150">
        <f t="shared" si="2451"/>
        <v>0</v>
      </c>
      <c r="DN1150">
        <f t="shared" si="2451"/>
        <v>0</v>
      </c>
      <c r="DO1150">
        <f t="shared" si="2451"/>
        <v>0</v>
      </c>
      <c r="DP1150">
        <f t="shared" si="2451"/>
        <v>0</v>
      </c>
      <c r="DQ1150">
        <f t="shared" si="2451"/>
        <v>0</v>
      </c>
      <c r="DR1150">
        <f t="shared" si="2451"/>
        <v>0</v>
      </c>
      <c r="DS1150">
        <f t="shared" si="2451"/>
        <v>0</v>
      </c>
      <c r="DT1150">
        <f t="shared" si="2451"/>
        <v>0</v>
      </c>
      <c r="DU1150">
        <f t="shared" si="2451"/>
        <v>0</v>
      </c>
      <c r="DV1150">
        <f t="shared" si="2451"/>
        <v>0</v>
      </c>
      <c r="DW1150">
        <f t="shared" si="2451"/>
        <v>0</v>
      </c>
      <c r="DX1150">
        <f t="shared" si="2451"/>
        <v>0</v>
      </c>
      <c r="DY1150">
        <f t="shared" si="2451"/>
        <v>0</v>
      </c>
      <c r="DZ1150">
        <f t="shared" si="2451"/>
        <v>0</v>
      </c>
      <c r="EA1150">
        <f t="shared" si="2449"/>
        <v>0</v>
      </c>
      <c r="EB1150">
        <f>IF($C1150&lt;&gt;"",IF(BM1150&gt;0,1,0),0)</f>
        <v>0</v>
      </c>
      <c r="EC1150">
        <f t="shared" si="2449"/>
        <v>0</v>
      </c>
      <c r="ED1150">
        <f t="shared" si="2449"/>
        <v>0</v>
      </c>
      <c r="EE1150">
        <f t="shared" si="2449"/>
        <v>0</v>
      </c>
      <c r="EF1150">
        <f t="shared" si="2449"/>
        <v>0</v>
      </c>
    </row>
    <row r="1151" spans="1:136" ht="15.5">
      <c r="A1151" s="90"/>
      <c r="B1151" s="79"/>
      <c r="C1151" s="96"/>
      <c r="D1151" s="31"/>
      <c r="E1151" s="31"/>
      <c r="F1151" s="31"/>
      <c r="G1151" s="31"/>
      <c r="H1151" s="31"/>
      <c r="I1151" s="31"/>
      <c r="J1151" s="31"/>
      <c r="K1151" s="31"/>
      <c r="L1151" s="31"/>
      <c r="M1151" s="31"/>
      <c r="N1151" s="31"/>
      <c r="O1151" s="31"/>
      <c r="P1151" s="31"/>
      <c r="Q1151" s="31"/>
      <c r="R1151" s="31"/>
      <c r="S1151" s="31"/>
      <c r="T1151" s="31"/>
      <c r="U1151" s="31"/>
      <c r="V1151" s="31"/>
      <c r="W1151" s="31"/>
      <c r="X1151" s="31"/>
      <c r="Y1151" s="31"/>
      <c r="Z1151" s="31"/>
      <c r="AA1151" s="31"/>
      <c r="AB1151" s="31"/>
      <c r="AC1151" s="31"/>
      <c r="AD1151" s="31"/>
      <c r="AE1151" s="31"/>
      <c r="AF1151" s="31"/>
      <c r="AG1151" s="31"/>
      <c r="AH1151" s="31"/>
      <c r="AI1151" s="31"/>
      <c r="AJ1151" s="31"/>
      <c r="AK1151" s="31"/>
      <c r="AL1151" s="31"/>
      <c r="AM1151" s="31"/>
      <c r="AN1151" s="31"/>
      <c r="AO1151" s="31"/>
      <c r="AP1151" s="31"/>
      <c r="AQ1151" s="31"/>
      <c r="AR1151" s="31"/>
      <c r="AS1151" s="31"/>
      <c r="AT1151" s="31"/>
      <c r="AU1151" s="31"/>
      <c r="AV1151" s="31"/>
      <c r="AW1151" s="31"/>
      <c r="AX1151" s="31"/>
      <c r="AY1151" s="31"/>
      <c r="AZ1151" s="31"/>
      <c r="BA1151" s="31"/>
      <c r="BB1151" s="147"/>
      <c r="BC1151" s="31"/>
      <c r="BD1151" s="31"/>
      <c r="BE1151" s="55"/>
      <c r="BF1151" s="31"/>
      <c r="BG1151" s="31"/>
      <c r="BH1151" s="113"/>
      <c r="BI1151" s="2"/>
      <c r="BJ1151" s="2"/>
      <c r="BK1151" s="113"/>
      <c r="BL1151" s="113"/>
      <c r="BM1151" s="113"/>
      <c r="BN1151" s="2"/>
      <c r="BO1151" s="2"/>
      <c r="BP1151" s="2"/>
      <c r="BQ1151" s="2"/>
      <c r="BR1151" s="101"/>
    </row>
    <row r="1152" spans="1:136" ht="15.5">
      <c r="A1152" s="93">
        <v>145</v>
      </c>
      <c r="B1152" s="52" t="s">
        <v>143</v>
      </c>
      <c r="C1152" s="94">
        <v>2</v>
      </c>
      <c r="D1152" s="9">
        <f t="shared" ref="D1152:M1152" si="2452">SUM(D1153:D1153)</f>
        <v>0</v>
      </c>
      <c r="E1152" s="9">
        <f t="shared" si="2452"/>
        <v>0</v>
      </c>
      <c r="F1152" s="9">
        <f t="shared" si="2452"/>
        <v>0</v>
      </c>
      <c r="G1152" s="9">
        <f t="shared" si="2452"/>
        <v>0</v>
      </c>
      <c r="H1152" s="9">
        <f t="shared" si="2452"/>
        <v>0</v>
      </c>
      <c r="I1152" s="9">
        <f t="shared" si="2452"/>
        <v>0</v>
      </c>
      <c r="J1152" s="9">
        <f t="shared" si="2452"/>
        <v>0</v>
      </c>
      <c r="K1152" s="9">
        <f t="shared" si="2452"/>
        <v>0</v>
      </c>
      <c r="L1152" s="9">
        <f t="shared" si="2452"/>
        <v>0</v>
      </c>
      <c r="M1152" s="9">
        <f t="shared" si="2452"/>
        <v>0</v>
      </c>
      <c r="N1152" s="9">
        <f t="shared" ref="N1152:BI1152" si="2453">SUM(N1153:N1154)</f>
        <v>0</v>
      </c>
      <c r="O1152" s="9">
        <f t="shared" si="2453"/>
        <v>0</v>
      </c>
      <c r="P1152" s="9">
        <f t="shared" si="2453"/>
        <v>0</v>
      </c>
      <c r="Q1152" s="9">
        <f t="shared" si="2453"/>
        <v>0</v>
      </c>
      <c r="R1152" s="9">
        <f t="shared" si="2453"/>
        <v>0</v>
      </c>
      <c r="S1152" s="9">
        <f t="shared" si="2453"/>
        <v>0</v>
      </c>
      <c r="T1152" s="9">
        <f t="shared" si="2453"/>
        <v>0</v>
      </c>
      <c r="U1152" s="9">
        <f t="shared" si="2453"/>
        <v>0</v>
      </c>
      <c r="V1152" s="9">
        <f t="shared" si="2453"/>
        <v>0</v>
      </c>
      <c r="W1152" s="9">
        <f t="shared" si="2453"/>
        <v>0</v>
      </c>
      <c r="X1152" s="9">
        <f t="shared" si="2453"/>
        <v>0</v>
      </c>
      <c r="Y1152" s="9">
        <f t="shared" si="2453"/>
        <v>0</v>
      </c>
      <c r="Z1152" s="9">
        <f t="shared" si="2453"/>
        <v>0</v>
      </c>
      <c r="AA1152" s="9">
        <f t="shared" si="2453"/>
        <v>0</v>
      </c>
      <c r="AB1152" s="9">
        <f t="shared" si="2453"/>
        <v>0</v>
      </c>
      <c r="AC1152" s="9">
        <f t="shared" si="2453"/>
        <v>0</v>
      </c>
      <c r="AD1152" s="9">
        <f t="shared" si="2453"/>
        <v>0</v>
      </c>
      <c r="AE1152" s="9">
        <f t="shared" si="2453"/>
        <v>0</v>
      </c>
      <c r="AF1152" s="9">
        <f t="shared" si="2453"/>
        <v>0</v>
      </c>
      <c r="AG1152" s="9">
        <f t="shared" si="2453"/>
        <v>0</v>
      </c>
      <c r="AH1152" s="9">
        <f t="shared" si="2453"/>
        <v>0</v>
      </c>
      <c r="AI1152" s="9">
        <f t="shared" si="2453"/>
        <v>6.8049999999999997</v>
      </c>
      <c r="AJ1152" s="9">
        <f t="shared" si="2453"/>
        <v>0</v>
      </c>
      <c r="AK1152" s="9">
        <f t="shared" si="2453"/>
        <v>0</v>
      </c>
      <c r="AL1152" s="9">
        <f t="shared" si="2453"/>
        <v>0</v>
      </c>
      <c r="AM1152" s="9">
        <f t="shared" si="2453"/>
        <v>0</v>
      </c>
      <c r="AN1152" s="9">
        <f t="shared" si="2453"/>
        <v>0</v>
      </c>
      <c r="AO1152" s="9">
        <f t="shared" si="2453"/>
        <v>0</v>
      </c>
      <c r="AP1152" s="9">
        <f t="shared" si="2453"/>
        <v>5.6909999999999998</v>
      </c>
      <c r="AQ1152" s="9">
        <f t="shared" si="2453"/>
        <v>0</v>
      </c>
      <c r="AR1152" s="9">
        <f t="shared" si="2453"/>
        <v>0</v>
      </c>
      <c r="AS1152" s="9">
        <f t="shared" si="2453"/>
        <v>0</v>
      </c>
      <c r="AT1152" s="9">
        <f t="shared" si="2453"/>
        <v>0</v>
      </c>
      <c r="AU1152" s="9">
        <f t="shared" si="2453"/>
        <v>0</v>
      </c>
      <c r="AV1152" s="9">
        <f t="shared" si="2453"/>
        <v>0</v>
      </c>
      <c r="AW1152" s="9">
        <f t="shared" si="2453"/>
        <v>0</v>
      </c>
      <c r="AX1152" s="9">
        <f t="shared" si="2453"/>
        <v>8.4069000000000001E-3</v>
      </c>
      <c r="AY1152" s="9">
        <f t="shared" si="2453"/>
        <v>0</v>
      </c>
      <c r="AZ1152" s="9">
        <f t="shared" si="2453"/>
        <v>4.3905400999999999</v>
      </c>
      <c r="BA1152" s="9">
        <f t="shared" si="2453"/>
        <v>8.2950991999999992</v>
      </c>
      <c r="BB1152" s="9">
        <f t="shared" si="2453"/>
        <v>2.159151</v>
      </c>
      <c r="BC1152" s="9">
        <f t="shared" si="2453"/>
        <v>4.6466064000000005</v>
      </c>
      <c r="BD1152" s="9">
        <f t="shared" si="2453"/>
        <v>1.9064124000000002</v>
      </c>
      <c r="BE1152" s="9">
        <f t="shared" si="2453"/>
        <v>0</v>
      </c>
      <c r="BF1152" s="9">
        <f t="shared" si="2453"/>
        <v>0</v>
      </c>
      <c r="BG1152" s="9">
        <f t="shared" si="2453"/>
        <v>0</v>
      </c>
      <c r="BH1152" s="9">
        <f t="shared" si="2453"/>
        <v>0</v>
      </c>
      <c r="BI1152" s="9">
        <f t="shared" si="2453"/>
        <v>0</v>
      </c>
      <c r="BJ1152" s="4">
        <v>0</v>
      </c>
      <c r="BK1152" s="4">
        <v>0</v>
      </c>
      <c r="BL1152" s="4">
        <v>0</v>
      </c>
      <c r="BM1152" s="4">
        <v>0</v>
      </c>
      <c r="BN1152" s="4">
        <v>0</v>
      </c>
      <c r="BO1152" s="4">
        <v>0</v>
      </c>
      <c r="BP1152" s="4">
        <v>0</v>
      </c>
      <c r="BQ1152" s="4">
        <v>0</v>
      </c>
      <c r="BR1152" s="101"/>
      <c r="BS1152">
        <f t="shared" ref="BS1152:CX1152" si="2454">IF($C1152&lt;&gt;"",IF(D1152&gt;0,1,0),0)</f>
        <v>0</v>
      </c>
      <c r="BT1152">
        <f t="shared" si="2454"/>
        <v>0</v>
      </c>
      <c r="BU1152">
        <f t="shared" si="2454"/>
        <v>0</v>
      </c>
      <c r="BV1152">
        <f t="shared" si="2454"/>
        <v>0</v>
      </c>
      <c r="BW1152">
        <f t="shared" si="2454"/>
        <v>0</v>
      </c>
      <c r="BX1152">
        <f t="shared" si="2454"/>
        <v>0</v>
      </c>
      <c r="BY1152">
        <f t="shared" si="2454"/>
        <v>0</v>
      </c>
      <c r="BZ1152">
        <f t="shared" si="2454"/>
        <v>0</v>
      </c>
      <c r="CA1152">
        <f t="shared" si="2454"/>
        <v>0</v>
      </c>
      <c r="CB1152">
        <f t="shared" si="2454"/>
        <v>0</v>
      </c>
      <c r="CC1152">
        <f t="shared" si="2454"/>
        <v>0</v>
      </c>
      <c r="CD1152">
        <f t="shared" si="2454"/>
        <v>0</v>
      </c>
      <c r="CE1152">
        <f t="shared" si="2454"/>
        <v>0</v>
      </c>
      <c r="CF1152">
        <f t="shared" si="2454"/>
        <v>0</v>
      </c>
      <c r="CG1152">
        <f t="shared" si="2454"/>
        <v>0</v>
      </c>
      <c r="CH1152">
        <f t="shared" si="2454"/>
        <v>0</v>
      </c>
      <c r="CI1152">
        <f t="shared" si="2454"/>
        <v>0</v>
      </c>
      <c r="CJ1152">
        <f t="shared" si="2454"/>
        <v>0</v>
      </c>
      <c r="CK1152">
        <f t="shared" si="2454"/>
        <v>0</v>
      </c>
      <c r="CL1152">
        <f t="shared" si="2454"/>
        <v>0</v>
      </c>
      <c r="CM1152">
        <f t="shared" si="2454"/>
        <v>0</v>
      </c>
      <c r="CN1152">
        <f t="shared" si="2454"/>
        <v>0</v>
      </c>
      <c r="CO1152">
        <f t="shared" si="2454"/>
        <v>0</v>
      </c>
      <c r="CP1152">
        <f t="shared" si="2454"/>
        <v>0</v>
      </c>
      <c r="CQ1152">
        <f t="shared" si="2454"/>
        <v>0</v>
      </c>
      <c r="CR1152">
        <f t="shared" si="2454"/>
        <v>0</v>
      </c>
      <c r="CS1152">
        <f t="shared" si="2454"/>
        <v>0</v>
      </c>
      <c r="CT1152">
        <f t="shared" si="2454"/>
        <v>0</v>
      </c>
      <c r="CU1152">
        <f t="shared" si="2454"/>
        <v>0</v>
      </c>
      <c r="CV1152">
        <f t="shared" si="2454"/>
        <v>0</v>
      </c>
      <c r="CW1152">
        <f t="shared" si="2454"/>
        <v>0</v>
      </c>
      <c r="CX1152">
        <f t="shared" si="2454"/>
        <v>1</v>
      </c>
      <c r="CY1152">
        <f t="shared" ref="CY1152:EF1152" si="2455">IF($C1152&lt;&gt;"",IF(AJ1152&gt;0,1,0),0)</f>
        <v>0</v>
      </c>
      <c r="CZ1152">
        <f t="shared" si="2455"/>
        <v>0</v>
      </c>
      <c r="DA1152">
        <f t="shared" si="2455"/>
        <v>0</v>
      </c>
      <c r="DB1152">
        <f t="shared" si="2455"/>
        <v>0</v>
      </c>
      <c r="DC1152">
        <f t="shared" si="2455"/>
        <v>0</v>
      </c>
      <c r="DD1152">
        <f t="shared" si="2455"/>
        <v>0</v>
      </c>
      <c r="DE1152">
        <f t="shared" si="2455"/>
        <v>1</v>
      </c>
      <c r="DF1152">
        <f t="shared" si="2455"/>
        <v>0</v>
      </c>
      <c r="DG1152">
        <f t="shared" si="2455"/>
        <v>0</v>
      </c>
      <c r="DH1152">
        <f t="shared" si="2455"/>
        <v>0</v>
      </c>
      <c r="DI1152">
        <f t="shared" si="2455"/>
        <v>0</v>
      </c>
      <c r="DJ1152">
        <f t="shared" si="2455"/>
        <v>0</v>
      </c>
      <c r="DK1152">
        <f t="shared" si="2455"/>
        <v>0</v>
      </c>
      <c r="DL1152">
        <f t="shared" si="2455"/>
        <v>0</v>
      </c>
      <c r="DM1152">
        <f t="shared" si="2455"/>
        <v>1</v>
      </c>
      <c r="DN1152">
        <f t="shared" si="2455"/>
        <v>0</v>
      </c>
      <c r="DO1152">
        <f t="shared" si="2455"/>
        <v>1</v>
      </c>
      <c r="DP1152">
        <f t="shared" si="2455"/>
        <v>1</v>
      </c>
      <c r="DQ1152">
        <f t="shared" si="2455"/>
        <v>1</v>
      </c>
      <c r="DR1152">
        <f t="shared" si="2455"/>
        <v>1</v>
      </c>
      <c r="DS1152">
        <f t="shared" si="2455"/>
        <v>1</v>
      </c>
      <c r="DT1152">
        <f t="shared" si="2455"/>
        <v>0</v>
      </c>
      <c r="DU1152">
        <f t="shared" si="2455"/>
        <v>0</v>
      </c>
      <c r="DV1152">
        <f t="shared" si="2455"/>
        <v>0</v>
      </c>
      <c r="DW1152">
        <f t="shared" si="2455"/>
        <v>0</v>
      </c>
      <c r="DX1152">
        <f t="shared" si="2455"/>
        <v>0</v>
      </c>
      <c r="DY1152">
        <f t="shared" si="2455"/>
        <v>0</v>
      </c>
      <c r="DZ1152">
        <f t="shared" si="2455"/>
        <v>0</v>
      </c>
      <c r="EA1152">
        <f t="shared" si="2455"/>
        <v>0</v>
      </c>
      <c r="EB1152">
        <f>IF($C1152&lt;&gt;"",IF(BM1152&gt;0,1,0),0)</f>
        <v>0</v>
      </c>
      <c r="EC1152">
        <f t="shared" si="2455"/>
        <v>0</v>
      </c>
      <c r="ED1152">
        <f t="shared" si="2455"/>
        <v>0</v>
      </c>
      <c r="EE1152">
        <f t="shared" si="2455"/>
        <v>0</v>
      </c>
      <c r="EF1152">
        <f t="shared" si="2455"/>
        <v>0</v>
      </c>
    </row>
    <row r="1153" spans="1:136" ht="15.5">
      <c r="A1153" s="90"/>
      <c r="B1153" s="78" t="s">
        <v>3</v>
      </c>
      <c r="C1153" s="96"/>
      <c r="D1153" s="18">
        <v>0</v>
      </c>
      <c r="E1153" s="18">
        <v>0</v>
      </c>
      <c r="F1153" s="18">
        <v>0</v>
      </c>
      <c r="G1153" s="18">
        <v>0</v>
      </c>
      <c r="H1153" s="18">
        <v>0</v>
      </c>
      <c r="I1153" s="18">
        <v>0</v>
      </c>
      <c r="J1153" s="18">
        <v>0</v>
      </c>
      <c r="K1153" s="18">
        <v>0</v>
      </c>
      <c r="L1153" s="18">
        <v>0</v>
      </c>
      <c r="M1153" s="18">
        <v>0</v>
      </c>
      <c r="N1153" s="18">
        <v>0</v>
      </c>
      <c r="O1153" s="18">
        <v>0</v>
      </c>
      <c r="P1153" s="18">
        <v>0</v>
      </c>
      <c r="Q1153" s="18">
        <v>0</v>
      </c>
      <c r="R1153" s="18">
        <v>0</v>
      </c>
      <c r="S1153" s="18">
        <v>0</v>
      </c>
      <c r="T1153" s="18">
        <v>0</v>
      </c>
      <c r="U1153" s="18">
        <v>0</v>
      </c>
      <c r="V1153" s="18">
        <v>0</v>
      </c>
      <c r="W1153" s="18">
        <v>0</v>
      </c>
      <c r="X1153" s="18">
        <v>0</v>
      </c>
      <c r="Y1153" s="18">
        <v>0</v>
      </c>
      <c r="Z1153" s="18">
        <v>0</v>
      </c>
      <c r="AA1153" s="18">
        <v>0</v>
      </c>
      <c r="AB1153" s="18">
        <v>0</v>
      </c>
      <c r="AC1153" s="18">
        <v>0</v>
      </c>
      <c r="AD1153" s="18">
        <v>0</v>
      </c>
      <c r="AE1153" s="18">
        <v>0</v>
      </c>
      <c r="AF1153" s="18">
        <v>0</v>
      </c>
      <c r="AG1153" s="18">
        <v>0</v>
      </c>
      <c r="AH1153" s="18">
        <v>0</v>
      </c>
      <c r="AI1153" s="18">
        <v>6.8049999999999997</v>
      </c>
      <c r="AJ1153" s="18">
        <v>0</v>
      </c>
      <c r="AK1153" s="18">
        <v>0</v>
      </c>
      <c r="AL1153" s="18">
        <v>0</v>
      </c>
      <c r="AM1153" s="18">
        <v>0</v>
      </c>
      <c r="AN1153" s="18">
        <v>0</v>
      </c>
      <c r="AO1153" s="18">
        <v>0</v>
      </c>
      <c r="AP1153" s="18">
        <v>5.6909999999999998</v>
      </c>
      <c r="AQ1153" s="18">
        <v>0</v>
      </c>
      <c r="AR1153" s="18">
        <v>0</v>
      </c>
      <c r="AS1153" s="18">
        <v>0</v>
      </c>
      <c r="AT1153" s="18">
        <v>0</v>
      </c>
      <c r="AU1153" s="18">
        <v>0</v>
      </c>
      <c r="AV1153" s="18">
        <v>0</v>
      </c>
      <c r="AW1153" s="18">
        <v>0</v>
      </c>
      <c r="AX1153" s="18">
        <v>0</v>
      </c>
      <c r="AY1153" s="18">
        <v>0</v>
      </c>
      <c r="AZ1153" s="18">
        <v>2.7659347000000003</v>
      </c>
      <c r="BA1153" s="18">
        <v>3.7873128999999999</v>
      </c>
      <c r="BB1153" s="18">
        <v>1.4403766999999998</v>
      </c>
      <c r="BC1153" s="18">
        <v>3.9196017000000003</v>
      </c>
      <c r="BD1153" s="18">
        <v>1.2593876000000002</v>
      </c>
      <c r="BE1153" s="25">
        <v>0</v>
      </c>
      <c r="BF1153" s="18">
        <v>0</v>
      </c>
      <c r="BG1153" s="18">
        <v>0</v>
      </c>
      <c r="BH1153" s="18">
        <v>0</v>
      </c>
      <c r="BI1153" s="18">
        <v>0</v>
      </c>
      <c r="BJ1153" s="113">
        <v>0</v>
      </c>
      <c r="BK1153" s="113">
        <v>0</v>
      </c>
      <c r="BL1153" s="113">
        <v>0</v>
      </c>
      <c r="BM1153" s="113">
        <v>0</v>
      </c>
      <c r="BN1153" s="113">
        <v>0</v>
      </c>
      <c r="BO1153" s="113">
        <v>0</v>
      </c>
      <c r="BP1153" s="113">
        <v>0</v>
      </c>
      <c r="BQ1153" s="113">
        <v>0</v>
      </c>
      <c r="BR1153" s="101"/>
      <c r="BS1153">
        <f t="shared" ref="BS1153:CB1155" si="2456">IF($C1153&lt;&gt;"",IF(D1153&gt;0,1,0),0)</f>
        <v>0</v>
      </c>
      <c r="BT1153">
        <f t="shared" si="2456"/>
        <v>0</v>
      </c>
      <c r="BU1153">
        <f t="shared" si="2456"/>
        <v>0</v>
      </c>
      <c r="BV1153">
        <f t="shared" si="2456"/>
        <v>0</v>
      </c>
      <c r="BW1153">
        <f t="shared" si="2456"/>
        <v>0</v>
      </c>
      <c r="BX1153">
        <f t="shared" si="2456"/>
        <v>0</v>
      </c>
      <c r="BY1153">
        <f t="shared" si="2456"/>
        <v>0</v>
      </c>
      <c r="BZ1153">
        <f t="shared" si="2456"/>
        <v>0</v>
      </c>
      <c r="CA1153">
        <f t="shared" si="2456"/>
        <v>0</v>
      </c>
      <c r="CB1153">
        <f t="shared" si="2456"/>
        <v>0</v>
      </c>
      <c r="CC1153">
        <f t="shared" ref="CC1153:CL1155" si="2457">IF($C1153&lt;&gt;"",IF(N1153&gt;0,1,0),0)</f>
        <v>0</v>
      </c>
      <c r="CD1153">
        <f t="shared" si="2457"/>
        <v>0</v>
      </c>
      <c r="CE1153">
        <f t="shared" si="2457"/>
        <v>0</v>
      </c>
      <c r="CF1153">
        <f t="shared" si="2457"/>
        <v>0</v>
      </c>
      <c r="CG1153">
        <f t="shared" si="2457"/>
        <v>0</v>
      </c>
      <c r="CH1153">
        <f t="shared" si="2457"/>
        <v>0</v>
      </c>
      <c r="CI1153">
        <f t="shared" si="2457"/>
        <v>0</v>
      </c>
      <c r="CJ1153">
        <f t="shared" si="2457"/>
        <v>0</v>
      </c>
      <c r="CK1153">
        <f t="shared" si="2457"/>
        <v>0</v>
      </c>
      <c r="CL1153">
        <f t="shared" si="2457"/>
        <v>0</v>
      </c>
      <c r="CM1153">
        <f t="shared" ref="CM1153:CV1155" si="2458">IF($C1153&lt;&gt;"",IF(X1153&gt;0,1,0),0)</f>
        <v>0</v>
      </c>
      <c r="CN1153">
        <f t="shared" si="2458"/>
        <v>0</v>
      </c>
      <c r="CO1153">
        <f t="shared" si="2458"/>
        <v>0</v>
      </c>
      <c r="CP1153">
        <f t="shared" si="2458"/>
        <v>0</v>
      </c>
      <c r="CQ1153">
        <f t="shared" si="2458"/>
        <v>0</v>
      </c>
      <c r="CR1153">
        <f t="shared" si="2458"/>
        <v>0</v>
      </c>
      <c r="CS1153">
        <f t="shared" si="2458"/>
        <v>0</v>
      </c>
      <c r="CT1153">
        <f t="shared" si="2458"/>
        <v>0</v>
      </c>
      <c r="CU1153">
        <f t="shared" si="2458"/>
        <v>0</v>
      </c>
      <c r="CV1153">
        <f t="shared" si="2458"/>
        <v>0</v>
      </c>
      <c r="CW1153">
        <f t="shared" ref="CW1153:DF1155" si="2459">IF($C1153&lt;&gt;"",IF(AH1153&gt;0,1,0),0)</f>
        <v>0</v>
      </c>
      <c r="CX1153">
        <f t="shared" si="2459"/>
        <v>0</v>
      </c>
      <c r="CY1153">
        <f t="shared" si="2459"/>
        <v>0</v>
      </c>
      <c r="CZ1153">
        <f t="shared" si="2459"/>
        <v>0</v>
      </c>
      <c r="DA1153">
        <f t="shared" si="2459"/>
        <v>0</v>
      </c>
      <c r="DB1153">
        <f t="shared" si="2459"/>
        <v>0</v>
      </c>
      <c r="DC1153">
        <f t="shared" si="2459"/>
        <v>0</v>
      </c>
      <c r="DD1153">
        <f t="shared" si="2459"/>
        <v>0</v>
      </c>
      <c r="DE1153">
        <f t="shared" si="2459"/>
        <v>0</v>
      </c>
      <c r="DF1153">
        <f t="shared" si="2459"/>
        <v>0</v>
      </c>
      <c r="DG1153">
        <f t="shared" ref="DG1153:DP1155" si="2460">IF($C1153&lt;&gt;"",IF(AR1153&gt;0,1,0),0)</f>
        <v>0</v>
      </c>
      <c r="DH1153">
        <f t="shared" si="2460"/>
        <v>0</v>
      </c>
      <c r="DI1153">
        <f t="shared" si="2460"/>
        <v>0</v>
      </c>
      <c r="DJ1153">
        <f t="shared" si="2460"/>
        <v>0</v>
      </c>
      <c r="DK1153">
        <f t="shared" si="2460"/>
        <v>0</v>
      </c>
      <c r="DL1153">
        <f t="shared" si="2460"/>
        <v>0</v>
      </c>
      <c r="DM1153">
        <f t="shared" si="2460"/>
        <v>0</v>
      </c>
      <c r="DN1153">
        <f t="shared" si="2460"/>
        <v>0</v>
      </c>
      <c r="DO1153">
        <f t="shared" si="2460"/>
        <v>0</v>
      </c>
      <c r="DP1153">
        <f t="shared" si="2460"/>
        <v>0</v>
      </c>
      <c r="DQ1153">
        <f t="shared" ref="DQ1153:DZ1155" si="2461">IF($C1153&lt;&gt;"",IF(BB1153&gt;0,1,0),0)</f>
        <v>0</v>
      </c>
      <c r="DR1153">
        <f t="shared" si="2461"/>
        <v>0</v>
      </c>
      <c r="DS1153">
        <f t="shared" si="2461"/>
        <v>0</v>
      </c>
      <c r="DT1153">
        <f t="shared" si="2461"/>
        <v>0</v>
      </c>
      <c r="DU1153">
        <f t="shared" si="2461"/>
        <v>0</v>
      </c>
      <c r="DV1153">
        <f t="shared" si="2461"/>
        <v>0</v>
      </c>
      <c r="DW1153">
        <f t="shared" si="2461"/>
        <v>0</v>
      </c>
      <c r="DX1153">
        <f t="shared" si="2461"/>
        <v>0</v>
      </c>
      <c r="DY1153">
        <f t="shared" si="2461"/>
        <v>0</v>
      </c>
      <c r="DZ1153">
        <f t="shared" si="2461"/>
        <v>0</v>
      </c>
      <c r="EA1153">
        <f t="shared" ref="EA1153:EF1154" si="2462">IF($C1153&lt;&gt;"",IF(BL1152&gt;0,1,0),0)</f>
        <v>0</v>
      </c>
      <c r="EB1153">
        <f>IF($C1153&lt;&gt;"",IF(BM1152&gt;0,1,0),0)</f>
        <v>0</v>
      </c>
      <c r="EC1153">
        <f t="shared" si="2462"/>
        <v>0</v>
      </c>
      <c r="ED1153">
        <f t="shared" si="2462"/>
        <v>0</v>
      </c>
      <c r="EE1153">
        <f t="shared" si="2462"/>
        <v>0</v>
      </c>
      <c r="EF1153">
        <f t="shared" si="2462"/>
        <v>0</v>
      </c>
    </row>
    <row r="1154" spans="1:136" ht="15.5">
      <c r="A1154" s="90"/>
      <c r="B1154" s="19" t="s">
        <v>208</v>
      </c>
      <c r="C1154" s="96"/>
      <c r="D1154" s="18">
        <v>0</v>
      </c>
      <c r="E1154" s="18">
        <v>0</v>
      </c>
      <c r="F1154" s="18">
        <v>0</v>
      </c>
      <c r="G1154" s="18">
        <v>0</v>
      </c>
      <c r="H1154" s="18">
        <v>0</v>
      </c>
      <c r="I1154" s="18">
        <v>0</v>
      </c>
      <c r="J1154" s="18">
        <v>0</v>
      </c>
      <c r="K1154" s="18">
        <v>0</v>
      </c>
      <c r="L1154" s="18">
        <v>0</v>
      </c>
      <c r="M1154" s="18">
        <v>0</v>
      </c>
      <c r="N1154" s="18">
        <v>0</v>
      </c>
      <c r="O1154" s="18">
        <v>0</v>
      </c>
      <c r="P1154" s="18">
        <v>0</v>
      </c>
      <c r="Q1154" s="18">
        <v>0</v>
      </c>
      <c r="R1154" s="18">
        <v>0</v>
      </c>
      <c r="S1154" s="18">
        <v>0</v>
      </c>
      <c r="T1154" s="18">
        <v>0</v>
      </c>
      <c r="U1154" s="18">
        <v>0</v>
      </c>
      <c r="V1154" s="18">
        <v>0</v>
      </c>
      <c r="W1154" s="18">
        <v>0</v>
      </c>
      <c r="X1154" s="18">
        <v>0</v>
      </c>
      <c r="Y1154" s="18">
        <v>0</v>
      </c>
      <c r="Z1154" s="18">
        <v>0</v>
      </c>
      <c r="AA1154" s="18">
        <v>0</v>
      </c>
      <c r="AB1154" s="18">
        <v>0</v>
      </c>
      <c r="AC1154" s="18">
        <v>0</v>
      </c>
      <c r="AD1154" s="18">
        <v>0</v>
      </c>
      <c r="AE1154" s="18">
        <v>0</v>
      </c>
      <c r="AF1154" s="18">
        <v>0</v>
      </c>
      <c r="AG1154" s="18">
        <v>0</v>
      </c>
      <c r="AH1154" s="18">
        <v>0</v>
      </c>
      <c r="AI1154" s="18">
        <v>0</v>
      </c>
      <c r="AJ1154" s="18">
        <v>0</v>
      </c>
      <c r="AK1154" s="18">
        <v>0</v>
      </c>
      <c r="AL1154" s="18">
        <v>0</v>
      </c>
      <c r="AM1154" s="18">
        <v>0</v>
      </c>
      <c r="AN1154" s="18">
        <v>0</v>
      </c>
      <c r="AO1154" s="18">
        <v>0</v>
      </c>
      <c r="AP1154" s="18">
        <v>0</v>
      </c>
      <c r="AQ1154" s="18">
        <v>0</v>
      </c>
      <c r="AR1154" s="18">
        <v>0</v>
      </c>
      <c r="AS1154" s="18">
        <v>0</v>
      </c>
      <c r="AT1154" s="18">
        <v>0</v>
      </c>
      <c r="AU1154" s="18">
        <v>0</v>
      </c>
      <c r="AV1154" s="18">
        <v>0</v>
      </c>
      <c r="AW1154" s="18">
        <v>0</v>
      </c>
      <c r="AX1154" s="18">
        <v>8.4069000000000001E-3</v>
      </c>
      <c r="AY1154" s="18">
        <v>0</v>
      </c>
      <c r="AZ1154" s="18">
        <v>1.6246053999999999</v>
      </c>
      <c r="BA1154" s="18">
        <v>4.5077863000000002</v>
      </c>
      <c r="BB1154" s="18">
        <v>0.71877430000000009</v>
      </c>
      <c r="BC1154" s="18">
        <v>0.72700469999999995</v>
      </c>
      <c r="BD1154" s="18">
        <v>0.64702480000000007</v>
      </c>
      <c r="BE1154" s="25">
        <v>0</v>
      </c>
      <c r="BF1154" s="18">
        <v>0</v>
      </c>
      <c r="BG1154" s="18">
        <v>0</v>
      </c>
      <c r="BH1154" s="18">
        <v>0</v>
      </c>
      <c r="BI1154" s="18">
        <v>0</v>
      </c>
      <c r="BJ1154" s="113">
        <v>0</v>
      </c>
      <c r="BK1154" s="113">
        <v>0</v>
      </c>
      <c r="BL1154" s="113">
        <v>0</v>
      </c>
      <c r="BM1154" s="113">
        <v>0</v>
      </c>
      <c r="BN1154" s="113">
        <v>0</v>
      </c>
      <c r="BO1154" s="113">
        <v>0</v>
      </c>
      <c r="BP1154" s="113">
        <v>0</v>
      </c>
      <c r="BQ1154" s="113">
        <v>0</v>
      </c>
      <c r="BR1154" s="101"/>
      <c r="BS1154">
        <f t="shared" si="2456"/>
        <v>0</v>
      </c>
      <c r="BT1154">
        <f t="shared" si="2456"/>
        <v>0</v>
      </c>
      <c r="BU1154">
        <f t="shared" si="2456"/>
        <v>0</v>
      </c>
      <c r="BV1154">
        <f t="shared" si="2456"/>
        <v>0</v>
      </c>
      <c r="BW1154">
        <f t="shared" si="2456"/>
        <v>0</v>
      </c>
      <c r="BX1154">
        <f t="shared" si="2456"/>
        <v>0</v>
      </c>
      <c r="BY1154">
        <f t="shared" si="2456"/>
        <v>0</v>
      </c>
      <c r="BZ1154">
        <f t="shared" si="2456"/>
        <v>0</v>
      </c>
      <c r="CA1154">
        <f t="shared" si="2456"/>
        <v>0</v>
      </c>
      <c r="CB1154">
        <f t="shared" si="2456"/>
        <v>0</v>
      </c>
      <c r="CC1154">
        <f t="shared" si="2457"/>
        <v>0</v>
      </c>
      <c r="CD1154">
        <f t="shared" si="2457"/>
        <v>0</v>
      </c>
      <c r="CE1154">
        <f t="shared" si="2457"/>
        <v>0</v>
      </c>
      <c r="CF1154">
        <f t="shared" si="2457"/>
        <v>0</v>
      </c>
      <c r="CG1154">
        <f t="shared" si="2457"/>
        <v>0</v>
      </c>
      <c r="CH1154">
        <f t="shared" si="2457"/>
        <v>0</v>
      </c>
      <c r="CI1154">
        <f t="shared" si="2457"/>
        <v>0</v>
      </c>
      <c r="CJ1154">
        <f t="shared" si="2457"/>
        <v>0</v>
      </c>
      <c r="CK1154">
        <f t="shared" si="2457"/>
        <v>0</v>
      </c>
      <c r="CL1154">
        <f t="shared" si="2457"/>
        <v>0</v>
      </c>
      <c r="CM1154">
        <f t="shared" si="2458"/>
        <v>0</v>
      </c>
      <c r="CN1154">
        <f t="shared" si="2458"/>
        <v>0</v>
      </c>
      <c r="CO1154">
        <f t="shared" si="2458"/>
        <v>0</v>
      </c>
      <c r="CP1154">
        <f t="shared" si="2458"/>
        <v>0</v>
      </c>
      <c r="CQ1154">
        <f t="shared" si="2458"/>
        <v>0</v>
      </c>
      <c r="CR1154">
        <f t="shared" si="2458"/>
        <v>0</v>
      </c>
      <c r="CS1154">
        <f t="shared" si="2458"/>
        <v>0</v>
      </c>
      <c r="CT1154">
        <f t="shared" si="2458"/>
        <v>0</v>
      </c>
      <c r="CU1154">
        <f t="shared" si="2458"/>
        <v>0</v>
      </c>
      <c r="CV1154">
        <f t="shared" si="2458"/>
        <v>0</v>
      </c>
      <c r="CW1154">
        <f t="shared" si="2459"/>
        <v>0</v>
      </c>
      <c r="CX1154">
        <f t="shared" si="2459"/>
        <v>0</v>
      </c>
      <c r="CY1154">
        <f t="shared" si="2459"/>
        <v>0</v>
      </c>
      <c r="CZ1154">
        <f t="shared" si="2459"/>
        <v>0</v>
      </c>
      <c r="DA1154">
        <f t="shared" si="2459"/>
        <v>0</v>
      </c>
      <c r="DB1154">
        <f t="shared" si="2459"/>
        <v>0</v>
      </c>
      <c r="DC1154">
        <f t="shared" si="2459"/>
        <v>0</v>
      </c>
      <c r="DD1154">
        <f t="shared" si="2459"/>
        <v>0</v>
      </c>
      <c r="DE1154">
        <f t="shared" si="2459"/>
        <v>0</v>
      </c>
      <c r="DF1154">
        <f t="shared" si="2459"/>
        <v>0</v>
      </c>
      <c r="DG1154">
        <f t="shared" si="2460"/>
        <v>0</v>
      </c>
      <c r="DH1154">
        <f t="shared" si="2460"/>
        <v>0</v>
      </c>
      <c r="DI1154">
        <f t="shared" si="2460"/>
        <v>0</v>
      </c>
      <c r="DJ1154">
        <f t="shared" si="2460"/>
        <v>0</v>
      </c>
      <c r="DK1154">
        <f t="shared" si="2460"/>
        <v>0</v>
      </c>
      <c r="DL1154">
        <f t="shared" si="2460"/>
        <v>0</v>
      </c>
      <c r="DM1154">
        <f t="shared" si="2460"/>
        <v>0</v>
      </c>
      <c r="DN1154">
        <f t="shared" si="2460"/>
        <v>0</v>
      </c>
      <c r="DO1154">
        <f t="shared" si="2460"/>
        <v>0</v>
      </c>
      <c r="DP1154">
        <f t="shared" si="2460"/>
        <v>0</v>
      </c>
      <c r="DQ1154">
        <f t="shared" si="2461"/>
        <v>0</v>
      </c>
      <c r="DR1154">
        <f t="shared" si="2461"/>
        <v>0</v>
      </c>
      <c r="DS1154">
        <f t="shared" si="2461"/>
        <v>0</v>
      </c>
      <c r="DT1154">
        <f t="shared" si="2461"/>
        <v>0</v>
      </c>
      <c r="DU1154">
        <f t="shared" si="2461"/>
        <v>0</v>
      </c>
      <c r="DV1154">
        <f t="shared" si="2461"/>
        <v>0</v>
      </c>
      <c r="DW1154">
        <f t="shared" si="2461"/>
        <v>0</v>
      </c>
      <c r="DX1154">
        <f t="shared" si="2461"/>
        <v>0</v>
      </c>
      <c r="DY1154">
        <f t="shared" si="2461"/>
        <v>0</v>
      </c>
      <c r="DZ1154">
        <f t="shared" si="2461"/>
        <v>0</v>
      </c>
      <c r="EA1154">
        <f t="shared" si="2462"/>
        <v>0</v>
      </c>
      <c r="EB1154">
        <f>IF($C1154&lt;&gt;"",IF(BM1153&gt;0,1,0),0)</f>
        <v>0</v>
      </c>
      <c r="EC1154">
        <f t="shared" si="2462"/>
        <v>0</v>
      </c>
      <c r="ED1154">
        <f t="shared" si="2462"/>
        <v>0</v>
      </c>
      <c r="EE1154">
        <f t="shared" si="2462"/>
        <v>0</v>
      </c>
      <c r="EF1154">
        <f t="shared" si="2462"/>
        <v>0</v>
      </c>
    </row>
    <row r="1155" spans="1:136" ht="15.5">
      <c r="A1155" s="90"/>
      <c r="B1155" s="53" t="s">
        <v>212</v>
      </c>
      <c r="C1155" s="96"/>
      <c r="D1155" s="18"/>
      <c r="E1155" s="18"/>
      <c r="F1155" s="18"/>
      <c r="G1155" s="18"/>
      <c r="H1155" s="18"/>
      <c r="I1155" s="18"/>
      <c r="J1155" s="18"/>
      <c r="K1155" s="18"/>
      <c r="L1155" s="18"/>
      <c r="M1155" s="18"/>
      <c r="N1155" s="18"/>
      <c r="O1155" s="18"/>
      <c r="P1155" s="18"/>
      <c r="Q1155" s="18"/>
      <c r="R1155" s="18"/>
      <c r="S1155" s="18"/>
      <c r="T1155" s="18"/>
      <c r="U1155" s="18"/>
      <c r="V1155" s="18"/>
      <c r="W1155" s="18"/>
      <c r="X1155" s="18"/>
      <c r="Y1155" s="18"/>
      <c r="Z1155" s="18"/>
      <c r="AA1155" s="18"/>
      <c r="AB1155" s="18"/>
      <c r="AC1155" s="18"/>
      <c r="AD1155" s="18"/>
      <c r="AE1155" s="18"/>
      <c r="AF1155" s="18"/>
      <c r="AG1155" s="18"/>
      <c r="AH1155" s="18">
        <v>0</v>
      </c>
      <c r="AI1155" s="18">
        <v>0</v>
      </c>
      <c r="AJ1155" s="18">
        <v>0</v>
      </c>
      <c r="AK1155" s="18">
        <v>0</v>
      </c>
      <c r="AL1155" s="18">
        <v>0</v>
      </c>
      <c r="AM1155" s="18">
        <f>13100/25.2</f>
        <v>519.84126984126988</v>
      </c>
      <c r="AN1155" s="18">
        <v>776</v>
      </c>
      <c r="AO1155" s="18">
        <v>0</v>
      </c>
      <c r="AP1155" s="18">
        <f>75300/36.5</f>
        <v>2063.0136986301368</v>
      </c>
      <c r="AQ1155" s="18">
        <v>0</v>
      </c>
      <c r="AR1155" s="18">
        <v>0</v>
      </c>
      <c r="AS1155" s="18">
        <v>0</v>
      </c>
      <c r="AT1155" s="18">
        <v>0</v>
      </c>
      <c r="AU1155" s="18">
        <v>0</v>
      </c>
      <c r="AV1155" s="18">
        <v>0</v>
      </c>
      <c r="AW1155" s="18">
        <v>0</v>
      </c>
      <c r="AX1155" s="18">
        <v>0</v>
      </c>
      <c r="AY1155" s="18">
        <v>0</v>
      </c>
      <c r="AZ1155" s="18">
        <v>0</v>
      </c>
      <c r="BA1155" s="18">
        <v>0</v>
      </c>
      <c r="BB1155" s="18">
        <v>0</v>
      </c>
      <c r="BC1155" s="18">
        <v>0</v>
      </c>
      <c r="BD1155" s="18">
        <v>0</v>
      </c>
      <c r="BE1155" s="18">
        <v>0</v>
      </c>
      <c r="BF1155" s="18">
        <v>0</v>
      </c>
      <c r="BG1155" s="18">
        <v>0</v>
      </c>
      <c r="BH1155" s="18">
        <v>0</v>
      </c>
      <c r="BI1155" s="18">
        <v>0</v>
      </c>
      <c r="BJ1155" s="18">
        <v>0</v>
      </c>
      <c r="BK1155" s="18">
        <v>0</v>
      </c>
      <c r="BL1155" s="18">
        <v>0</v>
      </c>
      <c r="BM1155" s="18">
        <v>0</v>
      </c>
      <c r="BN1155" s="18">
        <v>0</v>
      </c>
      <c r="BO1155" s="18">
        <v>0</v>
      </c>
      <c r="BP1155" s="18">
        <v>0</v>
      </c>
      <c r="BQ1155" s="18">
        <v>0</v>
      </c>
      <c r="BR1155" s="101"/>
      <c r="BS1155">
        <f t="shared" si="2456"/>
        <v>0</v>
      </c>
      <c r="BT1155">
        <f t="shared" si="2456"/>
        <v>0</v>
      </c>
      <c r="BU1155">
        <f t="shared" si="2456"/>
        <v>0</v>
      </c>
      <c r="BV1155">
        <f t="shared" si="2456"/>
        <v>0</v>
      </c>
      <c r="BW1155">
        <f t="shared" si="2456"/>
        <v>0</v>
      </c>
      <c r="BX1155">
        <f t="shared" si="2456"/>
        <v>0</v>
      </c>
      <c r="BY1155">
        <f t="shared" si="2456"/>
        <v>0</v>
      </c>
      <c r="BZ1155">
        <f t="shared" si="2456"/>
        <v>0</v>
      </c>
      <c r="CA1155">
        <f t="shared" si="2456"/>
        <v>0</v>
      </c>
      <c r="CB1155">
        <f t="shared" si="2456"/>
        <v>0</v>
      </c>
      <c r="CC1155">
        <f t="shared" si="2457"/>
        <v>0</v>
      </c>
      <c r="CD1155">
        <f t="shared" si="2457"/>
        <v>0</v>
      </c>
      <c r="CE1155">
        <f t="shared" si="2457"/>
        <v>0</v>
      </c>
      <c r="CF1155">
        <f t="shared" si="2457"/>
        <v>0</v>
      </c>
      <c r="CG1155">
        <f t="shared" si="2457"/>
        <v>0</v>
      </c>
      <c r="CH1155">
        <f t="shared" si="2457"/>
        <v>0</v>
      </c>
      <c r="CI1155">
        <f t="shared" si="2457"/>
        <v>0</v>
      </c>
      <c r="CJ1155">
        <f t="shared" si="2457"/>
        <v>0</v>
      </c>
      <c r="CK1155">
        <f t="shared" si="2457"/>
        <v>0</v>
      </c>
      <c r="CL1155">
        <f t="shared" si="2457"/>
        <v>0</v>
      </c>
      <c r="CM1155">
        <f t="shared" si="2458"/>
        <v>0</v>
      </c>
      <c r="CN1155">
        <f t="shared" si="2458"/>
        <v>0</v>
      </c>
      <c r="CO1155">
        <f t="shared" si="2458"/>
        <v>0</v>
      </c>
      <c r="CP1155">
        <f t="shared" si="2458"/>
        <v>0</v>
      </c>
      <c r="CQ1155">
        <f t="shared" si="2458"/>
        <v>0</v>
      </c>
      <c r="CR1155">
        <f t="shared" si="2458"/>
        <v>0</v>
      </c>
      <c r="CS1155">
        <f t="shared" si="2458"/>
        <v>0</v>
      </c>
      <c r="CT1155">
        <f t="shared" si="2458"/>
        <v>0</v>
      </c>
      <c r="CU1155">
        <f t="shared" si="2458"/>
        <v>0</v>
      </c>
      <c r="CV1155">
        <f t="shared" si="2458"/>
        <v>0</v>
      </c>
      <c r="CW1155">
        <f t="shared" si="2459"/>
        <v>0</v>
      </c>
      <c r="CX1155">
        <f t="shared" si="2459"/>
        <v>0</v>
      </c>
      <c r="CY1155">
        <f t="shared" si="2459"/>
        <v>0</v>
      </c>
      <c r="CZ1155">
        <f t="shared" si="2459"/>
        <v>0</v>
      </c>
      <c r="DA1155">
        <f t="shared" si="2459"/>
        <v>0</v>
      </c>
      <c r="DB1155">
        <f t="shared" si="2459"/>
        <v>0</v>
      </c>
      <c r="DC1155">
        <f t="shared" si="2459"/>
        <v>0</v>
      </c>
      <c r="DD1155">
        <f t="shared" si="2459"/>
        <v>0</v>
      </c>
      <c r="DE1155">
        <f t="shared" si="2459"/>
        <v>0</v>
      </c>
      <c r="DF1155">
        <f t="shared" si="2459"/>
        <v>0</v>
      </c>
      <c r="DG1155">
        <f t="shared" si="2460"/>
        <v>0</v>
      </c>
      <c r="DH1155">
        <f t="shared" si="2460"/>
        <v>0</v>
      </c>
      <c r="DI1155">
        <f t="shared" si="2460"/>
        <v>0</v>
      </c>
      <c r="DJ1155">
        <f t="shared" si="2460"/>
        <v>0</v>
      </c>
      <c r="DK1155">
        <f t="shared" si="2460"/>
        <v>0</v>
      </c>
      <c r="DL1155">
        <f t="shared" si="2460"/>
        <v>0</v>
      </c>
      <c r="DM1155">
        <f t="shared" si="2460"/>
        <v>0</v>
      </c>
      <c r="DN1155">
        <f t="shared" si="2460"/>
        <v>0</v>
      </c>
      <c r="DO1155">
        <f t="shared" si="2460"/>
        <v>0</v>
      </c>
      <c r="DP1155">
        <f t="shared" si="2460"/>
        <v>0</v>
      </c>
      <c r="DQ1155">
        <f t="shared" si="2461"/>
        <v>0</v>
      </c>
      <c r="DR1155">
        <f t="shared" si="2461"/>
        <v>0</v>
      </c>
      <c r="DS1155">
        <f t="shared" si="2461"/>
        <v>0</v>
      </c>
      <c r="DT1155">
        <f t="shared" si="2461"/>
        <v>0</v>
      </c>
      <c r="DU1155">
        <f t="shared" si="2461"/>
        <v>0</v>
      </c>
      <c r="DV1155">
        <f t="shared" si="2461"/>
        <v>0</v>
      </c>
      <c r="DW1155">
        <f t="shared" si="2461"/>
        <v>0</v>
      </c>
      <c r="DX1155">
        <f t="shared" si="2461"/>
        <v>0</v>
      </c>
      <c r="DY1155">
        <f t="shared" si="2461"/>
        <v>0</v>
      </c>
      <c r="DZ1155">
        <f t="shared" si="2461"/>
        <v>0</v>
      </c>
      <c r="EA1155">
        <f t="shared" ref="EA1155:EF1155" si="2463">IF($C1155&lt;&gt;"",IF(BL1155&gt;0,1,0),0)</f>
        <v>0</v>
      </c>
      <c r="EB1155">
        <f t="shared" si="2463"/>
        <v>0</v>
      </c>
      <c r="EC1155">
        <f t="shared" si="2463"/>
        <v>0</v>
      </c>
      <c r="ED1155">
        <f t="shared" si="2463"/>
        <v>0</v>
      </c>
      <c r="EE1155">
        <f t="shared" si="2463"/>
        <v>0</v>
      </c>
      <c r="EF1155">
        <f t="shared" si="2463"/>
        <v>0</v>
      </c>
    </row>
    <row r="1156" spans="1:136" ht="15.5">
      <c r="A1156" s="90"/>
      <c r="B1156" s="37"/>
      <c r="C1156" s="96"/>
      <c r="D1156" s="31"/>
      <c r="E1156" s="31"/>
      <c r="F1156" s="31"/>
      <c r="G1156" s="31"/>
      <c r="H1156" s="31"/>
      <c r="I1156" s="31"/>
      <c r="J1156" s="31"/>
      <c r="K1156" s="31"/>
      <c r="L1156" s="31"/>
      <c r="M1156" s="31"/>
      <c r="N1156" s="31"/>
      <c r="O1156" s="31"/>
      <c r="P1156" s="31"/>
      <c r="Q1156" s="31"/>
      <c r="R1156" s="31"/>
      <c r="S1156" s="31"/>
      <c r="T1156" s="31"/>
      <c r="U1156" s="31"/>
      <c r="V1156" s="31"/>
      <c r="W1156" s="31"/>
      <c r="X1156" s="31"/>
      <c r="Y1156" s="31"/>
      <c r="Z1156" s="31"/>
      <c r="AA1156" s="31"/>
      <c r="AB1156" s="31"/>
      <c r="AC1156" s="31"/>
      <c r="AD1156" s="31"/>
      <c r="AE1156" s="31"/>
      <c r="AF1156" s="31"/>
      <c r="AG1156" s="31"/>
      <c r="AH1156" s="31"/>
      <c r="AI1156" s="31"/>
      <c r="AJ1156" s="31"/>
      <c r="AK1156" s="31"/>
      <c r="AL1156" s="31"/>
      <c r="AM1156" s="31"/>
      <c r="AN1156" s="31"/>
      <c r="AO1156" s="31"/>
      <c r="AP1156" s="31"/>
      <c r="AQ1156" s="31"/>
      <c r="AR1156" s="31"/>
      <c r="AS1156" s="31"/>
      <c r="AT1156" s="31"/>
      <c r="AU1156" s="31"/>
      <c r="AV1156" s="31"/>
      <c r="AW1156" s="31"/>
      <c r="AX1156" s="31"/>
      <c r="AY1156" s="31"/>
      <c r="AZ1156" s="31"/>
      <c r="BA1156" s="31"/>
      <c r="BB1156" s="31"/>
      <c r="BC1156" s="31"/>
      <c r="BD1156" s="31"/>
      <c r="BE1156" s="55"/>
      <c r="BF1156" s="18"/>
      <c r="BG1156" s="31"/>
      <c r="BH1156" s="2"/>
      <c r="BI1156" s="2"/>
      <c r="BJ1156" s="2"/>
      <c r="BK1156" s="2"/>
      <c r="BL1156" s="22"/>
      <c r="BM1156" s="2"/>
      <c r="BN1156" s="2"/>
      <c r="BO1156" s="2"/>
      <c r="BP1156" s="2"/>
      <c r="BQ1156" s="2"/>
      <c r="BR1156" s="101"/>
    </row>
    <row r="1157" spans="1:136" ht="15.5">
      <c r="A1157" s="93">
        <v>146</v>
      </c>
      <c r="B1157" s="32" t="s">
        <v>144</v>
      </c>
      <c r="C1157" s="94">
        <v>3</v>
      </c>
      <c r="D1157" s="22">
        <f t="shared" ref="D1157:AI1157" si="2464">SUM(D1158:D1164)</f>
        <v>0</v>
      </c>
      <c r="E1157" s="22">
        <f t="shared" si="2464"/>
        <v>0</v>
      </c>
      <c r="F1157" s="22">
        <f t="shared" si="2464"/>
        <v>0</v>
      </c>
      <c r="G1157" s="22">
        <f t="shared" si="2464"/>
        <v>0</v>
      </c>
      <c r="H1157" s="22">
        <f t="shared" si="2464"/>
        <v>0</v>
      </c>
      <c r="I1157" s="22">
        <f t="shared" si="2464"/>
        <v>0</v>
      </c>
      <c r="J1157" s="22">
        <f t="shared" si="2464"/>
        <v>0</v>
      </c>
      <c r="K1157" s="22">
        <f t="shared" si="2464"/>
        <v>0</v>
      </c>
      <c r="L1157" s="22">
        <f t="shared" si="2464"/>
        <v>0</v>
      </c>
      <c r="M1157" s="22">
        <f t="shared" si="2464"/>
        <v>0</v>
      </c>
      <c r="N1157" s="22">
        <f t="shared" si="2464"/>
        <v>0.14703959999999999</v>
      </c>
      <c r="O1157" s="22">
        <f t="shared" si="2464"/>
        <v>2.2378311999999996</v>
      </c>
      <c r="P1157" s="22">
        <f t="shared" si="2464"/>
        <v>1.8845176000000001</v>
      </c>
      <c r="Q1157" s="22">
        <f t="shared" si="2464"/>
        <v>2.2869489000000001</v>
      </c>
      <c r="R1157" s="22">
        <f t="shared" si="2464"/>
        <v>0.78574089999999996</v>
      </c>
      <c r="S1157" s="22">
        <f t="shared" si="2464"/>
        <v>0.63956900000000005</v>
      </c>
      <c r="T1157" s="22">
        <f t="shared" si="2464"/>
        <v>5.1096823999999996</v>
      </c>
      <c r="U1157" s="22">
        <f t="shared" si="2464"/>
        <v>9.4729417999999992</v>
      </c>
      <c r="V1157" s="22">
        <f t="shared" si="2464"/>
        <v>44.636092999999995</v>
      </c>
      <c r="W1157" s="22">
        <f t="shared" si="2464"/>
        <v>333.33745820000001</v>
      </c>
      <c r="X1157" s="22">
        <f t="shared" si="2464"/>
        <v>117.7445793</v>
      </c>
      <c r="Y1157" s="22">
        <f t="shared" si="2464"/>
        <v>343.04152199999999</v>
      </c>
      <c r="Z1157" s="22">
        <f t="shared" si="2464"/>
        <v>196.67980839999998</v>
      </c>
      <c r="AA1157" s="22">
        <f t="shared" si="2464"/>
        <v>338.23120090000003</v>
      </c>
      <c r="AB1157" s="22">
        <f t="shared" si="2464"/>
        <v>70</v>
      </c>
      <c r="AC1157" s="22">
        <f t="shared" si="2464"/>
        <v>30.270715899999999</v>
      </c>
      <c r="AD1157" s="22">
        <f t="shared" si="2464"/>
        <v>10.777057000000001</v>
      </c>
      <c r="AE1157" s="22">
        <f t="shared" si="2464"/>
        <v>118.4934148</v>
      </c>
      <c r="AF1157" s="22">
        <f t="shared" si="2464"/>
        <v>208.67884750000002</v>
      </c>
      <c r="AG1157" s="22">
        <f t="shared" si="2464"/>
        <v>298.9584097</v>
      </c>
      <c r="AH1157" s="22">
        <f t="shared" si="2464"/>
        <v>191.91282929999997</v>
      </c>
      <c r="AI1157" s="22">
        <f t="shared" si="2464"/>
        <v>49.733395800000004</v>
      </c>
      <c r="AJ1157" s="22">
        <f t="shared" ref="AJ1157:BQ1157" si="2465">SUM(AJ1158:AJ1164)</f>
        <v>145.48527290000001</v>
      </c>
      <c r="AK1157" s="22">
        <f t="shared" si="2465"/>
        <v>119.426389</v>
      </c>
      <c r="AL1157" s="22">
        <f t="shared" si="2465"/>
        <v>196.99742289999998</v>
      </c>
      <c r="AM1157" s="22">
        <f t="shared" si="2465"/>
        <v>561.94661930000007</v>
      </c>
      <c r="AN1157" s="22">
        <f t="shared" si="2465"/>
        <v>120.82604620000001</v>
      </c>
      <c r="AO1157" s="22">
        <f t="shared" si="2465"/>
        <v>147.96532070000001</v>
      </c>
      <c r="AP1157" s="22">
        <f t="shared" si="2465"/>
        <v>52.527925800000006</v>
      </c>
      <c r="AQ1157" s="22">
        <f t="shared" si="2465"/>
        <v>69.5303045</v>
      </c>
      <c r="AR1157" s="22">
        <f t="shared" si="2465"/>
        <v>126.79740469999999</v>
      </c>
      <c r="AS1157" s="22">
        <f t="shared" si="2465"/>
        <v>157.8096754</v>
      </c>
      <c r="AT1157" s="22">
        <f t="shared" si="2465"/>
        <v>260.8541098</v>
      </c>
      <c r="AU1157" s="22">
        <f t="shared" si="2465"/>
        <v>379.00985219999995</v>
      </c>
      <c r="AV1157" s="22">
        <f t="shared" si="2465"/>
        <v>527.50506350000001</v>
      </c>
      <c r="AW1157" s="22">
        <f t="shared" si="2465"/>
        <v>540.35784060000003</v>
      </c>
      <c r="AX1157" s="22">
        <f t="shared" si="2465"/>
        <v>658.66926899999999</v>
      </c>
      <c r="AY1157" s="22">
        <f t="shared" si="2465"/>
        <v>775.4080790999999</v>
      </c>
      <c r="AZ1157" s="22">
        <f t="shared" si="2465"/>
        <v>775.60155680000003</v>
      </c>
      <c r="BA1157" s="22">
        <f t="shared" si="2465"/>
        <v>136.2932261</v>
      </c>
      <c r="BB1157" s="22">
        <f t="shared" si="2465"/>
        <v>615.06045689999996</v>
      </c>
      <c r="BC1157" s="22">
        <f t="shared" si="2465"/>
        <v>742.80822420000004</v>
      </c>
      <c r="BD1157" s="22">
        <f t="shared" si="2465"/>
        <v>41.026488499999999</v>
      </c>
      <c r="BE1157" s="22">
        <f t="shared" si="2465"/>
        <v>9.3656431999999992</v>
      </c>
      <c r="BF1157" s="22">
        <f t="shared" si="2465"/>
        <v>6.2784754000000005</v>
      </c>
      <c r="BG1157" s="22">
        <f t="shared" si="2465"/>
        <v>5.3210385999999996</v>
      </c>
      <c r="BH1157" s="22">
        <f t="shared" si="2465"/>
        <v>1.0160931000000002</v>
      </c>
      <c r="BI1157" s="22">
        <f t="shared" si="2465"/>
        <v>3.4000000000000002E-2</v>
      </c>
      <c r="BJ1157" s="22">
        <f t="shared" si="2465"/>
        <v>4.0000000000000001E-3</v>
      </c>
      <c r="BK1157" s="22">
        <f t="shared" si="2465"/>
        <v>0</v>
      </c>
      <c r="BL1157" s="22">
        <f t="shared" si="2465"/>
        <v>21.678675600000002</v>
      </c>
      <c r="BM1157" s="22">
        <f t="shared" si="2465"/>
        <v>20.085486400000001</v>
      </c>
      <c r="BN1157" s="22">
        <f t="shared" si="2465"/>
        <v>1.8616786999999999</v>
      </c>
      <c r="BO1157" s="22">
        <f t="shared" si="2465"/>
        <v>2</v>
      </c>
      <c r="BP1157" s="22">
        <f t="shared" si="2465"/>
        <v>2</v>
      </c>
      <c r="BQ1157" s="22">
        <f t="shared" si="2465"/>
        <v>2</v>
      </c>
      <c r="BR1157" s="101"/>
      <c r="BS1157">
        <f t="shared" ref="BS1157:CX1157" si="2466">IF($C1157&lt;&gt;"",IF(D1157&gt;0,1,0),0)</f>
        <v>0</v>
      </c>
      <c r="BT1157">
        <f t="shared" si="2466"/>
        <v>0</v>
      </c>
      <c r="BU1157">
        <f t="shared" si="2466"/>
        <v>0</v>
      </c>
      <c r="BV1157">
        <f t="shared" si="2466"/>
        <v>0</v>
      </c>
      <c r="BW1157">
        <f t="shared" si="2466"/>
        <v>0</v>
      </c>
      <c r="BX1157">
        <f t="shared" si="2466"/>
        <v>0</v>
      </c>
      <c r="BY1157">
        <f t="shared" si="2466"/>
        <v>0</v>
      </c>
      <c r="BZ1157">
        <f t="shared" si="2466"/>
        <v>0</v>
      </c>
      <c r="CA1157">
        <f t="shared" si="2466"/>
        <v>0</v>
      </c>
      <c r="CB1157">
        <f t="shared" si="2466"/>
        <v>0</v>
      </c>
      <c r="CC1157">
        <f t="shared" si="2466"/>
        <v>1</v>
      </c>
      <c r="CD1157">
        <f t="shared" si="2466"/>
        <v>1</v>
      </c>
      <c r="CE1157">
        <f t="shared" si="2466"/>
        <v>1</v>
      </c>
      <c r="CF1157">
        <f t="shared" si="2466"/>
        <v>1</v>
      </c>
      <c r="CG1157">
        <f t="shared" si="2466"/>
        <v>1</v>
      </c>
      <c r="CH1157">
        <f t="shared" si="2466"/>
        <v>1</v>
      </c>
      <c r="CI1157">
        <f t="shared" si="2466"/>
        <v>1</v>
      </c>
      <c r="CJ1157">
        <f t="shared" si="2466"/>
        <v>1</v>
      </c>
      <c r="CK1157">
        <f t="shared" si="2466"/>
        <v>1</v>
      </c>
      <c r="CL1157">
        <f t="shared" si="2466"/>
        <v>1</v>
      </c>
      <c r="CM1157">
        <f t="shared" si="2466"/>
        <v>1</v>
      </c>
      <c r="CN1157">
        <f t="shared" si="2466"/>
        <v>1</v>
      </c>
      <c r="CO1157">
        <f t="shared" si="2466"/>
        <v>1</v>
      </c>
      <c r="CP1157">
        <f t="shared" si="2466"/>
        <v>1</v>
      </c>
      <c r="CQ1157">
        <f t="shared" si="2466"/>
        <v>1</v>
      </c>
      <c r="CR1157">
        <f t="shared" si="2466"/>
        <v>1</v>
      </c>
      <c r="CS1157">
        <f t="shared" si="2466"/>
        <v>1</v>
      </c>
      <c r="CT1157">
        <f t="shared" si="2466"/>
        <v>1</v>
      </c>
      <c r="CU1157">
        <f t="shared" si="2466"/>
        <v>1</v>
      </c>
      <c r="CV1157">
        <f t="shared" si="2466"/>
        <v>1</v>
      </c>
      <c r="CW1157">
        <f t="shared" si="2466"/>
        <v>1</v>
      </c>
      <c r="CX1157">
        <f t="shared" si="2466"/>
        <v>1</v>
      </c>
      <c r="CY1157">
        <f t="shared" ref="CY1157:EF1157" si="2467">IF($C1157&lt;&gt;"",IF(AJ1157&gt;0,1,0),0)</f>
        <v>1</v>
      </c>
      <c r="CZ1157">
        <f t="shared" si="2467"/>
        <v>1</v>
      </c>
      <c r="DA1157">
        <f t="shared" si="2467"/>
        <v>1</v>
      </c>
      <c r="DB1157">
        <f t="shared" si="2467"/>
        <v>1</v>
      </c>
      <c r="DC1157">
        <f t="shared" si="2467"/>
        <v>1</v>
      </c>
      <c r="DD1157">
        <f t="shared" si="2467"/>
        <v>1</v>
      </c>
      <c r="DE1157">
        <f t="shared" si="2467"/>
        <v>1</v>
      </c>
      <c r="DF1157">
        <f t="shared" si="2467"/>
        <v>1</v>
      </c>
      <c r="DG1157">
        <f t="shared" si="2467"/>
        <v>1</v>
      </c>
      <c r="DH1157">
        <f t="shared" si="2467"/>
        <v>1</v>
      </c>
      <c r="DI1157">
        <f t="shared" si="2467"/>
        <v>1</v>
      </c>
      <c r="DJ1157">
        <f t="shared" si="2467"/>
        <v>1</v>
      </c>
      <c r="DK1157">
        <f t="shared" si="2467"/>
        <v>1</v>
      </c>
      <c r="DL1157">
        <f t="shared" si="2467"/>
        <v>1</v>
      </c>
      <c r="DM1157">
        <f t="shared" si="2467"/>
        <v>1</v>
      </c>
      <c r="DN1157">
        <f t="shared" si="2467"/>
        <v>1</v>
      </c>
      <c r="DO1157">
        <f t="shared" si="2467"/>
        <v>1</v>
      </c>
      <c r="DP1157">
        <f t="shared" si="2467"/>
        <v>1</v>
      </c>
      <c r="DQ1157">
        <f t="shared" si="2467"/>
        <v>1</v>
      </c>
      <c r="DR1157">
        <f t="shared" si="2467"/>
        <v>1</v>
      </c>
      <c r="DS1157">
        <f t="shared" si="2467"/>
        <v>1</v>
      </c>
      <c r="DT1157">
        <f t="shared" si="2467"/>
        <v>1</v>
      </c>
      <c r="DU1157">
        <f t="shared" si="2467"/>
        <v>1</v>
      </c>
      <c r="DV1157">
        <f t="shared" si="2467"/>
        <v>1</v>
      </c>
      <c r="DW1157">
        <f t="shared" si="2467"/>
        <v>1</v>
      </c>
      <c r="DX1157">
        <f t="shared" si="2467"/>
        <v>1</v>
      </c>
      <c r="DY1157">
        <f t="shared" si="2467"/>
        <v>1</v>
      </c>
      <c r="DZ1157">
        <f t="shared" si="2467"/>
        <v>0</v>
      </c>
      <c r="EA1157">
        <f t="shared" si="2467"/>
        <v>1</v>
      </c>
      <c r="EB1157">
        <f>IF($C1157&lt;&gt;"",IF(BM1157&gt;0,1,0),0)</f>
        <v>1</v>
      </c>
      <c r="EC1157">
        <f t="shared" si="2467"/>
        <v>1</v>
      </c>
      <c r="ED1157">
        <f t="shared" si="2467"/>
        <v>1</v>
      </c>
      <c r="EE1157">
        <f t="shared" si="2467"/>
        <v>1</v>
      </c>
      <c r="EF1157">
        <f t="shared" si="2467"/>
        <v>1</v>
      </c>
    </row>
    <row r="1158" spans="1:136" ht="15.5">
      <c r="A1158" s="90"/>
      <c r="B1158" s="57" t="s">
        <v>184</v>
      </c>
      <c r="C1158" s="96"/>
      <c r="D1158" s="18">
        <v>0</v>
      </c>
      <c r="E1158" s="18">
        <v>0</v>
      </c>
      <c r="F1158" s="18">
        <v>0</v>
      </c>
      <c r="G1158" s="18">
        <v>0</v>
      </c>
      <c r="H1158" s="18">
        <v>0</v>
      </c>
      <c r="I1158" s="18">
        <v>0</v>
      </c>
      <c r="J1158" s="18">
        <v>0</v>
      </c>
      <c r="K1158" s="18">
        <v>0</v>
      </c>
      <c r="L1158" s="18">
        <v>0</v>
      </c>
      <c r="M1158" s="18">
        <v>0</v>
      </c>
      <c r="N1158" s="18">
        <v>0</v>
      </c>
      <c r="O1158" s="18">
        <v>0</v>
      </c>
      <c r="P1158" s="18">
        <v>0</v>
      </c>
      <c r="Q1158" s="18">
        <v>0</v>
      </c>
      <c r="R1158" s="18">
        <v>0</v>
      </c>
      <c r="S1158" s="18">
        <v>0</v>
      </c>
      <c r="T1158" s="18">
        <v>0</v>
      </c>
      <c r="U1158" s="18">
        <v>0</v>
      </c>
      <c r="V1158" s="18">
        <v>0</v>
      </c>
      <c r="W1158" s="18">
        <v>0</v>
      </c>
      <c r="X1158" s="18">
        <v>0</v>
      </c>
      <c r="Y1158" s="18">
        <v>0</v>
      </c>
      <c r="Z1158" s="18">
        <v>0</v>
      </c>
      <c r="AA1158" s="18">
        <v>0</v>
      </c>
      <c r="AB1158" s="18">
        <v>0</v>
      </c>
      <c r="AC1158" s="18">
        <v>0</v>
      </c>
      <c r="AD1158" s="18">
        <v>0</v>
      </c>
      <c r="AE1158" s="18">
        <v>0</v>
      </c>
      <c r="AF1158" s="18">
        <v>0</v>
      </c>
      <c r="AG1158" s="18">
        <v>0</v>
      </c>
      <c r="AH1158" s="18">
        <v>0</v>
      </c>
      <c r="AI1158" s="18">
        <v>0</v>
      </c>
      <c r="AJ1158" s="18">
        <v>0</v>
      </c>
      <c r="AK1158" s="18">
        <v>0</v>
      </c>
      <c r="AL1158" s="18">
        <v>0</v>
      </c>
      <c r="AM1158" s="18">
        <v>0</v>
      </c>
      <c r="AN1158" s="18">
        <v>0</v>
      </c>
      <c r="AO1158" s="18">
        <v>0</v>
      </c>
      <c r="AP1158" s="18">
        <v>0</v>
      </c>
      <c r="AQ1158" s="18">
        <v>0</v>
      </c>
      <c r="AR1158" s="18">
        <v>0</v>
      </c>
      <c r="AS1158" s="18">
        <v>0</v>
      </c>
      <c r="AT1158" s="18">
        <v>0</v>
      </c>
      <c r="AU1158" s="18">
        <v>0</v>
      </c>
      <c r="AV1158" s="18">
        <v>0</v>
      </c>
      <c r="AW1158" s="18">
        <v>0</v>
      </c>
      <c r="AX1158" s="18">
        <v>0</v>
      </c>
      <c r="AY1158" s="18">
        <v>0</v>
      </c>
      <c r="AZ1158" s="18">
        <v>34</v>
      </c>
      <c r="BA1158" s="18">
        <v>0</v>
      </c>
      <c r="BB1158" s="18">
        <v>0</v>
      </c>
      <c r="BC1158" s="18">
        <v>0</v>
      </c>
      <c r="BD1158" s="18">
        <v>0</v>
      </c>
      <c r="BE1158" s="25">
        <v>0</v>
      </c>
      <c r="BF1158" s="18">
        <v>0</v>
      </c>
      <c r="BG1158" s="18">
        <v>0</v>
      </c>
      <c r="BH1158" s="18">
        <v>0</v>
      </c>
      <c r="BI1158" s="18">
        <v>0</v>
      </c>
      <c r="BJ1158" s="113">
        <v>0</v>
      </c>
      <c r="BK1158" s="113">
        <v>0</v>
      </c>
      <c r="BL1158" s="113">
        <v>0</v>
      </c>
      <c r="BM1158" s="113">
        <v>0</v>
      </c>
      <c r="BN1158" s="113">
        <v>0</v>
      </c>
      <c r="BO1158" s="113">
        <v>0</v>
      </c>
      <c r="BP1158" s="113">
        <v>0</v>
      </c>
      <c r="BQ1158" s="113">
        <v>0</v>
      </c>
      <c r="BR1158" s="101"/>
      <c r="BS1158">
        <f t="shared" ref="BS1158:CB1165" si="2468">IF($C1158&lt;&gt;"",IF(D1158&gt;0,1,0),0)</f>
        <v>0</v>
      </c>
      <c r="BT1158">
        <f t="shared" si="2468"/>
        <v>0</v>
      </c>
      <c r="BU1158">
        <f t="shared" si="2468"/>
        <v>0</v>
      </c>
      <c r="BV1158">
        <f t="shared" si="2468"/>
        <v>0</v>
      </c>
      <c r="BW1158">
        <f t="shared" si="2468"/>
        <v>0</v>
      </c>
      <c r="BX1158">
        <f t="shared" si="2468"/>
        <v>0</v>
      </c>
      <c r="BY1158">
        <f t="shared" si="2468"/>
        <v>0</v>
      </c>
      <c r="BZ1158">
        <f t="shared" si="2468"/>
        <v>0</v>
      </c>
      <c r="CA1158">
        <f t="shared" si="2468"/>
        <v>0</v>
      </c>
      <c r="CB1158">
        <f t="shared" si="2468"/>
        <v>0</v>
      </c>
      <c r="CC1158">
        <f t="shared" ref="CC1158:CL1165" si="2469">IF($C1158&lt;&gt;"",IF(N1158&gt;0,1,0),0)</f>
        <v>0</v>
      </c>
      <c r="CD1158">
        <f t="shared" si="2469"/>
        <v>0</v>
      </c>
      <c r="CE1158">
        <f t="shared" si="2469"/>
        <v>0</v>
      </c>
      <c r="CF1158">
        <f t="shared" si="2469"/>
        <v>0</v>
      </c>
      <c r="CG1158">
        <f t="shared" si="2469"/>
        <v>0</v>
      </c>
      <c r="CH1158">
        <f t="shared" si="2469"/>
        <v>0</v>
      </c>
      <c r="CI1158">
        <f t="shared" si="2469"/>
        <v>0</v>
      </c>
      <c r="CJ1158">
        <f t="shared" si="2469"/>
        <v>0</v>
      </c>
      <c r="CK1158">
        <f t="shared" si="2469"/>
        <v>0</v>
      </c>
      <c r="CL1158">
        <f t="shared" si="2469"/>
        <v>0</v>
      </c>
      <c r="CM1158">
        <f t="shared" ref="CM1158:CV1165" si="2470">IF($C1158&lt;&gt;"",IF(X1158&gt;0,1,0),0)</f>
        <v>0</v>
      </c>
      <c r="CN1158">
        <f t="shared" si="2470"/>
        <v>0</v>
      </c>
      <c r="CO1158">
        <f t="shared" si="2470"/>
        <v>0</v>
      </c>
      <c r="CP1158">
        <f t="shared" si="2470"/>
        <v>0</v>
      </c>
      <c r="CQ1158">
        <f t="shared" si="2470"/>
        <v>0</v>
      </c>
      <c r="CR1158">
        <f t="shared" si="2470"/>
        <v>0</v>
      </c>
      <c r="CS1158">
        <f t="shared" si="2470"/>
        <v>0</v>
      </c>
      <c r="CT1158">
        <f t="shared" si="2470"/>
        <v>0</v>
      </c>
      <c r="CU1158">
        <f t="shared" si="2470"/>
        <v>0</v>
      </c>
      <c r="CV1158">
        <f t="shared" si="2470"/>
        <v>0</v>
      </c>
      <c r="CW1158">
        <f t="shared" ref="CW1158:DF1165" si="2471">IF($C1158&lt;&gt;"",IF(AH1158&gt;0,1,0),0)</f>
        <v>0</v>
      </c>
      <c r="CX1158">
        <f t="shared" si="2471"/>
        <v>0</v>
      </c>
      <c r="CY1158">
        <f t="shared" si="2471"/>
        <v>0</v>
      </c>
      <c r="CZ1158">
        <f t="shared" si="2471"/>
        <v>0</v>
      </c>
      <c r="DA1158">
        <f t="shared" si="2471"/>
        <v>0</v>
      </c>
      <c r="DB1158">
        <f t="shared" si="2471"/>
        <v>0</v>
      </c>
      <c r="DC1158">
        <f t="shared" si="2471"/>
        <v>0</v>
      </c>
      <c r="DD1158">
        <f t="shared" si="2471"/>
        <v>0</v>
      </c>
      <c r="DE1158">
        <f t="shared" si="2471"/>
        <v>0</v>
      </c>
      <c r="DF1158">
        <f t="shared" si="2471"/>
        <v>0</v>
      </c>
      <c r="DG1158">
        <f t="shared" ref="DG1158:DP1165" si="2472">IF($C1158&lt;&gt;"",IF(AR1158&gt;0,1,0),0)</f>
        <v>0</v>
      </c>
      <c r="DH1158">
        <f t="shared" si="2472"/>
        <v>0</v>
      </c>
      <c r="DI1158">
        <f t="shared" si="2472"/>
        <v>0</v>
      </c>
      <c r="DJ1158">
        <f t="shared" si="2472"/>
        <v>0</v>
      </c>
      <c r="DK1158">
        <f t="shared" si="2472"/>
        <v>0</v>
      </c>
      <c r="DL1158">
        <f t="shared" si="2472"/>
        <v>0</v>
      </c>
      <c r="DM1158">
        <f t="shared" si="2472"/>
        <v>0</v>
      </c>
      <c r="DN1158">
        <f t="shared" si="2472"/>
        <v>0</v>
      </c>
      <c r="DO1158">
        <f t="shared" si="2472"/>
        <v>0</v>
      </c>
      <c r="DP1158">
        <f t="shared" si="2472"/>
        <v>0</v>
      </c>
      <c r="DQ1158">
        <f t="shared" ref="DQ1158:DZ1165" si="2473">IF($C1158&lt;&gt;"",IF(BB1158&gt;0,1,0),0)</f>
        <v>0</v>
      </c>
      <c r="DR1158">
        <f t="shared" si="2473"/>
        <v>0</v>
      </c>
      <c r="DS1158">
        <f t="shared" si="2473"/>
        <v>0</v>
      </c>
      <c r="DT1158">
        <f t="shared" si="2473"/>
        <v>0</v>
      </c>
      <c r="DU1158">
        <f t="shared" si="2473"/>
        <v>0</v>
      </c>
      <c r="DV1158">
        <f t="shared" si="2473"/>
        <v>0</v>
      </c>
      <c r="DW1158">
        <f t="shared" si="2473"/>
        <v>0</v>
      </c>
      <c r="DX1158">
        <f t="shared" si="2473"/>
        <v>0</v>
      </c>
      <c r="DY1158">
        <f t="shared" si="2473"/>
        <v>0</v>
      </c>
      <c r="DZ1158">
        <f t="shared" si="2473"/>
        <v>0</v>
      </c>
      <c r="EA1158">
        <f t="shared" ref="EA1158:EF1164" si="2474">IF($C1158&lt;&gt;"",IF(BL1157&gt;0,1,0),0)</f>
        <v>0</v>
      </c>
      <c r="EB1158">
        <f t="shared" ref="EB1158:EB1164" si="2475">IF($C1158&lt;&gt;"",IF(BM1157&gt;0,1,0),0)</f>
        <v>0</v>
      </c>
      <c r="EC1158">
        <f t="shared" si="2474"/>
        <v>0</v>
      </c>
      <c r="ED1158">
        <f t="shared" si="2474"/>
        <v>0</v>
      </c>
      <c r="EE1158">
        <f t="shared" si="2474"/>
        <v>0</v>
      </c>
      <c r="EF1158">
        <f t="shared" si="2474"/>
        <v>0</v>
      </c>
    </row>
    <row r="1159" spans="1:136" ht="15.5">
      <c r="A1159" s="90"/>
      <c r="B1159" s="57" t="s">
        <v>202</v>
      </c>
      <c r="C1159" s="96"/>
      <c r="D1159" s="18">
        <v>0</v>
      </c>
      <c r="E1159" s="18">
        <v>0</v>
      </c>
      <c r="F1159" s="18">
        <v>0</v>
      </c>
      <c r="G1159" s="18">
        <v>0</v>
      </c>
      <c r="H1159" s="18">
        <v>0</v>
      </c>
      <c r="I1159" s="18">
        <v>0</v>
      </c>
      <c r="J1159" s="18">
        <v>0</v>
      </c>
      <c r="K1159" s="18">
        <v>0</v>
      </c>
      <c r="L1159" s="18">
        <v>0</v>
      </c>
      <c r="M1159" s="18">
        <v>0</v>
      </c>
      <c r="N1159" s="18">
        <v>0</v>
      </c>
      <c r="O1159" s="18">
        <v>0</v>
      </c>
      <c r="P1159" s="18">
        <v>0</v>
      </c>
      <c r="Q1159" s="18">
        <v>0</v>
      </c>
      <c r="R1159" s="18">
        <v>0</v>
      </c>
      <c r="S1159" s="18">
        <v>0</v>
      </c>
      <c r="T1159" s="18">
        <v>0</v>
      </c>
      <c r="U1159" s="18">
        <v>0</v>
      </c>
      <c r="V1159" s="18">
        <v>0</v>
      </c>
      <c r="W1159" s="18">
        <v>0</v>
      </c>
      <c r="X1159" s="18">
        <v>0</v>
      </c>
      <c r="Y1159" s="18">
        <v>0</v>
      </c>
      <c r="Z1159" s="18">
        <v>0</v>
      </c>
      <c r="AA1159" s="18">
        <v>0</v>
      </c>
      <c r="AB1159" s="18">
        <v>0</v>
      </c>
      <c r="AC1159" s="18">
        <v>0</v>
      </c>
      <c r="AD1159" s="18">
        <v>0</v>
      </c>
      <c r="AE1159" s="18">
        <v>0</v>
      </c>
      <c r="AF1159" s="18">
        <v>0</v>
      </c>
      <c r="AG1159" s="18">
        <v>0</v>
      </c>
      <c r="AH1159" s="18">
        <v>0</v>
      </c>
      <c r="AI1159" s="18">
        <v>0</v>
      </c>
      <c r="AJ1159" s="18">
        <v>0</v>
      </c>
      <c r="AK1159" s="18">
        <v>0</v>
      </c>
      <c r="AL1159" s="18">
        <v>0</v>
      </c>
      <c r="AM1159" s="18">
        <v>0</v>
      </c>
      <c r="AN1159" s="18">
        <v>0</v>
      </c>
      <c r="AO1159" s="18">
        <v>0</v>
      </c>
      <c r="AP1159" s="18">
        <v>0</v>
      </c>
      <c r="AQ1159" s="18">
        <v>0</v>
      </c>
      <c r="AR1159" s="18">
        <v>0</v>
      </c>
      <c r="AS1159" s="18">
        <v>0</v>
      </c>
      <c r="AT1159" s="18">
        <v>11</v>
      </c>
      <c r="AU1159" s="18">
        <v>27</v>
      </c>
      <c r="AV1159" s="18">
        <v>46</v>
      </c>
      <c r="AW1159" s="18">
        <v>64</v>
      </c>
      <c r="AX1159" s="18">
        <v>86</v>
      </c>
      <c r="AY1159" s="18">
        <v>110</v>
      </c>
      <c r="AZ1159" s="18">
        <v>0</v>
      </c>
      <c r="BA1159" s="18">
        <v>0</v>
      </c>
      <c r="BB1159" s="18">
        <v>0</v>
      </c>
      <c r="BC1159" s="18">
        <v>0</v>
      </c>
      <c r="BD1159" s="18">
        <v>0</v>
      </c>
      <c r="BE1159" s="18">
        <v>0</v>
      </c>
      <c r="BF1159" s="18">
        <v>0</v>
      </c>
      <c r="BG1159" s="18">
        <v>0</v>
      </c>
      <c r="BH1159" s="18">
        <v>0</v>
      </c>
      <c r="BI1159" s="18">
        <v>0</v>
      </c>
      <c r="BJ1159" s="113">
        <v>0</v>
      </c>
      <c r="BK1159" s="113">
        <v>0</v>
      </c>
      <c r="BL1159" s="113">
        <v>0</v>
      </c>
      <c r="BM1159" s="113">
        <v>0</v>
      </c>
      <c r="BN1159" s="113">
        <v>0</v>
      </c>
      <c r="BO1159" s="113">
        <v>0</v>
      </c>
      <c r="BP1159" s="34">
        <v>0</v>
      </c>
      <c r="BQ1159" s="113">
        <v>0</v>
      </c>
      <c r="BR1159" s="101"/>
      <c r="BS1159">
        <f t="shared" si="2468"/>
        <v>0</v>
      </c>
      <c r="BT1159">
        <f t="shared" si="2468"/>
        <v>0</v>
      </c>
      <c r="BU1159">
        <f t="shared" si="2468"/>
        <v>0</v>
      </c>
      <c r="BV1159">
        <f t="shared" si="2468"/>
        <v>0</v>
      </c>
      <c r="BW1159">
        <f t="shared" si="2468"/>
        <v>0</v>
      </c>
      <c r="BX1159">
        <f t="shared" si="2468"/>
        <v>0</v>
      </c>
      <c r="BY1159">
        <f t="shared" si="2468"/>
        <v>0</v>
      </c>
      <c r="BZ1159">
        <f t="shared" si="2468"/>
        <v>0</v>
      </c>
      <c r="CA1159">
        <f t="shared" si="2468"/>
        <v>0</v>
      </c>
      <c r="CB1159">
        <f t="shared" si="2468"/>
        <v>0</v>
      </c>
      <c r="CC1159">
        <f t="shared" si="2469"/>
        <v>0</v>
      </c>
      <c r="CD1159">
        <f t="shared" si="2469"/>
        <v>0</v>
      </c>
      <c r="CE1159">
        <f t="shared" si="2469"/>
        <v>0</v>
      </c>
      <c r="CF1159">
        <f t="shared" si="2469"/>
        <v>0</v>
      </c>
      <c r="CG1159">
        <f t="shared" si="2469"/>
        <v>0</v>
      </c>
      <c r="CH1159">
        <f t="shared" si="2469"/>
        <v>0</v>
      </c>
      <c r="CI1159">
        <f t="shared" si="2469"/>
        <v>0</v>
      </c>
      <c r="CJ1159">
        <f t="shared" si="2469"/>
        <v>0</v>
      </c>
      <c r="CK1159">
        <f t="shared" si="2469"/>
        <v>0</v>
      </c>
      <c r="CL1159">
        <f t="shared" si="2469"/>
        <v>0</v>
      </c>
      <c r="CM1159">
        <f t="shared" si="2470"/>
        <v>0</v>
      </c>
      <c r="CN1159">
        <f t="shared" si="2470"/>
        <v>0</v>
      </c>
      <c r="CO1159">
        <f t="shared" si="2470"/>
        <v>0</v>
      </c>
      <c r="CP1159">
        <f t="shared" si="2470"/>
        <v>0</v>
      </c>
      <c r="CQ1159">
        <f t="shared" si="2470"/>
        <v>0</v>
      </c>
      <c r="CR1159">
        <f t="shared" si="2470"/>
        <v>0</v>
      </c>
      <c r="CS1159">
        <f t="shared" si="2470"/>
        <v>0</v>
      </c>
      <c r="CT1159">
        <f t="shared" si="2470"/>
        <v>0</v>
      </c>
      <c r="CU1159">
        <f t="shared" si="2470"/>
        <v>0</v>
      </c>
      <c r="CV1159">
        <f t="shared" si="2470"/>
        <v>0</v>
      </c>
      <c r="CW1159">
        <f t="shared" si="2471"/>
        <v>0</v>
      </c>
      <c r="CX1159">
        <f t="shared" si="2471"/>
        <v>0</v>
      </c>
      <c r="CY1159">
        <f t="shared" si="2471"/>
        <v>0</v>
      </c>
      <c r="CZ1159">
        <f t="shared" si="2471"/>
        <v>0</v>
      </c>
      <c r="DA1159">
        <f t="shared" si="2471"/>
        <v>0</v>
      </c>
      <c r="DB1159">
        <f t="shared" si="2471"/>
        <v>0</v>
      </c>
      <c r="DC1159">
        <f t="shared" si="2471"/>
        <v>0</v>
      </c>
      <c r="DD1159">
        <f t="shared" si="2471"/>
        <v>0</v>
      </c>
      <c r="DE1159">
        <f t="shared" si="2471"/>
        <v>0</v>
      </c>
      <c r="DF1159">
        <f t="shared" si="2471"/>
        <v>0</v>
      </c>
      <c r="DG1159">
        <f t="shared" si="2472"/>
        <v>0</v>
      </c>
      <c r="DH1159">
        <f t="shared" si="2472"/>
        <v>0</v>
      </c>
      <c r="DI1159">
        <f t="shared" si="2472"/>
        <v>0</v>
      </c>
      <c r="DJ1159">
        <f t="shared" si="2472"/>
        <v>0</v>
      </c>
      <c r="DK1159">
        <f t="shared" si="2472"/>
        <v>0</v>
      </c>
      <c r="DL1159">
        <f t="shared" si="2472"/>
        <v>0</v>
      </c>
      <c r="DM1159">
        <f t="shared" si="2472"/>
        <v>0</v>
      </c>
      <c r="DN1159">
        <f t="shared" si="2472"/>
        <v>0</v>
      </c>
      <c r="DO1159">
        <f t="shared" si="2472"/>
        <v>0</v>
      </c>
      <c r="DP1159">
        <f t="shared" si="2472"/>
        <v>0</v>
      </c>
      <c r="DQ1159">
        <f t="shared" si="2473"/>
        <v>0</v>
      </c>
      <c r="DR1159">
        <f t="shared" si="2473"/>
        <v>0</v>
      </c>
      <c r="DS1159">
        <f t="shared" si="2473"/>
        <v>0</v>
      </c>
      <c r="DT1159">
        <f t="shared" si="2473"/>
        <v>0</v>
      </c>
      <c r="DU1159">
        <f t="shared" si="2473"/>
        <v>0</v>
      </c>
      <c r="DV1159">
        <f t="shared" si="2473"/>
        <v>0</v>
      </c>
      <c r="DW1159">
        <f t="shared" si="2473"/>
        <v>0</v>
      </c>
      <c r="DX1159">
        <f t="shared" si="2473"/>
        <v>0</v>
      </c>
      <c r="DY1159">
        <f t="shared" si="2473"/>
        <v>0</v>
      </c>
      <c r="DZ1159">
        <f t="shared" si="2473"/>
        <v>0</v>
      </c>
      <c r="EA1159">
        <f t="shared" si="2474"/>
        <v>0</v>
      </c>
      <c r="EB1159">
        <f t="shared" si="2475"/>
        <v>0</v>
      </c>
      <c r="EC1159">
        <f t="shared" si="2474"/>
        <v>0</v>
      </c>
      <c r="ED1159">
        <f t="shared" si="2474"/>
        <v>0</v>
      </c>
      <c r="EE1159">
        <f t="shared" si="2474"/>
        <v>0</v>
      </c>
      <c r="EF1159">
        <f t="shared" si="2474"/>
        <v>0</v>
      </c>
    </row>
    <row r="1160" spans="1:136" ht="15.5">
      <c r="A1160" s="90"/>
      <c r="B1160" s="19" t="s">
        <v>2</v>
      </c>
      <c r="C1160" s="96"/>
      <c r="D1160" s="18">
        <v>0</v>
      </c>
      <c r="E1160" s="18">
        <v>0</v>
      </c>
      <c r="F1160" s="18">
        <v>0</v>
      </c>
      <c r="G1160" s="18">
        <v>0</v>
      </c>
      <c r="H1160" s="18">
        <v>0</v>
      </c>
      <c r="I1160" s="18">
        <v>0</v>
      </c>
      <c r="J1160" s="18">
        <v>0</v>
      </c>
      <c r="K1160" s="18">
        <v>0</v>
      </c>
      <c r="L1160" s="18">
        <v>0</v>
      </c>
      <c r="M1160" s="18">
        <v>0</v>
      </c>
      <c r="N1160" s="18">
        <v>0</v>
      </c>
      <c r="O1160" s="18">
        <v>0</v>
      </c>
      <c r="P1160" s="18">
        <v>0</v>
      </c>
      <c r="Q1160" s="18">
        <v>0</v>
      </c>
      <c r="R1160" s="18">
        <v>0</v>
      </c>
      <c r="S1160" s="18">
        <v>0</v>
      </c>
      <c r="T1160" s="18">
        <v>0</v>
      </c>
      <c r="U1160" s="18"/>
      <c r="V1160" s="40" t="s">
        <v>16</v>
      </c>
      <c r="W1160" s="18">
        <v>280</v>
      </c>
      <c r="X1160" s="40" t="s">
        <v>16</v>
      </c>
      <c r="Y1160" s="18">
        <v>232</v>
      </c>
      <c r="Z1160" s="40" t="s">
        <v>16</v>
      </c>
      <c r="AA1160" s="18">
        <v>200</v>
      </c>
      <c r="AB1160" s="18">
        <v>70</v>
      </c>
      <c r="AC1160" s="18">
        <v>30</v>
      </c>
      <c r="AD1160" s="18"/>
      <c r="AE1160" s="18"/>
      <c r="AF1160" s="18">
        <v>155</v>
      </c>
      <c r="AG1160" s="18">
        <v>75</v>
      </c>
      <c r="AH1160" s="18">
        <v>92</v>
      </c>
      <c r="AI1160" s="18"/>
      <c r="AJ1160" s="18">
        <v>52</v>
      </c>
      <c r="AK1160" s="18"/>
      <c r="AL1160" s="40" t="s">
        <v>16</v>
      </c>
      <c r="AM1160" s="18">
        <v>237</v>
      </c>
      <c r="AN1160" s="18"/>
      <c r="AO1160" s="18"/>
      <c r="AP1160" s="18"/>
      <c r="AQ1160" s="18"/>
      <c r="AR1160" s="18"/>
      <c r="AS1160" s="18"/>
      <c r="AT1160" s="18"/>
      <c r="AU1160" s="18"/>
      <c r="AV1160" s="18"/>
      <c r="AW1160" s="18"/>
      <c r="AX1160" s="18"/>
      <c r="AY1160" s="40" t="s">
        <v>16</v>
      </c>
      <c r="AZ1160" s="18">
        <v>740</v>
      </c>
      <c r="BA1160" s="18">
        <v>22</v>
      </c>
      <c r="BB1160" s="18">
        <v>611</v>
      </c>
      <c r="BC1160" s="40" t="s">
        <v>16</v>
      </c>
      <c r="BD1160" s="34">
        <v>0</v>
      </c>
      <c r="BE1160" s="34">
        <v>0</v>
      </c>
      <c r="BF1160" s="18">
        <v>0</v>
      </c>
      <c r="BG1160" s="31">
        <v>0</v>
      </c>
      <c r="BH1160" s="113">
        <v>0</v>
      </c>
      <c r="BI1160" s="113">
        <v>0</v>
      </c>
      <c r="BJ1160" s="113">
        <v>0</v>
      </c>
      <c r="BK1160" s="113">
        <v>0</v>
      </c>
      <c r="BL1160" s="103">
        <v>0.1</v>
      </c>
      <c r="BM1160" s="103">
        <v>0.1</v>
      </c>
      <c r="BN1160" s="34">
        <v>0</v>
      </c>
      <c r="BO1160" s="34">
        <v>0</v>
      </c>
      <c r="BP1160" s="113">
        <v>0</v>
      </c>
      <c r="BQ1160" s="34">
        <v>0</v>
      </c>
      <c r="BR1160" s="101"/>
      <c r="BS1160">
        <f t="shared" si="2468"/>
        <v>0</v>
      </c>
      <c r="BT1160">
        <f t="shared" si="2468"/>
        <v>0</v>
      </c>
      <c r="BU1160">
        <f t="shared" si="2468"/>
        <v>0</v>
      </c>
      <c r="BV1160">
        <f t="shared" si="2468"/>
        <v>0</v>
      </c>
      <c r="BW1160">
        <f t="shared" si="2468"/>
        <v>0</v>
      </c>
      <c r="BX1160">
        <f t="shared" si="2468"/>
        <v>0</v>
      </c>
      <c r="BY1160">
        <f t="shared" si="2468"/>
        <v>0</v>
      </c>
      <c r="BZ1160">
        <f t="shared" si="2468"/>
        <v>0</v>
      </c>
      <c r="CA1160">
        <f t="shared" si="2468"/>
        <v>0</v>
      </c>
      <c r="CB1160">
        <f t="shared" si="2468"/>
        <v>0</v>
      </c>
      <c r="CC1160">
        <f t="shared" si="2469"/>
        <v>0</v>
      </c>
      <c r="CD1160">
        <f t="shared" si="2469"/>
        <v>0</v>
      </c>
      <c r="CE1160">
        <f t="shared" si="2469"/>
        <v>0</v>
      </c>
      <c r="CF1160">
        <f t="shared" si="2469"/>
        <v>0</v>
      </c>
      <c r="CG1160">
        <f t="shared" si="2469"/>
        <v>0</v>
      </c>
      <c r="CH1160">
        <f t="shared" si="2469"/>
        <v>0</v>
      </c>
      <c r="CI1160">
        <f t="shared" si="2469"/>
        <v>0</v>
      </c>
      <c r="CJ1160">
        <f t="shared" si="2469"/>
        <v>0</v>
      </c>
      <c r="CK1160">
        <f t="shared" si="2469"/>
        <v>0</v>
      </c>
      <c r="CL1160">
        <f t="shared" si="2469"/>
        <v>0</v>
      </c>
      <c r="CM1160">
        <f t="shared" si="2470"/>
        <v>0</v>
      </c>
      <c r="CN1160">
        <f t="shared" si="2470"/>
        <v>0</v>
      </c>
      <c r="CO1160">
        <f t="shared" si="2470"/>
        <v>0</v>
      </c>
      <c r="CP1160">
        <f t="shared" si="2470"/>
        <v>0</v>
      </c>
      <c r="CQ1160">
        <f t="shared" si="2470"/>
        <v>0</v>
      </c>
      <c r="CR1160">
        <f t="shared" si="2470"/>
        <v>0</v>
      </c>
      <c r="CS1160">
        <f t="shared" si="2470"/>
        <v>0</v>
      </c>
      <c r="CT1160">
        <f t="shared" si="2470"/>
        <v>0</v>
      </c>
      <c r="CU1160">
        <f t="shared" si="2470"/>
        <v>0</v>
      </c>
      <c r="CV1160">
        <f t="shared" si="2470"/>
        <v>0</v>
      </c>
      <c r="CW1160">
        <f t="shared" si="2471"/>
        <v>0</v>
      </c>
      <c r="CX1160">
        <f t="shared" si="2471"/>
        <v>0</v>
      </c>
      <c r="CY1160">
        <f t="shared" si="2471"/>
        <v>0</v>
      </c>
      <c r="CZ1160">
        <f t="shared" si="2471"/>
        <v>0</v>
      </c>
      <c r="DA1160">
        <f t="shared" si="2471"/>
        <v>0</v>
      </c>
      <c r="DB1160">
        <f t="shared" si="2471"/>
        <v>0</v>
      </c>
      <c r="DC1160">
        <f t="shared" si="2471"/>
        <v>0</v>
      </c>
      <c r="DD1160">
        <f t="shared" si="2471"/>
        <v>0</v>
      </c>
      <c r="DE1160">
        <f t="shared" si="2471"/>
        <v>0</v>
      </c>
      <c r="DF1160">
        <f t="shared" si="2471"/>
        <v>0</v>
      </c>
      <c r="DG1160">
        <f t="shared" si="2472"/>
        <v>0</v>
      </c>
      <c r="DH1160">
        <f t="shared" si="2472"/>
        <v>0</v>
      </c>
      <c r="DI1160">
        <f t="shared" si="2472"/>
        <v>0</v>
      </c>
      <c r="DJ1160">
        <f t="shared" si="2472"/>
        <v>0</v>
      </c>
      <c r="DK1160">
        <f t="shared" si="2472"/>
        <v>0</v>
      </c>
      <c r="DL1160">
        <f t="shared" si="2472"/>
        <v>0</v>
      </c>
      <c r="DM1160">
        <f t="shared" si="2472"/>
        <v>0</v>
      </c>
      <c r="DN1160">
        <f t="shared" si="2472"/>
        <v>0</v>
      </c>
      <c r="DO1160">
        <f t="shared" si="2472"/>
        <v>0</v>
      </c>
      <c r="DP1160">
        <f t="shared" si="2472"/>
        <v>0</v>
      </c>
      <c r="DQ1160">
        <f t="shared" si="2473"/>
        <v>0</v>
      </c>
      <c r="DR1160">
        <f t="shared" si="2473"/>
        <v>0</v>
      </c>
      <c r="DS1160">
        <f t="shared" si="2473"/>
        <v>0</v>
      </c>
      <c r="DT1160">
        <f t="shared" si="2473"/>
        <v>0</v>
      </c>
      <c r="DU1160">
        <f t="shared" si="2473"/>
        <v>0</v>
      </c>
      <c r="DV1160">
        <f t="shared" si="2473"/>
        <v>0</v>
      </c>
      <c r="DW1160">
        <f t="shared" si="2473"/>
        <v>0</v>
      </c>
      <c r="DX1160">
        <f t="shared" si="2473"/>
        <v>0</v>
      </c>
      <c r="DY1160">
        <f t="shared" si="2473"/>
        <v>0</v>
      </c>
      <c r="DZ1160">
        <f t="shared" si="2473"/>
        <v>0</v>
      </c>
      <c r="EA1160">
        <f t="shared" si="2474"/>
        <v>0</v>
      </c>
      <c r="EB1160">
        <f t="shared" si="2475"/>
        <v>0</v>
      </c>
      <c r="EC1160">
        <f t="shared" si="2474"/>
        <v>0</v>
      </c>
      <c r="ED1160">
        <f t="shared" si="2474"/>
        <v>0</v>
      </c>
      <c r="EE1160">
        <f t="shared" si="2474"/>
        <v>0</v>
      </c>
      <c r="EF1160">
        <f t="shared" si="2474"/>
        <v>0</v>
      </c>
    </row>
    <row r="1161" spans="1:136" ht="15.5">
      <c r="A1161" s="90"/>
      <c r="B1161" s="19" t="s">
        <v>205</v>
      </c>
      <c r="C1161" s="96"/>
      <c r="D1161" s="18"/>
      <c r="E1161" s="18"/>
      <c r="F1161" s="18"/>
      <c r="G1161" s="18"/>
      <c r="H1161" s="18"/>
      <c r="I1161" s="18"/>
      <c r="J1161" s="18"/>
      <c r="K1161" s="18"/>
      <c r="L1161" s="18"/>
      <c r="M1161" s="18"/>
      <c r="N1161" s="18"/>
      <c r="O1161" s="18"/>
      <c r="P1161" s="18"/>
      <c r="Q1161" s="18"/>
      <c r="R1161" s="18"/>
      <c r="S1161" s="18"/>
      <c r="T1161" s="18"/>
      <c r="U1161" s="18"/>
      <c r="V1161" s="40"/>
      <c r="W1161" s="18"/>
      <c r="X1161" s="40"/>
      <c r="Y1161" s="18"/>
      <c r="Z1161" s="40"/>
      <c r="AA1161" s="18"/>
      <c r="AB1161" s="18"/>
      <c r="AC1161" s="18"/>
      <c r="AD1161" s="18"/>
      <c r="AE1161" s="18"/>
      <c r="AF1161" s="18"/>
      <c r="AG1161" s="18">
        <v>0</v>
      </c>
      <c r="AH1161" s="18">
        <v>0</v>
      </c>
      <c r="AI1161" s="18">
        <v>0</v>
      </c>
      <c r="AJ1161" s="18">
        <v>0</v>
      </c>
      <c r="AK1161" s="18">
        <v>0</v>
      </c>
      <c r="AL1161" s="18">
        <v>0</v>
      </c>
      <c r="AM1161" s="18">
        <v>0</v>
      </c>
      <c r="AN1161" s="18">
        <v>0</v>
      </c>
      <c r="AO1161" s="18">
        <v>0</v>
      </c>
      <c r="AP1161" s="18">
        <v>0</v>
      </c>
      <c r="AQ1161" s="18">
        <v>0</v>
      </c>
      <c r="AR1161" s="18">
        <v>0</v>
      </c>
      <c r="AS1161" s="18">
        <v>1.9773313000000001</v>
      </c>
      <c r="AT1161" s="18">
        <v>2.9231755000000001</v>
      </c>
      <c r="AU1161" s="18">
        <v>2.4584677000000004</v>
      </c>
      <c r="AV1161" s="18">
        <v>0.53597539999999999</v>
      </c>
      <c r="AW1161" s="18">
        <v>0</v>
      </c>
      <c r="AX1161" s="18">
        <v>0</v>
      </c>
      <c r="AY1161" s="18">
        <v>0.40700379999999997</v>
      </c>
      <c r="AZ1161" s="18">
        <v>1.6015568</v>
      </c>
      <c r="BA1161" s="18">
        <v>2.7707155999999999</v>
      </c>
      <c r="BB1161" s="18">
        <v>4.0604569000000001</v>
      </c>
      <c r="BC1161" s="18">
        <v>4.2679616999999999</v>
      </c>
      <c r="BD1161" s="34">
        <v>12.630884699999999</v>
      </c>
      <c r="BE1161" s="42">
        <v>0</v>
      </c>
      <c r="BF1161" s="18">
        <v>0</v>
      </c>
      <c r="BG1161" s="18">
        <v>0</v>
      </c>
      <c r="BH1161" s="18">
        <v>0</v>
      </c>
      <c r="BI1161" s="113">
        <v>0</v>
      </c>
      <c r="BJ1161" s="113">
        <v>0</v>
      </c>
      <c r="BK1161" s="113">
        <v>0</v>
      </c>
      <c r="BL1161" s="71">
        <v>19.5786756</v>
      </c>
      <c r="BM1161" s="113">
        <v>19.985486399999999</v>
      </c>
      <c r="BN1161" s="113">
        <v>0</v>
      </c>
      <c r="BO1161" s="113">
        <v>0</v>
      </c>
      <c r="BP1161" s="113">
        <v>2</v>
      </c>
      <c r="BQ1161" s="113">
        <v>0</v>
      </c>
      <c r="BR1161" s="101"/>
      <c r="BS1161">
        <f t="shared" si="2468"/>
        <v>0</v>
      </c>
      <c r="BT1161">
        <f t="shared" si="2468"/>
        <v>0</v>
      </c>
      <c r="BU1161">
        <f t="shared" si="2468"/>
        <v>0</v>
      </c>
      <c r="BV1161">
        <f t="shared" si="2468"/>
        <v>0</v>
      </c>
      <c r="BW1161">
        <f t="shared" si="2468"/>
        <v>0</v>
      </c>
      <c r="BX1161">
        <f t="shared" si="2468"/>
        <v>0</v>
      </c>
      <c r="BY1161">
        <f t="shared" si="2468"/>
        <v>0</v>
      </c>
      <c r="BZ1161">
        <f t="shared" si="2468"/>
        <v>0</v>
      </c>
      <c r="CA1161">
        <f t="shared" si="2468"/>
        <v>0</v>
      </c>
      <c r="CB1161">
        <f t="shared" si="2468"/>
        <v>0</v>
      </c>
      <c r="CC1161">
        <f t="shared" si="2469"/>
        <v>0</v>
      </c>
      <c r="CD1161">
        <f t="shared" si="2469"/>
        <v>0</v>
      </c>
      <c r="CE1161">
        <f t="shared" si="2469"/>
        <v>0</v>
      </c>
      <c r="CF1161">
        <f t="shared" si="2469"/>
        <v>0</v>
      </c>
      <c r="CG1161">
        <f t="shared" si="2469"/>
        <v>0</v>
      </c>
      <c r="CH1161">
        <f t="shared" si="2469"/>
        <v>0</v>
      </c>
      <c r="CI1161">
        <f t="shared" si="2469"/>
        <v>0</v>
      </c>
      <c r="CJ1161">
        <f t="shared" si="2469"/>
        <v>0</v>
      </c>
      <c r="CK1161">
        <f t="shared" si="2469"/>
        <v>0</v>
      </c>
      <c r="CL1161">
        <f t="shared" si="2469"/>
        <v>0</v>
      </c>
      <c r="CM1161">
        <f t="shared" si="2470"/>
        <v>0</v>
      </c>
      <c r="CN1161">
        <f t="shared" si="2470"/>
        <v>0</v>
      </c>
      <c r="CO1161">
        <f t="shared" si="2470"/>
        <v>0</v>
      </c>
      <c r="CP1161">
        <f t="shared" si="2470"/>
        <v>0</v>
      </c>
      <c r="CQ1161">
        <f t="shared" si="2470"/>
        <v>0</v>
      </c>
      <c r="CR1161">
        <f t="shared" si="2470"/>
        <v>0</v>
      </c>
      <c r="CS1161">
        <f t="shared" si="2470"/>
        <v>0</v>
      </c>
      <c r="CT1161">
        <f t="shared" si="2470"/>
        <v>0</v>
      </c>
      <c r="CU1161">
        <f t="shared" si="2470"/>
        <v>0</v>
      </c>
      <c r="CV1161">
        <f t="shared" si="2470"/>
        <v>0</v>
      </c>
      <c r="CW1161">
        <f t="shared" si="2471"/>
        <v>0</v>
      </c>
      <c r="CX1161">
        <f t="shared" si="2471"/>
        <v>0</v>
      </c>
      <c r="CY1161">
        <f t="shared" si="2471"/>
        <v>0</v>
      </c>
      <c r="CZ1161">
        <f t="shared" si="2471"/>
        <v>0</v>
      </c>
      <c r="DA1161">
        <f t="shared" si="2471"/>
        <v>0</v>
      </c>
      <c r="DB1161">
        <f t="shared" si="2471"/>
        <v>0</v>
      </c>
      <c r="DC1161">
        <f t="shared" si="2471"/>
        <v>0</v>
      </c>
      <c r="DD1161">
        <f t="shared" si="2471"/>
        <v>0</v>
      </c>
      <c r="DE1161">
        <f t="shared" si="2471"/>
        <v>0</v>
      </c>
      <c r="DF1161">
        <f t="shared" si="2471"/>
        <v>0</v>
      </c>
      <c r="DG1161">
        <f t="shared" si="2472"/>
        <v>0</v>
      </c>
      <c r="DH1161">
        <f t="shared" si="2472"/>
        <v>0</v>
      </c>
      <c r="DI1161">
        <f t="shared" si="2472"/>
        <v>0</v>
      </c>
      <c r="DJ1161">
        <f t="shared" si="2472"/>
        <v>0</v>
      </c>
      <c r="DK1161">
        <f t="shared" si="2472"/>
        <v>0</v>
      </c>
      <c r="DL1161">
        <f t="shared" si="2472"/>
        <v>0</v>
      </c>
      <c r="DM1161">
        <f t="shared" si="2472"/>
        <v>0</v>
      </c>
      <c r="DN1161">
        <f t="shared" si="2472"/>
        <v>0</v>
      </c>
      <c r="DO1161">
        <f t="shared" si="2472"/>
        <v>0</v>
      </c>
      <c r="DP1161">
        <f t="shared" si="2472"/>
        <v>0</v>
      </c>
      <c r="DQ1161">
        <f t="shared" si="2473"/>
        <v>0</v>
      </c>
      <c r="DR1161">
        <f t="shared" si="2473"/>
        <v>0</v>
      </c>
      <c r="DS1161">
        <f t="shared" si="2473"/>
        <v>0</v>
      </c>
      <c r="DT1161">
        <f t="shared" si="2473"/>
        <v>0</v>
      </c>
      <c r="DU1161">
        <f t="shared" si="2473"/>
        <v>0</v>
      </c>
      <c r="DV1161">
        <f t="shared" si="2473"/>
        <v>0</v>
      </c>
      <c r="DW1161">
        <f t="shared" si="2473"/>
        <v>0</v>
      </c>
      <c r="DX1161">
        <f t="shared" si="2473"/>
        <v>0</v>
      </c>
      <c r="DY1161">
        <f t="shared" si="2473"/>
        <v>0</v>
      </c>
      <c r="DZ1161">
        <f t="shared" si="2473"/>
        <v>0</v>
      </c>
      <c r="EA1161">
        <f t="shared" si="2474"/>
        <v>0</v>
      </c>
      <c r="EB1161">
        <f t="shared" si="2475"/>
        <v>0</v>
      </c>
      <c r="EC1161">
        <f t="shared" si="2474"/>
        <v>0</v>
      </c>
      <c r="ED1161">
        <f t="shared" si="2474"/>
        <v>0</v>
      </c>
      <c r="EE1161">
        <f t="shared" si="2474"/>
        <v>0</v>
      </c>
      <c r="EF1161">
        <f t="shared" si="2474"/>
        <v>0</v>
      </c>
    </row>
    <row r="1162" spans="1:136" ht="15.5">
      <c r="A1162" s="90"/>
      <c r="B1162" s="57" t="s">
        <v>3</v>
      </c>
      <c r="C1162" s="96"/>
      <c r="D1162" s="18"/>
      <c r="E1162" s="18"/>
      <c r="F1162" s="18"/>
      <c r="G1162" s="18"/>
      <c r="H1162" s="18"/>
      <c r="I1162" s="18"/>
      <c r="J1162" s="18"/>
      <c r="K1162" s="18"/>
      <c r="L1162" s="18"/>
      <c r="M1162" s="18"/>
      <c r="N1162" s="18">
        <v>0</v>
      </c>
      <c r="O1162" s="18">
        <v>1.3225799999999999E-2</v>
      </c>
      <c r="P1162" s="18">
        <v>1.0687599999999998E-2</v>
      </c>
      <c r="Q1162" s="18">
        <v>1.3920800000000001E-2</v>
      </c>
      <c r="R1162" s="18">
        <v>1.0475999999999999E-2</v>
      </c>
      <c r="S1162" s="18">
        <v>2.8933600000000004E-2</v>
      </c>
      <c r="T1162" s="18">
        <v>2.2922499999999998E-2</v>
      </c>
      <c r="U1162" s="18">
        <v>1.4870472999999997</v>
      </c>
      <c r="V1162" s="18">
        <v>4.896888699999999</v>
      </c>
      <c r="W1162" s="18">
        <v>0</v>
      </c>
      <c r="X1162" s="18">
        <v>20.946339300000002</v>
      </c>
      <c r="Y1162" s="18">
        <v>23.148865799999999</v>
      </c>
      <c r="Z1162" s="18">
        <v>40.437044499999999</v>
      </c>
      <c r="AA1162" s="18">
        <v>0.1054205</v>
      </c>
      <c r="AB1162" s="18">
        <v>0</v>
      </c>
      <c r="AC1162" s="18">
        <v>0</v>
      </c>
      <c r="AD1162" s="18">
        <v>9.0049620000000008</v>
      </c>
      <c r="AE1162" s="18">
        <v>97.075650899999999</v>
      </c>
      <c r="AF1162" s="18">
        <v>1.1159278000000001</v>
      </c>
      <c r="AG1162" s="18">
        <v>222.30671290000001</v>
      </c>
      <c r="AH1162" s="18">
        <v>98.500727999999995</v>
      </c>
      <c r="AI1162" s="18">
        <v>43.712304400000001</v>
      </c>
      <c r="AJ1162" s="18">
        <v>75.826107400000012</v>
      </c>
      <c r="AK1162" s="18">
        <v>88.335446300000001</v>
      </c>
      <c r="AL1162" s="18">
        <v>151.32255509999999</v>
      </c>
      <c r="AM1162" s="18">
        <v>264.10144270000001</v>
      </c>
      <c r="AN1162" s="18">
        <v>46.4233987</v>
      </c>
      <c r="AO1162" s="18">
        <v>73.965320700000007</v>
      </c>
      <c r="AP1162" s="18">
        <v>52.527925800000006</v>
      </c>
      <c r="AQ1162" s="18">
        <v>69.5303045</v>
      </c>
      <c r="AR1162" s="18">
        <v>126.79740469999999</v>
      </c>
      <c r="AS1162" s="18">
        <f>157.8096754-AS1161</f>
        <v>155.8323441</v>
      </c>
      <c r="AT1162" s="18">
        <f>249.8541098-AT1161</f>
        <v>246.93093429999999</v>
      </c>
      <c r="AU1162" s="18">
        <f>352.0098522-AU1161</f>
        <v>349.55138449999998</v>
      </c>
      <c r="AV1162" s="18">
        <f>481.5050635-AV1161</f>
        <v>480.96908810000002</v>
      </c>
      <c r="AW1162" s="18">
        <v>476.35784060000003</v>
      </c>
      <c r="AX1162" s="18">
        <v>572.66926899999999</v>
      </c>
      <c r="AY1162" s="18">
        <v>665.00107529999991</v>
      </c>
      <c r="AZ1162" s="40" t="s">
        <v>16</v>
      </c>
      <c r="BA1162" s="18">
        <f>114.2932261-BA1161</f>
        <v>111.5225105</v>
      </c>
      <c r="BB1162" s="40" t="s">
        <v>16</v>
      </c>
      <c r="BC1162" s="18">
        <f>742.8082242-BC1161</f>
        <v>738.54026250000004</v>
      </c>
      <c r="BD1162" s="18">
        <f>41.0264885-BD1161</f>
        <v>28.3956038</v>
      </c>
      <c r="BE1162" s="55">
        <v>9.3656431999999992</v>
      </c>
      <c r="BF1162" s="18">
        <v>6.2784754000000005</v>
      </c>
      <c r="BG1162" s="18">
        <v>5.3210385999999996</v>
      </c>
      <c r="BH1162" s="18">
        <v>1.0160931000000002</v>
      </c>
      <c r="BI1162" s="18">
        <v>3.4000000000000002E-2</v>
      </c>
      <c r="BJ1162" s="71">
        <v>4.0000000000000001E-3</v>
      </c>
      <c r="BK1162" s="40">
        <v>0</v>
      </c>
      <c r="BL1162" s="113">
        <v>2</v>
      </c>
      <c r="BM1162" s="40">
        <v>0</v>
      </c>
      <c r="BN1162" s="113">
        <v>1.8616786999999999</v>
      </c>
      <c r="BO1162" s="113">
        <v>2</v>
      </c>
      <c r="BP1162" s="113">
        <v>0</v>
      </c>
      <c r="BQ1162" s="113">
        <v>2</v>
      </c>
      <c r="BR1162" s="101"/>
      <c r="BS1162">
        <f t="shared" si="2468"/>
        <v>0</v>
      </c>
      <c r="BT1162">
        <f t="shared" si="2468"/>
        <v>0</v>
      </c>
      <c r="BU1162">
        <f t="shared" si="2468"/>
        <v>0</v>
      </c>
      <c r="BV1162">
        <f t="shared" si="2468"/>
        <v>0</v>
      </c>
      <c r="BW1162">
        <f t="shared" si="2468"/>
        <v>0</v>
      </c>
      <c r="BX1162">
        <f t="shared" si="2468"/>
        <v>0</v>
      </c>
      <c r="BY1162">
        <f t="shared" si="2468"/>
        <v>0</v>
      </c>
      <c r="BZ1162">
        <f t="shared" si="2468"/>
        <v>0</v>
      </c>
      <c r="CA1162">
        <f t="shared" si="2468"/>
        <v>0</v>
      </c>
      <c r="CB1162">
        <f t="shared" si="2468"/>
        <v>0</v>
      </c>
      <c r="CC1162">
        <f t="shared" si="2469"/>
        <v>0</v>
      </c>
      <c r="CD1162">
        <f t="shared" si="2469"/>
        <v>0</v>
      </c>
      <c r="CE1162">
        <f t="shared" si="2469"/>
        <v>0</v>
      </c>
      <c r="CF1162">
        <f t="shared" si="2469"/>
        <v>0</v>
      </c>
      <c r="CG1162">
        <f t="shared" si="2469"/>
        <v>0</v>
      </c>
      <c r="CH1162">
        <f t="shared" si="2469"/>
        <v>0</v>
      </c>
      <c r="CI1162">
        <f t="shared" si="2469"/>
        <v>0</v>
      </c>
      <c r="CJ1162">
        <f t="shared" si="2469"/>
        <v>0</v>
      </c>
      <c r="CK1162">
        <f t="shared" si="2469"/>
        <v>0</v>
      </c>
      <c r="CL1162">
        <f t="shared" si="2469"/>
        <v>0</v>
      </c>
      <c r="CM1162">
        <f t="shared" si="2470"/>
        <v>0</v>
      </c>
      <c r="CN1162">
        <f t="shared" si="2470"/>
        <v>0</v>
      </c>
      <c r="CO1162">
        <f t="shared" si="2470"/>
        <v>0</v>
      </c>
      <c r="CP1162">
        <f t="shared" si="2470"/>
        <v>0</v>
      </c>
      <c r="CQ1162">
        <f t="shared" si="2470"/>
        <v>0</v>
      </c>
      <c r="CR1162">
        <f t="shared" si="2470"/>
        <v>0</v>
      </c>
      <c r="CS1162">
        <f t="shared" si="2470"/>
        <v>0</v>
      </c>
      <c r="CT1162">
        <f t="shared" si="2470"/>
        <v>0</v>
      </c>
      <c r="CU1162">
        <f t="shared" si="2470"/>
        <v>0</v>
      </c>
      <c r="CV1162">
        <f t="shared" si="2470"/>
        <v>0</v>
      </c>
      <c r="CW1162">
        <f t="shared" si="2471"/>
        <v>0</v>
      </c>
      <c r="CX1162">
        <f t="shared" si="2471"/>
        <v>0</v>
      </c>
      <c r="CY1162">
        <f t="shared" si="2471"/>
        <v>0</v>
      </c>
      <c r="CZ1162">
        <f t="shared" si="2471"/>
        <v>0</v>
      </c>
      <c r="DA1162">
        <f t="shared" si="2471"/>
        <v>0</v>
      </c>
      <c r="DB1162">
        <f t="shared" si="2471"/>
        <v>0</v>
      </c>
      <c r="DC1162">
        <f t="shared" si="2471"/>
        <v>0</v>
      </c>
      <c r="DD1162">
        <f t="shared" si="2471"/>
        <v>0</v>
      </c>
      <c r="DE1162">
        <f t="shared" si="2471"/>
        <v>0</v>
      </c>
      <c r="DF1162">
        <f t="shared" si="2471"/>
        <v>0</v>
      </c>
      <c r="DG1162">
        <f t="shared" si="2472"/>
        <v>0</v>
      </c>
      <c r="DH1162">
        <f t="shared" si="2472"/>
        <v>0</v>
      </c>
      <c r="DI1162">
        <f t="shared" si="2472"/>
        <v>0</v>
      </c>
      <c r="DJ1162">
        <f t="shared" si="2472"/>
        <v>0</v>
      </c>
      <c r="DK1162">
        <f t="shared" si="2472"/>
        <v>0</v>
      </c>
      <c r="DL1162">
        <f t="shared" si="2472"/>
        <v>0</v>
      </c>
      <c r="DM1162">
        <f t="shared" si="2472"/>
        <v>0</v>
      </c>
      <c r="DN1162">
        <f t="shared" si="2472"/>
        <v>0</v>
      </c>
      <c r="DO1162">
        <f t="shared" si="2472"/>
        <v>0</v>
      </c>
      <c r="DP1162">
        <f t="shared" si="2472"/>
        <v>0</v>
      </c>
      <c r="DQ1162">
        <f t="shared" si="2473"/>
        <v>0</v>
      </c>
      <c r="DR1162">
        <f t="shared" si="2473"/>
        <v>0</v>
      </c>
      <c r="DS1162">
        <f t="shared" si="2473"/>
        <v>0</v>
      </c>
      <c r="DT1162">
        <f t="shared" si="2473"/>
        <v>0</v>
      </c>
      <c r="DU1162">
        <f t="shared" si="2473"/>
        <v>0</v>
      </c>
      <c r="DV1162">
        <f t="shared" si="2473"/>
        <v>0</v>
      </c>
      <c r="DW1162">
        <f t="shared" si="2473"/>
        <v>0</v>
      </c>
      <c r="DX1162">
        <f t="shared" si="2473"/>
        <v>0</v>
      </c>
      <c r="DY1162">
        <f t="shared" si="2473"/>
        <v>0</v>
      </c>
      <c r="DZ1162">
        <f t="shared" si="2473"/>
        <v>0</v>
      </c>
      <c r="EA1162">
        <f t="shared" si="2474"/>
        <v>0</v>
      </c>
      <c r="EB1162">
        <f t="shared" si="2475"/>
        <v>0</v>
      </c>
      <c r="EC1162">
        <f t="shared" si="2474"/>
        <v>0</v>
      </c>
      <c r="ED1162">
        <f t="shared" si="2474"/>
        <v>0</v>
      </c>
      <c r="EE1162">
        <f t="shared" si="2474"/>
        <v>0</v>
      </c>
      <c r="EF1162">
        <f t="shared" si="2474"/>
        <v>0</v>
      </c>
    </row>
    <row r="1163" spans="1:136" ht="15.5">
      <c r="A1163" s="90"/>
      <c r="B1163" s="19" t="s">
        <v>18</v>
      </c>
      <c r="C1163" s="94"/>
      <c r="D1163" s="18">
        <v>0</v>
      </c>
      <c r="E1163" s="18">
        <v>0</v>
      </c>
      <c r="F1163" s="18">
        <v>0</v>
      </c>
      <c r="G1163" s="18">
        <v>0</v>
      </c>
      <c r="H1163" s="18">
        <v>0</v>
      </c>
      <c r="I1163" s="18">
        <v>0</v>
      </c>
      <c r="J1163" s="18">
        <v>0</v>
      </c>
      <c r="K1163" s="18">
        <v>0</v>
      </c>
      <c r="L1163" s="18">
        <v>0</v>
      </c>
      <c r="M1163" s="18">
        <v>0</v>
      </c>
      <c r="N1163" s="18">
        <v>0</v>
      </c>
      <c r="O1163" s="18">
        <v>0</v>
      </c>
      <c r="P1163" s="18">
        <v>0</v>
      </c>
      <c r="Q1163" s="18">
        <v>0</v>
      </c>
      <c r="R1163" s="18">
        <v>0</v>
      </c>
      <c r="S1163" s="18">
        <v>0</v>
      </c>
      <c r="T1163" s="18">
        <v>0</v>
      </c>
      <c r="U1163" s="18">
        <v>0</v>
      </c>
      <c r="V1163" s="18">
        <v>0</v>
      </c>
      <c r="W1163" s="18">
        <v>25</v>
      </c>
      <c r="X1163" s="18">
        <v>69</v>
      </c>
      <c r="Y1163" s="18">
        <v>37</v>
      </c>
      <c r="Z1163" s="18">
        <v>55</v>
      </c>
      <c r="AA1163" s="18">
        <v>84</v>
      </c>
      <c r="AB1163" s="18">
        <v>0</v>
      </c>
      <c r="AC1163" s="18">
        <v>0</v>
      </c>
      <c r="AD1163" s="18">
        <v>0</v>
      </c>
      <c r="AE1163" s="18">
        <v>0</v>
      </c>
      <c r="AF1163" s="18">
        <v>49</v>
      </c>
      <c r="AG1163" s="18">
        <v>0</v>
      </c>
      <c r="AH1163" s="18">
        <v>0</v>
      </c>
      <c r="AI1163" s="18">
        <v>0</v>
      </c>
      <c r="AJ1163" s="18">
        <v>0</v>
      </c>
      <c r="AK1163" s="18">
        <v>0</v>
      </c>
      <c r="AL1163" s="40" t="s">
        <v>16</v>
      </c>
      <c r="AM1163" s="40" t="s">
        <v>16</v>
      </c>
      <c r="AN1163" s="40" t="s">
        <v>16</v>
      </c>
      <c r="AO1163" s="18">
        <v>74</v>
      </c>
      <c r="AP1163" s="18">
        <v>0</v>
      </c>
      <c r="AQ1163" s="18">
        <v>0</v>
      </c>
      <c r="AR1163" s="18">
        <v>0</v>
      </c>
      <c r="AS1163" s="18">
        <v>0</v>
      </c>
      <c r="AT1163" s="18">
        <v>0</v>
      </c>
      <c r="AU1163" s="18">
        <v>0</v>
      </c>
      <c r="AV1163" s="18">
        <v>0</v>
      </c>
      <c r="AW1163" s="18">
        <v>0</v>
      </c>
      <c r="AX1163" s="18">
        <v>0</v>
      </c>
      <c r="AY1163" s="18">
        <v>0</v>
      </c>
      <c r="AZ1163" s="18">
        <v>0</v>
      </c>
      <c r="BA1163" s="18">
        <v>0</v>
      </c>
      <c r="BB1163" s="18">
        <v>0</v>
      </c>
      <c r="BC1163" s="18">
        <v>0</v>
      </c>
      <c r="BD1163" s="18">
        <v>0</v>
      </c>
      <c r="BE1163" s="18">
        <v>0</v>
      </c>
      <c r="BF1163" s="18">
        <v>0</v>
      </c>
      <c r="BG1163" s="18">
        <v>0</v>
      </c>
      <c r="BH1163" s="18">
        <v>0</v>
      </c>
      <c r="BI1163" s="113">
        <v>0</v>
      </c>
      <c r="BJ1163" s="113">
        <v>0</v>
      </c>
      <c r="BK1163" s="113">
        <v>0</v>
      </c>
      <c r="BL1163" s="113">
        <v>0</v>
      </c>
      <c r="BM1163" s="113">
        <v>0</v>
      </c>
      <c r="BN1163" s="113">
        <v>0</v>
      </c>
      <c r="BO1163" s="113">
        <v>0</v>
      </c>
      <c r="BP1163" s="113">
        <v>0</v>
      </c>
      <c r="BQ1163" s="113">
        <v>0</v>
      </c>
      <c r="BR1163" s="101"/>
      <c r="BS1163">
        <f t="shared" si="2468"/>
        <v>0</v>
      </c>
      <c r="BT1163">
        <f t="shared" si="2468"/>
        <v>0</v>
      </c>
      <c r="BU1163">
        <f t="shared" si="2468"/>
        <v>0</v>
      </c>
      <c r="BV1163">
        <f t="shared" si="2468"/>
        <v>0</v>
      </c>
      <c r="BW1163">
        <f t="shared" si="2468"/>
        <v>0</v>
      </c>
      <c r="BX1163">
        <f t="shared" si="2468"/>
        <v>0</v>
      </c>
      <c r="BY1163">
        <f t="shared" si="2468"/>
        <v>0</v>
      </c>
      <c r="BZ1163">
        <f t="shared" si="2468"/>
        <v>0</v>
      </c>
      <c r="CA1163">
        <f t="shared" si="2468"/>
        <v>0</v>
      </c>
      <c r="CB1163">
        <f t="shared" si="2468"/>
        <v>0</v>
      </c>
      <c r="CC1163">
        <f t="shared" si="2469"/>
        <v>0</v>
      </c>
      <c r="CD1163">
        <f t="shared" si="2469"/>
        <v>0</v>
      </c>
      <c r="CE1163">
        <f t="shared" si="2469"/>
        <v>0</v>
      </c>
      <c r="CF1163">
        <f t="shared" si="2469"/>
        <v>0</v>
      </c>
      <c r="CG1163">
        <f t="shared" si="2469"/>
        <v>0</v>
      </c>
      <c r="CH1163">
        <f t="shared" si="2469"/>
        <v>0</v>
      </c>
      <c r="CI1163">
        <f t="shared" si="2469"/>
        <v>0</v>
      </c>
      <c r="CJ1163">
        <f t="shared" si="2469"/>
        <v>0</v>
      </c>
      <c r="CK1163">
        <f t="shared" si="2469"/>
        <v>0</v>
      </c>
      <c r="CL1163">
        <f t="shared" si="2469"/>
        <v>0</v>
      </c>
      <c r="CM1163">
        <f t="shared" si="2470"/>
        <v>0</v>
      </c>
      <c r="CN1163">
        <f t="shared" si="2470"/>
        <v>0</v>
      </c>
      <c r="CO1163">
        <f t="shared" si="2470"/>
        <v>0</v>
      </c>
      <c r="CP1163">
        <f t="shared" si="2470"/>
        <v>0</v>
      </c>
      <c r="CQ1163">
        <f t="shared" si="2470"/>
        <v>0</v>
      </c>
      <c r="CR1163">
        <f t="shared" si="2470"/>
        <v>0</v>
      </c>
      <c r="CS1163">
        <f t="shared" si="2470"/>
        <v>0</v>
      </c>
      <c r="CT1163">
        <f t="shared" si="2470"/>
        <v>0</v>
      </c>
      <c r="CU1163">
        <f t="shared" si="2470"/>
        <v>0</v>
      </c>
      <c r="CV1163">
        <f t="shared" si="2470"/>
        <v>0</v>
      </c>
      <c r="CW1163">
        <f t="shared" si="2471"/>
        <v>0</v>
      </c>
      <c r="CX1163">
        <f t="shared" si="2471"/>
        <v>0</v>
      </c>
      <c r="CY1163">
        <f t="shared" si="2471"/>
        <v>0</v>
      </c>
      <c r="CZ1163">
        <f t="shared" si="2471"/>
        <v>0</v>
      </c>
      <c r="DA1163">
        <f t="shared" si="2471"/>
        <v>0</v>
      </c>
      <c r="DB1163">
        <f t="shared" si="2471"/>
        <v>0</v>
      </c>
      <c r="DC1163">
        <f t="shared" si="2471"/>
        <v>0</v>
      </c>
      <c r="DD1163">
        <f t="shared" si="2471"/>
        <v>0</v>
      </c>
      <c r="DE1163">
        <f t="shared" si="2471"/>
        <v>0</v>
      </c>
      <c r="DF1163">
        <f t="shared" si="2471"/>
        <v>0</v>
      </c>
      <c r="DG1163">
        <f t="shared" si="2472"/>
        <v>0</v>
      </c>
      <c r="DH1163">
        <f t="shared" si="2472"/>
        <v>0</v>
      </c>
      <c r="DI1163">
        <f t="shared" si="2472"/>
        <v>0</v>
      </c>
      <c r="DJ1163">
        <f t="shared" si="2472"/>
        <v>0</v>
      </c>
      <c r="DK1163">
        <f t="shared" si="2472"/>
        <v>0</v>
      </c>
      <c r="DL1163">
        <f t="shared" si="2472"/>
        <v>0</v>
      </c>
      <c r="DM1163">
        <f t="shared" si="2472"/>
        <v>0</v>
      </c>
      <c r="DN1163">
        <f t="shared" si="2472"/>
        <v>0</v>
      </c>
      <c r="DO1163">
        <f t="shared" si="2472"/>
        <v>0</v>
      </c>
      <c r="DP1163">
        <f t="shared" si="2472"/>
        <v>0</v>
      </c>
      <c r="DQ1163">
        <f t="shared" si="2473"/>
        <v>0</v>
      </c>
      <c r="DR1163">
        <f t="shared" si="2473"/>
        <v>0</v>
      </c>
      <c r="DS1163">
        <f t="shared" si="2473"/>
        <v>0</v>
      </c>
      <c r="DT1163">
        <f t="shared" si="2473"/>
        <v>0</v>
      </c>
      <c r="DU1163">
        <f t="shared" si="2473"/>
        <v>0</v>
      </c>
      <c r="DV1163">
        <f t="shared" si="2473"/>
        <v>0</v>
      </c>
      <c r="DW1163">
        <f t="shared" si="2473"/>
        <v>0</v>
      </c>
      <c r="DX1163">
        <f t="shared" si="2473"/>
        <v>0</v>
      </c>
      <c r="DY1163">
        <f t="shared" si="2473"/>
        <v>0</v>
      </c>
      <c r="DZ1163">
        <f t="shared" si="2473"/>
        <v>0</v>
      </c>
      <c r="EA1163">
        <f t="shared" si="2474"/>
        <v>0</v>
      </c>
      <c r="EB1163">
        <f t="shared" si="2475"/>
        <v>0</v>
      </c>
      <c r="EC1163">
        <f t="shared" si="2474"/>
        <v>0</v>
      </c>
      <c r="ED1163">
        <f t="shared" si="2474"/>
        <v>0</v>
      </c>
      <c r="EE1163">
        <f t="shared" si="2474"/>
        <v>0</v>
      </c>
      <c r="EF1163">
        <f t="shared" si="2474"/>
        <v>0</v>
      </c>
    </row>
    <row r="1164" spans="1:136" ht="15.5">
      <c r="A1164" s="90"/>
      <c r="B1164" s="57" t="s">
        <v>208</v>
      </c>
      <c r="C1164" s="96"/>
      <c r="D1164" s="18"/>
      <c r="E1164" s="18"/>
      <c r="F1164" s="18"/>
      <c r="G1164" s="18"/>
      <c r="H1164" s="18"/>
      <c r="I1164" s="18"/>
      <c r="J1164" s="18"/>
      <c r="K1164" s="18"/>
      <c r="L1164" s="18"/>
      <c r="M1164" s="18"/>
      <c r="N1164" s="18">
        <v>0.14703959999999999</v>
      </c>
      <c r="O1164" s="18">
        <v>2.2246053999999997</v>
      </c>
      <c r="P1164" s="18">
        <v>1.8738300000000001</v>
      </c>
      <c r="Q1164" s="18">
        <v>2.2730280999999999</v>
      </c>
      <c r="R1164" s="18">
        <v>0.77526489999999992</v>
      </c>
      <c r="S1164" s="18">
        <v>0.61063540000000005</v>
      </c>
      <c r="T1164" s="18">
        <v>5.0867598999999997</v>
      </c>
      <c r="U1164" s="18">
        <v>7.9858944999999997</v>
      </c>
      <c r="V1164" s="18">
        <v>39.739204299999997</v>
      </c>
      <c r="W1164" s="18">
        <v>28.337458200000004</v>
      </c>
      <c r="X1164" s="18">
        <v>27.79824</v>
      </c>
      <c r="Y1164" s="18">
        <v>50.892656200000005</v>
      </c>
      <c r="Z1164" s="18">
        <v>101.24276389999999</v>
      </c>
      <c r="AA1164" s="71">
        <v>54.125780399999996</v>
      </c>
      <c r="AB1164" s="18">
        <v>0</v>
      </c>
      <c r="AC1164" s="18">
        <v>0.27071590000000001</v>
      </c>
      <c r="AD1164" s="18">
        <v>1.772095</v>
      </c>
      <c r="AE1164" s="18">
        <v>21.417763899999997</v>
      </c>
      <c r="AF1164" s="18">
        <v>3.5629197000000001</v>
      </c>
      <c r="AG1164" s="18">
        <v>1.6516967999999999</v>
      </c>
      <c r="AH1164" s="18">
        <v>1.4121013</v>
      </c>
      <c r="AI1164" s="18">
        <v>6.0210914000000004</v>
      </c>
      <c r="AJ1164" s="18">
        <v>17.6591655</v>
      </c>
      <c r="AK1164" s="18">
        <v>31.090942699999999</v>
      </c>
      <c r="AL1164" s="18">
        <v>45.674867799999994</v>
      </c>
      <c r="AM1164" s="18">
        <v>60.845176600000002</v>
      </c>
      <c r="AN1164" s="18">
        <v>74.4026475</v>
      </c>
      <c r="AO1164" s="18">
        <v>0</v>
      </c>
      <c r="AP1164" s="18">
        <v>0</v>
      </c>
      <c r="AQ1164" s="18">
        <v>0</v>
      </c>
      <c r="AR1164" s="18">
        <v>0</v>
      </c>
      <c r="AS1164" s="18">
        <v>0</v>
      </c>
      <c r="AT1164" s="18">
        <v>0</v>
      </c>
      <c r="AU1164" s="18">
        <v>0</v>
      </c>
      <c r="AV1164" s="18">
        <v>0</v>
      </c>
      <c r="AW1164" s="18">
        <v>0</v>
      </c>
      <c r="AX1164" s="18">
        <v>0</v>
      </c>
      <c r="AY1164" s="18">
        <v>0</v>
      </c>
      <c r="AZ1164" s="18">
        <v>0</v>
      </c>
      <c r="BA1164" s="18">
        <v>0</v>
      </c>
      <c r="BB1164" s="18">
        <v>0</v>
      </c>
      <c r="BC1164" s="18">
        <v>0</v>
      </c>
      <c r="BD1164" s="18">
        <v>0</v>
      </c>
      <c r="BE1164" s="25">
        <v>0</v>
      </c>
      <c r="BF1164" s="18">
        <v>0</v>
      </c>
      <c r="BG1164" s="18">
        <v>0</v>
      </c>
      <c r="BH1164" s="18">
        <v>0</v>
      </c>
      <c r="BI1164" s="18">
        <v>0</v>
      </c>
      <c r="BJ1164" s="113">
        <v>0</v>
      </c>
      <c r="BK1164" s="113">
        <v>0</v>
      </c>
      <c r="BL1164" s="113">
        <v>0</v>
      </c>
      <c r="BM1164" s="113">
        <v>0</v>
      </c>
      <c r="BN1164" s="113">
        <v>0</v>
      </c>
      <c r="BO1164" s="113">
        <v>0</v>
      </c>
      <c r="BP1164" s="113">
        <v>0</v>
      </c>
      <c r="BQ1164" s="113">
        <v>0</v>
      </c>
      <c r="BR1164" s="101"/>
      <c r="BS1164">
        <f t="shared" si="2468"/>
        <v>0</v>
      </c>
      <c r="BT1164">
        <f t="shared" si="2468"/>
        <v>0</v>
      </c>
      <c r="BU1164">
        <f t="shared" si="2468"/>
        <v>0</v>
      </c>
      <c r="BV1164">
        <f t="shared" si="2468"/>
        <v>0</v>
      </c>
      <c r="BW1164">
        <f t="shared" si="2468"/>
        <v>0</v>
      </c>
      <c r="BX1164">
        <f t="shared" si="2468"/>
        <v>0</v>
      </c>
      <c r="BY1164">
        <f t="shared" si="2468"/>
        <v>0</v>
      </c>
      <c r="BZ1164">
        <f t="shared" si="2468"/>
        <v>0</v>
      </c>
      <c r="CA1164">
        <f t="shared" si="2468"/>
        <v>0</v>
      </c>
      <c r="CB1164">
        <f t="shared" si="2468"/>
        <v>0</v>
      </c>
      <c r="CC1164">
        <f t="shared" si="2469"/>
        <v>0</v>
      </c>
      <c r="CD1164">
        <f t="shared" si="2469"/>
        <v>0</v>
      </c>
      <c r="CE1164">
        <f t="shared" si="2469"/>
        <v>0</v>
      </c>
      <c r="CF1164">
        <f t="shared" si="2469"/>
        <v>0</v>
      </c>
      <c r="CG1164">
        <f t="shared" si="2469"/>
        <v>0</v>
      </c>
      <c r="CH1164">
        <f t="shared" si="2469"/>
        <v>0</v>
      </c>
      <c r="CI1164">
        <f t="shared" si="2469"/>
        <v>0</v>
      </c>
      <c r="CJ1164">
        <f t="shared" si="2469"/>
        <v>0</v>
      </c>
      <c r="CK1164">
        <f t="shared" si="2469"/>
        <v>0</v>
      </c>
      <c r="CL1164">
        <f t="shared" si="2469"/>
        <v>0</v>
      </c>
      <c r="CM1164">
        <f t="shared" si="2470"/>
        <v>0</v>
      </c>
      <c r="CN1164">
        <f t="shared" si="2470"/>
        <v>0</v>
      </c>
      <c r="CO1164">
        <f t="shared" si="2470"/>
        <v>0</v>
      </c>
      <c r="CP1164">
        <f t="shared" si="2470"/>
        <v>0</v>
      </c>
      <c r="CQ1164">
        <f t="shared" si="2470"/>
        <v>0</v>
      </c>
      <c r="CR1164">
        <f t="shared" si="2470"/>
        <v>0</v>
      </c>
      <c r="CS1164">
        <f t="shared" si="2470"/>
        <v>0</v>
      </c>
      <c r="CT1164">
        <f t="shared" si="2470"/>
        <v>0</v>
      </c>
      <c r="CU1164">
        <f t="shared" si="2470"/>
        <v>0</v>
      </c>
      <c r="CV1164">
        <f t="shared" si="2470"/>
        <v>0</v>
      </c>
      <c r="CW1164">
        <f t="shared" si="2471"/>
        <v>0</v>
      </c>
      <c r="CX1164">
        <f t="shared" si="2471"/>
        <v>0</v>
      </c>
      <c r="CY1164">
        <f t="shared" si="2471"/>
        <v>0</v>
      </c>
      <c r="CZ1164">
        <f t="shared" si="2471"/>
        <v>0</v>
      </c>
      <c r="DA1164">
        <f t="shared" si="2471"/>
        <v>0</v>
      </c>
      <c r="DB1164">
        <f t="shared" si="2471"/>
        <v>0</v>
      </c>
      <c r="DC1164">
        <f t="shared" si="2471"/>
        <v>0</v>
      </c>
      <c r="DD1164">
        <f t="shared" si="2471"/>
        <v>0</v>
      </c>
      <c r="DE1164">
        <f t="shared" si="2471"/>
        <v>0</v>
      </c>
      <c r="DF1164">
        <f t="shared" si="2471"/>
        <v>0</v>
      </c>
      <c r="DG1164">
        <f t="shared" si="2472"/>
        <v>0</v>
      </c>
      <c r="DH1164">
        <f t="shared" si="2472"/>
        <v>0</v>
      </c>
      <c r="DI1164">
        <f t="shared" si="2472"/>
        <v>0</v>
      </c>
      <c r="DJ1164">
        <f t="shared" si="2472"/>
        <v>0</v>
      </c>
      <c r="DK1164">
        <f t="shared" si="2472"/>
        <v>0</v>
      </c>
      <c r="DL1164">
        <f t="shared" si="2472"/>
        <v>0</v>
      </c>
      <c r="DM1164">
        <f t="shared" si="2472"/>
        <v>0</v>
      </c>
      <c r="DN1164">
        <f t="shared" si="2472"/>
        <v>0</v>
      </c>
      <c r="DO1164">
        <f t="shared" si="2472"/>
        <v>0</v>
      </c>
      <c r="DP1164">
        <f t="shared" si="2472"/>
        <v>0</v>
      </c>
      <c r="DQ1164">
        <f t="shared" si="2473"/>
        <v>0</v>
      </c>
      <c r="DR1164">
        <f t="shared" si="2473"/>
        <v>0</v>
      </c>
      <c r="DS1164">
        <f t="shared" si="2473"/>
        <v>0</v>
      </c>
      <c r="DT1164">
        <f t="shared" si="2473"/>
        <v>0</v>
      </c>
      <c r="DU1164">
        <f t="shared" si="2473"/>
        <v>0</v>
      </c>
      <c r="DV1164">
        <f t="shared" si="2473"/>
        <v>0</v>
      </c>
      <c r="DW1164">
        <f t="shared" si="2473"/>
        <v>0</v>
      </c>
      <c r="DX1164">
        <f t="shared" si="2473"/>
        <v>0</v>
      </c>
      <c r="DY1164">
        <f t="shared" si="2473"/>
        <v>0</v>
      </c>
      <c r="DZ1164">
        <f t="shared" si="2473"/>
        <v>0</v>
      </c>
      <c r="EA1164">
        <f t="shared" si="2474"/>
        <v>0</v>
      </c>
      <c r="EB1164">
        <f t="shared" si="2475"/>
        <v>0</v>
      </c>
      <c r="EC1164">
        <f t="shared" si="2474"/>
        <v>0</v>
      </c>
      <c r="ED1164">
        <f t="shared" si="2474"/>
        <v>0</v>
      </c>
      <c r="EE1164">
        <f t="shared" si="2474"/>
        <v>0</v>
      </c>
      <c r="EF1164">
        <f t="shared" si="2474"/>
        <v>0</v>
      </c>
    </row>
    <row r="1165" spans="1:136" ht="15.5">
      <c r="A1165" s="90"/>
      <c r="B1165" s="53" t="s">
        <v>212</v>
      </c>
      <c r="C1165" s="96"/>
      <c r="D1165" s="18"/>
      <c r="E1165" s="18"/>
      <c r="F1165" s="18"/>
      <c r="G1165" s="18"/>
      <c r="H1165" s="18"/>
      <c r="I1165" s="18"/>
      <c r="J1165" s="18"/>
      <c r="K1165" s="18"/>
      <c r="L1165" s="18"/>
      <c r="M1165" s="18"/>
      <c r="N1165" s="18"/>
      <c r="O1165" s="18"/>
      <c r="P1165" s="18"/>
      <c r="Q1165" s="18"/>
      <c r="R1165" s="18"/>
      <c r="S1165" s="18"/>
      <c r="T1165" s="18"/>
      <c r="U1165" s="18"/>
      <c r="V1165" s="18"/>
      <c r="W1165" s="18">
        <v>117.99548702519745</v>
      </c>
      <c r="X1165" s="18">
        <v>96.183895274141463</v>
      </c>
      <c r="Y1165" s="18">
        <v>60.982900872892507</v>
      </c>
      <c r="Z1165" s="18">
        <v>56.615981882885798</v>
      </c>
      <c r="AA1165" s="71">
        <v>37.988877955008348</v>
      </c>
      <c r="AB1165" s="18">
        <v>9.3828190158465379</v>
      </c>
      <c r="AC1165" s="18">
        <v>8.7278497751917481</v>
      </c>
      <c r="AD1165" s="18">
        <v>0</v>
      </c>
      <c r="AE1165" s="18">
        <v>12.359550561797754</v>
      </c>
      <c r="AF1165" s="18">
        <v>0</v>
      </c>
      <c r="AG1165" s="18">
        <v>7.6019350380096755</v>
      </c>
      <c r="AH1165" s="18">
        <v>0</v>
      </c>
      <c r="AI1165" s="18">
        <v>0</v>
      </c>
      <c r="AJ1165" s="18">
        <v>17.681060863651819</v>
      </c>
      <c r="AK1165" s="18">
        <v>118.94335358101425</v>
      </c>
      <c r="AL1165" s="18">
        <v>79.709101382488484</v>
      </c>
      <c r="AM1165" s="18">
        <v>70.479815686667337</v>
      </c>
      <c r="AN1165" s="18">
        <v>70.293838862559241</v>
      </c>
      <c r="AO1165" s="18">
        <v>38.877755511022045</v>
      </c>
      <c r="AP1165" s="18">
        <v>53.860547847741017</v>
      </c>
      <c r="AQ1165" s="18">
        <v>448.54517611026034</v>
      </c>
      <c r="AR1165" s="18">
        <v>449.92907801418437</v>
      </c>
      <c r="AS1165" s="18">
        <v>423.6559139784946</v>
      </c>
      <c r="AT1165" s="18">
        <v>501.92</v>
      </c>
      <c r="AU1165" s="18">
        <v>545.68965517241384</v>
      </c>
      <c r="AV1165" s="18">
        <v>657.06110770488453</v>
      </c>
      <c r="AW1165" s="18">
        <v>888.83116883116884</v>
      </c>
      <c r="AX1165" s="18">
        <v>705.02092050209205</v>
      </c>
      <c r="AY1165" s="18">
        <v>731.47321428571433</v>
      </c>
      <c r="AZ1165" s="18">
        <v>715.50218340611355</v>
      </c>
      <c r="BA1165" s="18">
        <v>698.21029082774044</v>
      </c>
      <c r="BB1165" s="18">
        <v>561.63265306122446</v>
      </c>
      <c r="BC1165" s="18">
        <v>547.66734279918865</v>
      </c>
      <c r="BD1165" s="18">
        <v>531.85483870967744</v>
      </c>
      <c r="BE1165" s="25">
        <v>515.52795031055905</v>
      </c>
      <c r="BF1165" s="18">
        <v>516.14906832298141</v>
      </c>
      <c r="BG1165" s="18">
        <v>480.13245033112582</v>
      </c>
      <c r="BH1165" s="18">
        <v>531.84713375796173</v>
      </c>
      <c r="BI1165" s="18">
        <v>567.76556776556777</v>
      </c>
      <c r="BJ1165" s="113">
        <v>386.59793814432987</v>
      </c>
      <c r="BK1165" s="113">
        <v>145.29914529914529</v>
      </c>
      <c r="BL1165" s="113">
        <v>158.28677839851025</v>
      </c>
      <c r="BM1165" s="113">
        <v>72.41379310344827</v>
      </c>
      <c r="BN1165" s="142">
        <f>42000/614</f>
        <v>68.403908794788279</v>
      </c>
      <c r="BO1165" s="142">
        <f>42000/593</f>
        <v>70.826306913996632</v>
      </c>
      <c r="BP1165" s="142">
        <v>67</v>
      </c>
      <c r="BQ1165" s="113">
        <v>72</v>
      </c>
      <c r="BR1165" s="101"/>
      <c r="BS1165">
        <f t="shared" si="2468"/>
        <v>0</v>
      </c>
      <c r="BT1165">
        <f t="shared" si="2468"/>
        <v>0</v>
      </c>
      <c r="BU1165">
        <f t="shared" si="2468"/>
        <v>0</v>
      </c>
      <c r="BV1165">
        <f t="shared" si="2468"/>
        <v>0</v>
      </c>
      <c r="BW1165">
        <f t="shared" si="2468"/>
        <v>0</v>
      </c>
      <c r="BX1165">
        <f t="shared" si="2468"/>
        <v>0</v>
      </c>
      <c r="BY1165">
        <f t="shared" si="2468"/>
        <v>0</v>
      </c>
      <c r="BZ1165">
        <f t="shared" si="2468"/>
        <v>0</v>
      </c>
      <c r="CA1165">
        <f t="shared" si="2468"/>
        <v>0</v>
      </c>
      <c r="CB1165">
        <f t="shared" si="2468"/>
        <v>0</v>
      </c>
      <c r="CC1165">
        <f t="shared" si="2469"/>
        <v>0</v>
      </c>
      <c r="CD1165">
        <f t="shared" si="2469"/>
        <v>0</v>
      </c>
      <c r="CE1165">
        <f t="shared" si="2469"/>
        <v>0</v>
      </c>
      <c r="CF1165">
        <f t="shared" si="2469"/>
        <v>0</v>
      </c>
      <c r="CG1165">
        <f t="shared" si="2469"/>
        <v>0</v>
      </c>
      <c r="CH1165">
        <f t="shared" si="2469"/>
        <v>0</v>
      </c>
      <c r="CI1165">
        <f t="shared" si="2469"/>
        <v>0</v>
      </c>
      <c r="CJ1165">
        <f t="shared" si="2469"/>
        <v>0</v>
      </c>
      <c r="CK1165">
        <f t="shared" si="2469"/>
        <v>0</v>
      </c>
      <c r="CL1165">
        <f t="shared" si="2469"/>
        <v>0</v>
      </c>
      <c r="CM1165">
        <f t="shared" si="2470"/>
        <v>0</v>
      </c>
      <c r="CN1165">
        <f t="shared" si="2470"/>
        <v>0</v>
      </c>
      <c r="CO1165">
        <f t="shared" si="2470"/>
        <v>0</v>
      </c>
      <c r="CP1165">
        <f t="shared" si="2470"/>
        <v>0</v>
      </c>
      <c r="CQ1165">
        <f t="shared" si="2470"/>
        <v>0</v>
      </c>
      <c r="CR1165">
        <f t="shared" si="2470"/>
        <v>0</v>
      </c>
      <c r="CS1165">
        <f t="shared" si="2470"/>
        <v>0</v>
      </c>
      <c r="CT1165">
        <f t="shared" si="2470"/>
        <v>0</v>
      </c>
      <c r="CU1165">
        <f t="shared" si="2470"/>
        <v>0</v>
      </c>
      <c r="CV1165">
        <f t="shared" si="2470"/>
        <v>0</v>
      </c>
      <c r="CW1165">
        <f t="shared" si="2471"/>
        <v>0</v>
      </c>
      <c r="CX1165">
        <f t="shared" si="2471"/>
        <v>0</v>
      </c>
      <c r="CY1165">
        <f t="shared" si="2471"/>
        <v>0</v>
      </c>
      <c r="CZ1165">
        <f t="shared" si="2471"/>
        <v>0</v>
      </c>
      <c r="DA1165">
        <f t="shared" si="2471"/>
        <v>0</v>
      </c>
      <c r="DB1165">
        <f t="shared" si="2471"/>
        <v>0</v>
      </c>
      <c r="DC1165">
        <f t="shared" si="2471"/>
        <v>0</v>
      </c>
      <c r="DD1165">
        <f t="shared" si="2471"/>
        <v>0</v>
      </c>
      <c r="DE1165">
        <f t="shared" si="2471"/>
        <v>0</v>
      </c>
      <c r="DF1165">
        <f t="shared" si="2471"/>
        <v>0</v>
      </c>
      <c r="DG1165">
        <f t="shared" si="2472"/>
        <v>0</v>
      </c>
      <c r="DH1165">
        <f t="shared" si="2472"/>
        <v>0</v>
      </c>
      <c r="DI1165">
        <f t="shared" si="2472"/>
        <v>0</v>
      </c>
      <c r="DJ1165">
        <f t="shared" si="2472"/>
        <v>0</v>
      </c>
      <c r="DK1165">
        <f t="shared" si="2472"/>
        <v>0</v>
      </c>
      <c r="DL1165">
        <f t="shared" si="2472"/>
        <v>0</v>
      </c>
      <c r="DM1165">
        <f t="shared" si="2472"/>
        <v>0</v>
      </c>
      <c r="DN1165">
        <f t="shared" si="2472"/>
        <v>0</v>
      </c>
      <c r="DO1165">
        <f t="shared" si="2472"/>
        <v>0</v>
      </c>
      <c r="DP1165">
        <f t="shared" si="2472"/>
        <v>0</v>
      </c>
      <c r="DQ1165">
        <f t="shared" si="2473"/>
        <v>0</v>
      </c>
      <c r="DR1165">
        <f t="shared" si="2473"/>
        <v>0</v>
      </c>
      <c r="DS1165">
        <f t="shared" si="2473"/>
        <v>0</v>
      </c>
      <c r="DT1165">
        <f t="shared" si="2473"/>
        <v>0</v>
      </c>
      <c r="DU1165">
        <f t="shared" si="2473"/>
        <v>0</v>
      </c>
      <c r="DV1165">
        <f t="shared" si="2473"/>
        <v>0</v>
      </c>
      <c r="DW1165">
        <f t="shared" si="2473"/>
        <v>0</v>
      </c>
      <c r="DX1165">
        <f t="shared" si="2473"/>
        <v>0</v>
      </c>
      <c r="DY1165">
        <f t="shared" si="2473"/>
        <v>0</v>
      </c>
      <c r="DZ1165">
        <f t="shared" si="2473"/>
        <v>0</v>
      </c>
      <c r="EA1165">
        <f t="shared" ref="EA1165:EF1165" si="2476">IF($C1165&lt;&gt;"",IF(BL1165&gt;0,1,0),0)</f>
        <v>0</v>
      </c>
      <c r="EB1165">
        <f t="shared" si="2476"/>
        <v>0</v>
      </c>
      <c r="EC1165">
        <f t="shared" si="2476"/>
        <v>0</v>
      </c>
      <c r="ED1165">
        <f t="shared" si="2476"/>
        <v>0</v>
      </c>
      <c r="EE1165">
        <f t="shared" si="2476"/>
        <v>0</v>
      </c>
      <c r="EF1165">
        <f t="shared" si="2476"/>
        <v>0</v>
      </c>
    </row>
    <row r="1166" spans="1:136" ht="15.5">
      <c r="A1166" s="90"/>
      <c r="B1166" s="37"/>
      <c r="C1166" s="94"/>
      <c r="D1166" s="31"/>
      <c r="E1166" s="31"/>
      <c r="F1166" s="31"/>
      <c r="G1166" s="31"/>
      <c r="H1166" s="31"/>
      <c r="I1166" s="31"/>
      <c r="J1166" s="31"/>
      <c r="K1166" s="31"/>
      <c r="L1166" s="31"/>
      <c r="M1166" s="31"/>
      <c r="N1166" s="31"/>
      <c r="O1166" s="31"/>
      <c r="P1166" s="31"/>
      <c r="Q1166" s="31"/>
      <c r="R1166" s="31"/>
      <c r="S1166" s="31"/>
      <c r="T1166" s="31"/>
      <c r="U1166" s="31"/>
      <c r="V1166" s="31"/>
      <c r="W1166" s="31"/>
      <c r="X1166" s="31"/>
      <c r="Y1166" s="31"/>
      <c r="Z1166" s="31"/>
      <c r="AA1166" s="31"/>
      <c r="AB1166" s="31"/>
      <c r="AC1166" s="31"/>
      <c r="AD1166" s="31"/>
      <c r="AE1166" s="31"/>
      <c r="AF1166" s="31"/>
      <c r="AG1166" s="31"/>
      <c r="AH1166" s="31"/>
      <c r="AI1166" s="31"/>
      <c r="AJ1166" s="31"/>
      <c r="AK1166" s="31"/>
      <c r="AL1166" s="31"/>
      <c r="AM1166" s="31"/>
      <c r="AN1166" s="31"/>
      <c r="AO1166" s="31"/>
      <c r="AP1166" s="31"/>
      <c r="AQ1166" s="31"/>
      <c r="AR1166" s="31"/>
      <c r="AS1166" s="31"/>
      <c r="AT1166" s="31"/>
      <c r="AU1166" s="31"/>
      <c r="AV1166" s="31"/>
      <c r="AW1166" s="31"/>
      <c r="AX1166" s="31"/>
      <c r="AY1166" s="31"/>
      <c r="AZ1166" s="31"/>
      <c r="BA1166" s="31"/>
      <c r="BB1166" s="31"/>
      <c r="BC1166" s="31"/>
      <c r="BD1166" s="31"/>
      <c r="BE1166" s="55"/>
      <c r="BF1166" s="31"/>
      <c r="BG1166" s="31"/>
      <c r="BH1166" s="2"/>
      <c r="BI1166" s="2"/>
      <c r="BJ1166" s="2"/>
      <c r="BK1166" s="2"/>
      <c r="BL1166" s="9"/>
      <c r="BM1166" s="2"/>
      <c r="BN1166" s="2"/>
      <c r="BO1166" s="2"/>
      <c r="BP1166" s="2"/>
      <c r="BQ1166" s="2"/>
      <c r="BR1166" s="101"/>
    </row>
    <row r="1167" spans="1:136" ht="15.5">
      <c r="A1167" s="93">
        <v>147</v>
      </c>
      <c r="B1167" s="32" t="s">
        <v>145</v>
      </c>
      <c r="C1167" s="94">
        <v>3</v>
      </c>
      <c r="D1167" s="9"/>
      <c r="E1167" s="9"/>
      <c r="F1167" s="9"/>
      <c r="G1167" s="9"/>
      <c r="H1167" s="9"/>
      <c r="I1167" s="9"/>
      <c r="J1167" s="9"/>
      <c r="K1167" s="9"/>
      <c r="L1167" s="9"/>
      <c r="M1167" s="9"/>
      <c r="N1167" s="9">
        <f t="shared" ref="N1167:AQ1167" si="2477">N1169+N1170</f>
        <v>0</v>
      </c>
      <c r="O1167" s="9">
        <f t="shared" si="2477"/>
        <v>0</v>
      </c>
      <c r="P1167" s="9">
        <f t="shared" si="2477"/>
        <v>0</v>
      </c>
      <c r="Q1167" s="9">
        <f t="shared" si="2477"/>
        <v>0</v>
      </c>
      <c r="R1167" s="9">
        <f t="shared" si="2477"/>
        <v>0</v>
      </c>
      <c r="S1167" s="9">
        <f t="shared" si="2477"/>
        <v>0</v>
      </c>
      <c r="T1167" s="9">
        <f t="shared" si="2477"/>
        <v>0</v>
      </c>
      <c r="U1167" s="9">
        <f t="shared" si="2477"/>
        <v>0</v>
      </c>
      <c r="V1167" s="9">
        <f t="shared" si="2477"/>
        <v>0</v>
      </c>
      <c r="W1167" s="9">
        <f t="shared" si="2477"/>
        <v>0</v>
      </c>
      <c r="X1167" s="9">
        <f t="shared" si="2477"/>
        <v>0</v>
      </c>
      <c r="Y1167" s="9">
        <f t="shared" si="2477"/>
        <v>0</v>
      </c>
      <c r="Z1167" s="9">
        <f t="shared" si="2477"/>
        <v>0</v>
      </c>
      <c r="AA1167" s="9">
        <f t="shared" si="2477"/>
        <v>0</v>
      </c>
      <c r="AB1167" s="9">
        <f t="shared" si="2477"/>
        <v>0</v>
      </c>
      <c r="AC1167" s="9">
        <f t="shared" si="2477"/>
        <v>0</v>
      </c>
      <c r="AD1167" s="9">
        <f t="shared" si="2477"/>
        <v>0</v>
      </c>
      <c r="AE1167" s="9">
        <f t="shared" si="2477"/>
        <v>0</v>
      </c>
      <c r="AF1167" s="9">
        <f t="shared" si="2477"/>
        <v>0</v>
      </c>
      <c r="AG1167" s="9">
        <f t="shared" si="2477"/>
        <v>0</v>
      </c>
      <c r="AH1167" s="9">
        <f t="shared" si="2477"/>
        <v>0</v>
      </c>
      <c r="AI1167" s="9">
        <f t="shared" si="2477"/>
        <v>0</v>
      </c>
      <c r="AJ1167" s="9">
        <f t="shared" si="2477"/>
        <v>0</v>
      </c>
      <c r="AK1167" s="9">
        <f t="shared" si="2477"/>
        <v>0</v>
      </c>
      <c r="AL1167" s="9">
        <f t="shared" si="2477"/>
        <v>0</v>
      </c>
      <c r="AM1167" s="9">
        <f t="shared" si="2477"/>
        <v>0</v>
      </c>
      <c r="AN1167" s="9">
        <f t="shared" si="2477"/>
        <v>0</v>
      </c>
      <c r="AO1167" s="9">
        <f t="shared" si="2477"/>
        <v>2.6501E-2</v>
      </c>
      <c r="AP1167" s="9">
        <f t="shared" si="2477"/>
        <v>5.9504300000000003E-2</v>
      </c>
      <c r="AQ1167" s="9">
        <f t="shared" si="2477"/>
        <v>0.30841219999999997</v>
      </c>
      <c r="AR1167" s="9">
        <f t="shared" ref="AR1167:BO1167" si="2478">AR1168+AR1169+AR1170</f>
        <v>0.673682</v>
      </c>
      <c r="AS1167" s="9">
        <f t="shared" si="2478"/>
        <v>1.7960967999999999</v>
      </c>
      <c r="AT1167" s="9">
        <f t="shared" si="2478"/>
        <v>2.0175233000000001</v>
      </c>
      <c r="AU1167" s="9">
        <f t="shared" si="2478"/>
        <v>2.7029855999999999</v>
      </c>
      <c r="AV1167" s="9">
        <f t="shared" si="2478"/>
        <v>2.9044132</v>
      </c>
      <c r="AW1167" s="9">
        <f t="shared" si="2478"/>
        <v>0.67608639999999998</v>
      </c>
      <c r="AX1167" s="9">
        <f t="shared" si="2478"/>
        <v>1.4270337</v>
      </c>
      <c r="AY1167" s="9">
        <f t="shared" si="2478"/>
        <v>0.65027519999999994</v>
      </c>
      <c r="AZ1167" s="9">
        <f t="shared" si="2478"/>
        <v>2.4078545</v>
      </c>
      <c r="BA1167" s="9">
        <f t="shared" si="2478"/>
        <v>0.7322632</v>
      </c>
      <c r="BB1167" s="9">
        <f t="shared" si="2478"/>
        <v>2.4391199999999998E-2</v>
      </c>
      <c r="BC1167" s="9">
        <f t="shared" si="2478"/>
        <v>7.7094599999999999E-2</v>
      </c>
      <c r="BD1167" s="9">
        <f t="shared" si="2478"/>
        <v>9.8214899999999994E-2</v>
      </c>
      <c r="BE1167" s="9">
        <f t="shared" si="2478"/>
        <v>2.3507191000000001</v>
      </c>
      <c r="BF1167" s="9">
        <f t="shared" si="2478"/>
        <v>0.81958760000000008</v>
      </c>
      <c r="BG1167" s="9">
        <f t="shared" si="2478"/>
        <v>1.540476</v>
      </c>
      <c r="BH1167" s="9">
        <v>4</v>
      </c>
      <c r="BI1167" s="9">
        <f t="shared" si="2478"/>
        <v>0</v>
      </c>
      <c r="BJ1167" s="9">
        <f t="shared" si="2478"/>
        <v>0</v>
      </c>
      <c r="BK1167" s="9">
        <f t="shared" si="2478"/>
        <v>0</v>
      </c>
      <c r="BL1167" s="9">
        <f t="shared" si="2478"/>
        <v>3.0413572999999996</v>
      </c>
      <c r="BM1167" s="9">
        <f t="shared" si="2478"/>
        <v>6.4210566</v>
      </c>
      <c r="BN1167" s="9">
        <f t="shared" si="2478"/>
        <v>0</v>
      </c>
      <c r="BO1167" s="9">
        <f t="shared" si="2478"/>
        <v>0</v>
      </c>
      <c r="BP1167" s="9">
        <f>BP1168+BP1169+BP1170</f>
        <v>0</v>
      </c>
      <c r="BQ1167" s="9">
        <f>BQ1168+BQ1169+BQ1170</f>
        <v>0</v>
      </c>
      <c r="BR1167" s="101"/>
      <c r="BS1167">
        <f t="shared" ref="BS1167:CX1167" si="2479">IF($C1167&lt;&gt;"",IF(D1167&gt;0,1,0),0)</f>
        <v>0</v>
      </c>
      <c r="BT1167">
        <f t="shared" si="2479"/>
        <v>0</v>
      </c>
      <c r="BU1167">
        <f t="shared" si="2479"/>
        <v>0</v>
      </c>
      <c r="BV1167">
        <f t="shared" si="2479"/>
        <v>0</v>
      </c>
      <c r="BW1167">
        <f t="shared" si="2479"/>
        <v>0</v>
      </c>
      <c r="BX1167">
        <f t="shared" si="2479"/>
        <v>0</v>
      </c>
      <c r="BY1167">
        <f t="shared" si="2479"/>
        <v>0</v>
      </c>
      <c r="BZ1167">
        <f t="shared" si="2479"/>
        <v>0</v>
      </c>
      <c r="CA1167">
        <f t="shared" si="2479"/>
        <v>0</v>
      </c>
      <c r="CB1167">
        <f t="shared" si="2479"/>
        <v>0</v>
      </c>
      <c r="CC1167">
        <f t="shared" si="2479"/>
        <v>0</v>
      </c>
      <c r="CD1167">
        <f t="shared" si="2479"/>
        <v>0</v>
      </c>
      <c r="CE1167">
        <f t="shared" si="2479"/>
        <v>0</v>
      </c>
      <c r="CF1167">
        <f t="shared" si="2479"/>
        <v>0</v>
      </c>
      <c r="CG1167">
        <f t="shared" si="2479"/>
        <v>0</v>
      </c>
      <c r="CH1167">
        <f t="shared" si="2479"/>
        <v>0</v>
      </c>
      <c r="CI1167">
        <f t="shared" si="2479"/>
        <v>0</v>
      </c>
      <c r="CJ1167">
        <f t="shared" si="2479"/>
        <v>0</v>
      </c>
      <c r="CK1167">
        <f t="shared" si="2479"/>
        <v>0</v>
      </c>
      <c r="CL1167">
        <f t="shared" si="2479"/>
        <v>0</v>
      </c>
      <c r="CM1167">
        <f t="shared" si="2479"/>
        <v>0</v>
      </c>
      <c r="CN1167">
        <f t="shared" si="2479"/>
        <v>0</v>
      </c>
      <c r="CO1167">
        <f t="shared" si="2479"/>
        <v>0</v>
      </c>
      <c r="CP1167">
        <f t="shared" si="2479"/>
        <v>0</v>
      </c>
      <c r="CQ1167">
        <f t="shared" si="2479"/>
        <v>0</v>
      </c>
      <c r="CR1167">
        <f t="shared" si="2479"/>
        <v>0</v>
      </c>
      <c r="CS1167">
        <f t="shared" si="2479"/>
        <v>0</v>
      </c>
      <c r="CT1167">
        <f t="shared" si="2479"/>
        <v>0</v>
      </c>
      <c r="CU1167">
        <f t="shared" si="2479"/>
        <v>0</v>
      </c>
      <c r="CV1167">
        <f t="shared" si="2479"/>
        <v>0</v>
      </c>
      <c r="CW1167">
        <f t="shared" si="2479"/>
        <v>0</v>
      </c>
      <c r="CX1167">
        <f t="shared" si="2479"/>
        <v>0</v>
      </c>
      <c r="CY1167">
        <f t="shared" ref="CY1167:EF1167" si="2480">IF($C1167&lt;&gt;"",IF(AJ1167&gt;0,1,0),0)</f>
        <v>0</v>
      </c>
      <c r="CZ1167">
        <f t="shared" si="2480"/>
        <v>0</v>
      </c>
      <c r="DA1167">
        <f t="shared" si="2480"/>
        <v>0</v>
      </c>
      <c r="DB1167">
        <f t="shared" si="2480"/>
        <v>0</v>
      </c>
      <c r="DC1167">
        <f t="shared" si="2480"/>
        <v>0</v>
      </c>
      <c r="DD1167">
        <f t="shared" si="2480"/>
        <v>1</v>
      </c>
      <c r="DE1167">
        <f t="shared" si="2480"/>
        <v>1</v>
      </c>
      <c r="DF1167">
        <f t="shared" si="2480"/>
        <v>1</v>
      </c>
      <c r="DG1167">
        <f t="shared" si="2480"/>
        <v>1</v>
      </c>
      <c r="DH1167">
        <f t="shared" si="2480"/>
        <v>1</v>
      </c>
      <c r="DI1167">
        <f t="shared" si="2480"/>
        <v>1</v>
      </c>
      <c r="DJ1167">
        <f t="shared" si="2480"/>
        <v>1</v>
      </c>
      <c r="DK1167">
        <f t="shared" si="2480"/>
        <v>1</v>
      </c>
      <c r="DL1167">
        <f t="shared" si="2480"/>
        <v>1</v>
      </c>
      <c r="DM1167">
        <f t="shared" si="2480"/>
        <v>1</v>
      </c>
      <c r="DN1167">
        <f t="shared" si="2480"/>
        <v>1</v>
      </c>
      <c r="DO1167">
        <f t="shared" si="2480"/>
        <v>1</v>
      </c>
      <c r="DP1167">
        <f t="shared" si="2480"/>
        <v>1</v>
      </c>
      <c r="DQ1167">
        <f t="shared" si="2480"/>
        <v>1</v>
      </c>
      <c r="DR1167">
        <f t="shared" si="2480"/>
        <v>1</v>
      </c>
      <c r="DS1167">
        <f t="shared" si="2480"/>
        <v>1</v>
      </c>
      <c r="DT1167">
        <f t="shared" si="2480"/>
        <v>1</v>
      </c>
      <c r="DU1167">
        <f t="shared" si="2480"/>
        <v>1</v>
      </c>
      <c r="DV1167">
        <f t="shared" si="2480"/>
        <v>1</v>
      </c>
      <c r="DW1167">
        <f t="shared" si="2480"/>
        <v>1</v>
      </c>
      <c r="DX1167">
        <f t="shared" si="2480"/>
        <v>0</v>
      </c>
      <c r="DY1167">
        <f t="shared" si="2480"/>
        <v>0</v>
      </c>
      <c r="DZ1167">
        <f t="shared" si="2480"/>
        <v>0</v>
      </c>
      <c r="EA1167">
        <f t="shared" si="2480"/>
        <v>1</v>
      </c>
      <c r="EB1167">
        <f>IF($C1167&lt;&gt;"",IF(BM1167&gt;0,1,0),0)</f>
        <v>1</v>
      </c>
      <c r="EC1167">
        <f t="shared" si="2480"/>
        <v>0</v>
      </c>
      <c r="ED1167">
        <f t="shared" si="2480"/>
        <v>0</v>
      </c>
      <c r="EE1167">
        <f t="shared" si="2480"/>
        <v>0</v>
      </c>
      <c r="EF1167">
        <f t="shared" si="2480"/>
        <v>0</v>
      </c>
    </row>
    <row r="1168" spans="1:136" ht="15.5">
      <c r="A1168" s="90"/>
      <c r="B1168" s="19" t="s">
        <v>205</v>
      </c>
      <c r="C1168" s="94"/>
      <c r="D1168" s="9"/>
      <c r="E1168" s="9"/>
      <c r="F1168" s="9"/>
      <c r="G1168" s="9"/>
      <c r="H1168" s="9"/>
      <c r="I1168" s="9"/>
      <c r="J1168" s="9"/>
      <c r="K1168" s="9"/>
      <c r="L1168" s="9"/>
      <c r="M1168" s="9"/>
      <c r="N1168" s="34">
        <v>0</v>
      </c>
      <c r="O1168" s="34">
        <v>0</v>
      </c>
      <c r="P1168" s="34">
        <v>0</v>
      </c>
      <c r="Q1168" s="34">
        <v>0</v>
      </c>
      <c r="R1168" s="34">
        <v>0</v>
      </c>
      <c r="S1168" s="34">
        <v>0</v>
      </c>
      <c r="T1168" s="34">
        <v>0</v>
      </c>
      <c r="U1168" s="34">
        <v>0</v>
      </c>
      <c r="V1168" s="34">
        <v>0</v>
      </c>
      <c r="W1168" s="34">
        <v>0</v>
      </c>
      <c r="X1168" s="34">
        <v>0</v>
      </c>
      <c r="Y1168" s="34">
        <v>0</v>
      </c>
      <c r="Z1168" s="34">
        <v>0</v>
      </c>
      <c r="AA1168" s="34">
        <v>0</v>
      </c>
      <c r="AB1168" s="34">
        <v>0</v>
      </c>
      <c r="AC1168" s="34">
        <v>0</v>
      </c>
      <c r="AD1168" s="34">
        <v>0</v>
      </c>
      <c r="AE1168" s="34">
        <v>0</v>
      </c>
      <c r="AF1168" s="34">
        <v>0</v>
      </c>
      <c r="AG1168" s="34">
        <v>0</v>
      </c>
      <c r="AH1168" s="34">
        <v>0</v>
      </c>
      <c r="AI1168" s="34">
        <v>0</v>
      </c>
      <c r="AJ1168" s="34">
        <v>0</v>
      </c>
      <c r="AK1168" s="34">
        <v>0</v>
      </c>
      <c r="AL1168" s="34">
        <v>0</v>
      </c>
      <c r="AM1168" s="34">
        <v>0</v>
      </c>
      <c r="AN1168" s="34">
        <v>0</v>
      </c>
      <c r="AO1168" s="34">
        <v>0</v>
      </c>
      <c r="AP1168" s="34">
        <v>0</v>
      </c>
      <c r="AQ1168" s="34">
        <v>0</v>
      </c>
      <c r="AR1168" s="34">
        <v>0</v>
      </c>
      <c r="AS1168" s="34">
        <v>0</v>
      </c>
      <c r="AT1168" s="34">
        <v>1.208E-4</v>
      </c>
      <c r="AU1168" s="34">
        <v>1.208E-4</v>
      </c>
      <c r="AV1168" s="34">
        <v>0.1186492</v>
      </c>
      <c r="AW1168" s="34">
        <v>0</v>
      </c>
      <c r="AX1168" s="34">
        <v>0.73955969999999993</v>
      </c>
      <c r="AY1168" s="34">
        <v>0.65027519999999994</v>
      </c>
      <c r="AZ1168" s="34">
        <v>0.3657859</v>
      </c>
      <c r="BA1168" s="34">
        <v>0.73225740000000006</v>
      </c>
      <c r="BB1168" s="34">
        <v>0</v>
      </c>
      <c r="BC1168" s="34">
        <v>5.8470000000000006E-4</v>
      </c>
      <c r="BD1168" s="34">
        <v>0</v>
      </c>
      <c r="BE1168" s="42">
        <v>2.3258960000000002</v>
      </c>
      <c r="BF1168" s="34">
        <v>0.81712700000000005</v>
      </c>
      <c r="BG1168" s="34">
        <v>1.540476</v>
      </c>
      <c r="BH1168" s="18">
        <v>3.7637754999999999</v>
      </c>
      <c r="BI1168" s="34">
        <v>0</v>
      </c>
      <c r="BJ1168" s="113">
        <v>0</v>
      </c>
      <c r="BK1168" s="113">
        <v>0</v>
      </c>
      <c r="BL1168" s="113">
        <v>3.0413572999999996</v>
      </c>
      <c r="BM1168" s="113">
        <v>6.4210566</v>
      </c>
      <c r="BN1168" s="113">
        <v>0</v>
      </c>
      <c r="BO1168" s="113">
        <v>0</v>
      </c>
      <c r="BP1168" s="113">
        <v>0</v>
      </c>
      <c r="BQ1168" s="113">
        <v>0</v>
      </c>
      <c r="BR1168" s="101"/>
      <c r="BS1168">
        <f t="shared" ref="BS1168:CB1170" si="2481">IF($C1168&lt;&gt;"",IF(D1168&gt;0,1,0),0)</f>
        <v>0</v>
      </c>
      <c r="BT1168">
        <f t="shared" si="2481"/>
        <v>0</v>
      </c>
      <c r="BU1168">
        <f t="shared" si="2481"/>
        <v>0</v>
      </c>
      <c r="BV1168">
        <f t="shared" si="2481"/>
        <v>0</v>
      </c>
      <c r="BW1168">
        <f t="shared" si="2481"/>
        <v>0</v>
      </c>
      <c r="BX1168">
        <f t="shared" si="2481"/>
        <v>0</v>
      </c>
      <c r="BY1168">
        <f t="shared" si="2481"/>
        <v>0</v>
      </c>
      <c r="BZ1168">
        <f t="shared" si="2481"/>
        <v>0</v>
      </c>
      <c r="CA1168">
        <f t="shared" si="2481"/>
        <v>0</v>
      </c>
      <c r="CB1168">
        <f t="shared" si="2481"/>
        <v>0</v>
      </c>
      <c r="CC1168">
        <f t="shared" ref="CC1168:CL1170" si="2482">IF($C1168&lt;&gt;"",IF(N1168&gt;0,1,0),0)</f>
        <v>0</v>
      </c>
      <c r="CD1168">
        <f t="shared" si="2482"/>
        <v>0</v>
      </c>
      <c r="CE1168">
        <f t="shared" si="2482"/>
        <v>0</v>
      </c>
      <c r="CF1168">
        <f t="shared" si="2482"/>
        <v>0</v>
      </c>
      <c r="CG1168">
        <f t="shared" si="2482"/>
        <v>0</v>
      </c>
      <c r="CH1168">
        <f t="shared" si="2482"/>
        <v>0</v>
      </c>
      <c r="CI1168">
        <f t="shared" si="2482"/>
        <v>0</v>
      </c>
      <c r="CJ1168">
        <f t="shared" si="2482"/>
        <v>0</v>
      </c>
      <c r="CK1168">
        <f t="shared" si="2482"/>
        <v>0</v>
      </c>
      <c r="CL1168">
        <f t="shared" si="2482"/>
        <v>0</v>
      </c>
      <c r="CM1168">
        <f t="shared" ref="CM1168:CV1170" si="2483">IF($C1168&lt;&gt;"",IF(X1168&gt;0,1,0),0)</f>
        <v>0</v>
      </c>
      <c r="CN1168">
        <f t="shared" si="2483"/>
        <v>0</v>
      </c>
      <c r="CO1168">
        <f t="shared" si="2483"/>
        <v>0</v>
      </c>
      <c r="CP1168">
        <f t="shared" si="2483"/>
        <v>0</v>
      </c>
      <c r="CQ1168">
        <f t="shared" si="2483"/>
        <v>0</v>
      </c>
      <c r="CR1168">
        <f t="shared" si="2483"/>
        <v>0</v>
      </c>
      <c r="CS1168">
        <f t="shared" si="2483"/>
        <v>0</v>
      </c>
      <c r="CT1168">
        <f t="shared" si="2483"/>
        <v>0</v>
      </c>
      <c r="CU1168">
        <f t="shared" si="2483"/>
        <v>0</v>
      </c>
      <c r="CV1168">
        <f t="shared" si="2483"/>
        <v>0</v>
      </c>
      <c r="CW1168">
        <f t="shared" ref="CW1168:DF1170" si="2484">IF($C1168&lt;&gt;"",IF(AH1168&gt;0,1,0),0)</f>
        <v>0</v>
      </c>
      <c r="CX1168">
        <f t="shared" si="2484"/>
        <v>0</v>
      </c>
      <c r="CY1168">
        <f t="shared" si="2484"/>
        <v>0</v>
      </c>
      <c r="CZ1168">
        <f t="shared" si="2484"/>
        <v>0</v>
      </c>
      <c r="DA1168">
        <f t="shared" si="2484"/>
        <v>0</v>
      </c>
      <c r="DB1168">
        <f t="shared" si="2484"/>
        <v>0</v>
      </c>
      <c r="DC1168">
        <f t="shared" si="2484"/>
        <v>0</v>
      </c>
      <c r="DD1168">
        <f t="shared" si="2484"/>
        <v>0</v>
      </c>
      <c r="DE1168">
        <f t="shared" si="2484"/>
        <v>0</v>
      </c>
      <c r="DF1168">
        <f t="shared" si="2484"/>
        <v>0</v>
      </c>
      <c r="DG1168">
        <f t="shared" ref="DG1168:DP1170" si="2485">IF($C1168&lt;&gt;"",IF(AR1168&gt;0,1,0),0)</f>
        <v>0</v>
      </c>
      <c r="DH1168">
        <f t="shared" si="2485"/>
        <v>0</v>
      </c>
      <c r="DI1168">
        <f t="shared" si="2485"/>
        <v>0</v>
      </c>
      <c r="DJ1168">
        <f t="shared" si="2485"/>
        <v>0</v>
      </c>
      <c r="DK1168">
        <f t="shared" si="2485"/>
        <v>0</v>
      </c>
      <c r="DL1168">
        <f t="shared" si="2485"/>
        <v>0</v>
      </c>
      <c r="DM1168">
        <f t="shared" si="2485"/>
        <v>0</v>
      </c>
      <c r="DN1168">
        <f t="shared" si="2485"/>
        <v>0</v>
      </c>
      <c r="DO1168">
        <f t="shared" si="2485"/>
        <v>0</v>
      </c>
      <c r="DP1168">
        <f t="shared" si="2485"/>
        <v>0</v>
      </c>
      <c r="DQ1168">
        <f t="shared" ref="DQ1168:DZ1170" si="2486">IF($C1168&lt;&gt;"",IF(BB1168&gt;0,1,0),0)</f>
        <v>0</v>
      </c>
      <c r="DR1168">
        <f t="shared" si="2486"/>
        <v>0</v>
      </c>
      <c r="DS1168">
        <f t="shared" si="2486"/>
        <v>0</v>
      </c>
      <c r="DT1168">
        <f t="shared" si="2486"/>
        <v>0</v>
      </c>
      <c r="DU1168">
        <f t="shared" si="2486"/>
        <v>0</v>
      </c>
      <c r="DV1168">
        <f t="shared" si="2486"/>
        <v>0</v>
      </c>
      <c r="DW1168">
        <f t="shared" si="2486"/>
        <v>0</v>
      </c>
      <c r="DX1168">
        <f t="shared" si="2486"/>
        <v>0</v>
      </c>
      <c r="DY1168">
        <f t="shared" si="2486"/>
        <v>0</v>
      </c>
      <c r="DZ1168">
        <f t="shared" si="2486"/>
        <v>0</v>
      </c>
      <c r="EA1168">
        <f t="shared" ref="EA1168:EF1170" si="2487">IF($C1168&lt;&gt;"",IF(BL1167&gt;0,1,0),0)</f>
        <v>0</v>
      </c>
      <c r="EB1168">
        <f>IF($C1168&lt;&gt;"",IF(BM1167&gt;0,1,0),0)</f>
        <v>0</v>
      </c>
      <c r="EC1168">
        <f t="shared" si="2487"/>
        <v>0</v>
      </c>
      <c r="ED1168">
        <f t="shared" si="2487"/>
        <v>0</v>
      </c>
      <c r="EE1168">
        <f t="shared" si="2487"/>
        <v>0</v>
      </c>
      <c r="EF1168">
        <f t="shared" si="2487"/>
        <v>0</v>
      </c>
    </row>
    <row r="1169" spans="1:136" ht="15.5">
      <c r="A1169" s="90"/>
      <c r="B1169" s="57" t="s">
        <v>3</v>
      </c>
      <c r="C1169" s="94"/>
      <c r="D1169" s="18"/>
      <c r="E1169" s="18"/>
      <c r="F1169" s="18"/>
      <c r="G1169" s="18"/>
      <c r="H1169" s="18"/>
      <c r="I1169" s="18"/>
      <c r="J1169" s="18"/>
      <c r="K1169" s="18"/>
      <c r="L1169" s="18"/>
      <c r="M1169" s="18"/>
      <c r="N1169" s="18">
        <v>0</v>
      </c>
      <c r="O1169" s="18">
        <v>0</v>
      </c>
      <c r="P1169" s="18">
        <v>0</v>
      </c>
      <c r="Q1169" s="18">
        <v>0</v>
      </c>
      <c r="R1169" s="18">
        <v>0</v>
      </c>
      <c r="S1169" s="18">
        <v>0</v>
      </c>
      <c r="T1169" s="18">
        <v>0</v>
      </c>
      <c r="U1169" s="18">
        <v>0</v>
      </c>
      <c r="V1169" s="18">
        <v>0</v>
      </c>
      <c r="W1169" s="18">
        <v>0</v>
      </c>
      <c r="X1169" s="18">
        <v>0</v>
      </c>
      <c r="Y1169" s="18">
        <v>0</v>
      </c>
      <c r="Z1169" s="18">
        <v>0</v>
      </c>
      <c r="AA1169" s="18">
        <v>0</v>
      </c>
      <c r="AB1169" s="18">
        <v>0</v>
      </c>
      <c r="AC1169" s="18">
        <v>0</v>
      </c>
      <c r="AD1169" s="18">
        <v>0</v>
      </c>
      <c r="AE1169" s="18">
        <v>0</v>
      </c>
      <c r="AF1169" s="18">
        <v>0</v>
      </c>
      <c r="AG1169" s="18">
        <v>0</v>
      </c>
      <c r="AH1169" s="18">
        <v>0</v>
      </c>
      <c r="AI1169" s="18">
        <v>0</v>
      </c>
      <c r="AJ1169" s="18">
        <v>0</v>
      </c>
      <c r="AK1169" s="18">
        <v>0</v>
      </c>
      <c r="AL1169" s="18">
        <v>0</v>
      </c>
      <c r="AM1169" s="18">
        <v>0</v>
      </c>
      <c r="AN1169" s="18">
        <v>0</v>
      </c>
      <c r="AO1169" s="18">
        <v>2.6501E-2</v>
      </c>
      <c r="AP1169" s="18">
        <v>5.9504300000000003E-2</v>
      </c>
      <c r="AQ1169" s="18">
        <v>0.30841219999999997</v>
      </c>
      <c r="AR1169" s="18">
        <v>0.673682</v>
      </c>
      <c r="AS1169" s="18">
        <v>1.7960967999999999</v>
      </c>
      <c r="AT1169" s="18">
        <v>2.0174025000000002</v>
      </c>
      <c r="AU1169" s="18">
        <v>2.7028648</v>
      </c>
      <c r="AV1169" s="18">
        <v>2.7857639999999999</v>
      </c>
      <c r="AW1169" s="18">
        <v>0.67608639999999998</v>
      </c>
      <c r="AX1169" s="18">
        <f>1.4270337-AX1168</f>
        <v>0.68747400000000003</v>
      </c>
      <c r="AY1169" s="18">
        <f>AY1168-AY1168</f>
        <v>0</v>
      </c>
      <c r="AZ1169" s="18">
        <v>2.0420685999999999</v>
      </c>
      <c r="BA1169" s="18">
        <f>0.7322632-BA1168</f>
        <v>5.7999999999447382E-6</v>
      </c>
      <c r="BB1169" s="18">
        <v>0</v>
      </c>
      <c r="BC1169" s="18">
        <v>6.3650000000000002E-4</v>
      </c>
      <c r="BD1169" s="18">
        <v>0</v>
      </c>
      <c r="BE1169" s="25">
        <f>2.3466749-BE1168</f>
        <v>2.0778899999999823E-2</v>
      </c>
      <c r="BF1169" s="18">
        <f>0.817127-BF1168</f>
        <v>0</v>
      </c>
      <c r="BG1169" s="18">
        <f>1.540476-BG1168</f>
        <v>0</v>
      </c>
      <c r="BH1169" s="18">
        <f>3.7637755-BH1168</f>
        <v>0</v>
      </c>
      <c r="BI1169" s="18">
        <v>0</v>
      </c>
      <c r="BJ1169" s="113">
        <v>0</v>
      </c>
      <c r="BK1169" s="113">
        <v>0</v>
      </c>
      <c r="BL1169" s="113">
        <f>3.0413573-BL1168</f>
        <v>0</v>
      </c>
      <c r="BM1169" s="113">
        <f>6.4210566-BM1168</f>
        <v>0</v>
      </c>
      <c r="BN1169" s="113">
        <v>0</v>
      </c>
      <c r="BO1169" s="113">
        <v>0</v>
      </c>
      <c r="BP1169" s="113">
        <v>0</v>
      </c>
      <c r="BQ1169" s="113">
        <v>0</v>
      </c>
      <c r="BR1169" s="101"/>
      <c r="BS1169">
        <f t="shared" si="2481"/>
        <v>0</v>
      </c>
      <c r="BT1169">
        <f t="shared" si="2481"/>
        <v>0</v>
      </c>
      <c r="BU1169">
        <f t="shared" si="2481"/>
        <v>0</v>
      </c>
      <c r="BV1169">
        <f t="shared" si="2481"/>
        <v>0</v>
      </c>
      <c r="BW1169">
        <f t="shared" si="2481"/>
        <v>0</v>
      </c>
      <c r="BX1169">
        <f t="shared" si="2481"/>
        <v>0</v>
      </c>
      <c r="BY1169">
        <f t="shared" si="2481"/>
        <v>0</v>
      </c>
      <c r="BZ1169">
        <f t="shared" si="2481"/>
        <v>0</v>
      </c>
      <c r="CA1169">
        <f t="shared" si="2481"/>
        <v>0</v>
      </c>
      <c r="CB1169">
        <f t="shared" si="2481"/>
        <v>0</v>
      </c>
      <c r="CC1169">
        <f t="shared" si="2482"/>
        <v>0</v>
      </c>
      <c r="CD1169">
        <f t="shared" si="2482"/>
        <v>0</v>
      </c>
      <c r="CE1169">
        <f t="shared" si="2482"/>
        <v>0</v>
      </c>
      <c r="CF1169">
        <f t="shared" si="2482"/>
        <v>0</v>
      </c>
      <c r="CG1169">
        <f t="shared" si="2482"/>
        <v>0</v>
      </c>
      <c r="CH1169">
        <f t="shared" si="2482"/>
        <v>0</v>
      </c>
      <c r="CI1169">
        <f t="shared" si="2482"/>
        <v>0</v>
      </c>
      <c r="CJ1169">
        <f t="shared" si="2482"/>
        <v>0</v>
      </c>
      <c r="CK1169">
        <f t="shared" si="2482"/>
        <v>0</v>
      </c>
      <c r="CL1169">
        <f t="shared" si="2482"/>
        <v>0</v>
      </c>
      <c r="CM1169">
        <f t="shared" si="2483"/>
        <v>0</v>
      </c>
      <c r="CN1169">
        <f t="shared" si="2483"/>
        <v>0</v>
      </c>
      <c r="CO1169">
        <f t="shared" si="2483"/>
        <v>0</v>
      </c>
      <c r="CP1169">
        <f t="shared" si="2483"/>
        <v>0</v>
      </c>
      <c r="CQ1169">
        <f t="shared" si="2483"/>
        <v>0</v>
      </c>
      <c r="CR1169">
        <f t="shared" si="2483"/>
        <v>0</v>
      </c>
      <c r="CS1169">
        <f t="shared" si="2483"/>
        <v>0</v>
      </c>
      <c r="CT1169">
        <f t="shared" si="2483"/>
        <v>0</v>
      </c>
      <c r="CU1169">
        <f t="shared" si="2483"/>
        <v>0</v>
      </c>
      <c r="CV1169">
        <f t="shared" si="2483"/>
        <v>0</v>
      </c>
      <c r="CW1169">
        <f t="shared" si="2484"/>
        <v>0</v>
      </c>
      <c r="CX1169">
        <f t="shared" si="2484"/>
        <v>0</v>
      </c>
      <c r="CY1169">
        <f t="shared" si="2484"/>
        <v>0</v>
      </c>
      <c r="CZ1169">
        <f t="shared" si="2484"/>
        <v>0</v>
      </c>
      <c r="DA1169">
        <f t="shared" si="2484"/>
        <v>0</v>
      </c>
      <c r="DB1169">
        <f t="shared" si="2484"/>
        <v>0</v>
      </c>
      <c r="DC1169">
        <f t="shared" si="2484"/>
        <v>0</v>
      </c>
      <c r="DD1169">
        <f t="shared" si="2484"/>
        <v>0</v>
      </c>
      <c r="DE1169">
        <f t="shared" si="2484"/>
        <v>0</v>
      </c>
      <c r="DF1169">
        <f t="shared" si="2484"/>
        <v>0</v>
      </c>
      <c r="DG1169">
        <f t="shared" si="2485"/>
        <v>0</v>
      </c>
      <c r="DH1169">
        <f t="shared" si="2485"/>
        <v>0</v>
      </c>
      <c r="DI1169">
        <f t="shared" si="2485"/>
        <v>0</v>
      </c>
      <c r="DJ1169">
        <f t="shared" si="2485"/>
        <v>0</v>
      </c>
      <c r="DK1169">
        <f t="shared" si="2485"/>
        <v>0</v>
      </c>
      <c r="DL1169">
        <f t="shared" si="2485"/>
        <v>0</v>
      </c>
      <c r="DM1169">
        <f t="shared" si="2485"/>
        <v>0</v>
      </c>
      <c r="DN1169">
        <f t="shared" si="2485"/>
        <v>0</v>
      </c>
      <c r="DO1169">
        <f t="shared" si="2485"/>
        <v>0</v>
      </c>
      <c r="DP1169">
        <f t="shared" si="2485"/>
        <v>0</v>
      </c>
      <c r="DQ1169">
        <f t="shared" si="2486"/>
        <v>0</v>
      </c>
      <c r="DR1169">
        <f t="shared" si="2486"/>
        <v>0</v>
      </c>
      <c r="DS1169">
        <f t="shared" si="2486"/>
        <v>0</v>
      </c>
      <c r="DT1169">
        <f t="shared" si="2486"/>
        <v>0</v>
      </c>
      <c r="DU1169">
        <f t="shared" si="2486"/>
        <v>0</v>
      </c>
      <c r="DV1169">
        <f t="shared" si="2486"/>
        <v>0</v>
      </c>
      <c r="DW1169">
        <f t="shared" si="2486"/>
        <v>0</v>
      </c>
      <c r="DX1169">
        <f t="shared" si="2486"/>
        <v>0</v>
      </c>
      <c r="DY1169">
        <f t="shared" si="2486"/>
        <v>0</v>
      </c>
      <c r="DZ1169">
        <f t="shared" si="2486"/>
        <v>0</v>
      </c>
      <c r="EA1169">
        <f t="shared" si="2487"/>
        <v>0</v>
      </c>
      <c r="EB1169">
        <f>IF($C1169&lt;&gt;"",IF(BM1168&gt;0,1,0),0)</f>
        <v>0</v>
      </c>
      <c r="EC1169">
        <f t="shared" si="2487"/>
        <v>0</v>
      </c>
      <c r="ED1169">
        <f t="shared" si="2487"/>
        <v>0</v>
      </c>
      <c r="EE1169">
        <f t="shared" si="2487"/>
        <v>0</v>
      </c>
      <c r="EF1169">
        <f t="shared" si="2487"/>
        <v>0</v>
      </c>
    </row>
    <row r="1170" spans="1:136" ht="15.5">
      <c r="A1170" s="90"/>
      <c r="B1170" s="57" t="s">
        <v>208</v>
      </c>
      <c r="C1170" s="94"/>
      <c r="D1170" s="18"/>
      <c r="E1170" s="18"/>
      <c r="F1170" s="18"/>
      <c r="G1170" s="18"/>
      <c r="H1170" s="18"/>
      <c r="I1170" s="18"/>
      <c r="J1170" s="18"/>
      <c r="K1170" s="18"/>
      <c r="L1170" s="18"/>
      <c r="M1170" s="18"/>
      <c r="N1170" s="18">
        <v>0</v>
      </c>
      <c r="O1170" s="18">
        <v>0</v>
      </c>
      <c r="P1170" s="18">
        <v>0</v>
      </c>
      <c r="Q1170" s="18">
        <v>0</v>
      </c>
      <c r="R1170" s="18">
        <v>0</v>
      </c>
      <c r="S1170" s="18">
        <v>0</v>
      </c>
      <c r="T1170" s="18">
        <v>0</v>
      </c>
      <c r="U1170" s="18">
        <v>0</v>
      </c>
      <c r="V1170" s="18">
        <v>0</v>
      </c>
      <c r="W1170" s="18">
        <v>0</v>
      </c>
      <c r="X1170" s="18">
        <v>0</v>
      </c>
      <c r="Y1170" s="18">
        <v>0</v>
      </c>
      <c r="Z1170" s="18">
        <v>0</v>
      </c>
      <c r="AA1170" s="18">
        <v>0</v>
      </c>
      <c r="AB1170" s="18">
        <v>0</v>
      </c>
      <c r="AC1170" s="18">
        <v>0</v>
      </c>
      <c r="AD1170" s="18">
        <v>0</v>
      </c>
      <c r="AE1170" s="18">
        <v>0</v>
      </c>
      <c r="AF1170" s="18">
        <v>0</v>
      </c>
      <c r="AG1170" s="18">
        <v>0</v>
      </c>
      <c r="AH1170" s="18">
        <v>0</v>
      </c>
      <c r="AI1170" s="18">
        <v>0</v>
      </c>
      <c r="AJ1170" s="18">
        <v>0</v>
      </c>
      <c r="AK1170" s="18">
        <v>0</v>
      </c>
      <c r="AL1170" s="18">
        <v>0</v>
      </c>
      <c r="AM1170" s="18">
        <v>0</v>
      </c>
      <c r="AN1170" s="18">
        <v>0</v>
      </c>
      <c r="AO1170" s="18">
        <v>0</v>
      </c>
      <c r="AP1170" s="18">
        <v>0</v>
      </c>
      <c r="AQ1170" s="18">
        <v>0</v>
      </c>
      <c r="AR1170" s="18">
        <v>0</v>
      </c>
      <c r="AS1170" s="18">
        <v>0</v>
      </c>
      <c r="AT1170" s="18">
        <v>0</v>
      </c>
      <c r="AU1170" s="18">
        <v>0</v>
      </c>
      <c r="AV1170" s="18">
        <v>0</v>
      </c>
      <c r="AW1170" s="18">
        <v>0</v>
      </c>
      <c r="AX1170" s="18">
        <v>0</v>
      </c>
      <c r="AY1170" s="18">
        <v>0</v>
      </c>
      <c r="AZ1170" s="18">
        <v>0</v>
      </c>
      <c r="BA1170" s="18">
        <v>0</v>
      </c>
      <c r="BB1170" s="18">
        <v>2.4391199999999998E-2</v>
      </c>
      <c r="BC1170" s="18">
        <v>7.5873399999999994E-2</v>
      </c>
      <c r="BD1170" s="18">
        <v>9.8214899999999994E-2</v>
      </c>
      <c r="BE1170" s="25">
        <v>4.0441999999999995E-3</v>
      </c>
      <c r="BF1170" s="18">
        <v>2.4606000000000003E-3</v>
      </c>
      <c r="BG1170" s="18">
        <v>0</v>
      </c>
      <c r="BH1170" s="18">
        <v>0</v>
      </c>
      <c r="BI1170" s="18">
        <v>0</v>
      </c>
      <c r="BJ1170" s="113">
        <v>0</v>
      </c>
      <c r="BK1170" s="113">
        <v>0</v>
      </c>
      <c r="BL1170" s="113">
        <v>0</v>
      </c>
      <c r="BM1170" s="113">
        <v>0</v>
      </c>
      <c r="BN1170" s="113">
        <v>0</v>
      </c>
      <c r="BO1170" s="113">
        <v>0</v>
      </c>
      <c r="BP1170" s="113">
        <v>0</v>
      </c>
      <c r="BQ1170" s="113">
        <v>0</v>
      </c>
      <c r="BR1170" s="101"/>
      <c r="BS1170">
        <f t="shared" si="2481"/>
        <v>0</v>
      </c>
      <c r="BT1170">
        <f t="shared" si="2481"/>
        <v>0</v>
      </c>
      <c r="BU1170">
        <f t="shared" si="2481"/>
        <v>0</v>
      </c>
      <c r="BV1170">
        <f t="shared" si="2481"/>
        <v>0</v>
      </c>
      <c r="BW1170">
        <f t="shared" si="2481"/>
        <v>0</v>
      </c>
      <c r="BX1170">
        <f t="shared" si="2481"/>
        <v>0</v>
      </c>
      <c r="BY1170">
        <f t="shared" si="2481"/>
        <v>0</v>
      </c>
      <c r="BZ1170">
        <f t="shared" si="2481"/>
        <v>0</v>
      </c>
      <c r="CA1170">
        <f t="shared" si="2481"/>
        <v>0</v>
      </c>
      <c r="CB1170">
        <f t="shared" si="2481"/>
        <v>0</v>
      </c>
      <c r="CC1170">
        <f t="shared" si="2482"/>
        <v>0</v>
      </c>
      <c r="CD1170">
        <f t="shared" si="2482"/>
        <v>0</v>
      </c>
      <c r="CE1170">
        <f t="shared" si="2482"/>
        <v>0</v>
      </c>
      <c r="CF1170">
        <f t="shared" si="2482"/>
        <v>0</v>
      </c>
      <c r="CG1170">
        <f t="shared" si="2482"/>
        <v>0</v>
      </c>
      <c r="CH1170">
        <f t="shared" si="2482"/>
        <v>0</v>
      </c>
      <c r="CI1170">
        <f t="shared" si="2482"/>
        <v>0</v>
      </c>
      <c r="CJ1170">
        <f t="shared" si="2482"/>
        <v>0</v>
      </c>
      <c r="CK1170">
        <f t="shared" si="2482"/>
        <v>0</v>
      </c>
      <c r="CL1170">
        <f t="shared" si="2482"/>
        <v>0</v>
      </c>
      <c r="CM1170">
        <f t="shared" si="2483"/>
        <v>0</v>
      </c>
      <c r="CN1170">
        <f t="shared" si="2483"/>
        <v>0</v>
      </c>
      <c r="CO1170">
        <f t="shared" si="2483"/>
        <v>0</v>
      </c>
      <c r="CP1170">
        <f t="shared" si="2483"/>
        <v>0</v>
      </c>
      <c r="CQ1170">
        <f t="shared" si="2483"/>
        <v>0</v>
      </c>
      <c r="CR1170">
        <f t="shared" si="2483"/>
        <v>0</v>
      </c>
      <c r="CS1170">
        <f t="shared" si="2483"/>
        <v>0</v>
      </c>
      <c r="CT1170">
        <f t="shared" si="2483"/>
        <v>0</v>
      </c>
      <c r="CU1170">
        <f t="shared" si="2483"/>
        <v>0</v>
      </c>
      <c r="CV1170">
        <f t="shared" si="2483"/>
        <v>0</v>
      </c>
      <c r="CW1170">
        <f t="shared" si="2484"/>
        <v>0</v>
      </c>
      <c r="CX1170">
        <f t="shared" si="2484"/>
        <v>0</v>
      </c>
      <c r="CY1170">
        <f t="shared" si="2484"/>
        <v>0</v>
      </c>
      <c r="CZ1170">
        <f t="shared" si="2484"/>
        <v>0</v>
      </c>
      <c r="DA1170">
        <f t="shared" si="2484"/>
        <v>0</v>
      </c>
      <c r="DB1170">
        <f t="shared" si="2484"/>
        <v>0</v>
      </c>
      <c r="DC1170">
        <f t="shared" si="2484"/>
        <v>0</v>
      </c>
      <c r="DD1170">
        <f t="shared" si="2484"/>
        <v>0</v>
      </c>
      <c r="DE1170">
        <f t="shared" si="2484"/>
        <v>0</v>
      </c>
      <c r="DF1170">
        <f t="shared" si="2484"/>
        <v>0</v>
      </c>
      <c r="DG1170">
        <f t="shared" si="2485"/>
        <v>0</v>
      </c>
      <c r="DH1170">
        <f t="shared" si="2485"/>
        <v>0</v>
      </c>
      <c r="DI1170">
        <f t="shared" si="2485"/>
        <v>0</v>
      </c>
      <c r="DJ1170">
        <f t="shared" si="2485"/>
        <v>0</v>
      </c>
      <c r="DK1170">
        <f t="shared" si="2485"/>
        <v>0</v>
      </c>
      <c r="DL1170">
        <f t="shared" si="2485"/>
        <v>0</v>
      </c>
      <c r="DM1170">
        <f t="shared" si="2485"/>
        <v>0</v>
      </c>
      <c r="DN1170">
        <f t="shared" si="2485"/>
        <v>0</v>
      </c>
      <c r="DO1170">
        <f t="shared" si="2485"/>
        <v>0</v>
      </c>
      <c r="DP1170">
        <f t="shared" si="2485"/>
        <v>0</v>
      </c>
      <c r="DQ1170">
        <f t="shared" si="2486"/>
        <v>0</v>
      </c>
      <c r="DR1170">
        <f t="shared" si="2486"/>
        <v>0</v>
      </c>
      <c r="DS1170">
        <f t="shared" si="2486"/>
        <v>0</v>
      </c>
      <c r="DT1170">
        <f t="shared" si="2486"/>
        <v>0</v>
      </c>
      <c r="DU1170">
        <f t="shared" si="2486"/>
        <v>0</v>
      </c>
      <c r="DV1170">
        <f t="shared" si="2486"/>
        <v>0</v>
      </c>
      <c r="DW1170">
        <f t="shared" si="2486"/>
        <v>0</v>
      </c>
      <c r="DX1170">
        <f t="shared" si="2486"/>
        <v>0</v>
      </c>
      <c r="DY1170">
        <f t="shared" si="2486"/>
        <v>0</v>
      </c>
      <c r="DZ1170">
        <f t="shared" si="2486"/>
        <v>0</v>
      </c>
      <c r="EA1170">
        <f t="shared" si="2487"/>
        <v>0</v>
      </c>
      <c r="EB1170">
        <f>IF($C1170&lt;&gt;"",IF(BM1169&gt;0,1,0),0)</f>
        <v>0</v>
      </c>
      <c r="EC1170">
        <f t="shared" si="2487"/>
        <v>0</v>
      </c>
      <c r="ED1170">
        <f t="shared" si="2487"/>
        <v>0</v>
      </c>
      <c r="EE1170">
        <f t="shared" si="2487"/>
        <v>0</v>
      </c>
      <c r="EF1170">
        <f t="shared" si="2487"/>
        <v>0</v>
      </c>
    </row>
    <row r="1171" spans="1:136" ht="15.5">
      <c r="A1171" s="90"/>
      <c r="B1171" s="37"/>
      <c r="C1171" s="94"/>
      <c r="D1171" s="18"/>
      <c r="E1171" s="18"/>
      <c r="F1171" s="18"/>
      <c r="G1171" s="18"/>
      <c r="H1171" s="18"/>
      <c r="I1171" s="18"/>
      <c r="J1171" s="18"/>
      <c r="K1171" s="18"/>
      <c r="L1171" s="18"/>
      <c r="M1171" s="18"/>
      <c r="N1171" s="18"/>
      <c r="O1171" s="18"/>
      <c r="P1171" s="18"/>
      <c r="Q1171" s="18"/>
      <c r="R1171" s="18"/>
      <c r="S1171" s="18"/>
      <c r="T1171" s="18"/>
      <c r="U1171" s="18"/>
      <c r="V1171" s="18"/>
      <c r="W1171" s="18"/>
      <c r="X1171" s="18"/>
      <c r="Y1171" s="18"/>
      <c r="Z1171" s="18"/>
      <c r="AA1171" s="18"/>
      <c r="AB1171" s="18"/>
      <c r="AC1171" s="18"/>
      <c r="AD1171" s="18"/>
      <c r="AE1171" s="18"/>
      <c r="AF1171" s="18"/>
      <c r="AG1171" s="18"/>
      <c r="AH1171" s="18"/>
      <c r="AI1171" s="18"/>
      <c r="AJ1171" s="18"/>
      <c r="AK1171" s="18"/>
      <c r="AL1171" s="18"/>
      <c r="AM1171" s="18"/>
      <c r="AN1171" s="18"/>
      <c r="AO1171" s="18"/>
      <c r="AP1171" s="18"/>
      <c r="AQ1171" s="18"/>
      <c r="AR1171" s="18"/>
      <c r="AS1171" s="18"/>
      <c r="AT1171" s="18"/>
      <c r="AU1171" s="18"/>
      <c r="AV1171" s="18"/>
      <c r="AW1171" s="18"/>
      <c r="AX1171" s="18"/>
      <c r="AY1171" s="18"/>
      <c r="AZ1171" s="18"/>
      <c r="BA1171" s="18"/>
      <c r="BB1171" s="18"/>
      <c r="BC1171" s="18"/>
      <c r="BD1171" s="18"/>
      <c r="BE1171" s="25"/>
      <c r="BF1171" s="18"/>
      <c r="BG1171" s="18"/>
      <c r="BH1171" s="2"/>
      <c r="BI1171" s="2"/>
      <c r="BJ1171" s="2"/>
      <c r="BK1171" s="2"/>
      <c r="BL1171" s="4"/>
      <c r="BM1171" s="2"/>
      <c r="BN1171" s="2"/>
      <c r="BO1171" s="2"/>
      <c r="BP1171" s="2"/>
      <c r="BQ1171" s="2"/>
      <c r="BR1171" s="101"/>
    </row>
    <row r="1172" spans="1:136" ht="15.5">
      <c r="A1172" s="93">
        <v>148</v>
      </c>
      <c r="B1172" s="52" t="s">
        <v>146</v>
      </c>
      <c r="C1172" s="94">
        <v>1</v>
      </c>
      <c r="D1172" s="22"/>
      <c r="E1172" s="22"/>
      <c r="F1172" s="22">
        <f t="shared" ref="F1172:AK1172" si="2488">SUM(F1173:F1174)</f>
        <v>0</v>
      </c>
      <c r="G1172" s="22">
        <f t="shared" si="2488"/>
        <v>0</v>
      </c>
      <c r="H1172" s="22">
        <f t="shared" si="2488"/>
        <v>0</v>
      </c>
      <c r="I1172" s="22">
        <f t="shared" si="2488"/>
        <v>0</v>
      </c>
      <c r="J1172" s="22">
        <f t="shared" si="2488"/>
        <v>0</v>
      </c>
      <c r="K1172" s="22">
        <f t="shared" si="2488"/>
        <v>0</v>
      </c>
      <c r="L1172" s="22">
        <f t="shared" si="2488"/>
        <v>0</v>
      </c>
      <c r="M1172" s="22">
        <f t="shared" si="2488"/>
        <v>0</v>
      </c>
      <c r="N1172" s="22">
        <f t="shared" si="2488"/>
        <v>0</v>
      </c>
      <c r="O1172" s="22">
        <f t="shared" si="2488"/>
        <v>0</v>
      </c>
      <c r="P1172" s="22">
        <f t="shared" si="2488"/>
        <v>0</v>
      </c>
      <c r="Q1172" s="22">
        <f t="shared" si="2488"/>
        <v>0</v>
      </c>
      <c r="R1172" s="22">
        <f t="shared" si="2488"/>
        <v>0</v>
      </c>
      <c r="S1172" s="22">
        <f t="shared" si="2488"/>
        <v>0</v>
      </c>
      <c r="T1172" s="22">
        <f t="shared" si="2488"/>
        <v>0</v>
      </c>
      <c r="U1172" s="22">
        <f t="shared" si="2488"/>
        <v>0</v>
      </c>
      <c r="V1172" s="22">
        <f t="shared" si="2488"/>
        <v>0</v>
      </c>
      <c r="W1172" s="22">
        <f t="shared" si="2488"/>
        <v>0</v>
      </c>
      <c r="X1172" s="22">
        <f t="shared" si="2488"/>
        <v>0</v>
      </c>
      <c r="Y1172" s="22">
        <f t="shared" si="2488"/>
        <v>0</v>
      </c>
      <c r="Z1172" s="22">
        <f t="shared" si="2488"/>
        <v>0</v>
      </c>
      <c r="AA1172" s="22">
        <f t="shared" si="2488"/>
        <v>0</v>
      </c>
      <c r="AB1172" s="22">
        <f t="shared" si="2488"/>
        <v>0</v>
      </c>
      <c r="AC1172" s="22">
        <f t="shared" si="2488"/>
        <v>0</v>
      </c>
      <c r="AD1172" s="22">
        <f t="shared" si="2488"/>
        <v>0</v>
      </c>
      <c r="AE1172" s="22">
        <f t="shared" si="2488"/>
        <v>0</v>
      </c>
      <c r="AF1172" s="22">
        <f t="shared" si="2488"/>
        <v>401.51150000000001</v>
      </c>
      <c r="AG1172" s="22">
        <f t="shared" si="2488"/>
        <v>655</v>
      </c>
      <c r="AH1172" s="22">
        <f t="shared" si="2488"/>
        <v>110</v>
      </c>
      <c r="AI1172" s="22">
        <f t="shared" si="2488"/>
        <v>0</v>
      </c>
      <c r="AJ1172" s="22">
        <f t="shared" si="2488"/>
        <v>0</v>
      </c>
      <c r="AK1172" s="22">
        <f t="shared" si="2488"/>
        <v>0</v>
      </c>
      <c r="AL1172" s="22">
        <f t="shared" ref="AL1172:BO1172" si="2489">SUM(AL1173:AL1174)</f>
        <v>0</v>
      </c>
      <c r="AM1172" s="22">
        <f t="shared" si="2489"/>
        <v>0</v>
      </c>
      <c r="AN1172" s="22">
        <f t="shared" si="2489"/>
        <v>0</v>
      </c>
      <c r="AO1172" s="22">
        <f t="shared" si="2489"/>
        <v>0</v>
      </c>
      <c r="AP1172" s="22">
        <f t="shared" si="2489"/>
        <v>0</v>
      </c>
      <c r="AQ1172" s="22">
        <f t="shared" si="2489"/>
        <v>0</v>
      </c>
      <c r="AR1172" s="22">
        <f t="shared" si="2489"/>
        <v>0</v>
      </c>
      <c r="AS1172" s="22">
        <f t="shared" si="2489"/>
        <v>0</v>
      </c>
      <c r="AT1172" s="22">
        <f t="shared" si="2489"/>
        <v>0</v>
      </c>
      <c r="AU1172" s="22">
        <f t="shared" si="2489"/>
        <v>0</v>
      </c>
      <c r="AV1172" s="22">
        <f t="shared" si="2489"/>
        <v>0</v>
      </c>
      <c r="AW1172" s="22">
        <f t="shared" si="2489"/>
        <v>0</v>
      </c>
      <c r="AX1172" s="22">
        <f t="shared" si="2489"/>
        <v>0</v>
      </c>
      <c r="AY1172" s="22">
        <f t="shared" si="2489"/>
        <v>0</v>
      </c>
      <c r="AZ1172" s="22">
        <f t="shared" si="2489"/>
        <v>0</v>
      </c>
      <c r="BA1172" s="22">
        <f t="shared" si="2489"/>
        <v>0</v>
      </c>
      <c r="BB1172" s="22">
        <f t="shared" si="2489"/>
        <v>0</v>
      </c>
      <c r="BC1172" s="22">
        <f t="shared" si="2489"/>
        <v>0</v>
      </c>
      <c r="BD1172" s="22">
        <f t="shared" si="2489"/>
        <v>0</v>
      </c>
      <c r="BE1172" s="22">
        <f t="shared" si="2489"/>
        <v>0</v>
      </c>
      <c r="BF1172" s="22">
        <f t="shared" si="2489"/>
        <v>0</v>
      </c>
      <c r="BG1172" s="22">
        <f t="shared" si="2489"/>
        <v>0</v>
      </c>
      <c r="BH1172" s="22">
        <f t="shared" si="2489"/>
        <v>0</v>
      </c>
      <c r="BI1172" s="22">
        <f t="shared" si="2489"/>
        <v>0</v>
      </c>
      <c r="BJ1172" s="22">
        <f t="shared" si="2489"/>
        <v>0</v>
      </c>
      <c r="BK1172" s="22">
        <f t="shared" si="2489"/>
        <v>0</v>
      </c>
      <c r="BL1172" s="22">
        <f t="shared" si="2489"/>
        <v>0</v>
      </c>
      <c r="BM1172" s="22">
        <f t="shared" si="2489"/>
        <v>0</v>
      </c>
      <c r="BN1172" s="22">
        <f t="shared" si="2489"/>
        <v>0</v>
      </c>
      <c r="BO1172" s="22">
        <f t="shared" si="2489"/>
        <v>0</v>
      </c>
      <c r="BP1172" s="22">
        <f>SUM(BP1173:BP1174)</f>
        <v>0</v>
      </c>
      <c r="BQ1172" s="22">
        <f>SUM(BQ1173:BQ1174)</f>
        <v>0</v>
      </c>
      <c r="BR1172" s="101"/>
      <c r="BS1172">
        <f t="shared" ref="BS1172:CX1172" si="2490">IF($C1172&lt;&gt;"",IF(D1172&gt;0,1,0),0)</f>
        <v>0</v>
      </c>
      <c r="BT1172">
        <f t="shared" si="2490"/>
        <v>0</v>
      </c>
      <c r="BU1172">
        <f t="shared" si="2490"/>
        <v>0</v>
      </c>
      <c r="BV1172">
        <f t="shared" si="2490"/>
        <v>0</v>
      </c>
      <c r="BW1172">
        <f t="shared" si="2490"/>
        <v>0</v>
      </c>
      <c r="BX1172">
        <f t="shared" si="2490"/>
        <v>0</v>
      </c>
      <c r="BY1172">
        <f t="shared" si="2490"/>
        <v>0</v>
      </c>
      <c r="BZ1172">
        <f t="shared" si="2490"/>
        <v>0</v>
      </c>
      <c r="CA1172">
        <f t="shared" si="2490"/>
        <v>0</v>
      </c>
      <c r="CB1172">
        <f t="shared" si="2490"/>
        <v>0</v>
      </c>
      <c r="CC1172">
        <f t="shared" si="2490"/>
        <v>0</v>
      </c>
      <c r="CD1172">
        <f t="shared" si="2490"/>
        <v>0</v>
      </c>
      <c r="CE1172">
        <f t="shared" si="2490"/>
        <v>0</v>
      </c>
      <c r="CF1172">
        <f t="shared" si="2490"/>
        <v>0</v>
      </c>
      <c r="CG1172">
        <f t="shared" si="2490"/>
        <v>0</v>
      </c>
      <c r="CH1172">
        <f t="shared" si="2490"/>
        <v>0</v>
      </c>
      <c r="CI1172">
        <f t="shared" si="2490"/>
        <v>0</v>
      </c>
      <c r="CJ1172">
        <f t="shared" si="2490"/>
        <v>0</v>
      </c>
      <c r="CK1172">
        <f t="shared" si="2490"/>
        <v>0</v>
      </c>
      <c r="CL1172">
        <f t="shared" si="2490"/>
        <v>0</v>
      </c>
      <c r="CM1172">
        <f t="shared" si="2490"/>
        <v>0</v>
      </c>
      <c r="CN1172">
        <f t="shared" si="2490"/>
        <v>0</v>
      </c>
      <c r="CO1172">
        <f t="shared" si="2490"/>
        <v>0</v>
      </c>
      <c r="CP1172">
        <f t="shared" si="2490"/>
        <v>0</v>
      </c>
      <c r="CQ1172">
        <f t="shared" si="2490"/>
        <v>0</v>
      </c>
      <c r="CR1172">
        <f t="shared" si="2490"/>
        <v>0</v>
      </c>
      <c r="CS1172">
        <f t="shared" si="2490"/>
        <v>0</v>
      </c>
      <c r="CT1172">
        <f t="shared" si="2490"/>
        <v>0</v>
      </c>
      <c r="CU1172">
        <f t="shared" si="2490"/>
        <v>1</v>
      </c>
      <c r="CV1172">
        <f t="shared" si="2490"/>
        <v>1</v>
      </c>
      <c r="CW1172">
        <f t="shared" si="2490"/>
        <v>1</v>
      </c>
      <c r="CX1172">
        <f t="shared" si="2490"/>
        <v>0</v>
      </c>
      <c r="CY1172">
        <f t="shared" ref="CY1172:EF1172" si="2491">IF($C1172&lt;&gt;"",IF(AJ1172&gt;0,1,0),0)</f>
        <v>0</v>
      </c>
      <c r="CZ1172">
        <f t="shared" si="2491"/>
        <v>0</v>
      </c>
      <c r="DA1172">
        <f t="shared" si="2491"/>
        <v>0</v>
      </c>
      <c r="DB1172">
        <f t="shared" si="2491"/>
        <v>0</v>
      </c>
      <c r="DC1172">
        <f t="shared" si="2491"/>
        <v>0</v>
      </c>
      <c r="DD1172">
        <f t="shared" si="2491"/>
        <v>0</v>
      </c>
      <c r="DE1172">
        <f t="shared" si="2491"/>
        <v>0</v>
      </c>
      <c r="DF1172">
        <f t="shared" si="2491"/>
        <v>0</v>
      </c>
      <c r="DG1172">
        <f t="shared" si="2491"/>
        <v>0</v>
      </c>
      <c r="DH1172">
        <f t="shared" si="2491"/>
        <v>0</v>
      </c>
      <c r="DI1172">
        <f t="shared" si="2491"/>
        <v>0</v>
      </c>
      <c r="DJ1172">
        <f t="shared" si="2491"/>
        <v>0</v>
      </c>
      <c r="DK1172">
        <f t="shared" si="2491"/>
        <v>0</v>
      </c>
      <c r="DL1172">
        <f t="shared" si="2491"/>
        <v>0</v>
      </c>
      <c r="DM1172">
        <f t="shared" si="2491"/>
        <v>0</v>
      </c>
      <c r="DN1172">
        <f t="shared" si="2491"/>
        <v>0</v>
      </c>
      <c r="DO1172">
        <f t="shared" si="2491"/>
        <v>0</v>
      </c>
      <c r="DP1172">
        <f t="shared" si="2491"/>
        <v>0</v>
      </c>
      <c r="DQ1172">
        <f t="shared" si="2491"/>
        <v>0</v>
      </c>
      <c r="DR1172">
        <f t="shared" si="2491"/>
        <v>0</v>
      </c>
      <c r="DS1172">
        <f t="shared" si="2491"/>
        <v>0</v>
      </c>
      <c r="DT1172">
        <f t="shared" si="2491"/>
        <v>0</v>
      </c>
      <c r="DU1172">
        <f t="shared" si="2491"/>
        <v>0</v>
      </c>
      <c r="DV1172">
        <f t="shared" si="2491"/>
        <v>0</v>
      </c>
      <c r="DW1172">
        <f t="shared" si="2491"/>
        <v>0</v>
      </c>
      <c r="DX1172">
        <f t="shared" si="2491"/>
        <v>0</v>
      </c>
      <c r="DY1172">
        <f t="shared" si="2491"/>
        <v>0</v>
      </c>
      <c r="DZ1172">
        <f t="shared" si="2491"/>
        <v>0</v>
      </c>
      <c r="EA1172">
        <f t="shared" si="2491"/>
        <v>0</v>
      </c>
      <c r="EB1172">
        <f>IF($C1172&lt;&gt;"",IF(BM1172&gt;0,1,0),0)</f>
        <v>0</v>
      </c>
      <c r="EC1172">
        <f t="shared" si="2491"/>
        <v>0</v>
      </c>
      <c r="ED1172">
        <f t="shared" si="2491"/>
        <v>0</v>
      </c>
      <c r="EE1172">
        <f t="shared" si="2491"/>
        <v>0</v>
      </c>
      <c r="EF1172">
        <f t="shared" si="2491"/>
        <v>0</v>
      </c>
    </row>
    <row r="1173" spans="1:136" ht="15.5">
      <c r="A1173" s="90"/>
      <c r="B1173" s="19" t="s">
        <v>2</v>
      </c>
      <c r="C1173" s="94"/>
      <c r="D1173" s="34"/>
      <c r="E1173" s="34"/>
      <c r="F1173" s="34">
        <v>0</v>
      </c>
      <c r="G1173" s="34">
        <v>0</v>
      </c>
      <c r="H1173" s="34">
        <v>0</v>
      </c>
      <c r="I1173" s="34">
        <v>0</v>
      </c>
      <c r="J1173" s="34">
        <v>0</v>
      </c>
      <c r="K1173" s="34">
        <v>0</v>
      </c>
      <c r="L1173" s="34">
        <v>0</v>
      </c>
      <c r="M1173" s="34">
        <v>0</v>
      </c>
      <c r="N1173" s="34">
        <v>0</v>
      </c>
      <c r="O1173" s="34">
        <v>0</v>
      </c>
      <c r="P1173" s="34">
        <v>0</v>
      </c>
      <c r="Q1173" s="34">
        <v>0</v>
      </c>
      <c r="R1173" s="34">
        <v>0</v>
      </c>
      <c r="S1173" s="34">
        <v>0</v>
      </c>
      <c r="T1173" s="35">
        <v>0</v>
      </c>
      <c r="U1173" s="35">
        <v>0</v>
      </c>
      <c r="V1173" s="35">
        <v>0</v>
      </c>
      <c r="W1173" s="35">
        <v>0</v>
      </c>
      <c r="X1173" s="35">
        <v>0</v>
      </c>
      <c r="Y1173" s="35">
        <v>0</v>
      </c>
      <c r="Z1173" s="35">
        <v>0</v>
      </c>
      <c r="AA1173" s="35">
        <v>0</v>
      </c>
      <c r="AB1173" s="35">
        <v>0</v>
      </c>
      <c r="AC1173" s="35">
        <v>0</v>
      </c>
      <c r="AD1173" s="35">
        <v>0</v>
      </c>
      <c r="AE1173" s="35">
        <v>0</v>
      </c>
      <c r="AF1173" s="35">
        <v>0</v>
      </c>
      <c r="AG1173" s="18">
        <v>209</v>
      </c>
      <c r="AH1173" s="18">
        <v>110</v>
      </c>
      <c r="AI1173" s="35">
        <v>0</v>
      </c>
      <c r="AJ1173" s="35">
        <v>0</v>
      </c>
      <c r="AK1173" s="35">
        <v>0</v>
      </c>
      <c r="AL1173" s="35">
        <v>0</v>
      </c>
      <c r="AM1173" s="35">
        <v>0</v>
      </c>
      <c r="AN1173" s="35">
        <v>0</v>
      </c>
      <c r="AO1173" s="35">
        <v>0</v>
      </c>
      <c r="AP1173" s="35">
        <v>0</v>
      </c>
      <c r="AQ1173" s="35">
        <v>0</v>
      </c>
      <c r="AR1173" s="35">
        <v>0</v>
      </c>
      <c r="AS1173" s="35">
        <v>0</v>
      </c>
      <c r="AT1173" s="35">
        <v>0</v>
      </c>
      <c r="AU1173" s="35">
        <v>0</v>
      </c>
      <c r="AV1173" s="35">
        <v>0</v>
      </c>
      <c r="AW1173" s="35">
        <v>0</v>
      </c>
      <c r="AX1173" s="35">
        <v>0</v>
      </c>
      <c r="AY1173" s="35">
        <v>0</v>
      </c>
      <c r="AZ1173" s="35">
        <v>0</v>
      </c>
      <c r="BA1173" s="35">
        <v>0</v>
      </c>
      <c r="BB1173" s="35">
        <v>0</v>
      </c>
      <c r="BC1173" s="35">
        <v>0</v>
      </c>
      <c r="BD1173" s="35">
        <v>0</v>
      </c>
      <c r="BE1173" s="35">
        <v>0</v>
      </c>
      <c r="BF1173" s="35">
        <v>0</v>
      </c>
      <c r="BG1173" s="35">
        <v>0</v>
      </c>
      <c r="BH1173" s="35">
        <v>0</v>
      </c>
      <c r="BI1173" s="35">
        <v>0</v>
      </c>
      <c r="BJ1173" s="113">
        <v>0</v>
      </c>
      <c r="BK1173" s="113">
        <v>0</v>
      </c>
      <c r="BL1173" s="113">
        <v>0</v>
      </c>
      <c r="BM1173" s="113">
        <v>0</v>
      </c>
      <c r="BN1173" s="113">
        <v>0</v>
      </c>
      <c r="BO1173" s="113">
        <v>0</v>
      </c>
      <c r="BP1173" s="113">
        <v>0</v>
      </c>
      <c r="BQ1173" s="113">
        <v>0</v>
      </c>
      <c r="BR1173" s="101"/>
      <c r="BS1173">
        <f t="shared" ref="BS1173:CB1175" si="2492">IF($C1173&lt;&gt;"",IF(D1173&gt;0,1,0),0)</f>
        <v>0</v>
      </c>
      <c r="BT1173">
        <f t="shared" si="2492"/>
        <v>0</v>
      </c>
      <c r="BU1173">
        <f t="shared" si="2492"/>
        <v>0</v>
      </c>
      <c r="BV1173">
        <f t="shared" si="2492"/>
        <v>0</v>
      </c>
      <c r="BW1173">
        <f t="shared" si="2492"/>
        <v>0</v>
      </c>
      <c r="BX1173">
        <f t="shared" si="2492"/>
        <v>0</v>
      </c>
      <c r="BY1173">
        <f t="shared" si="2492"/>
        <v>0</v>
      </c>
      <c r="BZ1173">
        <f t="shared" si="2492"/>
        <v>0</v>
      </c>
      <c r="CA1173">
        <f t="shared" si="2492"/>
        <v>0</v>
      </c>
      <c r="CB1173">
        <f t="shared" si="2492"/>
        <v>0</v>
      </c>
      <c r="CC1173">
        <f t="shared" ref="CC1173:CL1175" si="2493">IF($C1173&lt;&gt;"",IF(N1173&gt;0,1,0),0)</f>
        <v>0</v>
      </c>
      <c r="CD1173">
        <f t="shared" si="2493"/>
        <v>0</v>
      </c>
      <c r="CE1173">
        <f t="shared" si="2493"/>
        <v>0</v>
      </c>
      <c r="CF1173">
        <f t="shared" si="2493"/>
        <v>0</v>
      </c>
      <c r="CG1173">
        <f t="shared" si="2493"/>
        <v>0</v>
      </c>
      <c r="CH1173">
        <f t="shared" si="2493"/>
        <v>0</v>
      </c>
      <c r="CI1173">
        <f t="shared" si="2493"/>
        <v>0</v>
      </c>
      <c r="CJ1173">
        <f t="shared" si="2493"/>
        <v>0</v>
      </c>
      <c r="CK1173">
        <f t="shared" si="2493"/>
        <v>0</v>
      </c>
      <c r="CL1173">
        <f t="shared" si="2493"/>
        <v>0</v>
      </c>
      <c r="CM1173">
        <f t="shared" ref="CM1173:CV1175" si="2494">IF($C1173&lt;&gt;"",IF(X1173&gt;0,1,0),0)</f>
        <v>0</v>
      </c>
      <c r="CN1173">
        <f t="shared" si="2494"/>
        <v>0</v>
      </c>
      <c r="CO1173">
        <f t="shared" si="2494"/>
        <v>0</v>
      </c>
      <c r="CP1173">
        <f t="shared" si="2494"/>
        <v>0</v>
      </c>
      <c r="CQ1173">
        <f t="shared" si="2494"/>
        <v>0</v>
      </c>
      <c r="CR1173">
        <f t="shared" si="2494"/>
        <v>0</v>
      </c>
      <c r="CS1173">
        <f t="shared" si="2494"/>
        <v>0</v>
      </c>
      <c r="CT1173">
        <f t="shared" si="2494"/>
        <v>0</v>
      </c>
      <c r="CU1173">
        <f t="shared" si="2494"/>
        <v>0</v>
      </c>
      <c r="CV1173">
        <f t="shared" si="2494"/>
        <v>0</v>
      </c>
      <c r="CW1173">
        <f t="shared" ref="CW1173:DF1175" si="2495">IF($C1173&lt;&gt;"",IF(AH1173&gt;0,1,0),0)</f>
        <v>0</v>
      </c>
      <c r="CX1173">
        <f t="shared" si="2495"/>
        <v>0</v>
      </c>
      <c r="CY1173">
        <f t="shared" si="2495"/>
        <v>0</v>
      </c>
      <c r="CZ1173">
        <f t="shared" si="2495"/>
        <v>0</v>
      </c>
      <c r="DA1173">
        <f t="shared" si="2495"/>
        <v>0</v>
      </c>
      <c r="DB1173">
        <f t="shared" si="2495"/>
        <v>0</v>
      </c>
      <c r="DC1173">
        <f t="shared" si="2495"/>
        <v>0</v>
      </c>
      <c r="DD1173">
        <f t="shared" si="2495"/>
        <v>0</v>
      </c>
      <c r="DE1173">
        <f t="shared" si="2495"/>
        <v>0</v>
      </c>
      <c r="DF1173">
        <f t="shared" si="2495"/>
        <v>0</v>
      </c>
      <c r="DG1173">
        <f t="shared" ref="DG1173:DP1175" si="2496">IF($C1173&lt;&gt;"",IF(AR1173&gt;0,1,0),0)</f>
        <v>0</v>
      </c>
      <c r="DH1173">
        <f t="shared" si="2496"/>
        <v>0</v>
      </c>
      <c r="DI1173">
        <f t="shared" si="2496"/>
        <v>0</v>
      </c>
      <c r="DJ1173">
        <f t="shared" si="2496"/>
        <v>0</v>
      </c>
      <c r="DK1173">
        <f t="shared" si="2496"/>
        <v>0</v>
      </c>
      <c r="DL1173">
        <f t="shared" si="2496"/>
        <v>0</v>
      </c>
      <c r="DM1173">
        <f t="shared" si="2496"/>
        <v>0</v>
      </c>
      <c r="DN1173">
        <f t="shared" si="2496"/>
        <v>0</v>
      </c>
      <c r="DO1173">
        <f t="shared" si="2496"/>
        <v>0</v>
      </c>
      <c r="DP1173">
        <f t="shared" si="2496"/>
        <v>0</v>
      </c>
      <c r="DQ1173">
        <f t="shared" ref="DQ1173:DZ1175" si="2497">IF($C1173&lt;&gt;"",IF(BB1173&gt;0,1,0),0)</f>
        <v>0</v>
      </c>
      <c r="DR1173">
        <f t="shared" si="2497"/>
        <v>0</v>
      </c>
      <c r="DS1173">
        <f t="shared" si="2497"/>
        <v>0</v>
      </c>
      <c r="DT1173">
        <f t="shared" si="2497"/>
        <v>0</v>
      </c>
      <c r="DU1173">
        <f t="shared" si="2497"/>
        <v>0</v>
      </c>
      <c r="DV1173">
        <f t="shared" si="2497"/>
        <v>0</v>
      </c>
      <c r="DW1173">
        <f t="shared" si="2497"/>
        <v>0</v>
      </c>
      <c r="DX1173">
        <f t="shared" si="2497"/>
        <v>0</v>
      </c>
      <c r="DY1173">
        <f t="shared" si="2497"/>
        <v>0</v>
      </c>
      <c r="DZ1173">
        <f t="shared" si="2497"/>
        <v>0</v>
      </c>
      <c r="EA1173">
        <f t="shared" ref="EA1173:EF1174" si="2498">IF($C1173&lt;&gt;"",IF(BL1172&gt;0,1,0),0)</f>
        <v>0</v>
      </c>
      <c r="EB1173">
        <f>IF($C1173&lt;&gt;"",IF(BM1172&gt;0,1,0),0)</f>
        <v>0</v>
      </c>
      <c r="EC1173">
        <f t="shared" si="2498"/>
        <v>0</v>
      </c>
      <c r="ED1173">
        <f t="shared" si="2498"/>
        <v>0</v>
      </c>
      <c r="EE1173">
        <f t="shared" si="2498"/>
        <v>0</v>
      </c>
      <c r="EF1173">
        <f t="shared" si="2498"/>
        <v>0</v>
      </c>
    </row>
    <row r="1174" spans="1:136" ht="15.5">
      <c r="A1174" s="90"/>
      <c r="B1174" s="19" t="s">
        <v>18</v>
      </c>
      <c r="C1174" s="94"/>
      <c r="D1174" s="34"/>
      <c r="E1174" s="34"/>
      <c r="F1174" s="34">
        <v>0</v>
      </c>
      <c r="G1174" s="34">
        <v>0</v>
      </c>
      <c r="H1174" s="34">
        <v>0</v>
      </c>
      <c r="I1174" s="34">
        <v>0</v>
      </c>
      <c r="J1174" s="34">
        <v>0</v>
      </c>
      <c r="K1174" s="34">
        <v>0</v>
      </c>
      <c r="L1174" s="34">
        <v>0</v>
      </c>
      <c r="M1174" s="34">
        <v>0</v>
      </c>
      <c r="N1174" s="34">
        <v>0</v>
      </c>
      <c r="O1174" s="34">
        <v>0</v>
      </c>
      <c r="P1174" s="34">
        <v>0</v>
      </c>
      <c r="Q1174" s="34">
        <v>0</v>
      </c>
      <c r="R1174" s="34">
        <v>0</v>
      </c>
      <c r="S1174" s="34">
        <v>0</v>
      </c>
      <c r="T1174" s="34">
        <v>0</v>
      </c>
      <c r="U1174" s="34">
        <v>0</v>
      </c>
      <c r="V1174" s="34">
        <v>0</v>
      </c>
      <c r="W1174" s="34">
        <v>0</v>
      </c>
      <c r="X1174" s="34">
        <v>0</v>
      </c>
      <c r="Y1174" s="34">
        <v>0</v>
      </c>
      <c r="Z1174" s="34">
        <v>0</v>
      </c>
      <c r="AA1174" s="34">
        <v>0</v>
      </c>
      <c r="AB1174" s="34">
        <v>0</v>
      </c>
      <c r="AC1174" s="34">
        <v>0</v>
      </c>
      <c r="AD1174" s="34">
        <v>0</v>
      </c>
      <c r="AE1174" s="34">
        <v>0</v>
      </c>
      <c r="AF1174" s="34">
        <v>401.51150000000001</v>
      </c>
      <c r="AG1174" s="34">
        <v>446</v>
      </c>
      <c r="AH1174" s="34">
        <v>0</v>
      </c>
      <c r="AI1174" s="34">
        <v>0</v>
      </c>
      <c r="AJ1174" s="34">
        <v>0</v>
      </c>
      <c r="AK1174" s="34">
        <v>0</v>
      </c>
      <c r="AL1174" s="34">
        <v>0</v>
      </c>
      <c r="AM1174" s="34">
        <v>0</v>
      </c>
      <c r="AN1174" s="34">
        <v>0</v>
      </c>
      <c r="AO1174" s="34">
        <v>0</v>
      </c>
      <c r="AP1174" s="34">
        <v>0</v>
      </c>
      <c r="AQ1174" s="34">
        <v>0</v>
      </c>
      <c r="AR1174" s="34">
        <v>0</v>
      </c>
      <c r="AS1174" s="34">
        <v>0</v>
      </c>
      <c r="AT1174" s="34">
        <v>0</v>
      </c>
      <c r="AU1174" s="34">
        <v>0</v>
      </c>
      <c r="AV1174" s="34">
        <v>0</v>
      </c>
      <c r="AW1174" s="34">
        <v>0</v>
      </c>
      <c r="AX1174" s="34">
        <v>0</v>
      </c>
      <c r="AY1174" s="34">
        <v>0</v>
      </c>
      <c r="AZ1174" s="34">
        <v>0</v>
      </c>
      <c r="BA1174" s="34">
        <v>0</v>
      </c>
      <c r="BB1174" s="34">
        <v>0</v>
      </c>
      <c r="BC1174" s="34">
        <v>0</v>
      </c>
      <c r="BD1174" s="34">
        <v>0</v>
      </c>
      <c r="BE1174" s="42">
        <v>0</v>
      </c>
      <c r="BF1174" s="34">
        <v>0</v>
      </c>
      <c r="BG1174" s="34">
        <v>0</v>
      </c>
      <c r="BH1174" s="34">
        <v>0</v>
      </c>
      <c r="BI1174" s="34">
        <v>0</v>
      </c>
      <c r="BJ1174" s="113">
        <v>0</v>
      </c>
      <c r="BK1174" s="113">
        <v>0</v>
      </c>
      <c r="BL1174" s="113">
        <v>0</v>
      </c>
      <c r="BM1174" s="113">
        <v>0</v>
      </c>
      <c r="BN1174" s="113">
        <v>0</v>
      </c>
      <c r="BO1174" s="113">
        <v>0</v>
      </c>
      <c r="BP1174" s="113">
        <v>0</v>
      </c>
      <c r="BQ1174" s="113">
        <v>0</v>
      </c>
      <c r="BR1174" s="101"/>
      <c r="BS1174">
        <f t="shared" si="2492"/>
        <v>0</v>
      </c>
      <c r="BT1174">
        <f t="shared" si="2492"/>
        <v>0</v>
      </c>
      <c r="BU1174">
        <f t="shared" si="2492"/>
        <v>0</v>
      </c>
      <c r="BV1174">
        <f t="shared" si="2492"/>
        <v>0</v>
      </c>
      <c r="BW1174">
        <f t="shared" si="2492"/>
        <v>0</v>
      </c>
      <c r="BX1174">
        <f t="shared" si="2492"/>
        <v>0</v>
      </c>
      <c r="BY1174">
        <f t="shared" si="2492"/>
        <v>0</v>
      </c>
      <c r="BZ1174">
        <f t="shared" si="2492"/>
        <v>0</v>
      </c>
      <c r="CA1174">
        <f t="shared" si="2492"/>
        <v>0</v>
      </c>
      <c r="CB1174">
        <f t="shared" si="2492"/>
        <v>0</v>
      </c>
      <c r="CC1174">
        <f t="shared" si="2493"/>
        <v>0</v>
      </c>
      <c r="CD1174">
        <f t="shared" si="2493"/>
        <v>0</v>
      </c>
      <c r="CE1174">
        <f t="shared" si="2493"/>
        <v>0</v>
      </c>
      <c r="CF1174">
        <f t="shared" si="2493"/>
        <v>0</v>
      </c>
      <c r="CG1174">
        <f t="shared" si="2493"/>
        <v>0</v>
      </c>
      <c r="CH1174">
        <f t="shared" si="2493"/>
        <v>0</v>
      </c>
      <c r="CI1174">
        <f t="shared" si="2493"/>
        <v>0</v>
      </c>
      <c r="CJ1174">
        <f t="shared" si="2493"/>
        <v>0</v>
      </c>
      <c r="CK1174">
        <f t="shared" si="2493"/>
        <v>0</v>
      </c>
      <c r="CL1174">
        <f t="shared" si="2493"/>
        <v>0</v>
      </c>
      <c r="CM1174">
        <f t="shared" si="2494"/>
        <v>0</v>
      </c>
      <c r="CN1174">
        <f t="shared" si="2494"/>
        <v>0</v>
      </c>
      <c r="CO1174">
        <f t="shared" si="2494"/>
        <v>0</v>
      </c>
      <c r="CP1174">
        <f t="shared" si="2494"/>
        <v>0</v>
      </c>
      <c r="CQ1174">
        <f t="shared" si="2494"/>
        <v>0</v>
      </c>
      <c r="CR1174">
        <f t="shared" si="2494"/>
        <v>0</v>
      </c>
      <c r="CS1174">
        <f t="shared" si="2494"/>
        <v>0</v>
      </c>
      <c r="CT1174">
        <f t="shared" si="2494"/>
        <v>0</v>
      </c>
      <c r="CU1174">
        <f t="shared" si="2494"/>
        <v>0</v>
      </c>
      <c r="CV1174">
        <f t="shared" si="2494"/>
        <v>0</v>
      </c>
      <c r="CW1174">
        <f t="shared" si="2495"/>
        <v>0</v>
      </c>
      <c r="CX1174">
        <f t="shared" si="2495"/>
        <v>0</v>
      </c>
      <c r="CY1174">
        <f t="shared" si="2495"/>
        <v>0</v>
      </c>
      <c r="CZ1174">
        <f t="shared" si="2495"/>
        <v>0</v>
      </c>
      <c r="DA1174">
        <f t="shared" si="2495"/>
        <v>0</v>
      </c>
      <c r="DB1174">
        <f t="shared" si="2495"/>
        <v>0</v>
      </c>
      <c r="DC1174">
        <f t="shared" si="2495"/>
        <v>0</v>
      </c>
      <c r="DD1174">
        <f t="shared" si="2495"/>
        <v>0</v>
      </c>
      <c r="DE1174">
        <f t="shared" si="2495"/>
        <v>0</v>
      </c>
      <c r="DF1174">
        <f t="shared" si="2495"/>
        <v>0</v>
      </c>
      <c r="DG1174">
        <f t="shared" si="2496"/>
        <v>0</v>
      </c>
      <c r="DH1174">
        <f t="shared" si="2496"/>
        <v>0</v>
      </c>
      <c r="DI1174">
        <f t="shared" si="2496"/>
        <v>0</v>
      </c>
      <c r="DJ1174">
        <f t="shared" si="2496"/>
        <v>0</v>
      </c>
      <c r="DK1174">
        <f t="shared" si="2496"/>
        <v>0</v>
      </c>
      <c r="DL1174">
        <f t="shared" si="2496"/>
        <v>0</v>
      </c>
      <c r="DM1174">
        <f t="shared" si="2496"/>
        <v>0</v>
      </c>
      <c r="DN1174">
        <f t="shared" si="2496"/>
        <v>0</v>
      </c>
      <c r="DO1174">
        <f t="shared" si="2496"/>
        <v>0</v>
      </c>
      <c r="DP1174">
        <f t="shared" si="2496"/>
        <v>0</v>
      </c>
      <c r="DQ1174">
        <f t="shared" si="2497"/>
        <v>0</v>
      </c>
      <c r="DR1174">
        <f t="shared" si="2497"/>
        <v>0</v>
      </c>
      <c r="DS1174">
        <f t="shared" si="2497"/>
        <v>0</v>
      </c>
      <c r="DT1174">
        <f t="shared" si="2497"/>
        <v>0</v>
      </c>
      <c r="DU1174">
        <f t="shared" si="2497"/>
        <v>0</v>
      </c>
      <c r="DV1174">
        <f t="shared" si="2497"/>
        <v>0</v>
      </c>
      <c r="DW1174">
        <f t="shared" si="2497"/>
        <v>0</v>
      </c>
      <c r="DX1174">
        <f t="shared" si="2497"/>
        <v>0</v>
      </c>
      <c r="DY1174">
        <f t="shared" si="2497"/>
        <v>0</v>
      </c>
      <c r="DZ1174">
        <f t="shared" si="2497"/>
        <v>0</v>
      </c>
      <c r="EA1174">
        <f t="shared" si="2498"/>
        <v>0</v>
      </c>
      <c r="EB1174">
        <f>IF($C1174&lt;&gt;"",IF(BM1173&gt;0,1,0),0)</f>
        <v>0</v>
      </c>
      <c r="EC1174">
        <f t="shared" si="2498"/>
        <v>0</v>
      </c>
      <c r="ED1174">
        <f t="shared" si="2498"/>
        <v>0</v>
      </c>
      <c r="EE1174">
        <f t="shared" si="2498"/>
        <v>0</v>
      </c>
      <c r="EF1174">
        <f t="shared" si="2498"/>
        <v>0</v>
      </c>
    </row>
    <row r="1175" spans="1:136" ht="15.5">
      <c r="A1175" s="90"/>
      <c r="B1175" s="53" t="s">
        <v>212</v>
      </c>
      <c r="C1175" s="94"/>
      <c r="D1175" s="34"/>
      <c r="E1175" s="34"/>
      <c r="F1175" s="34"/>
      <c r="G1175" s="34"/>
      <c r="H1175" s="34"/>
      <c r="I1175" s="34"/>
      <c r="J1175" s="34"/>
      <c r="K1175" s="34"/>
      <c r="L1175" s="34"/>
      <c r="M1175" s="34"/>
      <c r="N1175" s="34"/>
      <c r="O1175" s="34"/>
      <c r="P1175" s="34"/>
      <c r="Q1175" s="34"/>
      <c r="R1175" s="34"/>
      <c r="S1175" s="34"/>
      <c r="T1175" s="34"/>
      <c r="U1175" s="34"/>
      <c r="V1175" s="34"/>
      <c r="W1175" s="34"/>
      <c r="X1175" s="34"/>
      <c r="Y1175" s="34"/>
      <c r="Z1175" s="34"/>
      <c r="AA1175" s="34"/>
      <c r="AB1175" s="34"/>
      <c r="AC1175" s="34"/>
      <c r="AD1175" s="34"/>
      <c r="AE1175" s="34"/>
      <c r="AF1175" s="34"/>
      <c r="AG1175" s="34"/>
      <c r="AH1175" s="34">
        <v>0</v>
      </c>
      <c r="AI1175" s="34">
        <v>0</v>
      </c>
      <c r="AJ1175" s="34">
        <v>0</v>
      </c>
      <c r="AK1175" s="34">
        <v>0</v>
      </c>
      <c r="AL1175" s="34">
        <v>0</v>
      </c>
      <c r="AM1175" s="34">
        <v>0</v>
      </c>
      <c r="AN1175" s="34">
        <v>0</v>
      </c>
      <c r="AO1175" s="34">
        <v>0</v>
      </c>
      <c r="AP1175" s="34">
        <v>0</v>
      </c>
      <c r="AQ1175" s="34">
        <v>0</v>
      </c>
      <c r="AR1175" s="34">
        <v>0</v>
      </c>
      <c r="AS1175" s="34">
        <v>0</v>
      </c>
      <c r="AT1175" s="34">
        <v>0</v>
      </c>
      <c r="AU1175" s="34">
        <v>0</v>
      </c>
      <c r="AV1175" s="34">
        <v>0</v>
      </c>
      <c r="AW1175" s="34">
        <v>0</v>
      </c>
      <c r="AX1175" s="34">
        <v>0</v>
      </c>
      <c r="AY1175" s="34">
        <v>0</v>
      </c>
      <c r="AZ1175" s="34">
        <v>0</v>
      </c>
      <c r="BA1175" s="34">
        <v>966.18357487922708</v>
      </c>
      <c r="BB1175" s="34">
        <v>801.28205128205127</v>
      </c>
      <c r="BC1175" s="34">
        <v>693.41812400635933</v>
      </c>
      <c r="BD1175" s="34">
        <v>955.41401273885344</v>
      </c>
      <c r="BE1175" s="42">
        <v>604.13354531001585</v>
      </c>
      <c r="BF1175" s="34">
        <v>680</v>
      </c>
      <c r="BG1175" s="34">
        <v>904.76190476190482</v>
      </c>
      <c r="BH1175" s="34">
        <v>909.09090909090912</v>
      </c>
      <c r="BI1175" s="34">
        <v>939.39393939393949</v>
      </c>
      <c r="BJ1175" s="113">
        <v>1533.8345864661653</v>
      </c>
      <c r="BK1175" s="113">
        <v>1250</v>
      </c>
      <c r="BL1175" s="113">
        <v>2264.0179910044976</v>
      </c>
      <c r="BM1175" s="113">
        <v>1782.1796759941089</v>
      </c>
      <c r="BN1175" s="113">
        <v>1191.3235294117646</v>
      </c>
      <c r="BO1175" s="113">
        <v>957</v>
      </c>
      <c r="BP1175" s="113">
        <v>960</v>
      </c>
      <c r="BQ1175" s="113">
        <v>655</v>
      </c>
      <c r="BR1175" s="101"/>
      <c r="BS1175">
        <f t="shared" si="2492"/>
        <v>0</v>
      </c>
      <c r="BT1175">
        <f t="shared" si="2492"/>
        <v>0</v>
      </c>
      <c r="BU1175">
        <f t="shared" si="2492"/>
        <v>0</v>
      </c>
      <c r="BV1175">
        <f t="shared" si="2492"/>
        <v>0</v>
      </c>
      <c r="BW1175">
        <f t="shared" si="2492"/>
        <v>0</v>
      </c>
      <c r="BX1175">
        <f t="shared" si="2492"/>
        <v>0</v>
      </c>
      <c r="BY1175">
        <f t="shared" si="2492"/>
        <v>0</v>
      </c>
      <c r="BZ1175">
        <f t="shared" si="2492"/>
        <v>0</v>
      </c>
      <c r="CA1175">
        <f t="shared" si="2492"/>
        <v>0</v>
      </c>
      <c r="CB1175">
        <f t="shared" si="2492"/>
        <v>0</v>
      </c>
      <c r="CC1175">
        <f t="shared" si="2493"/>
        <v>0</v>
      </c>
      <c r="CD1175">
        <f t="shared" si="2493"/>
        <v>0</v>
      </c>
      <c r="CE1175">
        <f t="shared" si="2493"/>
        <v>0</v>
      </c>
      <c r="CF1175">
        <f t="shared" si="2493"/>
        <v>0</v>
      </c>
      <c r="CG1175">
        <f t="shared" si="2493"/>
        <v>0</v>
      </c>
      <c r="CH1175">
        <f t="shared" si="2493"/>
        <v>0</v>
      </c>
      <c r="CI1175">
        <f t="shared" si="2493"/>
        <v>0</v>
      </c>
      <c r="CJ1175">
        <f t="shared" si="2493"/>
        <v>0</v>
      </c>
      <c r="CK1175">
        <f t="shared" si="2493"/>
        <v>0</v>
      </c>
      <c r="CL1175">
        <f t="shared" si="2493"/>
        <v>0</v>
      </c>
      <c r="CM1175">
        <f t="shared" si="2494"/>
        <v>0</v>
      </c>
      <c r="CN1175">
        <f t="shared" si="2494"/>
        <v>0</v>
      </c>
      <c r="CO1175">
        <f t="shared" si="2494"/>
        <v>0</v>
      </c>
      <c r="CP1175">
        <f t="shared" si="2494"/>
        <v>0</v>
      </c>
      <c r="CQ1175">
        <f t="shared" si="2494"/>
        <v>0</v>
      </c>
      <c r="CR1175">
        <f t="shared" si="2494"/>
        <v>0</v>
      </c>
      <c r="CS1175">
        <f t="shared" si="2494"/>
        <v>0</v>
      </c>
      <c r="CT1175">
        <f t="shared" si="2494"/>
        <v>0</v>
      </c>
      <c r="CU1175">
        <f t="shared" si="2494"/>
        <v>0</v>
      </c>
      <c r="CV1175">
        <f t="shared" si="2494"/>
        <v>0</v>
      </c>
      <c r="CW1175">
        <f t="shared" si="2495"/>
        <v>0</v>
      </c>
      <c r="CX1175">
        <f t="shared" si="2495"/>
        <v>0</v>
      </c>
      <c r="CY1175">
        <f t="shared" si="2495"/>
        <v>0</v>
      </c>
      <c r="CZ1175">
        <f t="shared" si="2495"/>
        <v>0</v>
      </c>
      <c r="DA1175">
        <f t="shared" si="2495"/>
        <v>0</v>
      </c>
      <c r="DB1175">
        <f t="shared" si="2495"/>
        <v>0</v>
      </c>
      <c r="DC1175">
        <f t="shared" si="2495"/>
        <v>0</v>
      </c>
      <c r="DD1175">
        <f t="shared" si="2495"/>
        <v>0</v>
      </c>
      <c r="DE1175">
        <f t="shared" si="2495"/>
        <v>0</v>
      </c>
      <c r="DF1175">
        <f t="shared" si="2495"/>
        <v>0</v>
      </c>
      <c r="DG1175">
        <f t="shared" si="2496"/>
        <v>0</v>
      </c>
      <c r="DH1175">
        <f t="shared" si="2496"/>
        <v>0</v>
      </c>
      <c r="DI1175">
        <f t="shared" si="2496"/>
        <v>0</v>
      </c>
      <c r="DJ1175">
        <f t="shared" si="2496"/>
        <v>0</v>
      </c>
      <c r="DK1175">
        <f t="shared" si="2496"/>
        <v>0</v>
      </c>
      <c r="DL1175">
        <f t="shared" si="2496"/>
        <v>0</v>
      </c>
      <c r="DM1175">
        <f t="shared" si="2496"/>
        <v>0</v>
      </c>
      <c r="DN1175">
        <f t="shared" si="2496"/>
        <v>0</v>
      </c>
      <c r="DO1175">
        <f t="shared" si="2496"/>
        <v>0</v>
      </c>
      <c r="DP1175">
        <f t="shared" si="2496"/>
        <v>0</v>
      </c>
      <c r="DQ1175">
        <f t="shared" si="2497"/>
        <v>0</v>
      </c>
      <c r="DR1175">
        <f t="shared" si="2497"/>
        <v>0</v>
      </c>
      <c r="DS1175">
        <f t="shared" si="2497"/>
        <v>0</v>
      </c>
      <c r="DT1175">
        <f t="shared" si="2497"/>
        <v>0</v>
      </c>
      <c r="DU1175">
        <f t="shared" si="2497"/>
        <v>0</v>
      </c>
      <c r="DV1175">
        <f t="shared" si="2497"/>
        <v>0</v>
      </c>
      <c r="DW1175">
        <f t="shared" si="2497"/>
        <v>0</v>
      </c>
      <c r="DX1175">
        <f t="shared" si="2497"/>
        <v>0</v>
      </c>
      <c r="DY1175">
        <f t="shared" si="2497"/>
        <v>0</v>
      </c>
      <c r="DZ1175">
        <f t="shared" si="2497"/>
        <v>0</v>
      </c>
      <c r="EA1175">
        <f t="shared" ref="EA1175:EF1175" si="2499">IF($C1175&lt;&gt;"",IF(BL1175&gt;0,1,0),0)</f>
        <v>0</v>
      </c>
      <c r="EB1175">
        <f t="shared" si="2499"/>
        <v>0</v>
      </c>
      <c r="EC1175">
        <f t="shared" si="2499"/>
        <v>0</v>
      </c>
      <c r="ED1175">
        <f t="shared" si="2499"/>
        <v>0</v>
      </c>
      <c r="EE1175">
        <f t="shared" si="2499"/>
        <v>0</v>
      </c>
      <c r="EF1175">
        <f t="shared" si="2499"/>
        <v>0</v>
      </c>
    </row>
    <row r="1176" spans="1:136" ht="15.5">
      <c r="A1176" s="90"/>
      <c r="B1176" s="37"/>
      <c r="C1176" s="94"/>
      <c r="D1176" s="18"/>
      <c r="E1176" s="18"/>
      <c r="F1176" s="18"/>
      <c r="G1176" s="18"/>
      <c r="H1176" s="18"/>
      <c r="I1176" s="18"/>
      <c r="J1176" s="18"/>
      <c r="K1176" s="18"/>
      <c r="L1176" s="18"/>
      <c r="M1176" s="18"/>
      <c r="N1176" s="18"/>
      <c r="O1176" s="18"/>
      <c r="P1176" s="18"/>
      <c r="Q1176" s="18"/>
      <c r="R1176" s="18"/>
      <c r="S1176" s="18"/>
      <c r="T1176" s="18"/>
      <c r="U1176" s="18"/>
      <c r="V1176" s="18"/>
      <c r="W1176" s="18"/>
      <c r="X1176" s="18"/>
      <c r="Y1176" s="18"/>
      <c r="Z1176" s="18"/>
      <c r="AA1176" s="18"/>
      <c r="AB1176" s="18"/>
      <c r="AC1176" s="18"/>
      <c r="AD1176" s="18"/>
      <c r="AE1176" s="18"/>
      <c r="AF1176" s="18"/>
      <c r="AG1176" s="18"/>
      <c r="AH1176" s="18"/>
      <c r="AI1176" s="18"/>
      <c r="AJ1176" s="18"/>
      <c r="AK1176" s="18"/>
      <c r="AL1176" s="18"/>
      <c r="AM1176" s="18"/>
      <c r="AN1176" s="18"/>
      <c r="AO1176" s="18"/>
      <c r="AP1176" s="18"/>
      <c r="AQ1176" s="18"/>
      <c r="AR1176" s="18"/>
      <c r="AS1176" s="18"/>
      <c r="AT1176" s="18"/>
      <c r="AU1176" s="18"/>
      <c r="AV1176" s="18"/>
      <c r="AW1176" s="18"/>
      <c r="AX1176" s="18"/>
      <c r="AY1176" s="18"/>
      <c r="AZ1176" s="18"/>
      <c r="BA1176" s="18"/>
      <c r="BB1176" s="18"/>
      <c r="BC1176" s="18"/>
      <c r="BD1176" s="18"/>
      <c r="BE1176" s="25"/>
      <c r="BF1176" s="34"/>
      <c r="BG1176" s="18"/>
      <c r="BH1176" s="2"/>
      <c r="BI1176" s="2"/>
      <c r="BJ1176" s="2"/>
      <c r="BK1176" s="2"/>
      <c r="BL1176" s="4"/>
      <c r="BM1176" s="2"/>
      <c r="BN1176" s="2"/>
      <c r="BO1176" s="2"/>
      <c r="BP1176" s="2"/>
      <c r="BQ1176" s="2"/>
      <c r="BR1176" s="101"/>
    </row>
    <row r="1177" spans="1:136" ht="15.5">
      <c r="A1177" s="93">
        <v>149</v>
      </c>
      <c r="B1177" s="52" t="s">
        <v>147</v>
      </c>
      <c r="C1177" s="94">
        <v>4</v>
      </c>
      <c r="D1177" s="22">
        <f t="shared" ref="D1177:AI1177" si="2500">SUM(D1180:D1182)</f>
        <v>0</v>
      </c>
      <c r="E1177" s="22">
        <f t="shared" si="2500"/>
        <v>0</v>
      </c>
      <c r="F1177" s="22">
        <f t="shared" si="2500"/>
        <v>0</v>
      </c>
      <c r="G1177" s="22">
        <f t="shared" si="2500"/>
        <v>0</v>
      </c>
      <c r="H1177" s="22">
        <f t="shared" si="2500"/>
        <v>0</v>
      </c>
      <c r="I1177" s="22">
        <f t="shared" si="2500"/>
        <v>0</v>
      </c>
      <c r="J1177" s="22">
        <f t="shared" si="2500"/>
        <v>0</v>
      </c>
      <c r="K1177" s="22">
        <f t="shared" si="2500"/>
        <v>0</v>
      </c>
      <c r="L1177" s="22">
        <f t="shared" si="2500"/>
        <v>0</v>
      </c>
      <c r="M1177" s="22">
        <f t="shared" si="2500"/>
        <v>0</v>
      </c>
      <c r="N1177" s="22">
        <f t="shared" si="2500"/>
        <v>2.83</v>
      </c>
      <c r="O1177" s="22">
        <f t="shared" si="2500"/>
        <v>4.5250000000000004</v>
      </c>
      <c r="P1177" s="22">
        <f t="shared" si="2500"/>
        <v>4.7530000000000001</v>
      </c>
      <c r="Q1177" s="22">
        <f t="shared" si="2500"/>
        <v>5.3379999999999992</v>
      </c>
      <c r="R1177" s="22">
        <f t="shared" si="2500"/>
        <v>5.726</v>
      </c>
      <c r="S1177" s="22">
        <f t="shared" si="2500"/>
        <v>5.7810000000000006</v>
      </c>
      <c r="T1177" s="22">
        <f t="shared" si="2500"/>
        <v>5.2229999999999999</v>
      </c>
      <c r="U1177" s="22">
        <f t="shared" si="2500"/>
        <v>5.7050000000000001</v>
      </c>
      <c r="V1177" s="22">
        <f t="shared" si="2500"/>
        <v>6.87</v>
      </c>
      <c r="W1177" s="22">
        <f t="shared" si="2500"/>
        <v>6.7110000000000003</v>
      </c>
      <c r="X1177" s="22">
        <f t="shared" si="2500"/>
        <v>6.1289999999999996</v>
      </c>
      <c r="Y1177" s="22">
        <f t="shared" si="2500"/>
        <v>4.5950000000000006</v>
      </c>
      <c r="Z1177" s="22">
        <f t="shared" si="2500"/>
        <v>4.0609999999999999</v>
      </c>
      <c r="AA1177" s="22">
        <f t="shared" si="2500"/>
        <v>6.6130000000000004</v>
      </c>
      <c r="AB1177" s="22">
        <f t="shared" si="2500"/>
        <v>3.1920000000000002</v>
      </c>
      <c r="AC1177" s="22">
        <f t="shared" si="2500"/>
        <v>16.919</v>
      </c>
      <c r="AD1177" s="22">
        <f t="shared" si="2500"/>
        <v>21.353000000000002</v>
      </c>
      <c r="AE1177" s="22">
        <f t="shared" si="2500"/>
        <v>5.2850000000000001</v>
      </c>
      <c r="AF1177" s="22">
        <f t="shared" si="2500"/>
        <v>0</v>
      </c>
      <c r="AG1177" s="22">
        <f t="shared" si="2500"/>
        <v>6.306</v>
      </c>
      <c r="AH1177" s="22">
        <f t="shared" si="2500"/>
        <v>22.091999999999999</v>
      </c>
      <c r="AI1177" s="22">
        <f t="shared" si="2500"/>
        <v>82.256</v>
      </c>
      <c r="AJ1177" s="22">
        <f t="shared" ref="AJ1177:BH1177" si="2501">SUM(AJ1180:AJ1182)</f>
        <v>13.629</v>
      </c>
      <c r="AK1177" s="22">
        <f t="shared" si="2501"/>
        <v>3.2040000000000002</v>
      </c>
      <c r="AL1177" s="22">
        <f t="shared" si="2501"/>
        <v>16.445</v>
      </c>
      <c r="AM1177" s="22">
        <f t="shared" si="2501"/>
        <v>0.73699999999999999</v>
      </c>
      <c r="AN1177" s="22">
        <f t="shared" si="2501"/>
        <v>0.191</v>
      </c>
      <c r="AO1177" s="22">
        <f t="shared" si="2501"/>
        <v>0</v>
      </c>
      <c r="AP1177" s="22">
        <f t="shared" si="2501"/>
        <v>0</v>
      </c>
      <c r="AQ1177" s="22">
        <f t="shared" si="2501"/>
        <v>0</v>
      </c>
      <c r="AR1177" s="22">
        <f t="shared" si="2501"/>
        <v>0</v>
      </c>
      <c r="AS1177" s="22">
        <f t="shared" si="2501"/>
        <v>0</v>
      </c>
      <c r="AT1177" s="22">
        <f t="shared" si="2501"/>
        <v>0</v>
      </c>
      <c r="AU1177" s="22">
        <f t="shared" si="2501"/>
        <v>0</v>
      </c>
      <c r="AV1177" s="22">
        <f t="shared" si="2501"/>
        <v>0</v>
      </c>
      <c r="AW1177" s="22">
        <f t="shared" si="2501"/>
        <v>0</v>
      </c>
      <c r="AX1177" s="22">
        <f t="shared" si="2501"/>
        <v>0</v>
      </c>
      <c r="AY1177" s="22">
        <f t="shared" si="2501"/>
        <v>0</v>
      </c>
      <c r="AZ1177" s="22">
        <f t="shared" si="2501"/>
        <v>0</v>
      </c>
      <c r="BA1177" s="22">
        <f t="shared" si="2501"/>
        <v>0</v>
      </c>
      <c r="BB1177" s="22">
        <f t="shared" si="2501"/>
        <v>0</v>
      </c>
      <c r="BC1177" s="22">
        <f t="shared" si="2501"/>
        <v>0</v>
      </c>
      <c r="BD1177" s="22">
        <f t="shared" si="2501"/>
        <v>0</v>
      </c>
      <c r="BE1177" s="22">
        <f t="shared" si="2501"/>
        <v>5.4984717000000005</v>
      </c>
      <c r="BF1177" s="22">
        <f t="shared" si="2501"/>
        <v>2.4197012999999998</v>
      </c>
      <c r="BG1177" s="22">
        <f t="shared" si="2501"/>
        <v>0.27</v>
      </c>
      <c r="BH1177" s="22">
        <f t="shared" si="2501"/>
        <v>0</v>
      </c>
      <c r="BI1177" s="4">
        <v>0</v>
      </c>
      <c r="BJ1177" s="4">
        <v>0</v>
      </c>
      <c r="BK1177" s="4">
        <v>0</v>
      </c>
      <c r="BL1177" s="4">
        <v>0</v>
      </c>
      <c r="BM1177" s="4">
        <v>0</v>
      </c>
      <c r="BN1177" s="193">
        <f>SUM(BN1178:BN1182)</f>
        <v>0</v>
      </c>
      <c r="BO1177" s="193">
        <f>SUM(BO1178:BO1182)</f>
        <v>0</v>
      </c>
      <c r="BP1177" s="193">
        <f>SUM(BP1178:BP1182)</f>
        <v>0</v>
      </c>
      <c r="BQ1177" s="193">
        <f>SUM(BQ1178:BQ1182)</f>
        <v>0</v>
      </c>
      <c r="BR1177" s="101"/>
      <c r="BS1177">
        <f t="shared" ref="BS1177:CB1183" si="2502">IF($C1177&lt;&gt;"",IF(D1177&gt;0,1,0),0)</f>
        <v>0</v>
      </c>
      <c r="BT1177">
        <f t="shared" si="2502"/>
        <v>0</v>
      </c>
      <c r="BU1177">
        <f t="shared" si="2502"/>
        <v>0</v>
      </c>
      <c r="BV1177">
        <f t="shared" si="2502"/>
        <v>0</v>
      </c>
      <c r="BW1177">
        <f t="shared" si="2502"/>
        <v>0</v>
      </c>
      <c r="BX1177">
        <f t="shared" si="2502"/>
        <v>0</v>
      </c>
      <c r="BY1177">
        <f t="shared" si="2502"/>
        <v>0</v>
      </c>
      <c r="BZ1177">
        <f t="shared" si="2502"/>
        <v>0</v>
      </c>
      <c r="CA1177">
        <f t="shared" si="2502"/>
        <v>0</v>
      </c>
      <c r="CB1177">
        <f t="shared" si="2502"/>
        <v>0</v>
      </c>
      <c r="CC1177">
        <f t="shared" ref="CC1177:CL1183" si="2503">IF($C1177&lt;&gt;"",IF(N1177&gt;0,1,0),0)</f>
        <v>1</v>
      </c>
      <c r="CD1177">
        <f t="shared" si="2503"/>
        <v>1</v>
      </c>
      <c r="CE1177">
        <f t="shared" si="2503"/>
        <v>1</v>
      </c>
      <c r="CF1177">
        <f t="shared" si="2503"/>
        <v>1</v>
      </c>
      <c r="CG1177">
        <f t="shared" si="2503"/>
        <v>1</v>
      </c>
      <c r="CH1177">
        <f t="shared" si="2503"/>
        <v>1</v>
      </c>
      <c r="CI1177">
        <f t="shared" si="2503"/>
        <v>1</v>
      </c>
      <c r="CJ1177">
        <f t="shared" si="2503"/>
        <v>1</v>
      </c>
      <c r="CK1177">
        <f t="shared" si="2503"/>
        <v>1</v>
      </c>
      <c r="CL1177">
        <f t="shared" si="2503"/>
        <v>1</v>
      </c>
      <c r="CM1177">
        <f t="shared" ref="CM1177:CV1183" si="2504">IF($C1177&lt;&gt;"",IF(X1177&gt;0,1,0),0)</f>
        <v>1</v>
      </c>
      <c r="CN1177">
        <f t="shared" si="2504"/>
        <v>1</v>
      </c>
      <c r="CO1177">
        <f t="shared" si="2504"/>
        <v>1</v>
      </c>
      <c r="CP1177">
        <f t="shared" si="2504"/>
        <v>1</v>
      </c>
      <c r="CQ1177">
        <f t="shared" si="2504"/>
        <v>1</v>
      </c>
      <c r="CR1177">
        <f t="shared" si="2504"/>
        <v>1</v>
      </c>
      <c r="CS1177">
        <f t="shared" si="2504"/>
        <v>1</v>
      </c>
      <c r="CT1177">
        <f t="shared" si="2504"/>
        <v>1</v>
      </c>
      <c r="CU1177">
        <f t="shared" si="2504"/>
        <v>0</v>
      </c>
      <c r="CV1177">
        <f t="shared" si="2504"/>
        <v>1</v>
      </c>
      <c r="CW1177">
        <f t="shared" ref="CW1177:DF1183" si="2505">IF($C1177&lt;&gt;"",IF(AH1177&gt;0,1,0),0)</f>
        <v>1</v>
      </c>
      <c r="CX1177">
        <f t="shared" si="2505"/>
        <v>1</v>
      </c>
      <c r="CY1177">
        <f t="shared" si="2505"/>
        <v>1</v>
      </c>
      <c r="CZ1177">
        <f t="shared" si="2505"/>
        <v>1</v>
      </c>
      <c r="DA1177">
        <f t="shared" si="2505"/>
        <v>1</v>
      </c>
      <c r="DB1177">
        <f t="shared" si="2505"/>
        <v>1</v>
      </c>
      <c r="DC1177">
        <f t="shared" si="2505"/>
        <v>1</v>
      </c>
      <c r="DD1177">
        <f t="shared" si="2505"/>
        <v>0</v>
      </c>
      <c r="DE1177">
        <f t="shared" si="2505"/>
        <v>0</v>
      </c>
      <c r="DF1177">
        <f t="shared" si="2505"/>
        <v>0</v>
      </c>
      <c r="DG1177">
        <f t="shared" ref="DG1177:DP1183" si="2506">IF($C1177&lt;&gt;"",IF(AR1177&gt;0,1,0),0)</f>
        <v>0</v>
      </c>
      <c r="DH1177">
        <f t="shared" si="2506"/>
        <v>0</v>
      </c>
      <c r="DI1177">
        <f t="shared" si="2506"/>
        <v>0</v>
      </c>
      <c r="DJ1177">
        <f t="shared" si="2506"/>
        <v>0</v>
      </c>
      <c r="DK1177">
        <f t="shared" si="2506"/>
        <v>0</v>
      </c>
      <c r="DL1177">
        <f t="shared" si="2506"/>
        <v>0</v>
      </c>
      <c r="DM1177">
        <f t="shared" si="2506"/>
        <v>0</v>
      </c>
      <c r="DN1177">
        <f t="shared" si="2506"/>
        <v>0</v>
      </c>
      <c r="DO1177">
        <f t="shared" si="2506"/>
        <v>0</v>
      </c>
      <c r="DP1177">
        <f t="shared" si="2506"/>
        <v>0</v>
      </c>
      <c r="DQ1177">
        <f t="shared" ref="DQ1177:DZ1183" si="2507">IF($C1177&lt;&gt;"",IF(BB1177&gt;0,1,0),0)</f>
        <v>0</v>
      </c>
      <c r="DR1177">
        <f t="shared" si="2507"/>
        <v>0</v>
      </c>
      <c r="DS1177">
        <f t="shared" si="2507"/>
        <v>0</v>
      </c>
      <c r="DT1177">
        <f t="shared" si="2507"/>
        <v>1</v>
      </c>
      <c r="DU1177">
        <f t="shared" si="2507"/>
        <v>1</v>
      </c>
      <c r="DV1177">
        <f t="shared" si="2507"/>
        <v>1</v>
      </c>
      <c r="DW1177">
        <f t="shared" si="2507"/>
        <v>0</v>
      </c>
      <c r="DX1177">
        <f t="shared" si="2507"/>
        <v>0</v>
      </c>
      <c r="DY1177">
        <f t="shared" si="2507"/>
        <v>0</v>
      </c>
      <c r="DZ1177">
        <f t="shared" si="2507"/>
        <v>0</v>
      </c>
      <c r="EA1177">
        <f t="shared" ref="EA1177:EF1183" si="2508">IF($C1177&lt;&gt;"",IF(BL1177&gt;0,1,0),0)</f>
        <v>0</v>
      </c>
      <c r="EB1177">
        <f t="shared" ref="EB1177:EB1183" si="2509">IF($C1177&lt;&gt;"",IF(BM1177&gt;0,1,0),0)</f>
        <v>0</v>
      </c>
      <c r="EC1177">
        <f t="shared" si="2508"/>
        <v>0</v>
      </c>
      <c r="ED1177">
        <f t="shared" si="2508"/>
        <v>0</v>
      </c>
      <c r="EE1177">
        <f t="shared" si="2508"/>
        <v>0</v>
      </c>
      <c r="EF1177">
        <f t="shared" si="2508"/>
        <v>0</v>
      </c>
    </row>
    <row r="1178" spans="1:136" ht="15.5">
      <c r="A1178" s="90"/>
      <c r="B1178" s="19" t="s">
        <v>2</v>
      </c>
      <c r="C1178" s="94"/>
      <c r="D1178" s="154">
        <v>0</v>
      </c>
      <c r="E1178" s="154">
        <v>0</v>
      </c>
      <c r="F1178" s="154">
        <v>0</v>
      </c>
      <c r="G1178" s="154">
        <v>0</v>
      </c>
      <c r="H1178" s="154">
        <v>0</v>
      </c>
      <c r="I1178" s="154">
        <v>0</v>
      </c>
      <c r="J1178" s="154">
        <v>0</v>
      </c>
      <c r="K1178" s="154">
        <v>0</v>
      </c>
      <c r="L1178" s="154">
        <v>0</v>
      </c>
      <c r="M1178" s="154">
        <v>0</v>
      </c>
      <c r="N1178" s="154">
        <v>0</v>
      </c>
      <c r="O1178" s="154">
        <v>0</v>
      </c>
      <c r="P1178" s="154">
        <v>0</v>
      </c>
      <c r="Q1178" s="154">
        <v>0</v>
      </c>
      <c r="R1178" s="154">
        <v>0</v>
      </c>
      <c r="S1178" s="154">
        <v>0</v>
      </c>
      <c r="T1178" s="154">
        <v>0</v>
      </c>
      <c r="U1178" s="154">
        <v>0</v>
      </c>
      <c r="V1178" s="154">
        <v>0</v>
      </c>
      <c r="W1178" s="154">
        <v>0</v>
      </c>
      <c r="X1178" s="154">
        <v>0</v>
      </c>
      <c r="Y1178" s="154">
        <v>0</v>
      </c>
      <c r="Z1178" s="154">
        <v>0</v>
      </c>
      <c r="AA1178" s="154">
        <v>0</v>
      </c>
      <c r="AB1178" s="154">
        <v>0</v>
      </c>
      <c r="AC1178" s="154">
        <v>0</v>
      </c>
      <c r="AD1178" s="154">
        <v>0</v>
      </c>
      <c r="AE1178" s="154">
        <v>0</v>
      </c>
      <c r="AF1178" s="154">
        <v>0</v>
      </c>
      <c r="AG1178" s="154">
        <v>0</v>
      </c>
      <c r="AH1178" s="154">
        <v>0</v>
      </c>
      <c r="AI1178" s="154">
        <v>0</v>
      </c>
      <c r="AJ1178" s="154">
        <v>0</v>
      </c>
      <c r="AK1178" s="154">
        <v>0</v>
      </c>
      <c r="AL1178" s="154">
        <v>0</v>
      </c>
      <c r="AM1178" s="154">
        <v>0</v>
      </c>
      <c r="AN1178" s="154">
        <v>0</v>
      </c>
      <c r="AO1178" s="154">
        <v>0</v>
      </c>
      <c r="AP1178" s="154">
        <v>0</v>
      </c>
      <c r="AQ1178" s="154">
        <v>0</v>
      </c>
      <c r="AR1178" s="154">
        <v>0</v>
      </c>
      <c r="AS1178" s="154">
        <v>0</v>
      </c>
      <c r="AT1178" s="154">
        <v>0</v>
      </c>
      <c r="AU1178" s="154">
        <v>0</v>
      </c>
      <c r="AV1178" s="154">
        <v>0</v>
      </c>
      <c r="AW1178" s="154">
        <v>0</v>
      </c>
      <c r="AX1178" s="154">
        <v>0</v>
      </c>
      <c r="AY1178" s="154">
        <v>0</v>
      </c>
      <c r="AZ1178" s="154">
        <v>0</v>
      </c>
      <c r="BA1178" s="154">
        <v>0</v>
      </c>
      <c r="BB1178" s="154">
        <v>0</v>
      </c>
      <c r="BC1178" s="154">
        <v>0</v>
      </c>
      <c r="BD1178" s="154">
        <v>0</v>
      </c>
      <c r="BE1178" s="154">
        <v>0</v>
      </c>
      <c r="BF1178" s="154">
        <v>0</v>
      </c>
      <c r="BG1178" s="154">
        <v>0</v>
      </c>
      <c r="BH1178" s="154">
        <v>0</v>
      </c>
      <c r="BI1178" s="154">
        <v>0</v>
      </c>
      <c r="BJ1178" s="154">
        <v>0</v>
      </c>
      <c r="BK1178" s="154">
        <v>0</v>
      </c>
      <c r="BL1178" s="154">
        <v>0</v>
      </c>
      <c r="BM1178" s="154">
        <v>0</v>
      </c>
      <c r="BN1178" s="154">
        <v>0</v>
      </c>
      <c r="BO1178" s="154">
        <v>0</v>
      </c>
      <c r="BP1178" s="154">
        <v>0</v>
      </c>
      <c r="BQ1178" s="154">
        <v>0</v>
      </c>
      <c r="BR1178" s="101"/>
      <c r="BS1178">
        <f t="shared" si="2502"/>
        <v>0</v>
      </c>
      <c r="BT1178">
        <f t="shared" si="2502"/>
        <v>0</v>
      </c>
      <c r="BU1178">
        <f t="shared" si="2502"/>
        <v>0</v>
      </c>
      <c r="BV1178">
        <f t="shared" si="2502"/>
        <v>0</v>
      </c>
      <c r="BW1178">
        <f t="shared" si="2502"/>
        <v>0</v>
      </c>
      <c r="BX1178">
        <f t="shared" si="2502"/>
        <v>0</v>
      </c>
      <c r="BY1178">
        <f t="shared" si="2502"/>
        <v>0</v>
      </c>
      <c r="BZ1178">
        <f t="shared" si="2502"/>
        <v>0</v>
      </c>
      <c r="CA1178">
        <f t="shared" si="2502"/>
        <v>0</v>
      </c>
      <c r="CB1178">
        <f t="shared" si="2502"/>
        <v>0</v>
      </c>
      <c r="CC1178">
        <f t="shared" si="2503"/>
        <v>0</v>
      </c>
      <c r="CD1178">
        <f t="shared" si="2503"/>
        <v>0</v>
      </c>
      <c r="CE1178">
        <f t="shared" si="2503"/>
        <v>0</v>
      </c>
      <c r="CF1178">
        <f t="shared" si="2503"/>
        <v>0</v>
      </c>
      <c r="CG1178">
        <f t="shared" si="2503"/>
        <v>0</v>
      </c>
      <c r="CH1178">
        <f t="shared" si="2503"/>
        <v>0</v>
      </c>
      <c r="CI1178">
        <f t="shared" si="2503"/>
        <v>0</v>
      </c>
      <c r="CJ1178">
        <f t="shared" si="2503"/>
        <v>0</v>
      </c>
      <c r="CK1178">
        <f t="shared" si="2503"/>
        <v>0</v>
      </c>
      <c r="CL1178">
        <f t="shared" si="2503"/>
        <v>0</v>
      </c>
      <c r="CM1178">
        <f t="shared" si="2504"/>
        <v>0</v>
      </c>
      <c r="CN1178">
        <f t="shared" si="2504"/>
        <v>0</v>
      </c>
      <c r="CO1178">
        <f t="shared" si="2504"/>
        <v>0</v>
      </c>
      <c r="CP1178">
        <f t="shared" si="2504"/>
        <v>0</v>
      </c>
      <c r="CQ1178">
        <f t="shared" si="2504"/>
        <v>0</v>
      </c>
      <c r="CR1178">
        <f t="shared" si="2504"/>
        <v>0</v>
      </c>
      <c r="CS1178">
        <f t="shared" si="2504"/>
        <v>0</v>
      </c>
      <c r="CT1178">
        <f t="shared" si="2504"/>
        <v>0</v>
      </c>
      <c r="CU1178">
        <f t="shared" si="2504"/>
        <v>0</v>
      </c>
      <c r="CV1178">
        <f t="shared" si="2504"/>
        <v>0</v>
      </c>
      <c r="CW1178">
        <f t="shared" si="2505"/>
        <v>0</v>
      </c>
      <c r="CX1178">
        <f t="shared" si="2505"/>
        <v>0</v>
      </c>
      <c r="CY1178">
        <f t="shared" si="2505"/>
        <v>0</v>
      </c>
      <c r="CZ1178">
        <f t="shared" si="2505"/>
        <v>0</v>
      </c>
      <c r="DA1178">
        <f t="shared" si="2505"/>
        <v>0</v>
      </c>
      <c r="DB1178">
        <f t="shared" si="2505"/>
        <v>0</v>
      </c>
      <c r="DC1178">
        <f t="shared" si="2505"/>
        <v>0</v>
      </c>
      <c r="DD1178">
        <f t="shared" si="2505"/>
        <v>0</v>
      </c>
      <c r="DE1178">
        <f t="shared" si="2505"/>
        <v>0</v>
      </c>
      <c r="DF1178">
        <f t="shared" si="2505"/>
        <v>0</v>
      </c>
      <c r="DG1178">
        <f t="shared" si="2506"/>
        <v>0</v>
      </c>
      <c r="DH1178">
        <f t="shared" si="2506"/>
        <v>0</v>
      </c>
      <c r="DI1178">
        <f t="shared" si="2506"/>
        <v>0</v>
      </c>
      <c r="DJ1178">
        <f t="shared" si="2506"/>
        <v>0</v>
      </c>
      <c r="DK1178">
        <f t="shared" si="2506"/>
        <v>0</v>
      </c>
      <c r="DL1178">
        <f t="shared" si="2506"/>
        <v>0</v>
      </c>
      <c r="DM1178">
        <f t="shared" si="2506"/>
        <v>0</v>
      </c>
      <c r="DN1178">
        <f t="shared" si="2506"/>
        <v>0</v>
      </c>
      <c r="DO1178">
        <f t="shared" si="2506"/>
        <v>0</v>
      </c>
      <c r="DP1178">
        <f t="shared" si="2506"/>
        <v>0</v>
      </c>
      <c r="DQ1178">
        <f t="shared" si="2507"/>
        <v>0</v>
      </c>
      <c r="DR1178">
        <f t="shared" si="2507"/>
        <v>0</v>
      </c>
      <c r="DS1178">
        <f t="shared" si="2507"/>
        <v>0</v>
      </c>
      <c r="DT1178">
        <f t="shared" si="2507"/>
        <v>0</v>
      </c>
      <c r="DU1178">
        <f t="shared" si="2507"/>
        <v>0</v>
      </c>
      <c r="DV1178">
        <f t="shared" si="2507"/>
        <v>0</v>
      </c>
      <c r="DW1178">
        <f t="shared" si="2507"/>
        <v>0</v>
      </c>
      <c r="DX1178">
        <f t="shared" si="2507"/>
        <v>0</v>
      </c>
      <c r="DY1178">
        <f t="shared" si="2507"/>
        <v>0</v>
      </c>
      <c r="DZ1178">
        <f t="shared" si="2507"/>
        <v>0</v>
      </c>
      <c r="EA1178">
        <f t="shared" si="2508"/>
        <v>0</v>
      </c>
      <c r="EB1178">
        <f t="shared" si="2509"/>
        <v>0</v>
      </c>
      <c r="EC1178">
        <f t="shared" si="2508"/>
        <v>0</v>
      </c>
      <c r="ED1178">
        <f t="shared" si="2508"/>
        <v>0</v>
      </c>
      <c r="EE1178">
        <f t="shared" si="2508"/>
        <v>0</v>
      </c>
      <c r="EF1178">
        <f t="shared" si="2508"/>
        <v>0</v>
      </c>
    </row>
    <row r="1179" spans="1:136" ht="15.5">
      <c r="A1179" s="90"/>
      <c r="B1179" s="19" t="s">
        <v>205</v>
      </c>
      <c r="C1179" s="94"/>
      <c r="D1179" s="154">
        <v>0</v>
      </c>
      <c r="E1179" s="154">
        <v>0</v>
      </c>
      <c r="F1179" s="154">
        <v>0</v>
      </c>
      <c r="G1179" s="154">
        <v>0</v>
      </c>
      <c r="H1179" s="154">
        <v>0</v>
      </c>
      <c r="I1179" s="154">
        <v>0</v>
      </c>
      <c r="J1179" s="154">
        <v>0</v>
      </c>
      <c r="K1179" s="154">
        <v>0</v>
      </c>
      <c r="L1179" s="154">
        <v>0</v>
      </c>
      <c r="M1179" s="154">
        <v>0</v>
      </c>
      <c r="N1179" s="154">
        <v>0</v>
      </c>
      <c r="O1179" s="154">
        <v>0</v>
      </c>
      <c r="P1179" s="154">
        <v>0</v>
      </c>
      <c r="Q1179" s="154">
        <v>0</v>
      </c>
      <c r="R1179" s="154">
        <v>0</v>
      </c>
      <c r="S1179" s="154">
        <v>0</v>
      </c>
      <c r="T1179" s="154">
        <v>0</v>
      </c>
      <c r="U1179" s="154">
        <v>0</v>
      </c>
      <c r="V1179" s="154">
        <v>0</v>
      </c>
      <c r="W1179" s="154">
        <v>0</v>
      </c>
      <c r="X1179" s="154">
        <v>0</v>
      </c>
      <c r="Y1179" s="154">
        <v>0</v>
      </c>
      <c r="Z1179" s="154">
        <v>0</v>
      </c>
      <c r="AA1179" s="154">
        <v>0</v>
      </c>
      <c r="AB1179" s="154">
        <v>0</v>
      </c>
      <c r="AC1179" s="154">
        <v>0</v>
      </c>
      <c r="AD1179" s="154">
        <v>0</v>
      </c>
      <c r="AE1179" s="154">
        <v>0</v>
      </c>
      <c r="AF1179" s="154">
        <v>0</v>
      </c>
      <c r="AG1179" s="154">
        <v>0</v>
      </c>
      <c r="AH1179" s="154">
        <v>0</v>
      </c>
      <c r="AI1179" s="154">
        <v>0</v>
      </c>
      <c r="AJ1179" s="154">
        <v>0</v>
      </c>
      <c r="AK1179" s="154">
        <v>0</v>
      </c>
      <c r="AL1179" s="154">
        <v>0</v>
      </c>
      <c r="AM1179" s="154">
        <v>0</v>
      </c>
      <c r="AN1179" s="154">
        <v>0</v>
      </c>
      <c r="AO1179" s="154">
        <v>0</v>
      </c>
      <c r="AP1179" s="154">
        <v>0</v>
      </c>
      <c r="AQ1179" s="154">
        <v>0</v>
      </c>
      <c r="AR1179" s="154">
        <v>0</v>
      </c>
      <c r="AS1179" s="154">
        <v>0</v>
      </c>
      <c r="AT1179" s="154">
        <v>0</v>
      </c>
      <c r="AU1179" s="154">
        <v>0</v>
      </c>
      <c r="AV1179" s="187" t="s">
        <v>251</v>
      </c>
      <c r="AW1179" s="154">
        <v>0</v>
      </c>
      <c r="AX1179" s="154">
        <v>0</v>
      </c>
      <c r="AY1179" s="154">
        <v>0</v>
      </c>
      <c r="AZ1179" s="154">
        <v>0</v>
      </c>
      <c r="BA1179" s="154">
        <v>0</v>
      </c>
      <c r="BB1179" s="40" t="s">
        <v>16</v>
      </c>
      <c r="BC1179" s="154">
        <v>0</v>
      </c>
      <c r="BD1179" s="154">
        <v>0</v>
      </c>
      <c r="BE1179" s="225">
        <v>0</v>
      </c>
      <c r="BF1179" s="154">
        <v>0</v>
      </c>
      <c r="BG1179" s="154">
        <v>0</v>
      </c>
      <c r="BH1179" s="154">
        <v>0</v>
      </c>
      <c r="BI1179" s="154">
        <v>0</v>
      </c>
      <c r="BJ1179" s="154">
        <v>0</v>
      </c>
      <c r="BK1179" s="154">
        <v>0</v>
      </c>
      <c r="BL1179" s="154">
        <v>0</v>
      </c>
      <c r="BM1179" s="154">
        <v>0</v>
      </c>
      <c r="BN1179" s="154">
        <v>0</v>
      </c>
      <c r="BO1179" s="154">
        <v>0</v>
      </c>
      <c r="BP1179" s="154">
        <v>0</v>
      </c>
      <c r="BQ1179" s="154">
        <v>0</v>
      </c>
      <c r="BR1179" s="101"/>
      <c r="BS1179">
        <f t="shared" si="2502"/>
        <v>0</v>
      </c>
      <c r="BT1179">
        <f t="shared" ref="BT1179:CB1179" si="2510">IF($C1179&lt;&gt;"",IF(E1179&gt;0,1,0),0)</f>
        <v>0</v>
      </c>
      <c r="BU1179">
        <f t="shared" si="2510"/>
        <v>0</v>
      </c>
      <c r="BV1179">
        <f t="shared" si="2510"/>
        <v>0</v>
      </c>
      <c r="BW1179">
        <f t="shared" si="2510"/>
        <v>0</v>
      </c>
      <c r="BX1179">
        <f t="shared" si="2510"/>
        <v>0</v>
      </c>
      <c r="BY1179">
        <f t="shared" si="2510"/>
        <v>0</v>
      </c>
      <c r="BZ1179">
        <f t="shared" si="2510"/>
        <v>0</v>
      </c>
      <c r="CA1179">
        <f t="shared" si="2510"/>
        <v>0</v>
      </c>
      <c r="CB1179">
        <f t="shared" si="2510"/>
        <v>0</v>
      </c>
      <c r="CC1179">
        <f t="shared" si="2503"/>
        <v>0</v>
      </c>
      <c r="CD1179">
        <f t="shared" si="2503"/>
        <v>0</v>
      </c>
      <c r="CE1179">
        <f t="shared" si="2503"/>
        <v>0</v>
      </c>
      <c r="CF1179">
        <f t="shared" si="2503"/>
        <v>0</v>
      </c>
      <c r="CG1179">
        <f t="shared" si="2503"/>
        <v>0</v>
      </c>
      <c r="CH1179">
        <f t="shared" si="2503"/>
        <v>0</v>
      </c>
      <c r="CI1179">
        <f t="shared" si="2503"/>
        <v>0</v>
      </c>
      <c r="CJ1179">
        <f t="shared" si="2503"/>
        <v>0</v>
      </c>
      <c r="CK1179">
        <f t="shared" si="2503"/>
        <v>0</v>
      </c>
      <c r="CL1179">
        <f t="shared" si="2503"/>
        <v>0</v>
      </c>
      <c r="CM1179">
        <f t="shared" si="2504"/>
        <v>0</v>
      </c>
      <c r="CN1179">
        <f t="shared" si="2504"/>
        <v>0</v>
      </c>
      <c r="CO1179">
        <f t="shared" si="2504"/>
        <v>0</v>
      </c>
      <c r="CP1179">
        <f t="shared" si="2504"/>
        <v>0</v>
      </c>
      <c r="CQ1179">
        <f t="shared" si="2504"/>
        <v>0</v>
      </c>
      <c r="CR1179">
        <f t="shared" si="2504"/>
        <v>0</v>
      </c>
      <c r="CS1179">
        <f t="shared" si="2504"/>
        <v>0</v>
      </c>
      <c r="CT1179">
        <f t="shared" si="2504"/>
        <v>0</v>
      </c>
      <c r="CU1179">
        <f t="shared" si="2504"/>
        <v>0</v>
      </c>
      <c r="CV1179">
        <f t="shared" si="2504"/>
        <v>0</v>
      </c>
      <c r="CW1179">
        <f t="shared" si="2505"/>
        <v>0</v>
      </c>
      <c r="CX1179">
        <f t="shared" si="2505"/>
        <v>0</v>
      </c>
      <c r="CY1179">
        <f t="shared" si="2505"/>
        <v>0</v>
      </c>
      <c r="CZ1179">
        <f t="shared" si="2505"/>
        <v>0</v>
      </c>
      <c r="DA1179">
        <f t="shared" si="2505"/>
        <v>0</v>
      </c>
      <c r="DB1179">
        <f t="shared" si="2505"/>
        <v>0</v>
      </c>
      <c r="DC1179">
        <f t="shared" si="2505"/>
        <v>0</v>
      </c>
      <c r="DD1179">
        <f t="shared" si="2505"/>
        <v>0</v>
      </c>
      <c r="DE1179">
        <f t="shared" si="2505"/>
        <v>0</v>
      </c>
      <c r="DF1179">
        <f t="shared" si="2505"/>
        <v>0</v>
      </c>
      <c r="DG1179">
        <f t="shared" si="2506"/>
        <v>0</v>
      </c>
      <c r="DH1179">
        <f t="shared" si="2506"/>
        <v>0</v>
      </c>
      <c r="DI1179">
        <f t="shared" si="2506"/>
        <v>0</v>
      </c>
      <c r="DJ1179">
        <f t="shared" si="2506"/>
        <v>0</v>
      </c>
      <c r="DK1179">
        <f t="shared" si="2506"/>
        <v>0</v>
      </c>
      <c r="DL1179">
        <f t="shared" si="2506"/>
        <v>0</v>
      </c>
      <c r="DM1179">
        <f t="shared" si="2506"/>
        <v>0</v>
      </c>
      <c r="DN1179">
        <f t="shared" si="2506"/>
        <v>0</v>
      </c>
      <c r="DO1179">
        <f t="shared" si="2506"/>
        <v>0</v>
      </c>
      <c r="DP1179">
        <f t="shared" si="2506"/>
        <v>0</v>
      </c>
      <c r="DQ1179">
        <f t="shared" si="2507"/>
        <v>0</v>
      </c>
      <c r="DR1179">
        <f t="shared" si="2507"/>
        <v>0</v>
      </c>
      <c r="DS1179">
        <f t="shared" si="2507"/>
        <v>0</v>
      </c>
      <c r="DT1179">
        <f t="shared" si="2507"/>
        <v>0</v>
      </c>
      <c r="DU1179">
        <f t="shared" si="2507"/>
        <v>0</v>
      </c>
      <c r="DV1179">
        <f t="shared" si="2507"/>
        <v>0</v>
      </c>
      <c r="DW1179">
        <f t="shared" si="2507"/>
        <v>0</v>
      </c>
      <c r="DX1179">
        <f t="shared" si="2507"/>
        <v>0</v>
      </c>
      <c r="DY1179">
        <f t="shared" si="2507"/>
        <v>0</v>
      </c>
      <c r="DZ1179">
        <f t="shared" si="2507"/>
        <v>0</v>
      </c>
      <c r="EA1179">
        <f t="shared" si="2508"/>
        <v>0</v>
      </c>
      <c r="EB1179">
        <f t="shared" si="2509"/>
        <v>0</v>
      </c>
      <c r="EC1179">
        <f t="shared" si="2508"/>
        <v>0</v>
      </c>
      <c r="ED1179">
        <f t="shared" si="2508"/>
        <v>0</v>
      </c>
      <c r="EE1179">
        <f t="shared" si="2508"/>
        <v>0</v>
      </c>
      <c r="EF1179">
        <f t="shared" si="2508"/>
        <v>0</v>
      </c>
    </row>
    <row r="1180" spans="1:136" ht="15.5">
      <c r="A1180" s="90"/>
      <c r="B1180" s="57" t="s">
        <v>3</v>
      </c>
      <c r="C1180" s="94"/>
      <c r="D1180" s="18">
        <v>0</v>
      </c>
      <c r="E1180" s="18">
        <v>0</v>
      </c>
      <c r="F1180" s="18">
        <v>0</v>
      </c>
      <c r="G1180" s="18">
        <v>0</v>
      </c>
      <c r="H1180" s="18">
        <v>0</v>
      </c>
      <c r="I1180" s="18">
        <v>0</v>
      </c>
      <c r="J1180" s="18">
        <v>0</v>
      </c>
      <c r="K1180" s="18">
        <v>0</v>
      </c>
      <c r="L1180" s="18">
        <v>0</v>
      </c>
      <c r="M1180" s="18">
        <v>0</v>
      </c>
      <c r="N1180" s="18">
        <v>2.83</v>
      </c>
      <c r="O1180" s="18">
        <v>4.5250000000000004</v>
      </c>
      <c r="P1180" s="18">
        <v>4.7530000000000001</v>
      </c>
      <c r="Q1180" s="18">
        <v>5.3379999999999992</v>
      </c>
      <c r="R1180" s="18">
        <v>5.6680000000000001</v>
      </c>
      <c r="S1180" s="18">
        <v>5.7240000000000002</v>
      </c>
      <c r="T1180" s="18">
        <v>5.1870000000000003</v>
      </c>
      <c r="U1180" s="18">
        <v>5.569</v>
      </c>
      <c r="V1180" s="18">
        <v>6.5060000000000002</v>
      </c>
      <c r="W1180" s="18">
        <v>6.5190000000000001</v>
      </c>
      <c r="X1180" s="18">
        <v>5.9219999999999997</v>
      </c>
      <c r="Y1180" s="18">
        <v>4.4850000000000003</v>
      </c>
      <c r="Z1180" s="18">
        <v>3.871</v>
      </c>
      <c r="AA1180" s="18">
        <v>6.383</v>
      </c>
      <c r="AB1180" s="18">
        <v>2.823</v>
      </c>
      <c r="AC1180" s="18">
        <v>12.858000000000001</v>
      </c>
      <c r="AD1180" s="18">
        <v>15.603</v>
      </c>
      <c r="AE1180" s="18">
        <v>0.59899999999999998</v>
      </c>
      <c r="AF1180" s="18">
        <v>0</v>
      </c>
      <c r="AG1180" s="18">
        <v>5.5650000000000004</v>
      </c>
      <c r="AH1180" s="18">
        <v>14.762</v>
      </c>
      <c r="AI1180" s="18">
        <v>51.057000000000002</v>
      </c>
      <c r="AJ1180" s="18">
        <v>11.596</v>
      </c>
      <c r="AK1180" s="18">
        <v>3.2040000000000002</v>
      </c>
      <c r="AL1180" s="18">
        <v>16.199000000000002</v>
      </c>
      <c r="AM1180" s="18">
        <v>0.49099999999999999</v>
      </c>
      <c r="AN1180" s="18">
        <v>0.191</v>
      </c>
      <c r="AO1180" s="18">
        <v>0</v>
      </c>
      <c r="AP1180" s="18">
        <v>0</v>
      </c>
      <c r="AQ1180" s="18">
        <v>0</v>
      </c>
      <c r="AR1180" s="18">
        <v>0</v>
      </c>
      <c r="AS1180" s="18">
        <v>0</v>
      </c>
      <c r="AT1180" s="18">
        <v>0</v>
      </c>
      <c r="AU1180" s="18">
        <v>0</v>
      </c>
      <c r="AV1180" s="18">
        <v>0</v>
      </c>
      <c r="AW1180" s="18">
        <v>0</v>
      </c>
      <c r="AX1180" s="18">
        <v>0</v>
      </c>
      <c r="AY1180" s="18">
        <v>0</v>
      </c>
      <c r="AZ1180" s="18">
        <v>0</v>
      </c>
      <c r="BA1180" s="18">
        <v>0</v>
      </c>
      <c r="BB1180" s="18">
        <v>0</v>
      </c>
      <c r="BC1180" s="18">
        <v>0</v>
      </c>
      <c r="BD1180" s="18">
        <v>0</v>
      </c>
      <c r="BE1180" s="25">
        <v>5.4984717000000005</v>
      </c>
      <c r="BF1180" s="18">
        <v>2.4197012999999998</v>
      </c>
      <c r="BG1180" s="18">
        <v>0.27</v>
      </c>
      <c r="BH1180" s="113">
        <v>0</v>
      </c>
      <c r="BI1180" s="113">
        <v>0</v>
      </c>
      <c r="BJ1180" s="113">
        <v>0</v>
      </c>
      <c r="BK1180" s="113">
        <v>0</v>
      </c>
      <c r="BL1180" s="113">
        <v>0</v>
      </c>
      <c r="BM1180" s="113">
        <v>0</v>
      </c>
      <c r="BN1180" s="154">
        <v>0</v>
      </c>
      <c r="BO1180" s="154">
        <v>0</v>
      </c>
      <c r="BP1180" s="154">
        <v>0</v>
      </c>
      <c r="BQ1180" s="154">
        <v>0</v>
      </c>
      <c r="BR1180" s="101"/>
      <c r="BS1180">
        <f t="shared" si="2502"/>
        <v>0</v>
      </c>
      <c r="BT1180">
        <f t="shared" si="2502"/>
        <v>0</v>
      </c>
      <c r="BU1180">
        <f t="shared" si="2502"/>
        <v>0</v>
      </c>
      <c r="BV1180">
        <f t="shared" si="2502"/>
        <v>0</v>
      </c>
      <c r="BW1180">
        <f t="shared" si="2502"/>
        <v>0</v>
      </c>
      <c r="BX1180">
        <f t="shared" si="2502"/>
        <v>0</v>
      </c>
      <c r="BY1180">
        <f t="shared" si="2502"/>
        <v>0</v>
      </c>
      <c r="BZ1180">
        <f t="shared" si="2502"/>
        <v>0</v>
      </c>
      <c r="CA1180">
        <f t="shared" si="2502"/>
        <v>0</v>
      </c>
      <c r="CB1180">
        <f t="shared" si="2502"/>
        <v>0</v>
      </c>
      <c r="CC1180">
        <f t="shared" si="2503"/>
        <v>0</v>
      </c>
      <c r="CD1180">
        <f t="shared" si="2503"/>
        <v>0</v>
      </c>
      <c r="CE1180">
        <f t="shared" si="2503"/>
        <v>0</v>
      </c>
      <c r="CF1180">
        <f t="shared" si="2503"/>
        <v>0</v>
      </c>
      <c r="CG1180">
        <f t="shared" si="2503"/>
        <v>0</v>
      </c>
      <c r="CH1180">
        <f t="shared" si="2503"/>
        <v>0</v>
      </c>
      <c r="CI1180">
        <f t="shared" si="2503"/>
        <v>0</v>
      </c>
      <c r="CJ1180">
        <f t="shared" si="2503"/>
        <v>0</v>
      </c>
      <c r="CK1180">
        <f t="shared" si="2503"/>
        <v>0</v>
      </c>
      <c r="CL1180">
        <f t="shared" si="2503"/>
        <v>0</v>
      </c>
      <c r="CM1180">
        <f t="shared" si="2504"/>
        <v>0</v>
      </c>
      <c r="CN1180">
        <f t="shared" si="2504"/>
        <v>0</v>
      </c>
      <c r="CO1180">
        <f t="shared" si="2504"/>
        <v>0</v>
      </c>
      <c r="CP1180">
        <f t="shared" si="2504"/>
        <v>0</v>
      </c>
      <c r="CQ1180">
        <f t="shared" si="2504"/>
        <v>0</v>
      </c>
      <c r="CR1180">
        <f t="shared" si="2504"/>
        <v>0</v>
      </c>
      <c r="CS1180">
        <f t="shared" si="2504"/>
        <v>0</v>
      </c>
      <c r="CT1180">
        <f t="shared" si="2504"/>
        <v>0</v>
      </c>
      <c r="CU1180">
        <f t="shared" si="2504"/>
        <v>0</v>
      </c>
      <c r="CV1180">
        <f t="shared" si="2504"/>
        <v>0</v>
      </c>
      <c r="CW1180">
        <f t="shared" si="2505"/>
        <v>0</v>
      </c>
      <c r="CX1180">
        <f t="shared" si="2505"/>
        <v>0</v>
      </c>
      <c r="CY1180">
        <f t="shared" si="2505"/>
        <v>0</v>
      </c>
      <c r="CZ1180">
        <f t="shared" si="2505"/>
        <v>0</v>
      </c>
      <c r="DA1180">
        <f t="shared" si="2505"/>
        <v>0</v>
      </c>
      <c r="DB1180">
        <f t="shared" si="2505"/>
        <v>0</v>
      </c>
      <c r="DC1180">
        <f t="shared" si="2505"/>
        <v>0</v>
      </c>
      <c r="DD1180">
        <f t="shared" si="2505"/>
        <v>0</v>
      </c>
      <c r="DE1180">
        <f t="shared" si="2505"/>
        <v>0</v>
      </c>
      <c r="DF1180">
        <f t="shared" si="2505"/>
        <v>0</v>
      </c>
      <c r="DG1180">
        <f t="shared" si="2506"/>
        <v>0</v>
      </c>
      <c r="DH1180">
        <f t="shared" si="2506"/>
        <v>0</v>
      </c>
      <c r="DI1180">
        <f t="shared" si="2506"/>
        <v>0</v>
      </c>
      <c r="DJ1180">
        <f t="shared" si="2506"/>
        <v>0</v>
      </c>
      <c r="DK1180">
        <f t="shared" si="2506"/>
        <v>0</v>
      </c>
      <c r="DL1180">
        <f t="shared" si="2506"/>
        <v>0</v>
      </c>
      <c r="DM1180">
        <f t="shared" si="2506"/>
        <v>0</v>
      </c>
      <c r="DN1180">
        <f t="shared" si="2506"/>
        <v>0</v>
      </c>
      <c r="DO1180">
        <f t="shared" si="2506"/>
        <v>0</v>
      </c>
      <c r="DP1180">
        <f t="shared" si="2506"/>
        <v>0</v>
      </c>
      <c r="DQ1180">
        <f t="shared" si="2507"/>
        <v>0</v>
      </c>
      <c r="DR1180">
        <f t="shared" si="2507"/>
        <v>0</v>
      </c>
      <c r="DS1180">
        <f t="shared" si="2507"/>
        <v>0</v>
      </c>
      <c r="DT1180">
        <f t="shared" si="2507"/>
        <v>0</v>
      </c>
      <c r="DU1180">
        <f t="shared" si="2507"/>
        <v>0</v>
      </c>
      <c r="DV1180">
        <f t="shared" si="2507"/>
        <v>0</v>
      </c>
      <c r="DW1180">
        <f t="shared" si="2507"/>
        <v>0</v>
      </c>
      <c r="DX1180">
        <f t="shared" si="2507"/>
        <v>0</v>
      </c>
      <c r="DY1180">
        <f t="shared" si="2507"/>
        <v>0</v>
      </c>
      <c r="DZ1180">
        <f t="shared" si="2507"/>
        <v>0</v>
      </c>
      <c r="EA1180">
        <f t="shared" si="2508"/>
        <v>0</v>
      </c>
      <c r="EB1180">
        <f t="shared" si="2509"/>
        <v>0</v>
      </c>
      <c r="EC1180">
        <f t="shared" si="2508"/>
        <v>0</v>
      </c>
      <c r="ED1180">
        <f t="shared" si="2508"/>
        <v>0</v>
      </c>
      <c r="EE1180">
        <f t="shared" si="2508"/>
        <v>0</v>
      </c>
      <c r="EF1180">
        <f t="shared" si="2508"/>
        <v>0</v>
      </c>
    </row>
    <row r="1181" spans="1:136" ht="15.5">
      <c r="A1181" s="90"/>
      <c r="B1181" s="57" t="s">
        <v>25</v>
      </c>
      <c r="C1181" s="94"/>
      <c r="D1181" s="18">
        <v>0</v>
      </c>
      <c r="E1181" s="18">
        <v>0</v>
      </c>
      <c r="F1181" s="18">
        <v>0</v>
      </c>
      <c r="G1181" s="18">
        <v>0</v>
      </c>
      <c r="H1181" s="18">
        <v>0</v>
      </c>
      <c r="I1181" s="18">
        <v>0</v>
      </c>
      <c r="J1181" s="18">
        <v>0</v>
      </c>
      <c r="K1181" s="18">
        <v>0</v>
      </c>
      <c r="L1181" s="18">
        <v>0</v>
      </c>
      <c r="M1181" s="18">
        <v>0</v>
      </c>
      <c r="N1181" s="18">
        <v>0</v>
      </c>
      <c r="O1181" s="18">
        <v>0</v>
      </c>
      <c r="P1181" s="18">
        <v>0</v>
      </c>
      <c r="Q1181" s="18">
        <v>0</v>
      </c>
      <c r="R1181" s="18">
        <v>0</v>
      </c>
      <c r="S1181" s="18">
        <v>0</v>
      </c>
      <c r="T1181" s="18">
        <v>0</v>
      </c>
      <c r="U1181" s="18">
        <v>0</v>
      </c>
      <c r="V1181" s="18">
        <v>0</v>
      </c>
      <c r="W1181" s="18">
        <v>0</v>
      </c>
      <c r="X1181" s="18">
        <v>0</v>
      </c>
      <c r="Y1181" s="18">
        <v>0</v>
      </c>
      <c r="Z1181" s="18">
        <v>0</v>
      </c>
      <c r="AA1181" s="18">
        <v>0</v>
      </c>
      <c r="AB1181" s="18">
        <v>0</v>
      </c>
      <c r="AC1181" s="18">
        <v>0</v>
      </c>
      <c r="AD1181" s="18">
        <v>0</v>
      </c>
      <c r="AE1181" s="18">
        <v>0</v>
      </c>
      <c r="AF1181" s="18">
        <v>0</v>
      </c>
      <c r="AG1181" s="18">
        <v>0</v>
      </c>
      <c r="AH1181" s="18">
        <v>0</v>
      </c>
      <c r="AI1181" s="18">
        <v>0</v>
      </c>
      <c r="AJ1181" s="18">
        <v>0</v>
      </c>
      <c r="AK1181" s="18">
        <v>0</v>
      </c>
      <c r="AL1181" s="18">
        <v>0</v>
      </c>
      <c r="AM1181" s="18">
        <v>0</v>
      </c>
      <c r="AN1181" s="18">
        <v>0</v>
      </c>
      <c r="AO1181" s="18">
        <v>0</v>
      </c>
      <c r="AP1181" s="18">
        <v>0</v>
      </c>
      <c r="AQ1181" s="18">
        <v>0</v>
      </c>
      <c r="AR1181" s="18">
        <v>0</v>
      </c>
      <c r="AS1181" s="18">
        <v>0</v>
      </c>
      <c r="AT1181" s="18">
        <v>0</v>
      </c>
      <c r="AU1181" s="18">
        <v>0</v>
      </c>
      <c r="AV1181" s="18">
        <v>0</v>
      </c>
      <c r="AW1181" s="18">
        <v>0</v>
      </c>
      <c r="AX1181" s="18">
        <v>0</v>
      </c>
      <c r="AY1181" s="18">
        <v>0</v>
      </c>
      <c r="AZ1181" s="18">
        <v>0</v>
      </c>
      <c r="BA1181" s="18">
        <v>0</v>
      </c>
      <c r="BB1181" s="18">
        <v>0</v>
      </c>
      <c r="BC1181" s="18">
        <v>0</v>
      </c>
      <c r="BD1181" s="18">
        <v>0</v>
      </c>
      <c r="BE1181" s="25">
        <v>0</v>
      </c>
      <c r="BF1181" s="18">
        <v>0</v>
      </c>
      <c r="BG1181" s="18">
        <v>0</v>
      </c>
      <c r="BH1181" s="113">
        <v>0</v>
      </c>
      <c r="BI1181" s="113">
        <v>0</v>
      </c>
      <c r="BJ1181" s="113">
        <v>0</v>
      </c>
      <c r="BK1181" s="113">
        <v>0</v>
      </c>
      <c r="BL1181" s="113">
        <v>0</v>
      </c>
      <c r="BM1181" s="113">
        <v>0</v>
      </c>
      <c r="BN1181" s="154">
        <v>0</v>
      </c>
      <c r="BO1181" s="154">
        <v>0</v>
      </c>
      <c r="BP1181" s="154">
        <v>0</v>
      </c>
      <c r="BQ1181" s="154">
        <v>0</v>
      </c>
      <c r="BR1181" s="101"/>
      <c r="BS1181">
        <f t="shared" si="2502"/>
        <v>0</v>
      </c>
      <c r="BT1181">
        <f t="shared" si="2502"/>
        <v>0</v>
      </c>
      <c r="BU1181">
        <f t="shared" si="2502"/>
        <v>0</v>
      </c>
      <c r="BV1181">
        <f t="shared" si="2502"/>
        <v>0</v>
      </c>
      <c r="BW1181">
        <f t="shared" si="2502"/>
        <v>0</v>
      </c>
      <c r="BX1181">
        <f t="shared" si="2502"/>
        <v>0</v>
      </c>
      <c r="BY1181">
        <f t="shared" si="2502"/>
        <v>0</v>
      </c>
      <c r="BZ1181">
        <f t="shared" si="2502"/>
        <v>0</v>
      </c>
      <c r="CA1181">
        <f t="shared" si="2502"/>
        <v>0</v>
      </c>
      <c r="CB1181">
        <f t="shared" si="2502"/>
        <v>0</v>
      </c>
      <c r="CC1181">
        <f t="shared" si="2503"/>
        <v>0</v>
      </c>
      <c r="CD1181">
        <f t="shared" si="2503"/>
        <v>0</v>
      </c>
      <c r="CE1181">
        <f t="shared" si="2503"/>
        <v>0</v>
      </c>
      <c r="CF1181">
        <f t="shared" si="2503"/>
        <v>0</v>
      </c>
      <c r="CG1181">
        <f t="shared" si="2503"/>
        <v>0</v>
      </c>
      <c r="CH1181">
        <f t="shared" si="2503"/>
        <v>0</v>
      </c>
      <c r="CI1181">
        <f t="shared" si="2503"/>
        <v>0</v>
      </c>
      <c r="CJ1181">
        <f t="shared" si="2503"/>
        <v>0</v>
      </c>
      <c r="CK1181">
        <f t="shared" si="2503"/>
        <v>0</v>
      </c>
      <c r="CL1181">
        <f t="shared" si="2503"/>
        <v>0</v>
      </c>
      <c r="CM1181">
        <f t="shared" si="2504"/>
        <v>0</v>
      </c>
      <c r="CN1181">
        <f t="shared" si="2504"/>
        <v>0</v>
      </c>
      <c r="CO1181">
        <f t="shared" si="2504"/>
        <v>0</v>
      </c>
      <c r="CP1181">
        <f t="shared" si="2504"/>
        <v>0</v>
      </c>
      <c r="CQ1181">
        <f t="shared" si="2504"/>
        <v>0</v>
      </c>
      <c r="CR1181">
        <f t="shared" si="2504"/>
        <v>0</v>
      </c>
      <c r="CS1181">
        <f t="shared" si="2504"/>
        <v>0</v>
      </c>
      <c r="CT1181">
        <f t="shared" si="2504"/>
        <v>0</v>
      </c>
      <c r="CU1181">
        <f t="shared" si="2504"/>
        <v>0</v>
      </c>
      <c r="CV1181">
        <f t="shared" si="2504"/>
        <v>0</v>
      </c>
      <c r="CW1181">
        <f t="shared" si="2505"/>
        <v>0</v>
      </c>
      <c r="CX1181">
        <f t="shared" si="2505"/>
        <v>0</v>
      </c>
      <c r="CY1181">
        <f t="shared" si="2505"/>
        <v>0</v>
      </c>
      <c r="CZ1181">
        <f t="shared" si="2505"/>
        <v>0</v>
      </c>
      <c r="DA1181">
        <f t="shared" si="2505"/>
        <v>0</v>
      </c>
      <c r="DB1181">
        <f t="shared" si="2505"/>
        <v>0</v>
      </c>
      <c r="DC1181">
        <f t="shared" si="2505"/>
        <v>0</v>
      </c>
      <c r="DD1181">
        <f t="shared" si="2505"/>
        <v>0</v>
      </c>
      <c r="DE1181">
        <f t="shared" si="2505"/>
        <v>0</v>
      </c>
      <c r="DF1181">
        <f t="shared" si="2505"/>
        <v>0</v>
      </c>
      <c r="DG1181">
        <f t="shared" si="2506"/>
        <v>0</v>
      </c>
      <c r="DH1181">
        <f t="shared" si="2506"/>
        <v>0</v>
      </c>
      <c r="DI1181">
        <f t="shared" si="2506"/>
        <v>0</v>
      </c>
      <c r="DJ1181">
        <f t="shared" si="2506"/>
        <v>0</v>
      </c>
      <c r="DK1181">
        <f t="shared" si="2506"/>
        <v>0</v>
      </c>
      <c r="DL1181">
        <f t="shared" si="2506"/>
        <v>0</v>
      </c>
      <c r="DM1181">
        <f t="shared" si="2506"/>
        <v>0</v>
      </c>
      <c r="DN1181">
        <f t="shared" si="2506"/>
        <v>0</v>
      </c>
      <c r="DO1181">
        <f t="shared" si="2506"/>
        <v>0</v>
      </c>
      <c r="DP1181">
        <f t="shared" si="2506"/>
        <v>0</v>
      </c>
      <c r="DQ1181">
        <f t="shared" si="2507"/>
        <v>0</v>
      </c>
      <c r="DR1181">
        <f t="shared" si="2507"/>
        <v>0</v>
      </c>
      <c r="DS1181">
        <f t="shared" si="2507"/>
        <v>0</v>
      </c>
      <c r="DT1181">
        <f t="shared" si="2507"/>
        <v>0</v>
      </c>
      <c r="DU1181">
        <f t="shared" si="2507"/>
        <v>0</v>
      </c>
      <c r="DV1181">
        <f t="shared" si="2507"/>
        <v>0</v>
      </c>
      <c r="DW1181">
        <f t="shared" si="2507"/>
        <v>0</v>
      </c>
      <c r="DX1181">
        <f t="shared" si="2507"/>
        <v>0</v>
      </c>
      <c r="DY1181">
        <f t="shared" si="2507"/>
        <v>0</v>
      </c>
      <c r="DZ1181">
        <f t="shared" si="2507"/>
        <v>0</v>
      </c>
      <c r="EA1181">
        <f t="shared" si="2508"/>
        <v>0</v>
      </c>
      <c r="EB1181">
        <f t="shared" si="2509"/>
        <v>0</v>
      </c>
      <c r="EC1181">
        <f t="shared" si="2508"/>
        <v>0</v>
      </c>
      <c r="ED1181">
        <f t="shared" si="2508"/>
        <v>0</v>
      </c>
      <c r="EE1181">
        <f t="shared" si="2508"/>
        <v>0</v>
      </c>
      <c r="EF1181">
        <f t="shared" si="2508"/>
        <v>0</v>
      </c>
    </row>
    <row r="1182" spans="1:136" ht="15.5">
      <c r="A1182" s="90"/>
      <c r="B1182" s="19" t="s">
        <v>208</v>
      </c>
      <c r="C1182" s="94"/>
      <c r="D1182" s="18">
        <v>0</v>
      </c>
      <c r="E1182" s="18">
        <v>0</v>
      </c>
      <c r="F1182" s="18">
        <v>0</v>
      </c>
      <c r="G1182" s="18">
        <v>0</v>
      </c>
      <c r="H1182" s="18">
        <v>0</v>
      </c>
      <c r="I1182" s="18">
        <v>0</v>
      </c>
      <c r="J1182" s="18">
        <v>0</v>
      </c>
      <c r="K1182" s="18">
        <v>0</v>
      </c>
      <c r="L1182" s="18">
        <v>0</v>
      </c>
      <c r="M1182" s="18">
        <v>0</v>
      </c>
      <c r="N1182" s="18">
        <v>0</v>
      </c>
      <c r="O1182" s="18">
        <v>0</v>
      </c>
      <c r="P1182" s="18">
        <v>0</v>
      </c>
      <c r="Q1182" s="18">
        <v>0</v>
      </c>
      <c r="R1182" s="18">
        <v>5.7999999999999996E-2</v>
      </c>
      <c r="S1182" s="18">
        <v>5.6999999999999995E-2</v>
      </c>
      <c r="T1182" s="18">
        <v>3.5999999999999997E-2</v>
      </c>
      <c r="U1182" s="18">
        <v>0.13600000000000001</v>
      </c>
      <c r="V1182" s="18">
        <v>0.36399999999999999</v>
      </c>
      <c r="W1182" s="18">
        <v>0.192</v>
      </c>
      <c r="X1182" s="18">
        <v>0.20699999999999999</v>
      </c>
      <c r="Y1182" s="18">
        <v>0.11</v>
      </c>
      <c r="Z1182" s="18">
        <v>0.19</v>
      </c>
      <c r="AA1182" s="18">
        <v>0.23</v>
      </c>
      <c r="AB1182" s="18">
        <v>0.36899999999999999</v>
      </c>
      <c r="AC1182" s="18">
        <v>4.0609999999999999</v>
      </c>
      <c r="AD1182" s="18">
        <v>5.75</v>
      </c>
      <c r="AE1182" s="18">
        <v>4.6859999999999999</v>
      </c>
      <c r="AF1182" s="18">
        <v>0</v>
      </c>
      <c r="AG1182" s="18">
        <v>0.74099999999999999</v>
      </c>
      <c r="AH1182" s="18">
        <v>7.33</v>
      </c>
      <c r="AI1182" s="18">
        <v>31.198999999999998</v>
      </c>
      <c r="AJ1182" s="18">
        <v>2.0329999999999999</v>
      </c>
      <c r="AK1182" s="18">
        <v>0</v>
      </c>
      <c r="AL1182" s="18">
        <v>0.246</v>
      </c>
      <c r="AM1182" s="18">
        <v>0.246</v>
      </c>
      <c r="AN1182" s="18">
        <v>0</v>
      </c>
      <c r="AO1182" s="18">
        <v>0</v>
      </c>
      <c r="AP1182" s="18">
        <v>0</v>
      </c>
      <c r="AQ1182" s="18">
        <v>0</v>
      </c>
      <c r="AR1182" s="18">
        <v>0</v>
      </c>
      <c r="AS1182" s="18">
        <v>0</v>
      </c>
      <c r="AT1182" s="18">
        <v>0</v>
      </c>
      <c r="AU1182" s="18">
        <v>0</v>
      </c>
      <c r="AV1182" s="18">
        <v>0</v>
      </c>
      <c r="AW1182" s="18">
        <v>0</v>
      </c>
      <c r="AX1182" s="18">
        <v>0</v>
      </c>
      <c r="AY1182" s="18">
        <v>0</v>
      </c>
      <c r="AZ1182" s="18">
        <v>0</v>
      </c>
      <c r="BA1182" s="18">
        <v>0</v>
      </c>
      <c r="BB1182" s="18">
        <v>0</v>
      </c>
      <c r="BC1182" s="18">
        <v>0</v>
      </c>
      <c r="BD1182" s="18">
        <v>0</v>
      </c>
      <c r="BE1182" s="25">
        <v>0</v>
      </c>
      <c r="BF1182" s="18">
        <v>0</v>
      </c>
      <c r="BG1182" s="18">
        <v>0</v>
      </c>
      <c r="BH1182" s="113">
        <v>0</v>
      </c>
      <c r="BI1182" s="113">
        <v>0</v>
      </c>
      <c r="BJ1182" s="113">
        <v>0</v>
      </c>
      <c r="BK1182" s="113">
        <v>0</v>
      </c>
      <c r="BL1182" s="113">
        <v>0</v>
      </c>
      <c r="BM1182" s="113">
        <v>0</v>
      </c>
      <c r="BN1182" s="154">
        <v>0</v>
      </c>
      <c r="BO1182" s="154">
        <v>0</v>
      </c>
      <c r="BP1182" s="154">
        <v>0</v>
      </c>
      <c r="BQ1182" s="154">
        <v>0</v>
      </c>
      <c r="BR1182" s="101"/>
      <c r="BS1182">
        <f t="shared" si="2502"/>
        <v>0</v>
      </c>
      <c r="BT1182">
        <f t="shared" si="2502"/>
        <v>0</v>
      </c>
      <c r="BU1182">
        <f t="shared" si="2502"/>
        <v>0</v>
      </c>
      <c r="BV1182">
        <f t="shared" si="2502"/>
        <v>0</v>
      </c>
      <c r="BW1182">
        <f t="shared" si="2502"/>
        <v>0</v>
      </c>
      <c r="BX1182">
        <f t="shared" si="2502"/>
        <v>0</v>
      </c>
      <c r="BY1182">
        <f t="shared" si="2502"/>
        <v>0</v>
      </c>
      <c r="BZ1182">
        <f t="shared" si="2502"/>
        <v>0</v>
      </c>
      <c r="CA1182">
        <f t="shared" si="2502"/>
        <v>0</v>
      </c>
      <c r="CB1182">
        <f t="shared" si="2502"/>
        <v>0</v>
      </c>
      <c r="CC1182">
        <f t="shared" si="2503"/>
        <v>0</v>
      </c>
      <c r="CD1182">
        <f t="shared" si="2503"/>
        <v>0</v>
      </c>
      <c r="CE1182">
        <f t="shared" si="2503"/>
        <v>0</v>
      </c>
      <c r="CF1182">
        <f t="shared" si="2503"/>
        <v>0</v>
      </c>
      <c r="CG1182">
        <f t="shared" si="2503"/>
        <v>0</v>
      </c>
      <c r="CH1182">
        <f t="shared" si="2503"/>
        <v>0</v>
      </c>
      <c r="CI1182">
        <f t="shared" si="2503"/>
        <v>0</v>
      </c>
      <c r="CJ1182">
        <f t="shared" si="2503"/>
        <v>0</v>
      </c>
      <c r="CK1182">
        <f t="shared" si="2503"/>
        <v>0</v>
      </c>
      <c r="CL1182">
        <f t="shared" si="2503"/>
        <v>0</v>
      </c>
      <c r="CM1182">
        <f t="shared" si="2504"/>
        <v>0</v>
      </c>
      <c r="CN1182">
        <f t="shared" si="2504"/>
        <v>0</v>
      </c>
      <c r="CO1182">
        <f t="shared" si="2504"/>
        <v>0</v>
      </c>
      <c r="CP1182">
        <f t="shared" si="2504"/>
        <v>0</v>
      </c>
      <c r="CQ1182">
        <f t="shared" si="2504"/>
        <v>0</v>
      </c>
      <c r="CR1182">
        <f t="shared" si="2504"/>
        <v>0</v>
      </c>
      <c r="CS1182">
        <f t="shared" si="2504"/>
        <v>0</v>
      </c>
      <c r="CT1182">
        <f t="shared" si="2504"/>
        <v>0</v>
      </c>
      <c r="CU1182">
        <f t="shared" si="2504"/>
        <v>0</v>
      </c>
      <c r="CV1182">
        <f t="shared" si="2504"/>
        <v>0</v>
      </c>
      <c r="CW1182">
        <f t="shared" si="2505"/>
        <v>0</v>
      </c>
      <c r="CX1182">
        <f t="shared" si="2505"/>
        <v>0</v>
      </c>
      <c r="CY1182">
        <f t="shared" si="2505"/>
        <v>0</v>
      </c>
      <c r="CZ1182">
        <f t="shared" si="2505"/>
        <v>0</v>
      </c>
      <c r="DA1182">
        <f t="shared" si="2505"/>
        <v>0</v>
      </c>
      <c r="DB1182">
        <f t="shared" si="2505"/>
        <v>0</v>
      </c>
      <c r="DC1182">
        <f t="shared" si="2505"/>
        <v>0</v>
      </c>
      <c r="DD1182">
        <f t="shared" si="2505"/>
        <v>0</v>
      </c>
      <c r="DE1182">
        <f t="shared" si="2505"/>
        <v>0</v>
      </c>
      <c r="DF1182">
        <f t="shared" si="2505"/>
        <v>0</v>
      </c>
      <c r="DG1182">
        <f t="shared" si="2506"/>
        <v>0</v>
      </c>
      <c r="DH1182">
        <f t="shared" si="2506"/>
        <v>0</v>
      </c>
      <c r="DI1182">
        <f t="shared" si="2506"/>
        <v>0</v>
      </c>
      <c r="DJ1182">
        <f t="shared" si="2506"/>
        <v>0</v>
      </c>
      <c r="DK1182">
        <f t="shared" si="2506"/>
        <v>0</v>
      </c>
      <c r="DL1182">
        <f t="shared" si="2506"/>
        <v>0</v>
      </c>
      <c r="DM1182">
        <f t="shared" si="2506"/>
        <v>0</v>
      </c>
      <c r="DN1182">
        <f t="shared" si="2506"/>
        <v>0</v>
      </c>
      <c r="DO1182">
        <f t="shared" si="2506"/>
        <v>0</v>
      </c>
      <c r="DP1182">
        <f t="shared" si="2506"/>
        <v>0</v>
      </c>
      <c r="DQ1182">
        <f t="shared" si="2507"/>
        <v>0</v>
      </c>
      <c r="DR1182">
        <f t="shared" si="2507"/>
        <v>0</v>
      </c>
      <c r="DS1182">
        <f t="shared" si="2507"/>
        <v>0</v>
      </c>
      <c r="DT1182">
        <f t="shared" si="2507"/>
        <v>0</v>
      </c>
      <c r="DU1182">
        <f t="shared" si="2507"/>
        <v>0</v>
      </c>
      <c r="DV1182">
        <f t="shared" si="2507"/>
        <v>0</v>
      </c>
      <c r="DW1182">
        <f t="shared" si="2507"/>
        <v>0</v>
      </c>
      <c r="DX1182">
        <f t="shared" si="2507"/>
        <v>0</v>
      </c>
      <c r="DY1182">
        <f t="shared" si="2507"/>
        <v>0</v>
      </c>
      <c r="DZ1182">
        <f t="shared" si="2507"/>
        <v>0</v>
      </c>
      <c r="EA1182">
        <f t="shared" si="2508"/>
        <v>0</v>
      </c>
      <c r="EB1182">
        <f t="shared" si="2509"/>
        <v>0</v>
      </c>
      <c r="EC1182">
        <f t="shared" si="2508"/>
        <v>0</v>
      </c>
      <c r="ED1182">
        <f t="shared" si="2508"/>
        <v>0</v>
      </c>
      <c r="EE1182">
        <f t="shared" si="2508"/>
        <v>0</v>
      </c>
      <c r="EF1182">
        <f t="shared" si="2508"/>
        <v>0</v>
      </c>
    </row>
    <row r="1183" spans="1:136" ht="15.5">
      <c r="A1183" s="90"/>
      <c r="B1183" s="53" t="s">
        <v>212</v>
      </c>
      <c r="C1183" s="94"/>
      <c r="D1183" s="18"/>
      <c r="E1183" s="18"/>
      <c r="F1183" s="18"/>
      <c r="G1183" s="18"/>
      <c r="H1183" s="18"/>
      <c r="I1183" s="18"/>
      <c r="J1183" s="18"/>
      <c r="K1183" s="18"/>
      <c r="L1183" s="18"/>
      <c r="M1183" s="18"/>
      <c r="N1183" s="18"/>
      <c r="O1183" s="18"/>
      <c r="P1183" s="18"/>
      <c r="Q1183" s="18"/>
      <c r="R1183" s="18"/>
      <c r="S1183" s="18"/>
      <c r="T1183" s="18"/>
      <c r="U1183" s="18"/>
      <c r="V1183" s="18"/>
      <c r="W1183" s="18"/>
      <c r="X1183" s="18"/>
      <c r="Y1183" s="18"/>
      <c r="Z1183" s="18"/>
      <c r="AA1183" s="18"/>
      <c r="AB1183" s="18"/>
      <c r="AC1183" s="18"/>
      <c r="AD1183" s="18"/>
      <c r="AE1183" s="18"/>
      <c r="AF1183" s="18"/>
      <c r="AG1183" s="18"/>
      <c r="AH1183" s="18">
        <v>0</v>
      </c>
      <c r="AI1183" s="18">
        <v>0</v>
      </c>
      <c r="AJ1183" s="18">
        <v>0</v>
      </c>
      <c r="AK1183" s="18">
        <v>88</v>
      </c>
      <c r="AL1183" s="18">
        <v>181.1881188118812</v>
      </c>
      <c r="AM1183" s="18">
        <v>355.78947368421052</v>
      </c>
      <c r="AN1183" s="18">
        <v>659.79381443298973</v>
      </c>
      <c r="AO1183" s="18">
        <v>504.50450450450444</v>
      </c>
      <c r="AP1183" s="18">
        <v>0</v>
      </c>
      <c r="AQ1183" s="18">
        <v>0</v>
      </c>
      <c r="AR1183" s="18">
        <v>0</v>
      </c>
      <c r="AS1183" s="18">
        <v>0</v>
      </c>
      <c r="AT1183" s="18">
        <v>0</v>
      </c>
      <c r="AU1183" s="18">
        <v>0</v>
      </c>
      <c r="AV1183" s="18">
        <v>0</v>
      </c>
      <c r="AW1183" s="18">
        <v>0</v>
      </c>
      <c r="AX1183" s="18">
        <v>0</v>
      </c>
      <c r="AY1183" s="18">
        <v>0</v>
      </c>
      <c r="AZ1183" s="18">
        <v>2079.8507462686566</v>
      </c>
      <c r="BA1183" s="18">
        <v>3272.3076923076924</v>
      </c>
      <c r="BB1183" s="18">
        <v>3805.5555555555557</v>
      </c>
      <c r="BC1183" s="18">
        <v>3922.1476510067114</v>
      </c>
      <c r="BD1183" s="18">
        <v>3444.5161290322599</v>
      </c>
      <c r="BE1183" s="25">
        <v>2484.7560975609758</v>
      </c>
      <c r="BF1183" s="18">
        <v>3334.9462365591398</v>
      </c>
      <c r="BG1183" s="18">
        <v>2979.1044776119406</v>
      </c>
      <c r="BH1183" s="154">
        <f>5542/2.31</f>
        <v>2399.1341991341992</v>
      </c>
      <c r="BI1183" s="201">
        <f>5542/2.45</f>
        <v>2262.0408163265306</v>
      </c>
      <c r="BJ1183" s="154">
        <f>6653/2.95</f>
        <v>2255.2542372881353</v>
      </c>
      <c r="BK1183" s="154">
        <f>7484/2.8</f>
        <v>2672.8571428571431</v>
      </c>
      <c r="BL1183" s="154">
        <f>7584/2.69</f>
        <v>2819.3308550185875</v>
      </c>
      <c r="BM1183" s="154">
        <f>7634/2.88</f>
        <v>2650.6944444444443</v>
      </c>
      <c r="BN1183" s="154">
        <f>7399/3.11</f>
        <v>2379.0996784565918</v>
      </c>
      <c r="BO1183" s="168">
        <f>7136/3.09</f>
        <v>2309.3851132686086</v>
      </c>
      <c r="BP1183" s="113">
        <v>2280</v>
      </c>
      <c r="BQ1183" s="113">
        <v>2400</v>
      </c>
      <c r="BR1183" s="101"/>
      <c r="BS1183">
        <f t="shared" si="2502"/>
        <v>0</v>
      </c>
      <c r="BT1183">
        <f t="shared" si="2502"/>
        <v>0</v>
      </c>
      <c r="BU1183">
        <f t="shared" si="2502"/>
        <v>0</v>
      </c>
      <c r="BV1183">
        <f t="shared" si="2502"/>
        <v>0</v>
      </c>
      <c r="BW1183">
        <f t="shared" si="2502"/>
        <v>0</v>
      </c>
      <c r="BX1183">
        <f t="shared" si="2502"/>
        <v>0</v>
      </c>
      <c r="BY1183">
        <f t="shared" si="2502"/>
        <v>0</v>
      </c>
      <c r="BZ1183">
        <f t="shared" si="2502"/>
        <v>0</v>
      </c>
      <c r="CA1183">
        <f t="shared" si="2502"/>
        <v>0</v>
      </c>
      <c r="CB1183">
        <f t="shared" si="2502"/>
        <v>0</v>
      </c>
      <c r="CC1183">
        <f t="shared" si="2503"/>
        <v>0</v>
      </c>
      <c r="CD1183">
        <f t="shared" si="2503"/>
        <v>0</v>
      </c>
      <c r="CE1183">
        <f t="shared" si="2503"/>
        <v>0</v>
      </c>
      <c r="CF1183">
        <f t="shared" si="2503"/>
        <v>0</v>
      </c>
      <c r="CG1183">
        <f t="shared" si="2503"/>
        <v>0</v>
      </c>
      <c r="CH1183">
        <f t="shared" si="2503"/>
        <v>0</v>
      </c>
      <c r="CI1183">
        <f t="shared" si="2503"/>
        <v>0</v>
      </c>
      <c r="CJ1183">
        <f t="shared" si="2503"/>
        <v>0</v>
      </c>
      <c r="CK1183">
        <f t="shared" si="2503"/>
        <v>0</v>
      </c>
      <c r="CL1183">
        <f t="shared" si="2503"/>
        <v>0</v>
      </c>
      <c r="CM1183">
        <f t="shared" si="2504"/>
        <v>0</v>
      </c>
      <c r="CN1183">
        <f t="shared" si="2504"/>
        <v>0</v>
      </c>
      <c r="CO1183">
        <f t="shared" si="2504"/>
        <v>0</v>
      </c>
      <c r="CP1183">
        <f t="shared" si="2504"/>
        <v>0</v>
      </c>
      <c r="CQ1183">
        <f t="shared" si="2504"/>
        <v>0</v>
      </c>
      <c r="CR1183">
        <f t="shared" si="2504"/>
        <v>0</v>
      </c>
      <c r="CS1183">
        <f t="shared" si="2504"/>
        <v>0</v>
      </c>
      <c r="CT1183">
        <f t="shared" si="2504"/>
        <v>0</v>
      </c>
      <c r="CU1183">
        <f t="shared" si="2504"/>
        <v>0</v>
      </c>
      <c r="CV1183">
        <f t="shared" si="2504"/>
        <v>0</v>
      </c>
      <c r="CW1183">
        <f t="shared" si="2505"/>
        <v>0</v>
      </c>
      <c r="CX1183">
        <f t="shared" si="2505"/>
        <v>0</v>
      </c>
      <c r="CY1183">
        <f t="shared" si="2505"/>
        <v>0</v>
      </c>
      <c r="CZ1183">
        <f t="shared" si="2505"/>
        <v>0</v>
      </c>
      <c r="DA1183">
        <f t="shared" si="2505"/>
        <v>0</v>
      </c>
      <c r="DB1183">
        <f t="shared" si="2505"/>
        <v>0</v>
      </c>
      <c r="DC1183">
        <f t="shared" si="2505"/>
        <v>0</v>
      </c>
      <c r="DD1183">
        <f t="shared" si="2505"/>
        <v>0</v>
      </c>
      <c r="DE1183">
        <f t="shared" si="2505"/>
        <v>0</v>
      </c>
      <c r="DF1183">
        <f t="shared" si="2505"/>
        <v>0</v>
      </c>
      <c r="DG1183">
        <f t="shared" si="2506"/>
        <v>0</v>
      </c>
      <c r="DH1183">
        <f t="shared" si="2506"/>
        <v>0</v>
      </c>
      <c r="DI1183">
        <f t="shared" si="2506"/>
        <v>0</v>
      </c>
      <c r="DJ1183">
        <f t="shared" si="2506"/>
        <v>0</v>
      </c>
      <c r="DK1183">
        <f t="shared" si="2506"/>
        <v>0</v>
      </c>
      <c r="DL1183">
        <f t="shared" si="2506"/>
        <v>0</v>
      </c>
      <c r="DM1183">
        <f t="shared" si="2506"/>
        <v>0</v>
      </c>
      <c r="DN1183">
        <f t="shared" si="2506"/>
        <v>0</v>
      </c>
      <c r="DO1183">
        <f t="shared" si="2506"/>
        <v>0</v>
      </c>
      <c r="DP1183">
        <f t="shared" si="2506"/>
        <v>0</v>
      </c>
      <c r="DQ1183">
        <f t="shared" si="2507"/>
        <v>0</v>
      </c>
      <c r="DR1183">
        <f t="shared" si="2507"/>
        <v>0</v>
      </c>
      <c r="DS1183">
        <f t="shared" si="2507"/>
        <v>0</v>
      </c>
      <c r="DT1183">
        <f t="shared" si="2507"/>
        <v>0</v>
      </c>
      <c r="DU1183">
        <f t="shared" si="2507"/>
        <v>0</v>
      </c>
      <c r="DV1183">
        <f t="shared" si="2507"/>
        <v>0</v>
      </c>
      <c r="DW1183">
        <f t="shared" si="2507"/>
        <v>0</v>
      </c>
      <c r="DX1183">
        <f t="shared" si="2507"/>
        <v>0</v>
      </c>
      <c r="DY1183">
        <f t="shared" si="2507"/>
        <v>0</v>
      </c>
      <c r="DZ1183">
        <f t="shared" si="2507"/>
        <v>0</v>
      </c>
      <c r="EA1183">
        <f t="shared" si="2508"/>
        <v>0</v>
      </c>
      <c r="EB1183">
        <f t="shared" si="2509"/>
        <v>0</v>
      </c>
      <c r="EC1183">
        <f t="shared" si="2508"/>
        <v>0</v>
      </c>
      <c r="ED1183">
        <f t="shared" si="2508"/>
        <v>0</v>
      </c>
      <c r="EE1183">
        <f t="shared" si="2508"/>
        <v>0</v>
      </c>
      <c r="EF1183">
        <f t="shared" si="2508"/>
        <v>0</v>
      </c>
    </row>
    <row r="1184" spans="1:136" ht="15.5">
      <c r="A1184" s="90"/>
      <c r="B1184" s="37"/>
      <c r="C1184" s="95"/>
      <c r="D1184" s="31"/>
      <c r="E1184" s="31"/>
      <c r="F1184" s="31"/>
      <c r="G1184" s="31"/>
      <c r="H1184" s="31"/>
      <c r="I1184" s="31"/>
      <c r="J1184" s="31"/>
      <c r="K1184" s="31"/>
      <c r="L1184" s="31"/>
      <c r="M1184" s="31"/>
      <c r="N1184" s="31"/>
      <c r="O1184" s="31"/>
      <c r="P1184" s="31"/>
      <c r="Q1184" s="31"/>
      <c r="R1184" s="31"/>
      <c r="S1184" s="31"/>
      <c r="T1184" s="31"/>
      <c r="U1184" s="31"/>
      <c r="V1184" s="31"/>
      <c r="W1184" s="31"/>
      <c r="X1184" s="31"/>
      <c r="Y1184" s="31"/>
      <c r="Z1184" s="31"/>
      <c r="AA1184" s="31"/>
      <c r="AB1184" s="31"/>
      <c r="AC1184" s="31"/>
      <c r="AD1184" s="31"/>
      <c r="AE1184" s="31"/>
      <c r="AF1184" s="31"/>
      <c r="AG1184" s="31"/>
      <c r="AH1184" s="31"/>
      <c r="AI1184" s="31"/>
      <c r="AJ1184" s="31"/>
      <c r="AK1184" s="31"/>
      <c r="AL1184" s="31"/>
      <c r="AM1184" s="31"/>
      <c r="AN1184" s="31"/>
      <c r="AO1184" s="31"/>
      <c r="AP1184" s="31"/>
      <c r="AQ1184" s="31"/>
      <c r="AR1184" s="31"/>
      <c r="AS1184" s="31"/>
      <c r="AT1184" s="31"/>
      <c r="AU1184" s="31"/>
      <c r="AV1184" s="31"/>
      <c r="AW1184" s="31"/>
      <c r="AX1184" s="31"/>
      <c r="AY1184" s="31"/>
      <c r="AZ1184" s="31"/>
      <c r="BA1184" s="31"/>
      <c r="BB1184" s="31"/>
      <c r="BC1184" s="31"/>
      <c r="BD1184" s="31"/>
      <c r="BE1184" s="55"/>
      <c r="BF1184" s="18"/>
      <c r="BG1184" s="31"/>
      <c r="BH1184" s="113"/>
      <c r="BI1184" s="2"/>
      <c r="BJ1184" s="2"/>
      <c r="BK1184" s="2"/>
      <c r="BL1184" s="4"/>
      <c r="BM1184" s="2"/>
      <c r="BN1184" s="2"/>
      <c r="BO1184" s="2"/>
      <c r="BP1184" s="2"/>
      <c r="BQ1184" s="2"/>
      <c r="BR1184" s="101"/>
    </row>
    <row r="1185" spans="1:136" ht="15.5">
      <c r="A1185" s="93">
        <v>150</v>
      </c>
      <c r="B1185" s="52" t="s">
        <v>148</v>
      </c>
      <c r="C1185" s="95">
        <v>3</v>
      </c>
      <c r="D1185" s="9">
        <f t="shared" ref="D1185:AI1185" si="2511">SUM(D1186:D1190)</f>
        <v>0</v>
      </c>
      <c r="E1185" s="9">
        <f t="shared" si="2511"/>
        <v>0</v>
      </c>
      <c r="F1185" s="9">
        <f t="shared" si="2511"/>
        <v>0</v>
      </c>
      <c r="G1185" s="9">
        <f t="shared" si="2511"/>
        <v>0</v>
      </c>
      <c r="H1185" s="9">
        <f t="shared" si="2511"/>
        <v>0</v>
      </c>
      <c r="I1185" s="9">
        <f t="shared" si="2511"/>
        <v>220</v>
      </c>
      <c r="J1185" s="9">
        <f t="shared" si="2511"/>
        <v>0</v>
      </c>
      <c r="K1185" s="9">
        <f t="shared" si="2511"/>
        <v>0</v>
      </c>
      <c r="L1185" s="9">
        <f t="shared" si="2511"/>
        <v>0</v>
      </c>
      <c r="M1185" s="9">
        <f t="shared" si="2511"/>
        <v>0</v>
      </c>
      <c r="N1185" s="9">
        <f t="shared" si="2511"/>
        <v>75</v>
      </c>
      <c r="O1185" s="9">
        <f t="shared" si="2511"/>
        <v>0.52</v>
      </c>
      <c r="P1185" s="9">
        <f t="shared" si="2511"/>
        <v>0</v>
      </c>
      <c r="Q1185" s="9">
        <f t="shared" si="2511"/>
        <v>0</v>
      </c>
      <c r="R1185" s="9">
        <f t="shared" si="2511"/>
        <v>0</v>
      </c>
      <c r="S1185" s="9">
        <f t="shared" si="2511"/>
        <v>0</v>
      </c>
      <c r="T1185" s="9">
        <f t="shared" si="2511"/>
        <v>0</v>
      </c>
      <c r="U1185" s="9">
        <f t="shared" si="2511"/>
        <v>0.21</v>
      </c>
      <c r="V1185" s="9">
        <f t="shared" si="2511"/>
        <v>3300.37</v>
      </c>
      <c r="W1185" s="9">
        <f t="shared" si="2511"/>
        <v>4064.45</v>
      </c>
      <c r="X1185" s="9">
        <f t="shared" si="2511"/>
        <v>3033.9500000000003</v>
      </c>
      <c r="Y1185" s="9">
        <f t="shared" si="2511"/>
        <v>130.34</v>
      </c>
      <c r="Z1185" s="9">
        <f t="shared" si="2511"/>
        <v>2925.41</v>
      </c>
      <c r="AA1185" s="9">
        <f t="shared" si="2511"/>
        <v>23.539999999999996</v>
      </c>
      <c r="AB1185" s="9">
        <f t="shared" si="2511"/>
        <v>21.529999999999998</v>
      </c>
      <c r="AC1185" s="9">
        <f t="shared" si="2511"/>
        <v>0</v>
      </c>
      <c r="AD1185" s="9">
        <f t="shared" si="2511"/>
        <v>0</v>
      </c>
      <c r="AE1185" s="9">
        <f t="shared" si="2511"/>
        <v>0</v>
      </c>
      <c r="AF1185" s="9">
        <f t="shared" si="2511"/>
        <v>0</v>
      </c>
      <c r="AG1185" s="9">
        <f t="shared" si="2511"/>
        <v>0</v>
      </c>
      <c r="AH1185" s="9">
        <f t="shared" si="2511"/>
        <v>0</v>
      </c>
      <c r="AI1185" s="9">
        <f t="shared" si="2511"/>
        <v>0</v>
      </c>
      <c r="AJ1185" s="9">
        <f t="shared" ref="AJ1185:BO1185" si="2512">SUM(AJ1186:AJ1190)</f>
        <v>0</v>
      </c>
      <c r="AK1185" s="9">
        <f t="shared" si="2512"/>
        <v>0</v>
      </c>
      <c r="AL1185" s="9">
        <f t="shared" si="2512"/>
        <v>0</v>
      </c>
      <c r="AM1185" s="9">
        <f t="shared" si="2512"/>
        <v>0</v>
      </c>
      <c r="AN1185" s="9">
        <f t="shared" si="2512"/>
        <v>0</v>
      </c>
      <c r="AO1185" s="9">
        <f t="shared" si="2512"/>
        <v>0</v>
      </c>
      <c r="AP1185" s="9">
        <f t="shared" si="2512"/>
        <v>0</v>
      </c>
      <c r="AQ1185" s="9">
        <f t="shared" si="2512"/>
        <v>48280</v>
      </c>
      <c r="AR1185" s="9">
        <f t="shared" si="2512"/>
        <v>0</v>
      </c>
      <c r="AS1185" s="9">
        <f t="shared" si="2512"/>
        <v>0</v>
      </c>
      <c r="AT1185" s="9">
        <f t="shared" si="2512"/>
        <v>0</v>
      </c>
      <c r="AU1185" s="9">
        <f t="shared" si="2512"/>
        <v>0</v>
      </c>
      <c r="AV1185" s="9">
        <f t="shared" si="2512"/>
        <v>0</v>
      </c>
      <c r="AW1185" s="9">
        <f t="shared" si="2512"/>
        <v>0</v>
      </c>
      <c r="AX1185" s="9">
        <f t="shared" si="2512"/>
        <v>0</v>
      </c>
      <c r="AY1185" s="9">
        <f t="shared" si="2512"/>
        <v>0</v>
      </c>
      <c r="AZ1185" s="9">
        <f t="shared" si="2512"/>
        <v>0</v>
      </c>
      <c r="BA1185" s="9">
        <f t="shared" si="2512"/>
        <v>0</v>
      </c>
      <c r="BB1185" s="9">
        <f t="shared" si="2512"/>
        <v>0</v>
      </c>
      <c r="BC1185" s="9">
        <f t="shared" si="2512"/>
        <v>13.6135669</v>
      </c>
      <c r="BD1185" s="9">
        <f t="shared" si="2512"/>
        <v>0</v>
      </c>
      <c r="BE1185" s="9">
        <f t="shared" si="2512"/>
        <v>0</v>
      </c>
      <c r="BF1185" s="9">
        <f t="shared" si="2512"/>
        <v>0</v>
      </c>
      <c r="BG1185" s="9">
        <f t="shared" si="2512"/>
        <v>0</v>
      </c>
      <c r="BH1185" s="9">
        <f t="shared" si="2512"/>
        <v>0</v>
      </c>
      <c r="BI1185" s="9">
        <f t="shared" si="2512"/>
        <v>563</v>
      </c>
      <c r="BJ1185" s="9">
        <f t="shared" si="2512"/>
        <v>0</v>
      </c>
      <c r="BK1185" s="9">
        <f t="shared" si="2512"/>
        <v>0</v>
      </c>
      <c r="BL1185" s="9">
        <f t="shared" si="2512"/>
        <v>0.13566170000000002</v>
      </c>
      <c r="BM1185" s="9">
        <f t="shared" si="2512"/>
        <v>0</v>
      </c>
      <c r="BN1185" s="9">
        <f t="shared" si="2512"/>
        <v>0</v>
      </c>
      <c r="BO1185" s="9">
        <f t="shared" si="2512"/>
        <v>0</v>
      </c>
      <c r="BP1185" s="9">
        <f>SUM(BP1186:BP1190)</f>
        <v>0</v>
      </c>
      <c r="BQ1185" s="9">
        <f>SUM(BQ1186:BQ1190)</f>
        <v>0</v>
      </c>
      <c r="BR1185" s="101"/>
      <c r="BS1185">
        <f t="shared" ref="BS1185:CX1185" si="2513">IF($C1185&lt;&gt;"",IF(D1185&gt;0,1,0),0)</f>
        <v>0</v>
      </c>
      <c r="BT1185">
        <f t="shared" si="2513"/>
        <v>0</v>
      </c>
      <c r="BU1185">
        <f t="shared" si="2513"/>
        <v>0</v>
      </c>
      <c r="BV1185">
        <f t="shared" si="2513"/>
        <v>0</v>
      </c>
      <c r="BW1185">
        <f t="shared" si="2513"/>
        <v>0</v>
      </c>
      <c r="BX1185">
        <f t="shared" si="2513"/>
        <v>1</v>
      </c>
      <c r="BY1185">
        <f t="shared" si="2513"/>
        <v>0</v>
      </c>
      <c r="BZ1185">
        <f t="shared" si="2513"/>
        <v>0</v>
      </c>
      <c r="CA1185">
        <f t="shared" si="2513"/>
        <v>0</v>
      </c>
      <c r="CB1185">
        <f t="shared" si="2513"/>
        <v>0</v>
      </c>
      <c r="CC1185">
        <f t="shared" si="2513"/>
        <v>1</v>
      </c>
      <c r="CD1185">
        <f t="shared" si="2513"/>
        <v>1</v>
      </c>
      <c r="CE1185">
        <f t="shared" si="2513"/>
        <v>0</v>
      </c>
      <c r="CF1185">
        <f t="shared" si="2513"/>
        <v>0</v>
      </c>
      <c r="CG1185">
        <f t="shared" si="2513"/>
        <v>0</v>
      </c>
      <c r="CH1185">
        <f t="shared" si="2513"/>
        <v>0</v>
      </c>
      <c r="CI1185">
        <f t="shared" si="2513"/>
        <v>0</v>
      </c>
      <c r="CJ1185">
        <f t="shared" si="2513"/>
        <v>1</v>
      </c>
      <c r="CK1185">
        <f t="shared" si="2513"/>
        <v>1</v>
      </c>
      <c r="CL1185">
        <f t="shared" si="2513"/>
        <v>1</v>
      </c>
      <c r="CM1185">
        <f t="shared" si="2513"/>
        <v>1</v>
      </c>
      <c r="CN1185">
        <f t="shared" si="2513"/>
        <v>1</v>
      </c>
      <c r="CO1185">
        <f t="shared" si="2513"/>
        <v>1</v>
      </c>
      <c r="CP1185">
        <f t="shared" si="2513"/>
        <v>1</v>
      </c>
      <c r="CQ1185">
        <f t="shared" si="2513"/>
        <v>1</v>
      </c>
      <c r="CR1185">
        <f t="shared" si="2513"/>
        <v>0</v>
      </c>
      <c r="CS1185">
        <f t="shared" si="2513"/>
        <v>0</v>
      </c>
      <c r="CT1185">
        <f t="shared" si="2513"/>
        <v>0</v>
      </c>
      <c r="CU1185">
        <f t="shared" si="2513"/>
        <v>0</v>
      </c>
      <c r="CV1185">
        <f t="shared" si="2513"/>
        <v>0</v>
      </c>
      <c r="CW1185">
        <f t="shared" si="2513"/>
        <v>0</v>
      </c>
      <c r="CX1185">
        <f t="shared" si="2513"/>
        <v>0</v>
      </c>
      <c r="CY1185">
        <f t="shared" ref="CY1185:EF1185" si="2514">IF($C1185&lt;&gt;"",IF(AJ1185&gt;0,1,0),0)</f>
        <v>0</v>
      </c>
      <c r="CZ1185">
        <f t="shared" si="2514"/>
        <v>0</v>
      </c>
      <c r="DA1185">
        <f t="shared" si="2514"/>
        <v>0</v>
      </c>
      <c r="DB1185">
        <f t="shared" si="2514"/>
        <v>0</v>
      </c>
      <c r="DC1185">
        <f t="shared" si="2514"/>
        <v>0</v>
      </c>
      <c r="DD1185">
        <f t="shared" si="2514"/>
        <v>0</v>
      </c>
      <c r="DE1185">
        <f t="shared" si="2514"/>
        <v>0</v>
      </c>
      <c r="DF1185">
        <f t="shared" si="2514"/>
        <v>1</v>
      </c>
      <c r="DG1185">
        <f t="shared" si="2514"/>
        <v>0</v>
      </c>
      <c r="DH1185">
        <f t="shared" si="2514"/>
        <v>0</v>
      </c>
      <c r="DI1185">
        <f t="shared" si="2514"/>
        <v>0</v>
      </c>
      <c r="DJ1185">
        <f t="shared" si="2514"/>
        <v>0</v>
      </c>
      <c r="DK1185">
        <f t="shared" si="2514"/>
        <v>0</v>
      </c>
      <c r="DL1185">
        <f t="shared" si="2514"/>
        <v>0</v>
      </c>
      <c r="DM1185">
        <f t="shared" si="2514"/>
        <v>0</v>
      </c>
      <c r="DN1185">
        <f t="shared" si="2514"/>
        <v>0</v>
      </c>
      <c r="DO1185">
        <f t="shared" si="2514"/>
        <v>0</v>
      </c>
      <c r="DP1185">
        <f t="shared" si="2514"/>
        <v>0</v>
      </c>
      <c r="DQ1185">
        <f t="shared" si="2514"/>
        <v>0</v>
      </c>
      <c r="DR1185">
        <f t="shared" si="2514"/>
        <v>1</v>
      </c>
      <c r="DS1185">
        <f t="shared" si="2514"/>
        <v>0</v>
      </c>
      <c r="DT1185">
        <f t="shared" si="2514"/>
        <v>0</v>
      </c>
      <c r="DU1185">
        <f t="shared" si="2514"/>
        <v>0</v>
      </c>
      <c r="DV1185">
        <f t="shared" si="2514"/>
        <v>0</v>
      </c>
      <c r="DW1185">
        <f t="shared" si="2514"/>
        <v>0</v>
      </c>
      <c r="DX1185">
        <f t="shared" si="2514"/>
        <v>1</v>
      </c>
      <c r="DY1185">
        <f t="shared" si="2514"/>
        <v>0</v>
      </c>
      <c r="DZ1185">
        <f t="shared" si="2514"/>
        <v>0</v>
      </c>
      <c r="EA1185">
        <f t="shared" si="2514"/>
        <v>1</v>
      </c>
      <c r="EB1185">
        <f>IF($C1185&lt;&gt;"",IF(BM1185&gt;0,1,0),0)</f>
        <v>0</v>
      </c>
      <c r="EC1185">
        <f t="shared" si="2514"/>
        <v>0</v>
      </c>
      <c r="ED1185">
        <f t="shared" si="2514"/>
        <v>0</v>
      </c>
      <c r="EE1185">
        <f t="shared" si="2514"/>
        <v>0</v>
      </c>
      <c r="EF1185">
        <f t="shared" si="2514"/>
        <v>0</v>
      </c>
    </row>
    <row r="1186" spans="1:136" ht="15.5">
      <c r="A1186" s="90"/>
      <c r="B1186" s="19" t="s">
        <v>2</v>
      </c>
      <c r="C1186" s="95"/>
      <c r="D1186" s="18">
        <v>0</v>
      </c>
      <c r="E1186" s="18">
        <v>0</v>
      </c>
      <c r="F1186" s="18">
        <v>0</v>
      </c>
      <c r="G1186" s="18">
        <v>0</v>
      </c>
      <c r="H1186" s="18">
        <v>0</v>
      </c>
      <c r="I1186" s="18">
        <v>0</v>
      </c>
      <c r="J1186" s="18">
        <v>0</v>
      </c>
      <c r="K1186" s="18">
        <v>0</v>
      </c>
      <c r="L1186" s="18">
        <v>0</v>
      </c>
      <c r="M1186" s="18">
        <v>0</v>
      </c>
      <c r="N1186" s="18">
        <v>0</v>
      </c>
      <c r="O1186" s="18">
        <v>0</v>
      </c>
      <c r="P1186" s="18">
        <v>0</v>
      </c>
      <c r="Q1186" s="18">
        <v>0</v>
      </c>
      <c r="R1186" s="18">
        <v>0</v>
      </c>
      <c r="S1186" s="18">
        <v>0</v>
      </c>
      <c r="T1186" s="60">
        <v>0</v>
      </c>
      <c r="U1186" s="40" t="s">
        <v>16</v>
      </c>
      <c r="V1186" s="34">
        <v>1300</v>
      </c>
      <c r="W1186" s="34">
        <v>1200</v>
      </c>
      <c r="X1186" s="34">
        <v>3000</v>
      </c>
      <c r="Y1186" s="60">
        <v>0</v>
      </c>
      <c r="Z1186" s="60">
        <v>0</v>
      </c>
      <c r="AA1186" s="60">
        <v>0</v>
      </c>
      <c r="AB1186" s="60">
        <v>0</v>
      </c>
      <c r="AC1186" s="60">
        <v>0</v>
      </c>
      <c r="AD1186" s="60">
        <v>0</v>
      </c>
      <c r="AE1186" s="60">
        <v>0</v>
      </c>
      <c r="AF1186" s="60">
        <v>0</v>
      </c>
      <c r="AG1186" s="60">
        <v>0</v>
      </c>
      <c r="AH1186" s="60">
        <v>0</v>
      </c>
      <c r="AI1186" s="60">
        <v>0</v>
      </c>
      <c r="AJ1186" s="60">
        <v>0</v>
      </c>
      <c r="AK1186" s="60">
        <v>0</v>
      </c>
      <c r="AL1186" s="60">
        <v>0</v>
      </c>
      <c r="AM1186" s="60">
        <v>0</v>
      </c>
      <c r="AN1186" s="60">
        <v>0</v>
      </c>
      <c r="AO1186" s="60">
        <v>0</v>
      </c>
      <c r="AP1186" s="60">
        <v>0</v>
      </c>
      <c r="AQ1186" s="60">
        <v>0</v>
      </c>
      <c r="AR1186" s="60">
        <v>0</v>
      </c>
      <c r="AS1186" s="60">
        <v>0</v>
      </c>
      <c r="AT1186" s="60">
        <v>0</v>
      </c>
      <c r="AU1186" s="60">
        <v>0</v>
      </c>
      <c r="AV1186" s="60">
        <v>0</v>
      </c>
      <c r="AW1186" s="60">
        <v>0</v>
      </c>
      <c r="AX1186" s="60">
        <v>0</v>
      </c>
      <c r="AY1186" s="60">
        <v>0</v>
      </c>
      <c r="AZ1186" s="60">
        <v>0</v>
      </c>
      <c r="BA1186" s="60">
        <v>0</v>
      </c>
      <c r="BB1186" s="60">
        <v>0</v>
      </c>
      <c r="BC1186" s="60">
        <v>0</v>
      </c>
      <c r="BD1186" s="60">
        <v>0</v>
      </c>
      <c r="BE1186" s="60">
        <v>0</v>
      </c>
      <c r="BF1186" s="60">
        <v>0</v>
      </c>
      <c r="BG1186" s="60">
        <v>0</v>
      </c>
      <c r="BH1186" s="60">
        <v>0</v>
      </c>
      <c r="BI1186" s="60">
        <v>0</v>
      </c>
      <c r="BJ1186" s="113">
        <v>0</v>
      </c>
      <c r="BK1186" s="113">
        <v>0</v>
      </c>
      <c r="BL1186" s="113">
        <v>0</v>
      </c>
      <c r="BM1186" s="113">
        <v>0</v>
      </c>
      <c r="BN1186" s="113">
        <v>0</v>
      </c>
      <c r="BO1186" s="113">
        <v>0</v>
      </c>
      <c r="BP1186" s="113">
        <v>0</v>
      </c>
      <c r="BQ1186" s="113">
        <v>0</v>
      </c>
      <c r="BR1186" s="101"/>
      <c r="BS1186">
        <f t="shared" ref="BS1186:CB1190" si="2515">IF($C1186&lt;&gt;"",IF(D1186&gt;0,1,0),0)</f>
        <v>0</v>
      </c>
      <c r="BT1186">
        <f t="shared" si="2515"/>
        <v>0</v>
      </c>
      <c r="BU1186">
        <f t="shared" si="2515"/>
        <v>0</v>
      </c>
      <c r="BV1186">
        <f t="shared" si="2515"/>
        <v>0</v>
      </c>
      <c r="BW1186">
        <f t="shared" si="2515"/>
        <v>0</v>
      </c>
      <c r="BX1186">
        <f t="shared" si="2515"/>
        <v>0</v>
      </c>
      <c r="BY1186">
        <f t="shared" si="2515"/>
        <v>0</v>
      </c>
      <c r="BZ1186">
        <f t="shared" si="2515"/>
        <v>0</v>
      </c>
      <c r="CA1186">
        <f t="shared" si="2515"/>
        <v>0</v>
      </c>
      <c r="CB1186">
        <f t="shared" si="2515"/>
        <v>0</v>
      </c>
      <c r="CC1186">
        <f t="shared" ref="CC1186:CL1190" si="2516">IF($C1186&lt;&gt;"",IF(N1186&gt;0,1,0),0)</f>
        <v>0</v>
      </c>
      <c r="CD1186">
        <f t="shared" si="2516"/>
        <v>0</v>
      </c>
      <c r="CE1186">
        <f t="shared" si="2516"/>
        <v>0</v>
      </c>
      <c r="CF1186">
        <f t="shared" si="2516"/>
        <v>0</v>
      </c>
      <c r="CG1186">
        <f t="shared" si="2516"/>
        <v>0</v>
      </c>
      <c r="CH1186">
        <f t="shared" si="2516"/>
        <v>0</v>
      </c>
      <c r="CI1186">
        <f t="shared" si="2516"/>
        <v>0</v>
      </c>
      <c r="CJ1186">
        <f t="shared" si="2516"/>
        <v>0</v>
      </c>
      <c r="CK1186">
        <f t="shared" si="2516"/>
        <v>0</v>
      </c>
      <c r="CL1186">
        <f t="shared" si="2516"/>
        <v>0</v>
      </c>
      <c r="CM1186">
        <f t="shared" ref="CM1186:CV1190" si="2517">IF($C1186&lt;&gt;"",IF(X1186&gt;0,1,0),0)</f>
        <v>0</v>
      </c>
      <c r="CN1186">
        <f t="shared" si="2517"/>
        <v>0</v>
      </c>
      <c r="CO1186">
        <f t="shared" si="2517"/>
        <v>0</v>
      </c>
      <c r="CP1186">
        <f t="shared" si="2517"/>
        <v>0</v>
      </c>
      <c r="CQ1186">
        <f t="shared" si="2517"/>
        <v>0</v>
      </c>
      <c r="CR1186">
        <f t="shared" si="2517"/>
        <v>0</v>
      </c>
      <c r="CS1186">
        <f t="shared" si="2517"/>
        <v>0</v>
      </c>
      <c r="CT1186">
        <f t="shared" si="2517"/>
        <v>0</v>
      </c>
      <c r="CU1186">
        <f t="shared" si="2517"/>
        <v>0</v>
      </c>
      <c r="CV1186">
        <f t="shared" si="2517"/>
        <v>0</v>
      </c>
      <c r="CW1186">
        <f t="shared" ref="CW1186:DF1190" si="2518">IF($C1186&lt;&gt;"",IF(AH1186&gt;0,1,0),0)</f>
        <v>0</v>
      </c>
      <c r="CX1186">
        <f t="shared" si="2518"/>
        <v>0</v>
      </c>
      <c r="CY1186">
        <f t="shared" si="2518"/>
        <v>0</v>
      </c>
      <c r="CZ1186">
        <f t="shared" si="2518"/>
        <v>0</v>
      </c>
      <c r="DA1186">
        <f t="shared" si="2518"/>
        <v>0</v>
      </c>
      <c r="DB1186">
        <f t="shared" si="2518"/>
        <v>0</v>
      </c>
      <c r="DC1186">
        <f t="shared" si="2518"/>
        <v>0</v>
      </c>
      <c r="DD1186">
        <f t="shared" si="2518"/>
        <v>0</v>
      </c>
      <c r="DE1186">
        <f t="shared" si="2518"/>
        <v>0</v>
      </c>
      <c r="DF1186">
        <f t="shared" si="2518"/>
        <v>0</v>
      </c>
      <c r="DG1186">
        <f t="shared" ref="DG1186:DP1190" si="2519">IF($C1186&lt;&gt;"",IF(AR1186&gt;0,1,0),0)</f>
        <v>0</v>
      </c>
      <c r="DH1186">
        <f t="shared" si="2519"/>
        <v>0</v>
      </c>
      <c r="DI1186">
        <f t="shared" si="2519"/>
        <v>0</v>
      </c>
      <c r="DJ1186">
        <f t="shared" si="2519"/>
        <v>0</v>
      </c>
      <c r="DK1186">
        <f t="shared" si="2519"/>
        <v>0</v>
      </c>
      <c r="DL1186">
        <f t="shared" si="2519"/>
        <v>0</v>
      </c>
      <c r="DM1186">
        <f t="shared" si="2519"/>
        <v>0</v>
      </c>
      <c r="DN1186">
        <f t="shared" si="2519"/>
        <v>0</v>
      </c>
      <c r="DO1186">
        <f t="shared" si="2519"/>
        <v>0</v>
      </c>
      <c r="DP1186">
        <f t="shared" si="2519"/>
        <v>0</v>
      </c>
      <c r="DQ1186">
        <f t="shared" ref="DQ1186:DZ1190" si="2520">IF($C1186&lt;&gt;"",IF(BB1186&gt;0,1,0),0)</f>
        <v>0</v>
      </c>
      <c r="DR1186">
        <f t="shared" si="2520"/>
        <v>0</v>
      </c>
      <c r="DS1186">
        <f t="shared" si="2520"/>
        <v>0</v>
      </c>
      <c r="DT1186">
        <f t="shared" si="2520"/>
        <v>0</v>
      </c>
      <c r="DU1186">
        <f t="shared" si="2520"/>
        <v>0</v>
      </c>
      <c r="DV1186">
        <f t="shared" si="2520"/>
        <v>0</v>
      </c>
      <c r="DW1186">
        <f t="shared" si="2520"/>
        <v>0</v>
      </c>
      <c r="DX1186">
        <f t="shared" si="2520"/>
        <v>0</v>
      </c>
      <c r="DY1186">
        <f t="shared" si="2520"/>
        <v>0</v>
      </c>
      <c r="DZ1186">
        <f t="shared" si="2520"/>
        <v>0</v>
      </c>
      <c r="EA1186">
        <f t="shared" ref="EA1186:EF1190" si="2521">IF($C1186&lt;&gt;"",IF(BL1185&gt;0,1,0),0)</f>
        <v>0</v>
      </c>
      <c r="EB1186">
        <f>IF($C1186&lt;&gt;"",IF(BM1185&gt;0,1,0),0)</f>
        <v>0</v>
      </c>
      <c r="EC1186">
        <f t="shared" si="2521"/>
        <v>0</v>
      </c>
      <c r="ED1186">
        <f t="shared" si="2521"/>
        <v>0</v>
      </c>
      <c r="EE1186">
        <f t="shared" si="2521"/>
        <v>0</v>
      </c>
      <c r="EF1186">
        <f t="shared" si="2521"/>
        <v>0</v>
      </c>
    </row>
    <row r="1187" spans="1:136" ht="15.5">
      <c r="A1187" s="90"/>
      <c r="B1187" s="57" t="s">
        <v>3</v>
      </c>
      <c r="C1187" s="95"/>
      <c r="D1187" s="18">
        <v>0</v>
      </c>
      <c r="E1187" s="18">
        <v>0</v>
      </c>
      <c r="F1187" s="18">
        <v>0</v>
      </c>
      <c r="G1187" s="18">
        <v>0</v>
      </c>
      <c r="H1187" s="18">
        <v>0</v>
      </c>
      <c r="I1187" s="18">
        <v>220</v>
      </c>
      <c r="J1187" s="18">
        <v>0</v>
      </c>
      <c r="K1187" s="18">
        <v>0</v>
      </c>
      <c r="L1187" s="18">
        <v>0</v>
      </c>
      <c r="M1187" s="18">
        <v>0</v>
      </c>
      <c r="N1187" s="18">
        <v>75</v>
      </c>
      <c r="O1187" s="18">
        <v>0.52</v>
      </c>
      <c r="P1187" s="18">
        <v>0</v>
      </c>
      <c r="Q1187" s="18">
        <v>0</v>
      </c>
      <c r="R1187" s="18">
        <v>0</v>
      </c>
      <c r="S1187" s="18">
        <v>0</v>
      </c>
      <c r="T1187" s="18">
        <v>0</v>
      </c>
      <c r="U1187" s="18">
        <v>0.21</v>
      </c>
      <c r="V1187" s="18">
        <v>0.27</v>
      </c>
      <c r="W1187" s="18">
        <v>104.44999999999999</v>
      </c>
      <c r="X1187" s="18">
        <v>32.549999999999997</v>
      </c>
      <c r="Y1187" s="18">
        <v>26.94</v>
      </c>
      <c r="Z1187" s="18">
        <v>25.41</v>
      </c>
      <c r="AA1187" s="18">
        <v>23.339999999999996</v>
      </c>
      <c r="AB1187" s="18">
        <v>21.13</v>
      </c>
      <c r="AC1187" s="18">
        <v>0</v>
      </c>
      <c r="AD1187" s="18">
        <v>0</v>
      </c>
      <c r="AE1187" s="18">
        <v>0</v>
      </c>
      <c r="AF1187" s="18">
        <v>0</v>
      </c>
      <c r="AG1187" s="18">
        <v>0</v>
      </c>
      <c r="AH1187" s="18">
        <v>0</v>
      </c>
      <c r="AI1187" s="18">
        <v>0</v>
      </c>
      <c r="AJ1187" s="18">
        <v>0</v>
      </c>
      <c r="AK1187" s="18">
        <v>0</v>
      </c>
      <c r="AL1187" s="18">
        <v>0</v>
      </c>
      <c r="AM1187" s="18">
        <v>0</v>
      </c>
      <c r="AN1187" s="18">
        <v>0</v>
      </c>
      <c r="AO1187" s="18">
        <v>0</v>
      </c>
      <c r="AP1187" s="18">
        <v>0</v>
      </c>
      <c r="AQ1187" s="18">
        <v>0</v>
      </c>
      <c r="AR1187" s="18">
        <v>0</v>
      </c>
      <c r="AS1187" s="18">
        <v>0</v>
      </c>
      <c r="AT1187" s="18">
        <v>0</v>
      </c>
      <c r="AU1187" s="20">
        <v>0</v>
      </c>
      <c r="AV1187" s="18">
        <v>0</v>
      </c>
      <c r="AW1187" s="18">
        <v>0</v>
      </c>
      <c r="AX1187" s="18">
        <v>0</v>
      </c>
      <c r="AY1187" s="18">
        <v>0</v>
      </c>
      <c r="AZ1187" s="18">
        <v>0</v>
      </c>
      <c r="BA1187" s="18">
        <v>0</v>
      </c>
      <c r="BB1187" s="18">
        <v>0</v>
      </c>
      <c r="BC1187" s="18">
        <v>13.6135669</v>
      </c>
      <c r="BD1187" s="18">
        <v>0</v>
      </c>
      <c r="BE1187" s="25">
        <v>0</v>
      </c>
      <c r="BF1187" s="18">
        <v>0</v>
      </c>
      <c r="BG1187" s="18">
        <v>0</v>
      </c>
      <c r="BH1187" s="18">
        <v>0</v>
      </c>
      <c r="BI1187" s="18">
        <v>563</v>
      </c>
      <c r="BJ1187" s="113">
        <v>0</v>
      </c>
      <c r="BK1187" s="113">
        <v>0</v>
      </c>
      <c r="BL1187" s="103">
        <v>0.13566170000000002</v>
      </c>
      <c r="BM1187" s="113">
        <v>0</v>
      </c>
      <c r="BN1187" s="113">
        <v>0</v>
      </c>
      <c r="BO1187" s="113">
        <v>0</v>
      </c>
      <c r="BP1187" s="113">
        <v>0</v>
      </c>
      <c r="BQ1187" s="113">
        <v>0</v>
      </c>
      <c r="BR1187" s="101"/>
      <c r="BS1187">
        <f t="shared" si="2515"/>
        <v>0</v>
      </c>
      <c r="BT1187">
        <f t="shared" si="2515"/>
        <v>0</v>
      </c>
      <c r="BU1187">
        <f t="shared" si="2515"/>
        <v>0</v>
      </c>
      <c r="BV1187">
        <f t="shared" si="2515"/>
        <v>0</v>
      </c>
      <c r="BW1187">
        <f t="shared" si="2515"/>
        <v>0</v>
      </c>
      <c r="BX1187">
        <f t="shared" si="2515"/>
        <v>0</v>
      </c>
      <c r="BY1187">
        <f t="shared" si="2515"/>
        <v>0</v>
      </c>
      <c r="BZ1187">
        <f t="shared" si="2515"/>
        <v>0</v>
      </c>
      <c r="CA1187">
        <f t="shared" si="2515"/>
        <v>0</v>
      </c>
      <c r="CB1187">
        <f t="shared" si="2515"/>
        <v>0</v>
      </c>
      <c r="CC1187">
        <f t="shared" si="2516"/>
        <v>0</v>
      </c>
      <c r="CD1187">
        <f t="shared" si="2516"/>
        <v>0</v>
      </c>
      <c r="CE1187">
        <f t="shared" si="2516"/>
        <v>0</v>
      </c>
      <c r="CF1187">
        <f t="shared" si="2516"/>
        <v>0</v>
      </c>
      <c r="CG1187">
        <f t="shared" si="2516"/>
        <v>0</v>
      </c>
      <c r="CH1187">
        <f t="shared" si="2516"/>
        <v>0</v>
      </c>
      <c r="CI1187">
        <f t="shared" si="2516"/>
        <v>0</v>
      </c>
      <c r="CJ1187">
        <f t="shared" si="2516"/>
        <v>0</v>
      </c>
      <c r="CK1187">
        <f t="shared" si="2516"/>
        <v>0</v>
      </c>
      <c r="CL1187">
        <f t="shared" si="2516"/>
        <v>0</v>
      </c>
      <c r="CM1187">
        <f t="shared" si="2517"/>
        <v>0</v>
      </c>
      <c r="CN1187">
        <f t="shared" si="2517"/>
        <v>0</v>
      </c>
      <c r="CO1187">
        <f t="shared" si="2517"/>
        <v>0</v>
      </c>
      <c r="CP1187">
        <f t="shared" si="2517"/>
        <v>0</v>
      </c>
      <c r="CQ1187">
        <f t="shared" si="2517"/>
        <v>0</v>
      </c>
      <c r="CR1187">
        <f t="shared" si="2517"/>
        <v>0</v>
      </c>
      <c r="CS1187">
        <f t="shared" si="2517"/>
        <v>0</v>
      </c>
      <c r="CT1187">
        <f t="shared" si="2517"/>
        <v>0</v>
      </c>
      <c r="CU1187">
        <f t="shared" si="2517"/>
        <v>0</v>
      </c>
      <c r="CV1187">
        <f t="shared" si="2517"/>
        <v>0</v>
      </c>
      <c r="CW1187">
        <f t="shared" si="2518"/>
        <v>0</v>
      </c>
      <c r="CX1187">
        <f t="shared" si="2518"/>
        <v>0</v>
      </c>
      <c r="CY1187">
        <f t="shared" si="2518"/>
        <v>0</v>
      </c>
      <c r="CZ1187">
        <f t="shared" si="2518"/>
        <v>0</v>
      </c>
      <c r="DA1187">
        <f t="shared" si="2518"/>
        <v>0</v>
      </c>
      <c r="DB1187">
        <f t="shared" si="2518"/>
        <v>0</v>
      </c>
      <c r="DC1187">
        <f t="shared" si="2518"/>
        <v>0</v>
      </c>
      <c r="DD1187">
        <f t="shared" si="2518"/>
        <v>0</v>
      </c>
      <c r="DE1187">
        <f t="shared" si="2518"/>
        <v>0</v>
      </c>
      <c r="DF1187">
        <f t="shared" si="2518"/>
        <v>0</v>
      </c>
      <c r="DG1187">
        <f t="shared" si="2519"/>
        <v>0</v>
      </c>
      <c r="DH1187">
        <f t="shared" si="2519"/>
        <v>0</v>
      </c>
      <c r="DI1187">
        <f t="shared" si="2519"/>
        <v>0</v>
      </c>
      <c r="DJ1187">
        <f t="shared" si="2519"/>
        <v>0</v>
      </c>
      <c r="DK1187">
        <f t="shared" si="2519"/>
        <v>0</v>
      </c>
      <c r="DL1187">
        <f t="shared" si="2519"/>
        <v>0</v>
      </c>
      <c r="DM1187">
        <f t="shared" si="2519"/>
        <v>0</v>
      </c>
      <c r="DN1187">
        <f t="shared" si="2519"/>
        <v>0</v>
      </c>
      <c r="DO1187">
        <f t="shared" si="2519"/>
        <v>0</v>
      </c>
      <c r="DP1187">
        <f t="shared" si="2519"/>
        <v>0</v>
      </c>
      <c r="DQ1187">
        <f t="shared" si="2520"/>
        <v>0</v>
      </c>
      <c r="DR1187">
        <f t="shared" si="2520"/>
        <v>0</v>
      </c>
      <c r="DS1187">
        <f t="shared" si="2520"/>
        <v>0</v>
      </c>
      <c r="DT1187">
        <f t="shared" si="2520"/>
        <v>0</v>
      </c>
      <c r="DU1187">
        <f t="shared" si="2520"/>
        <v>0</v>
      </c>
      <c r="DV1187">
        <f t="shared" si="2520"/>
        <v>0</v>
      </c>
      <c r="DW1187">
        <f t="shared" si="2520"/>
        <v>0</v>
      </c>
      <c r="DX1187">
        <f t="shared" si="2520"/>
        <v>0</v>
      </c>
      <c r="DY1187">
        <f t="shared" si="2520"/>
        <v>0</v>
      </c>
      <c r="DZ1187">
        <f t="shared" si="2520"/>
        <v>0</v>
      </c>
      <c r="EA1187">
        <f t="shared" si="2521"/>
        <v>0</v>
      </c>
      <c r="EB1187">
        <f>IF($C1187&lt;&gt;"",IF(BM1186&gt;0,1,0),0)</f>
        <v>0</v>
      </c>
      <c r="EC1187">
        <f t="shared" si="2521"/>
        <v>0</v>
      </c>
      <c r="ED1187">
        <f t="shared" si="2521"/>
        <v>0</v>
      </c>
      <c r="EE1187">
        <f t="shared" si="2521"/>
        <v>0</v>
      </c>
      <c r="EF1187">
        <f t="shared" si="2521"/>
        <v>0</v>
      </c>
    </row>
    <row r="1188" spans="1:136" ht="15.5">
      <c r="A1188" s="90"/>
      <c r="B1188" s="19" t="s">
        <v>18</v>
      </c>
      <c r="C1188" s="95"/>
      <c r="D1188" s="18">
        <v>0</v>
      </c>
      <c r="E1188" s="18">
        <v>0</v>
      </c>
      <c r="F1188" s="18">
        <v>0</v>
      </c>
      <c r="G1188" s="18">
        <v>0</v>
      </c>
      <c r="H1188" s="18">
        <v>0</v>
      </c>
      <c r="I1188" s="18">
        <v>0</v>
      </c>
      <c r="J1188" s="18">
        <v>0</v>
      </c>
      <c r="K1188" s="18">
        <v>0</v>
      </c>
      <c r="L1188" s="18">
        <v>0</v>
      </c>
      <c r="M1188" s="18">
        <v>0</v>
      </c>
      <c r="N1188" s="18">
        <v>0</v>
      </c>
      <c r="O1188" s="18">
        <v>0</v>
      </c>
      <c r="P1188" s="18">
        <v>0</v>
      </c>
      <c r="Q1188" s="18">
        <v>0</v>
      </c>
      <c r="R1188" s="18">
        <v>0</v>
      </c>
      <c r="S1188" s="18">
        <v>0</v>
      </c>
      <c r="T1188" s="40" t="s">
        <v>16</v>
      </c>
      <c r="U1188" s="40" t="s">
        <v>16</v>
      </c>
      <c r="V1188" s="18">
        <v>2000</v>
      </c>
      <c r="W1188" s="18">
        <v>2760</v>
      </c>
      <c r="X1188" s="18">
        <v>0</v>
      </c>
      <c r="Y1188" s="18">
        <v>100</v>
      </c>
      <c r="Z1188" s="18">
        <v>2900</v>
      </c>
      <c r="AA1188" s="18">
        <v>0</v>
      </c>
      <c r="AB1188" s="18">
        <v>0</v>
      </c>
      <c r="AC1188" s="18">
        <v>0</v>
      </c>
      <c r="AD1188" s="18">
        <v>0</v>
      </c>
      <c r="AE1188" s="18">
        <v>0</v>
      </c>
      <c r="AF1188" s="18">
        <v>0</v>
      </c>
      <c r="AG1188" s="18">
        <v>0</v>
      </c>
      <c r="AH1188" s="18">
        <v>0</v>
      </c>
      <c r="AI1188" s="18">
        <v>0</v>
      </c>
      <c r="AJ1188" s="18">
        <v>0</v>
      </c>
      <c r="AK1188" s="18">
        <v>0</v>
      </c>
      <c r="AL1188" s="18">
        <v>0</v>
      </c>
      <c r="AM1188" s="18">
        <v>0</v>
      </c>
      <c r="AN1188" s="18">
        <v>0</v>
      </c>
      <c r="AO1188" s="18">
        <v>0</v>
      </c>
      <c r="AP1188" s="18">
        <v>0</v>
      </c>
      <c r="AQ1188" s="18">
        <v>0</v>
      </c>
      <c r="AR1188" s="18">
        <v>0</v>
      </c>
      <c r="AS1188" s="18">
        <v>0</v>
      </c>
      <c r="AT1188" s="18">
        <v>0</v>
      </c>
      <c r="AU1188" s="18">
        <v>0</v>
      </c>
      <c r="AV1188" s="18">
        <v>0</v>
      </c>
      <c r="AW1188" s="18">
        <v>0</v>
      </c>
      <c r="AX1188" s="18">
        <v>0</v>
      </c>
      <c r="AY1188" s="18">
        <v>0</v>
      </c>
      <c r="AZ1188" s="18">
        <v>0</v>
      </c>
      <c r="BA1188" s="18">
        <v>0</v>
      </c>
      <c r="BB1188" s="18">
        <v>0</v>
      </c>
      <c r="BC1188" s="18">
        <v>0</v>
      </c>
      <c r="BD1188" s="18">
        <v>0</v>
      </c>
      <c r="BE1188" s="25">
        <v>0</v>
      </c>
      <c r="BF1188" s="18">
        <v>0</v>
      </c>
      <c r="BG1188" s="18">
        <v>0</v>
      </c>
      <c r="BH1188" s="18">
        <v>0</v>
      </c>
      <c r="BI1188" s="18">
        <v>0</v>
      </c>
      <c r="BJ1188" s="113">
        <v>0</v>
      </c>
      <c r="BK1188" s="113">
        <v>0</v>
      </c>
      <c r="BL1188" s="113">
        <v>0</v>
      </c>
      <c r="BM1188" s="113">
        <v>0</v>
      </c>
      <c r="BN1188" s="113">
        <v>0</v>
      </c>
      <c r="BO1188" s="113">
        <v>0</v>
      </c>
      <c r="BP1188" s="113">
        <v>0</v>
      </c>
      <c r="BQ1188" s="113">
        <v>0</v>
      </c>
      <c r="BR1188" s="101"/>
      <c r="BS1188">
        <f t="shared" si="2515"/>
        <v>0</v>
      </c>
      <c r="BT1188">
        <f t="shared" si="2515"/>
        <v>0</v>
      </c>
      <c r="BU1188">
        <f t="shared" si="2515"/>
        <v>0</v>
      </c>
      <c r="BV1188">
        <f t="shared" si="2515"/>
        <v>0</v>
      </c>
      <c r="BW1188">
        <f t="shared" si="2515"/>
        <v>0</v>
      </c>
      <c r="BX1188">
        <f t="shared" si="2515"/>
        <v>0</v>
      </c>
      <c r="BY1188">
        <f t="shared" si="2515"/>
        <v>0</v>
      </c>
      <c r="BZ1188">
        <f t="shared" si="2515"/>
        <v>0</v>
      </c>
      <c r="CA1188">
        <f t="shared" si="2515"/>
        <v>0</v>
      </c>
      <c r="CB1188">
        <f t="shared" si="2515"/>
        <v>0</v>
      </c>
      <c r="CC1188">
        <f t="shared" si="2516"/>
        <v>0</v>
      </c>
      <c r="CD1188">
        <f t="shared" si="2516"/>
        <v>0</v>
      </c>
      <c r="CE1188">
        <f t="shared" si="2516"/>
        <v>0</v>
      </c>
      <c r="CF1188">
        <f t="shared" si="2516"/>
        <v>0</v>
      </c>
      <c r="CG1188">
        <f t="shared" si="2516"/>
        <v>0</v>
      </c>
      <c r="CH1188">
        <f t="shared" si="2516"/>
        <v>0</v>
      </c>
      <c r="CI1188">
        <f t="shared" si="2516"/>
        <v>0</v>
      </c>
      <c r="CJ1188">
        <f t="shared" si="2516"/>
        <v>0</v>
      </c>
      <c r="CK1188">
        <f t="shared" si="2516"/>
        <v>0</v>
      </c>
      <c r="CL1188">
        <f t="shared" si="2516"/>
        <v>0</v>
      </c>
      <c r="CM1188">
        <f t="shared" si="2517"/>
        <v>0</v>
      </c>
      <c r="CN1188">
        <f t="shared" si="2517"/>
        <v>0</v>
      </c>
      <c r="CO1188">
        <f t="shared" si="2517"/>
        <v>0</v>
      </c>
      <c r="CP1188">
        <f t="shared" si="2517"/>
        <v>0</v>
      </c>
      <c r="CQ1188">
        <f t="shared" si="2517"/>
        <v>0</v>
      </c>
      <c r="CR1188">
        <f t="shared" si="2517"/>
        <v>0</v>
      </c>
      <c r="CS1188">
        <f t="shared" si="2517"/>
        <v>0</v>
      </c>
      <c r="CT1188">
        <f t="shared" si="2517"/>
        <v>0</v>
      </c>
      <c r="CU1188">
        <f t="shared" si="2517"/>
        <v>0</v>
      </c>
      <c r="CV1188">
        <f t="shared" si="2517"/>
        <v>0</v>
      </c>
      <c r="CW1188">
        <f t="shared" si="2518"/>
        <v>0</v>
      </c>
      <c r="CX1188">
        <f t="shared" si="2518"/>
        <v>0</v>
      </c>
      <c r="CY1188">
        <f t="shared" si="2518"/>
        <v>0</v>
      </c>
      <c r="CZ1188">
        <f t="shared" si="2518"/>
        <v>0</v>
      </c>
      <c r="DA1188">
        <f t="shared" si="2518"/>
        <v>0</v>
      </c>
      <c r="DB1188">
        <f t="shared" si="2518"/>
        <v>0</v>
      </c>
      <c r="DC1188">
        <f t="shared" si="2518"/>
        <v>0</v>
      </c>
      <c r="DD1188">
        <f t="shared" si="2518"/>
        <v>0</v>
      </c>
      <c r="DE1188">
        <f t="shared" si="2518"/>
        <v>0</v>
      </c>
      <c r="DF1188">
        <f t="shared" si="2518"/>
        <v>0</v>
      </c>
      <c r="DG1188">
        <f t="shared" si="2519"/>
        <v>0</v>
      </c>
      <c r="DH1188">
        <f t="shared" si="2519"/>
        <v>0</v>
      </c>
      <c r="DI1188">
        <f t="shared" si="2519"/>
        <v>0</v>
      </c>
      <c r="DJ1188">
        <f t="shared" si="2519"/>
        <v>0</v>
      </c>
      <c r="DK1188">
        <f t="shared" si="2519"/>
        <v>0</v>
      </c>
      <c r="DL1188">
        <f t="shared" si="2519"/>
        <v>0</v>
      </c>
      <c r="DM1188">
        <f t="shared" si="2519"/>
        <v>0</v>
      </c>
      <c r="DN1188">
        <f t="shared" si="2519"/>
        <v>0</v>
      </c>
      <c r="DO1188">
        <f t="shared" si="2519"/>
        <v>0</v>
      </c>
      <c r="DP1188">
        <f t="shared" si="2519"/>
        <v>0</v>
      </c>
      <c r="DQ1188">
        <f t="shared" si="2520"/>
        <v>0</v>
      </c>
      <c r="DR1188">
        <f t="shared" si="2520"/>
        <v>0</v>
      </c>
      <c r="DS1188">
        <f t="shared" si="2520"/>
        <v>0</v>
      </c>
      <c r="DT1188">
        <f t="shared" si="2520"/>
        <v>0</v>
      </c>
      <c r="DU1188">
        <f t="shared" si="2520"/>
        <v>0</v>
      </c>
      <c r="DV1188">
        <f t="shared" si="2520"/>
        <v>0</v>
      </c>
      <c r="DW1188">
        <f t="shared" si="2520"/>
        <v>0</v>
      </c>
      <c r="DX1188">
        <f t="shared" si="2520"/>
        <v>0</v>
      </c>
      <c r="DY1188">
        <f t="shared" si="2520"/>
        <v>0</v>
      </c>
      <c r="DZ1188">
        <f t="shared" si="2520"/>
        <v>0</v>
      </c>
      <c r="EA1188">
        <f t="shared" si="2521"/>
        <v>0</v>
      </c>
      <c r="EB1188">
        <f>IF($C1188&lt;&gt;"",IF(BM1187&gt;0,1,0),0)</f>
        <v>0</v>
      </c>
      <c r="EC1188">
        <f t="shared" si="2521"/>
        <v>0</v>
      </c>
      <c r="ED1188">
        <f t="shared" si="2521"/>
        <v>0</v>
      </c>
      <c r="EE1188">
        <f t="shared" si="2521"/>
        <v>0</v>
      </c>
      <c r="EF1188">
        <f t="shared" si="2521"/>
        <v>0</v>
      </c>
    </row>
    <row r="1189" spans="1:136" ht="15.5">
      <c r="A1189" s="90"/>
      <c r="B1189" s="19" t="s">
        <v>208</v>
      </c>
      <c r="C1189" s="95"/>
      <c r="D1189" s="18">
        <v>0</v>
      </c>
      <c r="E1189" s="18">
        <v>0</v>
      </c>
      <c r="F1189" s="18">
        <v>0</v>
      </c>
      <c r="G1189" s="18">
        <v>0</v>
      </c>
      <c r="H1189" s="18">
        <v>0</v>
      </c>
      <c r="I1189" s="18">
        <v>0</v>
      </c>
      <c r="J1189" s="18">
        <v>0</v>
      </c>
      <c r="K1189" s="18">
        <v>0</v>
      </c>
      <c r="L1189" s="18">
        <v>0</v>
      </c>
      <c r="M1189" s="18">
        <v>0</v>
      </c>
      <c r="N1189" s="18">
        <v>0</v>
      </c>
      <c r="O1189" s="18">
        <v>0</v>
      </c>
      <c r="P1189" s="18">
        <v>0</v>
      </c>
      <c r="Q1189" s="18">
        <v>0</v>
      </c>
      <c r="R1189" s="18">
        <v>0</v>
      </c>
      <c r="S1189" s="18">
        <v>0</v>
      </c>
      <c r="T1189" s="18">
        <v>0</v>
      </c>
      <c r="U1189" s="18">
        <v>0</v>
      </c>
      <c r="V1189" s="18">
        <v>0.1</v>
      </c>
      <c r="W1189" s="18">
        <v>0</v>
      </c>
      <c r="X1189" s="18">
        <v>1.4</v>
      </c>
      <c r="Y1189" s="18">
        <v>3.4</v>
      </c>
      <c r="Z1189" s="18">
        <v>0</v>
      </c>
      <c r="AA1189" s="18">
        <v>0.2</v>
      </c>
      <c r="AB1189" s="18">
        <v>0.4</v>
      </c>
      <c r="AC1189" s="18">
        <v>0</v>
      </c>
      <c r="AD1189" s="18">
        <v>0</v>
      </c>
      <c r="AE1189" s="18">
        <v>0</v>
      </c>
      <c r="AF1189" s="18">
        <v>0</v>
      </c>
      <c r="AG1189" s="18">
        <v>0</v>
      </c>
      <c r="AH1189" s="18">
        <v>0</v>
      </c>
      <c r="AI1189" s="18">
        <v>0</v>
      </c>
      <c r="AJ1189" s="18">
        <v>0</v>
      </c>
      <c r="AK1189" s="18">
        <v>0</v>
      </c>
      <c r="AL1189" s="18">
        <v>0</v>
      </c>
      <c r="AM1189" s="18">
        <v>0</v>
      </c>
      <c r="AN1189" s="18">
        <v>0</v>
      </c>
      <c r="AO1189" s="18">
        <v>0</v>
      </c>
      <c r="AP1189" s="18">
        <v>0</v>
      </c>
      <c r="AQ1189" s="18">
        <v>0</v>
      </c>
      <c r="AR1189" s="18">
        <v>0</v>
      </c>
      <c r="AS1189" s="18">
        <v>0</v>
      </c>
      <c r="AT1189" s="18">
        <v>0</v>
      </c>
      <c r="AU1189" s="20">
        <v>0</v>
      </c>
      <c r="AV1189" s="18">
        <v>0</v>
      </c>
      <c r="AW1189" s="18">
        <v>0</v>
      </c>
      <c r="AX1189" s="18">
        <v>0</v>
      </c>
      <c r="AY1189" s="18">
        <v>0</v>
      </c>
      <c r="AZ1189" s="18">
        <v>0</v>
      </c>
      <c r="BA1189" s="18">
        <v>0</v>
      </c>
      <c r="BB1189" s="18">
        <v>0</v>
      </c>
      <c r="BC1189" s="18">
        <v>0</v>
      </c>
      <c r="BD1189" s="18">
        <v>0</v>
      </c>
      <c r="BE1189" s="25">
        <v>0</v>
      </c>
      <c r="BF1189" s="18">
        <v>0</v>
      </c>
      <c r="BG1189" s="18">
        <v>0</v>
      </c>
      <c r="BH1189" s="18">
        <v>0</v>
      </c>
      <c r="BI1189" s="18">
        <v>0</v>
      </c>
      <c r="BJ1189" s="113">
        <v>0</v>
      </c>
      <c r="BK1189" s="113">
        <v>0</v>
      </c>
      <c r="BL1189" s="113">
        <v>0</v>
      </c>
      <c r="BM1189" s="113">
        <v>0</v>
      </c>
      <c r="BN1189" s="113">
        <v>0</v>
      </c>
      <c r="BO1189" s="113">
        <v>0</v>
      </c>
      <c r="BP1189" s="113">
        <v>0</v>
      </c>
      <c r="BQ1189" s="113">
        <v>0</v>
      </c>
      <c r="BR1189" s="101"/>
      <c r="BS1189">
        <f t="shared" si="2515"/>
        <v>0</v>
      </c>
      <c r="BT1189">
        <f t="shared" si="2515"/>
        <v>0</v>
      </c>
      <c r="BU1189">
        <f t="shared" si="2515"/>
        <v>0</v>
      </c>
      <c r="BV1189">
        <f t="shared" si="2515"/>
        <v>0</v>
      </c>
      <c r="BW1189">
        <f t="shared" si="2515"/>
        <v>0</v>
      </c>
      <c r="BX1189">
        <f t="shared" si="2515"/>
        <v>0</v>
      </c>
      <c r="BY1189">
        <f t="shared" si="2515"/>
        <v>0</v>
      </c>
      <c r="BZ1189">
        <f t="shared" si="2515"/>
        <v>0</v>
      </c>
      <c r="CA1189">
        <f t="shared" si="2515"/>
        <v>0</v>
      </c>
      <c r="CB1189">
        <f t="shared" si="2515"/>
        <v>0</v>
      </c>
      <c r="CC1189">
        <f t="shared" si="2516"/>
        <v>0</v>
      </c>
      <c r="CD1189">
        <f t="shared" si="2516"/>
        <v>0</v>
      </c>
      <c r="CE1189">
        <f t="shared" si="2516"/>
        <v>0</v>
      </c>
      <c r="CF1189">
        <f t="shared" si="2516"/>
        <v>0</v>
      </c>
      <c r="CG1189">
        <f t="shared" si="2516"/>
        <v>0</v>
      </c>
      <c r="CH1189">
        <f t="shared" si="2516"/>
        <v>0</v>
      </c>
      <c r="CI1189">
        <f t="shared" si="2516"/>
        <v>0</v>
      </c>
      <c r="CJ1189">
        <f t="shared" si="2516"/>
        <v>0</v>
      </c>
      <c r="CK1189">
        <f t="shared" si="2516"/>
        <v>0</v>
      </c>
      <c r="CL1189">
        <f t="shared" si="2516"/>
        <v>0</v>
      </c>
      <c r="CM1189">
        <f t="shared" si="2517"/>
        <v>0</v>
      </c>
      <c r="CN1189">
        <f t="shared" si="2517"/>
        <v>0</v>
      </c>
      <c r="CO1189">
        <f t="shared" si="2517"/>
        <v>0</v>
      </c>
      <c r="CP1189">
        <f t="shared" si="2517"/>
        <v>0</v>
      </c>
      <c r="CQ1189">
        <f t="shared" si="2517"/>
        <v>0</v>
      </c>
      <c r="CR1189">
        <f t="shared" si="2517"/>
        <v>0</v>
      </c>
      <c r="CS1189">
        <f t="shared" si="2517"/>
        <v>0</v>
      </c>
      <c r="CT1189">
        <f t="shared" si="2517"/>
        <v>0</v>
      </c>
      <c r="CU1189">
        <f t="shared" si="2517"/>
        <v>0</v>
      </c>
      <c r="CV1189">
        <f t="shared" si="2517"/>
        <v>0</v>
      </c>
      <c r="CW1189">
        <f t="shared" si="2518"/>
        <v>0</v>
      </c>
      <c r="CX1189">
        <f t="shared" si="2518"/>
        <v>0</v>
      </c>
      <c r="CY1189">
        <f t="shared" si="2518"/>
        <v>0</v>
      </c>
      <c r="CZ1189">
        <f t="shared" si="2518"/>
        <v>0</v>
      </c>
      <c r="DA1189">
        <f t="shared" si="2518"/>
        <v>0</v>
      </c>
      <c r="DB1189">
        <f t="shared" si="2518"/>
        <v>0</v>
      </c>
      <c r="DC1189">
        <f t="shared" si="2518"/>
        <v>0</v>
      </c>
      <c r="DD1189">
        <f t="shared" si="2518"/>
        <v>0</v>
      </c>
      <c r="DE1189">
        <f t="shared" si="2518"/>
        <v>0</v>
      </c>
      <c r="DF1189">
        <f t="shared" si="2518"/>
        <v>0</v>
      </c>
      <c r="DG1189">
        <f t="shared" si="2519"/>
        <v>0</v>
      </c>
      <c r="DH1189">
        <f t="shared" si="2519"/>
        <v>0</v>
      </c>
      <c r="DI1189">
        <f t="shared" si="2519"/>
        <v>0</v>
      </c>
      <c r="DJ1189">
        <f t="shared" si="2519"/>
        <v>0</v>
      </c>
      <c r="DK1189">
        <f t="shared" si="2519"/>
        <v>0</v>
      </c>
      <c r="DL1189">
        <f t="shared" si="2519"/>
        <v>0</v>
      </c>
      <c r="DM1189">
        <f t="shared" si="2519"/>
        <v>0</v>
      </c>
      <c r="DN1189">
        <f t="shared" si="2519"/>
        <v>0</v>
      </c>
      <c r="DO1189">
        <f t="shared" si="2519"/>
        <v>0</v>
      </c>
      <c r="DP1189">
        <f t="shared" si="2519"/>
        <v>0</v>
      </c>
      <c r="DQ1189">
        <f t="shared" si="2520"/>
        <v>0</v>
      </c>
      <c r="DR1189">
        <f t="shared" si="2520"/>
        <v>0</v>
      </c>
      <c r="DS1189">
        <f t="shared" si="2520"/>
        <v>0</v>
      </c>
      <c r="DT1189">
        <f t="shared" si="2520"/>
        <v>0</v>
      </c>
      <c r="DU1189">
        <f t="shared" si="2520"/>
        <v>0</v>
      </c>
      <c r="DV1189">
        <f t="shared" si="2520"/>
        <v>0</v>
      </c>
      <c r="DW1189">
        <f t="shared" si="2520"/>
        <v>0</v>
      </c>
      <c r="DX1189">
        <f t="shared" si="2520"/>
        <v>0</v>
      </c>
      <c r="DY1189">
        <f t="shared" si="2520"/>
        <v>0</v>
      </c>
      <c r="DZ1189">
        <f t="shared" si="2520"/>
        <v>0</v>
      </c>
      <c r="EA1189">
        <f t="shared" si="2521"/>
        <v>0</v>
      </c>
      <c r="EB1189">
        <f>IF($C1189&lt;&gt;"",IF(BM1188&gt;0,1,0),0)</f>
        <v>0</v>
      </c>
      <c r="EC1189">
        <f t="shared" si="2521"/>
        <v>0</v>
      </c>
      <c r="ED1189">
        <f t="shared" si="2521"/>
        <v>0</v>
      </c>
      <c r="EE1189">
        <f t="shared" si="2521"/>
        <v>0</v>
      </c>
      <c r="EF1189">
        <f t="shared" si="2521"/>
        <v>0</v>
      </c>
    </row>
    <row r="1190" spans="1:136" ht="15.5">
      <c r="A1190" s="90"/>
      <c r="B1190" s="53" t="s">
        <v>21</v>
      </c>
      <c r="C1190" s="95"/>
      <c r="D1190" s="18">
        <v>0</v>
      </c>
      <c r="E1190" s="18">
        <v>0</v>
      </c>
      <c r="F1190" s="18">
        <v>0</v>
      </c>
      <c r="G1190" s="18">
        <v>0</v>
      </c>
      <c r="H1190" s="18">
        <v>0</v>
      </c>
      <c r="I1190" s="18">
        <v>0</v>
      </c>
      <c r="J1190" s="18">
        <v>0</v>
      </c>
      <c r="K1190" s="18">
        <v>0</v>
      </c>
      <c r="L1190" s="18">
        <v>0</v>
      </c>
      <c r="M1190" s="18">
        <v>0</v>
      </c>
      <c r="N1190" s="18">
        <v>0</v>
      </c>
      <c r="O1190" s="18">
        <v>0</v>
      </c>
      <c r="P1190" s="18">
        <v>0</v>
      </c>
      <c r="Q1190" s="18">
        <v>0</v>
      </c>
      <c r="R1190" s="18">
        <v>0</v>
      </c>
      <c r="S1190" s="18">
        <v>0</v>
      </c>
      <c r="T1190" s="18">
        <v>0</v>
      </c>
      <c r="U1190" s="18">
        <v>0</v>
      </c>
      <c r="V1190" s="18">
        <v>0</v>
      </c>
      <c r="W1190" s="18">
        <v>0</v>
      </c>
      <c r="X1190" s="18">
        <v>0</v>
      </c>
      <c r="Y1190" s="18">
        <v>0</v>
      </c>
      <c r="Z1190" s="18">
        <v>0</v>
      </c>
      <c r="AA1190" s="18">
        <v>0</v>
      </c>
      <c r="AB1190" s="18">
        <v>0</v>
      </c>
      <c r="AC1190" s="18">
        <v>0</v>
      </c>
      <c r="AD1190" s="18">
        <v>0</v>
      </c>
      <c r="AE1190" s="18">
        <v>0</v>
      </c>
      <c r="AF1190" s="18">
        <v>0</v>
      </c>
      <c r="AG1190" s="18">
        <v>0</v>
      </c>
      <c r="AH1190" s="18">
        <v>0</v>
      </c>
      <c r="AI1190" s="18">
        <v>0</v>
      </c>
      <c r="AJ1190" s="18">
        <v>0</v>
      </c>
      <c r="AK1190" s="18">
        <v>0</v>
      </c>
      <c r="AL1190" s="18">
        <v>0</v>
      </c>
      <c r="AM1190" s="18">
        <v>0</v>
      </c>
      <c r="AN1190" s="18">
        <v>0</v>
      </c>
      <c r="AO1190" s="18">
        <v>0</v>
      </c>
      <c r="AP1190" s="18">
        <v>0</v>
      </c>
      <c r="AQ1190" s="18">
        <v>48280</v>
      </c>
      <c r="AR1190" s="18">
        <v>0</v>
      </c>
      <c r="AS1190" s="18">
        <v>0</v>
      </c>
      <c r="AT1190" s="18">
        <v>0</v>
      </c>
      <c r="AU1190" s="18">
        <v>0</v>
      </c>
      <c r="AV1190" s="18">
        <v>0</v>
      </c>
      <c r="AW1190" s="18">
        <v>0</v>
      </c>
      <c r="AX1190" s="18">
        <v>0</v>
      </c>
      <c r="AY1190" s="18">
        <v>0</v>
      </c>
      <c r="AZ1190" s="18">
        <v>0</v>
      </c>
      <c r="BA1190" s="18">
        <v>0</v>
      </c>
      <c r="BB1190" s="18">
        <v>0</v>
      </c>
      <c r="BC1190" s="18">
        <v>0</v>
      </c>
      <c r="BD1190" s="18">
        <v>0</v>
      </c>
      <c r="BE1190" s="18">
        <v>0</v>
      </c>
      <c r="BF1190" s="18">
        <v>0</v>
      </c>
      <c r="BG1190" s="18">
        <v>0</v>
      </c>
      <c r="BH1190" s="18">
        <v>0</v>
      </c>
      <c r="BI1190" s="18">
        <v>0</v>
      </c>
      <c r="BJ1190" s="113">
        <v>0</v>
      </c>
      <c r="BK1190" s="113">
        <v>0</v>
      </c>
      <c r="BL1190" s="113">
        <v>0</v>
      </c>
      <c r="BM1190" s="113">
        <v>0</v>
      </c>
      <c r="BN1190" s="113">
        <v>0</v>
      </c>
      <c r="BO1190" s="113">
        <v>0</v>
      </c>
      <c r="BP1190" s="113">
        <v>0</v>
      </c>
      <c r="BQ1190" s="113">
        <v>0</v>
      </c>
      <c r="BR1190" s="101"/>
      <c r="BS1190">
        <f t="shared" si="2515"/>
        <v>0</v>
      </c>
      <c r="BT1190">
        <f t="shared" si="2515"/>
        <v>0</v>
      </c>
      <c r="BU1190">
        <f t="shared" si="2515"/>
        <v>0</v>
      </c>
      <c r="BV1190">
        <f t="shared" si="2515"/>
        <v>0</v>
      </c>
      <c r="BW1190">
        <f t="shared" si="2515"/>
        <v>0</v>
      </c>
      <c r="BX1190">
        <f t="shared" si="2515"/>
        <v>0</v>
      </c>
      <c r="BY1190">
        <f t="shared" si="2515"/>
        <v>0</v>
      </c>
      <c r="BZ1190">
        <f t="shared" si="2515"/>
        <v>0</v>
      </c>
      <c r="CA1190">
        <f t="shared" si="2515"/>
        <v>0</v>
      </c>
      <c r="CB1190">
        <f t="shared" si="2515"/>
        <v>0</v>
      </c>
      <c r="CC1190">
        <f t="shared" si="2516"/>
        <v>0</v>
      </c>
      <c r="CD1190">
        <f t="shared" si="2516"/>
        <v>0</v>
      </c>
      <c r="CE1190">
        <f t="shared" si="2516"/>
        <v>0</v>
      </c>
      <c r="CF1190">
        <f t="shared" si="2516"/>
        <v>0</v>
      </c>
      <c r="CG1190">
        <f t="shared" si="2516"/>
        <v>0</v>
      </c>
      <c r="CH1190">
        <f t="shared" si="2516"/>
        <v>0</v>
      </c>
      <c r="CI1190">
        <f t="shared" si="2516"/>
        <v>0</v>
      </c>
      <c r="CJ1190">
        <f t="shared" si="2516"/>
        <v>0</v>
      </c>
      <c r="CK1190">
        <f t="shared" si="2516"/>
        <v>0</v>
      </c>
      <c r="CL1190">
        <f t="shared" si="2516"/>
        <v>0</v>
      </c>
      <c r="CM1190">
        <f t="shared" si="2517"/>
        <v>0</v>
      </c>
      <c r="CN1190">
        <f t="shared" si="2517"/>
        <v>0</v>
      </c>
      <c r="CO1190">
        <f t="shared" si="2517"/>
        <v>0</v>
      </c>
      <c r="CP1190">
        <f t="shared" si="2517"/>
        <v>0</v>
      </c>
      <c r="CQ1190">
        <f t="shared" si="2517"/>
        <v>0</v>
      </c>
      <c r="CR1190">
        <f t="shared" si="2517"/>
        <v>0</v>
      </c>
      <c r="CS1190">
        <f t="shared" si="2517"/>
        <v>0</v>
      </c>
      <c r="CT1190">
        <f t="shared" si="2517"/>
        <v>0</v>
      </c>
      <c r="CU1190">
        <f t="shared" si="2517"/>
        <v>0</v>
      </c>
      <c r="CV1190">
        <f t="shared" si="2517"/>
        <v>0</v>
      </c>
      <c r="CW1190">
        <f t="shared" si="2518"/>
        <v>0</v>
      </c>
      <c r="CX1190">
        <f t="shared" si="2518"/>
        <v>0</v>
      </c>
      <c r="CY1190">
        <f t="shared" si="2518"/>
        <v>0</v>
      </c>
      <c r="CZ1190">
        <f t="shared" si="2518"/>
        <v>0</v>
      </c>
      <c r="DA1190">
        <f t="shared" si="2518"/>
        <v>0</v>
      </c>
      <c r="DB1190">
        <f t="shared" si="2518"/>
        <v>0</v>
      </c>
      <c r="DC1190">
        <f t="shared" si="2518"/>
        <v>0</v>
      </c>
      <c r="DD1190">
        <f t="shared" si="2518"/>
        <v>0</v>
      </c>
      <c r="DE1190">
        <f t="shared" si="2518"/>
        <v>0</v>
      </c>
      <c r="DF1190">
        <f t="shared" si="2518"/>
        <v>0</v>
      </c>
      <c r="DG1190">
        <f t="shared" si="2519"/>
        <v>0</v>
      </c>
      <c r="DH1190">
        <f t="shared" si="2519"/>
        <v>0</v>
      </c>
      <c r="DI1190">
        <f t="shared" si="2519"/>
        <v>0</v>
      </c>
      <c r="DJ1190">
        <f t="shared" si="2519"/>
        <v>0</v>
      </c>
      <c r="DK1190">
        <f t="shared" si="2519"/>
        <v>0</v>
      </c>
      <c r="DL1190">
        <f t="shared" si="2519"/>
        <v>0</v>
      </c>
      <c r="DM1190">
        <f t="shared" si="2519"/>
        <v>0</v>
      </c>
      <c r="DN1190">
        <f t="shared" si="2519"/>
        <v>0</v>
      </c>
      <c r="DO1190">
        <f t="shared" si="2519"/>
        <v>0</v>
      </c>
      <c r="DP1190">
        <f t="shared" si="2519"/>
        <v>0</v>
      </c>
      <c r="DQ1190">
        <f t="shared" si="2520"/>
        <v>0</v>
      </c>
      <c r="DR1190">
        <f t="shared" si="2520"/>
        <v>0</v>
      </c>
      <c r="DS1190">
        <f t="shared" si="2520"/>
        <v>0</v>
      </c>
      <c r="DT1190">
        <f t="shared" si="2520"/>
        <v>0</v>
      </c>
      <c r="DU1190">
        <f t="shared" si="2520"/>
        <v>0</v>
      </c>
      <c r="DV1190">
        <f t="shared" si="2520"/>
        <v>0</v>
      </c>
      <c r="DW1190">
        <f t="shared" si="2520"/>
        <v>0</v>
      </c>
      <c r="DX1190">
        <f t="shared" si="2520"/>
        <v>0</v>
      </c>
      <c r="DY1190">
        <f t="shared" si="2520"/>
        <v>0</v>
      </c>
      <c r="DZ1190">
        <f t="shared" si="2520"/>
        <v>0</v>
      </c>
      <c r="EA1190">
        <f t="shared" si="2521"/>
        <v>0</v>
      </c>
      <c r="EB1190">
        <f>IF($C1190&lt;&gt;"",IF(BM1189&gt;0,1,0),0)</f>
        <v>0</v>
      </c>
      <c r="EC1190">
        <f t="shared" si="2521"/>
        <v>0</v>
      </c>
      <c r="ED1190">
        <f t="shared" si="2521"/>
        <v>0</v>
      </c>
      <c r="EE1190">
        <f t="shared" si="2521"/>
        <v>0</v>
      </c>
      <c r="EF1190">
        <f t="shared" si="2521"/>
        <v>0</v>
      </c>
    </row>
    <row r="1191" spans="1:136" ht="15.5">
      <c r="A1191" s="90"/>
      <c r="B1191" s="37"/>
      <c r="C1191" s="95"/>
      <c r="D1191" s="31"/>
      <c r="E1191" s="31"/>
      <c r="F1191" s="31"/>
      <c r="G1191" s="31"/>
      <c r="H1191" s="31"/>
      <c r="I1191" s="31"/>
      <c r="J1191" s="31"/>
      <c r="K1191" s="31"/>
      <c r="L1191" s="31"/>
      <c r="M1191" s="31"/>
      <c r="N1191" s="31"/>
      <c r="O1191" s="31"/>
      <c r="P1191" s="31"/>
      <c r="Q1191" s="31"/>
      <c r="R1191" s="31"/>
      <c r="S1191" s="31"/>
      <c r="T1191" s="31"/>
      <c r="U1191" s="31"/>
      <c r="V1191" s="31"/>
      <c r="W1191" s="31"/>
      <c r="X1191" s="31"/>
      <c r="Y1191" s="31"/>
      <c r="Z1191" s="31"/>
      <c r="AA1191" s="31"/>
      <c r="AB1191" s="31"/>
      <c r="AC1191" s="31"/>
      <c r="AD1191" s="31"/>
      <c r="AE1191" s="31"/>
      <c r="AF1191" s="31"/>
      <c r="AG1191" s="31"/>
      <c r="AH1191" s="31"/>
      <c r="AI1191" s="31"/>
      <c r="AJ1191" s="31"/>
      <c r="AK1191" s="31"/>
      <c r="AL1191" s="31"/>
      <c r="AM1191" s="31"/>
      <c r="AN1191" s="31"/>
      <c r="AO1191" s="31"/>
      <c r="AP1191" s="31"/>
      <c r="AQ1191" s="31"/>
      <c r="AR1191" s="31"/>
      <c r="AS1191" s="31"/>
      <c r="AT1191" s="31"/>
      <c r="AU1191" s="31"/>
      <c r="AV1191" s="31"/>
      <c r="AW1191" s="31"/>
      <c r="AX1191" s="31"/>
      <c r="AY1191" s="31"/>
      <c r="AZ1191" s="31"/>
      <c r="BA1191" s="31"/>
      <c r="BB1191" s="31"/>
      <c r="BC1191" s="31"/>
      <c r="BD1191" s="31"/>
      <c r="BE1191" s="55" t="s">
        <v>24</v>
      </c>
      <c r="BF1191" s="18"/>
      <c r="BG1191" s="31"/>
      <c r="BH1191" s="2"/>
      <c r="BI1191" s="2"/>
      <c r="BJ1191" s="2"/>
      <c r="BK1191" s="2"/>
      <c r="BL1191" s="22"/>
      <c r="BM1191" s="2"/>
      <c r="BN1191" s="2"/>
      <c r="BO1191" s="2"/>
      <c r="BP1191" s="2"/>
      <c r="BQ1191" s="2"/>
      <c r="BR1191" s="101"/>
    </row>
    <row r="1192" spans="1:136" ht="15.5">
      <c r="A1192" s="93">
        <v>151</v>
      </c>
      <c r="B1192" s="54" t="s">
        <v>149</v>
      </c>
      <c r="C1192" s="94">
        <v>4</v>
      </c>
      <c r="D1192" s="9"/>
      <c r="E1192" s="9"/>
      <c r="F1192" s="9"/>
      <c r="G1192" s="9"/>
      <c r="H1192" s="9"/>
      <c r="I1192" s="9"/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  <c r="AA1192" s="9"/>
      <c r="AB1192" s="9"/>
      <c r="AC1192" s="9"/>
      <c r="AD1192" s="9"/>
      <c r="AE1192" s="9"/>
      <c r="AF1192" s="9"/>
      <c r="AG1192" s="9"/>
      <c r="AH1192" s="9"/>
      <c r="AI1192" s="9">
        <f>SUM(AI1193:AI1195)</f>
        <v>0</v>
      </c>
      <c r="AJ1192" s="9">
        <f t="shared" ref="AJ1192:BO1192" si="2522">SUM(AJ1193:AJ1195)</f>
        <v>0</v>
      </c>
      <c r="AK1192" s="9">
        <f t="shared" si="2522"/>
        <v>0</v>
      </c>
      <c r="AL1192" s="9">
        <f t="shared" si="2522"/>
        <v>38.397319699999997</v>
      </c>
      <c r="AM1192" s="9">
        <f t="shared" si="2522"/>
        <v>139.6400041</v>
      </c>
      <c r="AN1192" s="9">
        <f t="shared" si="2522"/>
        <v>64.606153599999999</v>
      </c>
      <c r="AO1192" s="9">
        <f t="shared" si="2522"/>
        <v>68.382870699999998</v>
      </c>
      <c r="AP1192" s="9">
        <f t="shared" si="2522"/>
        <v>89.487095100000005</v>
      </c>
      <c r="AQ1192" s="9">
        <f t="shared" si="2522"/>
        <v>90.291492000000005</v>
      </c>
      <c r="AR1192" s="9">
        <f t="shared" si="2522"/>
        <v>200.82924850000001</v>
      </c>
      <c r="AS1192" s="9">
        <f t="shared" si="2522"/>
        <v>123.79527490000001</v>
      </c>
      <c r="AT1192" s="9">
        <f t="shared" si="2522"/>
        <v>56.309165099999994</v>
      </c>
      <c r="AU1192" s="9">
        <f t="shared" si="2522"/>
        <v>25.948553999999998</v>
      </c>
      <c r="AV1192" s="9">
        <f t="shared" si="2522"/>
        <v>29.091475800000001</v>
      </c>
      <c r="AW1192" s="9">
        <f t="shared" si="2522"/>
        <v>22.383000000000003</v>
      </c>
      <c r="AX1192" s="9">
        <f t="shared" si="2522"/>
        <v>5.0615440000000005</v>
      </c>
      <c r="AY1192" s="9">
        <f t="shared" si="2522"/>
        <v>5.1360000000000001</v>
      </c>
      <c r="AZ1192" s="9">
        <f t="shared" si="2522"/>
        <v>1.4179999999999999</v>
      </c>
      <c r="BA1192" s="9">
        <f t="shared" si="2522"/>
        <v>1.4179999999999999</v>
      </c>
      <c r="BB1192" s="9">
        <f t="shared" si="2522"/>
        <v>0.94099999999999995</v>
      </c>
      <c r="BC1192" s="9">
        <f t="shared" si="2522"/>
        <v>0</v>
      </c>
      <c r="BD1192" s="9">
        <f t="shared" si="2522"/>
        <v>7.9209999999999992E-3</v>
      </c>
      <c r="BE1192" s="9">
        <f t="shared" si="2522"/>
        <v>0</v>
      </c>
      <c r="BF1192" s="9">
        <f t="shared" si="2522"/>
        <v>0</v>
      </c>
      <c r="BG1192" s="9">
        <f t="shared" si="2522"/>
        <v>0</v>
      </c>
      <c r="BH1192" s="9">
        <f t="shared" si="2522"/>
        <v>0</v>
      </c>
      <c r="BI1192" s="9">
        <f t="shared" si="2522"/>
        <v>0</v>
      </c>
      <c r="BJ1192" s="9">
        <f t="shared" si="2522"/>
        <v>0</v>
      </c>
      <c r="BK1192" s="9">
        <f t="shared" si="2522"/>
        <v>0</v>
      </c>
      <c r="BL1192" s="9">
        <f t="shared" si="2522"/>
        <v>0</v>
      </c>
      <c r="BM1192" s="9">
        <f t="shared" si="2522"/>
        <v>0</v>
      </c>
      <c r="BN1192" s="9">
        <f t="shared" si="2522"/>
        <v>0</v>
      </c>
      <c r="BO1192" s="9">
        <f t="shared" si="2522"/>
        <v>0</v>
      </c>
      <c r="BP1192" s="9">
        <f>SUM(BP1193:BP1195)</f>
        <v>0</v>
      </c>
      <c r="BQ1192" s="9">
        <f>SUM(BQ1193:BQ1195)</f>
        <v>0</v>
      </c>
      <c r="BR1192" s="101"/>
      <c r="BS1192">
        <f t="shared" ref="BS1192:CX1192" si="2523">IF($C1192&lt;&gt;"",IF(D1192&gt;0,1,0),0)</f>
        <v>0</v>
      </c>
      <c r="BT1192">
        <f t="shared" si="2523"/>
        <v>0</v>
      </c>
      <c r="BU1192">
        <f t="shared" si="2523"/>
        <v>0</v>
      </c>
      <c r="BV1192">
        <f t="shared" si="2523"/>
        <v>0</v>
      </c>
      <c r="BW1192">
        <f t="shared" si="2523"/>
        <v>0</v>
      </c>
      <c r="BX1192">
        <f t="shared" si="2523"/>
        <v>0</v>
      </c>
      <c r="BY1192">
        <f t="shared" si="2523"/>
        <v>0</v>
      </c>
      <c r="BZ1192">
        <f t="shared" si="2523"/>
        <v>0</v>
      </c>
      <c r="CA1192">
        <f t="shared" si="2523"/>
        <v>0</v>
      </c>
      <c r="CB1192">
        <f t="shared" si="2523"/>
        <v>0</v>
      </c>
      <c r="CC1192">
        <f t="shared" si="2523"/>
        <v>0</v>
      </c>
      <c r="CD1192">
        <f t="shared" si="2523"/>
        <v>0</v>
      </c>
      <c r="CE1192">
        <f t="shared" si="2523"/>
        <v>0</v>
      </c>
      <c r="CF1192">
        <f t="shared" si="2523"/>
        <v>0</v>
      </c>
      <c r="CG1192">
        <f t="shared" si="2523"/>
        <v>0</v>
      </c>
      <c r="CH1192">
        <f t="shared" si="2523"/>
        <v>0</v>
      </c>
      <c r="CI1192">
        <f t="shared" si="2523"/>
        <v>0</v>
      </c>
      <c r="CJ1192">
        <f t="shared" si="2523"/>
        <v>0</v>
      </c>
      <c r="CK1192">
        <f t="shared" si="2523"/>
        <v>0</v>
      </c>
      <c r="CL1192">
        <f t="shared" si="2523"/>
        <v>0</v>
      </c>
      <c r="CM1192">
        <f t="shared" si="2523"/>
        <v>0</v>
      </c>
      <c r="CN1192">
        <f t="shared" si="2523"/>
        <v>0</v>
      </c>
      <c r="CO1192">
        <f t="shared" si="2523"/>
        <v>0</v>
      </c>
      <c r="CP1192">
        <f t="shared" si="2523"/>
        <v>0</v>
      </c>
      <c r="CQ1192">
        <f t="shared" si="2523"/>
        <v>0</v>
      </c>
      <c r="CR1192">
        <f t="shared" si="2523"/>
        <v>0</v>
      </c>
      <c r="CS1192">
        <f t="shared" si="2523"/>
        <v>0</v>
      </c>
      <c r="CT1192">
        <f t="shared" si="2523"/>
        <v>0</v>
      </c>
      <c r="CU1192">
        <f t="shared" si="2523"/>
        <v>0</v>
      </c>
      <c r="CV1192">
        <f t="shared" si="2523"/>
        <v>0</v>
      </c>
      <c r="CW1192">
        <f t="shared" si="2523"/>
        <v>0</v>
      </c>
      <c r="CX1192">
        <f t="shared" si="2523"/>
        <v>0</v>
      </c>
      <c r="CY1192">
        <f t="shared" ref="CY1192:EF1192" si="2524">IF($C1192&lt;&gt;"",IF(AJ1192&gt;0,1,0),0)</f>
        <v>0</v>
      </c>
      <c r="CZ1192">
        <f t="shared" si="2524"/>
        <v>0</v>
      </c>
      <c r="DA1192">
        <f t="shared" si="2524"/>
        <v>1</v>
      </c>
      <c r="DB1192">
        <f t="shared" si="2524"/>
        <v>1</v>
      </c>
      <c r="DC1192">
        <f t="shared" si="2524"/>
        <v>1</v>
      </c>
      <c r="DD1192">
        <f t="shared" si="2524"/>
        <v>1</v>
      </c>
      <c r="DE1192">
        <f t="shared" si="2524"/>
        <v>1</v>
      </c>
      <c r="DF1192">
        <f t="shared" si="2524"/>
        <v>1</v>
      </c>
      <c r="DG1192">
        <f t="shared" si="2524"/>
        <v>1</v>
      </c>
      <c r="DH1192">
        <f t="shared" si="2524"/>
        <v>1</v>
      </c>
      <c r="DI1192">
        <f t="shared" si="2524"/>
        <v>1</v>
      </c>
      <c r="DJ1192">
        <f t="shared" si="2524"/>
        <v>1</v>
      </c>
      <c r="DK1192">
        <f t="shared" si="2524"/>
        <v>1</v>
      </c>
      <c r="DL1192">
        <f t="shared" si="2524"/>
        <v>1</v>
      </c>
      <c r="DM1192">
        <f t="shared" si="2524"/>
        <v>1</v>
      </c>
      <c r="DN1192">
        <f t="shared" si="2524"/>
        <v>1</v>
      </c>
      <c r="DO1192">
        <f t="shared" si="2524"/>
        <v>1</v>
      </c>
      <c r="DP1192">
        <f t="shared" si="2524"/>
        <v>1</v>
      </c>
      <c r="DQ1192">
        <f t="shared" si="2524"/>
        <v>1</v>
      </c>
      <c r="DR1192">
        <f t="shared" si="2524"/>
        <v>0</v>
      </c>
      <c r="DS1192">
        <f t="shared" si="2524"/>
        <v>1</v>
      </c>
      <c r="DT1192">
        <f t="shared" si="2524"/>
        <v>0</v>
      </c>
      <c r="DU1192">
        <f t="shared" si="2524"/>
        <v>0</v>
      </c>
      <c r="DV1192">
        <f t="shared" si="2524"/>
        <v>0</v>
      </c>
      <c r="DW1192">
        <f t="shared" si="2524"/>
        <v>0</v>
      </c>
      <c r="DX1192">
        <f t="shared" si="2524"/>
        <v>0</v>
      </c>
      <c r="DY1192">
        <f t="shared" si="2524"/>
        <v>0</v>
      </c>
      <c r="DZ1192">
        <f t="shared" si="2524"/>
        <v>0</v>
      </c>
      <c r="EA1192">
        <f t="shared" si="2524"/>
        <v>0</v>
      </c>
      <c r="EB1192">
        <f>IF($C1192&lt;&gt;"",IF(BM1192&gt;0,1,0),0)</f>
        <v>0</v>
      </c>
      <c r="EC1192">
        <f t="shared" si="2524"/>
        <v>0</v>
      </c>
      <c r="ED1192">
        <f t="shared" si="2524"/>
        <v>0</v>
      </c>
      <c r="EE1192">
        <f t="shared" si="2524"/>
        <v>0</v>
      </c>
      <c r="EF1192">
        <f t="shared" si="2524"/>
        <v>0</v>
      </c>
    </row>
    <row r="1193" spans="1:136" ht="15.5">
      <c r="A1193" s="90"/>
      <c r="B1193" s="19" t="s">
        <v>205</v>
      </c>
      <c r="C1193" s="94"/>
      <c r="D1193" s="9"/>
      <c r="E1193" s="9"/>
      <c r="F1193" s="9"/>
      <c r="G1193" s="9"/>
      <c r="H1193" s="9"/>
      <c r="I1193" s="9"/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9"/>
      <c r="AB1193" s="9"/>
      <c r="AC1193" s="9"/>
      <c r="AD1193" s="9"/>
      <c r="AE1193" s="9"/>
      <c r="AF1193" s="9"/>
      <c r="AG1193" s="9"/>
      <c r="AH1193" s="9"/>
      <c r="AI1193" s="34">
        <v>0</v>
      </c>
      <c r="AJ1193" s="34">
        <v>0</v>
      </c>
      <c r="AK1193" s="34">
        <v>0</v>
      </c>
      <c r="AL1193" s="34">
        <v>0</v>
      </c>
      <c r="AM1193" s="34">
        <v>0</v>
      </c>
      <c r="AN1193" s="34">
        <v>1.704</v>
      </c>
      <c r="AO1193" s="34">
        <v>0.63</v>
      </c>
      <c r="AP1193" s="34">
        <v>0</v>
      </c>
      <c r="AQ1193" s="34">
        <v>4.6970000000000001</v>
      </c>
      <c r="AR1193" s="34">
        <v>6.5250000000000004</v>
      </c>
      <c r="AS1193" s="34">
        <v>6.0250000000000004</v>
      </c>
      <c r="AT1193" s="34">
        <v>6.0250000000000004</v>
      </c>
      <c r="AU1193" s="34">
        <v>6.0250000000000004</v>
      </c>
      <c r="AV1193" s="34">
        <v>4.8490000000000002</v>
      </c>
      <c r="AW1193" s="34">
        <v>0.373</v>
      </c>
      <c r="AX1193" s="34">
        <v>0</v>
      </c>
      <c r="AY1193" s="34">
        <v>0</v>
      </c>
      <c r="AZ1193" s="34">
        <v>0</v>
      </c>
      <c r="BA1193" s="34">
        <v>0</v>
      </c>
      <c r="BB1193" s="34">
        <v>0</v>
      </c>
      <c r="BC1193" s="34">
        <v>0</v>
      </c>
      <c r="BD1193" s="34">
        <v>3.9604999999999996E-3</v>
      </c>
      <c r="BE1193" s="42">
        <v>0</v>
      </c>
      <c r="BF1193" s="34">
        <v>0</v>
      </c>
      <c r="BG1193" s="34">
        <v>0</v>
      </c>
      <c r="BH1193" s="34">
        <v>0</v>
      </c>
      <c r="BI1193" s="18">
        <v>0</v>
      </c>
      <c r="BJ1193" s="18">
        <v>0</v>
      </c>
      <c r="BK1193" s="18">
        <v>0</v>
      </c>
      <c r="BL1193" s="18">
        <v>0</v>
      </c>
      <c r="BM1193" s="18">
        <v>0</v>
      </c>
      <c r="BN1193" s="18">
        <v>0</v>
      </c>
      <c r="BO1193" s="18">
        <v>0</v>
      </c>
      <c r="BP1193" s="18">
        <v>0</v>
      </c>
      <c r="BQ1193" s="18">
        <v>0</v>
      </c>
      <c r="BR1193" s="101"/>
    </row>
    <row r="1194" spans="1:136" ht="15.5">
      <c r="A1194" s="90"/>
      <c r="B1194" s="57" t="s">
        <v>3</v>
      </c>
      <c r="C1194" s="95"/>
      <c r="D1194" s="18"/>
      <c r="E1194" s="18"/>
      <c r="F1194" s="18"/>
      <c r="G1194" s="18"/>
      <c r="H1194" s="18"/>
      <c r="I1194" s="18"/>
      <c r="J1194" s="18"/>
      <c r="K1194" s="18"/>
      <c r="L1194" s="18"/>
      <c r="M1194" s="18"/>
      <c r="N1194" s="18"/>
      <c r="O1194" s="18"/>
      <c r="P1194" s="18"/>
      <c r="Q1194" s="18"/>
      <c r="R1194" s="18"/>
      <c r="S1194" s="18"/>
      <c r="T1194" s="18"/>
      <c r="U1194" s="18"/>
      <c r="V1194" s="18"/>
      <c r="W1194" s="18"/>
      <c r="X1194" s="18"/>
      <c r="Y1194" s="18"/>
      <c r="Z1194" s="18"/>
      <c r="AA1194" s="18"/>
      <c r="AB1194" s="18"/>
      <c r="AC1194" s="18"/>
      <c r="AD1194" s="18"/>
      <c r="AE1194" s="18"/>
      <c r="AF1194" s="18"/>
      <c r="AG1194" s="18"/>
      <c r="AH1194" s="18"/>
      <c r="AI1194" s="18">
        <v>0</v>
      </c>
      <c r="AJ1194" s="18">
        <v>0</v>
      </c>
      <c r="AK1194" s="18">
        <v>0</v>
      </c>
      <c r="AL1194" s="18">
        <v>19.891291300000002</v>
      </c>
      <c r="AM1194" s="18">
        <v>119.60785619999999</v>
      </c>
      <c r="AN1194" s="18">
        <f>35.8124662-AN1193</f>
        <v>34.108466200000002</v>
      </c>
      <c r="AO1194" s="18">
        <f>39.1912495-AO1193</f>
        <v>38.561249499999995</v>
      </c>
      <c r="AP1194" s="18">
        <v>55.268441000000003</v>
      </c>
      <c r="AQ1194" s="18">
        <f>47.9599424-AQ1193</f>
        <v>43.2629424</v>
      </c>
      <c r="AR1194" s="18">
        <f>61.9362599-AR1193</f>
        <v>55.411259900000005</v>
      </c>
      <c r="AS1194" s="18">
        <f>20.1828888-AS1193</f>
        <v>14.1578888</v>
      </c>
      <c r="AT1194" s="18">
        <f>17.9848832-AT1193</f>
        <v>11.959883199999998</v>
      </c>
      <c r="AU1194" s="18">
        <f>25.618911-AU1193</f>
        <v>19.593910999999999</v>
      </c>
      <c r="AV1194" s="18">
        <f>27.936415-AV1193</f>
        <v>23.087415</v>
      </c>
      <c r="AW1194" s="18">
        <v>22.01</v>
      </c>
      <c r="AX1194" s="18">
        <v>4.7560000000000002</v>
      </c>
      <c r="AY1194" s="18">
        <v>5.1360000000000001</v>
      </c>
      <c r="AZ1194" s="18">
        <v>1.4179999999999999</v>
      </c>
      <c r="BA1194" s="18">
        <v>1.4179999999999999</v>
      </c>
      <c r="BB1194" s="18">
        <v>0.94099999999999995</v>
      </c>
      <c r="BC1194" s="18">
        <v>0</v>
      </c>
      <c r="BD1194" s="18">
        <v>3.9604999999999996E-3</v>
      </c>
      <c r="BE1194" s="25">
        <v>0</v>
      </c>
      <c r="BF1194" s="18">
        <v>0</v>
      </c>
      <c r="BG1194" s="18">
        <v>0</v>
      </c>
      <c r="BH1194" s="18">
        <v>0</v>
      </c>
      <c r="BI1194" s="18">
        <v>0</v>
      </c>
      <c r="BJ1194" s="18">
        <v>0</v>
      </c>
      <c r="BK1194" s="18">
        <v>0</v>
      </c>
      <c r="BL1194" s="18">
        <v>0</v>
      </c>
      <c r="BM1194" s="18">
        <v>0</v>
      </c>
      <c r="BN1194" s="18">
        <v>0</v>
      </c>
      <c r="BO1194" s="18">
        <v>0</v>
      </c>
      <c r="BP1194" s="18">
        <v>0</v>
      </c>
      <c r="BQ1194" s="18">
        <v>0</v>
      </c>
      <c r="BR1194" s="101"/>
      <c r="BS1194">
        <f t="shared" ref="BS1194:CB1196" si="2525">IF($C1194&lt;&gt;"",IF(D1194&gt;0,1,0),0)</f>
        <v>0</v>
      </c>
      <c r="BT1194">
        <f t="shared" si="2525"/>
        <v>0</v>
      </c>
      <c r="BU1194">
        <f t="shared" si="2525"/>
        <v>0</v>
      </c>
      <c r="BV1194">
        <f t="shared" si="2525"/>
        <v>0</v>
      </c>
      <c r="BW1194">
        <f t="shared" si="2525"/>
        <v>0</v>
      </c>
      <c r="BX1194">
        <f t="shared" si="2525"/>
        <v>0</v>
      </c>
      <c r="BY1194">
        <f t="shared" si="2525"/>
        <v>0</v>
      </c>
      <c r="BZ1194">
        <f t="shared" si="2525"/>
        <v>0</v>
      </c>
      <c r="CA1194">
        <f t="shared" si="2525"/>
        <v>0</v>
      </c>
      <c r="CB1194">
        <f t="shared" si="2525"/>
        <v>0</v>
      </c>
      <c r="CC1194">
        <f t="shared" ref="CC1194:CL1196" si="2526">IF($C1194&lt;&gt;"",IF(N1194&gt;0,1,0),0)</f>
        <v>0</v>
      </c>
      <c r="CD1194">
        <f t="shared" si="2526"/>
        <v>0</v>
      </c>
      <c r="CE1194">
        <f t="shared" si="2526"/>
        <v>0</v>
      </c>
      <c r="CF1194">
        <f t="shared" si="2526"/>
        <v>0</v>
      </c>
      <c r="CG1194">
        <f t="shared" si="2526"/>
        <v>0</v>
      </c>
      <c r="CH1194">
        <f t="shared" si="2526"/>
        <v>0</v>
      </c>
      <c r="CI1194">
        <f t="shared" si="2526"/>
        <v>0</v>
      </c>
      <c r="CJ1194">
        <f t="shared" si="2526"/>
        <v>0</v>
      </c>
      <c r="CK1194">
        <f t="shared" si="2526"/>
        <v>0</v>
      </c>
      <c r="CL1194">
        <f t="shared" si="2526"/>
        <v>0</v>
      </c>
      <c r="CM1194">
        <f t="shared" ref="CM1194:CV1196" si="2527">IF($C1194&lt;&gt;"",IF(X1194&gt;0,1,0),0)</f>
        <v>0</v>
      </c>
      <c r="CN1194">
        <f t="shared" si="2527"/>
        <v>0</v>
      </c>
      <c r="CO1194">
        <f t="shared" si="2527"/>
        <v>0</v>
      </c>
      <c r="CP1194">
        <f t="shared" si="2527"/>
        <v>0</v>
      </c>
      <c r="CQ1194">
        <f t="shared" si="2527"/>
        <v>0</v>
      </c>
      <c r="CR1194">
        <f t="shared" si="2527"/>
        <v>0</v>
      </c>
      <c r="CS1194">
        <f t="shared" si="2527"/>
        <v>0</v>
      </c>
      <c r="CT1194">
        <f t="shared" si="2527"/>
        <v>0</v>
      </c>
      <c r="CU1194">
        <f t="shared" si="2527"/>
        <v>0</v>
      </c>
      <c r="CV1194">
        <f t="shared" si="2527"/>
        <v>0</v>
      </c>
      <c r="CW1194">
        <f t="shared" ref="CW1194:DF1196" si="2528">IF($C1194&lt;&gt;"",IF(AH1194&gt;0,1,0),0)</f>
        <v>0</v>
      </c>
      <c r="CX1194">
        <f t="shared" si="2528"/>
        <v>0</v>
      </c>
      <c r="CY1194">
        <f t="shared" si="2528"/>
        <v>0</v>
      </c>
      <c r="CZ1194">
        <f t="shared" si="2528"/>
        <v>0</v>
      </c>
      <c r="DA1194">
        <f t="shared" si="2528"/>
        <v>0</v>
      </c>
      <c r="DB1194">
        <f t="shared" si="2528"/>
        <v>0</v>
      </c>
      <c r="DC1194">
        <f t="shared" si="2528"/>
        <v>0</v>
      </c>
      <c r="DD1194">
        <f t="shared" si="2528"/>
        <v>0</v>
      </c>
      <c r="DE1194">
        <f t="shared" si="2528"/>
        <v>0</v>
      </c>
      <c r="DF1194">
        <f t="shared" si="2528"/>
        <v>0</v>
      </c>
      <c r="DG1194">
        <f t="shared" ref="DG1194:DP1196" si="2529">IF($C1194&lt;&gt;"",IF(AR1194&gt;0,1,0),0)</f>
        <v>0</v>
      </c>
      <c r="DH1194">
        <f t="shared" si="2529"/>
        <v>0</v>
      </c>
      <c r="DI1194">
        <f t="shared" si="2529"/>
        <v>0</v>
      </c>
      <c r="DJ1194">
        <f t="shared" si="2529"/>
        <v>0</v>
      </c>
      <c r="DK1194">
        <f t="shared" si="2529"/>
        <v>0</v>
      </c>
      <c r="DL1194">
        <f t="shared" si="2529"/>
        <v>0</v>
      </c>
      <c r="DM1194">
        <f t="shared" si="2529"/>
        <v>0</v>
      </c>
      <c r="DN1194">
        <f t="shared" si="2529"/>
        <v>0</v>
      </c>
      <c r="DO1194">
        <f t="shared" si="2529"/>
        <v>0</v>
      </c>
      <c r="DP1194">
        <f t="shared" si="2529"/>
        <v>0</v>
      </c>
      <c r="DQ1194">
        <f t="shared" ref="DQ1194:DZ1196" si="2530">IF($C1194&lt;&gt;"",IF(BB1194&gt;0,1,0),0)</f>
        <v>0</v>
      </c>
      <c r="DR1194">
        <f t="shared" si="2530"/>
        <v>0</v>
      </c>
      <c r="DS1194">
        <f t="shared" si="2530"/>
        <v>0</v>
      </c>
      <c r="DT1194">
        <f t="shared" si="2530"/>
        <v>0</v>
      </c>
      <c r="DU1194">
        <f t="shared" si="2530"/>
        <v>0</v>
      </c>
      <c r="DV1194">
        <f t="shared" si="2530"/>
        <v>0</v>
      </c>
      <c r="DW1194">
        <f t="shared" si="2530"/>
        <v>0</v>
      </c>
      <c r="DX1194">
        <f t="shared" si="2530"/>
        <v>0</v>
      </c>
      <c r="DY1194">
        <f t="shared" si="2530"/>
        <v>0</v>
      </c>
      <c r="DZ1194">
        <f t="shared" si="2530"/>
        <v>0</v>
      </c>
      <c r="EA1194">
        <f t="shared" ref="EA1194:EF1194" si="2531">IF($C1194&lt;&gt;"",IF(BL1192&gt;0,1,0),0)</f>
        <v>0</v>
      </c>
      <c r="EB1194">
        <f t="shared" si="2531"/>
        <v>0</v>
      </c>
      <c r="EC1194">
        <f t="shared" si="2531"/>
        <v>0</v>
      </c>
      <c r="ED1194">
        <f t="shared" si="2531"/>
        <v>0</v>
      </c>
      <c r="EE1194">
        <f t="shared" si="2531"/>
        <v>0</v>
      </c>
      <c r="EF1194">
        <f t="shared" si="2531"/>
        <v>0</v>
      </c>
    </row>
    <row r="1195" spans="1:136" ht="15.5">
      <c r="A1195" s="90"/>
      <c r="B1195" s="19" t="s">
        <v>208</v>
      </c>
      <c r="C1195" s="95"/>
      <c r="D1195" s="18"/>
      <c r="E1195" s="18"/>
      <c r="F1195" s="18"/>
      <c r="G1195" s="18"/>
      <c r="H1195" s="18"/>
      <c r="I1195" s="18"/>
      <c r="J1195" s="18"/>
      <c r="K1195" s="18"/>
      <c r="L1195" s="18"/>
      <c r="M1195" s="18"/>
      <c r="N1195" s="18"/>
      <c r="O1195" s="18"/>
      <c r="P1195" s="18"/>
      <c r="Q1195" s="18"/>
      <c r="R1195" s="18"/>
      <c r="S1195" s="18"/>
      <c r="T1195" s="18"/>
      <c r="U1195" s="18"/>
      <c r="V1195" s="18"/>
      <c r="W1195" s="18"/>
      <c r="X1195" s="18"/>
      <c r="Y1195" s="18"/>
      <c r="Z1195" s="18"/>
      <c r="AA1195" s="18"/>
      <c r="AB1195" s="18"/>
      <c r="AC1195" s="18"/>
      <c r="AD1195" s="18"/>
      <c r="AE1195" s="18"/>
      <c r="AF1195" s="18"/>
      <c r="AG1195" s="18"/>
      <c r="AH1195" s="18"/>
      <c r="AI1195" s="18">
        <v>0</v>
      </c>
      <c r="AJ1195" s="18">
        <v>0</v>
      </c>
      <c r="AK1195" s="18">
        <v>0</v>
      </c>
      <c r="AL1195" s="18">
        <v>18.506028399999998</v>
      </c>
      <c r="AM1195" s="18">
        <v>20.032147899999998</v>
      </c>
      <c r="AN1195" s="18">
        <v>28.7936874</v>
      </c>
      <c r="AO1195" s="18">
        <v>29.191621200000004</v>
      </c>
      <c r="AP1195" s="18">
        <v>34.218654100000002</v>
      </c>
      <c r="AQ1195" s="18">
        <v>42.331549600000002</v>
      </c>
      <c r="AR1195" s="18">
        <v>138.8929886</v>
      </c>
      <c r="AS1195" s="18">
        <v>103.61238610000001</v>
      </c>
      <c r="AT1195" s="18">
        <v>38.324281899999995</v>
      </c>
      <c r="AU1195" s="18">
        <v>0.32964300000000002</v>
      </c>
      <c r="AV1195" s="18">
        <v>1.1550608</v>
      </c>
      <c r="AW1195" s="18">
        <v>0</v>
      </c>
      <c r="AX1195" s="18">
        <v>0.30554399999999998</v>
      </c>
      <c r="AY1195" s="18">
        <v>0</v>
      </c>
      <c r="AZ1195" s="18">
        <v>0</v>
      </c>
      <c r="BA1195" s="18">
        <v>0</v>
      </c>
      <c r="BB1195" s="18">
        <v>0</v>
      </c>
      <c r="BC1195" s="18">
        <v>0</v>
      </c>
      <c r="BD1195" s="18">
        <v>0</v>
      </c>
      <c r="BE1195" s="25">
        <v>0</v>
      </c>
      <c r="BF1195" s="25">
        <v>0</v>
      </c>
      <c r="BG1195" s="25">
        <v>0</v>
      </c>
      <c r="BH1195" s="25">
        <v>0</v>
      </c>
      <c r="BI1195" s="113">
        <v>0</v>
      </c>
      <c r="BJ1195" s="113">
        <v>0</v>
      </c>
      <c r="BK1195" s="113">
        <v>0</v>
      </c>
      <c r="BL1195" s="113">
        <v>0</v>
      </c>
      <c r="BM1195" s="113">
        <v>0</v>
      </c>
      <c r="BN1195" s="113">
        <v>0</v>
      </c>
      <c r="BO1195" s="113">
        <v>0</v>
      </c>
      <c r="BP1195" s="113">
        <v>0</v>
      </c>
      <c r="BQ1195" s="113">
        <v>0</v>
      </c>
      <c r="BR1195" s="101"/>
      <c r="BS1195">
        <f t="shared" si="2525"/>
        <v>0</v>
      </c>
      <c r="BT1195">
        <f t="shared" si="2525"/>
        <v>0</v>
      </c>
      <c r="BU1195">
        <f t="shared" si="2525"/>
        <v>0</v>
      </c>
      <c r="BV1195">
        <f t="shared" si="2525"/>
        <v>0</v>
      </c>
      <c r="BW1195">
        <f t="shared" si="2525"/>
        <v>0</v>
      </c>
      <c r="BX1195">
        <f t="shared" si="2525"/>
        <v>0</v>
      </c>
      <c r="BY1195">
        <f t="shared" si="2525"/>
        <v>0</v>
      </c>
      <c r="BZ1195">
        <f t="shared" si="2525"/>
        <v>0</v>
      </c>
      <c r="CA1195">
        <f t="shared" si="2525"/>
        <v>0</v>
      </c>
      <c r="CB1195">
        <f t="shared" si="2525"/>
        <v>0</v>
      </c>
      <c r="CC1195">
        <f t="shared" si="2526"/>
        <v>0</v>
      </c>
      <c r="CD1195">
        <f t="shared" si="2526"/>
        <v>0</v>
      </c>
      <c r="CE1195">
        <f t="shared" si="2526"/>
        <v>0</v>
      </c>
      <c r="CF1195">
        <f t="shared" si="2526"/>
        <v>0</v>
      </c>
      <c r="CG1195">
        <f t="shared" si="2526"/>
        <v>0</v>
      </c>
      <c r="CH1195">
        <f t="shared" si="2526"/>
        <v>0</v>
      </c>
      <c r="CI1195">
        <f t="shared" si="2526"/>
        <v>0</v>
      </c>
      <c r="CJ1195">
        <f t="shared" si="2526"/>
        <v>0</v>
      </c>
      <c r="CK1195">
        <f t="shared" si="2526"/>
        <v>0</v>
      </c>
      <c r="CL1195">
        <f t="shared" si="2526"/>
        <v>0</v>
      </c>
      <c r="CM1195">
        <f t="shared" si="2527"/>
        <v>0</v>
      </c>
      <c r="CN1195">
        <f t="shared" si="2527"/>
        <v>0</v>
      </c>
      <c r="CO1195">
        <f t="shared" si="2527"/>
        <v>0</v>
      </c>
      <c r="CP1195">
        <f t="shared" si="2527"/>
        <v>0</v>
      </c>
      <c r="CQ1195">
        <f t="shared" si="2527"/>
        <v>0</v>
      </c>
      <c r="CR1195">
        <f t="shared" si="2527"/>
        <v>0</v>
      </c>
      <c r="CS1195">
        <f t="shared" si="2527"/>
        <v>0</v>
      </c>
      <c r="CT1195">
        <f t="shared" si="2527"/>
        <v>0</v>
      </c>
      <c r="CU1195">
        <f t="shared" si="2527"/>
        <v>0</v>
      </c>
      <c r="CV1195">
        <f t="shared" si="2527"/>
        <v>0</v>
      </c>
      <c r="CW1195">
        <f t="shared" si="2528"/>
        <v>0</v>
      </c>
      <c r="CX1195">
        <f t="shared" si="2528"/>
        <v>0</v>
      </c>
      <c r="CY1195">
        <f t="shared" si="2528"/>
        <v>0</v>
      </c>
      <c r="CZ1195">
        <f t="shared" si="2528"/>
        <v>0</v>
      </c>
      <c r="DA1195">
        <f t="shared" si="2528"/>
        <v>0</v>
      </c>
      <c r="DB1195">
        <f t="shared" si="2528"/>
        <v>0</v>
      </c>
      <c r="DC1195">
        <f t="shared" si="2528"/>
        <v>0</v>
      </c>
      <c r="DD1195">
        <f t="shared" si="2528"/>
        <v>0</v>
      </c>
      <c r="DE1195">
        <f t="shared" si="2528"/>
        <v>0</v>
      </c>
      <c r="DF1195">
        <f t="shared" si="2528"/>
        <v>0</v>
      </c>
      <c r="DG1195">
        <f t="shared" si="2529"/>
        <v>0</v>
      </c>
      <c r="DH1195">
        <f t="shared" si="2529"/>
        <v>0</v>
      </c>
      <c r="DI1195">
        <f t="shared" si="2529"/>
        <v>0</v>
      </c>
      <c r="DJ1195">
        <f t="shared" si="2529"/>
        <v>0</v>
      </c>
      <c r="DK1195">
        <f t="shared" si="2529"/>
        <v>0</v>
      </c>
      <c r="DL1195">
        <f t="shared" si="2529"/>
        <v>0</v>
      </c>
      <c r="DM1195">
        <f t="shared" si="2529"/>
        <v>0</v>
      </c>
      <c r="DN1195">
        <f t="shared" si="2529"/>
        <v>0</v>
      </c>
      <c r="DO1195">
        <f t="shared" si="2529"/>
        <v>0</v>
      </c>
      <c r="DP1195">
        <f t="shared" si="2529"/>
        <v>0</v>
      </c>
      <c r="DQ1195">
        <f t="shared" si="2530"/>
        <v>0</v>
      </c>
      <c r="DR1195">
        <f t="shared" si="2530"/>
        <v>0</v>
      </c>
      <c r="DS1195">
        <f t="shared" si="2530"/>
        <v>0</v>
      </c>
      <c r="DT1195">
        <f t="shared" si="2530"/>
        <v>0</v>
      </c>
      <c r="DU1195">
        <f t="shared" si="2530"/>
        <v>0</v>
      </c>
      <c r="DV1195">
        <f t="shared" si="2530"/>
        <v>0</v>
      </c>
      <c r="DW1195">
        <f t="shared" si="2530"/>
        <v>0</v>
      </c>
      <c r="DX1195">
        <f t="shared" si="2530"/>
        <v>0</v>
      </c>
      <c r="DY1195">
        <f t="shared" si="2530"/>
        <v>0</v>
      </c>
      <c r="DZ1195">
        <f t="shared" si="2530"/>
        <v>0</v>
      </c>
      <c r="EA1195">
        <f t="shared" ref="EA1195:EF1195" si="2532">IF($C1195&lt;&gt;"",IF(BL1194&gt;0,1,0),0)</f>
        <v>0</v>
      </c>
      <c r="EB1195">
        <f t="shared" si="2532"/>
        <v>0</v>
      </c>
      <c r="EC1195">
        <f t="shared" si="2532"/>
        <v>0</v>
      </c>
      <c r="ED1195">
        <f t="shared" si="2532"/>
        <v>0</v>
      </c>
      <c r="EE1195">
        <f t="shared" si="2532"/>
        <v>0</v>
      </c>
      <c r="EF1195">
        <f t="shared" si="2532"/>
        <v>0</v>
      </c>
    </row>
    <row r="1196" spans="1:136" ht="15.5">
      <c r="A1196" s="90"/>
      <c r="B1196" s="57" t="s">
        <v>212</v>
      </c>
      <c r="C1196" s="95"/>
      <c r="D1196" s="18"/>
      <c r="E1196" s="18"/>
      <c r="F1196" s="18"/>
      <c r="G1196" s="18"/>
      <c r="H1196" s="18"/>
      <c r="I1196" s="18"/>
      <c r="J1196" s="18"/>
      <c r="K1196" s="18"/>
      <c r="L1196" s="18"/>
      <c r="M1196" s="18"/>
      <c r="N1196" s="18"/>
      <c r="O1196" s="18"/>
      <c r="P1196" s="18"/>
      <c r="Q1196" s="18"/>
      <c r="R1196" s="18"/>
      <c r="S1196" s="18"/>
      <c r="T1196" s="18"/>
      <c r="U1196" s="18"/>
      <c r="V1196" s="18"/>
      <c r="W1196" s="18"/>
      <c r="X1196" s="18"/>
      <c r="Y1196" s="18"/>
      <c r="Z1196" s="18"/>
      <c r="AA1196" s="18"/>
      <c r="AB1196" s="18"/>
      <c r="AC1196" s="18"/>
      <c r="AD1196" s="18"/>
      <c r="AE1196" s="18"/>
      <c r="AF1196" s="18"/>
      <c r="AG1196" s="18"/>
      <c r="AH1196" s="18"/>
      <c r="AI1196" s="18">
        <v>0</v>
      </c>
      <c r="AJ1196" s="18">
        <v>0</v>
      </c>
      <c r="AK1196" s="18">
        <v>0</v>
      </c>
      <c r="AL1196" s="18">
        <v>0</v>
      </c>
      <c r="AM1196" s="18">
        <v>0</v>
      </c>
      <c r="AN1196" s="18">
        <v>19</v>
      </c>
      <c r="AO1196" s="40">
        <f>1700/4165</f>
        <v>0.40816326530612246</v>
      </c>
      <c r="AP1196" s="40">
        <f>1100/5200</f>
        <v>0.21153846153846154</v>
      </c>
      <c r="AQ1196" s="18">
        <v>0</v>
      </c>
      <c r="AR1196" s="18">
        <v>0</v>
      </c>
      <c r="AS1196" s="18">
        <v>0</v>
      </c>
      <c r="AT1196" s="18">
        <v>0</v>
      </c>
      <c r="AU1196" s="18">
        <v>0</v>
      </c>
      <c r="AV1196" s="18">
        <v>0</v>
      </c>
      <c r="AW1196" s="18">
        <v>0</v>
      </c>
      <c r="AX1196" s="18">
        <v>0</v>
      </c>
      <c r="AY1196" s="18">
        <v>0</v>
      </c>
      <c r="AZ1196" s="18">
        <v>0</v>
      </c>
      <c r="BA1196" s="18">
        <v>0</v>
      </c>
      <c r="BB1196" s="18">
        <v>0</v>
      </c>
      <c r="BC1196" s="18">
        <v>0</v>
      </c>
      <c r="BD1196" s="18">
        <v>0</v>
      </c>
      <c r="BE1196" s="25">
        <v>0</v>
      </c>
      <c r="BF1196" s="25">
        <v>0</v>
      </c>
      <c r="BG1196" s="25">
        <v>0</v>
      </c>
      <c r="BH1196" s="25">
        <v>0</v>
      </c>
      <c r="BI1196" s="113">
        <v>0</v>
      </c>
      <c r="BJ1196" s="113">
        <v>0</v>
      </c>
      <c r="BK1196" s="113">
        <v>0</v>
      </c>
      <c r="BL1196" s="113">
        <v>0</v>
      </c>
      <c r="BM1196" s="113">
        <v>0</v>
      </c>
      <c r="BN1196" s="113">
        <v>0</v>
      </c>
      <c r="BO1196" s="113">
        <v>0</v>
      </c>
      <c r="BP1196" s="113">
        <v>0</v>
      </c>
      <c r="BQ1196" s="113">
        <v>0</v>
      </c>
      <c r="BR1196" s="101"/>
      <c r="BS1196">
        <f t="shared" si="2525"/>
        <v>0</v>
      </c>
      <c r="BT1196">
        <f t="shared" si="2525"/>
        <v>0</v>
      </c>
      <c r="BU1196">
        <f t="shared" si="2525"/>
        <v>0</v>
      </c>
      <c r="BV1196">
        <f t="shared" si="2525"/>
        <v>0</v>
      </c>
      <c r="BW1196">
        <f t="shared" si="2525"/>
        <v>0</v>
      </c>
      <c r="BX1196">
        <f t="shared" si="2525"/>
        <v>0</v>
      </c>
      <c r="BY1196">
        <f t="shared" si="2525"/>
        <v>0</v>
      </c>
      <c r="BZ1196">
        <f t="shared" si="2525"/>
        <v>0</v>
      </c>
      <c r="CA1196">
        <f t="shared" si="2525"/>
        <v>0</v>
      </c>
      <c r="CB1196">
        <f t="shared" si="2525"/>
        <v>0</v>
      </c>
      <c r="CC1196">
        <f t="shared" si="2526"/>
        <v>0</v>
      </c>
      <c r="CD1196">
        <f t="shared" si="2526"/>
        <v>0</v>
      </c>
      <c r="CE1196">
        <f t="shared" si="2526"/>
        <v>0</v>
      </c>
      <c r="CF1196">
        <f t="shared" si="2526"/>
        <v>0</v>
      </c>
      <c r="CG1196">
        <f t="shared" si="2526"/>
        <v>0</v>
      </c>
      <c r="CH1196">
        <f t="shared" si="2526"/>
        <v>0</v>
      </c>
      <c r="CI1196">
        <f t="shared" si="2526"/>
        <v>0</v>
      </c>
      <c r="CJ1196">
        <f t="shared" si="2526"/>
        <v>0</v>
      </c>
      <c r="CK1196">
        <f t="shared" si="2526"/>
        <v>0</v>
      </c>
      <c r="CL1196">
        <f t="shared" si="2526"/>
        <v>0</v>
      </c>
      <c r="CM1196">
        <f t="shared" si="2527"/>
        <v>0</v>
      </c>
      <c r="CN1196">
        <f t="shared" si="2527"/>
        <v>0</v>
      </c>
      <c r="CO1196">
        <f t="shared" si="2527"/>
        <v>0</v>
      </c>
      <c r="CP1196">
        <f t="shared" si="2527"/>
        <v>0</v>
      </c>
      <c r="CQ1196">
        <f t="shared" si="2527"/>
        <v>0</v>
      </c>
      <c r="CR1196">
        <f t="shared" si="2527"/>
        <v>0</v>
      </c>
      <c r="CS1196">
        <f t="shared" si="2527"/>
        <v>0</v>
      </c>
      <c r="CT1196">
        <f t="shared" si="2527"/>
        <v>0</v>
      </c>
      <c r="CU1196">
        <f t="shared" si="2527"/>
        <v>0</v>
      </c>
      <c r="CV1196">
        <f t="shared" si="2527"/>
        <v>0</v>
      </c>
      <c r="CW1196">
        <f t="shared" si="2528"/>
        <v>0</v>
      </c>
      <c r="CX1196">
        <f t="shared" si="2528"/>
        <v>0</v>
      </c>
      <c r="CY1196">
        <f t="shared" si="2528"/>
        <v>0</v>
      </c>
      <c r="CZ1196">
        <f t="shared" si="2528"/>
        <v>0</v>
      </c>
      <c r="DA1196">
        <f t="shared" si="2528"/>
        <v>0</v>
      </c>
      <c r="DB1196">
        <f t="shared" si="2528"/>
        <v>0</v>
      </c>
      <c r="DC1196">
        <f t="shared" si="2528"/>
        <v>0</v>
      </c>
      <c r="DD1196">
        <f t="shared" si="2528"/>
        <v>0</v>
      </c>
      <c r="DE1196">
        <f t="shared" si="2528"/>
        <v>0</v>
      </c>
      <c r="DF1196">
        <f t="shared" si="2528"/>
        <v>0</v>
      </c>
      <c r="DG1196">
        <f t="shared" si="2529"/>
        <v>0</v>
      </c>
      <c r="DH1196">
        <f t="shared" si="2529"/>
        <v>0</v>
      </c>
      <c r="DI1196">
        <f t="shared" si="2529"/>
        <v>0</v>
      </c>
      <c r="DJ1196">
        <f t="shared" si="2529"/>
        <v>0</v>
      </c>
      <c r="DK1196">
        <f t="shared" si="2529"/>
        <v>0</v>
      </c>
      <c r="DL1196">
        <f t="shared" si="2529"/>
        <v>0</v>
      </c>
      <c r="DM1196">
        <f t="shared" si="2529"/>
        <v>0</v>
      </c>
      <c r="DN1196">
        <f t="shared" si="2529"/>
        <v>0</v>
      </c>
      <c r="DO1196">
        <f t="shared" si="2529"/>
        <v>0</v>
      </c>
      <c r="DP1196">
        <f t="shared" si="2529"/>
        <v>0</v>
      </c>
      <c r="DQ1196">
        <f t="shared" si="2530"/>
        <v>0</v>
      </c>
      <c r="DR1196">
        <f t="shared" si="2530"/>
        <v>0</v>
      </c>
      <c r="DS1196">
        <f t="shared" si="2530"/>
        <v>0</v>
      </c>
      <c r="DT1196">
        <f t="shared" si="2530"/>
        <v>0</v>
      </c>
      <c r="DU1196">
        <f t="shared" si="2530"/>
        <v>0</v>
      </c>
      <c r="DV1196">
        <f t="shared" si="2530"/>
        <v>0</v>
      </c>
      <c r="DW1196">
        <f t="shared" si="2530"/>
        <v>0</v>
      </c>
      <c r="DX1196">
        <f t="shared" si="2530"/>
        <v>0</v>
      </c>
      <c r="DY1196">
        <f t="shared" si="2530"/>
        <v>0</v>
      </c>
      <c r="DZ1196">
        <f t="shared" si="2530"/>
        <v>0</v>
      </c>
      <c r="EA1196">
        <f t="shared" ref="EA1196:EF1196" si="2533">IF($C1196&lt;&gt;"",IF(BL1196&gt;0,1,0),0)</f>
        <v>0</v>
      </c>
      <c r="EB1196">
        <f t="shared" si="2533"/>
        <v>0</v>
      </c>
      <c r="EC1196">
        <f t="shared" si="2533"/>
        <v>0</v>
      </c>
      <c r="ED1196">
        <f t="shared" si="2533"/>
        <v>0</v>
      </c>
      <c r="EE1196">
        <f t="shared" si="2533"/>
        <v>0</v>
      </c>
      <c r="EF1196">
        <f t="shared" si="2533"/>
        <v>0</v>
      </c>
    </row>
    <row r="1197" spans="1:136" ht="15.5">
      <c r="A1197" s="90"/>
      <c r="B1197" s="37"/>
      <c r="C1197" s="96"/>
      <c r="D1197" s="18"/>
      <c r="E1197" s="18"/>
      <c r="F1197" s="18"/>
      <c r="G1197" s="18"/>
      <c r="H1197" s="18"/>
      <c r="I1197" s="18"/>
      <c r="J1197" s="18"/>
      <c r="K1197" s="18"/>
      <c r="L1197" s="18"/>
      <c r="M1197" s="18"/>
      <c r="N1197" s="18"/>
      <c r="O1197" s="18"/>
      <c r="P1197" s="18"/>
      <c r="Q1197" s="18"/>
      <c r="R1197" s="18"/>
      <c r="S1197" s="18"/>
      <c r="T1197" s="18"/>
      <c r="U1197" s="18"/>
      <c r="V1197" s="18"/>
      <c r="W1197" s="18"/>
      <c r="X1197" s="18"/>
      <c r="Y1197" s="18"/>
      <c r="Z1197" s="18"/>
      <c r="AA1197" s="18"/>
      <c r="AB1197" s="18"/>
      <c r="AC1197" s="18"/>
      <c r="AD1197" s="18"/>
      <c r="AE1197" s="18"/>
      <c r="AF1197" s="18"/>
      <c r="AG1197" s="18"/>
      <c r="AH1197" s="18"/>
      <c r="AI1197" s="18"/>
      <c r="AJ1197" s="18"/>
      <c r="AK1197" s="18"/>
      <c r="AL1197" s="18"/>
      <c r="AM1197" s="18"/>
      <c r="AN1197" s="18"/>
      <c r="AO1197" s="18"/>
      <c r="AP1197" s="31"/>
      <c r="AQ1197" s="18"/>
      <c r="AR1197" s="18"/>
      <c r="AS1197" s="18"/>
      <c r="AT1197" s="18"/>
      <c r="AU1197" s="18"/>
      <c r="AV1197" s="18"/>
      <c r="AW1197" s="18"/>
      <c r="AX1197" s="18"/>
      <c r="AY1197" s="18"/>
      <c r="AZ1197" s="18"/>
      <c r="BA1197" s="18"/>
      <c r="BB1197" s="18"/>
      <c r="BC1197" s="18"/>
      <c r="BD1197" s="18"/>
      <c r="BE1197" s="25"/>
      <c r="BF1197" s="25"/>
      <c r="BG1197" s="18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101"/>
    </row>
    <row r="1198" spans="1:136" ht="15.5">
      <c r="A1198" s="93">
        <v>152</v>
      </c>
      <c r="B1198" s="54" t="s">
        <v>220</v>
      </c>
      <c r="C1198" s="94">
        <v>4</v>
      </c>
      <c r="D1198" s="18"/>
      <c r="E1198" s="18"/>
      <c r="F1198" s="18"/>
      <c r="G1198" s="18"/>
      <c r="H1198" s="18"/>
      <c r="I1198" s="18"/>
      <c r="J1198" s="18"/>
      <c r="K1198" s="18"/>
      <c r="L1198" s="18"/>
      <c r="M1198" s="18"/>
      <c r="N1198" s="18"/>
      <c r="O1198" s="18"/>
      <c r="P1198" s="18"/>
      <c r="Q1198" s="18"/>
      <c r="R1198" s="18"/>
      <c r="S1198" s="18"/>
      <c r="T1198" s="18"/>
      <c r="U1198" s="18"/>
      <c r="V1198" s="18"/>
      <c r="W1198" s="18"/>
      <c r="X1198" s="18"/>
      <c r="Y1198" s="18"/>
      <c r="Z1198" s="18"/>
      <c r="AA1198" s="18"/>
      <c r="AB1198" s="18"/>
      <c r="AC1198" s="18"/>
      <c r="AD1198" s="18"/>
      <c r="AE1198" s="18"/>
      <c r="AF1198" s="18"/>
      <c r="AG1198" s="18"/>
      <c r="AH1198" s="18"/>
      <c r="AI1198" s="18"/>
      <c r="AJ1198" s="18"/>
      <c r="AK1198" s="18"/>
      <c r="AL1198" s="18"/>
      <c r="AM1198" s="18"/>
      <c r="AN1198" s="18"/>
      <c r="AO1198" s="18"/>
      <c r="AP1198" s="31"/>
      <c r="AQ1198" s="18"/>
      <c r="AR1198" s="18"/>
      <c r="AS1198" s="18"/>
      <c r="AT1198" s="18"/>
      <c r="AU1198" s="18"/>
      <c r="AV1198" s="18"/>
      <c r="AW1198" s="18"/>
      <c r="AX1198" s="18"/>
      <c r="AY1198" s="18"/>
      <c r="AZ1198" s="18"/>
      <c r="BA1198" s="18"/>
      <c r="BB1198" s="18"/>
      <c r="BC1198" s="18"/>
      <c r="BD1198" s="18"/>
      <c r="BE1198" s="25"/>
      <c r="BF1198" s="18"/>
      <c r="BG1198" s="18"/>
      <c r="BH1198" s="2"/>
      <c r="BI1198" s="2"/>
      <c r="BJ1198" s="2"/>
      <c r="BK1198" s="2"/>
      <c r="BL1198" s="113"/>
      <c r="BM1198" s="2"/>
      <c r="BN1198" s="2"/>
      <c r="BO1198" s="2"/>
      <c r="BP1198" s="2"/>
      <c r="BQ1198" s="2"/>
      <c r="BR1198" s="101"/>
    </row>
    <row r="1199" spans="1:136" ht="15.5">
      <c r="A1199" s="90"/>
      <c r="B1199" s="53" t="s">
        <v>212</v>
      </c>
      <c r="C1199" s="96"/>
      <c r="D1199" s="18"/>
      <c r="E1199" s="18"/>
      <c r="F1199" s="18"/>
      <c r="G1199" s="18"/>
      <c r="H1199" s="18"/>
      <c r="I1199" s="18"/>
      <c r="J1199" s="18"/>
      <c r="K1199" s="18"/>
      <c r="L1199" s="18"/>
      <c r="M1199" s="18"/>
      <c r="N1199" s="18"/>
      <c r="O1199" s="18"/>
      <c r="P1199" s="18"/>
      <c r="Q1199" s="18"/>
      <c r="R1199" s="18"/>
      <c r="S1199" s="18"/>
      <c r="T1199" s="18"/>
      <c r="U1199" s="18"/>
      <c r="V1199" s="18"/>
      <c r="W1199" s="18"/>
      <c r="X1199" s="18"/>
      <c r="Y1199" s="18"/>
      <c r="Z1199" s="18"/>
      <c r="AA1199" s="18"/>
      <c r="AB1199" s="18"/>
      <c r="AC1199" s="18"/>
      <c r="AD1199" s="18"/>
      <c r="AE1199" s="18"/>
      <c r="AF1199" s="18"/>
      <c r="AG1199" s="18"/>
      <c r="AH1199" s="18"/>
      <c r="AI1199" s="18"/>
      <c r="AJ1199" s="18"/>
      <c r="AK1199" s="18"/>
      <c r="AL1199" s="18"/>
      <c r="AM1199" s="18"/>
      <c r="AN1199" s="18"/>
      <c r="AO1199" s="18"/>
      <c r="AP1199" s="31"/>
      <c r="AQ1199" s="18"/>
      <c r="AR1199" s="18"/>
      <c r="AS1199" s="18"/>
      <c r="AT1199" s="18"/>
      <c r="AU1199" s="18"/>
      <c r="AV1199" s="18"/>
      <c r="AW1199" s="18"/>
      <c r="AX1199" s="18"/>
      <c r="AY1199" s="18"/>
      <c r="AZ1199" s="18"/>
      <c r="BA1199" s="18"/>
      <c r="BB1199" s="18">
        <v>0</v>
      </c>
      <c r="BC1199" s="18">
        <v>0</v>
      </c>
      <c r="BD1199" s="18">
        <v>0</v>
      </c>
      <c r="BE1199" s="25">
        <v>0</v>
      </c>
      <c r="BF1199" s="18">
        <v>0</v>
      </c>
      <c r="BG1199" s="18">
        <v>0</v>
      </c>
      <c r="BH1199" s="113">
        <v>0</v>
      </c>
      <c r="BI1199" s="113">
        <v>0.86</v>
      </c>
      <c r="BJ1199" s="113">
        <v>0.86</v>
      </c>
      <c r="BK1199" s="113">
        <v>0.86</v>
      </c>
      <c r="BL1199" s="113">
        <v>0.86</v>
      </c>
      <c r="BM1199" s="113">
        <v>0</v>
      </c>
      <c r="BN1199" s="113">
        <v>0</v>
      </c>
      <c r="BO1199" s="113">
        <v>0</v>
      </c>
      <c r="BP1199" s="113">
        <v>0</v>
      </c>
      <c r="BQ1199" s="113">
        <v>0</v>
      </c>
      <c r="BR1199" s="101"/>
      <c r="BS1199">
        <f t="shared" ref="BS1199:CX1199" si="2534">IF($C1199&lt;&gt;"",IF(D1199&gt;0,1,0),0)</f>
        <v>0</v>
      </c>
      <c r="BT1199">
        <f t="shared" si="2534"/>
        <v>0</v>
      </c>
      <c r="BU1199">
        <f t="shared" si="2534"/>
        <v>0</v>
      </c>
      <c r="BV1199">
        <f t="shared" si="2534"/>
        <v>0</v>
      </c>
      <c r="BW1199">
        <f t="shared" si="2534"/>
        <v>0</v>
      </c>
      <c r="BX1199">
        <f t="shared" si="2534"/>
        <v>0</v>
      </c>
      <c r="BY1199">
        <f t="shared" si="2534"/>
        <v>0</v>
      </c>
      <c r="BZ1199">
        <f t="shared" si="2534"/>
        <v>0</v>
      </c>
      <c r="CA1199">
        <f t="shared" si="2534"/>
        <v>0</v>
      </c>
      <c r="CB1199">
        <f t="shared" si="2534"/>
        <v>0</v>
      </c>
      <c r="CC1199">
        <f t="shared" si="2534"/>
        <v>0</v>
      </c>
      <c r="CD1199">
        <f t="shared" si="2534"/>
        <v>0</v>
      </c>
      <c r="CE1199">
        <f t="shared" si="2534"/>
        <v>0</v>
      </c>
      <c r="CF1199">
        <f t="shared" si="2534"/>
        <v>0</v>
      </c>
      <c r="CG1199">
        <f t="shared" si="2534"/>
        <v>0</v>
      </c>
      <c r="CH1199">
        <f t="shared" si="2534"/>
        <v>0</v>
      </c>
      <c r="CI1199">
        <f t="shared" si="2534"/>
        <v>0</v>
      </c>
      <c r="CJ1199">
        <f t="shared" si="2534"/>
        <v>0</v>
      </c>
      <c r="CK1199">
        <f t="shared" si="2534"/>
        <v>0</v>
      </c>
      <c r="CL1199">
        <f t="shared" si="2534"/>
        <v>0</v>
      </c>
      <c r="CM1199">
        <f t="shared" si="2534"/>
        <v>0</v>
      </c>
      <c r="CN1199">
        <f t="shared" si="2534"/>
        <v>0</v>
      </c>
      <c r="CO1199">
        <f t="shared" si="2534"/>
        <v>0</v>
      </c>
      <c r="CP1199">
        <f t="shared" si="2534"/>
        <v>0</v>
      </c>
      <c r="CQ1199">
        <f t="shared" si="2534"/>
        <v>0</v>
      </c>
      <c r="CR1199">
        <f t="shared" si="2534"/>
        <v>0</v>
      </c>
      <c r="CS1199">
        <f t="shared" si="2534"/>
        <v>0</v>
      </c>
      <c r="CT1199">
        <f t="shared" si="2534"/>
        <v>0</v>
      </c>
      <c r="CU1199">
        <f t="shared" si="2534"/>
        <v>0</v>
      </c>
      <c r="CV1199">
        <f t="shared" si="2534"/>
        <v>0</v>
      </c>
      <c r="CW1199">
        <f t="shared" si="2534"/>
        <v>0</v>
      </c>
      <c r="CX1199">
        <f t="shared" si="2534"/>
        <v>0</v>
      </c>
      <c r="CY1199">
        <f t="shared" ref="CY1199:EF1199" si="2535">IF($C1199&lt;&gt;"",IF(AJ1199&gt;0,1,0),0)</f>
        <v>0</v>
      </c>
      <c r="CZ1199">
        <f t="shared" si="2535"/>
        <v>0</v>
      </c>
      <c r="DA1199">
        <f t="shared" si="2535"/>
        <v>0</v>
      </c>
      <c r="DB1199">
        <f t="shared" si="2535"/>
        <v>0</v>
      </c>
      <c r="DC1199">
        <f t="shared" si="2535"/>
        <v>0</v>
      </c>
      <c r="DD1199">
        <f t="shared" si="2535"/>
        <v>0</v>
      </c>
      <c r="DE1199">
        <f t="shared" si="2535"/>
        <v>0</v>
      </c>
      <c r="DF1199">
        <f t="shared" si="2535"/>
        <v>0</v>
      </c>
      <c r="DG1199">
        <f t="shared" si="2535"/>
        <v>0</v>
      </c>
      <c r="DH1199">
        <f t="shared" si="2535"/>
        <v>0</v>
      </c>
      <c r="DI1199">
        <f t="shared" si="2535"/>
        <v>0</v>
      </c>
      <c r="DJ1199">
        <f t="shared" si="2535"/>
        <v>0</v>
      </c>
      <c r="DK1199">
        <f t="shared" si="2535"/>
        <v>0</v>
      </c>
      <c r="DL1199">
        <f t="shared" si="2535"/>
        <v>0</v>
      </c>
      <c r="DM1199">
        <f t="shared" si="2535"/>
        <v>0</v>
      </c>
      <c r="DN1199">
        <f t="shared" si="2535"/>
        <v>0</v>
      </c>
      <c r="DO1199">
        <f t="shared" si="2535"/>
        <v>0</v>
      </c>
      <c r="DP1199">
        <f t="shared" si="2535"/>
        <v>0</v>
      </c>
      <c r="DQ1199">
        <f t="shared" si="2535"/>
        <v>0</v>
      </c>
      <c r="DR1199">
        <f t="shared" si="2535"/>
        <v>0</v>
      </c>
      <c r="DS1199">
        <f t="shared" si="2535"/>
        <v>0</v>
      </c>
      <c r="DT1199">
        <f t="shared" si="2535"/>
        <v>0</v>
      </c>
      <c r="DU1199">
        <f t="shared" si="2535"/>
        <v>0</v>
      </c>
      <c r="DV1199">
        <f t="shared" si="2535"/>
        <v>0</v>
      </c>
      <c r="DW1199">
        <f t="shared" si="2535"/>
        <v>0</v>
      </c>
      <c r="DX1199">
        <f t="shared" si="2535"/>
        <v>0</v>
      </c>
      <c r="DY1199">
        <f t="shared" si="2535"/>
        <v>0</v>
      </c>
      <c r="DZ1199">
        <f t="shared" si="2535"/>
        <v>0</v>
      </c>
      <c r="EA1199">
        <f t="shared" si="2535"/>
        <v>0</v>
      </c>
      <c r="EB1199">
        <f>IF($C1199&lt;&gt;"",IF(BM1199&gt;0,1,0),0)</f>
        <v>0</v>
      </c>
      <c r="EC1199">
        <f t="shared" si="2535"/>
        <v>0</v>
      </c>
      <c r="ED1199">
        <f t="shared" si="2535"/>
        <v>0</v>
      </c>
      <c r="EE1199">
        <f t="shared" si="2535"/>
        <v>0</v>
      </c>
      <c r="EF1199">
        <f t="shared" si="2535"/>
        <v>0</v>
      </c>
    </row>
    <row r="1200" spans="1:136" ht="15.5">
      <c r="A1200" s="90"/>
      <c r="B1200" s="37"/>
      <c r="C1200" s="96"/>
      <c r="D1200" s="18"/>
      <c r="E1200" s="18"/>
      <c r="F1200" s="18"/>
      <c r="G1200" s="18"/>
      <c r="H1200" s="18"/>
      <c r="I1200" s="18"/>
      <c r="J1200" s="18"/>
      <c r="K1200" s="18"/>
      <c r="L1200" s="18"/>
      <c r="M1200" s="18"/>
      <c r="N1200" s="18"/>
      <c r="O1200" s="18"/>
      <c r="P1200" s="18"/>
      <c r="Q1200" s="18"/>
      <c r="R1200" s="18"/>
      <c r="S1200" s="18"/>
      <c r="T1200" s="18"/>
      <c r="U1200" s="18"/>
      <c r="V1200" s="18"/>
      <c r="W1200" s="18"/>
      <c r="X1200" s="18"/>
      <c r="Y1200" s="18"/>
      <c r="Z1200" s="18"/>
      <c r="AA1200" s="18"/>
      <c r="AB1200" s="18"/>
      <c r="AC1200" s="18"/>
      <c r="AD1200" s="18"/>
      <c r="AE1200" s="18"/>
      <c r="AF1200" s="18"/>
      <c r="AG1200" s="18"/>
      <c r="AH1200" s="18"/>
      <c r="AI1200" s="18"/>
      <c r="AJ1200" s="18"/>
      <c r="AK1200" s="18"/>
      <c r="AL1200" s="18"/>
      <c r="AM1200" s="18"/>
      <c r="AN1200" s="18"/>
      <c r="AO1200" s="18"/>
      <c r="AP1200" s="31"/>
      <c r="AQ1200" s="18"/>
      <c r="AR1200" s="18"/>
      <c r="AS1200" s="18"/>
      <c r="AT1200" s="18"/>
      <c r="AU1200" s="18"/>
      <c r="AV1200" s="18"/>
      <c r="AW1200" s="18"/>
      <c r="AX1200" s="18"/>
      <c r="AY1200" s="18"/>
      <c r="AZ1200" s="18"/>
      <c r="BA1200" s="18"/>
      <c r="BB1200" s="18"/>
      <c r="BC1200" s="18"/>
      <c r="BD1200" s="18"/>
      <c r="BE1200" s="25"/>
      <c r="BF1200" s="18"/>
      <c r="BG1200" s="18"/>
      <c r="BH1200" s="2"/>
      <c r="BI1200" s="2"/>
      <c r="BJ1200" s="2"/>
      <c r="BK1200" s="2"/>
      <c r="BL1200" s="22"/>
      <c r="BM1200" s="2"/>
      <c r="BN1200" s="2"/>
      <c r="BO1200" s="2"/>
      <c r="BP1200" s="2"/>
      <c r="BQ1200" s="2"/>
      <c r="BR1200" s="101"/>
    </row>
    <row r="1201" spans="1:136" ht="15.5">
      <c r="A1201" s="93">
        <v>153</v>
      </c>
      <c r="B1201" s="32" t="s">
        <v>150</v>
      </c>
      <c r="C1201" s="95">
        <v>3</v>
      </c>
      <c r="D1201" s="18"/>
      <c r="E1201" s="22"/>
      <c r="F1201" s="22">
        <f t="shared" ref="F1201:AK1201" si="2536">SUM(F1202:F1206)</f>
        <v>0</v>
      </c>
      <c r="G1201" s="22">
        <f t="shared" si="2536"/>
        <v>0</v>
      </c>
      <c r="H1201" s="22">
        <f t="shared" si="2536"/>
        <v>0</v>
      </c>
      <c r="I1201" s="22">
        <f t="shared" si="2536"/>
        <v>0</v>
      </c>
      <c r="J1201" s="22">
        <f t="shared" si="2536"/>
        <v>0</v>
      </c>
      <c r="K1201" s="22">
        <f t="shared" si="2536"/>
        <v>0</v>
      </c>
      <c r="L1201" s="22">
        <f t="shared" si="2536"/>
        <v>0</v>
      </c>
      <c r="M1201" s="22">
        <f t="shared" si="2536"/>
        <v>0</v>
      </c>
      <c r="N1201" s="22">
        <f t="shared" si="2536"/>
        <v>0.06</v>
      </c>
      <c r="O1201" s="22">
        <f t="shared" si="2536"/>
        <v>6.6359799999999997E-2</v>
      </c>
      <c r="P1201" s="22">
        <f t="shared" si="2536"/>
        <v>0.43190699999999999</v>
      </c>
      <c r="Q1201" s="22">
        <f t="shared" si="2536"/>
        <v>0.57372380000000001</v>
      </c>
      <c r="R1201" s="22">
        <f t="shared" si="2536"/>
        <v>1.0037069999999999</v>
      </c>
      <c r="S1201" s="22">
        <f t="shared" si="2536"/>
        <v>4.3152606999999996</v>
      </c>
      <c r="T1201" s="22">
        <f t="shared" si="2536"/>
        <v>12.8067861</v>
      </c>
      <c r="U1201" s="22">
        <f t="shared" si="2536"/>
        <v>15.7443557</v>
      </c>
      <c r="V1201" s="22">
        <f t="shared" si="2536"/>
        <v>40.096421300000003</v>
      </c>
      <c r="W1201" s="22">
        <f t="shared" si="2536"/>
        <v>66.784083899999999</v>
      </c>
      <c r="X1201" s="22">
        <f t="shared" si="2536"/>
        <v>100.606565</v>
      </c>
      <c r="Y1201" s="22">
        <f t="shared" si="2536"/>
        <v>74.471884299999999</v>
      </c>
      <c r="Z1201" s="22">
        <f t="shared" si="2536"/>
        <v>56.216842800000009</v>
      </c>
      <c r="AA1201" s="22">
        <f t="shared" si="2536"/>
        <v>39.037234900000001</v>
      </c>
      <c r="AB1201" s="22">
        <f t="shared" si="2536"/>
        <v>47.962740199999999</v>
      </c>
      <c r="AC1201" s="22">
        <f t="shared" si="2536"/>
        <v>68.178027099999994</v>
      </c>
      <c r="AD1201" s="22">
        <f t="shared" si="2536"/>
        <v>107.2423606</v>
      </c>
      <c r="AE1201" s="22">
        <f t="shared" si="2536"/>
        <v>368.20487179999998</v>
      </c>
      <c r="AF1201" s="22">
        <f t="shared" si="2536"/>
        <v>185.90849329999998</v>
      </c>
      <c r="AG1201" s="22">
        <f t="shared" si="2536"/>
        <v>232.3317309</v>
      </c>
      <c r="AH1201" s="22">
        <f t="shared" si="2536"/>
        <v>399.9937989</v>
      </c>
      <c r="AI1201" s="22">
        <f t="shared" si="2536"/>
        <v>464.26077770000006</v>
      </c>
      <c r="AJ1201" s="22">
        <f t="shared" si="2536"/>
        <v>419.1546836</v>
      </c>
      <c r="AK1201" s="22">
        <f t="shared" si="2536"/>
        <v>425.12117539999997</v>
      </c>
      <c r="AL1201" s="22">
        <f t="shared" ref="AL1201:BQ1201" si="2537">SUM(AL1202:AL1206)</f>
        <v>465.28102509999997</v>
      </c>
      <c r="AM1201" s="22">
        <f t="shared" si="2537"/>
        <v>511.96678529999997</v>
      </c>
      <c r="AN1201" s="22">
        <f t="shared" si="2537"/>
        <v>282.3952476</v>
      </c>
      <c r="AO1201" s="22">
        <f t="shared" si="2537"/>
        <v>340.64085729999999</v>
      </c>
      <c r="AP1201" s="22">
        <f t="shared" si="2537"/>
        <v>397.11494289999996</v>
      </c>
      <c r="AQ1201" s="22">
        <f t="shared" si="2537"/>
        <v>260.39676980000002</v>
      </c>
      <c r="AR1201" s="22">
        <f t="shared" si="2537"/>
        <v>309.37729590000004</v>
      </c>
      <c r="AS1201" s="22">
        <f t="shared" si="2537"/>
        <v>323.43369229999996</v>
      </c>
      <c r="AT1201" s="22">
        <f t="shared" si="2537"/>
        <v>352.21122319999995</v>
      </c>
      <c r="AU1201" s="22">
        <f t="shared" si="2537"/>
        <v>345.96429000000001</v>
      </c>
      <c r="AV1201" s="22">
        <f t="shared" si="2537"/>
        <v>305.27971960000002</v>
      </c>
      <c r="AW1201" s="22">
        <f t="shared" si="2537"/>
        <v>113.4337077</v>
      </c>
      <c r="AX1201" s="22">
        <f t="shared" si="2537"/>
        <v>3652.3273448999998</v>
      </c>
      <c r="AY1201" s="22">
        <f t="shared" si="2537"/>
        <v>99.267984300000009</v>
      </c>
      <c r="AZ1201" s="22">
        <f t="shared" si="2537"/>
        <v>83.759441900000013</v>
      </c>
      <c r="BA1201" s="22">
        <f t="shared" si="2537"/>
        <v>77.024477500000003</v>
      </c>
      <c r="BB1201" s="22">
        <f t="shared" si="2537"/>
        <v>103.6483532</v>
      </c>
      <c r="BC1201" s="22">
        <f t="shared" si="2537"/>
        <v>76.951662200000001</v>
      </c>
      <c r="BD1201" s="22">
        <f t="shared" si="2537"/>
        <v>76.955370299999998</v>
      </c>
      <c r="BE1201" s="22">
        <f t="shared" si="2537"/>
        <v>77.284771500000005</v>
      </c>
      <c r="BF1201" s="22">
        <f t="shared" si="2537"/>
        <v>85.061157099999988</v>
      </c>
      <c r="BG1201" s="22">
        <f t="shared" si="2537"/>
        <v>70.115333399999997</v>
      </c>
      <c r="BH1201" s="22">
        <f t="shared" si="2537"/>
        <v>70.013830199999987</v>
      </c>
      <c r="BI1201" s="22">
        <f t="shared" si="2537"/>
        <v>70.118536599999999</v>
      </c>
      <c r="BJ1201" s="22">
        <f t="shared" si="2537"/>
        <v>70.488640599999997</v>
      </c>
      <c r="BK1201" s="22">
        <f t="shared" si="2537"/>
        <v>70.482585799999995</v>
      </c>
      <c r="BL1201" s="22">
        <f t="shared" si="2537"/>
        <v>70.531937299999996</v>
      </c>
      <c r="BM1201" s="22">
        <f t="shared" si="2537"/>
        <v>70.672024300000018</v>
      </c>
      <c r="BN1201" s="22">
        <f t="shared" si="2537"/>
        <v>70.455992599999988</v>
      </c>
      <c r="BO1201" s="22">
        <f t="shared" si="2537"/>
        <v>72</v>
      </c>
      <c r="BP1201" s="22">
        <f t="shared" si="2537"/>
        <v>70</v>
      </c>
      <c r="BQ1201" s="22">
        <f t="shared" si="2537"/>
        <v>71</v>
      </c>
      <c r="BR1201" s="101"/>
      <c r="BS1201">
        <f t="shared" ref="BS1201:CX1201" si="2538">IF($C1201&lt;&gt;"",IF(D1201&gt;0,1,0),0)</f>
        <v>0</v>
      </c>
      <c r="BT1201">
        <f t="shared" si="2538"/>
        <v>0</v>
      </c>
      <c r="BU1201">
        <f t="shared" si="2538"/>
        <v>0</v>
      </c>
      <c r="BV1201">
        <f t="shared" si="2538"/>
        <v>0</v>
      </c>
      <c r="BW1201">
        <f t="shared" si="2538"/>
        <v>0</v>
      </c>
      <c r="BX1201">
        <f t="shared" si="2538"/>
        <v>0</v>
      </c>
      <c r="BY1201">
        <f t="shared" si="2538"/>
        <v>0</v>
      </c>
      <c r="BZ1201">
        <f t="shared" si="2538"/>
        <v>0</v>
      </c>
      <c r="CA1201">
        <f t="shared" si="2538"/>
        <v>0</v>
      </c>
      <c r="CB1201">
        <f t="shared" si="2538"/>
        <v>0</v>
      </c>
      <c r="CC1201">
        <f t="shared" si="2538"/>
        <v>1</v>
      </c>
      <c r="CD1201">
        <f t="shared" si="2538"/>
        <v>1</v>
      </c>
      <c r="CE1201">
        <f t="shared" si="2538"/>
        <v>1</v>
      </c>
      <c r="CF1201">
        <f t="shared" si="2538"/>
        <v>1</v>
      </c>
      <c r="CG1201">
        <f t="shared" si="2538"/>
        <v>1</v>
      </c>
      <c r="CH1201">
        <f t="shared" si="2538"/>
        <v>1</v>
      </c>
      <c r="CI1201">
        <f t="shared" si="2538"/>
        <v>1</v>
      </c>
      <c r="CJ1201">
        <f t="shared" si="2538"/>
        <v>1</v>
      </c>
      <c r="CK1201">
        <f t="shared" si="2538"/>
        <v>1</v>
      </c>
      <c r="CL1201">
        <f t="shared" si="2538"/>
        <v>1</v>
      </c>
      <c r="CM1201">
        <f t="shared" si="2538"/>
        <v>1</v>
      </c>
      <c r="CN1201">
        <f t="shared" si="2538"/>
        <v>1</v>
      </c>
      <c r="CO1201">
        <f t="shared" si="2538"/>
        <v>1</v>
      </c>
      <c r="CP1201">
        <f t="shared" si="2538"/>
        <v>1</v>
      </c>
      <c r="CQ1201">
        <f t="shared" si="2538"/>
        <v>1</v>
      </c>
      <c r="CR1201">
        <f t="shared" si="2538"/>
        <v>1</v>
      </c>
      <c r="CS1201">
        <f t="shared" si="2538"/>
        <v>1</v>
      </c>
      <c r="CT1201">
        <f t="shared" si="2538"/>
        <v>1</v>
      </c>
      <c r="CU1201">
        <f t="shared" si="2538"/>
        <v>1</v>
      </c>
      <c r="CV1201">
        <f t="shared" si="2538"/>
        <v>1</v>
      </c>
      <c r="CW1201">
        <f t="shared" si="2538"/>
        <v>1</v>
      </c>
      <c r="CX1201">
        <f t="shared" si="2538"/>
        <v>1</v>
      </c>
      <c r="CY1201">
        <f t="shared" ref="CY1201:EF1201" si="2539">IF($C1201&lt;&gt;"",IF(AJ1201&gt;0,1,0),0)</f>
        <v>1</v>
      </c>
      <c r="CZ1201">
        <f t="shared" si="2539"/>
        <v>1</v>
      </c>
      <c r="DA1201">
        <f t="shared" si="2539"/>
        <v>1</v>
      </c>
      <c r="DB1201">
        <f t="shared" si="2539"/>
        <v>1</v>
      </c>
      <c r="DC1201">
        <f t="shared" si="2539"/>
        <v>1</v>
      </c>
      <c r="DD1201">
        <f t="shared" si="2539"/>
        <v>1</v>
      </c>
      <c r="DE1201">
        <f t="shared" si="2539"/>
        <v>1</v>
      </c>
      <c r="DF1201">
        <f t="shared" si="2539"/>
        <v>1</v>
      </c>
      <c r="DG1201">
        <f t="shared" si="2539"/>
        <v>1</v>
      </c>
      <c r="DH1201">
        <f t="shared" si="2539"/>
        <v>1</v>
      </c>
      <c r="DI1201">
        <f t="shared" si="2539"/>
        <v>1</v>
      </c>
      <c r="DJ1201">
        <f t="shared" si="2539"/>
        <v>1</v>
      </c>
      <c r="DK1201">
        <f t="shared" si="2539"/>
        <v>1</v>
      </c>
      <c r="DL1201">
        <f t="shared" si="2539"/>
        <v>1</v>
      </c>
      <c r="DM1201">
        <f t="shared" si="2539"/>
        <v>1</v>
      </c>
      <c r="DN1201">
        <f t="shared" si="2539"/>
        <v>1</v>
      </c>
      <c r="DO1201">
        <f t="shared" si="2539"/>
        <v>1</v>
      </c>
      <c r="DP1201">
        <f t="shared" si="2539"/>
        <v>1</v>
      </c>
      <c r="DQ1201">
        <f t="shared" si="2539"/>
        <v>1</v>
      </c>
      <c r="DR1201">
        <f t="shared" si="2539"/>
        <v>1</v>
      </c>
      <c r="DS1201">
        <f t="shared" si="2539"/>
        <v>1</v>
      </c>
      <c r="DT1201">
        <f t="shared" si="2539"/>
        <v>1</v>
      </c>
      <c r="DU1201">
        <f t="shared" si="2539"/>
        <v>1</v>
      </c>
      <c r="DV1201">
        <f t="shared" si="2539"/>
        <v>1</v>
      </c>
      <c r="DW1201">
        <f t="shared" si="2539"/>
        <v>1</v>
      </c>
      <c r="DX1201">
        <f t="shared" si="2539"/>
        <v>1</v>
      </c>
      <c r="DY1201">
        <f t="shared" si="2539"/>
        <v>1</v>
      </c>
      <c r="DZ1201">
        <f t="shared" si="2539"/>
        <v>1</v>
      </c>
      <c r="EA1201">
        <f t="shared" si="2539"/>
        <v>1</v>
      </c>
      <c r="EB1201">
        <f>IF($C1201&lt;&gt;"",IF(BM1201&gt;0,1,0),0)</f>
        <v>1</v>
      </c>
      <c r="EC1201">
        <f t="shared" si="2539"/>
        <v>1</v>
      </c>
      <c r="ED1201">
        <f t="shared" si="2539"/>
        <v>1</v>
      </c>
      <c r="EE1201">
        <f t="shared" si="2539"/>
        <v>1</v>
      </c>
      <c r="EF1201">
        <f t="shared" si="2539"/>
        <v>1</v>
      </c>
    </row>
    <row r="1202" spans="1:136" ht="15.5">
      <c r="A1202" s="90"/>
      <c r="B1202" s="19" t="s">
        <v>2</v>
      </c>
      <c r="C1202" s="96"/>
      <c r="D1202" s="22"/>
      <c r="E1202" s="22"/>
      <c r="F1202" s="18">
        <v>0</v>
      </c>
      <c r="G1202" s="18">
        <v>0</v>
      </c>
      <c r="H1202" s="18">
        <v>0</v>
      </c>
      <c r="I1202" s="18">
        <v>0</v>
      </c>
      <c r="J1202" s="18">
        <v>0</v>
      </c>
      <c r="K1202" s="18">
        <v>0</v>
      </c>
      <c r="L1202" s="18">
        <v>0</v>
      </c>
      <c r="M1202" s="18">
        <v>0</v>
      </c>
      <c r="N1202" s="18">
        <v>0</v>
      </c>
      <c r="O1202" s="18">
        <v>0</v>
      </c>
      <c r="P1202" s="18">
        <v>0</v>
      </c>
      <c r="Q1202" s="18">
        <v>0</v>
      </c>
      <c r="R1202" s="18">
        <v>0</v>
      </c>
      <c r="S1202" s="18">
        <v>0</v>
      </c>
      <c r="T1202" s="18">
        <v>0</v>
      </c>
      <c r="U1202" s="18">
        <v>0</v>
      </c>
      <c r="V1202" s="18">
        <v>0</v>
      </c>
      <c r="W1202" s="18">
        <v>0</v>
      </c>
      <c r="X1202" s="40" t="s">
        <v>16</v>
      </c>
      <c r="Y1202" s="18">
        <v>40</v>
      </c>
      <c r="Z1202" s="18">
        <v>19</v>
      </c>
      <c r="AA1202" s="18">
        <v>0</v>
      </c>
      <c r="AB1202" s="18">
        <v>0</v>
      </c>
      <c r="AC1202" s="18">
        <v>0</v>
      </c>
      <c r="AD1202" s="40" t="s">
        <v>16</v>
      </c>
      <c r="AE1202" s="18">
        <v>256</v>
      </c>
      <c r="AF1202" s="40" t="s">
        <v>16</v>
      </c>
      <c r="AG1202" s="18">
        <v>90</v>
      </c>
      <c r="AH1202" s="40" t="s">
        <v>16</v>
      </c>
      <c r="AI1202" s="40" t="s">
        <v>16</v>
      </c>
      <c r="AJ1202" s="18">
        <v>38</v>
      </c>
      <c r="AK1202" s="40" t="s">
        <v>16</v>
      </c>
      <c r="AL1202" s="40" t="s">
        <v>16</v>
      </c>
      <c r="AM1202" s="18">
        <v>321</v>
      </c>
      <c r="AN1202" s="40" t="s">
        <v>16</v>
      </c>
      <c r="AO1202" s="40" t="s">
        <v>16</v>
      </c>
      <c r="AP1202" s="18">
        <v>147</v>
      </c>
      <c r="AQ1202" s="40" t="s">
        <v>16</v>
      </c>
      <c r="AR1202" s="18">
        <v>147</v>
      </c>
      <c r="AS1202" s="40" t="s">
        <v>16</v>
      </c>
      <c r="AT1202" s="18">
        <v>0</v>
      </c>
      <c r="AU1202" s="18">
        <v>0</v>
      </c>
      <c r="AV1202" s="18">
        <v>0</v>
      </c>
      <c r="AW1202" s="18">
        <v>0</v>
      </c>
      <c r="AX1202" s="18">
        <v>0</v>
      </c>
      <c r="AY1202" s="18">
        <v>0</v>
      </c>
      <c r="AZ1202" s="18">
        <v>0</v>
      </c>
      <c r="BA1202" s="18">
        <v>0</v>
      </c>
      <c r="BB1202" s="18">
        <v>0</v>
      </c>
      <c r="BC1202" s="18">
        <v>0</v>
      </c>
      <c r="BD1202" s="18">
        <v>0</v>
      </c>
      <c r="BE1202" s="18">
        <v>0</v>
      </c>
      <c r="BF1202" s="18">
        <v>0</v>
      </c>
      <c r="BG1202" s="18">
        <v>0</v>
      </c>
      <c r="BH1202" s="18">
        <v>0</v>
      </c>
      <c r="BI1202" s="113">
        <v>0</v>
      </c>
      <c r="BJ1202" s="113">
        <v>0</v>
      </c>
      <c r="BK1202" s="113">
        <v>0</v>
      </c>
      <c r="BL1202" s="113">
        <v>0</v>
      </c>
      <c r="BM1202" s="113">
        <v>0</v>
      </c>
      <c r="BN1202" s="113">
        <v>0</v>
      </c>
      <c r="BO1202" s="113">
        <v>0</v>
      </c>
      <c r="BP1202" s="113">
        <v>0</v>
      </c>
      <c r="BQ1202" s="113">
        <v>0</v>
      </c>
      <c r="BR1202" s="101"/>
      <c r="BS1202">
        <f t="shared" ref="BS1202:CB1207" si="2540">IF($C1202&lt;&gt;"",IF(D1202&gt;0,1,0),0)</f>
        <v>0</v>
      </c>
      <c r="BT1202">
        <f t="shared" si="2540"/>
        <v>0</v>
      </c>
      <c r="BU1202">
        <f t="shared" si="2540"/>
        <v>0</v>
      </c>
      <c r="BV1202">
        <f t="shared" si="2540"/>
        <v>0</v>
      </c>
      <c r="BW1202">
        <f t="shared" si="2540"/>
        <v>0</v>
      </c>
      <c r="BX1202">
        <f t="shared" si="2540"/>
        <v>0</v>
      </c>
      <c r="BY1202">
        <f t="shared" si="2540"/>
        <v>0</v>
      </c>
      <c r="BZ1202">
        <f t="shared" si="2540"/>
        <v>0</v>
      </c>
      <c r="CA1202">
        <f t="shared" si="2540"/>
        <v>0</v>
      </c>
      <c r="CB1202">
        <f t="shared" si="2540"/>
        <v>0</v>
      </c>
      <c r="CC1202">
        <f t="shared" ref="CC1202:CL1207" si="2541">IF($C1202&lt;&gt;"",IF(N1202&gt;0,1,0),0)</f>
        <v>0</v>
      </c>
      <c r="CD1202">
        <f t="shared" si="2541"/>
        <v>0</v>
      </c>
      <c r="CE1202">
        <f t="shared" si="2541"/>
        <v>0</v>
      </c>
      <c r="CF1202">
        <f t="shared" si="2541"/>
        <v>0</v>
      </c>
      <c r="CG1202">
        <f t="shared" si="2541"/>
        <v>0</v>
      </c>
      <c r="CH1202">
        <f t="shared" si="2541"/>
        <v>0</v>
      </c>
      <c r="CI1202">
        <f t="shared" si="2541"/>
        <v>0</v>
      </c>
      <c r="CJ1202">
        <f t="shared" si="2541"/>
        <v>0</v>
      </c>
      <c r="CK1202">
        <f t="shared" si="2541"/>
        <v>0</v>
      </c>
      <c r="CL1202">
        <f t="shared" si="2541"/>
        <v>0</v>
      </c>
      <c r="CM1202">
        <f t="shared" ref="CM1202:CV1207" si="2542">IF($C1202&lt;&gt;"",IF(X1202&gt;0,1,0),0)</f>
        <v>0</v>
      </c>
      <c r="CN1202">
        <f t="shared" si="2542"/>
        <v>0</v>
      </c>
      <c r="CO1202">
        <f t="shared" si="2542"/>
        <v>0</v>
      </c>
      <c r="CP1202">
        <f t="shared" si="2542"/>
        <v>0</v>
      </c>
      <c r="CQ1202">
        <f t="shared" si="2542"/>
        <v>0</v>
      </c>
      <c r="CR1202">
        <f t="shared" si="2542"/>
        <v>0</v>
      </c>
      <c r="CS1202">
        <f t="shared" si="2542"/>
        <v>0</v>
      </c>
      <c r="CT1202">
        <f t="shared" si="2542"/>
        <v>0</v>
      </c>
      <c r="CU1202">
        <f t="shared" si="2542"/>
        <v>0</v>
      </c>
      <c r="CV1202">
        <f t="shared" si="2542"/>
        <v>0</v>
      </c>
      <c r="CW1202">
        <f t="shared" ref="CW1202:DF1207" si="2543">IF($C1202&lt;&gt;"",IF(AH1202&gt;0,1,0),0)</f>
        <v>0</v>
      </c>
      <c r="CX1202">
        <f t="shared" si="2543"/>
        <v>0</v>
      </c>
      <c r="CY1202">
        <f t="shared" si="2543"/>
        <v>0</v>
      </c>
      <c r="CZ1202">
        <f t="shared" si="2543"/>
        <v>0</v>
      </c>
      <c r="DA1202">
        <f t="shared" si="2543"/>
        <v>0</v>
      </c>
      <c r="DB1202">
        <f t="shared" si="2543"/>
        <v>0</v>
      </c>
      <c r="DC1202">
        <f t="shared" si="2543"/>
        <v>0</v>
      </c>
      <c r="DD1202">
        <f t="shared" si="2543"/>
        <v>0</v>
      </c>
      <c r="DE1202">
        <f t="shared" si="2543"/>
        <v>0</v>
      </c>
      <c r="DF1202">
        <f t="shared" si="2543"/>
        <v>0</v>
      </c>
      <c r="DG1202">
        <f t="shared" ref="DG1202:DP1207" si="2544">IF($C1202&lt;&gt;"",IF(AR1202&gt;0,1,0),0)</f>
        <v>0</v>
      </c>
      <c r="DH1202">
        <f t="shared" si="2544"/>
        <v>0</v>
      </c>
      <c r="DI1202">
        <f t="shared" si="2544"/>
        <v>0</v>
      </c>
      <c r="DJ1202">
        <f t="shared" si="2544"/>
        <v>0</v>
      </c>
      <c r="DK1202">
        <f t="shared" si="2544"/>
        <v>0</v>
      </c>
      <c r="DL1202">
        <f t="shared" si="2544"/>
        <v>0</v>
      </c>
      <c r="DM1202">
        <f t="shared" si="2544"/>
        <v>0</v>
      </c>
      <c r="DN1202">
        <f t="shared" si="2544"/>
        <v>0</v>
      </c>
      <c r="DO1202">
        <f t="shared" si="2544"/>
        <v>0</v>
      </c>
      <c r="DP1202">
        <f t="shared" si="2544"/>
        <v>0</v>
      </c>
      <c r="DQ1202">
        <f t="shared" ref="DQ1202:DZ1207" si="2545">IF($C1202&lt;&gt;"",IF(BB1202&gt;0,1,0),0)</f>
        <v>0</v>
      </c>
      <c r="DR1202">
        <f t="shared" si="2545"/>
        <v>0</v>
      </c>
      <c r="DS1202">
        <f t="shared" si="2545"/>
        <v>0</v>
      </c>
      <c r="DT1202">
        <f t="shared" si="2545"/>
        <v>0</v>
      </c>
      <c r="DU1202">
        <f t="shared" si="2545"/>
        <v>0</v>
      </c>
      <c r="DV1202">
        <f t="shared" si="2545"/>
        <v>0</v>
      </c>
      <c r="DW1202">
        <f t="shared" si="2545"/>
        <v>0</v>
      </c>
      <c r="DX1202">
        <f t="shared" si="2545"/>
        <v>0</v>
      </c>
      <c r="DY1202">
        <f t="shared" si="2545"/>
        <v>0</v>
      </c>
      <c r="DZ1202">
        <f t="shared" si="2545"/>
        <v>0</v>
      </c>
      <c r="EA1202">
        <f t="shared" ref="EA1202:EF1206" si="2546">IF($C1202&lt;&gt;"",IF(BL1201&gt;0,1,0),0)</f>
        <v>0</v>
      </c>
      <c r="EB1202">
        <f>IF($C1202&lt;&gt;"",IF(BM1201&gt;0,1,0),0)</f>
        <v>0</v>
      </c>
      <c r="EC1202">
        <f t="shared" si="2546"/>
        <v>0</v>
      </c>
      <c r="ED1202">
        <f t="shared" si="2546"/>
        <v>0</v>
      </c>
      <c r="EE1202">
        <f t="shared" si="2546"/>
        <v>0</v>
      </c>
      <c r="EF1202">
        <f t="shared" si="2546"/>
        <v>0</v>
      </c>
    </row>
    <row r="1203" spans="1:136" ht="15.5">
      <c r="A1203" s="90"/>
      <c r="B1203" s="19" t="s">
        <v>205</v>
      </c>
      <c r="C1203" s="96"/>
      <c r="D1203" s="22"/>
      <c r="E1203" s="22"/>
      <c r="F1203" s="18">
        <v>0</v>
      </c>
      <c r="G1203" s="18">
        <v>0</v>
      </c>
      <c r="H1203" s="18">
        <v>0</v>
      </c>
      <c r="I1203" s="18">
        <v>0</v>
      </c>
      <c r="J1203" s="18">
        <v>0</v>
      </c>
      <c r="K1203" s="18">
        <v>0</v>
      </c>
      <c r="L1203" s="18">
        <v>0</v>
      </c>
      <c r="M1203" s="18">
        <v>0</v>
      </c>
      <c r="N1203" s="18">
        <v>0</v>
      </c>
      <c r="O1203" s="18">
        <v>0</v>
      </c>
      <c r="P1203" s="18">
        <v>0</v>
      </c>
      <c r="Q1203" s="18">
        <v>0</v>
      </c>
      <c r="R1203" s="18">
        <v>0</v>
      </c>
      <c r="S1203" s="18">
        <v>0</v>
      </c>
      <c r="T1203" s="18">
        <v>0</v>
      </c>
      <c r="U1203" s="18">
        <v>0</v>
      </c>
      <c r="V1203" s="18">
        <v>0</v>
      </c>
      <c r="W1203" s="18">
        <v>0</v>
      </c>
      <c r="X1203" s="18">
        <v>0</v>
      </c>
      <c r="Y1203" s="18">
        <v>0</v>
      </c>
      <c r="Z1203" s="18">
        <v>0</v>
      </c>
      <c r="AA1203" s="18">
        <v>0</v>
      </c>
      <c r="AB1203" s="18">
        <v>0</v>
      </c>
      <c r="AC1203" s="18">
        <v>0</v>
      </c>
      <c r="AD1203" s="18">
        <v>0</v>
      </c>
      <c r="AE1203" s="18">
        <v>0</v>
      </c>
      <c r="AF1203" s="18">
        <v>0</v>
      </c>
      <c r="AG1203" s="18">
        <v>1.909</v>
      </c>
      <c r="AH1203" s="18">
        <v>0</v>
      </c>
      <c r="AI1203" s="18">
        <v>0</v>
      </c>
      <c r="AJ1203" s="18">
        <v>0</v>
      </c>
      <c r="AK1203" s="18">
        <v>18.360689699999998</v>
      </c>
      <c r="AL1203" s="18">
        <v>0.83175500000000002</v>
      </c>
      <c r="AM1203" s="18">
        <v>6.3024827999999999</v>
      </c>
      <c r="AN1203" s="18">
        <v>1.3374226999999999</v>
      </c>
      <c r="AO1203" s="18">
        <v>1.3381725</v>
      </c>
      <c r="AP1203" s="18">
        <v>1.5314843</v>
      </c>
      <c r="AQ1203" s="18">
        <v>1.1932483</v>
      </c>
      <c r="AR1203" s="18">
        <v>14.9979371</v>
      </c>
      <c r="AS1203" s="18">
        <v>0.60409819999999992</v>
      </c>
      <c r="AT1203" s="18">
        <v>1.9329974999999999</v>
      </c>
      <c r="AU1203" s="18">
        <v>3.2621697000000003</v>
      </c>
      <c r="AV1203" s="18">
        <v>5.1954329000000001</v>
      </c>
      <c r="AW1203" s="18">
        <v>7.3108474000000001</v>
      </c>
      <c r="AX1203" s="18">
        <v>9.604671699999999</v>
      </c>
      <c r="AY1203" s="18">
        <v>0</v>
      </c>
      <c r="AZ1203" s="18">
        <v>0</v>
      </c>
      <c r="BA1203" s="18">
        <v>0</v>
      </c>
      <c r="BB1203" s="18">
        <v>0</v>
      </c>
      <c r="BC1203" s="18">
        <v>0</v>
      </c>
      <c r="BD1203" s="18">
        <v>0</v>
      </c>
      <c r="BE1203" s="25">
        <v>0</v>
      </c>
      <c r="BF1203" s="18">
        <v>0</v>
      </c>
      <c r="BG1203" s="18">
        <v>0</v>
      </c>
      <c r="BH1203" s="18">
        <v>0</v>
      </c>
      <c r="BI1203" s="113">
        <v>0</v>
      </c>
      <c r="BJ1203" s="113">
        <v>0</v>
      </c>
      <c r="BK1203" s="113">
        <v>0</v>
      </c>
      <c r="BL1203" s="113">
        <v>0</v>
      </c>
      <c r="BM1203" s="113">
        <v>0</v>
      </c>
      <c r="BN1203" s="113">
        <v>0</v>
      </c>
      <c r="BO1203" s="113">
        <v>0</v>
      </c>
      <c r="BP1203" s="113">
        <v>0</v>
      </c>
      <c r="BQ1203" s="113">
        <v>0</v>
      </c>
      <c r="BR1203" s="101"/>
      <c r="BS1203">
        <f t="shared" si="2540"/>
        <v>0</v>
      </c>
      <c r="BT1203">
        <f t="shared" si="2540"/>
        <v>0</v>
      </c>
      <c r="BU1203">
        <f t="shared" si="2540"/>
        <v>0</v>
      </c>
      <c r="BV1203">
        <f t="shared" si="2540"/>
        <v>0</v>
      </c>
      <c r="BW1203">
        <f t="shared" si="2540"/>
        <v>0</v>
      </c>
      <c r="BX1203">
        <f t="shared" si="2540"/>
        <v>0</v>
      </c>
      <c r="BY1203">
        <f t="shared" si="2540"/>
        <v>0</v>
      </c>
      <c r="BZ1203">
        <f t="shared" si="2540"/>
        <v>0</v>
      </c>
      <c r="CA1203">
        <f t="shared" si="2540"/>
        <v>0</v>
      </c>
      <c r="CB1203">
        <f t="shared" si="2540"/>
        <v>0</v>
      </c>
      <c r="CC1203">
        <f t="shared" si="2541"/>
        <v>0</v>
      </c>
      <c r="CD1203">
        <f t="shared" si="2541"/>
        <v>0</v>
      </c>
      <c r="CE1203">
        <f t="shared" si="2541"/>
        <v>0</v>
      </c>
      <c r="CF1203">
        <f t="shared" si="2541"/>
        <v>0</v>
      </c>
      <c r="CG1203">
        <f t="shared" si="2541"/>
        <v>0</v>
      </c>
      <c r="CH1203">
        <f t="shared" si="2541"/>
        <v>0</v>
      </c>
      <c r="CI1203">
        <f t="shared" si="2541"/>
        <v>0</v>
      </c>
      <c r="CJ1203">
        <f t="shared" si="2541"/>
        <v>0</v>
      </c>
      <c r="CK1203">
        <f t="shared" si="2541"/>
        <v>0</v>
      </c>
      <c r="CL1203">
        <f t="shared" si="2541"/>
        <v>0</v>
      </c>
      <c r="CM1203">
        <f t="shared" si="2542"/>
        <v>0</v>
      </c>
      <c r="CN1203">
        <f t="shared" si="2542"/>
        <v>0</v>
      </c>
      <c r="CO1203">
        <f t="shared" si="2542"/>
        <v>0</v>
      </c>
      <c r="CP1203">
        <f t="shared" si="2542"/>
        <v>0</v>
      </c>
      <c r="CQ1203">
        <f t="shared" si="2542"/>
        <v>0</v>
      </c>
      <c r="CR1203">
        <f t="shared" si="2542"/>
        <v>0</v>
      </c>
      <c r="CS1203">
        <f t="shared" si="2542"/>
        <v>0</v>
      </c>
      <c r="CT1203">
        <f t="shared" si="2542"/>
        <v>0</v>
      </c>
      <c r="CU1203">
        <f t="shared" si="2542"/>
        <v>0</v>
      </c>
      <c r="CV1203">
        <f t="shared" si="2542"/>
        <v>0</v>
      </c>
      <c r="CW1203">
        <f t="shared" si="2543"/>
        <v>0</v>
      </c>
      <c r="CX1203">
        <f t="shared" si="2543"/>
        <v>0</v>
      </c>
      <c r="CY1203">
        <f t="shared" si="2543"/>
        <v>0</v>
      </c>
      <c r="CZ1203">
        <f t="shared" si="2543"/>
        <v>0</v>
      </c>
      <c r="DA1203">
        <f t="shared" si="2543"/>
        <v>0</v>
      </c>
      <c r="DB1203">
        <f t="shared" si="2543"/>
        <v>0</v>
      </c>
      <c r="DC1203">
        <f t="shared" si="2543"/>
        <v>0</v>
      </c>
      <c r="DD1203">
        <f t="shared" si="2543"/>
        <v>0</v>
      </c>
      <c r="DE1203">
        <f t="shared" si="2543"/>
        <v>0</v>
      </c>
      <c r="DF1203">
        <f t="shared" si="2543"/>
        <v>0</v>
      </c>
      <c r="DG1203">
        <f t="shared" si="2544"/>
        <v>0</v>
      </c>
      <c r="DH1203">
        <f t="shared" si="2544"/>
        <v>0</v>
      </c>
      <c r="DI1203">
        <f t="shared" si="2544"/>
        <v>0</v>
      </c>
      <c r="DJ1203">
        <f t="shared" si="2544"/>
        <v>0</v>
      </c>
      <c r="DK1203">
        <f t="shared" si="2544"/>
        <v>0</v>
      </c>
      <c r="DL1203">
        <f t="shared" si="2544"/>
        <v>0</v>
      </c>
      <c r="DM1203">
        <f t="shared" si="2544"/>
        <v>0</v>
      </c>
      <c r="DN1203">
        <f t="shared" si="2544"/>
        <v>0</v>
      </c>
      <c r="DO1203">
        <f t="shared" si="2544"/>
        <v>0</v>
      </c>
      <c r="DP1203">
        <f t="shared" si="2544"/>
        <v>0</v>
      </c>
      <c r="DQ1203">
        <f t="shared" si="2545"/>
        <v>0</v>
      </c>
      <c r="DR1203">
        <f t="shared" si="2545"/>
        <v>0</v>
      </c>
      <c r="DS1203">
        <f t="shared" si="2545"/>
        <v>0</v>
      </c>
      <c r="DT1203">
        <f t="shared" si="2545"/>
        <v>0</v>
      </c>
      <c r="DU1203">
        <f t="shared" si="2545"/>
        <v>0</v>
      </c>
      <c r="DV1203">
        <f t="shared" si="2545"/>
        <v>0</v>
      </c>
      <c r="DW1203">
        <f t="shared" si="2545"/>
        <v>0</v>
      </c>
      <c r="DX1203">
        <f t="shared" si="2545"/>
        <v>0</v>
      </c>
      <c r="DY1203">
        <f t="shared" si="2545"/>
        <v>0</v>
      </c>
      <c r="DZ1203">
        <f t="shared" si="2545"/>
        <v>0</v>
      </c>
      <c r="EA1203">
        <f t="shared" si="2546"/>
        <v>0</v>
      </c>
      <c r="EB1203">
        <f>IF($C1203&lt;&gt;"",IF(BM1202&gt;0,1,0),0)</f>
        <v>0</v>
      </c>
      <c r="EC1203">
        <f t="shared" si="2546"/>
        <v>0</v>
      </c>
      <c r="ED1203">
        <f t="shared" si="2546"/>
        <v>0</v>
      </c>
      <c r="EE1203">
        <f t="shared" si="2546"/>
        <v>0</v>
      </c>
      <c r="EF1203">
        <f t="shared" si="2546"/>
        <v>0</v>
      </c>
    </row>
    <row r="1204" spans="1:136" ht="15.5">
      <c r="A1204" s="90"/>
      <c r="B1204" s="57" t="s">
        <v>3</v>
      </c>
      <c r="C1204" s="96"/>
      <c r="D1204" s="18"/>
      <c r="E1204" s="18"/>
      <c r="F1204" s="18">
        <v>0</v>
      </c>
      <c r="G1204" s="18">
        <v>0</v>
      </c>
      <c r="H1204" s="18">
        <v>0</v>
      </c>
      <c r="I1204" s="18">
        <v>0</v>
      </c>
      <c r="J1204" s="18">
        <v>0</v>
      </c>
      <c r="K1204" s="18">
        <v>0</v>
      </c>
      <c r="L1204" s="18">
        <v>0</v>
      </c>
      <c r="M1204" s="18">
        <v>0</v>
      </c>
      <c r="N1204" s="18">
        <v>0.06</v>
      </c>
      <c r="O1204" s="18">
        <v>6.6359799999999997E-2</v>
      </c>
      <c r="P1204" s="18">
        <v>0.43190699999999999</v>
      </c>
      <c r="Q1204" s="18">
        <v>0.56443100000000002</v>
      </c>
      <c r="R1204" s="18">
        <v>0.994313</v>
      </c>
      <c r="S1204" s="18">
        <v>4.1574276999999995</v>
      </c>
      <c r="T1204" s="18">
        <v>10.1782805</v>
      </c>
      <c r="U1204" s="18">
        <v>10.3144277</v>
      </c>
      <c r="V1204" s="18">
        <v>19.439114800000002</v>
      </c>
      <c r="W1204" s="18">
        <v>29.9496325</v>
      </c>
      <c r="X1204" s="18">
        <v>40.323665900000002</v>
      </c>
      <c r="Y1204" s="18">
        <v>14.195443800000001</v>
      </c>
      <c r="Z1204" s="18">
        <v>12.7758071</v>
      </c>
      <c r="AA1204" s="18">
        <v>13.810955300000002</v>
      </c>
      <c r="AB1204" s="18">
        <v>18.323542800000002</v>
      </c>
      <c r="AC1204" s="18">
        <v>25.847387799999996</v>
      </c>
      <c r="AD1204" s="18">
        <v>43.273809200000002</v>
      </c>
      <c r="AE1204" s="18">
        <v>59.486327600000003</v>
      </c>
      <c r="AF1204" s="18">
        <v>102.32129519999999</v>
      </c>
      <c r="AG1204" s="18">
        <f>106-AG1203-AG1202</f>
        <v>14.090999999999994</v>
      </c>
      <c r="AH1204" s="18">
        <v>226.93319699999998</v>
      </c>
      <c r="AI1204" s="18">
        <v>261.17230730000006</v>
      </c>
      <c r="AJ1204" s="18">
        <f>205-AJ1203-AJ1202</f>
        <v>167</v>
      </c>
      <c r="AK1204" s="18">
        <f>244.1211754-AK1203</f>
        <v>225.7604857</v>
      </c>
      <c r="AL1204" s="18">
        <f>390.4528678-AL1203</f>
        <v>389.62111279999999</v>
      </c>
      <c r="AM1204" s="18">
        <f>115-AM1203</f>
        <v>108.69751719999999</v>
      </c>
      <c r="AN1204" s="18">
        <f>208.522511-AN1203</f>
        <v>207.18508830000002</v>
      </c>
      <c r="AO1204" s="18">
        <f>265.6772138-AO1203</f>
        <v>264.33904130000002</v>
      </c>
      <c r="AP1204" s="18">
        <f>185.8727214-AP1203</f>
        <v>184.3412371</v>
      </c>
      <c r="AQ1204" s="18">
        <f>242.0197228-AQ1203</f>
        <v>240.82647450000002</v>
      </c>
      <c r="AR1204" s="18">
        <f>291.3621233-AR1202-AR1203</f>
        <v>129.36418620000001</v>
      </c>
      <c r="AS1204" s="18">
        <f>299.228639-AS1203</f>
        <v>298.62454079999998</v>
      </c>
      <c r="AT1204" s="18">
        <f>329.7531721-AT1203</f>
        <v>327.82017459999997</v>
      </c>
      <c r="AU1204" s="18">
        <f>339.4151347-AU1203</f>
        <v>336.15296499999999</v>
      </c>
      <c r="AV1204" s="18">
        <f>305.2797196-AV1203</f>
        <v>300.08428670000001</v>
      </c>
      <c r="AW1204" s="18">
        <f>113.4337077-AW1203</f>
        <v>106.1228603</v>
      </c>
      <c r="AX1204" s="18">
        <f>3652.3273449-AX1203</f>
        <v>3642.7226731999999</v>
      </c>
      <c r="AY1204" s="18">
        <v>99.267984300000009</v>
      </c>
      <c r="AZ1204" s="18">
        <v>83.759441900000013</v>
      </c>
      <c r="BA1204" s="18">
        <v>77.024477500000003</v>
      </c>
      <c r="BB1204" s="18">
        <v>103.6483532</v>
      </c>
      <c r="BC1204" s="18">
        <v>76.951662200000001</v>
      </c>
      <c r="BD1204" s="18">
        <v>76.955370299999998</v>
      </c>
      <c r="BE1204" s="25">
        <v>77.284771500000005</v>
      </c>
      <c r="BF1204" s="18">
        <v>85.061157099999988</v>
      </c>
      <c r="BG1204" s="18">
        <v>70.115333399999997</v>
      </c>
      <c r="BH1204" s="18">
        <v>70.013830199999987</v>
      </c>
      <c r="BI1204" s="18">
        <v>70.118536599999999</v>
      </c>
      <c r="BJ1204" s="18">
        <v>70.488640599999997</v>
      </c>
      <c r="BK1204" s="18">
        <v>70.482585799999995</v>
      </c>
      <c r="BL1204" s="18">
        <v>70.531937299999996</v>
      </c>
      <c r="BM1204" s="113">
        <v>70.672024300000018</v>
      </c>
      <c r="BN1204" s="113">
        <v>70.455992599999988</v>
      </c>
      <c r="BO1204" s="113">
        <v>72</v>
      </c>
      <c r="BP1204" s="113">
        <v>70</v>
      </c>
      <c r="BQ1204" s="113">
        <v>71</v>
      </c>
      <c r="BR1204" s="101"/>
      <c r="BS1204">
        <f t="shared" si="2540"/>
        <v>0</v>
      </c>
      <c r="BT1204">
        <f t="shared" si="2540"/>
        <v>0</v>
      </c>
      <c r="BU1204">
        <f t="shared" si="2540"/>
        <v>0</v>
      </c>
      <c r="BV1204">
        <f t="shared" si="2540"/>
        <v>0</v>
      </c>
      <c r="BW1204">
        <f t="shared" si="2540"/>
        <v>0</v>
      </c>
      <c r="BX1204">
        <f t="shared" si="2540"/>
        <v>0</v>
      </c>
      <c r="BY1204">
        <f t="shared" si="2540"/>
        <v>0</v>
      </c>
      <c r="BZ1204">
        <f t="shared" si="2540"/>
        <v>0</v>
      </c>
      <c r="CA1204">
        <f t="shared" si="2540"/>
        <v>0</v>
      </c>
      <c r="CB1204">
        <f t="shared" si="2540"/>
        <v>0</v>
      </c>
      <c r="CC1204">
        <f t="shared" si="2541"/>
        <v>0</v>
      </c>
      <c r="CD1204">
        <f t="shared" si="2541"/>
        <v>0</v>
      </c>
      <c r="CE1204">
        <f t="shared" si="2541"/>
        <v>0</v>
      </c>
      <c r="CF1204">
        <f t="shared" si="2541"/>
        <v>0</v>
      </c>
      <c r="CG1204">
        <f t="shared" si="2541"/>
        <v>0</v>
      </c>
      <c r="CH1204">
        <f t="shared" si="2541"/>
        <v>0</v>
      </c>
      <c r="CI1204">
        <f t="shared" si="2541"/>
        <v>0</v>
      </c>
      <c r="CJ1204">
        <f t="shared" si="2541"/>
        <v>0</v>
      </c>
      <c r="CK1204">
        <f t="shared" si="2541"/>
        <v>0</v>
      </c>
      <c r="CL1204">
        <f t="shared" si="2541"/>
        <v>0</v>
      </c>
      <c r="CM1204">
        <f t="shared" si="2542"/>
        <v>0</v>
      </c>
      <c r="CN1204">
        <f t="shared" si="2542"/>
        <v>0</v>
      </c>
      <c r="CO1204">
        <f t="shared" si="2542"/>
        <v>0</v>
      </c>
      <c r="CP1204">
        <f t="shared" si="2542"/>
        <v>0</v>
      </c>
      <c r="CQ1204">
        <f t="shared" si="2542"/>
        <v>0</v>
      </c>
      <c r="CR1204">
        <f t="shared" si="2542"/>
        <v>0</v>
      </c>
      <c r="CS1204">
        <f t="shared" si="2542"/>
        <v>0</v>
      </c>
      <c r="CT1204">
        <f t="shared" si="2542"/>
        <v>0</v>
      </c>
      <c r="CU1204">
        <f t="shared" si="2542"/>
        <v>0</v>
      </c>
      <c r="CV1204">
        <f t="shared" si="2542"/>
        <v>0</v>
      </c>
      <c r="CW1204">
        <f t="shared" si="2543"/>
        <v>0</v>
      </c>
      <c r="CX1204">
        <f t="shared" si="2543"/>
        <v>0</v>
      </c>
      <c r="CY1204">
        <f t="shared" si="2543"/>
        <v>0</v>
      </c>
      <c r="CZ1204">
        <f t="shared" si="2543"/>
        <v>0</v>
      </c>
      <c r="DA1204">
        <f t="shared" si="2543"/>
        <v>0</v>
      </c>
      <c r="DB1204">
        <f t="shared" si="2543"/>
        <v>0</v>
      </c>
      <c r="DC1204">
        <f t="shared" si="2543"/>
        <v>0</v>
      </c>
      <c r="DD1204">
        <f t="shared" si="2543"/>
        <v>0</v>
      </c>
      <c r="DE1204">
        <f t="shared" si="2543"/>
        <v>0</v>
      </c>
      <c r="DF1204">
        <f t="shared" si="2543"/>
        <v>0</v>
      </c>
      <c r="DG1204">
        <f t="shared" si="2544"/>
        <v>0</v>
      </c>
      <c r="DH1204">
        <f t="shared" si="2544"/>
        <v>0</v>
      </c>
      <c r="DI1204">
        <f t="shared" si="2544"/>
        <v>0</v>
      </c>
      <c r="DJ1204">
        <f t="shared" si="2544"/>
        <v>0</v>
      </c>
      <c r="DK1204">
        <f t="shared" si="2544"/>
        <v>0</v>
      </c>
      <c r="DL1204">
        <f t="shared" si="2544"/>
        <v>0</v>
      </c>
      <c r="DM1204">
        <f t="shared" si="2544"/>
        <v>0</v>
      </c>
      <c r="DN1204">
        <f t="shared" si="2544"/>
        <v>0</v>
      </c>
      <c r="DO1204">
        <f t="shared" si="2544"/>
        <v>0</v>
      </c>
      <c r="DP1204">
        <f t="shared" si="2544"/>
        <v>0</v>
      </c>
      <c r="DQ1204">
        <f t="shared" si="2545"/>
        <v>0</v>
      </c>
      <c r="DR1204">
        <f t="shared" si="2545"/>
        <v>0</v>
      </c>
      <c r="DS1204">
        <f t="shared" si="2545"/>
        <v>0</v>
      </c>
      <c r="DT1204">
        <f t="shared" si="2545"/>
        <v>0</v>
      </c>
      <c r="DU1204">
        <f t="shared" si="2545"/>
        <v>0</v>
      </c>
      <c r="DV1204">
        <f t="shared" si="2545"/>
        <v>0</v>
      </c>
      <c r="DW1204">
        <f t="shared" si="2545"/>
        <v>0</v>
      </c>
      <c r="DX1204">
        <f t="shared" si="2545"/>
        <v>0</v>
      </c>
      <c r="DY1204">
        <f t="shared" si="2545"/>
        <v>0</v>
      </c>
      <c r="DZ1204">
        <f t="shared" si="2545"/>
        <v>0</v>
      </c>
      <c r="EA1204">
        <f t="shared" si="2546"/>
        <v>0</v>
      </c>
      <c r="EB1204">
        <f>IF($C1204&lt;&gt;"",IF(BM1203&gt;0,1,0),0)</f>
        <v>0</v>
      </c>
      <c r="EC1204">
        <f t="shared" si="2546"/>
        <v>0</v>
      </c>
      <c r="ED1204">
        <f t="shared" si="2546"/>
        <v>0</v>
      </c>
      <c r="EE1204">
        <f t="shared" si="2546"/>
        <v>0</v>
      </c>
      <c r="EF1204">
        <f t="shared" si="2546"/>
        <v>0</v>
      </c>
    </row>
    <row r="1205" spans="1:136" ht="15.5">
      <c r="A1205" s="90"/>
      <c r="B1205" s="19" t="s">
        <v>18</v>
      </c>
      <c r="C1205" s="94"/>
      <c r="D1205" s="18"/>
      <c r="E1205" s="18"/>
      <c r="F1205" s="18">
        <v>0</v>
      </c>
      <c r="G1205" s="18">
        <v>0</v>
      </c>
      <c r="H1205" s="18">
        <v>0</v>
      </c>
      <c r="I1205" s="18">
        <v>0</v>
      </c>
      <c r="J1205" s="18">
        <v>0</v>
      </c>
      <c r="K1205" s="18">
        <v>0</v>
      </c>
      <c r="L1205" s="18">
        <v>0</v>
      </c>
      <c r="M1205" s="18">
        <v>0</v>
      </c>
      <c r="N1205" s="18">
        <v>0</v>
      </c>
      <c r="O1205" s="18">
        <v>0</v>
      </c>
      <c r="P1205" s="18">
        <v>0</v>
      </c>
      <c r="Q1205" s="18">
        <v>0</v>
      </c>
      <c r="R1205" s="18">
        <v>0</v>
      </c>
      <c r="S1205" s="18">
        <v>0</v>
      </c>
      <c r="T1205" s="18">
        <v>0</v>
      </c>
      <c r="U1205" s="18">
        <v>0</v>
      </c>
      <c r="V1205" s="18">
        <v>0</v>
      </c>
      <c r="W1205" s="18">
        <v>0</v>
      </c>
      <c r="X1205" s="40" t="s">
        <v>16</v>
      </c>
      <c r="Y1205" s="40" t="s">
        <v>16</v>
      </c>
      <c r="Z1205" s="40" t="s">
        <v>16</v>
      </c>
      <c r="AA1205" s="40" t="s">
        <v>16</v>
      </c>
      <c r="AB1205" s="40" t="s">
        <v>16</v>
      </c>
      <c r="AC1205" s="40" t="s">
        <v>16</v>
      </c>
      <c r="AD1205" s="40" t="s">
        <v>16</v>
      </c>
      <c r="AE1205" s="40" t="s">
        <v>16</v>
      </c>
      <c r="AF1205" s="40" t="s">
        <v>16</v>
      </c>
      <c r="AG1205" s="40" t="s">
        <v>16</v>
      </c>
      <c r="AH1205" s="40" t="s">
        <v>16</v>
      </c>
      <c r="AI1205" s="40" t="s">
        <v>16</v>
      </c>
      <c r="AJ1205" s="40" t="s">
        <v>16</v>
      </c>
      <c r="AK1205" s="18">
        <v>181</v>
      </c>
      <c r="AL1205" s="18">
        <v>0</v>
      </c>
      <c r="AM1205" s="18">
        <v>0</v>
      </c>
      <c r="AN1205" s="18">
        <v>0</v>
      </c>
      <c r="AO1205" s="18">
        <v>0</v>
      </c>
      <c r="AP1205" s="18">
        <v>0</v>
      </c>
      <c r="AQ1205" s="18">
        <v>0</v>
      </c>
      <c r="AR1205" s="18">
        <v>0</v>
      </c>
      <c r="AS1205" s="18">
        <v>0</v>
      </c>
      <c r="AT1205" s="18">
        <v>0</v>
      </c>
      <c r="AU1205" s="18">
        <v>0</v>
      </c>
      <c r="AV1205" s="18">
        <v>0</v>
      </c>
      <c r="AW1205" s="18">
        <v>0</v>
      </c>
      <c r="AX1205" s="18">
        <v>0</v>
      </c>
      <c r="AY1205" s="18">
        <v>0</v>
      </c>
      <c r="AZ1205" s="18">
        <v>0</v>
      </c>
      <c r="BA1205" s="18">
        <v>0</v>
      </c>
      <c r="BB1205" s="18">
        <v>0</v>
      </c>
      <c r="BC1205" s="18">
        <v>0</v>
      </c>
      <c r="BD1205" s="18">
        <v>0</v>
      </c>
      <c r="BE1205" s="25">
        <v>0</v>
      </c>
      <c r="BF1205" s="25">
        <v>0</v>
      </c>
      <c r="BG1205" s="25">
        <v>0</v>
      </c>
      <c r="BH1205" s="18">
        <v>0</v>
      </c>
      <c r="BI1205" s="113">
        <v>0</v>
      </c>
      <c r="BJ1205" s="113">
        <v>0</v>
      </c>
      <c r="BK1205" s="113">
        <v>0</v>
      </c>
      <c r="BL1205" s="113">
        <v>0</v>
      </c>
      <c r="BM1205" s="113">
        <v>0</v>
      </c>
      <c r="BN1205" s="113">
        <v>0</v>
      </c>
      <c r="BO1205" s="113">
        <v>0</v>
      </c>
      <c r="BP1205" s="113">
        <v>0</v>
      </c>
      <c r="BQ1205" s="113">
        <v>0</v>
      </c>
      <c r="BR1205" s="101"/>
      <c r="BS1205">
        <f t="shared" si="2540"/>
        <v>0</v>
      </c>
      <c r="BT1205">
        <f t="shared" si="2540"/>
        <v>0</v>
      </c>
      <c r="BU1205">
        <f t="shared" si="2540"/>
        <v>0</v>
      </c>
      <c r="BV1205">
        <f t="shared" si="2540"/>
        <v>0</v>
      </c>
      <c r="BW1205">
        <f t="shared" si="2540"/>
        <v>0</v>
      </c>
      <c r="BX1205">
        <f t="shared" si="2540"/>
        <v>0</v>
      </c>
      <c r="BY1205">
        <f t="shared" si="2540"/>
        <v>0</v>
      </c>
      <c r="BZ1205">
        <f t="shared" si="2540"/>
        <v>0</v>
      </c>
      <c r="CA1205">
        <f t="shared" si="2540"/>
        <v>0</v>
      </c>
      <c r="CB1205">
        <f t="shared" si="2540"/>
        <v>0</v>
      </c>
      <c r="CC1205">
        <f t="shared" si="2541"/>
        <v>0</v>
      </c>
      <c r="CD1205">
        <f t="shared" si="2541"/>
        <v>0</v>
      </c>
      <c r="CE1205">
        <f t="shared" si="2541"/>
        <v>0</v>
      </c>
      <c r="CF1205">
        <f t="shared" si="2541"/>
        <v>0</v>
      </c>
      <c r="CG1205">
        <f t="shared" si="2541"/>
        <v>0</v>
      </c>
      <c r="CH1205">
        <f t="shared" si="2541"/>
        <v>0</v>
      </c>
      <c r="CI1205">
        <f t="shared" si="2541"/>
        <v>0</v>
      </c>
      <c r="CJ1205">
        <f t="shared" si="2541"/>
        <v>0</v>
      </c>
      <c r="CK1205">
        <f t="shared" si="2541"/>
        <v>0</v>
      </c>
      <c r="CL1205">
        <f t="shared" si="2541"/>
        <v>0</v>
      </c>
      <c r="CM1205">
        <f t="shared" si="2542"/>
        <v>0</v>
      </c>
      <c r="CN1205">
        <f t="shared" si="2542"/>
        <v>0</v>
      </c>
      <c r="CO1205">
        <f t="shared" si="2542"/>
        <v>0</v>
      </c>
      <c r="CP1205">
        <f t="shared" si="2542"/>
        <v>0</v>
      </c>
      <c r="CQ1205">
        <f t="shared" si="2542"/>
        <v>0</v>
      </c>
      <c r="CR1205">
        <f t="shared" si="2542"/>
        <v>0</v>
      </c>
      <c r="CS1205">
        <f t="shared" si="2542"/>
        <v>0</v>
      </c>
      <c r="CT1205">
        <f t="shared" si="2542"/>
        <v>0</v>
      </c>
      <c r="CU1205">
        <f t="shared" si="2542"/>
        <v>0</v>
      </c>
      <c r="CV1205">
        <f t="shared" si="2542"/>
        <v>0</v>
      </c>
      <c r="CW1205">
        <f t="shared" si="2543"/>
        <v>0</v>
      </c>
      <c r="CX1205">
        <f t="shared" si="2543"/>
        <v>0</v>
      </c>
      <c r="CY1205">
        <f t="shared" si="2543"/>
        <v>0</v>
      </c>
      <c r="CZ1205">
        <f t="shared" si="2543"/>
        <v>0</v>
      </c>
      <c r="DA1205">
        <f t="shared" si="2543"/>
        <v>0</v>
      </c>
      <c r="DB1205">
        <f t="shared" si="2543"/>
        <v>0</v>
      </c>
      <c r="DC1205">
        <f t="shared" si="2543"/>
        <v>0</v>
      </c>
      <c r="DD1205">
        <f t="shared" si="2543"/>
        <v>0</v>
      </c>
      <c r="DE1205">
        <f t="shared" si="2543"/>
        <v>0</v>
      </c>
      <c r="DF1205">
        <f t="shared" si="2543"/>
        <v>0</v>
      </c>
      <c r="DG1205">
        <f t="shared" si="2544"/>
        <v>0</v>
      </c>
      <c r="DH1205">
        <f t="shared" si="2544"/>
        <v>0</v>
      </c>
      <c r="DI1205">
        <f t="shared" si="2544"/>
        <v>0</v>
      </c>
      <c r="DJ1205">
        <f t="shared" si="2544"/>
        <v>0</v>
      </c>
      <c r="DK1205">
        <f t="shared" si="2544"/>
        <v>0</v>
      </c>
      <c r="DL1205">
        <f t="shared" si="2544"/>
        <v>0</v>
      </c>
      <c r="DM1205">
        <f t="shared" si="2544"/>
        <v>0</v>
      </c>
      <c r="DN1205">
        <f t="shared" si="2544"/>
        <v>0</v>
      </c>
      <c r="DO1205">
        <f t="shared" si="2544"/>
        <v>0</v>
      </c>
      <c r="DP1205">
        <f t="shared" si="2544"/>
        <v>0</v>
      </c>
      <c r="DQ1205">
        <f t="shared" si="2545"/>
        <v>0</v>
      </c>
      <c r="DR1205">
        <f t="shared" si="2545"/>
        <v>0</v>
      </c>
      <c r="DS1205">
        <f t="shared" si="2545"/>
        <v>0</v>
      </c>
      <c r="DT1205">
        <f t="shared" si="2545"/>
        <v>0</v>
      </c>
      <c r="DU1205">
        <f t="shared" si="2545"/>
        <v>0</v>
      </c>
      <c r="DV1205">
        <f t="shared" si="2545"/>
        <v>0</v>
      </c>
      <c r="DW1205">
        <f t="shared" si="2545"/>
        <v>0</v>
      </c>
      <c r="DX1205">
        <f t="shared" si="2545"/>
        <v>0</v>
      </c>
      <c r="DY1205">
        <f t="shared" si="2545"/>
        <v>0</v>
      </c>
      <c r="DZ1205">
        <f t="shared" si="2545"/>
        <v>0</v>
      </c>
      <c r="EA1205">
        <f t="shared" si="2546"/>
        <v>0</v>
      </c>
      <c r="EB1205">
        <f>IF($C1205&lt;&gt;"",IF(BM1204&gt;0,1,0),0)</f>
        <v>0</v>
      </c>
      <c r="EC1205">
        <f t="shared" si="2546"/>
        <v>0</v>
      </c>
      <c r="ED1205">
        <f t="shared" si="2546"/>
        <v>0</v>
      </c>
      <c r="EE1205">
        <f t="shared" si="2546"/>
        <v>0</v>
      </c>
      <c r="EF1205">
        <f t="shared" si="2546"/>
        <v>0</v>
      </c>
    </row>
    <row r="1206" spans="1:136" ht="15.5">
      <c r="A1206" s="90"/>
      <c r="B1206" s="57" t="s">
        <v>208</v>
      </c>
      <c r="C1206" s="96"/>
      <c r="D1206" s="20"/>
      <c r="E1206" s="20"/>
      <c r="F1206" s="20"/>
      <c r="G1206" s="20"/>
      <c r="H1206" s="20"/>
      <c r="I1206" s="20"/>
      <c r="J1206" s="20"/>
      <c r="K1206" s="20"/>
      <c r="L1206" s="20"/>
      <c r="M1206" s="20"/>
      <c r="N1206" s="34">
        <v>0</v>
      </c>
      <c r="O1206" s="34">
        <v>0</v>
      </c>
      <c r="P1206" s="34">
        <v>0</v>
      </c>
      <c r="Q1206" s="34">
        <v>9.2927999999999986E-3</v>
      </c>
      <c r="R1206" s="34">
        <v>9.3939999999999996E-3</v>
      </c>
      <c r="S1206" s="18">
        <v>0.157833</v>
      </c>
      <c r="T1206" s="18">
        <v>2.6285056</v>
      </c>
      <c r="U1206" s="18">
        <v>5.4299280000000003</v>
      </c>
      <c r="V1206" s="18">
        <v>20.657306500000001</v>
      </c>
      <c r="W1206" s="18">
        <v>36.834451399999999</v>
      </c>
      <c r="X1206" s="18">
        <v>60.282899100000002</v>
      </c>
      <c r="Y1206" s="18">
        <v>20.2764405</v>
      </c>
      <c r="Z1206" s="18">
        <v>24.441035700000004</v>
      </c>
      <c r="AA1206" s="18">
        <v>25.226279600000002</v>
      </c>
      <c r="AB1206" s="18">
        <v>29.639197399999997</v>
      </c>
      <c r="AC1206" s="18">
        <v>42.330639299999994</v>
      </c>
      <c r="AD1206" s="18">
        <v>63.968551399999996</v>
      </c>
      <c r="AE1206" s="18">
        <v>52.718544200000004</v>
      </c>
      <c r="AF1206" s="18">
        <v>83.587198099999995</v>
      </c>
      <c r="AG1206" s="18">
        <v>126.3317309</v>
      </c>
      <c r="AH1206" s="18">
        <v>173.06060189999999</v>
      </c>
      <c r="AI1206" s="18">
        <v>203.08847040000001</v>
      </c>
      <c r="AJ1206" s="18">
        <v>214.1546836</v>
      </c>
      <c r="AK1206" s="40" t="s">
        <v>16</v>
      </c>
      <c r="AL1206" s="18">
        <v>74.828157300000001</v>
      </c>
      <c r="AM1206" s="18">
        <v>75.966785299999998</v>
      </c>
      <c r="AN1206" s="18">
        <v>73.872736599999996</v>
      </c>
      <c r="AO1206" s="18">
        <v>74.963643500000003</v>
      </c>
      <c r="AP1206" s="18">
        <v>64.242221499999999</v>
      </c>
      <c r="AQ1206" s="18">
        <v>18.377047000000001</v>
      </c>
      <c r="AR1206" s="18">
        <v>18.015172600000003</v>
      </c>
      <c r="AS1206" s="18">
        <v>24.205053299999999</v>
      </c>
      <c r="AT1206" s="18">
        <v>22.458051100000002</v>
      </c>
      <c r="AU1206" s="18">
        <v>6.5491553000000007</v>
      </c>
      <c r="AV1206" s="18">
        <v>0</v>
      </c>
      <c r="AW1206" s="18">
        <v>0</v>
      </c>
      <c r="AX1206" s="18">
        <v>0</v>
      </c>
      <c r="AY1206" s="18">
        <v>0</v>
      </c>
      <c r="AZ1206" s="18">
        <v>0</v>
      </c>
      <c r="BA1206" s="18">
        <v>0</v>
      </c>
      <c r="BB1206" s="18">
        <v>0</v>
      </c>
      <c r="BC1206" s="18">
        <v>0</v>
      </c>
      <c r="BD1206" s="18">
        <v>0</v>
      </c>
      <c r="BE1206" s="25">
        <v>0</v>
      </c>
      <c r="BF1206" s="25">
        <v>0</v>
      </c>
      <c r="BG1206" s="25">
        <v>0</v>
      </c>
      <c r="BH1206" s="25">
        <v>0</v>
      </c>
      <c r="BI1206" s="113">
        <v>0</v>
      </c>
      <c r="BJ1206" s="113">
        <v>0</v>
      </c>
      <c r="BK1206" s="113">
        <v>0</v>
      </c>
      <c r="BL1206" s="113">
        <v>0</v>
      </c>
      <c r="BM1206" s="113">
        <v>0</v>
      </c>
      <c r="BN1206" s="113">
        <v>0</v>
      </c>
      <c r="BO1206" s="113">
        <v>0</v>
      </c>
      <c r="BP1206" s="113">
        <v>0</v>
      </c>
      <c r="BQ1206" s="113">
        <v>0</v>
      </c>
      <c r="BR1206" s="101"/>
      <c r="BS1206">
        <f t="shared" si="2540"/>
        <v>0</v>
      </c>
      <c r="BT1206">
        <f t="shared" si="2540"/>
        <v>0</v>
      </c>
      <c r="BU1206">
        <f t="shared" si="2540"/>
        <v>0</v>
      </c>
      <c r="BV1206">
        <f t="shared" si="2540"/>
        <v>0</v>
      </c>
      <c r="BW1206">
        <f t="shared" si="2540"/>
        <v>0</v>
      </c>
      <c r="BX1206">
        <f t="shared" si="2540"/>
        <v>0</v>
      </c>
      <c r="BY1206">
        <f t="shared" si="2540"/>
        <v>0</v>
      </c>
      <c r="BZ1206">
        <f t="shared" si="2540"/>
        <v>0</v>
      </c>
      <c r="CA1206">
        <f t="shared" si="2540"/>
        <v>0</v>
      </c>
      <c r="CB1206">
        <f t="shared" si="2540"/>
        <v>0</v>
      </c>
      <c r="CC1206">
        <f t="shared" si="2541"/>
        <v>0</v>
      </c>
      <c r="CD1206">
        <f t="shared" si="2541"/>
        <v>0</v>
      </c>
      <c r="CE1206">
        <f t="shared" si="2541"/>
        <v>0</v>
      </c>
      <c r="CF1206">
        <f t="shared" si="2541"/>
        <v>0</v>
      </c>
      <c r="CG1206">
        <f t="shared" si="2541"/>
        <v>0</v>
      </c>
      <c r="CH1206">
        <f t="shared" si="2541"/>
        <v>0</v>
      </c>
      <c r="CI1206">
        <f t="shared" si="2541"/>
        <v>0</v>
      </c>
      <c r="CJ1206">
        <f t="shared" si="2541"/>
        <v>0</v>
      </c>
      <c r="CK1206">
        <f t="shared" si="2541"/>
        <v>0</v>
      </c>
      <c r="CL1206">
        <f t="shared" si="2541"/>
        <v>0</v>
      </c>
      <c r="CM1206">
        <f t="shared" si="2542"/>
        <v>0</v>
      </c>
      <c r="CN1206">
        <f t="shared" si="2542"/>
        <v>0</v>
      </c>
      <c r="CO1206">
        <f t="shared" si="2542"/>
        <v>0</v>
      </c>
      <c r="CP1206">
        <f t="shared" si="2542"/>
        <v>0</v>
      </c>
      <c r="CQ1206">
        <f t="shared" si="2542"/>
        <v>0</v>
      </c>
      <c r="CR1206">
        <f t="shared" si="2542"/>
        <v>0</v>
      </c>
      <c r="CS1206">
        <f t="shared" si="2542"/>
        <v>0</v>
      </c>
      <c r="CT1206">
        <f t="shared" si="2542"/>
        <v>0</v>
      </c>
      <c r="CU1206">
        <f t="shared" si="2542"/>
        <v>0</v>
      </c>
      <c r="CV1206">
        <f t="shared" si="2542"/>
        <v>0</v>
      </c>
      <c r="CW1206">
        <f t="shared" si="2543"/>
        <v>0</v>
      </c>
      <c r="CX1206">
        <f t="shared" si="2543"/>
        <v>0</v>
      </c>
      <c r="CY1206">
        <f t="shared" si="2543"/>
        <v>0</v>
      </c>
      <c r="CZ1206">
        <f t="shared" si="2543"/>
        <v>0</v>
      </c>
      <c r="DA1206">
        <f t="shared" si="2543"/>
        <v>0</v>
      </c>
      <c r="DB1206">
        <f t="shared" si="2543"/>
        <v>0</v>
      </c>
      <c r="DC1206">
        <f t="shared" si="2543"/>
        <v>0</v>
      </c>
      <c r="DD1206">
        <f t="shared" si="2543"/>
        <v>0</v>
      </c>
      <c r="DE1206">
        <f t="shared" si="2543"/>
        <v>0</v>
      </c>
      <c r="DF1206">
        <f t="shared" si="2543"/>
        <v>0</v>
      </c>
      <c r="DG1206">
        <f t="shared" si="2544"/>
        <v>0</v>
      </c>
      <c r="DH1206">
        <f t="shared" si="2544"/>
        <v>0</v>
      </c>
      <c r="DI1206">
        <f t="shared" si="2544"/>
        <v>0</v>
      </c>
      <c r="DJ1206">
        <f t="shared" si="2544"/>
        <v>0</v>
      </c>
      <c r="DK1206">
        <f t="shared" si="2544"/>
        <v>0</v>
      </c>
      <c r="DL1206">
        <f t="shared" si="2544"/>
        <v>0</v>
      </c>
      <c r="DM1206">
        <f t="shared" si="2544"/>
        <v>0</v>
      </c>
      <c r="DN1206">
        <f t="shared" si="2544"/>
        <v>0</v>
      </c>
      <c r="DO1206">
        <f t="shared" si="2544"/>
        <v>0</v>
      </c>
      <c r="DP1206">
        <f t="shared" si="2544"/>
        <v>0</v>
      </c>
      <c r="DQ1206">
        <f t="shared" si="2545"/>
        <v>0</v>
      </c>
      <c r="DR1206">
        <f t="shared" si="2545"/>
        <v>0</v>
      </c>
      <c r="DS1206">
        <f t="shared" si="2545"/>
        <v>0</v>
      </c>
      <c r="DT1206">
        <f t="shared" si="2545"/>
        <v>0</v>
      </c>
      <c r="DU1206">
        <f t="shared" si="2545"/>
        <v>0</v>
      </c>
      <c r="DV1206">
        <f t="shared" si="2545"/>
        <v>0</v>
      </c>
      <c r="DW1206">
        <f t="shared" si="2545"/>
        <v>0</v>
      </c>
      <c r="DX1206">
        <f t="shared" si="2545"/>
        <v>0</v>
      </c>
      <c r="DY1206">
        <f t="shared" si="2545"/>
        <v>0</v>
      </c>
      <c r="DZ1206">
        <f t="shared" si="2545"/>
        <v>0</v>
      </c>
      <c r="EA1206">
        <f t="shared" si="2546"/>
        <v>0</v>
      </c>
      <c r="EB1206">
        <f>IF($C1206&lt;&gt;"",IF(BM1205&gt;0,1,0),0)</f>
        <v>0</v>
      </c>
      <c r="EC1206">
        <f t="shared" si="2546"/>
        <v>0</v>
      </c>
      <c r="ED1206">
        <f t="shared" si="2546"/>
        <v>0</v>
      </c>
      <c r="EE1206">
        <f t="shared" si="2546"/>
        <v>0</v>
      </c>
      <c r="EF1206">
        <f t="shared" si="2546"/>
        <v>0</v>
      </c>
    </row>
    <row r="1207" spans="1:136" ht="15.5">
      <c r="A1207" s="90"/>
      <c r="B1207" s="57" t="s">
        <v>212</v>
      </c>
      <c r="C1207" s="96"/>
      <c r="D1207" s="20"/>
      <c r="E1207" s="20"/>
      <c r="F1207" s="20"/>
      <c r="G1207" s="20"/>
      <c r="H1207" s="20"/>
      <c r="I1207" s="20"/>
      <c r="J1207" s="20"/>
      <c r="K1207" s="20"/>
      <c r="L1207" s="20"/>
      <c r="M1207" s="20"/>
      <c r="N1207" s="34"/>
      <c r="O1207" s="34"/>
      <c r="P1207" s="34"/>
      <c r="Q1207" s="34"/>
      <c r="R1207" s="34"/>
      <c r="S1207" s="18"/>
      <c r="T1207" s="18"/>
      <c r="U1207" s="18"/>
      <c r="V1207" s="18"/>
      <c r="W1207" s="18"/>
      <c r="X1207" s="18"/>
      <c r="Y1207" s="18"/>
      <c r="Z1207" s="18"/>
      <c r="AA1207" s="18"/>
      <c r="AB1207" s="18"/>
      <c r="AC1207" s="18"/>
      <c r="AD1207" s="18"/>
      <c r="AE1207" s="18"/>
      <c r="AF1207" s="18"/>
      <c r="AG1207" s="18"/>
      <c r="AH1207" s="147">
        <v>1792.5011655011656</v>
      </c>
      <c r="AI1207" s="18">
        <v>1058.1743869209809</v>
      </c>
      <c r="AJ1207" s="18">
        <v>654.32098765432102</v>
      </c>
      <c r="AK1207" s="18">
        <v>600.25104602510464</v>
      </c>
      <c r="AL1207" s="18">
        <v>744.22880490296222</v>
      </c>
      <c r="AM1207" s="18">
        <v>728.07017543859649</v>
      </c>
      <c r="AN1207" s="18">
        <v>647.60994263862335</v>
      </c>
      <c r="AO1207" s="18">
        <v>582.08679593721149</v>
      </c>
      <c r="AP1207" s="18">
        <v>414.83870967741933</v>
      </c>
      <c r="AQ1207" s="18">
        <v>253.53951890034364</v>
      </c>
      <c r="AR1207" s="18">
        <v>150.98493626882967</v>
      </c>
      <c r="AS1207" s="18">
        <v>102.90598290598291</v>
      </c>
      <c r="AT1207" s="18">
        <v>281.58789166224108</v>
      </c>
      <c r="AU1207" s="147">
        <v>253</v>
      </c>
      <c r="AV1207" s="18">
        <v>342.94117647058823</v>
      </c>
      <c r="AW1207" s="18">
        <v>340.78212290502796</v>
      </c>
      <c r="AX1207" s="147">
        <v>340.15748031496065</v>
      </c>
      <c r="AY1207" s="147">
        <v>195.29411764705881</v>
      </c>
      <c r="AZ1207" s="18">
        <v>94.573643410852711</v>
      </c>
      <c r="BA1207" s="18">
        <v>53.140096618357489</v>
      </c>
      <c r="BB1207" s="18">
        <v>949.75760246804759</v>
      </c>
      <c r="BC1207" s="18">
        <v>800.08525149190109</v>
      </c>
      <c r="BD1207" s="18">
        <v>637.15474839197884</v>
      </c>
      <c r="BE1207" s="25">
        <v>533.22658126501199</v>
      </c>
      <c r="BF1207" s="25">
        <v>512.25759238931573</v>
      </c>
      <c r="BG1207" s="25">
        <v>1126.8278125932557</v>
      </c>
      <c r="BH1207" s="25">
        <v>963.63636363636363</v>
      </c>
      <c r="BI1207" s="113">
        <v>876.85004188774087</v>
      </c>
      <c r="BJ1207" s="113">
        <v>992.35327712809351</v>
      </c>
      <c r="BK1207" s="113">
        <v>993.92600773053562</v>
      </c>
      <c r="BL1207" s="113">
        <v>624.10860599395107</v>
      </c>
      <c r="BM1207" s="113">
        <v>469.22812532712913</v>
      </c>
      <c r="BN1207" s="113">
        <v>672.04301075268813</v>
      </c>
      <c r="BO1207" s="113">
        <v>726.00161333691858</v>
      </c>
      <c r="BP1207" s="251">
        <f>2500000/3716</f>
        <v>672.76641550053819</v>
      </c>
      <c r="BQ1207" s="113">
        <v>671</v>
      </c>
      <c r="BR1207" s="101"/>
      <c r="BS1207">
        <f t="shared" si="2540"/>
        <v>0</v>
      </c>
      <c r="BT1207">
        <f t="shared" si="2540"/>
        <v>0</v>
      </c>
      <c r="BU1207">
        <f t="shared" si="2540"/>
        <v>0</v>
      </c>
      <c r="BV1207">
        <f t="shared" si="2540"/>
        <v>0</v>
      </c>
      <c r="BW1207">
        <f t="shared" si="2540"/>
        <v>0</v>
      </c>
      <c r="BX1207">
        <f t="shared" si="2540"/>
        <v>0</v>
      </c>
      <c r="BY1207">
        <f t="shared" si="2540"/>
        <v>0</v>
      </c>
      <c r="BZ1207">
        <f t="shared" si="2540"/>
        <v>0</v>
      </c>
      <c r="CA1207">
        <f t="shared" si="2540"/>
        <v>0</v>
      </c>
      <c r="CB1207">
        <f t="shared" si="2540"/>
        <v>0</v>
      </c>
      <c r="CC1207">
        <f t="shared" si="2541"/>
        <v>0</v>
      </c>
      <c r="CD1207">
        <f t="shared" si="2541"/>
        <v>0</v>
      </c>
      <c r="CE1207">
        <f t="shared" si="2541"/>
        <v>0</v>
      </c>
      <c r="CF1207">
        <f t="shared" si="2541"/>
        <v>0</v>
      </c>
      <c r="CG1207">
        <f t="shared" si="2541"/>
        <v>0</v>
      </c>
      <c r="CH1207">
        <f t="shared" si="2541"/>
        <v>0</v>
      </c>
      <c r="CI1207">
        <f t="shared" si="2541"/>
        <v>0</v>
      </c>
      <c r="CJ1207">
        <f t="shared" si="2541"/>
        <v>0</v>
      </c>
      <c r="CK1207">
        <f t="shared" si="2541"/>
        <v>0</v>
      </c>
      <c r="CL1207">
        <f t="shared" si="2541"/>
        <v>0</v>
      </c>
      <c r="CM1207">
        <f t="shared" si="2542"/>
        <v>0</v>
      </c>
      <c r="CN1207">
        <f t="shared" si="2542"/>
        <v>0</v>
      </c>
      <c r="CO1207">
        <f t="shared" si="2542"/>
        <v>0</v>
      </c>
      <c r="CP1207">
        <f t="shared" si="2542"/>
        <v>0</v>
      </c>
      <c r="CQ1207">
        <f t="shared" si="2542"/>
        <v>0</v>
      </c>
      <c r="CR1207">
        <f t="shared" si="2542"/>
        <v>0</v>
      </c>
      <c r="CS1207">
        <f t="shared" si="2542"/>
        <v>0</v>
      </c>
      <c r="CT1207">
        <f t="shared" si="2542"/>
        <v>0</v>
      </c>
      <c r="CU1207">
        <f t="shared" si="2542"/>
        <v>0</v>
      </c>
      <c r="CV1207">
        <f t="shared" si="2542"/>
        <v>0</v>
      </c>
      <c r="CW1207">
        <f t="shared" si="2543"/>
        <v>0</v>
      </c>
      <c r="CX1207">
        <f t="shared" si="2543"/>
        <v>0</v>
      </c>
      <c r="CY1207">
        <f t="shared" si="2543"/>
        <v>0</v>
      </c>
      <c r="CZ1207">
        <f t="shared" si="2543"/>
        <v>0</v>
      </c>
      <c r="DA1207">
        <f t="shared" si="2543"/>
        <v>0</v>
      </c>
      <c r="DB1207">
        <f t="shared" si="2543"/>
        <v>0</v>
      </c>
      <c r="DC1207">
        <f t="shared" si="2543"/>
        <v>0</v>
      </c>
      <c r="DD1207">
        <f t="shared" si="2543"/>
        <v>0</v>
      </c>
      <c r="DE1207">
        <f t="shared" si="2543"/>
        <v>0</v>
      </c>
      <c r="DF1207">
        <f t="shared" si="2543"/>
        <v>0</v>
      </c>
      <c r="DG1207">
        <f t="shared" si="2544"/>
        <v>0</v>
      </c>
      <c r="DH1207">
        <f t="shared" si="2544"/>
        <v>0</v>
      </c>
      <c r="DI1207">
        <f t="shared" si="2544"/>
        <v>0</v>
      </c>
      <c r="DJ1207">
        <f t="shared" si="2544"/>
        <v>0</v>
      </c>
      <c r="DK1207">
        <f t="shared" si="2544"/>
        <v>0</v>
      </c>
      <c r="DL1207">
        <f t="shared" si="2544"/>
        <v>0</v>
      </c>
      <c r="DM1207">
        <f t="shared" si="2544"/>
        <v>0</v>
      </c>
      <c r="DN1207">
        <f t="shared" si="2544"/>
        <v>0</v>
      </c>
      <c r="DO1207">
        <f t="shared" si="2544"/>
        <v>0</v>
      </c>
      <c r="DP1207">
        <f t="shared" si="2544"/>
        <v>0</v>
      </c>
      <c r="DQ1207">
        <f t="shared" si="2545"/>
        <v>0</v>
      </c>
      <c r="DR1207">
        <f t="shared" si="2545"/>
        <v>0</v>
      </c>
      <c r="DS1207">
        <f t="shared" si="2545"/>
        <v>0</v>
      </c>
      <c r="DT1207">
        <f t="shared" si="2545"/>
        <v>0</v>
      </c>
      <c r="DU1207">
        <f t="shared" si="2545"/>
        <v>0</v>
      </c>
      <c r="DV1207">
        <f t="shared" si="2545"/>
        <v>0</v>
      </c>
      <c r="DW1207">
        <f t="shared" si="2545"/>
        <v>0</v>
      </c>
      <c r="DX1207">
        <f t="shared" si="2545"/>
        <v>0</v>
      </c>
      <c r="DY1207">
        <f t="shared" si="2545"/>
        <v>0</v>
      </c>
      <c r="DZ1207">
        <f t="shared" si="2545"/>
        <v>0</v>
      </c>
      <c r="EA1207">
        <f t="shared" ref="EA1207:EF1207" si="2547">IF($C1207&lt;&gt;"",IF(BL1207&gt;0,1,0),0)</f>
        <v>0</v>
      </c>
      <c r="EB1207">
        <f t="shared" si="2547"/>
        <v>0</v>
      </c>
      <c r="EC1207">
        <f t="shared" si="2547"/>
        <v>0</v>
      </c>
      <c r="ED1207">
        <f t="shared" si="2547"/>
        <v>0</v>
      </c>
      <c r="EE1207">
        <f t="shared" si="2547"/>
        <v>0</v>
      </c>
      <c r="EF1207">
        <f t="shared" si="2547"/>
        <v>0</v>
      </c>
    </row>
    <row r="1208" spans="1:136" ht="15.5">
      <c r="A1208" s="90"/>
      <c r="B1208" s="37"/>
      <c r="C1208" s="95"/>
      <c r="D1208" s="20"/>
      <c r="E1208" s="20"/>
      <c r="F1208" s="20"/>
      <c r="G1208" s="20"/>
      <c r="H1208" s="20"/>
      <c r="I1208" s="20"/>
      <c r="J1208" s="20"/>
      <c r="K1208" s="20"/>
      <c r="L1208" s="20"/>
      <c r="M1208" s="20"/>
      <c r="N1208" s="20"/>
      <c r="O1208" s="20"/>
      <c r="P1208" s="20"/>
      <c r="Q1208" s="20"/>
      <c r="R1208" s="20"/>
      <c r="S1208" s="20"/>
      <c r="T1208" s="20"/>
      <c r="U1208" s="20"/>
      <c r="V1208" s="20"/>
      <c r="W1208" s="20"/>
      <c r="X1208" s="20"/>
      <c r="Y1208" s="20"/>
      <c r="Z1208" s="20"/>
      <c r="AA1208" s="20"/>
      <c r="AB1208" s="20"/>
      <c r="AC1208" s="20"/>
      <c r="AD1208" s="20"/>
      <c r="AE1208" s="20"/>
      <c r="AF1208" s="20"/>
      <c r="AG1208" s="20"/>
      <c r="AH1208" s="20"/>
      <c r="AI1208" s="20"/>
      <c r="AJ1208" s="20"/>
      <c r="AK1208" s="20"/>
      <c r="AL1208" s="20"/>
      <c r="AM1208" s="20"/>
      <c r="AN1208" s="20"/>
      <c r="AO1208" s="18"/>
      <c r="AP1208" s="18"/>
      <c r="AQ1208" s="18"/>
      <c r="AR1208" s="18"/>
      <c r="AS1208" s="20"/>
      <c r="AT1208" s="20"/>
      <c r="AU1208" s="20"/>
      <c r="AV1208" s="20"/>
      <c r="AW1208" s="20"/>
      <c r="AX1208" s="20"/>
      <c r="AY1208" s="20"/>
      <c r="AZ1208" s="20"/>
      <c r="BA1208" s="20"/>
      <c r="BB1208" s="20"/>
      <c r="BC1208" s="20"/>
      <c r="BD1208" s="31"/>
      <c r="BE1208" s="55"/>
      <c r="BF1208" s="31"/>
      <c r="BG1208" s="31"/>
      <c r="BH1208" s="2"/>
      <c r="BI1208" s="2"/>
      <c r="BJ1208" s="2"/>
      <c r="BK1208" s="2"/>
      <c r="BL1208" s="22"/>
      <c r="BM1208" s="174"/>
      <c r="BN1208" s="2"/>
      <c r="BO1208" s="2"/>
      <c r="BP1208" s="2"/>
      <c r="BQ1208" s="2"/>
      <c r="BR1208" s="101"/>
      <c r="DK1208">
        <f t="shared" ref="DK1208:DK1217" si="2548">IF($C1208&lt;&gt;"",IF(AV1208&gt;0,1,0),0)</f>
        <v>0</v>
      </c>
    </row>
    <row r="1209" spans="1:136" ht="15.5">
      <c r="A1209" s="93">
        <v>154</v>
      </c>
      <c r="B1209" s="52" t="s">
        <v>151</v>
      </c>
      <c r="C1209" s="94">
        <v>3</v>
      </c>
      <c r="D1209" s="22"/>
      <c r="E1209" s="22"/>
      <c r="F1209" s="22"/>
      <c r="G1209" s="22"/>
      <c r="H1209" s="22"/>
      <c r="I1209" s="22"/>
      <c r="J1209" s="22"/>
      <c r="K1209" s="22"/>
      <c r="L1209" s="22"/>
      <c r="M1209" s="22"/>
      <c r="N1209" s="22"/>
      <c r="O1209" s="22"/>
      <c r="P1209" s="22"/>
      <c r="Q1209" s="22"/>
      <c r="R1209" s="22"/>
      <c r="S1209" s="22"/>
      <c r="T1209" s="22"/>
      <c r="U1209" s="22"/>
      <c r="V1209" s="22"/>
      <c r="W1209" s="22"/>
      <c r="X1209" s="22"/>
      <c r="Y1209" s="22"/>
      <c r="Z1209" s="22"/>
      <c r="AA1209" s="22"/>
      <c r="AB1209" s="22"/>
      <c r="AC1209" s="22"/>
      <c r="AD1209" s="22"/>
      <c r="AE1209" s="22"/>
      <c r="AF1209" s="22"/>
      <c r="AG1209" s="22"/>
      <c r="AH1209" s="22"/>
      <c r="AI1209" s="22">
        <f t="shared" ref="AI1209:BQ1209" si="2549">SUM(AI1210:AI1216)</f>
        <v>0</v>
      </c>
      <c r="AJ1209" s="22">
        <f t="shared" si="2549"/>
        <v>1.99</v>
      </c>
      <c r="AK1209" s="22">
        <f t="shared" si="2549"/>
        <v>31.515000000000001</v>
      </c>
      <c r="AL1209" s="22">
        <f t="shared" si="2549"/>
        <v>807.13597549999997</v>
      </c>
      <c r="AM1209" s="22">
        <f t="shared" si="2549"/>
        <v>1257.2441622000001</v>
      </c>
      <c r="AN1209" s="22">
        <f t="shared" si="2549"/>
        <v>106.46853539999999</v>
      </c>
      <c r="AO1209" s="22">
        <f t="shared" si="2549"/>
        <v>278.3970157</v>
      </c>
      <c r="AP1209" s="22">
        <f t="shared" si="2549"/>
        <v>958.18946269999992</v>
      </c>
      <c r="AQ1209" s="22">
        <f t="shared" si="2549"/>
        <v>4884.9525971999992</v>
      </c>
      <c r="AR1209" s="22">
        <f t="shared" si="2549"/>
        <v>4634.2564838999997</v>
      </c>
      <c r="AS1209" s="22">
        <f t="shared" si="2549"/>
        <v>580</v>
      </c>
      <c r="AT1209" s="22">
        <f t="shared" si="2549"/>
        <v>309.11083639999998</v>
      </c>
      <c r="AU1209" s="22">
        <f t="shared" si="2549"/>
        <v>281.714</v>
      </c>
      <c r="AV1209" s="22">
        <f t="shared" si="2549"/>
        <v>0</v>
      </c>
      <c r="AW1209" s="22">
        <f t="shared" si="2549"/>
        <v>0</v>
      </c>
      <c r="AX1209" s="22">
        <f t="shared" si="2549"/>
        <v>0</v>
      </c>
      <c r="AY1209" s="22">
        <f t="shared" si="2549"/>
        <v>0</v>
      </c>
      <c r="AZ1209" s="22">
        <f t="shared" si="2549"/>
        <v>0</v>
      </c>
      <c r="BA1209" s="22">
        <f t="shared" si="2549"/>
        <v>0</v>
      </c>
      <c r="BB1209" s="22">
        <f t="shared" si="2549"/>
        <v>0</v>
      </c>
      <c r="BC1209" s="22">
        <f t="shared" si="2549"/>
        <v>0</v>
      </c>
      <c r="BD1209" s="22">
        <f t="shared" si="2549"/>
        <v>0</v>
      </c>
      <c r="BE1209" s="22">
        <f t="shared" si="2549"/>
        <v>0</v>
      </c>
      <c r="BF1209" s="22">
        <f t="shared" si="2549"/>
        <v>1552</v>
      </c>
      <c r="BG1209" s="22">
        <f t="shared" si="2549"/>
        <v>19186.550999999999</v>
      </c>
      <c r="BH1209" s="22">
        <f t="shared" si="2549"/>
        <v>22573.101999999999</v>
      </c>
      <c r="BI1209" s="22">
        <f t="shared" si="2549"/>
        <v>3259.6530000000002</v>
      </c>
      <c r="BJ1209" s="22">
        <f t="shared" si="2549"/>
        <v>0</v>
      </c>
      <c r="BK1209" s="22">
        <f t="shared" si="2549"/>
        <v>0</v>
      </c>
      <c r="BL1209" s="22">
        <f t="shared" si="2549"/>
        <v>0</v>
      </c>
      <c r="BM1209" s="22">
        <f t="shared" si="2549"/>
        <v>0</v>
      </c>
      <c r="BN1209" s="22">
        <f t="shared" si="2549"/>
        <v>36527.449000000001</v>
      </c>
      <c r="BO1209" s="4">
        <f t="shared" si="2549"/>
        <v>40328.449000000001</v>
      </c>
      <c r="BP1209" s="4">
        <f t="shared" si="2549"/>
        <v>28262.7</v>
      </c>
      <c r="BQ1209" s="4">
        <f t="shared" si="2549"/>
        <v>32378</v>
      </c>
      <c r="BR1209" s="101"/>
      <c r="BS1209">
        <f t="shared" ref="BS1209:BS1217" si="2550">IF($C1209&lt;&gt;"",IF(D1209&gt;0,1,0),0)</f>
        <v>0</v>
      </c>
      <c r="BT1209">
        <f t="shared" ref="BT1209:BT1217" si="2551">IF($C1209&lt;&gt;"",IF(E1209&gt;0,1,0),0)</f>
        <v>0</v>
      </c>
      <c r="BU1209">
        <f t="shared" ref="BU1209:BU1217" si="2552">IF($C1209&lt;&gt;"",IF(F1209&gt;0,1,0),0)</f>
        <v>0</v>
      </c>
      <c r="BV1209">
        <f t="shared" ref="BV1209:BV1217" si="2553">IF($C1209&lt;&gt;"",IF(G1209&gt;0,1,0),0)</f>
        <v>0</v>
      </c>
      <c r="BW1209">
        <f t="shared" ref="BW1209:BW1217" si="2554">IF($C1209&lt;&gt;"",IF(H1209&gt;0,1,0),0)</f>
        <v>0</v>
      </c>
      <c r="BX1209">
        <f t="shared" ref="BX1209:BX1217" si="2555">IF($C1209&lt;&gt;"",IF(I1209&gt;0,1,0),0)</f>
        <v>0</v>
      </c>
      <c r="BY1209">
        <f t="shared" ref="BY1209:BY1217" si="2556">IF($C1209&lt;&gt;"",IF(J1209&gt;0,1,0),0)</f>
        <v>0</v>
      </c>
      <c r="BZ1209">
        <f t="shared" ref="BZ1209:BZ1217" si="2557">IF($C1209&lt;&gt;"",IF(K1209&gt;0,1,0),0)</f>
        <v>0</v>
      </c>
      <c r="CA1209">
        <f t="shared" ref="CA1209:CA1217" si="2558">IF($C1209&lt;&gt;"",IF(L1209&gt;0,1,0),0)</f>
        <v>0</v>
      </c>
      <c r="CB1209">
        <f t="shared" ref="CB1209:CB1217" si="2559">IF($C1209&lt;&gt;"",IF(M1209&gt;0,1,0),0)</f>
        <v>0</v>
      </c>
      <c r="CC1209">
        <f t="shared" ref="CC1209:CC1217" si="2560">IF($C1209&lt;&gt;"",IF(N1209&gt;0,1,0),0)</f>
        <v>0</v>
      </c>
      <c r="CD1209">
        <f t="shared" ref="CD1209:CD1217" si="2561">IF($C1209&lt;&gt;"",IF(O1209&gt;0,1,0),0)</f>
        <v>0</v>
      </c>
      <c r="CE1209">
        <f t="shared" ref="CE1209:CE1217" si="2562">IF($C1209&lt;&gt;"",IF(P1209&gt;0,1,0),0)</f>
        <v>0</v>
      </c>
      <c r="CF1209">
        <f t="shared" ref="CF1209:CF1217" si="2563">IF($C1209&lt;&gt;"",IF(Q1209&gt;0,1,0),0)</f>
        <v>0</v>
      </c>
      <c r="CG1209">
        <f t="shared" ref="CG1209:CG1217" si="2564">IF($C1209&lt;&gt;"",IF(R1209&gt;0,1,0),0)</f>
        <v>0</v>
      </c>
      <c r="CH1209">
        <f t="shared" ref="CH1209:CH1217" si="2565">IF($C1209&lt;&gt;"",IF(S1209&gt;0,1,0),0)</f>
        <v>0</v>
      </c>
      <c r="CI1209">
        <f t="shared" ref="CI1209:CI1217" si="2566">IF($C1209&lt;&gt;"",IF(T1209&gt;0,1,0),0)</f>
        <v>0</v>
      </c>
      <c r="CJ1209">
        <f t="shared" ref="CJ1209:CJ1217" si="2567">IF($C1209&lt;&gt;"",IF(U1209&gt;0,1,0),0)</f>
        <v>0</v>
      </c>
      <c r="CK1209">
        <f t="shared" ref="CK1209:CK1217" si="2568">IF($C1209&lt;&gt;"",IF(V1209&gt;0,1,0),0)</f>
        <v>0</v>
      </c>
      <c r="CL1209">
        <f t="shared" ref="CL1209:CL1217" si="2569">IF($C1209&lt;&gt;"",IF(W1209&gt;0,1,0),0)</f>
        <v>0</v>
      </c>
      <c r="CM1209">
        <f t="shared" ref="CM1209:CM1217" si="2570">IF($C1209&lt;&gt;"",IF(X1209&gt;0,1,0),0)</f>
        <v>0</v>
      </c>
      <c r="CN1209">
        <f t="shared" ref="CN1209:CN1217" si="2571">IF($C1209&lt;&gt;"",IF(Y1209&gt;0,1,0),0)</f>
        <v>0</v>
      </c>
      <c r="CO1209">
        <f t="shared" ref="CO1209:CO1217" si="2572">IF($C1209&lt;&gt;"",IF(Z1209&gt;0,1,0),0)</f>
        <v>0</v>
      </c>
      <c r="CP1209">
        <f t="shared" ref="CP1209:CP1217" si="2573">IF($C1209&lt;&gt;"",IF(AA1209&gt;0,1,0),0)</f>
        <v>0</v>
      </c>
      <c r="CQ1209">
        <f t="shared" ref="CQ1209:CQ1217" si="2574">IF($C1209&lt;&gt;"",IF(AB1209&gt;0,1,0),0)</f>
        <v>0</v>
      </c>
      <c r="CR1209">
        <f t="shared" ref="CR1209:CR1217" si="2575">IF($C1209&lt;&gt;"",IF(AC1209&gt;0,1,0),0)</f>
        <v>0</v>
      </c>
      <c r="CS1209">
        <f t="shared" ref="CS1209:CS1217" si="2576">IF($C1209&lt;&gt;"",IF(AD1209&gt;0,1,0),0)</f>
        <v>0</v>
      </c>
      <c r="CT1209">
        <f t="shared" ref="CT1209:CT1217" si="2577">IF($C1209&lt;&gt;"",IF(AE1209&gt;0,1,0),0)</f>
        <v>0</v>
      </c>
      <c r="CU1209">
        <f t="shared" ref="CU1209:CU1217" si="2578">IF($C1209&lt;&gt;"",IF(AF1209&gt;0,1,0),0)</f>
        <v>0</v>
      </c>
      <c r="CV1209">
        <f t="shared" ref="CV1209:CV1217" si="2579">IF($C1209&lt;&gt;"",IF(AG1209&gt;0,1,0),0)</f>
        <v>0</v>
      </c>
      <c r="CW1209">
        <f t="shared" ref="CW1209:CW1217" si="2580">IF($C1209&lt;&gt;"",IF(AH1209&gt;0,1,0),0)</f>
        <v>0</v>
      </c>
      <c r="CX1209">
        <f t="shared" ref="CX1209:CX1217" si="2581">IF($C1209&lt;&gt;"",IF(AI1209&gt;0,1,0),0)</f>
        <v>0</v>
      </c>
      <c r="CY1209">
        <f t="shared" ref="CY1209:CY1217" si="2582">IF($C1209&lt;&gt;"",IF(AJ1209&gt;0,1,0),0)</f>
        <v>1</v>
      </c>
      <c r="CZ1209">
        <f t="shared" ref="CZ1209:CZ1217" si="2583">IF($C1209&lt;&gt;"",IF(AK1209&gt;0,1,0),0)</f>
        <v>1</v>
      </c>
      <c r="DA1209">
        <f t="shared" ref="DA1209:DA1217" si="2584">IF($C1209&lt;&gt;"",IF(AL1209&gt;0,1,0),0)</f>
        <v>1</v>
      </c>
      <c r="DB1209">
        <f t="shared" ref="DB1209:DB1217" si="2585">IF($C1209&lt;&gt;"",IF(AM1209&gt;0,1,0),0)</f>
        <v>1</v>
      </c>
      <c r="DC1209">
        <f t="shared" ref="DC1209:DC1217" si="2586">IF($C1209&lt;&gt;"",IF(AN1209&gt;0,1,0),0)</f>
        <v>1</v>
      </c>
      <c r="DD1209">
        <f t="shared" ref="DD1209:DD1217" si="2587">IF($C1209&lt;&gt;"",IF(AO1209&gt;0,1,0),0)</f>
        <v>1</v>
      </c>
      <c r="DE1209">
        <f t="shared" ref="DE1209:DE1217" si="2588">IF($C1209&lt;&gt;"",IF(AP1209&gt;0,1,0),0)</f>
        <v>1</v>
      </c>
      <c r="DF1209">
        <f t="shared" ref="DF1209:DF1217" si="2589">IF($C1209&lt;&gt;"",IF(AQ1209&gt;0,1,0),0)</f>
        <v>1</v>
      </c>
      <c r="DG1209">
        <f t="shared" ref="DG1209:DG1217" si="2590">IF($C1209&lt;&gt;"",IF(AR1209&gt;0,1,0),0)</f>
        <v>1</v>
      </c>
      <c r="DH1209">
        <f t="shared" ref="DH1209:DH1217" si="2591">IF($C1209&lt;&gt;"",IF(AS1209&gt;0,1,0),0)</f>
        <v>1</v>
      </c>
      <c r="DI1209">
        <f t="shared" ref="DI1209:DI1217" si="2592">IF($C1209&lt;&gt;"",IF(AT1209&gt;0,1,0),0)</f>
        <v>1</v>
      </c>
      <c r="DJ1209">
        <f t="shared" ref="DJ1209:DJ1217" si="2593">IF($C1209&lt;&gt;"",IF(AU1209&gt;0,1,0),0)</f>
        <v>1</v>
      </c>
      <c r="DK1209">
        <f t="shared" si="2548"/>
        <v>0</v>
      </c>
      <c r="DL1209">
        <f t="shared" ref="DL1209:EF1209" si="2594">IF($C1209&lt;&gt;"",IF(AW1209&gt;0,1,0),0)</f>
        <v>0</v>
      </c>
      <c r="DM1209">
        <f t="shared" si="2594"/>
        <v>0</v>
      </c>
      <c r="DN1209">
        <f t="shared" si="2594"/>
        <v>0</v>
      </c>
      <c r="DO1209">
        <f t="shared" si="2594"/>
        <v>0</v>
      </c>
      <c r="DP1209">
        <f t="shared" si="2594"/>
        <v>0</v>
      </c>
      <c r="DQ1209">
        <f t="shared" si="2594"/>
        <v>0</v>
      </c>
      <c r="DR1209">
        <f t="shared" si="2594"/>
        <v>0</v>
      </c>
      <c r="DS1209">
        <f t="shared" si="2594"/>
        <v>0</v>
      </c>
      <c r="DT1209">
        <f t="shared" si="2594"/>
        <v>0</v>
      </c>
      <c r="DU1209">
        <f t="shared" si="2594"/>
        <v>1</v>
      </c>
      <c r="DV1209">
        <f t="shared" si="2594"/>
        <v>1</v>
      </c>
      <c r="DW1209">
        <f t="shared" si="2594"/>
        <v>1</v>
      </c>
      <c r="DX1209">
        <f t="shared" si="2594"/>
        <v>1</v>
      </c>
      <c r="DY1209">
        <f t="shared" si="2594"/>
        <v>0</v>
      </c>
      <c r="DZ1209">
        <f t="shared" si="2594"/>
        <v>0</v>
      </c>
      <c r="EA1209">
        <f t="shared" si="2594"/>
        <v>0</v>
      </c>
      <c r="EB1209">
        <f>IF($C1209&lt;&gt;"",IF(BM1209&gt;0,1,0),0)</f>
        <v>0</v>
      </c>
      <c r="EC1209">
        <f t="shared" si="2594"/>
        <v>1</v>
      </c>
      <c r="ED1209">
        <f t="shared" si="2594"/>
        <v>1</v>
      </c>
      <c r="EE1209">
        <f t="shared" si="2594"/>
        <v>1</v>
      </c>
      <c r="EF1209">
        <f t="shared" si="2594"/>
        <v>1</v>
      </c>
    </row>
    <row r="1210" spans="1:136" ht="15.5">
      <c r="A1210" s="90"/>
      <c r="B1210" s="19" t="s">
        <v>2</v>
      </c>
      <c r="C1210" s="95"/>
      <c r="D1210" s="22"/>
      <c r="E1210" s="22"/>
      <c r="F1210" s="22"/>
      <c r="G1210" s="22"/>
      <c r="H1210" s="22"/>
      <c r="I1210" s="22"/>
      <c r="J1210" s="22"/>
      <c r="K1210" s="22"/>
      <c r="L1210" s="22"/>
      <c r="M1210" s="22"/>
      <c r="N1210" s="22"/>
      <c r="O1210" s="22"/>
      <c r="P1210" s="22"/>
      <c r="Q1210" s="22"/>
      <c r="R1210" s="22"/>
      <c r="S1210" s="22"/>
      <c r="T1210" s="22"/>
      <c r="U1210" s="22"/>
      <c r="V1210" s="22"/>
      <c r="W1210" s="22"/>
      <c r="X1210" s="22"/>
      <c r="Y1210" s="22"/>
      <c r="Z1210" s="22"/>
      <c r="AA1210" s="22"/>
      <c r="AB1210" s="22"/>
      <c r="AC1210" s="22"/>
      <c r="AD1210" s="22"/>
      <c r="AE1210" s="22"/>
      <c r="AF1210" s="22"/>
      <c r="AG1210" s="22"/>
      <c r="AH1210" s="22"/>
      <c r="AI1210" s="34">
        <v>0</v>
      </c>
      <c r="AJ1210" s="34">
        <v>0</v>
      </c>
      <c r="AK1210" s="18">
        <v>0</v>
      </c>
      <c r="AL1210" s="18">
        <v>0</v>
      </c>
      <c r="AM1210" s="18">
        <v>0</v>
      </c>
      <c r="AN1210" s="18">
        <v>0</v>
      </c>
      <c r="AO1210" s="18">
        <v>0</v>
      </c>
      <c r="AP1210" s="34">
        <v>0</v>
      </c>
      <c r="AQ1210" s="34">
        <v>0</v>
      </c>
      <c r="AR1210" s="40" t="s">
        <v>16</v>
      </c>
      <c r="AS1210" s="18">
        <v>580</v>
      </c>
      <c r="AT1210" s="40" t="s">
        <v>16</v>
      </c>
      <c r="AU1210" s="34">
        <v>0</v>
      </c>
      <c r="AV1210" s="34">
        <v>0</v>
      </c>
      <c r="AW1210" s="34">
        <v>0</v>
      </c>
      <c r="AX1210" s="34">
        <v>0</v>
      </c>
      <c r="AY1210" s="34">
        <v>0</v>
      </c>
      <c r="AZ1210" s="34">
        <v>0</v>
      </c>
      <c r="BA1210" s="34">
        <v>0</v>
      </c>
      <c r="BB1210" s="34">
        <v>0</v>
      </c>
      <c r="BC1210" s="34">
        <v>0</v>
      </c>
      <c r="BD1210" s="34">
        <v>0</v>
      </c>
      <c r="BE1210" s="34">
        <v>0</v>
      </c>
      <c r="BF1210" s="34">
        <v>0</v>
      </c>
      <c r="BG1210" s="34">
        <v>0</v>
      </c>
      <c r="BH1210" s="34">
        <v>0</v>
      </c>
      <c r="BI1210" s="34">
        <v>0</v>
      </c>
      <c r="BJ1210" s="113">
        <v>0</v>
      </c>
      <c r="BK1210" s="113">
        <v>0</v>
      </c>
      <c r="BL1210" s="113">
        <v>0</v>
      </c>
      <c r="BM1210" s="113">
        <v>0</v>
      </c>
      <c r="BN1210" s="113">
        <v>8527</v>
      </c>
      <c r="BO1210" s="113">
        <v>9728</v>
      </c>
      <c r="BP1210" s="113">
        <v>0</v>
      </c>
      <c r="BQ1210" s="113">
        <v>0</v>
      </c>
      <c r="BR1210" s="101"/>
      <c r="BS1210">
        <f t="shared" si="2550"/>
        <v>0</v>
      </c>
      <c r="BT1210">
        <f t="shared" si="2551"/>
        <v>0</v>
      </c>
      <c r="BU1210">
        <f t="shared" si="2552"/>
        <v>0</v>
      </c>
      <c r="BV1210">
        <f t="shared" si="2553"/>
        <v>0</v>
      </c>
      <c r="BW1210">
        <f t="shared" si="2554"/>
        <v>0</v>
      </c>
      <c r="BX1210">
        <f t="shared" si="2555"/>
        <v>0</v>
      </c>
      <c r="BY1210">
        <f t="shared" si="2556"/>
        <v>0</v>
      </c>
      <c r="BZ1210">
        <f t="shared" si="2557"/>
        <v>0</v>
      </c>
      <c r="CA1210">
        <f t="shared" si="2558"/>
        <v>0</v>
      </c>
      <c r="CB1210">
        <f t="shared" si="2559"/>
        <v>0</v>
      </c>
      <c r="CC1210">
        <f t="shared" si="2560"/>
        <v>0</v>
      </c>
      <c r="CD1210">
        <f t="shared" si="2561"/>
        <v>0</v>
      </c>
      <c r="CE1210">
        <f t="shared" si="2562"/>
        <v>0</v>
      </c>
      <c r="CF1210">
        <f t="shared" si="2563"/>
        <v>0</v>
      </c>
      <c r="CG1210">
        <f t="shared" si="2564"/>
        <v>0</v>
      </c>
      <c r="CH1210">
        <f t="shared" si="2565"/>
        <v>0</v>
      </c>
      <c r="CI1210">
        <f t="shared" si="2566"/>
        <v>0</v>
      </c>
      <c r="CJ1210">
        <f t="shared" si="2567"/>
        <v>0</v>
      </c>
      <c r="CK1210">
        <f t="shared" si="2568"/>
        <v>0</v>
      </c>
      <c r="CL1210">
        <f t="shared" si="2569"/>
        <v>0</v>
      </c>
      <c r="CM1210">
        <f t="shared" si="2570"/>
        <v>0</v>
      </c>
      <c r="CN1210">
        <f t="shared" si="2571"/>
        <v>0</v>
      </c>
      <c r="CO1210">
        <f t="shared" si="2572"/>
        <v>0</v>
      </c>
      <c r="CP1210">
        <f t="shared" si="2573"/>
        <v>0</v>
      </c>
      <c r="CQ1210">
        <f t="shared" si="2574"/>
        <v>0</v>
      </c>
      <c r="CR1210">
        <f t="shared" si="2575"/>
        <v>0</v>
      </c>
      <c r="CS1210">
        <f t="shared" si="2576"/>
        <v>0</v>
      </c>
      <c r="CT1210">
        <f t="shared" si="2577"/>
        <v>0</v>
      </c>
      <c r="CU1210">
        <f t="shared" si="2578"/>
        <v>0</v>
      </c>
      <c r="CV1210">
        <f t="shared" si="2579"/>
        <v>0</v>
      </c>
      <c r="CW1210">
        <f t="shared" si="2580"/>
        <v>0</v>
      </c>
      <c r="CX1210">
        <f t="shared" si="2581"/>
        <v>0</v>
      </c>
      <c r="CY1210">
        <f t="shared" si="2582"/>
        <v>0</v>
      </c>
      <c r="CZ1210">
        <f t="shared" si="2583"/>
        <v>0</v>
      </c>
      <c r="DA1210">
        <f t="shared" si="2584"/>
        <v>0</v>
      </c>
      <c r="DB1210">
        <f t="shared" si="2585"/>
        <v>0</v>
      </c>
      <c r="DC1210">
        <f t="shared" si="2586"/>
        <v>0</v>
      </c>
      <c r="DD1210">
        <f t="shared" si="2587"/>
        <v>0</v>
      </c>
      <c r="DE1210">
        <f t="shared" si="2588"/>
        <v>0</v>
      </c>
      <c r="DF1210">
        <f t="shared" si="2589"/>
        <v>0</v>
      </c>
      <c r="DG1210">
        <f t="shared" si="2590"/>
        <v>0</v>
      </c>
      <c r="DH1210">
        <f t="shared" si="2591"/>
        <v>0</v>
      </c>
      <c r="DI1210">
        <f t="shared" si="2592"/>
        <v>0</v>
      </c>
      <c r="DJ1210">
        <f t="shared" si="2593"/>
        <v>0</v>
      </c>
      <c r="DK1210">
        <f t="shared" si="2548"/>
        <v>0</v>
      </c>
      <c r="DL1210">
        <f t="shared" ref="DL1210:DZ1217" si="2595">IF($C1210&lt;&gt;"",IF(AW1210&gt;0,1,0),0)</f>
        <v>0</v>
      </c>
      <c r="DM1210">
        <f t="shared" si="2595"/>
        <v>0</v>
      </c>
      <c r="DN1210">
        <f t="shared" si="2595"/>
        <v>0</v>
      </c>
      <c r="DO1210">
        <f t="shared" si="2595"/>
        <v>0</v>
      </c>
      <c r="DP1210">
        <f t="shared" si="2595"/>
        <v>0</v>
      </c>
      <c r="DQ1210">
        <f t="shared" si="2595"/>
        <v>0</v>
      </c>
      <c r="DR1210">
        <f t="shared" si="2595"/>
        <v>0</v>
      </c>
      <c r="DS1210">
        <f t="shared" si="2595"/>
        <v>0</v>
      </c>
      <c r="DT1210">
        <f t="shared" si="2595"/>
        <v>0</v>
      </c>
      <c r="DU1210">
        <f t="shared" si="2595"/>
        <v>0</v>
      </c>
      <c r="DV1210">
        <f t="shared" si="2595"/>
        <v>0</v>
      </c>
      <c r="DW1210">
        <f t="shared" si="2595"/>
        <v>0</v>
      </c>
      <c r="DX1210">
        <f t="shared" si="2595"/>
        <v>0</v>
      </c>
      <c r="DY1210">
        <f t="shared" si="2595"/>
        <v>0</v>
      </c>
      <c r="DZ1210">
        <f t="shared" si="2595"/>
        <v>0</v>
      </c>
      <c r="EA1210">
        <f t="shared" ref="EA1210:EF1216" si="2596">IF($C1210&lt;&gt;"",IF(BL1209&gt;0,1,0),0)</f>
        <v>0</v>
      </c>
      <c r="EB1210">
        <f t="shared" ref="EB1210:EB1216" si="2597">IF($C1210&lt;&gt;"",IF(BM1209&gt;0,1,0),0)</f>
        <v>0</v>
      </c>
      <c r="EC1210">
        <f t="shared" si="2596"/>
        <v>0</v>
      </c>
      <c r="ED1210">
        <f t="shared" si="2596"/>
        <v>0</v>
      </c>
      <c r="EE1210">
        <f t="shared" si="2596"/>
        <v>0</v>
      </c>
      <c r="EF1210">
        <f t="shared" si="2596"/>
        <v>0</v>
      </c>
    </row>
    <row r="1211" spans="1:136" ht="15.5">
      <c r="A1211" s="90"/>
      <c r="B1211" s="19" t="s">
        <v>205</v>
      </c>
      <c r="C1211" s="95"/>
      <c r="D1211" s="22"/>
      <c r="E1211" s="22"/>
      <c r="F1211" s="22"/>
      <c r="G1211" s="22"/>
      <c r="H1211" s="22"/>
      <c r="I1211" s="22"/>
      <c r="J1211" s="22"/>
      <c r="K1211" s="22"/>
      <c r="L1211" s="22"/>
      <c r="M1211" s="22"/>
      <c r="N1211" s="22"/>
      <c r="O1211" s="22"/>
      <c r="P1211" s="22"/>
      <c r="Q1211" s="22"/>
      <c r="R1211" s="22"/>
      <c r="S1211" s="22"/>
      <c r="T1211" s="22"/>
      <c r="U1211" s="22"/>
      <c r="V1211" s="22"/>
      <c r="W1211" s="22"/>
      <c r="X1211" s="22"/>
      <c r="Y1211" s="22"/>
      <c r="Z1211" s="22"/>
      <c r="AA1211" s="22"/>
      <c r="AB1211" s="22"/>
      <c r="AC1211" s="22"/>
      <c r="AD1211" s="22"/>
      <c r="AE1211" s="22"/>
      <c r="AF1211" s="22"/>
      <c r="AG1211" s="22"/>
      <c r="AH1211" s="22"/>
      <c r="AI1211" s="34">
        <v>0</v>
      </c>
      <c r="AJ1211" s="34">
        <v>0</v>
      </c>
      <c r="AK1211" s="34">
        <v>0</v>
      </c>
      <c r="AL1211" s="34">
        <v>0</v>
      </c>
      <c r="AM1211" s="34">
        <v>0</v>
      </c>
      <c r="AN1211" s="34">
        <v>0</v>
      </c>
      <c r="AO1211" s="34">
        <v>0</v>
      </c>
      <c r="AP1211" s="34">
        <v>0</v>
      </c>
      <c r="AQ1211" s="34">
        <v>0</v>
      </c>
      <c r="AR1211" s="34">
        <v>0</v>
      </c>
      <c r="AS1211" s="34">
        <v>0</v>
      </c>
      <c r="AT1211" s="34">
        <v>0</v>
      </c>
      <c r="AU1211" s="34">
        <v>0</v>
      </c>
      <c r="AV1211" s="34">
        <v>0</v>
      </c>
      <c r="AW1211" s="34">
        <v>0</v>
      </c>
      <c r="AX1211" s="34">
        <v>0</v>
      </c>
      <c r="AY1211" s="34">
        <v>0</v>
      </c>
      <c r="AZ1211" s="34">
        <v>0</v>
      </c>
      <c r="BA1211" s="34">
        <v>0</v>
      </c>
      <c r="BB1211" s="34">
        <v>0</v>
      </c>
      <c r="BC1211" s="34">
        <v>0</v>
      </c>
      <c r="BD1211" s="34">
        <v>0</v>
      </c>
      <c r="BE1211" s="34">
        <v>0</v>
      </c>
      <c r="BF1211" s="34">
        <f>1500+52</f>
        <v>1552</v>
      </c>
      <c r="BG1211" s="34">
        <v>0</v>
      </c>
      <c r="BH1211" s="34">
        <v>0</v>
      </c>
      <c r="BI1211" s="34">
        <v>3000</v>
      </c>
      <c r="BJ1211" s="113">
        <v>0</v>
      </c>
      <c r="BK1211" s="113">
        <v>0</v>
      </c>
      <c r="BL1211" s="113">
        <v>0</v>
      </c>
      <c r="BM1211" s="113">
        <v>0</v>
      </c>
      <c r="BN1211" s="113">
        <v>95.448999999999998</v>
      </c>
      <c r="BO1211" s="113">
        <v>95.448999999999998</v>
      </c>
      <c r="BP1211" s="113">
        <v>95</v>
      </c>
      <c r="BQ1211" s="113">
        <v>850</v>
      </c>
      <c r="BR1211" s="101"/>
      <c r="BS1211">
        <f t="shared" si="2550"/>
        <v>0</v>
      </c>
      <c r="BT1211">
        <f t="shared" si="2551"/>
        <v>0</v>
      </c>
      <c r="BU1211">
        <f t="shared" si="2552"/>
        <v>0</v>
      </c>
      <c r="BV1211">
        <f t="shared" si="2553"/>
        <v>0</v>
      </c>
      <c r="BW1211">
        <f t="shared" si="2554"/>
        <v>0</v>
      </c>
      <c r="BX1211">
        <f t="shared" si="2555"/>
        <v>0</v>
      </c>
      <c r="BY1211">
        <f t="shared" si="2556"/>
        <v>0</v>
      </c>
      <c r="BZ1211">
        <f t="shared" si="2557"/>
        <v>0</v>
      </c>
      <c r="CA1211">
        <f t="shared" si="2558"/>
        <v>0</v>
      </c>
      <c r="CB1211">
        <f t="shared" si="2559"/>
        <v>0</v>
      </c>
      <c r="CC1211">
        <f t="shared" si="2560"/>
        <v>0</v>
      </c>
      <c r="CD1211">
        <f t="shared" si="2561"/>
        <v>0</v>
      </c>
      <c r="CE1211">
        <f t="shared" si="2562"/>
        <v>0</v>
      </c>
      <c r="CF1211">
        <f t="shared" si="2563"/>
        <v>0</v>
      </c>
      <c r="CG1211">
        <f t="shared" si="2564"/>
        <v>0</v>
      </c>
      <c r="CH1211">
        <f t="shared" si="2565"/>
        <v>0</v>
      </c>
      <c r="CI1211">
        <f t="shared" si="2566"/>
        <v>0</v>
      </c>
      <c r="CJ1211">
        <f t="shared" si="2567"/>
        <v>0</v>
      </c>
      <c r="CK1211">
        <f t="shared" si="2568"/>
        <v>0</v>
      </c>
      <c r="CL1211">
        <f t="shared" si="2569"/>
        <v>0</v>
      </c>
      <c r="CM1211">
        <f t="shared" si="2570"/>
        <v>0</v>
      </c>
      <c r="CN1211">
        <f t="shared" si="2571"/>
        <v>0</v>
      </c>
      <c r="CO1211">
        <f t="shared" si="2572"/>
        <v>0</v>
      </c>
      <c r="CP1211">
        <f t="shared" si="2573"/>
        <v>0</v>
      </c>
      <c r="CQ1211">
        <f t="shared" si="2574"/>
        <v>0</v>
      </c>
      <c r="CR1211">
        <f t="shared" si="2575"/>
        <v>0</v>
      </c>
      <c r="CS1211">
        <f t="shared" si="2576"/>
        <v>0</v>
      </c>
      <c r="CT1211">
        <f t="shared" si="2577"/>
        <v>0</v>
      </c>
      <c r="CU1211">
        <f t="shared" si="2578"/>
        <v>0</v>
      </c>
      <c r="CV1211">
        <f t="shared" si="2579"/>
        <v>0</v>
      </c>
      <c r="CW1211">
        <f t="shared" si="2580"/>
        <v>0</v>
      </c>
      <c r="CX1211">
        <f t="shared" si="2581"/>
        <v>0</v>
      </c>
      <c r="CY1211">
        <f t="shared" si="2582"/>
        <v>0</v>
      </c>
      <c r="CZ1211">
        <f t="shared" si="2583"/>
        <v>0</v>
      </c>
      <c r="DA1211">
        <f t="shared" si="2584"/>
        <v>0</v>
      </c>
      <c r="DB1211">
        <f t="shared" si="2585"/>
        <v>0</v>
      </c>
      <c r="DC1211">
        <f t="shared" si="2586"/>
        <v>0</v>
      </c>
      <c r="DD1211">
        <f t="shared" si="2587"/>
        <v>0</v>
      </c>
      <c r="DE1211">
        <f t="shared" si="2588"/>
        <v>0</v>
      </c>
      <c r="DF1211">
        <f t="shared" si="2589"/>
        <v>0</v>
      </c>
      <c r="DG1211">
        <f t="shared" si="2590"/>
        <v>0</v>
      </c>
      <c r="DH1211">
        <f t="shared" si="2591"/>
        <v>0</v>
      </c>
      <c r="DI1211">
        <f t="shared" si="2592"/>
        <v>0</v>
      </c>
      <c r="DJ1211">
        <f t="shared" si="2593"/>
        <v>0</v>
      </c>
      <c r="DK1211">
        <f t="shared" si="2548"/>
        <v>0</v>
      </c>
      <c r="DL1211">
        <f t="shared" si="2595"/>
        <v>0</v>
      </c>
      <c r="DM1211">
        <f t="shared" si="2595"/>
        <v>0</v>
      </c>
      <c r="DN1211">
        <f t="shared" si="2595"/>
        <v>0</v>
      </c>
      <c r="DO1211">
        <f t="shared" si="2595"/>
        <v>0</v>
      </c>
      <c r="DP1211">
        <f t="shared" si="2595"/>
        <v>0</v>
      </c>
      <c r="DQ1211">
        <f t="shared" si="2595"/>
        <v>0</v>
      </c>
      <c r="DR1211">
        <f t="shared" si="2595"/>
        <v>0</v>
      </c>
      <c r="DS1211">
        <f t="shared" si="2595"/>
        <v>0</v>
      </c>
      <c r="DT1211">
        <f t="shared" si="2595"/>
        <v>0</v>
      </c>
      <c r="DU1211">
        <f t="shared" si="2595"/>
        <v>0</v>
      </c>
      <c r="DV1211">
        <f t="shared" si="2595"/>
        <v>0</v>
      </c>
      <c r="DW1211">
        <f t="shared" si="2595"/>
        <v>0</v>
      </c>
      <c r="DX1211">
        <f t="shared" si="2595"/>
        <v>0</v>
      </c>
      <c r="DY1211">
        <f t="shared" si="2595"/>
        <v>0</v>
      </c>
      <c r="DZ1211">
        <f t="shared" si="2595"/>
        <v>0</v>
      </c>
      <c r="EA1211">
        <f t="shared" si="2596"/>
        <v>0</v>
      </c>
      <c r="EB1211">
        <f t="shared" si="2597"/>
        <v>0</v>
      </c>
      <c r="EC1211">
        <f t="shared" si="2596"/>
        <v>0</v>
      </c>
      <c r="ED1211">
        <f t="shared" si="2596"/>
        <v>0</v>
      </c>
      <c r="EE1211">
        <f t="shared" si="2596"/>
        <v>0</v>
      </c>
      <c r="EF1211">
        <f t="shared" si="2596"/>
        <v>0</v>
      </c>
    </row>
    <row r="1212" spans="1:136" ht="15.5">
      <c r="A1212" s="90"/>
      <c r="B1212" s="57" t="s">
        <v>3</v>
      </c>
      <c r="C1212" s="95"/>
      <c r="D1212" s="34"/>
      <c r="E1212" s="34"/>
      <c r="F1212" s="34"/>
      <c r="G1212" s="34"/>
      <c r="H1212" s="34"/>
      <c r="I1212" s="34"/>
      <c r="J1212" s="34"/>
      <c r="K1212" s="34"/>
      <c r="L1212" s="34"/>
      <c r="M1212" s="34"/>
      <c r="N1212" s="34"/>
      <c r="O1212" s="34"/>
      <c r="P1212" s="34"/>
      <c r="Q1212" s="34"/>
      <c r="R1212" s="34"/>
      <c r="S1212" s="34"/>
      <c r="T1212" s="34"/>
      <c r="U1212" s="34"/>
      <c r="V1212" s="34"/>
      <c r="W1212" s="34"/>
      <c r="X1212" s="34"/>
      <c r="Y1212" s="34"/>
      <c r="Z1212" s="34"/>
      <c r="AA1212" s="34"/>
      <c r="AB1212" s="34"/>
      <c r="AC1212" s="34"/>
      <c r="AD1212" s="34"/>
      <c r="AE1212" s="34"/>
      <c r="AF1212" s="34"/>
      <c r="AG1212" s="34"/>
      <c r="AH1212" s="34"/>
      <c r="AI1212" s="34">
        <v>0</v>
      </c>
      <c r="AJ1212" s="34">
        <v>0</v>
      </c>
      <c r="AK1212" s="34">
        <v>29.404</v>
      </c>
      <c r="AL1212" s="34">
        <v>731.47325699999999</v>
      </c>
      <c r="AM1212" s="34">
        <v>1156.5461637000001</v>
      </c>
      <c r="AN1212" s="34">
        <v>0.63012180000000007</v>
      </c>
      <c r="AO1212" s="34">
        <v>149.83446190000001</v>
      </c>
      <c r="AP1212" s="34">
        <v>8.5999999999999993E-2</v>
      </c>
      <c r="AQ1212" s="34">
        <v>2495.9525971999997</v>
      </c>
      <c r="AR1212" s="34">
        <v>2038.2564838999999</v>
      </c>
      <c r="AS1212" s="40" t="s">
        <v>16</v>
      </c>
      <c r="AT1212" s="34">
        <v>309.11083639999998</v>
      </c>
      <c r="AU1212" s="34">
        <v>281.714</v>
      </c>
      <c r="AV1212" s="34">
        <v>0</v>
      </c>
      <c r="AW1212" s="34">
        <v>0</v>
      </c>
      <c r="AX1212" s="34">
        <v>0</v>
      </c>
      <c r="AY1212" s="34">
        <v>0</v>
      </c>
      <c r="AZ1212" s="34">
        <v>0</v>
      </c>
      <c r="BA1212" s="34">
        <v>0</v>
      </c>
      <c r="BB1212" s="34">
        <v>0</v>
      </c>
      <c r="BC1212" s="34">
        <v>0</v>
      </c>
      <c r="BD1212" s="34">
        <v>0</v>
      </c>
      <c r="BE1212" s="42">
        <v>0</v>
      </c>
      <c r="BF1212" s="31">
        <v>0</v>
      </c>
      <c r="BG1212" s="18">
        <v>86.551000000000002</v>
      </c>
      <c r="BH1212" s="18">
        <v>173.102</v>
      </c>
      <c r="BI1212" s="113">
        <v>259.65300000000002</v>
      </c>
      <c r="BJ1212" s="113">
        <v>0</v>
      </c>
      <c r="BK1212" s="113">
        <v>0</v>
      </c>
      <c r="BL1212" s="113">
        <v>0</v>
      </c>
      <c r="BM1212" s="113">
        <v>0</v>
      </c>
      <c r="BN1212" s="113">
        <v>0</v>
      </c>
      <c r="BO1212" s="113">
        <v>0</v>
      </c>
      <c r="BP1212" s="113">
        <v>0</v>
      </c>
      <c r="BQ1212" s="113">
        <v>0</v>
      </c>
      <c r="BR1212" s="101"/>
      <c r="BS1212">
        <f t="shared" si="2550"/>
        <v>0</v>
      </c>
      <c r="BT1212">
        <f t="shared" si="2551"/>
        <v>0</v>
      </c>
      <c r="BU1212">
        <f t="shared" si="2552"/>
        <v>0</v>
      </c>
      <c r="BV1212">
        <f t="shared" si="2553"/>
        <v>0</v>
      </c>
      <c r="BW1212">
        <f t="shared" si="2554"/>
        <v>0</v>
      </c>
      <c r="BX1212">
        <f t="shared" si="2555"/>
        <v>0</v>
      </c>
      <c r="BY1212">
        <f t="shared" si="2556"/>
        <v>0</v>
      </c>
      <c r="BZ1212">
        <f t="shared" si="2557"/>
        <v>0</v>
      </c>
      <c r="CA1212">
        <f t="shared" si="2558"/>
        <v>0</v>
      </c>
      <c r="CB1212">
        <f t="shared" si="2559"/>
        <v>0</v>
      </c>
      <c r="CC1212">
        <f t="shared" si="2560"/>
        <v>0</v>
      </c>
      <c r="CD1212">
        <f t="shared" si="2561"/>
        <v>0</v>
      </c>
      <c r="CE1212">
        <f t="shared" si="2562"/>
        <v>0</v>
      </c>
      <c r="CF1212">
        <f t="shared" si="2563"/>
        <v>0</v>
      </c>
      <c r="CG1212">
        <f t="shared" si="2564"/>
        <v>0</v>
      </c>
      <c r="CH1212">
        <f t="shared" si="2565"/>
        <v>0</v>
      </c>
      <c r="CI1212">
        <f t="shared" si="2566"/>
        <v>0</v>
      </c>
      <c r="CJ1212">
        <f t="shared" si="2567"/>
        <v>0</v>
      </c>
      <c r="CK1212">
        <f t="shared" si="2568"/>
        <v>0</v>
      </c>
      <c r="CL1212">
        <f t="shared" si="2569"/>
        <v>0</v>
      </c>
      <c r="CM1212">
        <f t="shared" si="2570"/>
        <v>0</v>
      </c>
      <c r="CN1212">
        <f t="shared" si="2571"/>
        <v>0</v>
      </c>
      <c r="CO1212">
        <f t="shared" si="2572"/>
        <v>0</v>
      </c>
      <c r="CP1212">
        <f t="shared" si="2573"/>
        <v>0</v>
      </c>
      <c r="CQ1212">
        <f t="shared" si="2574"/>
        <v>0</v>
      </c>
      <c r="CR1212">
        <f t="shared" si="2575"/>
        <v>0</v>
      </c>
      <c r="CS1212">
        <f t="shared" si="2576"/>
        <v>0</v>
      </c>
      <c r="CT1212">
        <f t="shared" si="2577"/>
        <v>0</v>
      </c>
      <c r="CU1212">
        <f t="shared" si="2578"/>
        <v>0</v>
      </c>
      <c r="CV1212">
        <f t="shared" si="2579"/>
        <v>0</v>
      </c>
      <c r="CW1212">
        <f t="shared" si="2580"/>
        <v>0</v>
      </c>
      <c r="CX1212">
        <f t="shared" si="2581"/>
        <v>0</v>
      </c>
      <c r="CY1212">
        <f t="shared" si="2582"/>
        <v>0</v>
      </c>
      <c r="CZ1212">
        <f t="shared" si="2583"/>
        <v>0</v>
      </c>
      <c r="DA1212">
        <f t="shared" si="2584"/>
        <v>0</v>
      </c>
      <c r="DB1212">
        <f t="shared" si="2585"/>
        <v>0</v>
      </c>
      <c r="DC1212">
        <f t="shared" si="2586"/>
        <v>0</v>
      </c>
      <c r="DD1212">
        <f t="shared" si="2587"/>
        <v>0</v>
      </c>
      <c r="DE1212">
        <f t="shared" si="2588"/>
        <v>0</v>
      </c>
      <c r="DF1212">
        <f t="shared" si="2589"/>
        <v>0</v>
      </c>
      <c r="DG1212">
        <f t="shared" si="2590"/>
        <v>0</v>
      </c>
      <c r="DH1212">
        <f t="shared" si="2591"/>
        <v>0</v>
      </c>
      <c r="DI1212">
        <f t="shared" si="2592"/>
        <v>0</v>
      </c>
      <c r="DJ1212">
        <f t="shared" si="2593"/>
        <v>0</v>
      </c>
      <c r="DK1212">
        <f t="shared" si="2548"/>
        <v>0</v>
      </c>
      <c r="DL1212">
        <f t="shared" si="2595"/>
        <v>0</v>
      </c>
      <c r="DM1212">
        <f t="shared" si="2595"/>
        <v>0</v>
      </c>
      <c r="DN1212">
        <f t="shared" si="2595"/>
        <v>0</v>
      </c>
      <c r="DO1212">
        <f t="shared" si="2595"/>
        <v>0</v>
      </c>
      <c r="DP1212">
        <f t="shared" si="2595"/>
        <v>0</v>
      </c>
      <c r="DQ1212">
        <f t="shared" si="2595"/>
        <v>0</v>
      </c>
      <c r="DR1212">
        <f t="shared" si="2595"/>
        <v>0</v>
      </c>
      <c r="DS1212">
        <f t="shared" si="2595"/>
        <v>0</v>
      </c>
      <c r="DT1212">
        <f t="shared" si="2595"/>
        <v>0</v>
      </c>
      <c r="DU1212">
        <f t="shared" si="2595"/>
        <v>0</v>
      </c>
      <c r="DV1212">
        <f t="shared" si="2595"/>
        <v>0</v>
      </c>
      <c r="DW1212">
        <f t="shared" si="2595"/>
        <v>0</v>
      </c>
      <c r="DX1212">
        <f t="shared" si="2595"/>
        <v>0</v>
      </c>
      <c r="DY1212">
        <f t="shared" si="2595"/>
        <v>0</v>
      </c>
      <c r="DZ1212">
        <f t="shared" si="2595"/>
        <v>0</v>
      </c>
      <c r="EA1212">
        <f t="shared" si="2596"/>
        <v>0</v>
      </c>
      <c r="EB1212">
        <f t="shared" si="2597"/>
        <v>0</v>
      </c>
      <c r="EC1212">
        <f t="shared" si="2596"/>
        <v>0</v>
      </c>
      <c r="ED1212">
        <f t="shared" si="2596"/>
        <v>0</v>
      </c>
      <c r="EE1212">
        <f t="shared" si="2596"/>
        <v>0</v>
      </c>
      <c r="EF1212">
        <f t="shared" si="2596"/>
        <v>0</v>
      </c>
    </row>
    <row r="1213" spans="1:136" ht="15.5">
      <c r="A1213" s="90"/>
      <c r="B1213" s="19" t="s">
        <v>18</v>
      </c>
      <c r="C1213" s="95"/>
      <c r="D1213" s="18"/>
      <c r="E1213" s="18"/>
      <c r="F1213" s="18"/>
      <c r="G1213" s="18"/>
      <c r="H1213" s="18"/>
      <c r="I1213" s="18"/>
      <c r="J1213" s="18"/>
      <c r="K1213" s="18"/>
      <c r="L1213" s="18"/>
      <c r="M1213" s="18"/>
      <c r="N1213" s="18"/>
      <c r="O1213" s="18"/>
      <c r="P1213" s="18"/>
      <c r="Q1213" s="18"/>
      <c r="R1213" s="18"/>
      <c r="S1213" s="18"/>
      <c r="T1213" s="18"/>
      <c r="U1213" s="18"/>
      <c r="V1213" s="18"/>
      <c r="W1213" s="18"/>
      <c r="X1213" s="18"/>
      <c r="Y1213" s="18"/>
      <c r="Z1213" s="18"/>
      <c r="AA1213" s="18"/>
      <c r="AB1213" s="18"/>
      <c r="AC1213" s="18"/>
      <c r="AD1213" s="18"/>
      <c r="AE1213" s="18"/>
      <c r="AF1213" s="18"/>
      <c r="AG1213" s="18"/>
      <c r="AH1213" s="18"/>
      <c r="AI1213" s="18">
        <v>0</v>
      </c>
      <c r="AJ1213" s="18">
        <v>0</v>
      </c>
      <c r="AK1213" s="18">
        <v>0</v>
      </c>
      <c r="AL1213" s="18">
        <v>0</v>
      </c>
      <c r="AM1213" s="18">
        <v>0</v>
      </c>
      <c r="AN1213" s="18">
        <v>0</v>
      </c>
      <c r="AO1213" s="18">
        <v>0</v>
      </c>
      <c r="AP1213" s="18">
        <f>109+163</f>
        <v>272</v>
      </c>
      <c r="AQ1213" s="18">
        <v>163</v>
      </c>
      <c r="AR1213" s="18">
        <v>0</v>
      </c>
      <c r="AS1213" s="18">
        <v>0</v>
      </c>
      <c r="AT1213" s="18">
        <v>0</v>
      </c>
      <c r="AU1213" s="18">
        <v>0</v>
      </c>
      <c r="AV1213" s="18">
        <v>0</v>
      </c>
      <c r="AW1213" s="18">
        <v>0</v>
      </c>
      <c r="AX1213" s="18">
        <v>0</v>
      </c>
      <c r="AY1213" s="18">
        <v>0</v>
      </c>
      <c r="AZ1213" s="18">
        <v>0</v>
      </c>
      <c r="BA1213" s="18">
        <v>0</v>
      </c>
      <c r="BB1213" s="18">
        <v>0</v>
      </c>
      <c r="BC1213" s="18">
        <v>0</v>
      </c>
      <c r="BD1213" s="18">
        <v>0</v>
      </c>
      <c r="BE1213" s="25">
        <v>0</v>
      </c>
      <c r="BF1213" s="18">
        <v>0</v>
      </c>
      <c r="BG1213" s="18">
        <v>0</v>
      </c>
      <c r="BH1213" s="34">
        <v>500</v>
      </c>
      <c r="BI1213" s="34">
        <v>0</v>
      </c>
      <c r="BJ1213" s="113">
        <v>0</v>
      </c>
      <c r="BK1213" s="113">
        <v>0</v>
      </c>
      <c r="BL1213" s="113">
        <v>0</v>
      </c>
      <c r="BM1213" s="113">
        <v>0</v>
      </c>
      <c r="BN1213" s="113">
        <v>0</v>
      </c>
      <c r="BO1213" s="113">
        <v>0</v>
      </c>
      <c r="BP1213" s="113">
        <v>0</v>
      </c>
      <c r="BQ1213" s="113">
        <v>0</v>
      </c>
      <c r="BR1213" s="101"/>
      <c r="BS1213">
        <f t="shared" si="2550"/>
        <v>0</v>
      </c>
      <c r="BT1213">
        <f t="shared" si="2551"/>
        <v>0</v>
      </c>
      <c r="BU1213">
        <f t="shared" si="2552"/>
        <v>0</v>
      </c>
      <c r="BV1213">
        <f t="shared" si="2553"/>
        <v>0</v>
      </c>
      <c r="BW1213">
        <f t="shared" si="2554"/>
        <v>0</v>
      </c>
      <c r="BX1213">
        <f t="shared" si="2555"/>
        <v>0</v>
      </c>
      <c r="BY1213">
        <f t="shared" si="2556"/>
        <v>0</v>
      </c>
      <c r="BZ1213">
        <f t="shared" si="2557"/>
        <v>0</v>
      </c>
      <c r="CA1213">
        <f t="shared" si="2558"/>
        <v>0</v>
      </c>
      <c r="CB1213">
        <f t="shared" si="2559"/>
        <v>0</v>
      </c>
      <c r="CC1213">
        <f t="shared" si="2560"/>
        <v>0</v>
      </c>
      <c r="CD1213">
        <f t="shared" si="2561"/>
        <v>0</v>
      </c>
      <c r="CE1213">
        <f t="shared" si="2562"/>
        <v>0</v>
      </c>
      <c r="CF1213">
        <f t="shared" si="2563"/>
        <v>0</v>
      </c>
      <c r="CG1213">
        <f t="shared" si="2564"/>
        <v>0</v>
      </c>
      <c r="CH1213">
        <f t="shared" si="2565"/>
        <v>0</v>
      </c>
      <c r="CI1213">
        <f t="shared" si="2566"/>
        <v>0</v>
      </c>
      <c r="CJ1213">
        <f t="shared" si="2567"/>
        <v>0</v>
      </c>
      <c r="CK1213">
        <f t="shared" si="2568"/>
        <v>0</v>
      </c>
      <c r="CL1213">
        <f t="shared" si="2569"/>
        <v>0</v>
      </c>
      <c r="CM1213">
        <f t="shared" si="2570"/>
        <v>0</v>
      </c>
      <c r="CN1213">
        <f t="shared" si="2571"/>
        <v>0</v>
      </c>
      <c r="CO1213">
        <f t="shared" si="2572"/>
        <v>0</v>
      </c>
      <c r="CP1213">
        <f t="shared" si="2573"/>
        <v>0</v>
      </c>
      <c r="CQ1213">
        <f t="shared" si="2574"/>
        <v>0</v>
      </c>
      <c r="CR1213">
        <f t="shared" si="2575"/>
        <v>0</v>
      </c>
      <c r="CS1213">
        <f t="shared" si="2576"/>
        <v>0</v>
      </c>
      <c r="CT1213">
        <f t="shared" si="2577"/>
        <v>0</v>
      </c>
      <c r="CU1213">
        <f t="shared" si="2578"/>
        <v>0</v>
      </c>
      <c r="CV1213">
        <f t="shared" si="2579"/>
        <v>0</v>
      </c>
      <c r="CW1213">
        <f t="shared" si="2580"/>
        <v>0</v>
      </c>
      <c r="CX1213">
        <f t="shared" si="2581"/>
        <v>0</v>
      </c>
      <c r="CY1213">
        <f t="shared" si="2582"/>
        <v>0</v>
      </c>
      <c r="CZ1213">
        <f t="shared" si="2583"/>
        <v>0</v>
      </c>
      <c r="DA1213">
        <f t="shared" si="2584"/>
        <v>0</v>
      </c>
      <c r="DB1213">
        <f t="shared" si="2585"/>
        <v>0</v>
      </c>
      <c r="DC1213">
        <f t="shared" si="2586"/>
        <v>0</v>
      </c>
      <c r="DD1213">
        <f t="shared" si="2587"/>
        <v>0</v>
      </c>
      <c r="DE1213">
        <f t="shared" si="2588"/>
        <v>0</v>
      </c>
      <c r="DF1213">
        <f t="shared" si="2589"/>
        <v>0</v>
      </c>
      <c r="DG1213">
        <f t="shared" si="2590"/>
        <v>0</v>
      </c>
      <c r="DH1213">
        <f t="shared" si="2591"/>
        <v>0</v>
      </c>
      <c r="DI1213">
        <f t="shared" si="2592"/>
        <v>0</v>
      </c>
      <c r="DJ1213">
        <f t="shared" si="2593"/>
        <v>0</v>
      </c>
      <c r="DK1213">
        <f t="shared" si="2548"/>
        <v>0</v>
      </c>
      <c r="DL1213">
        <f t="shared" si="2595"/>
        <v>0</v>
      </c>
      <c r="DM1213">
        <f t="shared" si="2595"/>
        <v>0</v>
      </c>
      <c r="DN1213">
        <f t="shared" si="2595"/>
        <v>0</v>
      </c>
      <c r="DO1213">
        <f t="shared" si="2595"/>
        <v>0</v>
      </c>
      <c r="DP1213">
        <f t="shared" si="2595"/>
        <v>0</v>
      </c>
      <c r="DQ1213">
        <f t="shared" si="2595"/>
        <v>0</v>
      </c>
      <c r="DR1213">
        <f t="shared" si="2595"/>
        <v>0</v>
      </c>
      <c r="DS1213">
        <f t="shared" si="2595"/>
        <v>0</v>
      </c>
      <c r="DT1213">
        <f t="shared" si="2595"/>
        <v>0</v>
      </c>
      <c r="DU1213">
        <f t="shared" si="2595"/>
        <v>0</v>
      </c>
      <c r="DV1213">
        <f t="shared" si="2595"/>
        <v>0</v>
      </c>
      <c r="DW1213">
        <f t="shared" si="2595"/>
        <v>0</v>
      </c>
      <c r="DX1213">
        <f t="shared" si="2595"/>
        <v>0</v>
      </c>
      <c r="DY1213">
        <f t="shared" si="2595"/>
        <v>0</v>
      </c>
      <c r="DZ1213">
        <f t="shared" si="2595"/>
        <v>0</v>
      </c>
      <c r="EA1213">
        <f t="shared" si="2596"/>
        <v>0</v>
      </c>
      <c r="EB1213">
        <f t="shared" si="2597"/>
        <v>0</v>
      </c>
      <c r="EC1213">
        <f t="shared" si="2596"/>
        <v>0</v>
      </c>
      <c r="ED1213">
        <f t="shared" si="2596"/>
        <v>0</v>
      </c>
      <c r="EE1213">
        <f t="shared" si="2596"/>
        <v>0</v>
      </c>
      <c r="EF1213">
        <f t="shared" si="2596"/>
        <v>0</v>
      </c>
    </row>
    <row r="1214" spans="1:136" ht="15.5">
      <c r="A1214" s="90"/>
      <c r="B1214" s="53" t="s">
        <v>25</v>
      </c>
      <c r="C1214" s="95"/>
      <c r="D1214" s="18"/>
      <c r="E1214" s="18"/>
      <c r="F1214" s="18"/>
      <c r="G1214" s="18"/>
      <c r="H1214" s="18"/>
      <c r="I1214" s="18"/>
      <c r="J1214" s="18"/>
      <c r="K1214" s="18"/>
      <c r="L1214" s="18"/>
      <c r="M1214" s="18"/>
      <c r="N1214" s="18"/>
      <c r="O1214" s="18"/>
      <c r="P1214" s="18"/>
      <c r="Q1214" s="18"/>
      <c r="R1214" s="18"/>
      <c r="S1214" s="18"/>
      <c r="T1214" s="18"/>
      <c r="U1214" s="18"/>
      <c r="V1214" s="18"/>
      <c r="W1214" s="18"/>
      <c r="X1214" s="18"/>
      <c r="Y1214" s="18"/>
      <c r="Z1214" s="18"/>
      <c r="AA1214" s="18"/>
      <c r="AB1214" s="18"/>
      <c r="AC1214" s="18"/>
      <c r="AD1214" s="18"/>
      <c r="AE1214" s="18"/>
      <c r="AF1214" s="18"/>
      <c r="AG1214" s="18"/>
      <c r="AH1214" s="18"/>
      <c r="AI1214" s="18">
        <v>0</v>
      </c>
      <c r="AJ1214" s="18">
        <v>0</v>
      </c>
      <c r="AK1214" s="18">
        <v>0</v>
      </c>
      <c r="AL1214" s="18">
        <v>0</v>
      </c>
      <c r="AM1214" s="18">
        <v>0</v>
      </c>
      <c r="AN1214" s="18">
        <v>0</v>
      </c>
      <c r="AO1214" s="18">
        <v>0</v>
      </c>
      <c r="AP1214" s="18">
        <v>0</v>
      </c>
      <c r="AQ1214" s="18">
        <v>1831</v>
      </c>
      <c r="AR1214" s="18">
        <v>2596</v>
      </c>
      <c r="AS1214" s="18">
        <v>0</v>
      </c>
      <c r="AT1214" s="18">
        <v>0</v>
      </c>
      <c r="AU1214" s="18">
        <v>0</v>
      </c>
      <c r="AV1214" s="18">
        <v>0</v>
      </c>
      <c r="AW1214" s="18">
        <v>0</v>
      </c>
      <c r="AX1214" s="18">
        <v>0</v>
      </c>
      <c r="AY1214" s="18">
        <v>0</v>
      </c>
      <c r="AZ1214" s="18">
        <v>0</v>
      </c>
      <c r="BA1214" s="18">
        <v>0</v>
      </c>
      <c r="BB1214" s="18">
        <v>0</v>
      </c>
      <c r="BC1214" s="18">
        <v>0</v>
      </c>
      <c r="BD1214" s="18">
        <v>0</v>
      </c>
      <c r="BE1214" s="25">
        <v>0</v>
      </c>
      <c r="BF1214" s="18">
        <v>0</v>
      </c>
      <c r="BG1214" s="72">
        <v>19100</v>
      </c>
      <c r="BH1214" s="34">
        <v>21900</v>
      </c>
      <c r="BI1214" s="34">
        <v>0</v>
      </c>
      <c r="BJ1214" s="113">
        <v>0</v>
      </c>
      <c r="BK1214" s="113">
        <v>0</v>
      </c>
      <c r="BL1214" s="113">
        <v>0</v>
      </c>
      <c r="BM1214" s="113">
        <v>0</v>
      </c>
      <c r="BN1214" s="113">
        <f>23305+2000+2600</f>
        <v>27905</v>
      </c>
      <c r="BO1214" s="113">
        <f>23305+2000+2600+2600</f>
        <v>30505</v>
      </c>
      <c r="BP1214" s="142">
        <f>23400+4064</f>
        <v>27464</v>
      </c>
      <c r="BQ1214" s="142">
        <f>23400+4064+4064</f>
        <v>31528</v>
      </c>
      <c r="BR1214" s="101"/>
      <c r="BS1214">
        <f t="shared" si="2550"/>
        <v>0</v>
      </c>
      <c r="BT1214">
        <f t="shared" si="2551"/>
        <v>0</v>
      </c>
      <c r="BU1214">
        <f t="shared" si="2552"/>
        <v>0</v>
      </c>
      <c r="BV1214">
        <f t="shared" si="2553"/>
        <v>0</v>
      </c>
      <c r="BW1214">
        <f t="shared" si="2554"/>
        <v>0</v>
      </c>
      <c r="BX1214">
        <f t="shared" si="2555"/>
        <v>0</v>
      </c>
      <c r="BY1214">
        <f t="shared" si="2556"/>
        <v>0</v>
      </c>
      <c r="BZ1214">
        <f t="shared" si="2557"/>
        <v>0</v>
      </c>
      <c r="CA1214">
        <f t="shared" si="2558"/>
        <v>0</v>
      </c>
      <c r="CB1214">
        <f t="shared" si="2559"/>
        <v>0</v>
      </c>
      <c r="CC1214">
        <f t="shared" si="2560"/>
        <v>0</v>
      </c>
      <c r="CD1214">
        <f t="shared" si="2561"/>
        <v>0</v>
      </c>
      <c r="CE1214">
        <f t="shared" si="2562"/>
        <v>0</v>
      </c>
      <c r="CF1214">
        <f t="shared" si="2563"/>
        <v>0</v>
      </c>
      <c r="CG1214">
        <f t="shared" si="2564"/>
        <v>0</v>
      </c>
      <c r="CH1214">
        <f t="shared" si="2565"/>
        <v>0</v>
      </c>
      <c r="CI1214">
        <f t="shared" si="2566"/>
        <v>0</v>
      </c>
      <c r="CJ1214">
        <f t="shared" si="2567"/>
        <v>0</v>
      </c>
      <c r="CK1214">
        <f t="shared" si="2568"/>
        <v>0</v>
      </c>
      <c r="CL1214">
        <f t="shared" si="2569"/>
        <v>0</v>
      </c>
      <c r="CM1214">
        <f t="shared" si="2570"/>
        <v>0</v>
      </c>
      <c r="CN1214">
        <f t="shared" si="2571"/>
        <v>0</v>
      </c>
      <c r="CO1214">
        <f t="shared" si="2572"/>
        <v>0</v>
      </c>
      <c r="CP1214">
        <f t="shared" si="2573"/>
        <v>0</v>
      </c>
      <c r="CQ1214">
        <f t="shared" si="2574"/>
        <v>0</v>
      </c>
      <c r="CR1214">
        <f t="shared" si="2575"/>
        <v>0</v>
      </c>
      <c r="CS1214">
        <f t="shared" si="2576"/>
        <v>0</v>
      </c>
      <c r="CT1214">
        <f t="shared" si="2577"/>
        <v>0</v>
      </c>
      <c r="CU1214">
        <f t="shared" si="2578"/>
        <v>0</v>
      </c>
      <c r="CV1214">
        <f t="shared" si="2579"/>
        <v>0</v>
      </c>
      <c r="CW1214">
        <f t="shared" si="2580"/>
        <v>0</v>
      </c>
      <c r="CX1214">
        <f t="shared" si="2581"/>
        <v>0</v>
      </c>
      <c r="CY1214">
        <f t="shared" si="2582"/>
        <v>0</v>
      </c>
      <c r="CZ1214">
        <f t="shared" si="2583"/>
        <v>0</v>
      </c>
      <c r="DA1214">
        <f t="shared" si="2584"/>
        <v>0</v>
      </c>
      <c r="DB1214">
        <f t="shared" si="2585"/>
        <v>0</v>
      </c>
      <c r="DC1214">
        <f t="shared" si="2586"/>
        <v>0</v>
      </c>
      <c r="DD1214">
        <f t="shared" si="2587"/>
        <v>0</v>
      </c>
      <c r="DE1214">
        <f t="shared" si="2588"/>
        <v>0</v>
      </c>
      <c r="DF1214">
        <f t="shared" si="2589"/>
        <v>0</v>
      </c>
      <c r="DG1214">
        <f t="shared" si="2590"/>
        <v>0</v>
      </c>
      <c r="DH1214">
        <f t="shared" si="2591"/>
        <v>0</v>
      </c>
      <c r="DI1214">
        <f t="shared" si="2592"/>
        <v>0</v>
      </c>
      <c r="DJ1214">
        <f t="shared" si="2593"/>
        <v>0</v>
      </c>
      <c r="DK1214">
        <f t="shared" si="2548"/>
        <v>0</v>
      </c>
      <c r="DL1214">
        <f t="shared" si="2595"/>
        <v>0</v>
      </c>
      <c r="DM1214">
        <f t="shared" si="2595"/>
        <v>0</v>
      </c>
      <c r="DN1214">
        <f t="shared" si="2595"/>
        <v>0</v>
      </c>
      <c r="DO1214">
        <f t="shared" si="2595"/>
        <v>0</v>
      </c>
      <c r="DP1214">
        <f t="shared" si="2595"/>
        <v>0</v>
      </c>
      <c r="DQ1214">
        <f t="shared" si="2595"/>
        <v>0</v>
      </c>
      <c r="DR1214">
        <f t="shared" si="2595"/>
        <v>0</v>
      </c>
      <c r="DS1214">
        <f t="shared" si="2595"/>
        <v>0</v>
      </c>
      <c r="DT1214">
        <f t="shared" si="2595"/>
        <v>0</v>
      </c>
      <c r="DU1214">
        <f t="shared" si="2595"/>
        <v>0</v>
      </c>
      <c r="DV1214">
        <f t="shared" si="2595"/>
        <v>0</v>
      </c>
      <c r="DW1214">
        <f t="shared" si="2595"/>
        <v>0</v>
      </c>
      <c r="DX1214">
        <f t="shared" si="2595"/>
        <v>0</v>
      </c>
      <c r="DY1214">
        <f t="shared" si="2595"/>
        <v>0</v>
      </c>
      <c r="DZ1214">
        <f t="shared" si="2595"/>
        <v>0</v>
      </c>
      <c r="EA1214">
        <f t="shared" si="2596"/>
        <v>0</v>
      </c>
      <c r="EB1214">
        <f t="shared" si="2597"/>
        <v>0</v>
      </c>
      <c r="EC1214">
        <f t="shared" si="2596"/>
        <v>0</v>
      </c>
      <c r="ED1214">
        <f t="shared" si="2596"/>
        <v>0</v>
      </c>
      <c r="EE1214">
        <f t="shared" si="2596"/>
        <v>0</v>
      </c>
      <c r="EF1214">
        <f t="shared" si="2596"/>
        <v>0</v>
      </c>
    </row>
    <row r="1215" spans="1:136" ht="15.5">
      <c r="A1215" s="90"/>
      <c r="B1215" s="57" t="s">
        <v>208</v>
      </c>
      <c r="C1215" s="95"/>
      <c r="D1215" s="34"/>
      <c r="E1215" s="34"/>
      <c r="F1215" s="34"/>
      <c r="G1215" s="34"/>
      <c r="H1215" s="34"/>
      <c r="I1215" s="34"/>
      <c r="J1215" s="34"/>
      <c r="K1215" s="34"/>
      <c r="L1215" s="34"/>
      <c r="M1215" s="34"/>
      <c r="N1215" s="34"/>
      <c r="O1215" s="34"/>
      <c r="P1215" s="34"/>
      <c r="Q1215" s="34"/>
      <c r="R1215" s="34"/>
      <c r="S1215" s="34"/>
      <c r="T1215" s="34"/>
      <c r="U1215" s="34"/>
      <c r="V1215" s="34"/>
      <c r="W1215" s="34"/>
      <c r="X1215" s="34"/>
      <c r="Y1215" s="34"/>
      <c r="Z1215" s="34"/>
      <c r="AA1215" s="34"/>
      <c r="AB1215" s="34"/>
      <c r="AC1215" s="34"/>
      <c r="AD1215" s="34"/>
      <c r="AE1215" s="34"/>
      <c r="AF1215" s="34"/>
      <c r="AG1215" s="34"/>
      <c r="AH1215" s="34"/>
      <c r="AI1215" s="34">
        <v>0</v>
      </c>
      <c r="AJ1215" s="34">
        <v>1.99</v>
      </c>
      <c r="AK1215" s="34">
        <v>2.1110000000000002</v>
      </c>
      <c r="AL1215" s="34">
        <v>75.662718499999997</v>
      </c>
      <c r="AM1215" s="34">
        <v>100.6979985</v>
      </c>
      <c r="AN1215" s="34">
        <v>105.8384136</v>
      </c>
      <c r="AO1215" s="34">
        <v>128.56255380000002</v>
      </c>
      <c r="AP1215" s="34">
        <v>291.10346269999997</v>
      </c>
      <c r="AQ1215" s="40" t="s">
        <v>16</v>
      </c>
      <c r="AR1215" s="40" t="s">
        <v>16</v>
      </c>
      <c r="AS1215" s="18">
        <v>0</v>
      </c>
      <c r="AT1215" s="34">
        <v>0</v>
      </c>
      <c r="AU1215" s="34">
        <v>0</v>
      </c>
      <c r="AV1215" s="34">
        <v>0</v>
      </c>
      <c r="AW1215" s="34">
        <v>0</v>
      </c>
      <c r="AX1215" s="34">
        <v>0</v>
      </c>
      <c r="AY1215" s="34">
        <v>0</v>
      </c>
      <c r="AZ1215" s="34">
        <v>0</v>
      </c>
      <c r="BA1215" s="34">
        <v>0</v>
      </c>
      <c r="BB1215" s="34">
        <v>0</v>
      </c>
      <c r="BC1215" s="34">
        <v>0</v>
      </c>
      <c r="BD1215" s="34">
        <v>0</v>
      </c>
      <c r="BE1215" s="42">
        <v>0</v>
      </c>
      <c r="BF1215" s="34">
        <v>0</v>
      </c>
      <c r="BG1215" s="40" t="s">
        <v>16</v>
      </c>
      <c r="BH1215" s="40" t="s">
        <v>16</v>
      </c>
      <c r="BI1215" s="18">
        <v>0</v>
      </c>
      <c r="BJ1215" s="18">
        <v>0</v>
      </c>
      <c r="BK1215" s="18">
        <v>0</v>
      </c>
      <c r="BL1215" s="113">
        <v>0</v>
      </c>
      <c r="BM1215" s="113">
        <v>0</v>
      </c>
      <c r="BN1215" s="113">
        <v>0</v>
      </c>
      <c r="BO1215" s="113">
        <v>0</v>
      </c>
      <c r="BP1215" s="113">
        <v>703.7</v>
      </c>
      <c r="BQ1215" s="113">
        <v>0</v>
      </c>
      <c r="BR1215" s="101"/>
      <c r="BS1215">
        <f t="shared" si="2550"/>
        <v>0</v>
      </c>
      <c r="BT1215">
        <f t="shared" si="2551"/>
        <v>0</v>
      </c>
      <c r="BU1215">
        <f t="shared" si="2552"/>
        <v>0</v>
      </c>
      <c r="BV1215">
        <f t="shared" si="2553"/>
        <v>0</v>
      </c>
      <c r="BW1215">
        <f t="shared" si="2554"/>
        <v>0</v>
      </c>
      <c r="BX1215">
        <f t="shared" si="2555"/>
        <v>0</v>
      </c>
      <c r="BY1215">
        <f t="shared" si="2556"/>
        <v>0</v>
      </c>
      <c r="BZ1215">
        <f t="shared" si="2557"/>
        <v>0</v>
      </c>
      <c r="CA1215">
        <f t="shared" si="2558"/>
        <v>0</v>
      </c>
      <c r="CB1215">
        <f t="shared" si="2559"/>
        <v>0</v>
      </c>
      <c r="CC1215">
        <f t="shared" si="2560"/>
        <v>0</v>
      </c>
      <c r="CD1215">
        <f t="shared" si="2561"/>
        <v>0</v>
      </c>
      <c r="CE1215">
        <f t="shared" si="2562"/>
        <v>0</v>
      </c>
      <c r="CF1215">
        <f t="shared" si="2563"/>
        <v>0</v>
      </c>
      <c r="CG1215">
        <f t="shared" si="2564"/>
        <v>0</v>
      </c>
      <c r="CH1215">
        <f t="shared" si="2565"/>
        <v>0</v>
      </c>
      <c r="CI1215">
        <f t="shared" si="2566"/>
        <v>0</v>
      </c>
      <c r="CJ1215">
        <f t="shared" si="2567"/>
        <v>0</v>
      </c>
      <c r="CK1215">
        <f t="shared" si="2568"/>
        <v>0</v>
      </c>
      <c r="CL1215">
        <f t="shared" si="2569"/>
        <v>0</v>
      </c>
      <c r="CM1215">
        <f t="shared" si="2570"/>
        <v>0</v>
      </c>
      <c r="CN1215">
        <f t="shared" si="2571"/>
        <v>0</v>
      </c>
      <c r="CO1215">
        <f t="shared" si="2572"/>
        <v>0</v>
      </c>
      <c r="CP1215">
        <f t="shared" si="2573"/>
        <v>0</v>
      </c>
      <c r="CQ1215">
        <f t="shared" si="2574"/>
        <v>0</v>
      </c>
      <c r="CR1215">
        <f t="shared" si="2575"/>
        <v>0</v>
      </c>
      <c r="CS1215">
        <f t="shared" si="2576"/>
        <v>0</v>
      </c>
      <c r="CT1215">
        <f t="shared" si="2577"/>
        <v>0</v>
      </c>
      <c r="CU1215">
        <f t="shared" si="2578"/>
        <v>0</v>
      </c>
      <c r="CV1215">
        <f t="shared" si="2579"/>
        <v>0</v>
      </c>
      <c r="CW1215">
        <f t="shared" si="2580"/>
        <v>0</v>
      </c>
      <c r="CX1215">
        <f t="shared" si="2581"/>
        <v>0</v>
      </c>
      <c r="CY1215">
        <f t="shared" si="2582"/>
        <v>0</v>
      </c>
      <c r="CZ1215">
        <f t="shared" si="2583"/>
        <v>0</v>
      </c>
      <c r="DA1215">
        <f t="shared" si="2584"/>
        <v>0</v>
      </c>
      <c r="DB1215">
        <f t="shared" si="2585"/>
        <v>0</v>
      </c>
      <c r="DC1215">
        <f t="shared" si="2586"/>
        <v>0</v>
      </c>
      <c r="DD1215">
        <f t="shared" si="2587"/>
        <v>0</v>
      </c>
      <c r="DE1215">
        <f t="shared" si="2588"/>
        <v>0</v>
      </c>
      <c r="DF1215">
        <f t="shared" si="2589"/>
        <v>0</v>
      </c>
      <c r="DG1215">
        <f t="shared" si="2590"/>
        <v>0</v>
      </c>
      <c r="DH1215">
        <f t="shared" si="2591"/>
        <v>0</v>
      </c>
      <c r="DI1215">
        <f t="shared" si="2592"/>
        <v>0</v>
      </c>
      <c r="DJ1215">
        <f t="shared" si="2593"/>
        <v>0</v>
      </c>
      <c r="DK1215">
        <f t="shared" si="2548"/>
        <v>0</v>
      </c>
      <c r="DL1215">
        <f t="shared" si="2595"/>
        <v>0</v>
      </c>
      <c r="DM1215">
        <f t="shared" si="2595"/>
        <v>0</v>
      </c>
      <c r="DN1215">
        <f t="shared" si="2595"/>
        <v>0</v>
      </c>
      <c r="DO1215">
        <f t="shared" si="2595"/>
        <v>0</v>
      </c>
      <c r="DP1215">
        <f t="shared" si="2595"/>
        <v>0</v>
      </c>
      <c r="DQ1215">
        <f t="shared" si="2595"/>
        <v>0</v>
      </c>
      <c r="DR1215">
        <f t="shared" si="2595"/>
        <v>0</v>
      </c>
      <c r="DS1215">
        <f t="shared" si="2595"/>
        <v>0</v>
      </c>
      <c r="DT1215">
        <f t="shared" si="2595"/>
        <v>0</v>
      </c>
      <c r="DU1215">
        <f t="shared" si="2595"/>
        <v>0</v>
      </c>
      <c r="DV1215">
        <f t="shared" si="2595"/>
        <v>0</v>
      </c>
      <c r="DW1215">
        <f t="shared" si="2595"/>
        <v>0</v>
      </c>
      <c r="DX1215">
        <f t="shared" si="2595"/>
        <v>0</v>
      </c>
      <c r="DY1215">
        <f t="shared" si="2595"/>
        <v>0</v>
      </c>
      <c r="DZ1215">
        <f t="shared" si="2595"/>
        <v>0</v>
      </c>
      <c r="EA1215">
        <f t="shared" si="2596"/>
        <v>0</v>
      </c>
      <c r="EB1215">
        <f t="shared" si="2597"/>
        <v>0</v>
      </c>
      <c r="EC1215">
        <f t="shared" si="2596"/>
        <v>0</v>
      </c>
      <c r="ED1215">
        <f t="shared" si="2596"/>
        <v>0</v>
      </c>
      <c r="EE1215">
        <f t="shared" si="2596"/>
        <v>0</v>
      </c>
      <c r="EF1215">
        <f t="shared" si="2596"/>
        <v>0</v>
      </c>
    </row>
    <row r="1216" spans="1:136" ht="15.5">
      <c r="A1216" s="90"/>
      <c r="B1216" s="53" t="s">
        <v>21</v>
      </c>
      <c r="C1216" s="95"/>
      <c r="D1216" s="18"/>
      <c r="E1216" s="18"/>
      <c r="F1216" s="18"/>
      <c r="G1216" s="18"/>
      <c r="H1216" s="18"/>
      <c r="I1216" s="18"/>
      <c r="J1216" s="18"/>
      <c r="K1216" s="18"/>
      <c r="L1216" s="18"/>
      <c r="M1216" s="18"/>
      <c r="N1216" s="18"/>
      <c r="O1216" s="18"/>
      <c r="P1216" s="18"/>
      <c r="Q1216" s="18"/>
      <c r="R1216" s="18"/>
      <c r="S1216" s="18"/>
      <c r="T1216" s="18"/>
      <c r="U1216" s="18"/>
      <c r="V1216" s="18"/>
      <c r="W1216" s="18"/>
      <c r="X1216" s="18"/>
      <c r="Y1216" s="18"/>
      <c r="Z1216" s="18"/>
      <c r="AA1216" s="18"/>
      <c r="AB1216" s="18"/>
      <c r="AC1216" s="18"/>
      <c r="AD1216" s="18"/>
      <c r="AE1216" s="18"/>
      <c r="AF1216" s="18"/>
      <c r="AG1216" s="18"/>
      <c r="AH1216" s="18"/>
      <c r="AI1216" s="18">
        <v>0</v>
      </c>
      <c r="AJ1216" s="18">
        <v>0</v>
      </c>
      <c r="AK1216" s="18">
        <v>0</v>
      </c>
      <c r="AL1216" s="18">
        <v>0</v>
      </c>
      <c r="AM1216" s="18">
        <v>0</v>
      </c>
      <c r="AN1216" s="18">
        <v>0</v>
      </c>
      <c r="AO1216" s="18">
        <v>0</v>
      </c>
      <c r="AP1216" s="147">
        <v>395</v>
      </c>
      <c r="AQ1216" s="18">
        <v>395</v>
      </c>
      <c r="AR1216" s="18">
        <v>0</v>
      </c>
      <c r="AS1216" s="18">
        <v>0</v>
      </c>
      <c r="AT1216" s="18">
        <v>0</v>
      </c>
      <c r="AU1216" s="18">
        <v>0</v>
      </c>
      <c r="AV1216" s="18">
        <v>0</v>
      </c>
      <c r="AW1216" s="18">
        <v>0</v>
      </c>
      <c r="AX1216" s="18">
        <v>0</v>
      </c>
      <c r="AY1216" s="18">
        <v>0</v>
      </c>
      <c r="AZ1216" s="18">
        <v>0</v>
      </c>
      <c r="BA1216" s="18">
        <v>0</v>
      </c>
      <c r="BB1216" s="18">
        <v>0</v>
      </c>
      <c r="BC1216" s="18">
        <v>0</v>
      </c>
      <c r="BD1216" s="18">
        <v>0</v>
      </c>
      <c r="BE1216" s="25">
        <v>0</v>
      </c>
      <c r="BF1216" s="18">
        <v>0</v>
      </c>
      <c r="BG1216" s="18">
        <v>0</v>
      </c>
      <c r="BH1216" s="34">
        <v>0</v>
      </c>
      <c r="BI1216" s="34">
        <v>0</v>
      </c>
      <c r="BJ1216" s="113">
        <v>0</v>
      </c>
      <c r="BK1216" s="113">
        <v>0</v>
      </c>
      <c r="BL1216" s="113">
        <v>0</v>
      </c>
      <c r="BM1216" s="113">
        <v>0</v>
      </c>
      <c r="BN1216" s="113">
        <v>0</v>
      </c>
      <c r="BO1216" s="113">
        <v>0</v>
      </c>
      <c r="BP1216" s="113">
        <v>0</v>
      </c>
      <c r="BQ1216" s="113">
        <v>0</v>
      </c>
      <c r="BR1216" s="101"/>
      <c r="BS1216">
        <f t="shared" si="2550"/>
        <v>0</v>
      </c>
      <c r="BT1216">
        <f t="shared" si="2551"/>
        <v>0</v>
      </c>
      <c r="BU1216">
        <f t="shared" si="2552"/>
        <v>0</v>
      </c>
      <c r="BV1216">
        <f t="shared" si="2553"/>
        <v>0</v>
      </c>
      <c r="BW1216">
        <f t="shared" si="2554"/>
        <v>0</v>
      </c>
      <c r="BX1216">
        <f t="shared" si="2555"/>
        <v>0</v>
      </c>
      <c r="BY1216">
        <f t="shared" si="2556"/>
        <v>0</v>
      </c>
      <c r="BZ1216">
        <f t="shared" si="2557"/>
        <v>0</v>
      </c>
      <c r="CA1216">
        <f t="shared" si="2558"/>
        <v>0</v>
      </c>
      <c r="CB1216">
        <f t="shared" si="2559"/>
        <v>0</v>
      </c>
      <c r="CC1216">
        <f t="shared" si="2560"/>
        <v>0</v>
      </c>
      <c r="CD1216">
        <f t="shared" si="2561"/>
        <v>0</v>
      </c>
      <c r="CE1216">
        <f t="shared" si="2562"/>
        <v>0</v>
      </c>
      <c r="CF1216">
        <f t="shared" si="2563"/>
        <v>0</v>
      </c>
      <c r="CG1216">
        <f t="shared" si="2564"/>
        <v>0</v>
      </c>
      <c r="CH1216">
        <f t="shared" si="2565"/>
        <v>0</v>
      </c>
      <c r="CI1216">
        <f t="shared" si="2566"/>
        <v>0</v>
      </c>
      <c r="CJ1216">
        <f t="shared" si="2567"/>
        <v>0</v>
      </c>
      <c r="CK1216">
        <f t="shared" si="2568"/>
        <v>0</v>
      </c>
      <c r="CL1216">
        <f t="shared" si="2569"/>
        <v>0</v>
      </c>
      <c r="CM1216">
        <f t="shared" si="2570"/>
        <v>0</v>
      </c>
      <c r="CN1216">
        <f t="shared" si="2571"/>
        <v>0</v>
      </c>
      <c r="CO1216">
        <f t="shared" si="2572"/>
        <v>0</v>
      </c>
      <c r="CP1216">
        <f t="shared" si="2573"/>
        <v>0</v>
      </c>
      <c r="CQ1216">
        <f t="shared" si="2574"/>
        <v>0</v>
      </c>
      <c r="CR1216">
        <f t="shared" si="2575"/>
        <v>0</v>
      </c>
      <c r="CS1216">
        <f t="shared" si="2576"/>
        <v>0</v>
      </c>
      <c r="CT1216">
        <f t="shared" si="2577"/>
        <v>0</v>
      </c>
      <c r="CU1216">
        <f t="shared" si="2578"/>
        <v>0</v>
      </c>
      <c r="CV1216">
        <f t="shared" si="2579"/>
        <v>0</v>
      </c>
      <c r="CW1216">
        <f t="shared" si="2580"/>
        <v>0</v>
      </c>
      <c r="CX1216">
        <f t="shared" si="2581"/>
        <v>0</v>
      </c>
      <c r="CY1216">
        <f t="shared" si="2582"/>
        <v>0</v>
      </c>
      <c r="CZ1216">
        <f t="shared" si="2583"/>
        <v>0</v>
      </c>
      <c r="DA1216">
        <f t="shared" si="2584"/>
        <v>0</v>
      </c>
      <c r="DB1216">
        <f t="shared" si="2585"/>
        <v>0</v>
      </c>
      <c r="DC1216">
        <f t="shared" si="2586"/>
        <v>0</v>
      </c>
      <c r="DD1216">
        <f t="shared" si="2587"/>
        <v>0</v>
      </c>
      <c r="DE1216">
        <f t="shared" si="2588"/>
        <v>0</v>
      </c>
      <c r="DF1216">
        <f t="shared" si="2589"/>
        <v>0</v>
      </c>
      <c r="DG1216">
        <f t="shared" si="2590"/>
        <v>0</v>
      </c>
      <c r="DH1216">
        <f t="shared" si="2591"/>
        <v>0</v>
      </c>
      <c r="DI1216">
        <f t="shared" si="2592"/>
        <v>0</v>
      </c>
      <c r="DJ1216">
        <f t="shared" si="2593"/>
        <v>0</v>
      </c>
      <c r="DK1216">
        <f t="shared" si="2548"/>
        <v>0</v>
      </c>
      <c r="DL1216">
        <f t="shared" si="2595"/>
        <v>0</v>
      </c>
      <c r="DM1216">
        <f t="shared" si="2595"/>
        <v>0</v>
      </c>
      <c r="DN1216">
        <f t="shared" si="2595"/>
        <v>0</v>
      </c>
      <c r="DO1216">
        <f t="shared" si="2595"/>
        <v>0</v>
      </c>
      <c r="DP1216">
        <f t="shared" si="2595"/>
        <v>0</v>
      </c>
      <c r="DQ1216">
        <f t="shared" si="2595"/>
        <v>0</v>
      </c>
      <c r="DR1216">
        <f t="shared" si="2595"/>
        <v>0</v>
      </c>
      <c r="DS1216">
        <f t="shared" si="2595"/>
        <v>0</v>
      </c>
      <c r="DT1216">
        <f t="shared" si="2595"/>
        <v>0</v>
      </c>
      <c r="DU1216">
        <f t="shared" si="2595"/>
        <v>0</v>
      </c>
      <c r="DV1216">
        <f t="shared" si="2595"/>
        <v>0</v>
      </c>
      <c r="DW1216">
        <f t="shared" si="2595"/>
        <v>0</v>
      </c>
      <c r="DX1216">
        <f t="shared" si="2595"/>
        <v>0</v>
      </c>
      <c r="DY1216">
        <f t="shared" si="2595"/>
        <v>0</v>
      </c>
      <c r="DZ1216">
        <f t="shared" si="2595"/>
        <v>0</v>
      </c>
      <c r="EA1216">
        <f t="shared" si="2596"/>
        <v>0</v>
      </c>
      <c r="EB1216">
        <f t="shared" si="2597"/>
        <v>0</v>
      </c>
      <c r="EC1216">
        <f t="shared" si="2596"/>
        <v>0</v>
      </c>
      <c r="ED1216">
        <f t="shared" si="2596"/>
        <v>0</v>
      </c>
      <c r="EE1216">
        <f t="shared" si="2596"/>
        <v>0</v>
      </c>
      <c r="EF1216">
        <f t="shared" si="2596"/>
        <v>0</v>
      </c>
    </row>
    <row r="1217" spans="1:136" ht="15.5">
      <c r="A1217" s="90"/>
      <c r="B1217" s="57" t="s">
        <v>212</v>
      </c>
      <c r="C1217" s="95"/>
      <c r="D1217" s="18"/>
      <c r="E1217" s="18"/>
      <c r="F1217" s="18"/>
      <c r="G1217" s="18"/>
      <c r="H1217" s="18"/>
      <c r="I1217" s="18"/>
      <c r="J1217" s="18"/>
      <c r="K1217" s="18"/>
      <c r="L1217" s="18"/>
      <c r="M1217" s="18"/>
      <c r="N1217" s="18"/>
      <c r="O1217" s="18"/>
      <c r="P1217" s="18"/>
      <c r="Q1217" s="18"/>
      <c r="R1217" s="18"/>
      <c r="S1217" s="18"/>
      <c r="T1217" s="18"/>
      <c r="U1217" s="18"/>
      <c r="V1217" s="18"/>
      <c r="W1217" s="18"/>
      <c r="X1217" s="18"/>
      <c r="Y1217" s="18"/>
      <c r="Z1217" s="18"/>
      <c r="AA1217" s="18"/>
      <c r="AB1217" s="18"/>
      <c r="AC1217" s="18"/>
      <c r="AD1217" s="18"/>
      <c r="AE1217" s="18"/>
      <c r="AF1217" s="18"/>
      <c r="AG1217" s="18"/>
      <c r="AH1217" s="18"/>
      <c r="AI1217" s="18"/>
      <c r="AJ1217" s="18"/>
      <c r="AK1217" s="18"/>
      <c r="AL1217" s="18">
        <v>1839</v>
      </c>
      <c r="AM1217" s="18">
        <v>2007.803790412486</v>
      </c>
      <c r="AN1217" s="18">
        <v>3124.4044467972471</v>
      </c>
      <c r="AO1217" s="18">
        <v>1376.5139547130068</v>
      </c>
      <c r="AP1217" s="18">
        <v>1266.1219725707615</v>
      </c>
      <c r="AQ1217" s="18">
        <v>1529.7162576687117</v>
      </c>
      <c r="AR1217" s="18">
        <v>636.66666666666663</v>
      </c>
      <c r="AS1217" s="18">
        <v>485.47169811320754</v>
      </c>
      <c r="AT1217" s="18">
        <v>425.09433962264154</v>
      </c>
      <c r="AU1217" s="18">
        <v>516.69793621013127</v>
      </c>
      <c r="AV1217" s="18">
        <v>423.8721804511278</v>
      </c>
      <c r="AW1217" s="18">
        <v>0</v>
      </c>
      <c r="AX1217" s="18">
        <v>447.72277227722776</v>
      </c>
      <c r="AY1217" s="18">
        <v>447.72277227722776</v>
      </c>
      <c r="AZ1217" s="18">
        <v>2963.1878557874766</v>
      </c>
      <c r="BA1217" s="18">
        <v>5213.8639281129654</v>
      </c>
      <c r="BB1217" s="18">
        <v>2344.5843828715365</v>
      </c>
      <c r="BC1217" s="18">
        <v>0</v>
      </c>
      <c r="BD1217" s="18">
        <v>0</v>
      </c>
      <c r="BE1217" s="152">
        <v>836.36363636363637</v>
      </c>
      <c r="BF1217" s="18">
        <v>0</v>
      </c>
      <c r="BG1217" s="18">
        <v>122.58333333333333</v>
      </c>
      <c r="BH1217" s="34">
        <v>18.970814132104454</v>
      </c>
      <c r="BI1217" s="34">
        <v>0</v>
      </c>
      <c r="BJ1217" s="113">
        <v>0</v>
      </c>
      <c r="BK1217" s="113">
        <v>0</v>
      </c>
      <c r="BL1217" s="113">
        <v>0</v>
      </c>
      <c r="BM1217" s="113">
        <v>0</v>
      </c>
      <c r="BN1217" s="168">
        <v>1829.7297297297298</v>
      </c>
      <c r="BO1217" s="168">
        <v>42.1337665854319</v>
      </c>
      <c r="BP1217" s="113">
        <v>34</v>
      </c>
      <c r="BQ1217" s="113">
        <v>41</v>
      </c>
      <c r="BR1217" s="101"/>
      <c r="BS1217">
        <f t="shared" si="2550"/>
        <v>0</v>
      </c>
      <c r="BT1217">
        <f t="shared" si="2551"/>
        <v>0</v>
      </c>
      <c r="BU1217">
        <f t="shared" si="2552"/>
        <v>0</v>
      </c>
      <c r="BV1217">
        <f t="shared" si="2553"/>
        <v>0</v>
      </c>
      <c r="BW1217">
        <f t="shared" si="2554"/>
        <v>0</v>
      </c>
      <c r="BX1217">
        <f t="shared" si="2555"/>
        <v>0</v>
      </c>
      <c r="BY1217">
        <f t="shared" si="2556"/>
        <v>0</v>
      </c>
      <c r="BZ1217">
        <f t="shared" si="2557"/>
        <v>0</v>
      </c>
      <c r="CA1217">
        <f t="shared" si="2558"/>
        <v>0</v>
      </c>
      <c r="CB1217">
        <f t="shared" si="2559"/>
        <v>0</v>
      </c>
      <c r="CC1217">
        <f t="shared" si="2560"/>
        <v>0</v>
      </c>
      <c r="CD1217">
        <f t="shared" si="2561"/>
        <v>0</v>
      </c>
      <c r="CE1217">
        <f t="shared" si="2562"/>
        <v>0</v>
      </c>
      <c r="CF1217">
        <f t="shared" si="2563"/>
        <v>0</v>
      </c>
      <c r="CG1217">
        <f t="shared" si="2564"/>
        <v>0</v>
      </c>
      <c r="CH1217">
        <f t="shared" si="2565"/>
        <v>0</v>
      </c>
      <c r="CI1217">
        <f t="shared" si="2566"/>
        <v>0</v>
      </c>
      <c r="CJ1217">
        <f t="shared" si="2567"/>
        <v>0</v>
      </c>
      <c r="CK1217">
        <f t="shared" si="2568"/>
        <v>0</v>
      </c>
      <c r="CL1217">
        <f t="shared" si="2569"/>
        <v>0</v>
      </c>
      <c r="CM1217">
        <f t="shared" si="2570"/>
        <v>0</v>
      </c>
      <c r="CN1217">
        <f t="shared" si="2571"/>
        <v>0</v>
      </c>
      <c r="CO1217">
        <f t="shared" si="2572"/>
        <v>0</v>
      </c>
      <c r="CP1217">
        <f t="shared" si="2573"/>
        <v>0</v>
      </c>
      <c r="CQ1217">
        <f t="shared" si="2574"/>
        <v>0</v>
      </c>
      <c r="CR1217">
        <f t="shared" si="2575"/>
        <v>0</v>
      </c>
      <c r="CS1217">
        <f t="shared" si="2576"/>
        <v>0</v>
      </c>
      <c r="CT1217">
        <f t="shared" si="2577"/>
        <v>0</v>
      </c>
      <c r="CU1217">
        <f t="shared" si="2578"/>
        <v>0</v>
      </c>
      <c r="CV1217">
        <f t="shared" si="2579"/>
        <v>0</v>
      </c>
      <c r="CW1217">
        <f t="shared" si="2580"/>
        <v>0</v>
      </c>
      <c r="CX1217">
        <f t="shared" si="2581"/>
        <v>0</v>
      </c>
      <c r="CY1217">
        <f t="shared" si="2582"/>
        <v>0</v>
      </c>
      <c r="CZ1217">
        <f t="shared" si="2583"/>
        <v>0</v>
      </c>
      <c r="DA1217">
        <f t="shared" si="2584"/>
        <v>0</v>
      </c>
      <c r="DB1217">
        <f t="shared" si="2585"/>
        <v>0</v>
      </c>
      <c r="DC1217">
        <f t="shared" si="2586"/>
        <v>0</v>
      </c>
      <c r="DD1217">
        <f t="shared" si="2587"/>
        <v>0</v>
      </c>
      <c r="DE1217">
        <f t="shared" si="2588"/>
        <v>0</v>
      </c>
      <c r="DF1217">
        <f t="shared" si="2589"/>
        <v>0</v>
      </c>
      <c r="DG1217">
        <f t="shared" si="2590"/>
        <v>0</v>
      </c>
      <c r="DH1217">
        <f t="shared" si="2591"/>
        <v>0</v>
      </c>
      <c r="DI1217">
        <f t="shared" si="2592"/>
        <v>0</v>
      </c>
      <c r="DJ1217">
        <f t="shared" si="2593"/>
        <v>0</v>
      </c>
      <c r="DK1217">
        <f t="shared" si="2548"/>
        <v>0</v>
      </c>
      <c r="DL1217">
        <f t="shared" si="2595"/>
        <v>0</v>
      </c>
      <c r="DM1217">
        <f t="shared" si="2595"/>
        <v>0</v>
      </c>
      <c r="DN1217">
        <f t="shared" si="2595"/>
        <v>0</v>
      </c>
      <c r="DO1217">
        <f t="shared" si="2595"/>
        <v>0</v>
      </c>
      <c r="DP1217">
        <f t="shared" si="2595"/>
        <v>0</v>
      </c>
      <c r="DQ1217">
        <f t="shared" si="2595"/>
        <v>0</v>
      </c>
      <c r="DR1217">
        <f t="shared" si="2595"/>
        <v>0</v>
      </c>
      <c r="DS1217">
        <f t="shared" si="2595"/>
        <v>0</v>
      </c>
      <c r="DT1217">
        <f t="shared" si="2595"/>
        <v>0</v>
      </c>
      <c r="DU1217">
        <f t="shared" si="2595"/>
        <v>0</v>
      </c>
      <c r="DV1217">
        <f t="shared" si="2595"/>
        <v>0</v>
      </c>
      <c r="DW1217">
        <f t="shared" si="2595"/>
        <v>0</v>
      </c>
      <c r="DX1217">
        <f t="shared" si="2595"/>
        <v>0</v>
      </c>
      <c r="DY1217">
        <f t="shared" si="2595"/>
        <v>0</v>
      </c>
      <c r="DZ1217">
        <f t="shared" si="2595"/>
        <v>0</v>
      </c>
      <c r="EA1217">
        <f t="shared" ref="EA1217:EF1217" si="2598">IF($C1217&lt;&gt;"",IF(BL1217&gt;0,1,0),0)</f>
        <v>0</v>
      </c>
      <c r="EB1217">
        <f t="shared" si="2598"/>
        <v>0</v>
      </c>
      <c r="EC1217">
        <f t="shared" si="2598"/>
        <v>0</v>
      </c>
      <c r="ED1217">
        <f t="shared" si="2598"/>
        <v>0</v>
      </c>
      <c r="EE1217">
        <f t="shared" si="2598"/>
        <v>0</v>
      </c>
      <c r="EF1217">
        <f t="shared" si="2598"/>
        <v>0</v>
      </c>
    </row>
    <row r="1218" spans="1:136" ht="15.5">
      <c r="A1218" s="90"/>
      <c r="B1218" s="37"/>
      <c r="C1218" s="95"/>
      <c r="D1218" s="31"/>
      <c r="E1218" s="31"/>
      <c r="F1218" s="31"/>
      <c r="G1218" s="31"/>
      <c r="H1218" s="31"/>
      <c r="I1218" s="31"/>
      <c r="J1218" s="31"/>
      <c r="K1218" s="31"/>
      <c r="L1218" s="31"/>
      <c r="M1218" s="31"/>
      <c r="N1218" s="31"/>
      <c r="O1218" s="31"/>
      <c r="P1218" s="31"/>
      <c r="Q1218" s="31"/>
      <c r="R1218" s="31"/>
      <c r="S1218" s="31"/>
      <c r="T1218" s="31"/>
      <c r="U1218" s="31"/>
      <c r="V1218" s="31"/>
      <c r="W1218" s="31"/>
      <c r="X1218" s="31"/>
      <c r="Y1218" s="31"/>
      <c r="Z1218" s="31"/>
      <c r="AA1218" s="31"/>
      <c r="AB1218" s="31"/>
      <c r="AC1218" s="31"/>
      <c r="AD1218" s="31"/>
      <c r="AE1218" s="31"/>
      <c r="AF1218" s="31"/>
      <c r="AG1218" s="31"/>
      <c r="AH1218" s="31"/>
      <c r="AI1218" s="31"/>
      <c r="AJ1218" s="31"/>
      <c r="AK1218" s="31"/>
      <c r="AL1218" s="31"/>
      <c r="AM1218" s="31"/>
      <c r="AN1218" s="31"/>
      <c r="AO1218" s="31"/>
      <c r="AP1218" s="31"/>
      <c r="AQ1218" s="31"/>
      <c r="AR1218" s="31"/>
      <c r="AS1218" s="31"/>
      <c r="AT1218" s="31"/>
      <c r="AU1218" s="31"/>
      <c r="AV1218" s="31"/>
      <c r="AW1218" s="31"/>
      <c r="AX1218" s="31"/>
      <c r="AY1218" s="31"/>
      <c r="AZ1218" s="31"/>
      <c r="BA1218" s="31"/>
      <c r="BB1218" s="31"/>
      <c r="BC1218" s="31"/>
      <c r="BD1218" s="31"/>
      <c r="BE1218" s="55"/>
      <c r="BF1218" s="2"/>
      <c r="BG1218" s="31"/>
      <c r="BH1218" s="2"/>
      <c r="BI1218" s="31"/>
      <c r="BJ1218" s="2"/>
      <c r="BK1218" s="2"/>
      <c r="BL1218" s="4"/>
      <c r="BM1218" s="2"/>
      <c r="BN1218" s="2"/>
      <c r="BO1218" s="2"/>
      <c r="BP1218" s="2"/>
      <c r="BQ1218" s="2"/>
      <c r="BR1218" s="101"/>
    </row>
    <row r="1219" spans="1:136" ht="15.5">
      <c r="A1219" s="93">
        <v>155</v>
      </c>
      <c r="B1219" s="80" t="s">
        <v>227</v>
      </c>
      <c r="C1219" s="95">
        <v>1</v>
      </c>
      <c r="D1219" s="22">
        <f t="shared" ref="D1219:AI1219" si="2599">D1220</f>
        <v>0</v>
      </c>
      <c r="E1219" s="22">
        <f t="shared" si="2599"/>
        <v>0</v>
      </c>
      <c r="F1219" s="22">
        <f t="shared" si="2599"/>
        <v>0</v>
      </c>
      <c r="G1219" s="22">
        <f t="shared" si="2599"/>
        <v>0</v>
      </c>
      <c r="H1219" s="22">
        <f t="shared" si="2599"/>
        <v>0</v>
      </c>
      <c r="I1219" s="22">
        <f t="shared" si="2599"/>
        <v>0</v>
      </c>
      <c r="J1219" s="22">
        <f t="shared" si="2599"/>
        <v>0</v>
      </c>
      <c r="K1219" s="22">
        <f t="shared" si="2599"/>
        <v>0</v>
      </c>
      <c r="L1219" s="22">
        <f t="shared" si="2599"/>
        <v>0</v>
      </c>
      <c r="M1219" s="22">
        <f t="shared" si="2599"/>
        <v>0</v>
      </c>
      <c r="N1219" s="22">
        <f t="shared" si="2599"/>
        <v>0</v>
      </c>
      <c r="O1219" s="22">
        <f t="shared" si="2599"/>
        <v>0</v>
      </c>
      <c r="P1219" s="22">
        <f t="shared" si="2599"/>
        <v>0</v>
      </c>
      <c r="Q1219" s="22">
        <f t="shared" si="2599"/>
        <v>0</v>
      </c>
      <c r="R1219" s="22">
        <f t="shared" si="2599"/>
        <v>0</v>
      </c>
      <c r="S1219" s="22">
        <f t="shared" si="2599"/>
        <v>0</v>
      </c>
      <c r="T1219" s="22">
        <f t="shared" si="2599"/>
        <v>0</v>
      </c>
      <c r="U1219" s="22">
        <f t="shared" si="2599"/>
        <v>0</v>
      </c>
      <c r="V1219" s="22">
        <f t="shared" si="2599"/>
        <v>0</v>
      </c>
      <c r="W1219" s="22">
        <f t="shared" si="2599"/>
        <v>728.77725000000009</v>
      </c>
      <c r="X1219" s="22">
        <f t="shared" si="2599"/>
        <v>798.76215000000002</v>
      </c>
      <c r="Y1219" s="22">
        <f t="shared" si="2599"/>
        <v>651.48300000000006</v>
      </c>
      <c r="Z1219" s="22">
        <f t="shared" si="2599"/>
        <v>559.90890000000013</v>
      </c>
      <c r="AA1219" s="22">
        <f t="shared" si="2599"/>
        <v>497.3725</v>
      </c>
      <c r="AB1219" s="22">
        <f t="shared" si="2599"/>
        <v>413.98499999999996</v>
      </c>
      <c r="AC1219" s="22">
        <f t="shared" si="2599"/>
        <v>525.25750000000005</v>
      </c>
      <c r="AD1219" s="22">
        <f t="shared" si="2599"/>
        <v>547.78374999999994</v>
      </c>
      <c r="AE1219" s="22">
        <f t="shared" si="2599"/>
        <v>708.19299999999998</v>
      </c>
      <c r="AF1219" s="22">
        <f t="shared" si="2599"/>
        <v>689.94275000000005</v>
      </c>
      <c r="AG1219" s="22">
        <f t="shared" si="2599"/>
        <v>624.81150000000002</v>
      </c>
      <c r="AH1219" s="22">
        <f t="shared" si="2599"/>
        <v>746.32950000000005</v>
      </c>
      <c r="AI1219" s="22">
        <f t="shared" si="2599"/>
        <v>722.14200000000005</v>
      </c>
      <c r="AJ1219" s="22">
        <f t="shared" ref="AJ1219:BQ1219" si="2600">AJ1220</f>
        <v>585.53099999999995</v>
      </c>
      <c r="AK1219" s="22">
        <f t="shared" si="2600"/>
        <v>571.79250000000002</v>
      </c>
      <c r="AL1219" s="22">
        <f t="shared" si="2600"/>
        <v>606.2355</v>
      </c>
      <c r="AM1219" s="22">
        <f t="shared" si="2600"/>
        <v>601.20450000000005</v>
      </c>
      <c r="AN1219" s="22">
        <f t="shared" si="2600"/>
        <v>662.66009999999994</v>
      </c>
      <c r="AO1219" s="22">
        <f t="shared" si="2600"/>
        <v>635.72490000000005</v>
      </c>
      <c r="AP1219" s="22">
        <f t="shared" si="2600"/>
        <v>643.50360000000001</v>
      </c>
      <c r="AQ1219" s="22">
        <f t="shared" si="2600"/>
        <v>625.005</v>
      </c>
      <c r="AR1219" s="22">
        <f t="shared" si="2600"/>
        <v>578.75850000000003</v>
      </c>
      <c r="AS1219" s="22">
        <f t="shared" si="2600"/>
        <v>562.81409999999994</v>
      </c>
      <c r="AT1219" s="22">
        <f t="shared" si="2600"/>
        <v>622.87649999999996</v>
      </c>
      <c r="AU1219" s="22">
        <f t="shared" si="2600"/>
        <v>690.48540000000003</v>
      </c>
      <c r="AV1219" s="22">
        <f t="shared" si="2600"/>
        <v>741.49199999999996</v>
      </c>
      <c r="AW1219" s="22">
        <f t="shared" si="2600"/>
        <v>665.17560000000003</v>
      </c>
      <c r="AX1219" s="22">
        <f t="shared" si="2600"/>
        <v>757.97820000000002</v>
      </c>
      <c r="AY1219" s="22">
        <f t="shared" si="2600"/>
        <v>767.92409999999995</v>
      </c>
      <c r="AZ1219" s="22">
        <f t="shared" si="2600"/>
        <v>565.75530000000003</v>
      </c>
      <c r="BA1219" s="22">
        <f t="shared" si="2600"/>
        <v>625.66290000000004</v>
      </c>
      <c r="BB1219" s="22">
        <f t="shared" si="2600"/>
        <v>595.67039999999997</v>
      </c>
      <c r="BC1219" s="22">
        <f t="shared" si="2600"/>
        <v>601.28190000000006</v>
      </c>
      <c r="BD1219" s="22">
        <f t="shared" si="2600"/>
        <v>629.33940000000007</v>
      </c>
      <c r="BE1219" s="22">
        <f t="shared" si="2600"/>
        <v>641.41380000000004</v>
      </c>
      <c r="BF1219" s="22">
        <f t="shared" si="2600"/>
        <v>602.86860000000001</v>
      </c>
      <c r="BG1219" s="22">
        <f t="shared" si="2600"/>
        <v>570.67019999999991</v>
      </c>
      <c r="BH1219" s="22">
        <f t="shared" si="2600"/>
        <v>477.44190000000003</v>
      </c>
      <c r="BI1219" s="22">
        <f t="shared" si="2600"/>
        <v>523.57230000000004</v>
      </c>
      <c r="BJ1219" s="22">
        <f t="shared" si="2600"/>
        <v>493.92809999999997</v>
      </c>
      <c r="BK1219" s="22">
        <f t="shared" si="2600"/>
        <v>513.51030000000003</v>
      </c>
      <c r="BL1219" s="22">
        <f t="shared" si="2600"/>
        <v>528.71940000000006</v>
      </c>
      <c r="BM1219" s="22">
        <f t="shared" si="2600"/>
        <v>522.45000000000005</v>
      </c>
      <c r="BN1219" s="22">
        <f t="shared" si="2600"/>
        <v>508.98239999999998</v>
      </c>
      <c r="BO1219" s="22">
        <f t="shared" si="2600"/>
        <v>0</v>
      </c>
      <c r="BP1219" s="22">
        <f t="shared" si="2600"/>
        <v>0</v>
      </c>
      <c r="BQ1219" s="22">
        <f t="shared" si="2600"/>
        <v>0</v>
      </c>
      <c r="BR1219" s="101"/>
      <c r="BS1219">
        <f t="shared" ref="BS1219:CB1220" si="2601">IF($C1219&lt;&gt;"",IF(D1219&gt;0,1,0),0)</f>
        <v>0</v>
      </c>
      <c r="BT1219">
        <f t="shared" si="2601"/>
        <v>0</v>
      </c>
      <c r="BU1219">
        <f t="shared" si="2601"/>
        <v>0</v>
      </c>
      <c r="BV1219">
        <f t="shared" si="2601"/>
        <v>0</v>
      </c>
      <c r="BW1219">
        <f t="shared" si="2601"/>
        <v>0</v>
      </c>
      <c r="BX1219">
        <f t="shared" si="2601"/>
        <v>0</v>
      </c>
      <c r="BY1219">
        <f t="shared" si="2601"/>
        <v>0</v>
      </c>
      <c r="BZ1219">
        <f t="shared" si="2601"/>
        <v>0</v>
      </c>
      <c r="CA1219">
        <f t="shared" si="2601"/>
        <v>0</v>
      </c>
      <c r="CB1219">
        <f t="shared" si="2601"/>
        <v>0</v>
      </c>
      <c r="CC1219">
        <f t="shared" ref="CC1219:CL1220" si="2602">IF($C1219&lt;&gt;"",IF(N1219&gt;0,1,0),0)</f>
        <v>0</v>
      </c>
      <c r="CD1219">
        <f t="shared" si="2602"/>
        <v>0</v>
      </c>
      <c r="CE1219">
        <f t="shared" si="2602"/>
        <v>0</v>
      </c>
      <c r="CF1219">
        <f t="shared" si="2602"/>
        <v>0</v>
      </c>
      <c r="CG1219">
        <f t="shared" si="2602"/>
        <v>0</v>
      </c>
      <c r="CH1219">
        <f t="shared" si="2602"/>
        <v>0</v>
      </c>
      <c r="CI1219">
        <f t="shared" si="2602"/>
        <v>0</v>
      </c>
      <c r="CJ1219">
        <f t="shared" si="2602"/>
        <v>0</v>
      </c>
      <c r="CK1219">
        <f t="shared" si="2602"/>
        <v>0</v>
      </c>
      <c r="CL1219">
        <f t="shared" si="2602"/>
        <v>1</v>
      </c>
      <c r="CM1219">
        <f t="shared" ref="CM1219:CV1220" si="2603">IF($C1219&lt;&gt;"",IF(X1219&gt;0,1,0),0)</f>
        <v>1</v>
      </c>
      <c r="CN1219">
        <f t="shared" si="2603"/>
        <v>1</v>
      </c>
      <c r="CO1219">
        <f t="shared" si="2603"/>
        <v>1</v>
      </c>
      <c r="CP1219">
        <f t="shared" si="2603"/>
        <v>1</v>
      </c>
      <c r="CQ1219">
        <f t="shared" si="2603"/>
        <v>1</v>
      </c>
      <c r="CR1219">
        <f t="shared" si="2603"/>
        <v>1</v>
      </c>
      <c r="CS1219">
        <f t="shared" si="2603"/>
        <v>1</v>
      </c>
      <c r="CT1219">
        <f t="shared" si="2603"/>
        <v>1</v>
      </c>
      <c r="CU1219">
        <f t="shared" si="2603"/>
        <v>1</v>
      </c>
      <c r="CV1219">
        <f t="shared" si="2603"/>
        <v>1</v>
      </c>
      <c r="CW1219">
        <f t="shared" ref="CW1219:DF1220" si="2604">IF($C1219&lt;&gt;"",IF(AH1219&gt;0,1,0),0)</f>
        <v>1</v>
      </c>
      <c r="CX1219">
        <f t="shared" si="2604"/>
        <v>1</v>
      </c>
      <c r="CY1219">
        <f t="shared" si="2604"/>
        <v>1</v>
      </c>
      <c r="CZ1219">
        <f t="shared" si="2604"/>
        <v>1</v>
      </c>
      <c r="DA1219">
        <f t="shared" si="2604"/>
        <v>1</v>
      </c>
      <c r="DB1219">
        <f t="shared" si="2604"/>
        <v>1</v>
      </c>
      <c r="DC1219">
        <f t="shared" si="2604"/>
        <v>1</v>
      </c>
      <c r="DD1219">
        <f t="shared" si="2604"/>
        <v>1</v>
      </c>
      <c r="DE1219">
        <f t="shared" si="2604"/>
        <v>1</v>
      </c>
      <c r="DF1219">
        <f t="shared" si="2604"/>
        <v>1</v>
      </c>
      <c r="DG1219">
        <f t="shared" ref="DG1219:DP1220" si="2605">IF($C1219&lt;&gt;"",IF(AR1219&gt;0,1,0),0)</f>
        <v>1</v>
      </c>
      <c r="DH1219">
        <f t="shared" si="2605"/>
        <v>1</v>
      </c>
      <c r="DI1219">
        <f t="shared" si="2605"/>
        <v>1</v>
      </c>
      <c r="DJ1219">
        <f t="shared" si="2605"/>
        <v>1</v>
      </c>
      <c r="DK1219">
        <f t="shared" si="2605"/>
        <v>1</v>
      </c>
      <c r="DL1219">
        <f t="shared" si="2605"/>
        <v>1</v>
      </c>
      <c r="DM1219">
        <f t="shared" si="2605"/>
        <v>1</v>
      </c>
      <c r="DN1219">
        <f t="shared" si="2605"/>
        <v>1</v>
      </c>
      <c r="DO1219">
        <f t="shared" si="2605"/>
        <v>1</v>
      </c>
      <c r="DP1219">
        <f t="shared" si="2605"/>
        <v>1</v>
      </c>
      <c r="DQ1219">
        <f t="shared" ref="DQ1219:DZ1220" si="2606">IF($C1219&lt;&gt;"",IF(BB1219&gt;0,1,0),0)</f>
        <v>1</v>
      </c>
      <c r="DR1219">
        <f t="shared" si="2606"/>
        <v>1</v>
      </c>
      <c r="DS1219">
        <f t="shared" si="2606"/>
        <v>1</v>
      </c>
      <c r="DT1219">
        <f t="shared" si="2606"/>
        <v>1</v>
      </c>
      <c r="DU1219">
        <f t="shared" si="2606"/>
        <v>1</v>
      </c>
      <c r="DV1219">
        <f t="shared" si="2606"/>
        <v>1</v>
      </c>
      <c r="DW1219">
        <f t="shared" si="2606"/>
        <v>1</v>
      </c>
      <c r="DX1219">
        <f t="shared" si="2606"/>
        <v>1</v>
      </c>
      <c r="DY1219">
        <f t="shared" si="2606"/>
        <v>1</v>
      </c>
      <c r="DZ1219">
        <f t="shared" si="2606"/>
        <v>1</v>
      </c>
      <c r="EA1219">
        <f t="shared" ref="EA1219:EF1220" si="2607">IF($C1219&lt;&gt;"",IF(BL1219&gt;0,1,0),0)</f>
        <v>1</v>
      </c>
      <c r="EB1219">
        <f>IF($C1219&lt;&gt;"",IF(BM1219&gt;0,1,0),0)</f>
        <v>1</v>
      </c>
      <c r="EC1219">
        <f t="shared" si="2607"/>
        <v>1</v>
      </c>
      <c r="ED1219">
        <f t="shared" si="2607"/>
        <v>0</v>
      </c>
      <c r="EE1219">
        <f t="shared" si="2607"/>
        <v>0</v>
      </c>
      <c r="EF1219">
        <f t="shared" si="2607"/>
        <v>0</v>
      </c>
    </row>
    <row r="1220" spans="1:136" ht="15.5">
      <c r="A1220" s="90"/>
      <c r="B1220" s="57" t="s">
        <v>3</v>
      </c>
      <c r="C1220" s="95"/>
      <c r="D1220" s="18">
        <v>0</v>
      </c>
      <c r="E1220" s="18">
        <v>0</v>
      </c>
      <c r="F1220" s="18">
        <v>0</v>
      </c>
      <c r="G1220" s="18">
        <v>0</v>
      </c>
      <c r="H1220" s="18">
        <v>0</v>
      </c>
      <c r="I1220" s="18">
        <v>0</v>
      </c>
      <c r="J1220" s="18">
        <v>0</v>
      </c>
      <c r="K1220" s="18">
        <v>0</v>
      </c>
      <c r="L1220" s="18">
        <v>0</v>
      </c>
      <c r="M1220" s="18">
        <v>0</v>
      </c>
      <c r="N1220" s="18">
        <v>0</v>
      </c>
      <c r="O1220" s="18">
        <v>0</v>
      </c>
      <c r="P1220" s="18">
        <v>0</v>
      </c>
      <c r="Q1220" s="18">
        <v>0</v>
      </c>
      <c r="R1220" s="18">
        <v>0</v>
      </c>
      <c r="S1220" s="18">
        <v>0</v>
      </c>
      <c r="T1220" s="18">
        <v>0</v>
      </c>
      <c r="U1220" s="18">
        <v>0</v>
      </c>
      <c r="V1220" s="18">
        <v>0</v>
      </c>
      <c r="W1220" s="113">
        <v>728.77725000000009</v>
      </c>
      <c r="X1220" s="113">
        <v>798.76215000000002</v>
      </c>
      <c r="Y1220" s="113">
        <v>651.48300000000006</v>
      </c>
      <c r="Z1220" s="154">
        <v>559.90890000000013</v>
      </c>
      <c r="AA1220" s="154">
        <v>497.3725</v>
      </c>
      <c r="AB1220" s="154">
        <v>413.98499999999996</v>
      </c>
      <c r="AC1220" s="154">
        <v>525.25750000000005</v>
      </c>
      <c r="AD1220" s="154">
        <v>547.78374999999994</v>
      </c>
      <c r="AE1220" s="154">
        <v>708.19299999999998</v>
      </c>
      <c r="AF1220" s="154">
        <v>689.94275000000005</v>
      </c>
      <c r="AG1220" s="113">
        <v>624.81150000000002</v>
      </c>
      <c r="AH1220" s="113">
        <v>746.32950000000005</v>
      </c>
      <c r="AI1220" s="113">
        <v>722.14200000000005</v>
      </c>
      <c r="AJ1220" s="113">
        <v>585.53099999999995</v>
      </c>
      <c r="AK1220" s="113">
        <v>571.79250000000002</v>
      </c>
      <c r="AL1220" s="113">
        <v>606.2355</v>
      </c>
      <c r="AM1220" s="113">
        <v>601.20450000000005</v>
      </c>
      <c r="AN1220" s="113">
        <v>662.66009999999994</v>
      </c>
      <c r="AO1220" s="113">
        <v>635.72490000000005</v>
      </c>
      <c r="AP1220" s="113">
        <v>643.50360000000001</v>
      </c>
      <c r="AQ1220" s="154">
        <v>625.005</v>
      </c>
      <c r="AR1220" s="113">
        <v>578.75850000000003</v>
      </c>
      <c r="AS1220" s="113">
        <v>562.81409999999994</v>
      </c>
      <c r="AT1220" s="113">
        <v>622.87649999999996</v>
      </c>
      <c r="AU1220" s="113">
        <v>690.48540000000003</v>
      </c>
      <c r="AV1220" s="113">
        <v>741.49199999999996</v>
      </c>
      <c r="AW1220" s="113">
        <v>665.17560000000003</v>
      </c>
      <c r="AX1220" s="113">
        <v>757.97820000000002</v>
      </c>
      <c r="AY1220" s="113">
        <v>767.92409999999995</v>
      </c>
      <c r="AZ1220" s="113">
        <v>565.75530000000003</v>
      </c>
      <c r="BA1220" s="113">
        <v>625.66290000000004</v>
      </c>
      <c r="BB1220" s="113">
        <v>595.67039999999997</v>
      </c>
      <c r="BC1220" s="113">
        <v>601.28190000000006</v>
      </c>
      <c r="BD1220" s="113">
        <v>629.33940000000007</v>
      </c>
      <c r="BE1220" s="113">
        <v>641.41380000000004</v>
      </c>
      <c r="BF1220" s="113">
        <v>602.86860000000001</v>
      </c>
      <c r="BG1220" s="113">
        <v>570.67019999999991</v>
      </c>
      <c r="BH1220" s="113">
        <v>477.44190000000003</v>
      </c>
      <c r="BI1220" s="113">
        <v>523.57230000000004</v>
      </c>
      <c r="BJ1220" s="113">
        <v>493.92809999999997</v>
      </c>
      <c r="BK1220" s="113">
        <v>513.51030000000003</v>
      </c>
      <c r="BL1220" s="113">
        <v>528.71940000000006</v>
      </c>
      <c r="BM1220" s="113">
        <v>522.45000000000005</v>
      </c>
      <c r="BN1220" s="113">
        <f>387*1.3152</f>
        <v>508.98239999999998</v>
      </c>
      <c r="BO1220" s="113">
        <v>0</v>
      </c>
      <c r="BP1220" s="113">
        <v>0</v>
      </c>
      <c r="BQ1220" s="113">
        <v>0</v>
      </c>
      <c r="BR1220" s="101"/>
      <c r="BS1220">
        <f t="shared" si="2601"/>
        <v>0</v>
      </c>
      <c r="BT1220">
        <f t="shared" si="2601"/>
        <v>0</v>
      </c>
      <c r="BU1220">
        <f t="shared" si="2601"/>
        <v>0</v>
      </c>
      <c r="BV1220">
        <f t="shared" si="2601"/>
        <v>0</v>
      </c>
      <c r="BW1220">
        <f t="shared" si="2601"/>
        <v>0</v>
      </c>
      <c r="BX1220">
        <f t="shared" si="2601"/>
        <v>0</v>
      </c>
      <c r="BY1220">
        <f t="shared" si="2601"/>
        <v>0</v>
      </c>
      <c r="BZ1220">
        <f t="shared" si="2601"/>
        <v>0</v>
      </c>
      <c r="CA1220">
        <f t="shared" si="2601"/>
        <v>0</v>
      </c>
      <c r="CB1220">
        <f t="shared" si="2601"/>
        <v>0</v>
      </c>
      <c r="CC1220">
        <f t="shared" si="2602"/>
        <v>0</v>
      </c>
      <c r="CD1220">
        <f t="shared" si="2602"/>
        <v>0</v>
      </c>
      <c r="CE1220">
        <f t="shared" si="2602"/>
        <v>0</v>
      </c>
      <c r="CF1220">
        <f t="shared" si="2602"/>
        <v>0</v>
      </c>
      <c r="CG1220">
        <f t="shared" si="2602"/>
        <v>0</v>
      </c>
      <c r="CH1220">
        <f t="shared" si="2602"/>
        <v>0</v>
      </c>
      <c r="CI1220">
        <f t="shared" si="2602"/>
        <v>0</v>
      </c>
      <c r="CJ1220">
        <f t="shared" si="2602"/>
        <v>0</v>
      </c>
      <c r="CK1220">
        <f t="shared" si="2602"/>
        <v>0</v>
      </c>
      <c r="CL1220">
        <f t="shared" si="2602"/>
        <v>0</v>
      </c>
      <c r="CM1220">
        <f t="shared" si="2603"/>
        <v>0</v>
      </c>
      <c r="CN1220">
        <f t="shared" si="2603"/>
        <v>0</v>
      </c>
      <c r="CO1220">
        <f t="shared" si="2603"/>
        <v>0</v>
      </c>
      <c r="CP1220">
        <f t="shared" si="2603"/>
        <v>0</v>
      </c>
      <c r="CQ1220">
        <f t="shared" si="2603"/>
        <v>0</v>
      </c>
      <c r="CR1220">
        <f t="shared" si="2603"/>
        <v>0</v>
      </c>
      <c r="CS1220">
        <f t="shared" si="2603"/>
        <v>0</v>
      </c>
      <c r="CT1220">
        <f t="shared" si="2603"/>
        <v>0</v>
      </c>
      <c r="CU1220">
        <f t="shared" si="2603"/>
        <v>0</v>
      </c>
      <c r="CV1220">
        <f t="shared" si="2603"/>
        <v>0</v>
      </c>
      <c r="CW1220">
        <f t="shared" si="2604"/>
        <v>0</v>
      </c>
      <c r="CX1220">
        <f t="shared" si="2604"/>
        <v>0</v>
      </c>
      <c r="CY1220">
        <f t="shared" si="2604"/>
        <v>0</v>
      </c>
      <c r="CZ1220">
        <f t="shared" si="2604"/>
        <v>0</v>
      </c>
      <c r="DA1220">
        <f t="shared" si="2604"/>
        <v>0</v>
      </c>
      <c r="DB1220">
        <f t="shared" si="2604"/>
        <v>0</v>
      </c>
      <c r="DC1220">
        <f t="shared" si="2604"/>
        <v>0</v>
      </c>
      <c r="DD1220">
        <f t="shared" si="2604"/>
        <v>0</v>
      </c>
      <c r="DE1220">
        <f t="shared" si="2604"/>
        <v>0</v>
      </c>
      <c r="DF1220">
        <f t="shared" si="2604"/>
        <v>0</v>
      </c>
      <c r="DG1220">
        <f t="shared" si="2605"/>
        <v>0</v>
      </c>
      <c r="DH1220">
        <f t="shared" si="2605"/>
        <v>0</v>
      </c>
      <c r="DI1220">
        <f t="shared" si="2605"/>
        <v>0</v>
      </c>
      <c r="DJ1220">
        <f t="shared" si="2605"/>
        <v>0</v>
      </c>
      <c r="DK1220">
        <f t="shared" si="2605"/>
        <v>0</v>
      </c>
      <c r="DL1220">
        <f t="shared" si="2605"/>
        <v>0</v>
      </c>
      <c r="DM1220">
        <f t="shared" si="2605"/>
        <v>0</v>
      </c>
      <c r="DN1220">
        <f t="shared" si="2605"/>
        <v>0</v>
      </c>
      <c r="DO1220">
        <f t="shared" si="2605"/>
        <v>0</v>
      </c>
      <c r="DP1220">
        <f t="shared" si="2605"/>
        <v>0</v>
      </c>
      <c r="DQ1220">
        <f t="shared" si="2606"/>
        <v>0</v>
      </c>
      <c r="DR1220">
        <f t="shared" si="2606"/>
        <v>0</v>
      </c>
      <c r="DS1220">
        <f t="shared" si="2606"/>
        <v>0</v>
      </c>
      <c r="DT1220">
        <f t="shared" si="2606"/>
        <v>0</v>
      </c>
      <c r="DU1220">
        <f t="shared" si="2606"/>
        <v>0</v>
      </c>
      <c r="DV1220">
        <f t="shared" si="2606"/>
        <v>0</v>
      </c>
      <c r="DW1220">
        <f t="shared" si="2606"/>
        <v>0</v>
      </c>
      <c r="DX1220">
        <f t="shared" si="2606"/>
        <v>0</v>
      </c>
      <c r="DY1220">
        <f t="shared" si="2606"/>
        <v>0</v>
      </c>
      <c r="DZ1220">
        <f t="shared" si="2606"/>
        <v>0</v>
      </c>
      <c r="EA1220">
        <f t="shared" si="2607"/>
        <v>0</v>
      </c>
      <c r="EB1220">
        <f>IF($C1220&lt;&gt;"",IF(BM1220&gt;0,1,0),0)</f>
        <v>0</v>
      </c>
      <c r="EC1220">
        <f t="shared" si="2607"/>
        <v>0</v>
      </c>
      <c r="ED1220">
        <f t="shared" si="2607"/>
        <v>0</v>
      </c>
      <c r="EE1220">
        <f t="shared" si="2607"/>
        <v>0</v>
      </c>
      <c r="EF1220">
        <f t="shared" si="2607"/>
        <v>0</v>
      </c>
    </row>
    <row r="1221" spans="1:136" ht="15.5">
      <c r="A1221" s="90"/>
      <c r="B1221" s="37"/>
      <c r="C1221" s="95"/>
      <c r="D1221" s="31"/>
      <c r="E1221" s="31"/>
      <c r="F1221" s="31"/>
      <c r="G1221" s="31"/>
      <c r="H1221" s="31"/>
      <c r="I1221" s="31"/>
      <c r="J1221" s="31"/>
      <c r="K1221" s="31"/>
      <c r="L1221" s="31"/>
      <c r="M1221" s="31"/>
      <c r="N1221" s="31"/>
      <c r="O1221" s="31"/>
      <c r="P1221" s="31"/>
      <c r="Q1221" s="31"/>
      <c r="R1221" s="31"/>
      <c r="S1221" s="31"/>
      <c r="T1221" s="31"/>
      <c r="U1221" s="31"/>
      <c r="V1221" s="31"/>
      <c r="W1221" s="31"/>
      <c r="X1221" s="31"/>
      <c r="Y1221" s="31"/>
      <c r="Z1221" s="31"/>
      <c r="AA1221" s="31"/>
      <c r="AB1221" s="31"/>
      <c r="AC1221" s="31"/>
      <c r="AD1221" s="31"/>
      <c r="AE1221" s="31"/>
      <c r="AF1221" s="31"/>
      <c r="AG1221" s="31"/>
      <c r="AH1221" s="31"/>
      <c r="AI1221" s="31"/>
      <c r="AJ1221" s="31"/>
      <c r="AK1221" s="31"/>
      <c r="AL1221" s="31"/>
      <c r="AM1221" s="31"/>
      <c r="AN1221" s="31"/>
      <c r="AO1221" s="31"/>
      <c r="AP1221" s="31"/>
      <c r="AQ1221" s="31"/>
      <c r="AR1221" s="31"/>
      <c r="AS1221" s="31"/>
      <c r="AT1221" s="31"/>
      <c r="AU1221" s="31"/>
      <c r="AV1221" s="31"/>
      <c r="AW1221" s="31"/>
      <c r="AX1221" s="31"/>
      <c r="AY1221" s="31"/>
      <c r="AZ1221" s="31"/>
      <c r="BA1221" s="31"/>
      <c r="BB1221" s="31"/>
      <c r="BC1221" s="31"/>
      <c r="BD1221" s="31"/>
      <c r="BE1221" s="55"/>
      <c r="BF1221" s="2"/>
      <c r="BG1221" s="31"/>
      <c r="BH1221" s="2"/>
      <c r="BI1221" s="31"/>
      <c r="BJ1221" s="2"/>
      <c r="BK1221" s="2"/>
      <c r="BL1221" s="4"/>
      <c r="BM1221" s="2"/>
      <c r="BN1221" s="2"/>
      <c r="BO1221" s="2"/>
      <c r="BP1221" s="2"/>
      <c r="BQ1221" s="2"/>
      <c r="BR1221" s="101"/>
    </row>
    <row r="1222" spans="1:136" ht="15.5">
      <c r="A1222" s="93">
        <v>156</v>
      </c>
      <c r="B1222" s="52" t="s">
        <v>152</v>
      </c>
      <c r="C1222" s="95">
        <v>2</v>
      </c>
      <c r="D1222" s="9">
        <f t="shared" ref="D1222:AI1222" si="2608">SUM(D1223:D1227)</f>
        <v>0</v>
      </c>
      <c r="E1222" s="9">
        <f t="shared" si="2608"/>
        <v>0</v>
      </c>
      <c r="F1222" s="9">
        <f t="shared" si="2608"/>
        <v>0</v>
      </c>
      <c r="G1222" s="9">
        <f t="shared" si="2608"/>
        <v>0</v>
      </c>
      <c r="H1222" s="9">
        <f t="shared" si="2608"/>
        <v>0</v>
      </c>
      <c r="I1222" s="9">
        <f t="shared" si="2608"/>
        <v>161.9</v>
      </c>
      <c r="J1222" s="9">
        <f t="shared" si="2608"/>
        <v>0</v>
      </c>
      <c r="K1222" s="9">
        <f t="shared" si="2608"/>
        <v>0</v>
      </c>
      <c r="L1222" s="9">
        <f t="shared" si="2608"/>
        <v>0</v>
      </c>
      <c r="M1222" s="9">
        <f t="shared" si="2608"/>
        <v>0</v>
      </c>
      <c r="N1222" s="9">
        <f t="shared" si="2608"/>
        <v>0</v>
      </c>
      <c r="O1222" s="9">
        <f t="shared" si="2608"/>
        <v>0</v>
      </c>
      <c r="P1222" s="9">
        <f t="shared" si="2608"/>
        <v>0</v>
      </c>
      <c r="Q1222" s="9">
        <f t="shared" si="2608"/>
        <v>0</v>
      </c>
      <c r="R1222" s="9">
        <f t="shared" si="2608"/>
        <v>0</v>
      </c>
      <c r="S1222" s="9">
        <f t="shared" si="2608"/>
        <v>0</v>
      </c>
      <c r="T1222" s="9">
        <f t="shared" si="2608"/>
        <v>0</v>
      </c>
      <c r="U1222" s="9">
        <f t="shared" si="2608"/>
        <v>0</v>
      </c>
      <c r="V1222" s="9">
        <f t="shared" si="2608"/>
        <v>0</v>
      </c>
      <c r="W1222" s="9">
        <f t="shared" si="2608"/>
        <v>0</v>
      </c>
      <c r="X1222" s="9">
        <f t="shared" si="2608"/>
        <v>0</v>
      </c>
      <c r="Y1222" s="9">
        <f t="shared" si="2608"/>
        <v>0</v>
      </c>
      <c r="Z1222" s="9">
        <f t="shared" si="2608"/>
        <v>0</v>
      </c>
      <c r="AA1222" s="9">
        <f t="shared" si="2608"/>
        <v>575</v>
      </c>
      <c r="AB1222" s="9">
        <f t="shared" si="2608"/>
        <v>111</v>
      </c>
      <c r="AC1222" s="9">
        <f t="shared" si="2608"/>
        <v>234</v>
      </c>
      <c r="AD1222" s="9">
        <f t="shared" si="2608"/>
        <v>1958</v>
      </c>
      <c r="AE1222" s="9">
        <f t="shared" si="2608"/>
        <v>0</v>
      </c>
      <c r="AF1222" s="9">
        <f t="shared" si="2608"/>
        <v>1770</v>
      </c>
      <c r="AG1222" s="9">
        <f t="shared" si="2608"/>
        <v>0</v>
      </c>
      <c r="AH1222" s="9">
        <f t="shared" si="2608"/>
        <v>1608</v>
      </c>
      <c r="AI1222" s="9">
        <f t="shared" si="2608"/>
        <v>1610</v>
      </c>
      <c r="AJ1222" s="9">
        <f t="shared" ref="AJ1222:BO1222" si="2609">SUM(AJ1223:AJ1227)</f>
        <v>0</v>
      </c>
      <c r="AK1222" s="9">
        <f t="shared" si="2609"/>
        <v>0</v>
      </c>
      <c r="AL1222" s="9">
        <f t="shared" si="2609"/>
        <v>0</v>
      </c>
      <c r="AM1222" s="9">
        <f t="shared" si="2609"/>
        <v>0</v>
      </c>
      <c r="AN1222" s="9">
        <f t="shared" si="2609"/>
        <v>0</v>
      </c>
      <c r="AO1222" s="9">
        <f t="shared" si="2609"/>
        <v>0</v>
      </c>
      <c r="AP1222" s="9">
        <f t="shared" si="2609"/>
        <v>0</v>
      </c>
      <c r="AQ1222" s="9">
        <f t="shared" si="2609"/>
        <v>0</v>
      </c>
      <c r="AR1222" s="9">
        <f t="shared" si="2609"/>
        <v>0</v>
      </c>
      <c r="AS1222" s="9">
        <f t="shared" si="2609"/>
        <v>0</v>
      </c>
      <c r="AT1222" s="9">
        <f t="shared" si="2609"/>
        <v>0</v>
      </c>
      <c r="AU1222" s="9">
        <f t="shared" si="2609"/>
        <v>4900</v>
      </c>
      <c r="AV1222" s="9">
        <f t="shared" si="2609"/>
        <v>0</v>
      </c>
      <c r="AW1222" s="9">
        <f t="shared" si="2609"/>
        <v>0</v>
      </c>
      <c r="AX1222" s="9">
        <f t="shared" si="2609"/>
        <v>0</v>
      </c>
      <c r="AY1222" s="9">
        <f t="shared" si="2609"/>
        <v>0</v>
      </c>
      <c r="AZ1222" s="9">
        <f t="shared" si="2609"/>
        <v>0</v>
      </c>
      <c r="BA1222" s="9">
        <f t="shared" si="2609"/>
        <v>0</v>
      </c>
      <c r="BB1222" s="9">
        <f t="shared" si="2609"/>
        <v>0</v>
      </c>
      <c r="BC1222" s="9">
        <f t="shared" si="2609"/>
        <v>0</v>
      </c>
      <c r="BD1222" s="9">
        <f t="shared" si="2609"/>
        <v>0</v>
      </c>
      <c r="BE1222" s="9">
        <f t="shared" si="2609"/>
        <v>0</v>
      </c>
      <c r="BF1222" s="9">
        <f t="shared" si="2609"/>
        <v>0</v>
      </c>
      <c r="BG1222" s="9">
        <f t="shared" si="2609"/>
        <v>0</v>
      </c>
      <c r="BH1222" s="9">
        <f t="shared" si="2609"/>
        <v>0</v>
      </c>
      <c r="BI1222" s="9">
        <f t="shared" si="2609"/>
        <v>0</v>
      </c>
      <c r="BJ1222" s="4">
        <f t="shared" si="2609"/>
        <v>0</v>
      </c>
      <c r="BK1222" s="4">
        <f t="shared" si="2609"/>
        <v>0</v>
      </c>
      <c r="BL1222" s="4">
        <f t="shared" si="2609"/>
        <v>0</v>
      </c>
      <c r="BM1222" s="4">
        <f t="shared" si="2609"/>
        <v>0</v>
      </c>
      <c r="BN1222" s="4">
        <f t="shared" si="2609"/>
        <v>0</v>
      </c>
      <c r="BO1222" s="4">
        <f t="shared" si="2609"/>
        <v>0</v>
      </c>
      <c r="BP1222" s="4">
        <f>SUM(BP1223:BP1227)</f>
        <v>0</v>
      </c>
      <c r="BQ1222" s="4">
        <f>SUM(BQ1223:BQ1227)</f>
        <v>0</v>
      </c>
      <c r="BR1222" s="101"/>
      <c r="BS1222">
        <f t="shared" ref="BS1222:CX1222" si="2610">IF($C1222&lt;&gt;"",IF(D1222&gt;0,1,0),0)</f>
        <v>0</v>
      </c>
      <c r="BT1222">
        <f t="shared" si="2610"/>
        <v>0</v>
      </c>
      <c r="BU1222">
        <f t="shared" si="2610"/>
        <v>0</v>
      </c>
      <c r="BV1222">
        <f t="shared" si="2610"/>
        <v>0</v>
      </c>
      <c r="BW1222">
        <f t="shared" si="2610"/>
        <v>0</v>
      </c>
      <c r="BX1222">
        <f t="shared" si="2610"/>
        <v>1</v>
      </c>
      <c r="BY1222">
        <f t="shared" si="2610"/>
        <v>0</v>
      </c>
      <c r="BZ1222">
        <f t="shared" si="2610"/>
        <v>0</v>
      </c>
      <c r="CA1222">
        <f t="shared" si="2610"/>
        <v>0</v>
      </c>
      <c r="CB1222">
        <f t="shared" si="2610"/>
        <v>0</v>
      </c>
      <c r="CC1222">
        <f t="shared" si="2610"/>
        <v>0</v>
      </c>
      <c r="CD1222">
        <f t="shared" si="2610"/>
        <v>0</v>
      </c>
      <c r="CE1222">
        <f t="shared" si="2610"/>
        <v>0</v>
      </c>
      <c r="CF1222">
        <f t="shared" si="2610"/>
        <v>0</v>
      </c>
      <c r="CG1222">
        <f t="shared" si="2610"/>
        <v>0</v>
      </c>
      <c r="CH1222">
        <f t="shared" si="2610"/>
        <v>0</v>
      </c>
      <c r="CI1222">
        <f t="shared" si="2610"/>
        <v>0</v>
      </c>
      <c r="CJ1222">
        <f t="shared" si="2610"/>
        <v>0</v>
      </c>
      <c r="CK1222">
        <f t="shared" si="2610"/>
        <v>0</v>
      </c>
      <c r="CL1222">
        <f t="shared" si="2610"/>
        <v>0</v>
      </c>
      <c r="CM1222">
        <f t="shared" si="2610"/>
        <v>0</v>
      </c>
      <c r="CN1222">
        <f t="shared" si="2610"/>
        <v>0</v>
      </c>
      <c r="CO1222">
        <f t="shared" si="2610"/>
        <v>0</v>
      </c>
      <c r="CP1222">
        <f t="shared" si="2610"/>
        <v>1</v>
      </c>
      <c r="CQ1222">
        <f t="shared" si="2610"/>
        <v>1</v>
      </c>
      <c r="CR1222">
        <f t="shared" si="2610"/>
        <v>1</v>
      </c>
      <c r="CS1222">
        <f t="shared" si="2610"/>
        <v>1</v>
      </c>
      <c r="CT1222">
        <f t="shared" si="2610"/>
        <v>0</v>
      </c>
      <c r="CU1222">
        <f t="shared" si="2610"/>
        <v>1</v>
      </c>
      <c r="CV1222">
        <f t="shared" si="2610"/>
        <v>0</v>
      </c>
      <c r="CW1222">
        <f t="shared" si="2610"/>
        <v>1</v>
      </c>
      <c r="CX1222">
        <f t="shared" si="2610"/>
        <v>1</v>
      </c>
      <c r="CY1222">
        <f t="shared" ref="CY1222:EF1222" si="2611">IF($C1222&lt;&gt;"",IF(AJ1222&gt;0,1,0),0)</f>
        <v>0</v>
      </c>
      <c r="CZ1222">
        <f t="shared" si="2611"/>
        <v>0</v>
      </c>
      <c r="DA1222">
        <f t="shared" si="2611"/>
        <v>0</v>
      </c>
      <c r="DB1222">
        <f t="shared" si="2611"/>
        <v>0</v>
      </c>
      <c r="DC1222">
        <f t="shared" si="2611"/>
        <v>0</v>
      </c>
      <c r="DD1222">
        <f t="shared" si="2611"/>
        <v>0</v>
      </c>
      <c r="DE1222">
        <f t="shared" si="2611"/>
        <v>0</v>
      </c>
      <c r="DF1222">
        <f t="shared" si="2611"/>
        <v>0</v>
      </c>
      <c r="DG1222">
        <f t="shared" si="2611"/>
        <v>0</v>
      </c>
      <c r="DH1222">
        <f t="shared" si="2611"/>
        <v>0</v>
      </c>
      <c r="DI1222">
        <f t="shared" si="2611"/>
        <v>0</v>
      </c>
      <c r="DJ1222">
        <f t="shared" si="2611"/>
        <v>1</v>
      </c>
      <c r="DK1222">
        <f t="shared" si="2611"/>
        <v>0</v>
      </c>
      <c r="DL1222">
        <f t="shared" si="2611"/>
        <v>0</v>
      </c>
      <c r="DM1222">
        <f t="shared" si="2611"/>
        <v>0</v>
      </c>
      <c r="DN1222">
        <f t="shared" si="2611"/>
        <v>0</v>
      </c>
      <c r="DO1222">
        <f t="shared" si="2611"/>
        <v>0</v>
      </c>
      <c r="DP1222">
        <f t="shared" si="2611"/>
        <v>0</v>
      </c>
      <c r="DQ1222">
        <f t="shared" si="2611"/>
        <v>0</v>
      </c>
      <c r="DR1222">
        <f t="shared" si="2611"/>
        <v>0</v>
      </c>
      <c r="DS1222">
        <f t="shared" si="2611"/>
        <v>0</v>
      </c>
      <c r="DT1222">
        <f t="shared" si="2611"/>
        <v>0</v>
      </c>
      <c r="DU1222">
        <f t="shared" si="2611"/>
        <v>0</v>
      </c>
      <c r="DV1222">
        <f t="shared" si="2611"/>
        <v>0</v>
      </c>
      <c r="DW1222">
        <f t="shared" si="2611"/>
        <v>0</v>
      </c>
      <c r="DX1222">
        <f t="shared" si="2611"/>
        <v>0</v>
      </c>
      <c r="DY1222">
        <f t="shared" si="2611"/>
        <v>0</v>
      </c>
      <c r="DZ1222">
        <f t="shared" si="2611"/>
        <v>0</v>
      </c>
      <c r="EA1222">
        <f t="shared" si="2611"/>
        <v>0</v>
      </c>
      <c r="EB1222">
        <f>IF($C1222&lt;&gt;"",IF(BM1222&gt;0,1,0),0)</f>
        <v>0</v>
      </c>
      <c r="EC1222">
        <f t="shared" si="2611"/>
        <v>0</v>
      </c>
      <c r="ED1222">
        <f t="shared" si="2611"/>
        <v>0</v>
      </c>
      <c r="EE1222">
        <f t="shared" si="2611"/>
        <v>0</v>
      </c>
      <c r="EF1222">
        <f t="shared" si="2611"/>
        <v>0</v>
      </c>
    </row>
    <row r="1223" spans="1:136" ht="15.5">
      <c r="A1223" s="90"/>
      <c r="B1223" s="24" t="s">
        <v>15</v>
      </c>
      <c r="C1223" s="95"/>
      <c r="D1223" s="34">
        <v>0</v>
      </c>
      <c r="E1223" s="34">
        <v>0</v>
      </c>
      <c r="F1223" s="34">
        <v>0</v>
      </c>
      <c r="G1223" s="34">
        <v>0</v>
      </c>
      <c r="H1223" s="34">
        <v>0</v>
      </c>
      <c r="I1223" s="34">
        <v>15</v>
      </c>
      <c r="J1223" s="34">
        <v>0</v>
      </c>
      <c r="K1223" s="34">
        <v>0</v>
      </c>
      <c r="L1223" s="34">
        <v>0</v>
      </c>
      <c r="M1223" s="34">
        <v>0</v>
      </c>
      <c r="N1223" s="34">
        <v>0</v>
      </c>
      <c r="O1223" s="34">
        <v>0</v>
      </c>
      <c r="P1223" s="34">
        <v>0</v>
      </c>
      <c r="Q1223" s="34">
        <v>0</v>
      </c>
      <c r="R1223" s="34">
        <v>0</v>
      </c>
      <c r="S1223" s="34">
        <v>0</v>
      </c>
      <c r="T1223" s="34">
        <v>0</v>
      </c>
      <c r="U1223" s="34">
        <v>0</v>
      </c>
      <c r="V1223" s="34">
        <v>0</v>
      </c>
      <c r="W1223" s="34">
        <v>0</v>
      </c>
      <c r="X1223" s="34">
        <v>0</v>
      </c>
      <c r="Y1223" s="34">
        <v>0</v>
      </c>
      <c r="Z1223" s="34">
        <v>0</v>
      </c>
      <c r="AA1223" s="34">
        <v>0</v>
      </c>
      <c r="AB1223" s="34">
        <v>0</v>
      </c>
      <c r="AC1223" s="34">
        <v>0</v>
      </c>
      <c r="AD1223" s="34">
        <v>0</v>
      </c>
      <c r="AE1223" s="34">
        <v>0</v>
      </c>
      <c r="AF1223" s="34">
        <v>0</v>
      </c>
      <c r="AG1223" s="34">
        <v>0</v>
      </c>
      <c r="AH1223" s="34">
        <v>0</v>
      </c>
      <c r="AI1223" s="34">
        <v>0</v>
      </c>
      <c r="AJ1223" s="34">
        <v>0</v>
      </c>
      <c r="AK1223" s="34">
        <v>0</v>
      </c>
      <c r="AL1223" s="34">
        <v>0</v>
      </c>
      <c r="AM1223" s="34">
        <v>0</v>
      </c>
      <c r="AN1223" s="34">
        <v>0</v>
      </c>
      <c r="AO1223" s="34">
        <v>0</v>
      </c>
      <c r="AP1223" s="34">
        <v>0</v>
      </c>
      <c r="AQ1223" s="34">
        <v>0</v>
      </c>
      <c r="AR1223" s="34">
        <v>0</v>
      </c>
      <c r="AS1223" s="34">
        <v>0</v>
      </c>
      <c r="AT1223" s="34">
        <v>0</v>
      </c>
      <c r="AU1223" s="34">
        <v>0</v>
      </c>
      <c r="AV1223" s="34">
        <v>0</v>
      </c>
      <c r="AW1223" s="34">
        <v>0</v>
      </c>
      <c r="AX1223" s="34">
        <v>0</v>
      </c>
      <c r="AY1223" s="34">
        <v>0</v>
      </c>
      <c r="AZ1223" s="34">
        <v>0</v>
      </c>
      <c r="BA1223" s="34">
        <v>0</v>
      </c>
      <c r="BB1223" s="34">
        <v>0</v>
      </c>
      <c r="BC1223" s="34">
        <v>0</v>
      </c>
      <c r="BD1223" s="34">
        <v>0</v>
      </c>
      <c r="BE1223" s="34">
        <v>0</v>
      </c>
      <c r="BF1223" s="34">
        <v>0</v>
      </c>
      <c r="BG1223" s="34">
        <v>0</v>
      </c>
      <c r="BH1223" s="34">
        <v>0</v>
      </c>
      <c r="BI1223" s="34">
        <v>0</v>
      </c>
      <c r="BJ1223" s="113">
        <v>0</v>
      </c>
      <c r="BK1223" s="113">
        <v>0</v>
      </c>
      <c r="BL1223" s="113">
        <v>0</v>
      </c>
      <c r="BM1223" s="113">
        <v>0</v>
      </c>
      <c r="BN1223" s="113">
        <v>0</v>
      </c>
      <c r="BO1223" s="113">
        <v>0</v>
      </c>
      <c r="BP1223" s="113">
        <v>0</v>
      </c>
      <c r="BQ1223" s="113">
        <v>0</v>
      </c>
      <c r="BR1223" s="101"/>
      <c r="BS1223">
        <f t="shared" ref="BS1223:CB1227" si="2612">IF($C1223&lt;&gt;"",IF(D1223&gt;0,1,0),0)</f>
        <v>0</v>
      </c>
      <c r="BT1223">
        <f t="shared" si="2612"/>
        <v>0</v>
      </c>
      <c r="BU1223">
        <f t="shared" si="2612"/>
        <v>0</v>
      </c>
      <c r="BV1223">
        <f t="shared" si="2612"/>
        <v>0</v>
      </c>
      <c r="BW1223">
        <f t="shared" si="2612"/>
        <v>0</v>
      </c>
      <c r="BX1223">
        <f t="shared" si="2612"/>
        <v>0</v>
      </c>
      <c r="BY1223">
        <f t="shared" si="2612"/>
        <v>0</v>
      </c>
      <c r="BZ1223">
        <f t="shared" si="2612"/>
        <v>0</v>
      </c>
      <c r="CA1223">
        <f t="shared" si="2612"/>
        <v>0</v>
      </c>
      <c r="CB1223">
        <f t="shared" si="2612"/>
        <v>0</v>
      </c>
      <c r="CC1223">
        <f t="shared" ref="CC1223:CL1227" si="2613">IF($C1223&lt;&gt;"",IF(N1223&gt;0,1,0),0)</f>
        <v>0</v>
      </c>
      <c r="CD1223">
        <f t="shared" si="2613"/>
        <v>0</v>
      </c>
      <c r="CE1223">
        <f t="shared" si="2613"/>
        <v>0</v>
      </c>
      <c r="CF1223">
        <f t="shared" si="2613"/>
        <v>0</v>
      </c>
      <c r="CG1223">
        <f t="shared" si="2613"/>
        <v>0</v>
      </c>
      <c r="CH1223">
        <f t="shared" si="2613"/>
        <v>0</v>
      </c>
      <c r="CI1223">
        <f t="shared" si="2613"/>
        <v>0</v>
      </c>
      <c r="CJ1223">
        <f t="shared" si="2613"/>
        <v>0</v>
      </c>
      <c r="CK1223">
        <f t="shared" si="2613"/>
        <v>0</v>
      </c>
      <c r="CL1223">
        <f t="shared" si="2613"/>
        <v>0</v>
      </c>
      <c r="CM1223">
        <f t="shared" ref="CM1223:CV1227" si="2614">IF($C1223&lt;&gt;"",IF(X1223&gt;0,1,0),0)</f>
        <v>0</v>
      </c>
      <c r="CN1223">
        <f t="shared" si="2614"/>
        <v>0</v>
      </c>
      <c r="CO1223">
        <f t="shared" si="2614"/>
        <v>0</v>
      </c>
      <c r="CP1223">
        <f t="shared" si="2614"/>
        <v>0</v>
      </c>
      <c r="CQ1223">
        <f t="shared" si="2614"/>
        <v>0</v>
      </c>
      <c r="CR1223">
        <f t="shared" si="2614"/>
        <v>0</v>
      </c>
      <c r="CS1223">
        <f t="shared" si="2614"/>
        <v>0</v>
      </c>
      <c r="CT1223">
        <f t="shared" si="2614"/>
        <v>0</v>
      </c>
      <c r="CU1223">
        <f t="shared" si="2614"/>
        <v>0</v>
      </c>
      <c r="CV1223">
        <f t="shared" si="2614"/>
        <v>0</v>
      </c>
      <c r="CW1223">
        <f t="shared" ref="CW1223:DF1227" si="2615">IF($C1223&lt;&gt;"",IF(AH1223&gt;0,1,0),0)</f>
        <v>0</v>
      </c>
      <c r="CX1223">
        <f t="shared" si="2615"/>
        <v>0</v>
      </c>
      <c r="CY1223">
        <f t="shared" si="2615"/>
        <v>0</v>
      </c>
      <c r="CZ1223">
        <f t="shared" si="2615"/>
        <v>0</v>
      </c>
      <c r="DA1223">
        <f t="shared" si="2615"/>
        <v>0</v>
      </c>
      <c r="DB1223">
        <f t="shared" si="2615"/>
        <v>0</v>
      </c>
      <c r="DC1223">
        <f t="shared" si="2615"/>
        <v>0</v>
      </c>
      <c r="DD1223">
        <f t="shared" si="2615"/>
        <v>0</v>
      </c>
      <c r="DE1223">
        <f t="shared" si="2615"/>
        <v>0</v>
      </c>
      <c r="DF1223">
        <f t="shared" si="2615"/>
        <v>0</v>
      </c>
      <c r="DG1223">
        <f t="shared" ref="DG1223:DP1227" si="2616">IF($C1223&lt;&gt;"",IF(AR1223&gt;0,1,0),0)</f>
        <v>0</v>
      </c>
      <c r="DH1223">
        <f t="shared" si="2616"/>
        <v>0</v>
      </c>
      <c r="DI1223">
        <f t="shared" si="2616"/>
        <v>0</v>
      </c>
      <c r="DJ1223">
        <f t="shared" si="2616"/>
        <v>0</v>
      </c>
      <c r="DK1223">
        <f t="shared" si="2616"/>
        <v>0</v>
      </c>
      <c r="DL1223">
        <f t="shared" si="2616"/>
        <v>0</v>
      </c>
      <c r="DM1223">
        <f t="shared" si="2616"/>
        <v>0</v>
      </c>
      <c r="DN1223">
        <f t="shared" si="2616"/>
        <v>0</v>
      </c>
      <c r="DO1223">
        <f t="shared" si="2616"/>
        <v>0</v>
      </c>
      <c r="DP1223">
        <f t="shared" si="2616"/>
        <v>0</v>
      </c>
      <c r="DQ1223">
        <f t="shared" ref="DQ1223:DZ1227" si="2617">IF($C1223&lt;&gt;"",IF(BB1223&gt;0,1,0),0)</f>
        <v>0</v>
      </c>
      <c r="DR1223">
        <f t="shared" si="2617"/>
        <v>0</v>
      </c>
      <c r="DS1223">
        <f t="shared" si="2617"/>
        <v>0</v>
      </c>
      <c r="DT1223">
        <f t="shared" si="2617"/>
        <v>0</v>
      </c>
      <c r="DU1223">
        <f t="shared" si="2617"/>
        <v>0</v>
      </c>
      <c r="DV1223">
        <f t="shared" si="2617"/>
        <v>0</v>
      </c>
      <c r="DW1223">
        <f t="shared" si="2617"/>
        <v>0</v>
      </c>
      <c r="DX1223">
        <f t="shared" si="2617"/>
        <v>0</v>
      </c>
      <c r="DY1223">
        <f t="shared" si="2617"/>
        <v>0</v>
      </c>
      <c r="DZ1223">
        <f t="shared" si="2617"/>
        <v>0</v>
      </c>
      <c r="EA1223">
        <f t="shared" ref="EA1223:EF1227" si="2618">IF($C1223&lt;&gt;"",IF(BL1222&gt;0,1,0),0)</f>
        <v>0</v>
      </c>
      <c r="EB1223">
        <f>IF($C1223&lt;&gt;"",IF(BM1222&gt;0,1,0),0)</f>
        <v>0</v>
      </c>
      <c r="EC1223">
        <f t="shared" si="2618"/>
        <v>0</v>
      </c>
      <c r="ED1223">
        <f t="shared" si="2618"/>
        <v>0</v>
      </c>
      <c r="EE1223">
        <f t="shared" si="2618"/>
        <v>0</v>
      </c>
      <c r="EF1223">
        <f t="shared" si="2618"/>
        <v>0</v>
      </c>
    </row>
    <row r="1224" spans="1:136" ht="15.5">
      <c r="A1224" s="90"/>
      <c r="B1224" s="57" t="s">
        <v>3</v>
      </c>
      <c r="C1224" s="95"/>
      <c r="D1224" s="34">
        <v>0</v>
      </c>
      <c r="E1224" s="34">
        <v>0</v>
      </c>
      <c r="F1224" s="34">
        <v>0</v>
      </c>
      <c r="G1224" s="34">
        <v>0</v>
      </c>
      <c r="H1224" s="34">
        <v>0</v>
      </c>
      <c r="I1224" s="40" t="s">
        <v>16</v>
      </c>
      <c r="J1224" s="34">
        <v>0</v>
      </c>
      <c r="K1224" s="34">
        <v>0</v>
      </c>
      <c r="L1224" s="34">
        <v>0</v>
      </c>
      <c r="M1224" s="34">
        <v>0</v>
      </c>
      <c r="N1224" s="34">
        <v>0</v>
      </c>
      <c r="O1224" s="34">
        <v>0</v>
      </c>
      <c r="P1224" s="34">
        <v>0</v>
      </c>
      <c r="Q1224" s="34">
        <v>0</v>
      </c>
      <c r="R1224" s="34">
        <v>0</v>
      </c>
      <c r="S1224" s="34">
        <v>0</v>
      </c>
      <c r="T1224" s="34">
        <v>0</v>
      </c>
      <c r="U1224" s="34">
        <v>0</v>
      </c>
      <c r="V1224" s="34">
        <v>0</v>
      </c>
      <c r="W1224" s="34">
        <v>0</v>
      </c>
      <c r="X1224" s="34">
        <v>0</v>
      </c>
      <c r="Y1224" s="34">
        <v>0</v>
      </c>
      <c r="Z1224" s="34">
        <v>0</v>
      </c>
      <c r="AA1224" s="34">
        <v>0</v>
      </c>
      <c r="AB1224" s="34">
        <v>0</v>
      </c>
      <c r="AC1224" s="34">
        <v>0</v>
      </c>
      <c r="AD1224" s="34">
        <v>0</v>
      </c>
      <c r="AE1224" s="34">
        <v>0</v>
      </c>
      <c r="AF1224" s="34">
        <v>0</v>
      </c>
      <c r="AG1224" s="34">
        <v>0</v>
      </c>
      <c r="AH1224" s="34">
        <v>0</v>
      </c>
      <c r="AI1224" s="34">
        <v>0</v>
      </c>
      <c r="AJ1224" s="34">
        <v>0</v>
      </c>
      <c r="AK1224" s="34">
        <v>0</v>
      </c>
      <c r="AL1224" s="34">
        <v>0</v>
      </c>
      <c r="AM1224" s="34">
        <v>0</v>
      </c>
      <c r="AN1224" s="34">
        <v>0</v>
      </c>
      <c r="AO1224" s="34">
        <v>0</v>
      </c>
      <c r="AP1224" s="34">
        <v>0</v>
      </c>
      <c r="AQ1224" s="34">
        <v>0</v>
      </c>
      <c r="AR1224" s="34">
        <v>0</v>
      </c>
      <c r="AS1224" s="34">
        <v>0</v>
      </c>
      <c r="AT1224" s="34">
        <v>0</v>
      </c>
      <c r="AU1224" s="34">
        <v>0</v>
      </c>
      <c r="AV1224" s="34">
        <v>0</v>
      </c>
      <c r="AW1224" s="34">
        <v>0</v>
      </c>
      <c r="AX1224" s="34">
        <v>0</v>
      </c>
      <c r="AY1224" s="34">
        <v>0</v>
      </c>
      <c r="AZ1224" s="34">
        <v>0</v>
      </c>
      <c r="BA1224" s="34">
        <v>0</v>
      </c>
      <c r="BB1224" s="34">
        <v>0</v>
      </c>
      <c r="BC1224" s="34">
        <v>0</v>
      </c>
      <c r="BD1224" s="34">
        <v>0</v>
      </c>
      <c r="BE1224" s="42">
        <v>0</v>
      </c>
      <c r="BF1224" s="34">
        <v>0</v>
      </c>
      <c r="BG1224" s="34">
        <v>0</v>
      </c>
      <c r="BH1224" s="34">
        <v>0</v>
      </c>
      <c r="BI1224" s="34">
        <v>0</v>
      </c>
      <c r="BJ1224" s="113">
        <v>0</v>
      </c>
      <c r="BK1224" s="113">
        <v>0</v>
      </c>
      <c r="BL1224" s="113">
        <v>0</v>
      </c>
      <c r="BM1224" s="113">
        <v>0</v>
      </c>
      <c r="BN1224" s="113">
        <v>0</v>
      </c>
      <c r="BO1224" s="113">
        <v>0</v>
      </c>
      <c r="BP1224" s="113">
        <v>0</v>
      </c>
      <c r="BQ1224" s="113">
        <v>0</v>
      </c>
      <c r="BR1224" s="101"/>
      <c r="BS1224">
        <f t="shared" si="2612"/>
        <v>0</v>
      </c>
      <c r="BT1224">
        <f t="shared" si="2612"/>
        <v>0</v>
      </c>
      <c r="BU1224">
        <f t="shared" si="2612"/>
        <v>0</v>
      </c>
      <c r="BV1224">
        <f t="shared" si="2612"/>
        <v>0</v>
      </c>
      <c r="BW1224">
        <f t="shared" si="2612"/>
        <v>0</v>
      </c>
      <c r="BX1224">
        <f t="shared" si="2612"/>
        <v>0</v>
      </c>
      <c r="BY1224">
        <f t="shared" si="2612"/>
        <v>0</v>
      </c>
      <c r="BZ1224">
        <f t="shared" si="2612"/>
        <v>0</v>
      </c>
      <c r="CA1224">
        <f t="shared" si="2612"/>
        <v>0</v>
      </c>
      <c r="CB1224">
        <f t="shared" si="2612"/>
        <v>0</v>
      </c>
      <c r="CC1224">
        <f t="shared" si="2613"/>
        <v>0</v>
      </c>
      <c r="CD1224">
        <f t="shared" si="2613"/>
        <v>0</v>
      </c>
      <c r="CE1224">
        <f t="shared" si="2613"/>
        <v>0</v>
      </c>
      <c r="CF1224">
        <f t="shared" si="2613"/>
        <v>0</v>
      </c>
      <c r="CG1224">
        <f t="shared" si="2613"/>
        <v>0</v>
      </c>
      <c r="CH1224">
        <f t="shared" si="2613"/>
        <v>0</v>
      </c>
      <c r="CI1224">
        <f t="shared" si="2613"/>
        <v>0</v>
      </c>
      <c r="CJ1224">
        <f t="shared" si="2613"/>
        <v>0</v>
      </c>
      <c r="CK1224">
        <f t="shared" si="2613"/>
        <v>0</v>
      </c>
      <c r="CL1224">
        <f t="shared" si="2613"/>
        <v>0</v>
      </c>
      <c r="CM1224">
        <f t="shared" si="2614"/>
        <v>0</v>
      </c>
      <c r="CN1224">
        <f t="shared" si="2614"/>
        <v>0</v>
      </c>
      <c r="CO1224">
        <f t="shared" si="2614"/>
        <v>0</v>
      </c>
      <c r="CP1224">
        <f t="shared" si="2614"/>
        <v>0</v>
      </c>
      <c r="CQ1224">
        <f t="shared" si="2614"/>
        <v>0</v>
      </c>
      <c r="CR1224">
        <f t="shared" si="2614"/>
        <v>0</v>
      </c>
      <c r="CS1224">
        <f t="shared" si="2614"/>
        <v>0</v>
      </c>
      <c r="CT1224">
        <f t="shared" si="2614"/>
        <v>0</v>
      </c>
      <c r="CU1224">
        <f t="shared" si="2614"/>
        <v>0</v>
      </c>
      <c r="CV1224">
        <f t="shared" si="2614"/>
        <v>0</v>
      </c>
      <c r="CW1224">
        <f t="shared" si="2615"/>
        <v>0</v>
      </c>
      <c r="CX1224">
        <f t="shared" si="2615"/>
        <v>0</v>
      </c>
      <c r="CY1224">
        <f t="shared" si="2615"/>
        <v>0</v>
      </c>
      <c r="CZ1224">
        <f t="shared" si="2615"/>
        <v>0</v>
      </c>
      <c r="DA1224">
        <f t="shared" si="2615"/>
        <v>0</v>
      </c>
      <c r="DB1224">
        <f t="shared" si="2615"/>
        <v>0</v>
      </c>
      <c r="DC1224">
        <f t="shared" si="2615"/>
        <v>0</v>
      </c>
      <c r="DD1224">
        <f t="shared" si="2615"/>
        <v>0</v>
      </c>
      <c r="DE1224">
        <f t="shared" si="2615"/>
        <v>0</v>
      </c>
      <c r="DF1224">
        <f t="shared" si="2615"/>
        <v>0</v>
      </c>
      <c r="DG1224">
        <f t="shared" si="2616"/>
        <v>0</v>
      </c>
      <c r="DH1224">
        <f t="shared" si="2616"/>
        <v>0</v>
      </c>
      <c r="DI1224">
        <f t="shared" si="2616"/>
        <v>0</v>
      </c>
      <c r="DJ1224">
        <f t="shared" si="2616"/>
        <v>0</v>
      </c>
      <c r="DK1224">
        <f t="shared" si="2616"/>
        <v>0</v>
      </c>
      <c r="DL1224">
        <f t="shared" si="2616"/>
        <v>0</v>
      </c>
      <c r="DM1224">
        <f t="shared" si="2616"/>
        <v>0</v>
      </c>
      <c r="DN1224">
        <f t="shared" si="2616"/>
        <v>0</v>
      </c>
      <c r="DO1224">
        <f t="shared" si="2616"/>
        <v>0</v>
      </c>
      <c r="DP1224">
        <f t="shared" si="2616"/>
        <v>0</v>
      </c>
      <c r="DQ1224">
        <f t="shared" si="2617"/>
        <v>0</v>
      </c>
      <c r="DR1224">
        <f t="shared" si="2617"/>
        <v>0</v>
      </c>
      <c r="DS1224">
        <f t="shared" si="2617"/>
        <v>0</v>
      </c>
      <c r="DT1224">
        <f t="shared" si="2617"/>
        <v>0</v>
      </c>
      <c r="DU1224">
        <f t="shared" si="2617"/>
        <v>0</v>
      </c>
      <c r="DV1224">
        <f t="shared" si="2617"/>
        <v>0</v>
      </c>
      <c r="DW1224">
        <f t="shared" si="2617"/>
        <v>0</v>
      </c>
      <c r="DX1224">
        <f t="shared" si="2617"/>
        <v>0</v>
      </c>
      <c r="DY1224">
        <f t="shared" si="2617"/>
        <v>0</v>
      </c>
      <c r="DZ1224">
        <f t="shared" si="2617"/>
        <v>0</v>
      </c>
      <c r="EA1224">
        <f t="shared" si="2618"/>
        <v>0</v>
      </c>
      <c r="EB1224">
        <f>IF($C1224&lt;&gt;"",IF(BM1223&gt;0,1,0),0)</f>
        <v>0</v>
      </c>
      <c r="EC1224">
        <f t="shared" si="2618"/>
        <v>0</v>
      </c>
      <c r="ED1224">
        <f t="shared" si="2618"/>
        <v>0</v>
      </c>
      <c r="EE1224">
        <f t="shared" si="2618"/>
        <v>0</v>
      </c>
      <c r="EF1224">
        <f t="shared" si="2618"/>
        <v>0</v>
      </c>
    </row>
    <row r="1225" spans="1:136" ht="15.5">
      <c r="A1225" s="90"/>
      <c r="B1225" s="19" t="s">
        <v>18</v>
      </c>
      <c r="C1225" s="96"/>
      <c r="D1225" s="18">
        <v>0</v>
      </c>
      <c r="E1225" s="18">
        <v>0</v>
      </c>
      <c r="F1225" s="18">
        <v>0</v>
      </c>
      <c r="G1225" s="18">
        <v>0</v>
      </c>
      <c r="H1225" s="18">
        <v>0</v>
      </c>
      <c r="I1225" s="18">
        <v>126.9</v>
      </c>
      <c r="J1225" s="18">
        <v>0</v>
      </c>
      <c r="K1225" s="18">
        <v>0</v>
      </c>
      <c r="L1225" s="18">
        <v>0</v>
      </c>
      <c r="M1225" s="18">
        <v>0</v>
      </c>
      <c r="N1225" s="18">
        <v>0</v>
      </c>
      <c r="O1225" s="18">
        <v>0</v>
      </c>
      <c r="P1225" s="18">
        <v>0</v>
      </c>
      <c r="Q1225" s="18">
        <v>0</v>
      </c>
      <c r="R1225" s="18">
        <v>0</v>
      </c>
      <c r="S1225" s="18">
        <v>0</v>
      </c>
      <c r="T1225" s="18">
        <v>0</v>
      </c>
      <c r="U1225" s="18">
        <v>0</v>
      </c>
      <c r="V1225" s="18">
        <v>0</v>
      </c>
      <c r="W1225" s="18">
        <v>0</v>
      </c>
      <c r="X1225" s="18">
        <v>0</v>
      </c>
      <c r="Y1225" s="18">
        <v>0</v>
      </c>
      <c r="Z1225" s="18">
        <v>0</v>
      </c>
      <c r="AA1225" s="18">
        <v>575</v>
      </c>
      <c r="AB1225" s="18">
        <v>111</v>
      </c>
      <c r="AC1225" s="18">
        <v>234</v>
      </c>
      <c r="AD1225" s="18">
        <v>1958</v>
      </c>
      <c r="AE1225" s="18">
        <v>0</v>
      </c>
      <c r="AF1225" s="18">
        <v>1770</v>
      </c>
      <c r="AG1225" s="18">
        <v>0</v>
      </c>
      <c r="AH1225" s="18">
        <v>1608</v>
      </c>
      <c r="AI1225" s="18">
        <v>1610</v>
      </c>
      <c r="AJ1225" s="18">
        <v>0</v>
      </c>
      <c r="AK1225" s="18">
        <v>0</v>
      </c>
      <c r="AL1225" s="18">
        <v>0</v>
      </c>
      <c r="AM1225" s="18">
        <v>0</v>
      </c>
      <c r="AN1225" s="18">
        <v>0</v>
      </c>
      <c r="AO1225" s="18">
        <v>0</v>
      </c>
      <c r="AP1225" s="18">
        <v>0</v>
      </c>
      <c r="AQ1225" s="18">
        <v>0</v>
      </c>
      <c r="AR1225" s="18">
        <v>0</v>
      </c>
      <c r="AS1225" s="18">
        <v>0</v>
      </c>
      <c r="AT1225" s="18">
        <v>0</v>
      </c>
      <c r="AU1225" s="18">
        <v>0</v>
      </c>
      <c r="AV1225" s="18">
        <v>0</v>
      </c>
      <c r="AW1225" s="18">
        <v>0</v>
      </c>
      <c r="AX1225" s="18">
        <v>0</v>
      </c>
      <c r="AY1225" s="18">
        <v>0</v>
      </c>
      <c r="AZ1225" s="18">
        <v>0</v>
      </c>
      <c r="BA1225" s="18">
        <v>0</v>
      </c>
      <c r="BB1225" s="18">
        <v>0</v>
      </c>
      <c r="BC1225" s="18">
        <v>0</v>
      </c>
      <c r="BD1225" s="18">
        <v>0</v>
      </c>
      <c r="BE1225" s="25">
        <v>0</v>
      </c>
      <c r="BF1225" s="18">
        <v>0</v>
      </c>
      <c r="BG1225" s="18">
        <v>0</v>
      </c>
      <c r="BH1225" s="18">
        <v>0</v>
      </c>
      <c r="BI1225" s="18">
        <v>0</v>
      </c>
      <c r="BJ1225" s="113">
        <v>0</v>
      </c>
      <c r="BK1225" s="113">
        <v>0</v>
      </c>
      <c r="BL1225" s="113">
        <v>0</v>
      </c>
      <c r="BM1225" s="113">
        <v>0</v>
      </c>
      <c r="BN1225" s="113">
        <v>0</v>
      </c>
      <c r="BO1225" s="113">
        <v>0</v>
      </c>
      <c r="BP1225" s="113">
        <v>0</v>
      </c>
      <c r="BQ1225" s="113">
        <v>0</v>
      </c>
      <c r="BR1225" s="101"/>
      <c r="BS1225">
        <f t="shared" si="2612"/>
        <v>0</v>
      </c>
      <c r="BT1225">
        <f t="shared" si="2612"/>
        <v>0</v>
      </c>
      <c r="BU1225">
        <f t="shared" si="2612"/>
        <v>0</v>
      </c>
      <c r="BV1225">
        <f t="shared" si="2612"/>
        <v>0</v>
      </c>
      <c r="BW1225">
        <f t="shared" si="2612"/>
        <v>0</v>
      </c>
      <c r="BX1225">
        <f t="shared" si="2612"/>
        <v>0</v>
      </c>
      <c r="BY1225">
        <f t="shared" si="2612"/>
        <v>0</v>
      </c>
      <c r="BZ1225">
        <f t="shared" si="2612"/>
        <v>0</v>
      </c>
      <c r="CA1225">
        <f t="shared" si="2612"/>
        <v>0</v>
      </c>
      <c r="CB1225">
        <f t="shared" si="2612"/>
        <v>0</v>
      </c>
      <c r="CC1225">
        <f t="shared" si="2613"/>
        <v>0</v>
      </c>
      <c r="CD1225">
        <f t="shared" si="2613"/>
        <v>0</v>
      </c>
      <c r="CE1225">
        <f t="shared" si="2613"/>
        <v>0</v>
      </c>
      <c r="CF1225">
        <f t="shared" si="2613"/>
        <v>0</v>
      </c>
      <c r="CG1225">
        <f t="shared" si="2613"/>
        <v>0</v>
      </c>
      <c r="CH1225">
        <f t="shared" si="2613"/>
        <v>0</v>
      </c>
      <c r="CI1225">
        <f t="shared" si="2613"/>
        <v>0</v>
      </c>
      <c r="CJ1225">
        <f t="shared" si="2613"/>
        <v>0</v>
      </c>
      <c r="CK1225">
        <f t="shared" si="2613"/>
        <v>0</v>
      </c>
      <c r="CL1225">
        <f t="shared" si="2613"/>
        <v>0</v>
      </c>
      <c r="CM1225">
        <f t="shared" si="2614"/>
        <v>0</v>
      </c>
      <c r="CN1225">
        <f t="shared" si="2614"/>
        <v>0</v>
      </c>
      <c r="CO1225">
        <f t="shared" si="2614"/>
        <v>0</v>
      </c>
      <c r="CP1225">
        <f t="shared" si="2614"/>
        <v>0</v>
      </c>
      <c r="CQ1225">
        <f t="shared" si="2614"/>
        <v>0</v>
      </c>
      <c r="CR1225">
        <f t="shared" si="2614"/>
        <v>0</v>
      </c>
      <c r="CS1225">
        <f t="shared" si="2614"/>
        <v>0</v>
      </c>
      <c r="CT1225">
        <f t="shared" si="2614"/>
        <v>0</v>
      </c>
      <c r="CU1225">
        <f t="shared" si="2614"/>
        <v>0</v>
      </c>
      <c r="CV1225">
        <f t="shared" si="2614"/>
        <v>0</v>
      </c>
      <c r="CW1225">
        <f t="shared" si="2615"/>
        <v>0</v>
      </c>
      <c r="CX1225">
        <f t="shared" si="2615"/>
        <v>0</v>
      </c>
      <c r="CY1225">
        <f t="shared" si="2615"/>
        <v>0</v>
      </c>
      <c r="CZ1225">
        <f t="shared" si="2615"/>
        <v>0</v>
      </c>
      <c r="DA1225">
        <f t="shared" si="2615"/>
        <v>0</v>
      </c>
      <c r="DB1225">
        <f t="shared" si="2615"/>
        <v>0</v>
      </c>
      <c r="DC1225">
        <f t="shared" si="2615"/>
        <v>0</v>
      </c>
      <c r="DD1225">
        <f t="shared" si="2615"/>
        <v>0</v>
      </c>
      <c r="DE1225">
        <f t="shared" si="2615"/>
        <v>0</v>
      </c>
      <c r="DF1225">
        <f t="shared" si="2615"/>
        <v>0</v>
      </c>
      <c r="DG1225">
        <f t="shared" si="2616"/>
        <v>0</v>
      </c>
      <c r="DH1225">
        <f t="shared" si="2616"/>
        <v>0</v>
      </c>
      <c r="DI1225">
        <f t="shared" si="2616"/>
        <v>0</v>
      </c>
      <c r="DJ1225">
        <f t="shared" si="2616"/>
        <v>0</v>
      </c>
      <c r="DK1225">
        <f t="shared" si="2616"/>
        <v>0</v>
      </c>
      <c r="DL1225">
        <f t="shared" si="2616"/>
        <v>0</v>
      </c>
      <c r="DM1225">
        <f t="shared" si="2616"/>
        <v>0</v>
      </c>
      <c r="DN1225">
        <f t="shared" si="2616"/>
        <v>0</v>
      </c>
      <c r="DO1225">
        <f t="shared" si="2616"/>
        <v>0</v>
      </c>
      <c r="DP1225">
        <f t="shared" si="2616"/>
        <v>0</v>
      </c>
      <c r="DQ1225">
        <f t="shared" si="2617"/>
        <v>0</v>
      </c>
      <c r="DR1225">
        <f t="shared" si="2617"/>
        <v>0</v>
      </c>
      <c r="DS1225">
        <f t="shared" si="2617"/>
        <v>0</v>
      </c>
      <c r="DT1225">
        <f t="shared" si="2617"/>
        <v>0</v>
      </c>
      <c r="DU1225">
        <f t="shared" si="2617"/>
        <v>0</v>
      </c>
      <c r="DV1225">
        <f t="shared" si="2617"/>
        <v>0</v>
      </c>
      <c r="DW1225">
        <f t="shared" si="2617"/>
        <v>0</v>
      </c>
      <c r="DX1225">
        <f t="shared" si="2617"/>
        <v>0</v>
      </c>
      <c r="DY1225">
        <f t="shared" si="2617"/>
        <v>0</v>
      </c>
      <c r="DZ1225">
        <f t="shared" si="2617"/>
        <v>0</v>
      </c>
      <c r="EA1225">
        <f t="shared" si="2618"/>
        <v>0</v>
      </c>
      <c r="EB1225">
        <f>IF($C1225&lt;&gt;"",IF(BM1224&gt;0,1,0),0)</f>
        <v>0</v>
      </c>
      <c r="EC1225">
        <f t="shared" si="2618"/>
        <v>0</v>
      </c>
      <c r="ED1225">
        <f t="shared" si="2618"/>
        <v>0</v>
      </c>
      <c r="EE1225">
        <f t="shared" si="2618"/>
        <v>0</v>
      </c>
      <c r="EF1225">
        <f t="shared" si="2618"/>
        <v>0</v>
      </c>
    </row>
    <row r="1226" spans="1:136" ht="15.5">
      <c r="A1226" s="90"/>
      <c r="B1226" s="53" t="s">
        <v>25</v>
      </c>
      <c r="C1226" s="94"/>
      <c r="D1226" s="18">
        <v>0</v>
      </c>
      <c r="E1226" s="18">
        <v>0</v>
      </c>
      <c r="F1226" s="18">
        <v>0</v>
      </c>
      <c r="G1226" s="18">
        <v>0</v>
      </c>
      <c r="H1226" s="18">
        <v>0</v>
      </c>
      <c r="I1226" s="18">
        <v>0</v>
      </c>
      <c r="J1226" s="18">
        <v>0</v>
      </c>
      <c r="K1226" s="18">
        <v>0</v>
      </c>
      <c r="L1226" s="18">
        <v>0</v>
      </c>
      <c r="M1226" s="18">
        <v>0</v>
      </c>
      <c r="N1226" s="18">
        <v>0</v>
      </c>
      <c r="O1226" s="18">
        <v>0</v>
      </c>
      <c r="P1226" s="18">
        <v>0</v>
      </c>
      <c r="Q1226" s="18">
        <v>0</v>
      </c>
      <c r="R1226" s="18">
        <v>0</v>
      </c>
      <c r="S1226" s="18">
        <v>0</v>
      </c>
      <c r="T1226" s="18">
        <v>0</v>
      </c>
      <c r="U1226" s="18">
        <v>0</v>
      </c>
      <c r="V1226" s="18">
        <v>0</v>
      </c>
      <c r="W1226" s="18">
        <v>0</v>
      </c>
      <c r="X1226" s="18">
        <v>0</v>
      </c>
      <c r="Y1226" s="18">
        <v>0</v>
      </c>
      <c r="Z1226" s="18">
        <v>0</v>
      </c>
      <c r="AA1226" s="18">
        <v>0</v>
      </c>
      <c r="AB1226" s="18">
        <v>0</v>
      </c>
      <c r="AC1226" s="18">
        <v>0</v>
      </c>
      <c r="AD1226" s="18">
        <v>0</v>
      </c>
      <c r="AE1226" s="18">
        <v>0</v>
      </c>
      <c r="AF1226" s="18">
        <v>0</v>
      </c>
      <c r="AG1226" s="18">
        <v>0</v>
      </c>
      <c r="AH1226" s="18">
        <v>0</v>
      </c>
      <c r="AI1226" s="18">
        <v>0</v>
      </c>
      <c r="AJ1226" s="18">
        <v>0</v>
      </c>
      <c r="AK1226" s="18">
        <v>0</v>
      </c>
      <c r="AL1226" s="18">
        <v>0</v>
      </c>
      <c r="AM1226" s="18">
        <v>0</v>
      </c>
      <c r="AN1226" s="18">
        <v>0</v>
      </c>
      <c r="AO1226" s="18">
        <v>0</v>
      </c>
      <c r="AP1226" s="18">
        <v>0</v>
      </c>
      <c r="AQ1226" s="18">
        <v>0</v>
      </c>
      <c r="AR1226" s="18">
        <v>0</v>
      </c>
      <c r="AS1226" s="18">
        <v>0</v>
      </c>
      <c r="AT1226" s="18">
        <v>0</v>
      </c>
      <c r="AU1226" s="18">
        <v>4900</v>
      </c>
      <c r="AV1226" s="18">
        <v>0</v>
      </c>
      <c r="AW1226" s="18">
        <v>0</v>
      </c>
      <c r="AX1226" s="18">
        <v>0</v>
      </c>
      <c r="AY1226" s="18">
        <v>0</v>
      </c>
      <c r="AZ1226" s="18">
        <v>0</v>
      </c>
      <c r="BA1226" s="18">
        <v>0</v>
      </c>
      <c r="BB1226" s="18">
        <v>0</v>
      </c>
      <c r="BC1226" s="18">
        <v>0</v>
      </c>
      <c r="BD1226" s="18">
        <v>0</v>
      </c>
      <c r="BE1226" s="25">
        <v>0</v>
      </c>
      <c r="BF1226" s="18">
        <v>0</v>
      </c>
      <c r="BG1226" s="18">
        <v>0</v>
      </c>
      <c r="BH1226" s="18">
        <v>0</v>
      </c>
      <c r="BI1226" s="18">
        <v>0</v>
      </c>
      <c r="BJ1226" s="113">
        <v>0</v>
      </c>
      <c r="BK1226" s="113">
        <v>0</v>
      </c>
      <c r="BL1226" s="113">
        <v>0</v>
      </c>
      <c r="BM1226" s="113">
        <v>0</v>
      </c>
      <c r="BN1226" s="113">
        <v>0</v>
      </c>
      <c r="BO1226" s="113">
        <v>0</v>
      </c>
      <c r="BP1226" s="113">
        <v>0</v>
      </c>
      <c r="BQ1226" s="113">
        <v>0</v>
      </c>
      <c r="BR1226" s="101"/>
      <c r="BS1226">
        <f t="shared" si="2612"/>
        <v>0</v>
      </c>
      <c r="BT1226">
        <f t="shared" si="2612"/>
        <v>0</v>
      </c>
      <c r="BU1226">
        <f t="shared" si="2612"/>
        <v>0</v>
      </c>
      <c r="BV1226">
        <f t="shared" si="2612"/>
        <v>0</v>
      </c>
      <c r="BW1226">
        <f t="shared" si="2612"/>
        <v>0</v>
      </c>
      <c r="BX1226">
        <f t="shared" si="2612"/>
        <v>0</v>
      </c>
      <c r="BY1226">
        <f t="shared" si="2612"/>
        <v>0</v>
      </c>
      <c r="BZ1226">
        <f t="shared" si="2612"/>
        <v>0</v>
      </c>
      <c r="CA1226">
        <f t="shared" si="2612"/>
        <v>0</v>
      </c>
      <c r="CB1226">
        <f t="shared" si="2612"/>
        <v>0</v>
      </c>
      <c r="CC1226">
        <f t="shared" si="2613"/>
        <v>0</v>
      </c>
      <c r="CD1226">
        <f t="shared" si="2613"/>
        <v>0</v>
      </c>
      <c r="CE1226">
        <f t="shared" si="2613"/>
        <v>0</v>
      </c>
      <c r="CF1226">
        <f t="shared" si="2613"/>
        <v>0</v>
      </c>
      <c r="CG1226">
        <f t="shared" si="2613"/>
        <v>0</v>
      </c>
      <c r="CH1226">
        <f t="shared" si="2613"/>
        <v>0</v>
      </c>
      <c r="CI1226">
        <f t="shared" si="2613"/>
        <v>0</v>
      </c>
      <c r="CJ1226">
        <f t="shared" si="2613"/>
        <v>0</v>
      </c>
      <c r="CK1226">
        <f t="shared" si="2613"/>
        <v>0</v>
      </c>
      <c r="CL1226">
        <f t="shared" si="2613"/>
        <v>0</v>
      </c>
      <c r="CM1226">
        <f t="shared" si="2614"/>
        <v>0</v>
      </c>
      <c r="CN1226">
        <f t="shared" si="2614"/>
        <v>0</v>
      </c>
      <c r="CO1226">
        <f t="shared" si="2614"/>
        <v>0</v>
      </c>
      <c r="CP1226">
        <f t="shared" si="2614"/>
        <v>0</v>
      </c>
      <c r="CQ1226">
        <f t="shared" si="2614"/>
        <v>0</v>
      </c>
      <c r="CR1226">
        <f t="shared" si="2614"/>
        <v>0</v>
      </c>
      <c r="CS1226">
        <f t="shared" si="2614"/>
        <v>0</v>
      </c>
      <c r="CT1226">
        <f t="shared" si="2614"/>
        <v>0</v>
      </c>
      <c r="CU1226">
        <f t="shared" si="2614"/>
        <v>0</v>
      </c>
      <c r="CV1226">
        <f t="shared" si="2614"/>
        <v>0</v>
      </c>
      <c r="CW1226">
        <f t="shared" si="2615"/>
        <v>0</v>
      </c>
      <c r="CX1226">
        <f t="shared" si="2615"/>
        <v>0</v>
      </c>
      <c r="CY1226">
        <f t="shared" si="2615"/>
        <v>0</v>
      </c>
      <c r="CZ1226">
        <f t="shared" si="2615"/>
        <v>0</v>
      </c>
      <c r="DA1226">
        <f t="shared" si="2615"/>
        <v>0</v>
      </c>
      <c r="DB1226">
        <f t="shared" si="2615"/>
        <v>0</v>
      </c>
      <c r="DC1226">
        <f t="shared" si="2615"/>
        <v>0</v>
      </c>
      <c r="DD1226">
        <f t="shared" si="2615"/>
        <v>0</v>
      </c>
      <c r="DE1226">
        <f t="shared" si="2615"/>
        <v>0</v>
      </c>
      <c r="DF1226">
        <f t="shared" si="2615"/>
        <v>0</v>
      </c>
      <c r="DG1226">
        <f t="shared" si="2616"/>
        <v>0</v>
      </c>
      <c r="DH1226">
        <f t="shared" si="2616"/>
        <v>0</v>
      </c>
      <c r="DI1226">
        <f t="shared" si="2616"/>
        <v>0</v>
      </c>
      <c r="DJ1226">
        <f t="shared" si="2616"/>
        <v>0</v>
      </c>
      <c r="DK1226">
        <f t="shared" si="2616"/>
        <v>0</v>
      </c>
      <c r="DL1226">
        <f t="shared" si="2616"/>
        <v>0</v>
      </c>
      <c r="DM1226">
        <f t="shared" si="2616"/>
        <v>0</v>
      </c>
      <c r="DN1226">
        <f t="shared" si="2616"/>
        <v>0</v>
      </c>
      <c r="DO1226">
        <f t="shared" si="2616"/>
        <v>0</v>
      </c>
      <c r="DP1226">
        <f t="shared" si="2616"/>
        <v>0</v>
      </c>
      <c r="DQ1226">
        <f t="shared" si="2617"/>
        <v>0</v>
      </c>
      <c r="DR1226">
        <f t="shared" si="2617"/>
        <v>0</v>
      </c>
      <c r="DS1226">
        <f t="shared" si="2617"/>
        <v>0</v>
      </c>
      <c r="DT1226">
        <f t="shared" si="2617"/>
        <v>0</v>
      </c>
      <c r="DU1226">
        <f t="shared" si="2617"/>
        <v>0</v>
      </c>
      <c r="DV1226">
        <f t="shared" si="2617"/>
        <v>0</v>
      </c>
      <c r="DW1226">
        <f t="shared" si="2617"/>
        <v>0</v>
      </c>
      <c r="DX1226">
        <f t="shared" si="2617"/>
        <v>0</v>
      </c>
      <c r="DY1226">
        <f t="shared" si="2617"/>
        <v>0</v>
      </c>
      <c r="DZ1226">
        <f t="shared" si="2617"/>
        <v>0</v>
      </c>
      <c r="EA1226">
        <f t="shared" si="2618"/>
        <v>0</v>
      </c>
      <c r="EB1226">
        <f>IF($C1226&lt;&gt;"",IF(BM1225&gt;0,1,0),0)</f>
        <v>0</v>
      </c>
      <c r="EC1226">
        <f t="shared" si="2618"/>
        <v>0</v>
      </c>
      <c r="ED1226">
        <f t="shared" si="2618"/>
        <v>0</v>
      </c>
      <c r="EE1226">
        <f t="shared" si="2618"/>
        <v>0</v>
      </c>
      <c r="EF1226">
        <f t="shared" si="2618"/>
        <v>0</v>
      </c>
    </row>
    <row r="1227" spans="1:136" ht="15.5">
      <c r="A1227" s="90"/>
      <c r="B1227" s="57" t="s">
        <v>208</v>
      </c>
      <c r="C1227" s="95"/>
      <c r="D1227" s="34">
        <v>0</v>
      </c>
      <c r="E1227" s="34">
        <v>0</v>
      </c>
      <c r="F1227" s="34">
        <v>0</v>
      </c>
      <c r="G1227" s="34">
        <v>0</v>
      </c>
      <c r="H1227" s="34">
        <v>0</v>
      </c>
      <c r="I1227" s="34">
        <v>20</v>
      </c>
      <c r="J1227" s="34">
        <v>0</v>
      </c>
      <c r="K1227" s="34">
        <v>0</v>
      </c>
      <c r="L1227" s="34">
        <v>0</v>
      </c>
      <c r="M1227" s="34">
        <v>0</v>
      </c>
      <c r="N1227" s="34">
        <v>0</v>
      </c>
      <c r="O1227" s="34">
        <v>0</v>
      </c>
      <c r="P1227" s="34">
        <v>0</v>
      </c>
      <c r="Q1227" s="34">
        <v>0</v>
      </c>
      <c r="R1227" s="34">
        <v>0</v>
      </c>
      <c r="S1227" s="34">
        <v>0</v>
      </c>
      <c r="T1227" s="34">
        <v>0</v>
      </c>
      <c r="U1227" s="34">
        <v>0</v>
      </c>
      <c r="V1227" s="34">
        <v>0</v>
      </c>
      <c r="W1227" s="34">
        <v>0</v>
      </c>
      <c r="X1227" s="34">
        <v>0</v>
      </c>
      <c r="Y1227" s="34">
        <v>0</v>
      </c>
      <c r="Z1227" s="34">
        <v>0</v>
      </c>
      <c r="AA1227" s="34">
        <v>0</v>
      </c>
      <c r="AB1227" s="34">
        <v>0</v>
      </c>
      <c r="AC1227" s="34">
        <v>0</v>
      </c>
      <c r="AD1227" s="34">
        <v>0</v>
      </c>
      <c r="AE1227" s="34">
        <v>0</v>
      </c>
      <c r="AF1227" s="34">
        <v>0</v>
      </c>
      <c r="AG1227" s="34">
        <v>0</v>
      </c>
      <c r="AH1227" s="34">
        <v>0</v>
      </c>
      <c r="AI1227" s="34">
        <v>0</v>
      </c>
      <c r="AJ1227" s="34">
        <v>0</v>
      </c>
      <c r="AK1227" s="34">
        <v>0</v>
      </c>
      <c r="AL1227" s="34">
        <v>0</v>
      </c>
      <c r="AM1227" s="34">
        <v>0</v>
      </c>
      <c r="AN1227" s="34">
        <v>0</v>
      </c>
      <c r="AO1227" s="34">
        <v>0</v>
      </c>
      <c r="AP1227" s="34">
        <v>0</v>
      </c>
      <c r="AQ1227" s="34">
        <v>0</v>
      </c>
      <c r="AR1227" s="34">
        <v>0</v>
      </c>
      <c r="AS1227" s="34">
        <v>0</v>
      </c>
      <c r="AT1227" s="34">
        <v>0</v>
      </c>
      <c r="AU1227" s="34">
        <v>0</v>
      </c>
      <c r="AV1227" s="34">
        <v>0</v>
      </c>
      <c r="AW1227" s="34">
        <v>0</v>
      </c>
      <c r="AX1227" s="34">
        <v>0</v>
      </c>
      <c r="AY1227" s="34">
        <v>0</v>
      </c>
      <c r="AZ1227" s="34">
        <v>0</v>
      </c>
      <c r="BA1227" s="34">
        <v>0</v>
      </c>
      <c r="BB1227" s="34">
        <v>0</v>
      </c>
      <c r="BC1227" s="34">
        <v>0</v>
      </c>
      <c r="BD1227" s="34">
        <v>0</v>
      </c>
      <c r="BE1227" s="34">
        <v>0</v>
      </c>
      <c r="BF1227" s="34">
        <v>0</v>
      </c>
      <c r="BG1227" s="34">
        <v>0</v>
      </c>
      <c r="BH1227" s="34">
        <v>0</v>
      </c>
      <c r="BI1227" s="34">
        <v>0</v>
      </c>
      <c r="BJ1227" s="113">
        <v>0</v>
      </c>
      <c r="BK1227" s="113">
        <v>0</v>
      </c>
      <c r="BL1227" s="113">
        <v>0</v>
      </c>
      <c r="BM1227" s="113">
        <v>0</v>
      </c>
      <c r="BN1227" s="113">
        <v>0</v>
      </c>
      <c r="BO1227" s="113">
        <v>0</v>
      </c>
      <c r="BP1227" s="113">
        <v>0</v>
      </c>
      <c r="BQ1227" s="113">
        <v>0</v>
      </c>
      <c r="BR1227" s="101"/>
      <c r="BS1227">
        <f t="shared" si="2612"/>
        <v>0</v>
      </c>
      <c r="BT1227">
        <f t="shared" si="2612"/>
        <v>0</v>
      </c>
      <c r="BU1227">
        <f t="shared" si="2612"/>
        <v>0</v>
      </c>
      <c r="BV1227">
        <f t="shared" si="2612"/>
        <v>0</v>
      </c>
      <c r="BW1227">
        <f t="shared" si="2612"/>
        <v>0</v>
      </c>
      <c r="BX1227">
        <f t="shared" si="2612"/>
        <v>0</v>
      </c>
      <c r="BY1227">
        <f t="shared" si="2612"/>
        <v>0</v>
      </c>
      <c r="BZ1227">
        <f t="shared" si="2612"/>
        <v>0</v>
      </c>
      <c r="CA1227">
        <f t="shared" si="2612"/>
        <v>0</v>
      </c>
      <c r="CB1227">
        <f t="shared" si="2612"/>
        <v>0</v>
      </c>
      <c r="CC1227">
        <f t="shared" si="2613"/>
        <v>0</v>
      </c>
      <c r="CD1227">
        <f t="shared" si="2613"/>
        <v>0</v>
      </c>
      <c r="CE1227">
        <f t="shared" si="2613"/>
        <v>0</v>
      </c>
      <c r="CF1227">
        <f t="shared" si="2613"/>
        <v>0</v>
      </c>
      <c r="CG1227">
        <f t="shared" si="2613"/>
        <v>0</v>
      </c>
      <c r="CH1227">
        <f t="shared" si="2613"/>
        <v>0</v>
      </c>
      <c r="CI1227">
        <f t="shared" si="2613"/>
        <v>0</v>
      </c>
      <c r="CJ1227">
        <f t="shared" si="2613"/>
        <v>0</v>
      </c>
      <c r="CK1227">
        <f t="shared" si="2613"/>
        <v>0</v>
      </c>
      <c r="CL1227">
        <f t="shared" si="2613"/>
        <v>0</v>
      </c>
      <c r="CM1227">
        <f t="shared" si="2614"/>
        <v>0</v>
      </c>
      <c r="CN1227">
        <f t="shared" si="2614"/>
        <v>0</v>
      </c>
      <c r="CO1227">
        <f t="shared" si="2614"/>
        <v>0</v>
      </c>
      <c r="CP1227">
        <f t="shared" si="2614"/>
        <v>0</v>
      </c>
      <c r="CQ1227">
        <f t="shared" si="2614"/>
        <v>0</v>
      </c>
      <c r="CR1227">
        <f t="shared" si="2614"/>
        <v>0</v>
      </c>
      <c r="CS1227">
        <f t="shared" si="2614"/>
        <v>0</v>
      </c>
      <c r="CT1227">
        <f t="shared" si="2614"/>
        <v>0</v>
      </c>
      <c r="CU1227">
        <f t="shared" si="2614"/>
        <v>0</v>
      </c>
      <c r="CV1227">
        <f t="shared" si="2614"/>
        <v>0</v>
      </c>
      <c r="CW1227">
        <f t="shared" si="2615"/>
        <v>0</v>
      </c>
      <c r="CX1227">
        <f t="shared" si="2615"/>
        <v>0</v>
      </c>
      <c r="CY1227">
        <f t="shared" si="2615"/>
        <v>0</v>
      </c>
      <c r="CZ1227">
        <f t="shared" si="2615"/>
        <v>0</v>
      </c>
      <c r="DA1227">
        <f t="shared" si="2615"/>
        <v>0</v>
      </c>
      <c r="DB1227">
        <f t="shared" si="2615"/>
        <v>0</v>
      </c>
      <c r="DC1227">
        <f t="shared" si="2615"/>
        <v>0</v>
      </c>
      <c r="DD1227">
        <f t="shared" si="2615"/>
        <v>0</v>
      </c>
      <c r="DE1227">
        <f t="shared" si="2615"/>
        <v>0</v>
      </c>
      <c r="DF1227">
        <f t="shared" si="2615"/>
        <v>0</v>
      </c>
      <c r="DG1227">
        <f t="shared" si="2616"/>
        <v>0</v>
      </c>
      <c r="DH1227">
        <f t="shared" si="2616"/>
        <v>0</v>
      </c>
      <c r="DI1227">
        <f t="shared" si="2616"/>
        <v>0</v>
      </c>
      <c r="DJ1227">
        <f t="shared" si="2616"/>
        <v>0</v>
      </c>
      <c r="DK1227">
        <f t="shared" si="2616"/>
        <v>0</v>
      </c>
      <c r="DL1227">
        <f t="shared" si="2616"/>
        <v>0</v>
      </c>
      <c r="DM1227">
        <f t="shared" si="2616"/>
        <v>0</v>
      </c>
      <c r="DN1227">
        <f t="shared" si="2616"/>
        <v>0</v>
      </c>
      <c r="DO1227">
        <f t="shared" si="2616"/>
        <v>0</v>
      </c>
      <c r="DP1227">
        <f t="shared" si="2616"/>
        <v>0</v>
      </c>
      <c r="DQ1227">
        <f t="shared" si="2617"/>
        <v>0</v>
      </c>
      <c r="DR1227">
        <f t="shared" si="2617"/>
        <v>0</v>
      </c>
      <c r="DS1227">
        <f t="shared" si="2617"/>
        <v>0</v>
      </c>
      <c r="DT1227">
        <f t="shared" si="2617"/>
        <v>0</v>
      </c>
      <c r="DU1227">
        <f t="shared" si="2617"/>
        <v>0</v>
      </c>
      <c r="DV1227">
        <f t="shared" si="2617"/>
        <v>0</v>
      </c>
      <c r="DW1227">
        <f t="shared" si="2617"/>
        <v>0</v>
      </c>
      <c r="DX1227">
        <f t="shared" si="2617"/>
        <v>0</v>
      </c>
      <c r="DY1227">
        <f t="shared" si="2617"/>
        <v>0</v>
      </c>
      <c r="DZ1227">
        <f t="shared" si="2617"/>
        <v>0</v>
      </c>
      <c r="EA1227">
        <f t="shared" si="2618"/>
        <v>0</v>
      </c>
      <c r="EB1227">
        <f>IF($C1227&lt;&gt;"",IF(BM1226&gt;0,1,0),0)</f>
        <v>0</v>
      </c>
      <c r="EC1227">
        <f t="shared" si="2618"/>
        <v>0</v>
      </c>
      <c r="ED1227">
        <f t="shared" si="2618"/>
        <v>0</v>
      </c>
      <c r="EE1227">
        <f t="shared" si="2618"/>
        <v>0</v>
      </c>
      <c r="EF1227">
        <f t="shared" si="2618"/>
        <v>0</v>
      </c>
    </row>
    <row r="1228" spans="1:136" ht="15.5">
      <c r="A1228" s="90"/>
      <c r="B1228" s="37"/>
      <c r="C1228" s="97"/>
      <c r="D1228" s="18"/>
      <c r="E1228" s="18"/>
      <c r="F1228" s="18"/>
      <c r="G1228" s="18"/>
      <c r="H1228" s="18"/>
      <c r="I1228" s="18"/>
      <c r="J1228" s="18"/>
      <c r="K1228" s="18"/>
      <c r="L1228" s="18"/>
      <c r="M1228" s="18"/>
      <c r="N1228" s="18"/>
      <c r="O1228" s="18"/>
      <c r="P1228" s="18"/>
      <c r="Q1228" s="18"/>
      <c r="R1228" s="18"/>
      <c r="S1228" s="18"/>
      <c r="T1228" s="60"/>
      <c r="U1228" s="18"/>
      <c r="V1228" s="18"/>
      <c r="W1228" s="18"/>
      <c r="X1228" s="18"/>
      <c r="Y1228" s="18"/>
      <c r="Z1228" s="18"/>
      <c r="AA1228" s="18"/>
      <c r="AB1228" s="18"/>
      <c r="AC1228" s="18"/>
      <c r="AD1228" s="18"/>
      <c r="AE1228" s="18"/>
      <c r="AF1228" s="18"/>
      <c r="AG1228" s="18"/>
      <c r="AH1228" s="18"/>
      <c r="AI1228" s="18"/>
      <c r="AJ1228" s="18"/>
      <c r="AK1228" s="18"/>
      <c r="AL1228" s="18"/>
      <c r="AM1228" s="18"/>
      <c r="AN1228" s="18"/>
      <c r="AO1228" s="18"/>
      <c r="AP1228" s="18"/>
      <c r="AQ1228" s="18"/>
      <c r="AR1228" s="18"/>
      <c r="AS1228" s="18"/>
      <c r="AT1228" s="18"/>
      <c r="AU1228" s="18"/>
      <c r="AV1228" s="18"/>
      <c r="AW1228" s="18"/>
      <c r="AX1228" s="18"/>
      <c r="AY1228" s="18"/>
      <c r="AZ1228" s="18"/>
      <c r="BA1228" s="18"/>
      <c r="BB1228" s="18"/>
      <c r="BC1228" s="18"/>
      <c r="BD1228" s="18"/>
      <c r="BE1228" s="25"/>
      <c r="BF1228" s="2"/>
      <c r="BG1228" s="18"/>
      <c r="BH1228" s="2"/>
      <c r="BI1228" s="2"/>
      <c r="BJ1228" s="2"/>
      <c r="BK1228" s="2"/>
      <c r="BL1228" s="4"/>
      <c r="BM1228" s="2"/>
      <c r="BN1228" s="2"/>
      <c r="BO1228" s="2"/>
      <c r="BP1228" s="2"/>
      <c r="BQ1228" s="2"/>
      <c r="BR1228" s="101"/>
    </row>
    <row r="1229" spans="1:136" ht="15.5">
      <c r="A1229" s="93">
        <v>157</v>
      </c>
      <c r="B1229" s="52" t="s">
        <v>232</v>
      </c>
      <c r="C1229" s="94">
        <v>3</v>
      </c>
      <c r="D1229" s="22">
        <f t="shared" ref="D1229:AI1229" si="2619">SUM(D1230:D1235)</f>
        <v>10938</v>
      </c>
      <c r="E1229" s="22">
        <f t="shared" si="2619"/>
        <v>11402.71831399371</v>
      </c>
      <c r="F1229" s="22">
        <f t="shared" si="2619"/>
        <v>11887.147046553457</v>
      </c>
      <c r="G1229" s="22">
        <f t="shared" si="2619"/>
        <v>12394.112928415596</v>
      </c>
      <c r="H1229" s="22">
        <f t="shared" si="2619"/>
        <v>12920.15744555222</v>
      </c>
      <c r="I1229" s="22">
        <f t="shared" si="2619"/>
        <v>13468.843743374309</v>
      </c>
      <c r="J1229" s="22">
        <f t="shared" si="2619"/>
        <v>14042.757493109282</v>
      </c>
      <c r="K1229" s="22">
        <f t="shared" si="2619"/>
        <v>12588.14953671456</v>
      </c>
      <c r="L1229" s="22">
        <f t="shared" si="2619"/>
        <v>13124.195518183144</v>
      </c>
      <c r="M1229" s="22">
        <f t="shared" si="2619"/>
        <v>13668.92333891047</v>
      </c>
      <c r="N1229" s="22">
        <f t="shared" si="2619"/>
        <v>14231.92027246689</v>
      </c>
      <c r="O1229" s="22">
        <f t="shared" si="2619"/>
        <v>15749.721901075915</v>
      </c>
      <c r="P1229" s="22">
        <f t="shared" si="2619"/>
        <v>15630.223874756024</v>
      </c>
      <c r="Q1229" s="22">
        <f t="shared" si="2619"/>
        <v>15750.109460044958</v>
      </c>
      <c r="R1229" s="22">
        <f t="shared" si="2619"/>
        <v>16323.68056017016</v>
      </c>
      <c r="S1229" s="22">
        <f t="shared" si="2619"/>
        <v>14903.813500347187</v>
      </c>
      <c r="T1229" s="22">
        <f t="shared" si="2619"/>
        <v>14001.22920468176</v>
      </c>
      <c r="U1229" s="22">
        <f t="shared" si="2619"/>
        <v>16345.161032431699</v>
      </c>
      <c r="V1229" s="22">
        <f t="shared" si="2619"/>
        <v>18627.821585107791</v>
      </c>
      <c r="W1229" s="22">
        <f t="shared" si="2619"/>
        <v>19444.494448512105</v>
      </c>
      <c r="X1229" s="22">
        <f t="shared" si="2619"/>
        <v>21638.301144815658</v>
      </c>
      <c r="Y1229" s="22">
        <f t="shared" si="2619"/>
        <v>17844.471100522867</v>
      </c>
      <c r="Z1229" s="22">
        <f t="shared" si="2619"/>
        <v>15658.294080330485</v>
      </c>
      <c r="AA1229" s="22">
        <f t="shared" si="2619"/>
        <v>14650.44211086006</v>
      </c>
      <c r="AB1229" s="22">
        <f t="shared" si="2619"/>
        <v>12516.685287059106</v>
      </c>
      <c r="AC1229" s="22">
        <f t="shared" si="2619"/>
        <v>15974.062187106241</v>
      </c>
      <c r="AD1229" s="22">
        <f t="shared" si="2619"/>
        <v>17301.870572303447</v>
      </c>
      <c r="AE1229" s="22">
        <f t="shared" si="2619"/>
        <v>615</v>
      </c>
      <c r="AF1229" s="22">
        <f t="shared" si="2619"/>
        <v>564</v>
      </c>
      <c r="AG1229" s="22">
        <f t="shared" si="2619"/>
        <v>617</v>
      </c>
      <c r="AH1229" s="22">
        <f t="shared" si="2619"/>
        <v>730</v>
      </c>
      <c r="AI1229" s="22">
        <f t="shared" si="2619"/>
        <v>31011.932941576295</v>
      </c>
      <c r="AJ1229" s="22">
        <f t="shared" ref="AJ1229:BG1229" si="2620">SUM(AJ1230:AJ1235)</f>
        <v>24733.095556594988</v>
      </c>
      <c r="AK1229" s="22">
        <f t="shared" si="2620"/>
        <v>45105.027445082829</v>
      </c>
      <c r="AL1229" s="22">
        <f t="shared" si="2620"/>
        <v>33542.356725146194</v>
      </c>
      <c r="AM1229" s="22">
        <f t="shared" si="2620"/>
        <v>36458</v>
      </c>
      <c r="AN1229" s="22">
        <f t="shared" si="2620"/>
        <v>70182</v>
      </c>
      <c r="AO1229" s="22">
        <f t="shared" si="2620"/>
        <v>41733.432000000001</v>
      </c>
      <c r="AP1229" s="22">
        <f t="shared" si="2620"/>
        <v>77719.584999999992</v>
      </c>
      <c r="AQ1229" s="22">
        <f t="shared" si="2620"/>
        <v>96152.206999999995</v>
      </c>
      <c r="AR1229" s="22">
        <f t="shared" si="2620"/>
        <v>49315.4484868</v>
      </c>
      <c r="AS1229" s="22">
        <f t="shared" si="2620"/>
        <v>12680.824449899999</v>
      </c>
      <c r="AT1229" s="22">
        <f t="shared" si="2620"/>
        <v>10977.117248500001</v>
      </c>
      <c r="AU1229" s="22">
        <f t="shared" si="2620"/>
        <v>9951.6111756999999</v>
      </c>
      <c r="AV1229" s="22">
        <f t="shared" si="2620"/>
        <v>6601.9038293999993</v>
      </c>
      <c r="AW1229" s="22">
        <f t="shared" si="2620"/>
        <v>4895.9889999999996</v>
      </c>
      <c r="AX1229" s="22">
        <f t="shared" si="2620"/>
        <v>1802.8000000000002</v>
      </c>
      <c r="AY1229" s="22">
        <f t="shared" si="2620"/>
        <v>644.85</v>
      </c>
      <c r="AZ1229" s="22">
        <f t="shared" si="2620"/>
        <v>769.75</v>
      </c>
      <c r="BA1229" s="22">
        <f t="shared" si="2620"/>
        <v>427.08</v>
      </c>
      <c r="BB1229" s="22">
        <f t="shared" si="2620"/>
        <v>6.6</v>
      </c>
      <c r="BC1229" s="22">
        <f t="shared" si="2620"/>
        <v>1.84</v>
      </c>
      <c r="BD1229" s="22">
        <f t="shared" si="2620"/>
        <v>1.84</v>
      </c>
      <c r="BE1229" s="22">
        <f t="shared" si="2620"/>
        <v>0</v>
      </c>
      <c r="BF1229" s="22">
        <f t="shared" si="2620"/>
        <v>0</v>
      </c>
      <c r="BG1229" s="22">
        <f t="shared" si="2620"/>
        <v>0</v>
      </c>
      <c r="BH1229" s="33">
        <v>0</v>
      </c>
      <c r="BI1229" s="33">
        <v>0</v>
      </c>
      <c r="BJ1229" s="4">
        <f>SUM(BJ1230:BJ1235)</f>
        <v>0</v>
      </c>
      <c r="BK1229" s="4">
        <f>SUM(BK1230:BK1235)</f>
        <v>0</v>
      </c>
      <c r="BL1229" s="4">
        <f>SUM(BL1230:BL1235)</f>
        <v>0</v>
      </c>
      <c r="BM1229" s="4">
        <f>SUM(BM1230:BM1235)</f>
        <v>0</v>
      </c>
      <c r="BN1229" s="4">
        <f>SUM(BN1230:BN1235)</f>
        <v>44443</v>
      </c>
      <c r="BO1229" s="4">
        <f>SUM(BO1230:BO1236)</f>
        <v>47067</v>
      </c>
      <c r="BP1229" s="4">
        <f>SUM(BP1230:BP1236)</f>
        <v>49846</v>
      </c>
      <c r="BQ1229" s="4">
        <f>SUM(BQ1230:BQ1236)</f>
        <v>52625</v>
      </c>
      <c r="BR1229" s="101"/>
      <c r="BS1229">
        <f t="shared" ref="BS1229:CX1229" si="2621">IF($C1229&lt;&gt;"",IF(D1229&gt;0,1,0),0)</f>
        <v>1</v>
      </c>
      <c r="BT1229">
        <f t="shared" si="2621"/>
        <v>1</v>
      </c>
      <c r="BU1229">
        <f t="shared" si="2621"/>
        <v>1</v>
      </c>
      <c r="BV1229">
        <f t="shared" si="2621"/>
        <v>1</v>
      </c>
      <c r="BW1229">
        <f t="shared" si="2621"/>
        <v>1</v>
      </c>
      <c r="BX1229">
        <f t="shared" si="2621"/>
        <v>1</v>
      </c>
      <c r="BY1229">
        <f t="shared" si="2621"/>
        <v>1</v>
      </c>
      <c r="BZ1229">
        <f t="shared" si="2621"/>
        <v>1</v>
      </c>
      <c r="CA1229">
        <f t="shared" si="2621"/>
        <v>1</v>
      </c>
      <c r="CB1229">
        <f t="shared" si="2621"/>
        <v>1</v>
      </c>
      <c r="CC1229">
        <f t="shared" si="2621"/>
        <v>1</v>
      </c>
      <c r="CD1229">
        <f t="shared" si="2621"/>
        <v>1</v>
      </c>
      <c r="CE1229">
        <f t="shared" si="2621"/>
        <v>1</v>
      </c>
      <c r="CF1229">
        <f t="shared" si="2621"/>
        <v>1</v>
      </c>
      <c r="CG1229">
        <f t="shared" si="2621"/>
        <v>1</v>
      </c>
      <c r="CH1229">
        <f t="shared" si="2621"/>
        <v>1</v>
      </c>
      <c r="CI1229">
        <f t="shared" si="2621"/>
        <v>1</v>
      </c>
      <c r="CJ1229">
        <f t="shared" si="2621"/>
        <v>1</v>
      </c>
      <c r="CK1229">
        <f t="shared" si="2621"/>
        <v>1</v>
      </c>
      <c r="CL1229">
        <f t="shared" si="2621"/>
        <v>1</v>
      </c>
      <c r="CM1229">
        <f t="shared" si="2621"/>
        <v>1</v>
      </c>
      <c r="CN1229">
        <f t="shared" si="2621"/>
        <v>1</v>
      </c>
      <c r="CO1229">
        <f t="shared" si="2621"/>
        <v>1</v>
      </c>
      <c r="CP1229">
        <f t="shared" si="2621"/>
        <v>1</v>
      </c>
      <c r="CQ1229">
        <f t="shared" si="2621"/>
        <v>1</v>
      </c>
      <c r="CR1229">
        <f t="shared" si="2621"/>
        <v>1</v>
      </c>
      <c r="CS1229">
        <f t="shared" si="2621"/>
        <v>1</v>
      </c>
      <c r="CT1229">
        <f t="shared" si="2621"/>
        <v>1</v>
      </c>
      <c r="CU1229">
        <f t="shared" si="2621"/>
        <v>1</v>
      </c>
      <c r="CV1229">
        <f t="shared" si="2621"/>
        <v>1</v>
      </c>
      <c r="CW1229">
        <f t="shared" si="2621"/>
        <v>1</v>
      </c>
      <c r="CX1229">
        <f t="shared" si="2621"/>
        <v>1</v>
      </c>
      <c r="CY1229">
        <f t="shared" ref="CY1229:DY1229" si="2622">IF($C1229&lt;&gt;"",IF(AJ1229&gt;0,1,0),0)</f>
        <v>1</v>
      </c>
      <c r="CZ1229">
        <f t="shared" si="2622"/>
        <v>1</v>
      </c>
      <c r="DA1229">
        <f t="shared" si="2622"/>
        <v>1</v>
      </c>
      <c r="DB1229">
        <f t="shared" si="2622"/>
        <v>1</v>
      </c>
      <c r="DC1229">
        <f t="shared" si="2622"/>
        <v>1</v>
      </c>
      <c r="DD1229">
        <f t="shared" si="2622"/>
        <v>1</v>
      </c>
      <c r="DE1229">
        <f t="shared" si="2622"/>
        <v>1</v>
      </c>
      <c r="DF1229">
        <f t="shared" si="2622"/>
        <v>1</v>
      </c>
      <c r="DG1229">
        <f t="shared" si="2622"/>
        <v>1</v>
      </c>
      <c r="DH1229">
        <f t="shared" si="2622"/>
        <v>1</v>
      </c>
      <c r="DI1229">
        <f t="shared" si="2622"/>
        <v>1</v>
      </c>
      <c r="DJ1229">
        <f t="shared" si="2622"/>
        <v>1</v>
      </c>
      <c r="DK1229">
        <f t="shared" si="2622"/>
        <v>1</v>
      </c>
      <c r="DL1229">
        <f t="shared" si="2622"/>
        <v>1</v>
      </c>
      <c r="DM1229">
        <f t="shared" si="2622"/>
        <v>1</v>
      </c>
      <c r="DN1229">
        <f t="shared" si="2622"/>
        <v>1</v>
      </c>
      <c r="DO1229">
        <f t="shared" si="2622"/>
        <v>1</v>
      </c>
      <c r="DP1229">
        <f t="shared" si="2622"/>
        <v>1</v>
      </c>
      <c r="DQ1229">
        <f t="shared" si="2622"/>
        <v>1</v>
      </c>
      <c r="DR1229">
        <f t="shared" si="2622"/>
        <v>1</v>
      </c>
      <c r="DS1229">
        <f t="shared" si="2622"/>
        <v>1</v>
      </c>
      <c r="DT1229">
        <f t="shared" si="2622"/>
        <v>0</v>
      </c>
      <c r="DU1229">
        <f t="shared" si="2622"/>
        <v>0</v>
      </c>
      <c r="DV1229">
        <f t="shared" si="2622"/>
        <v>0</v>
      </c>
      <c r="DW1229">
        <f t="shared" si="2622"/>
        <v>0</v>
      </c>
      <c r="DX1229">
        <f t="shared" si="2622"/>
        <v>0</v>
      </c>
      <c r="DY1229">
        <f t="shared" si="2622"/>
        <v>0</v>
      </c>
      <c r="DZ1229">
        <f t="shared" ref="DZ1229:DZ1236" si="2623">IF($C1229&lt;&gt;"",IF(BK1229&gt;0,1,0),0)</f>
        <v>0</v>
      </c>
      <c r="EA1229">
        <f t="shared" ref="EA1229:EA1236" si="2624">IF($C1229&lt;&gt;"",IF(BL1229&gt;0,1,0),0)</f>
        <v>0</v>
      </c>
      <c r="EB1229">
        <f t="shared" ref="EB1229:EB1236" si="2625">IF($C1229&lt;&gt;"",IF(BM1229&gt;0,1,0),0)</f>
        <v>0</v>
      </c>
      <c r="EC1229">
        <f t="shared" ref="EC1229:EC1236" si="2626">IF($C1229&lt;&gt;"",IF(BN1229&gt;0,1,0),0)</f>
        <v>1</v>
      </c>
      <c r="ED1229">
        <f t="shared" ref="ED1229:EF1236" si="2627">IF($C1229&lt;&gt;"",IF(BO1229&gt;0,1,0),0)</f>
        <v>1</v>
      </c>
      <c r="EE1229">
        <f t="shared" si="2627"/>
        <v>1</v>
      </c>
      <c r="EF1229">
        <f t="shared" si="2627"/>
        <v>1</v>
      </c>
    </row>
    <row r="1230" spans="1:136" ht="15.5">
      <c r="A1230" s="90"/>
      <c r="B1230" s="19" t="s">
        <v>2</v>
      </c>
      <c r="C1230" s="97"/>
      <c r="D1230" s="34">
        <v>0</v>
      </c>
      <c r="E1230" s="34">
        <v>0</v>
      </c>
      <c r="F1230" s="34">
        <v>0</v>
      </c>
      <c r="G1230" s="34">
        <v>0</v>
      </c>
      <c r="H1230" s="34">
        <v>0</v>
      </c>
      <c r="I1230" s="34">
        <v>0</v>
      </c>
      <c r="J1230" s="34">
        <v>0</v>
      </c>
      <c r="K1230" s="34">
        <v>0</v>
      </c>
      <c r="L1230" s="34">
        <v>0</v>
      </c>
      <c r="M1230" s="34">
        <v>0</v>
      </c>
      <c r="N1230" s="34">
        <v>0</v>
      </c>
      <c r="O1230" s="34">
        <v>0</v>
      </c>
      <c r="P1230" s="34">
        <v>0</v>
      </c>
      <c r="Q1230" s="34">
        <v>0</v>
      </c>
      <c r="R1230" s="34">
        <v>0</v>
      </c>
      <c r="S1230" s="34">
        <v>0</v>
      </c>
      <c r="T1230" s="34">
        <v>0</v>
      </c>
      <c r="U1230" s="34">
        <v>0</v>
      </c>
      <c r="V1230" s="34">
        <v>0</v>
      </c>
      <c r="W1230" s="34">
        <v>0</v>
      </c>
      <c r="X1230" s="34">
        <v>0</v>
      </c>
      <c r="Y1230" s="34">
        <v>0</v>
      </c>
      <c r="Z1230" s="34">
        <v>0</v>
      </c>
      <c r="AA1230" s="34">
        <v>0</v>
      </c>
      <c r="AB1230" s="34">
        <v>0</v>
      </c>
      <c r="AC1230" s="34">
        <v>0</v>
      </c>
      <c r="AD1230" s="34">
        <v>0</v>
      </c>
      <c r="AE1230" s="34">
        <v>0</v>
      </c>
      <c r="AF1230" s="34">
        <v>0</v>
      </c>
      <c r="AG1230" s="34">
        <v>0</v>
      </c>
      <c r="AH1230" s="34">
        <v>0</v>
      </c>
      <c r="AI1230" s="34">
        <v>0</v>
      </c>
      <c r="AJ1230" s="40" t="s">
        <v>16</v>
      </c>
      <c r="AK1230" s="18">
        <v>15000</v>
      </c>
      <c r="AL1230" s="18">
        <v>7100</v>
      </c>
      <c r="AM1230" s="18">
        <v>6421</v>
      </c>
      <c r="AN1230" s="18">
        <v>40160</v>
      </c>
      <c r="AO1230" s="40" t="s">
        <v>16</v>
      </c>
      <c r="AP1230" s="40" t="s">
        <v>16</v>
      </c>
      <c r="AQ1230" s="18">
        <v>8113</v>
      </c>
      <c r="AR1230" s="40" t="s">
        <v>16</v>
      </c>
      <c r="AS1230" s="22"/>
      <c r="AT1230" s="22"/>
      <c r="AU1230" s="22"/>
      <c r="AV1230" s="22"/>
      <c r="AW1230" s="22"/>
      <c r="AX1230" s="18">
        <v>0</v>
      </c>
      <c r="AY1230" s="18">
        <v>0</v>
      </c>
      <c r="AZ1230" s="18">
        <v>0</v>
      </c>
      <c r="BA1230" s="18">
        <v>0</v>
      </c>
      <c r="BB1230" s="18">
        <v>0</v>
      </c>
      <c r="BC1230" s="18">
        <v>0</v>
      </c>
      <c r="BD1230" s="18">
        <v>0</v>
      </c>
      <c r="BE1230" s="18">
        <v>0</v>
      </c>
      <c r="BF1230" s="18">
        <v>0</v>
      </c>
      <c r="BG1230" s="18">
        <v>0</v>
      </c>
      <c r="BH1230" s="18">
        <v>0</v>
      </c>
      <c r="BI1230" s="18">
        <v>0</v>
      </c>
      <c r="BJ1230" s="113">
        <v>0</v>
      </c>
      <c r="BK1230" s="113">
        <v>0</v>
      </c>
      <c r="BL1230" s="113">
        <v>0</v>
      </c>
      <c r="BM1230" s="113">
        <v>0</v>
      </c>
      <c r="BN1230" s="113">
        <v>0</v>
      </c>
      <c r="BO1230" s="113">
        <v>0</v>
      </c>
      <c r="BP1230" s="113">
        <v>0</v>
      </c>
      <c r="BQ1230" s="113">
        <v>0</v>
      </c>
      <c r="BR1230" s="101"/>
      <c r="BS1230">
        <f t="shared" ref="BS1230:CB1234" si="2628">IF($C1230&lt;&gt;"",IF(D1230&gt;0,1,0),0)</f>
        <v>0</v>
      </c>
      <c r="BT1230">
        <f t="shared" si="2628"/>
        <v>0</v>
      </c>
      <c r="BU1230">
        <f t="shared" si="2628"/>
        <v>0</v>
      </c>
      <c r="BV1230">
        <f t="shared" si="2628"/>
        <v>0</v>
      </c>
      <c r="BW1230">
        <f t="shared" si="2628"/>
        <v>0</v>
      </c>
      <c r="BX1230">
        <f t="shared" si="2628"/>
        <v>0</v>
      </c>
      <c r="BY1230">
        <f t="shared" si="2628"/>
        <v>0</v>
      </c>
      <c r="BZ1230">
        <f t="shared" si="2628"/>
        <v>0</v>
      </c>
      <c r="CA1230">
        <f t="shared" si="2628"/>
        <v>0</v>
      </c>
      <c r="CB1230">
        <f t="shared" si="2628"/>
        <v>0</v>
      </c>
      <c r="CC1230">
        <f t="shared" ref="CC1230:CL1234" si="2629">IF($C1230&lt;&gt;"",IF(N1230&gt;0,1,0),0)</f>
        <v>0</v>
      </c>
      <c r="CD1230">
        <f t="shared" si="2629"/>
        <v>0</v>
      </c>
      <c r="CE1230">
        <f t="shared" si="2629"/>
        <v>0</v>
      </c>
      <c r="CF1230">
        <f t="shared" si="2629"/>
        <v>0</v>
      </c>
      <c r="CG1230">
        <f t="shared" si="2629"/>
        <v>0</v>
      </c>
      <c r="CH1230">
        <f t="shared" si="2629"/>
        <v>0</v>
      </c>
      <c r="CI1230">
        <f t="shared" si="2629"/>
        <v>0</v>
      </c>
      <c r="CJ1230">
        <f t="shared" si="2629"/>
        <v>0</v>
      </c>
      <c r="CK1230">
        <f t="shared" si="2629"/>
        <v>0</v>
      </c>
      <c r="CL1230">
        <f t="shared" si="2629"/>
        <v>0</v>
      </c>
      <c r="CM1230">
        <f t="shared" ref="CM1230:CV1234" si="2630">IF($C1230&lt;&gt;"",IF(X1230&gt;0,1,0),0)</f>
        <v>0</v>
      </c>
      <c r="CN1230">
        <f t="shared" si="2630"/>
        <v>0</v>
      </c>
      <c r="CO1230">
        <f t="shared" si="2630"/>
        <v>0</v>
      </c>
      <c r="CP1230">
        <f t="shared" si="2630"/>
        <v>0</v>
      </c>
      <c r="CQ1230">
        <f t="shared" si="2630"/>
        <v>0</v>
      </c>
      <c r="CR1230">
        <f t="shared" si="2630"/>
        <v>0</v>
      </c>
      <c r="CS1230">
        <f t="shared" si="2630"/>
        <v>0</v>
      </c>
      <c r="CT1230">
        <f t="shared" si="2630"/>
        <v>0</v>
      </c>
      <c r="CU1230">
        <f t="shared" si="2630"/>
        <v>0</v>
      </c>
      <c r="CV1230">
        <f t="shared" si="2630"/>
        <v>0</v>
      </c>
      <c r="CW1230">
        <f t="shared" ref="CW1230:DF1234" si="2631">IF($C1230&lt;&gt;"",IF(AH1230&gt;0,1,0),0)</f>
        <v>0</v>
      </c>
      <c r="CX1230">
        <f t="shared" si="2631"/>
        <v>0</v>
      </c>
      <c r="CY1230">
        <f t="shared" si="2631"/>
        <v>0</v>
      </c>
      <c r="CZ1230">
        <f t="shared" si="2631"/>
        <v>0</v>
      </c>
      <c r="DA1230">
        <f t="shared" si="2631"/>
        <v>0</v>
      </c>
      <c r="DB1230">
        <f t="shared" si="2631"/>
        <v>0</v>
      </c>
      <c r="DC1230">
        <f t="shared" si="2631"/>
        <v>0</v>
      </c>
      <c r="DD1230">
        <f t="shared" si="2631"/>
        <v>0</v>
      </c>
      <c r="DE1230">
        <f t="shared" si="2631"/>
        <v>0</v>
      </c>
      <c r="DF1230">
        <f t="shared" si="2631"/>
        <v>0</v>
      </c>
      <c r="DG1230">
        <f t="shared" ref="DG1230:DP1234" si="2632">IF($C1230&lt;&gt;"",IF(AR1230&gt;0,1,0),0)</f>
        <v>0</v>
      </c>
      <c r="DH1230">
        <f t="shared" si="2632"/>
        <v>0</v>
      </c>
      <c r="DI1230">
        <f t="shared" si="2632"/>
        <v>0</v>
      </c>
      <c r="DJ1230">
        <f t="shared" si="2632"/>
        <v>0</v>
      </c>
      <c r="DK1230">
        <f t="shared" si="2632"/>
        <v>0</v>
      </c>
      <c r="DL1230">
        <f t="shared" si="2632"/>
        <v>0</v>
      </c>
      <c r="DM1230">
        <f t="shared" si="2632"/>
        <v>0</v>
      </c>
      <c r="DN1230">
        <f t="shared" si="2632"/>
        <v>0</v>
      </c>
      <c r="DO1230">
        <f t="shared" si="2632"/>
        <v>0</v>
      </c>
      <c r="DP1230">
        <f t="shared" si="2632"/>
        <v>0</v>
      </c>
      <c r="DQ1230">
        <f t="shared" ref="DQ1230:DY1234" si="2633">IF($C1230&lt;&gt;"",IF(BB1230&gt;0,1,0),0)</f>
        <v>0</v>
      </c>
      <c r="DR1230">
        <f t="shared" si="2633"/>
        <v>0</v>
      </c>
      <c r="DS1230">
        <f t="shared" si="2633"/>
        <v>0</v>
      </c>
      <c r="DT1230">
        <f t="shared" si="2633"/>
        <v>0</v>
      </c>
      <c r="DU1230">
        <f t="shared" si="2633"/>
        <v>0</v>
      </c>
      <c r="DV1230">
        <f t="shared" si="2633"/>
        <v>0</v>
      </c>
      <c r="DW1230">
        <f t="shared" si="2633"/>
        <v>0</v>
      </c>
      <c r="DX1230">
        <f t="shared" si="2633"/>
        <v>0</v>
      </c>
      <c r="DY1230">
        <f t="shared" si="2633"/>
        <v>0</v>
      </c>
      <c r="DZ1230">
        <f t="shared" si="2623"/>
        <v>0</v>
      </c>
      <c r="EA1230">
        <f t="shared" si="2624"/>
        <v>0</v>
      </c>
      <c r="EB1230">
        <f t="shared" si="2625"/>
        <v>0</v>
      </c>
      <c r="EC1230">
        <f t="shared" si="2626"/>
        <v>0</v>
      </c>
      <c r="ED1230">
        <f t="shared" si="2627"/>
        <v>0</v>
      </c>
      <c r="EE1230">
        <f t="shared" si="2627"/>
        <v>0</v>
      </c>
      <c r="EF1230">
        <f t="shared" si="2627"/>
        <v>0</v>
      </c>
    </row>
    <row r="1231" spans="1:136" ht="15.5">
      <c r="A1231" s="90"/>
      <c r="B1231" s="57" t="s">
        <v>3</v>
      </c>
      <c r="C1231" s="97"/>
      <c r="D1231" s="18">
        <v>8135</v>
      </c>
      <c r="E1231" s="34">
        <v>8460.7183139937097</v>
      </c>
      <c r="F1231" s="34">
        <v>8799.1470465534567</v>
      </c>
      <c r="G1231" s="34">
        <v>9151.1129284155959</v>
      </c>
      <c r="H1231" s="34">
        <v>9517.1574455522205</v>
      </c>
      <c r="I1231" s="34">
        <v>9897.8437433743093</v>
      </c>
      <c r="J1231" s="34">
        <v>10293.757493109282</v>
      </c>
      <c r="K1231" s="34">
        <v>9176.1495367145599</v>
      </c>
      <c r="L1231" s="34">
        <v>9543.1955181831436</v>
      </c>
      <c r="M1231" s="34">
        <v>9924.9233389104702</v>
      </c>
      <c r="N1231" s="34">
        <v>10321.92027246689</v>
      </c>
      <c r="O1231" s="34">
        <v>11405.721901075915</v>
      </c>
      <c r="P1231" s="34">
        <v>11257.223874756024</v>
      </c>
      <c r="Q1231" s="34">
        <v>11272.109460044958</v>
      </c>
      <c r="R1231" s="34">
        <v>11672.68056017016</v>
      </c>
      <c r="S1231" s="34">
        <v>10569.813500347187</v>
      </c>
      <c r="T1231" s="34">
        <v>9904.2292046817602</v>
      </c>
      <c r="U1231" s="34">
        <v>11551.161032431699</v>
      </c>
      <c r="V1231" s="34">
        <v>13116.821585107793</v>
      </c>
      <c r="W1231" s="34">
        <v>13641.494448512105</v>
      </c>
      <c r="X1231" s="34">
        <v>15215.301144815658</v>
      </c>
      <c r="Y1231" s="34">
        <v>12513.471100522867</v>
      </c>
      <c r="Z1231" s="34">
        <v>10948.294080330485</v>
      </c>
      <c r="AA1231" s="34">
        <v>10240.44211086006</v>
      </c>
      <c r="AB1231" s="34">
        <v>8713.6852870591065</v>
      </c>
      <c r="AC1231" s="34">
        <v>11076.062187106241</v>
      </c>
      <c r="AD1231" s="34">
        <v>11921.870572303447</v>
      </c>
      <c r="AE1231" s="34">
        <v>0</v>
      </c>
      <c r="AF1231" s="34">
        <v>0</v>
      </c>
      <c r="AG1231" s="34">
        <v>0</v>
      </c>
      <c r="AH1231" s="34">
        <v>0</v>
      </c>
      <c r="AI1231" s="34">
        <v>0</v>
      </c>
      <c r="AJ1231" s="34">
        <v>710.21199999999999</v>
      </c>
      <c r="AK1231" s="40" t="s">
        <v>16</v>
      </c>
      <c r="AL1231" s="40" t="s">
        <v>16</v>
      </c>
      <c r="AM1231" s="34">
        <v>1717</v>
      </c>
      <c r="AN1231" s="40" t="s">
        <v>16</v>
      </c>
      <c r="AO1231" s="34">
        <v>11233.432000000001</v>
      </c>
      <c r="AP1231" s="34">
        <v>11482.584999999999</v>
      </c>
      <c r="AQ1231" s="34">
        <v>21858.207000000002</v>
      </c>
      <c r="AR1231" s="34">
        <v>16065.448486800002</v>
      </c>
      <c r="AS1231" s="34">
        <v>12680.824449899999</v>
      </c>
      <c r="AT1231" s="34">
        <v>10977.117248500001</v>
      </c>
      <c r="AU1231" s="34">
        <v>9951.6111756999999</v>
      </c>
      <c r="AV1231" s="34">
        <v>6601.9038293999993</v>
      </c>
      <c r="AW1231" s="34">
        <v>4895.9889999999996</v>
      </c>
      <c r="AX1231" s="34">
        <v>1482.5350000000001</v>
      </c>
      <c r="AY1231" s="34">
        <v>644.85</v>
      </c>
      <c r="AZ1231" s="34">
        <v>756.3</v>
      </c>
      <c r="BA1231" s="34">
        <v>427.08</v>
      </c>
      <c r="BB1231" s="34">
        <v>6.6</v>
      </c>
      <c r="BC1231" s="34">
        <v>1.84</v>
      </c>
      <c r="BD1231" s="34">
        <v>1.84</v>
      </c>
      <c r="BE1231" s="42">
        <v>0</v>
      </c>
      <c r="BF1231" s="34">
        <v>0</v>
      </c>
      <c r="BG1231" s="34">
        <v>0</v>
      </c>
      <c r="BH1231" s="34">
        <v>0</v>
      </c>
      <c r="BI1231" s="34">
        <v>0</v>
      </c>
      <c r="BJ1231" s="113">
        <v>0</v>
      </c>
      <c r="BK1231" s="113">
        <v>0</v>
      </c>
      <c r="BL1231" s="113">
        <v>0</v>
      </c>
      <c r="BM1231" s="113">
        <v>0</v>
      </c>
      <c r="BN1231" s="113">
        <v>0</v>
      </c>
      <c r="BO1231" s="113">
        <v>0</v>
      </c>
      <c r="BP1231" s="113">
        <v>0</v>
      </c>
      <c r="BQ1231" s="113">
        <v>0</v>
      </c>
      <c r="BR1231" s="101"/>
      <c r="BS1231">
        <f t="shared" si="2628"/>
        <v>0</v>
      </c>
      <c r="BT1231">
        <f t="shared" si="2628"/>
        <v>0</v>
      </c>
      <c r="BU1231">
        <f t="shared" si="2628"/>
        <v>0</v>
      </c>
      <c r="BV1231">
        <f t="shared" si="2628"/>
        <v>0</v>
      </c>
      <c r="BW1231">
        <f t="shared" si="2628"/>
        <v>0</v>
      </c>
      <c r="BX1231">
        <f t="shared" si="2628"/>
        <v>0</v>
      </c>
      <c r="BY1231">
        <f t="shared" si="2628"/>
        <v>0</v>
      </c>
      <c r="BZ1231">
        <f t="shared" si="2628"/>
        <v>0</v>
      </c>
      <c r="CA1231">
        <f t="shared" si="2628"/>
        <v>0</v>
      </c>
      <c r="CB1231">
        <f t="shared" si="2628"/>
        <v>0</v>
      </c>
      <c r="CC1231">
        <f t="shared" si="2629"/>
        <v>0</v>
      </c>
      <c r="CD1231">
        <f t="shared" si="2629"/>
        <v>0</v>
      </c>
      <c r="CE1231">
        <f t="shared" si="2629"/>
        <v>0</v>
      </c>
      <c r="CF1231">
        <f t="shared" si="2629"/>
        <v>0</v>
      </c>
      <c r="CG1231">
        <f t="shared" si="2629"/>
        <v>0</v>
      </c>
      <c r="CH1231">
        <f t="shared" si="2629"/>
        <v>0</v>
      </c>
      <c r="CI1231">
        <f t="shared" si="2629"/>
        <v>0</v>
      </c>
      <c r="CJ1231">
        <f t="shared" si="2629"/>
        <v>0</v>
      </c>
      <c r="CK1231">
        <f t="shared" si="2629"/>
        <v>0</v>
      </c>
      <c r="CL1231">
        <f t="shared" si="2629"/>
        <v>0</v>
      </c>
      <c r="CM1231">
        <f t="shared" si="2630"/>
        <v>0</v>
      </c>
      <c r="CN1231">
        <f t="shared" si="2630"/>
        <v>0</v>
      </c>
      <c r="CO1231">
        <f t="shared" si="2630"/>
        <v>0</v>
      </c>
      <c r="CP1231">
        <f t="shared" si="2630"/>
        <v>0</v>
      </c>
      <c r="CQ1231">
        <f t="shared" si="2630"/>
        <v>0</v>
      </c>
      <c r="CR1231">
        <f t="shared" si="2630"/>
        <v>0</v>
      </c>
      <c r="CS1231">
        <f t="shared" si="2630"/>
        <v>0</v>
      </c>
      <c r="CT1231">
        <f t="shared" si="2630"/>
        <v>0</v>
      </c>
      <c r="CU1231">
        <f t="shared" si="2630"/>
        <v>0</v>
      </c>
      <c r="CV1231">
        <f t="shared" si="2630"/>
        <v>0</v>
      </c>
      <c r="CW1231">
        <f t="shared" si="2631"/>
        <v>0</v>
      </c>
      <c r="CX1231">
        <f t="shared" si="2631"/>
        <v>0</v>
      </c>
      <c r="CY1231">
        <f t="shared" si="2631"/>
        <v>0</v>
      </c>
      <c r="CZ1231">
        <f t="shared" si="2631"/>
        <v>0</v>
      </c>
      <c r="DA1231">
        <f t="shared" si="2631"/>
        <v>0</v>
      </c>
      <c r="DB1231">
        <f t="shared" si="2631"/>
        <v>0</v>
      </c>
      <c r="DC1231">
        <f t="shared" si="2631"/>
        <v>0</v>
      </c>
      <c r="DD1231">
        <f t="shared" si="2631"/>
        <v>0</v>
      </c>
      <c r="DE1231">
        <f t="shared" si="2631"/>
        <v>0</v>
      </c>
      <c r="DF1231">
        <f t="shared" si="2631"/>
        <v>0</v>
      </c>
      <c r="DG1231">
        <f t="shared" si="2632"/>
        <v>0</v>
      </c>
      <c r="DH1231">
        <f t="shared" si="2632"/>
        <v>0</v>
      </c>
      <c r="DI1231">
        <f t="shared" si="2632"/>
        <v>0</v>
      </c>
      <c r="DJ1231">
        <f t="shared" si="2632"/>
        <v>0</v>
      </c>
      <c r="DK1231">
        <f t="shared" si="2632"/>
        <v>0</v>
      </c>
      <c r="DL1231">
        <f t="shared" si="2632"/>
        <v>0</v>
      </c>
      <c r="DM1231">
        <f t="shared" si="2632"/>
        <v>0</v>
      </c>
      <c r="DN1231">
        <f t="shared" si="2632"/>
        <v>0</v>
      </c>
      <c r="DO1231">
        <f t="shared" si="2632"/>
        <v>0</v>
      </c>
      <c r="DP1231">
        <f t="shared" si="2632"/>
        <v>0</v>
      </c>
      <c r="DQ1231">
        <f t="shared" si="2633"/>
        <v>0</v>
      </c>
      <c r="DR1231">
        <f t="shared" si="2633"/>
        <v>0</v>
      </c>
      <c r="DS1231">
        <f t="shared" si="2633"/>
        <v>0</v>
      </c>
      <c r="DT1231">
        <f t="shared" si="2633"/>
        <v>0</v>
      </c>
      <c r="DU1231">
        <f t="shared" si="2633"/>
        <v>0</v>
      </c>
      <c r="DV1231">
        <f t="shared" si="2633"/>
        <v>0</v>
      </c>
      <c r="DW1231">
        <f t="shared" si="2633"/>
        <v>0</v>
      </c>
      <c r="DX1231">
        <f t="shared" si="2633"/>
        <v>0</v>
      </c>
      <c r="DY1231">
        <f t="shared" si="2633"/>
        <v>0</v>
      </c>
      <c r="DZ1231">
        <f t="shared" si="2623"/>
        <v>0</v>
      </c>
      <c r="EA1231">
        <f t="shared" si="2624"/>
        <v>0</v>
      </c>
      <c r="EB1231">
        <f t="shared" si="2625"/>
        <v>0</v>
      </c>
      <c r="EC1231">
        <f t="shared" si="2626"/>
        <v>0</v>
      </c>
      <c r="ED1231">
        <f t="shared" si="2627"/>
        <v>0</v>
      </c>
      <c r="EE1231">
        <f t="shared" si="2627"/>
        <v>0</v>
      </c>
      <c r="EF1231">
        <f t="shared" si="2627"/>
        <v>0</v>
      </c>
    </row>
    <row r="1232" spans="1:136" ht="15.5">
      <c r="A1232" s="90"/>
      <c r="B1232" s="19" t="s">
        <v>18</v>
      </c>
      <c r="C1232" s="96"/>
      <c r="D1232" s="18">
        <v>0</v>
      </c>
      <c r="E1232" s="18">
        <v>0</v>
      </c>
      <c r="F1232" s="18">
        <v>0</v>
      </c>
      <c r="G1232" s="18">
        <v>0</v>
      </c>
      <c r="H1232" s="18">
        <v>0</v>
      </c>
      <c r="I1232" s="18">
        <v>0</v>
      </c>
      <c r="J1232" s="18">
        <v>0</v>
      </c>
      <c r="K1232" s="18">
        <v>0</v>
      </c>
      <c r="L1232" s="18">
        <v>0</v>
      </c>
      <c r="M1232" s="18">
        <v>0</v>
      </c>
      <c r="N1232" s="18">
        <v>0</v>
      </c>
      <c r="O1232" s="18">
        <v>0</v>
      </c>
      <c r="P1232" s="18">
        <v>0</v>
      </c>
      <c r="Q1232" s="18">
        <v>0</v>
      </c>
      <c r="R1232" s="18">
        <v>0</v>
      </c>
      <c r="S1232" s="18">
        <v>0</v>
      </c>
      <c r="T1232" s="18">
        <v>0</v>
      </c>
      <c r="U1232" s="18">
        <v>0</v>
      </c>
      <c r="V1232" s="18">
        <v>0</v>
      </c>
      <c r="W1232" s="18">
        <v>0</v>
      </c>
      <c r="X1232" s="18">
        <v>0</v>
      </c>
      <c r="Y1232" s="18">
        <v>0</v>
      </c>
      <c r="Z1232" s="18">
        <v>0</v>
      </c>
      <c r="AA1232" s="18">
        <v>0</v>
      </c>
      <c r="AB1232" s="18">
        <v>0</v>
      </c>
      <c r="AC1232" s="18">
        <v>0</v>
      </c>
      <c r="AD1232" s="18">
        <v>0</v>
      </c>
      <c r="AE1232" s="18">
        <v>0</v>
      </c>
      <c r="AF1232" s="18">
        <v>0</v>
      </c>
      <c r="AG1232" s="18">
        <v>0</v>
      </c>
      <c r="AH1232" s="40" t="s">
        <v>16</v>
      </c>
      <c r="AI1232" s="18">
        <v>22244.932941576295</v>
      </c>
      <c r="AJ1232" s="18">
        <v>23284.883556594988</v>
      </c>
      <c r="AK1232" s="18">
        <v>24257.027445082829</v>
      </c>
      <c r="AL1232" s="18">
        <v>25609.356725146197</v>
      </c>
      <c r="AM1232" s="18">
        <v>27370</v>
      </c>
      <c r="AN1232" s="18">
        <v>29087</v>
      </c>
      <c r="AO1232" s="18">
        <v>30500</v>
      </c>
      <c r="AP1232" s="18">
        <v>362</v>
      </c>
      <c r="AQ1232" s="18">
        <v>543</v>
      </c>
      <c r="AR1232" s="18">
        <v>0</v>
      </c>
      <c r="AS1232" s="18">
        <v>0</v>
      </c>
      <c r="AT1232" s="18">
        <v>0</v>
      </c>
      <c r="AU1232" s="18">
        <v>0</v>
      </c>
      <c r="AV1232" s="18">
        <v>0</v>
      </c>
      <c r="AW1232" s="18">
        <v>0</v>
      </c>
      <c r="AX1232" s="18">
        <v>0</v>
      </c>
      <c r="AY1232" s="18">
        <v>0</v>
      </c>
      <c r="AZ1232" s="18">
        <v>0</v>
      </c>
      <c r="BA1232" s="18">
        <v>0</v>
      </c>
      <c r="BB1232" s="18">
        <v>0</v>
      </c>
      <c r="BC1232" s="18">
        <v>0</v>
      </c>
      <c r="BD1232" s="18">
        <v>0</v>
      </c>
      <c r="BE1232" s="25">
        <v>0</v>
      </c>
      <c r="BF1232" s="18">
        <v>0</v>
      </c>
      <c r="BG1232" s="18">
        <v>0</v>
      </c>
      <c r="BH1232" s="18">
        <v>0</v>
      </c>
      <c r="BI1232" s="18">
        <v>0</v>
      </c>
      <c r="BJ1232" s="113">
        <v>0</v>
      </c>
      <c r="BK1232" s="113">
        <v>0</v>
      </c>
      <c r="BL1232" s="113">
        <v>0</v>
      </c>
      <c r="BM1232" s="113">
        <v>0</v>
      </c>
      <c r="BN1232" s="113">
        <v>0</v>
      </c>
      <c r="BO1232" s="113">
        <v>0</v>
      </c>
      <c r="BP1232" s="113">
        <v>0</v>
      </c>
      <c r="BQ1232" s="113">
        <v>0</v>
      </c>
      <c r="BR1232" s="101"/>
      <c r="BS1232">
        <f t="shared" si="2628"/>
        <v>0</v>
      </c>
      <c r="BT1232">
        <f t="shared" si="2628"/>
        <v>0</v>
      </c>
      <c r="BU1232">
        <f t="shared" si="2628"/>
        <v>0</v>
      </c>
      <c r="BV1232">
        <f t="shared" si="2628"/>
        <v>0</v>
      </c>
      <c r="BW1232">
        <f t="shared" si="2628"/>
        <v>0</v>
      </c>
      <c r="BX1232">
        <f t="shared" si="2628"/>
        <v>0</v>
      </c>
      <c r="BY1232">
        <f t="shared" si="2628"/>
        <v>0</v>
      </c>
      <c r="BZ1232">
        <f t="shared" si="2628"/>
        <v>0</v>
      </c>
      <c r="CA1232">
        <f t="shared" si="2628"/>
        <v>0</v>
      </c>
      <c r="CB1232">
        <f t="shared" si="2628"/>
        <v>0</v>
      </c>
      <c r="CC1232">
        <f t="shared" si="2629"/>
        <v>0</v>
      </c>
      <c r="CD1232">
        <f t="shared" si="2629"/>
        <v>0</v>
      </c>
      <c r="CE1232">
        <f t="shared" si="2629"/>
        <v>0</v>
      </c>
      <c r="CF1232">
        <f t="shared" si="2629"/>
        <v>0</v>
      </c>
      <c r="CG1232">
        <f t="shared" si="2629"/>
        <v>0</v>
      </c>
      <c r="CH1232">
        <f t="shared" si="2629"/>
        <v>0</v>
      </c>
      <c r="CI1232">
        <f t="shared" si="2629"/>
        <v>0</v>
      </c>
      <c r="CJ1232">
        <f t="shared" si="2629"/>
        <v>0</v>
      </c>
      <c r="CK1232">
        <f t="shared" si="2629"/>
        <v>0</v>
      </c>
      <c r="CL1232">
        <f t="shared" si="2629"/>
        <v>0</v>
      </c>
      <c r="CM1232">
        <f t="shared" si="2630"/>
        <v>0</v>
      </c>
      <c r="CN1232">
        <f t="shared" si="2630"/>
        <v>0</v>
      </c>
      <c r="CO1232">
        <f t="shared" si="2630"/>
        <v>0</v>
      </c>
      <c r="CP1232">
        <f t="shared" si="2630"/>
        <v>0</v>
      </c>
      <c r="CQ1232">
        <f t="shared" si="2630"/>
        <v>0</v>
      </c>
      <c r="CR1232">
        <f t="shared" si="2630"/>
        <v>0</v>
      </c>
      <c r="CS1232">
        <f t="shared" si="2630"/>
        <v>0</v>
      </c>
      <c r="CT1232">
        <f t="shared" si="2630"/>
        <v>0</v>
      </c>
      <c r="CU1232">
        <f t="shared" si="2630"/>
        <v>0</v>
      </c>
      <c r="CV1232">
        <f t="shared" si="2630"/>
        <v>0</v>
      </c>
      <c r="CW1232">
        <f t="shared" si="2631"/>
        <v>0</v>
      </c>
      <c r="CX1232">
        <f t="shared" si="2631"/>
        <v>0</v>
      </c>
      <c r="CY1232">
        <f t="shared" si="2631"/>
        <v>0</v>
      </c>
      <c r="CZ1232">
        <f t="shared" si="2631"/>
        <v>0</v>
      </c>
      <c r="DA1232">
        <f t="shared" si="2631"/>
        <v>0</v>
      </c>
      <c r="DB1232">
        <f t="shared" si="2631"/>
        <v>0</v>
      </c>
      <c r="DC1232">
        <f t="shared" si="2631"/>
        <v>0</v>
      </c>
      <c r="DD1232">
        <f t="shared" si="2631"/>
        <v>0</v>
      </c>
      <c r="DE1232">
        <f t="shared" si="2631"/>
        <v>0</v>
      </c>
      <c r="DF1232">
        <f t="shared" si="2631"/>
        <v>0</v>
      </c>
      <c r="DG1232">
        <f t="shared" si="2632"/>
        <v>0</v>
      </c>
      <c r="DH1232">
        <f t="shared" si="2632"/>
        <v>0</v>
      </c>
      <c r="DI1232">
        <f t="shared" si="2632"/>
        <v>0</v>
      </c>
      <c r="DJ1232">
        <f t="shared" si="2632"/>
        <v>0</v>
      </c>
      <c r="DK1232">
        <f t="shared" si="2632"/>
        <v>0</v>
      </c>
      <c r="DL1232">
        <f t="shared" si="2632"/>
        <v>0</v>
      </c>
      <c r="DM1232">
        <f t="shared" si="2632"/>
        <v>0</v>
      </c>
      <c r="DN1232">
        <f t="shared" si="2632"/>
        <v>0</v>
      </c>
      <c r="DO1232">
        <f t="shared" si="2632"/>
        <v>0</v>
      </c>
      <c r="DP1232">
        <f t="shared" si="2632"/>
        <v>0</v>
      </c>
      <c r="DQ1232">
        <f t="shared" si="2633"/>
        <v>0</v>
      </c>
      <c r="DR1232">
        <f t="shared" si="2633"/>
        <v>0</v>
      </c>
      <c r="DS1232">
        <f t="shared" si="2633"/>
        <v>0</v>
      </c>
      <c r="DT1232">
        <f t="shared" si="2633"/>
        <v>0</v>
      </c>
      <c r="DU1232">
        <f t="shared" si="2633"/>
        <v>0</v>
      </c>
      <c r="DV1232">
        <f t="shared" si="2633"/>
        <v>0</v>
      </c>
      <c r="DW1232">
        <f t="shared" si="2633"/>
        <v>0</v>
      </c>
      <c r="DX1232">
        <f t="shared" si="2633"/>
        <v>0</v>
      </c>
      <c r="DY1232">
        <f t="shared" si="2633"/>
        <v>0</v>
      </c>
      <c r="DZ1232">
        <f t="shared" si="2623"/>
        <v>0</v>
      </c>
      <c r="EA1232">
        <f t="shared" si="2624"/>
        <v>0</v>
      </c>
      <c r="EB1232">
        <f t="shared" si="2625"/>
        <v>0</v>
      </c>
      <c r="EC1232">
        <f t="shared" si="2626"/>
        <v>0</v>
      </c>
      <c r="ED1232">
        <f t="shared" si="2627"/>
        <v>0</v>
      </c>
      <c r="EE1232">
        <f t="shared" si="2627"/>
        <v>0</v>
      </c>
      <c r="EF1232">
        <f t="shared" si="2627"/>
        <v>0</v>
      </c>
    </row>
    <row r="1233" spans="1:136" ht="15.5">
      <c r="A1233" s="90"/>
      <c r="B1233" s="53" t="s">
        <v>25</v>
      </c>
      <c r="C1233" s="94"/>
      <c r="D1233" s="18">
        <v>2803</v>
      </c>
      <c r="E1233" s="18">
        <v>2942</v>
      </c>
      <c r="F1233" s="18">
        <v>3088</v>
      </c>
      <c r="G1233" s="18">
        <v>3243</v>
      </c>
      <c r="H1233" s="18">
        <v>3403</v>
      </c>
      <c r="I1233" s="18">
        <v>3571</v>
      </c>
      <c r="J1233" s="18">
        <v>3749</v>
      </c>
      <c r="K1233" s="18">
        <v>3412</v>
      </c>
      <c r="L1233" s="18">
        <v>3581</v>
      </c>
      <c r="M1233" s="18">
        <v>3744</v>
      </c>
      <c r="N1233" s="18">
        <v>3910</v>
      </c>
      <c r="O1233" s="18">
        <v>4344</v>
      </c>
      <c r="P1233" s="18">
        <v>4373</v>
      </c>
      <c r="Q1233" s="18">
        <v>4478</v>
      </c>
      <c r="R1233" s="18">
        <v>4651</v>
      </c>
      <c r="S1233" s="18">
        <v>4334</v>
      </c>
      <c r="T1233" s="18">
        <v>4097</v>
      </c>
      <c r="U1233" s="18">
        <v>4794</v>
      </c>
      <c r="V1233" s="18">
        <v>5511</v>
      </c>
      <c r="W1233" s="18">
        <v>5803</v>
      </c>
      <c r="X1233" s="18">
        <v>6423</v>
      </c>
      <c r="Y1233" s="18">
        <v>5331</v>
      </c>
      <c r="Z1233" s="18">
        <v>4710</v>
      </c>
      <c r="AA1233" s="18">
        <v>4410</v>
      </c>
      <c r="AB1233" s="18">
        <v>3803</v>
      </c>
      <c r="AC1233" s="18">
        <v>4898</v>
      </c>
      <c r="AD1233" s="18">
        <v>5380</v>
      </c>
      <c r="AE1233" s="18">
        <v>615</v>
      </c>
      <c r="AF1233" s="18">
        <v>564</v>
      </c>
      <c r="AG1233" s="18">
        <v>617</v>
      </c>
      <c r="AH1233" s="18">
        <v>730</v>
      </c>
      <c r="AI1233" s="18">
        <v>750</v>
      </c>
      <c r="AJ1233" s="18">
        <v>738</v>
      </c>
      <c r="AK1233" s="18">
        <v>721</v>
      </c>
      <c r="AL1233" s="18">
        <v>833</v>
      </c>
      <c r="AM1233" s="18">
        <v>950</v>
      </c>
      <c r="AN1233" s="18">
        <v>935</v>
      </c>
      <c r="AO1233" s="18">
        <v>0</v>
      </c>
      <c r="AP1233" s="18">
        <v>29614</v>
      </c>
      <c r="AQ1233" s="18">
        <v>29377</v>
      </c>
      <c r="AR1233" s="18">
        <v>33250</v>
      </c>
      <c r="AS1233" s="18">
        <v>0</v>
      </c>
      <c r="AT1233" s="18">
        <v>0</v>
      </c>
      <c r="AU1233" s="18">
        <v>0</v>
      </c>
      <c r="AV1233" s="18">
        <v>0</v>
      </c>
      <c r="AW1233" s="18">
        <v>0</v>
      </c>
      <c r="AX1233" s="18">
        <v>0</v>
      </c>
      <c r="AY1233" s="18">
        <v>0</v>
      </c>
      <c r="AZ1233" s="18">
        <v>0</v>
      </c>
      <c r="BA1233" s="18">
        <v>0</v>
      </c>
      <c r="BB1233" s="18">
        <v>0</v>
      </c>
      <c r="BC1233" s="18">
        <v>0</v>
      </c>
      <c r="BD1233" s="18">
        <v>0</v>
      </c>
      <c r="BE1233" s="25">
        <v>0</v>
      </c>
      <c r="BF1233" s="18">
        <v>0</v>
      </c>
      <c r="BG1233" s="34">
        <v>0</v>
      </c>
      <c r="BH1233" s="34">
        <v>0</v>
      </c>
      <c r="BI1233" s="34">
        <v>0</v>
      </c>
      <c r="BJ1233" s="113">
        <v>0</v>
      </c>
      <c r="BK1233" s="113">
        <v>0</v>
      </c>
      <c r="BL1233" s="113">
        <v>0</v>
      </c>
      <c r="BM1233" s="113">
        <v>0</v>
      </c>
      <c r="BN1233" s="113">
        <v>44443</v>
      </c>
      <c r="BO1233" s="113">
        <v>47067</v>
      </c>
      <c r="BP1233" s="113">
        <v>49846</v>
      </c>
      <c r="BQ1233" s="113">
        <v>52625</v>
      </c>
      <c r="BR1233" s="101"/>
      <c r="BS1233">
        <f t="shared" si="2628"/>
        <v>0</v>
      </c>
      <c r="BT1233">
        <f t="shared" si="2628"/>
        <v>0</v>
      </c>
      <c r="BU1233">
        <f t="shared" si="2628"/>
        <v>0</v>
      </c>
      <c r="BV1233">
        <f t="shared" si="2628"/>
        <v>0</v>
      </c>
      <c r="BW1233">
        <f t="shared" si="2628"/>
        <v>0</v>
      </c>
      <c r="BX1233">
        <f t="shared" si="2628"/>
        <v>0</v>
      </c>
      <c r="BY1233">
        <f t="shared" si="2628"/>
        <v>0</v>
      </c>
      <c r="BZ1233">
        <f t="shared" si="2628"/>
        <v>0</v>
      </c>
      <c r="CA1233">
        <f t="shared" si="2628"/>
        <v>0</v>
      </c>
      <c r="CB1233">
        <f t="shared" si="2628"/>
        <v>0</v>
      </c>
      <c r="CC1233">
        <f t="shared" si="2629"/>
        <v>0</v>
      </c>
      <c r="CD1233">
        <f t="shared" si="2629"/>
        <v>0</v>
      </c>
      <c r="CE1233">
        <f t="shared" si="2629"/>
        <v>0</v>
      </c>
      <c r="CF1233">
        <f t="shared" si="2629"/>
        <v>0</v>
      </c>
      <c r="CG1233">
        <f t="shared" si="2629"/>
        <v>0</v>
      </c>
      <c r="CH1233">
        <f t="shared" si="2629"/>
        <v>0</v>
      </c>
      <c r="CI1233">
        <f t="shared" si="2629"/>
        <v>0</v>
      </c>
      <c r="CJ1233">
        <f t="shared" si="2629"/>
        <v>0</v>
      </c>
      <c r="CK1233">
        <f t="shared" si="2629"/>
        <v>0</v>
      </c>
      <c r="CL1233">
        <f t="shared" si="2629"/>
        <v>0</v>
      </c>
      <c r="CM1233">
        <f t="shared" si="2630"/>
        <v>0</v>
      </c>
      <c r="CN1233">
        <f t="shared" si="2630"/>
        <v>0</v>
      </c>
      <c r="CO1233">
        <f t="shared" si="2630"/>
        <v>0</v>
      </c>
      <c r="CP1233">
        <f t="shared" si="2630"/>
        <v>0</v>
      </c>
      <c r="CQ1233">
        <f t="shared" si="2630"/>
        <v>0</v>
      </c>
      <c r="CR1233">
        <f t="shared" si="2630"/>
        <v>0</v>
      </c>
      <c r="CS1233">
        <f t="shared" si="2630"/>
        <v>0</v>
      </c>
      <c r="CT1233">
        <f t="shared" si="2630"/>
        <v>0</v>
      </c>
      <c r="CU1233">
        <f t="shared" si="2630"/>
        <v>0</v>
      </c>
      <c r="CV1233">
        <f t="shared" si="2630"/>
        <v>0</v>
      </c>
      <c r="CW1233">
        <f t="shared" si="2631"/>
        <v>0</v>
      </c>
      <c r="CX1233">
        <f t="shared" si="2631"/>
        <v>0</v>
      </c>
      <c r="CY1233">
        <f t="shared" si="2631"/>
        <v>0</v>
      </c>
      <c r="CZ1233">
        <f t="shared" si="2631"/>
        <v>0</v>
      </c>
      <c r="DA1233">
        <f t="shared" si="2631"/>
        <v>0</v>
      </c>
      <c r="DB1233">
        <f t="shared" si="2631"/>
        <v>0</v>
      </c>
      <c r="DC1233">
        <f t="shared" si="2631"/>
        <v>0</v>
      </c>
      <c r="DD1233">
        <f t="shared" si="2631"/>
        <v>0</v>
      </c>
      <c r="DE1233">
        <f t="shared" si="2631"/>
        <v>0</v>
      </c>
      <c r="DF1233">
        <f t="shared" si="2631"/>
        <v>0</v>
      </c>
      <c r="DG1233">
        <f t="shared" si="2632"/>
        <v>0</v>
      </c>
      <c r="DH1233">
        <f t="shared" si="2632"/>
        <v>0</v>
      </c>
      <c r="DI1233">
        <f t="shared" si="2632"/>
        <v>0</v>
      </c>
      <c r="DJ1233">
        <f t="shared" si="2632"/>
        <v>0</v>
      </c>
      <c r="DK1233">
        <f t="shared" si="2632"/>
        <v>0</v>
      </c>
      <c r="DL1233">
        <f t="shared" si="2632"/>
        <v>0</v>
      </c>
      <c r="DM1233">
        <f t="shared" si="2632"/>
        <v>0</v>
      </c>
      <c r="DN1233">
        <f t="shared" si="2632"/>
        <v>0</v>
      </c>
      <c r="DO1233">
        <f t="shared" si="2632"/>
        <v>0</v>
      </c>
      <c r="DP1233">
        <f t="shared" si="2632"/>
        <v>0</v>
      </c>
      <c r="DQ1233">
        <f t="shared" si="2633"/>
        <v>0</v>
      </c>
      <c r="DR1233">
        <f t="shared" si="2633"/>
        <v>0</v>
      </c>
      <c r="DS1233">
        <f t="shared" si="2633"/>
        <v>0</v>
      </c>
      <c r="DT1233">
        <f t="shared" si="2633"/>
        <v>0</v>
      </c>
      <c r="DU1233">
        <f t="shared" si="2633"/>
        <v>0</v>
      </c>
      <c r="DV1233">
        <f t="shared" si="2633"/>
        <v>0</v>
      </c>
      <c r="DW1233">
        <f t="shared" si="2633"/>
        <v>0</v>
      </c>
      <c r="DX1233">
        <f t="shared" si="2633"/>
        <v>0</v>
      </c>
      <c r="DY1233">
        <f t="shared" si="2633"/>
        <v>0</v>
      </c>
      <c r="DZ1233">
        <f t="shared" si="2623"/>
        <v>0</v>
      </c>
      <c r="EA1233">
        <f t="shared" si="2624"/>
        <v>0</v>
      </c>
      <c r="EB1233">
        <f t="shared" si="2625"/>
        <v>0</v>
      </c>
      <c r="EC1233">
        <f t="shared" si="2626"/>
        <v>0</v>
      </c>
      <c r="ED1233">
        <f t="shared" si="2627"/>
        <v>0</v>
      </c>
      <c r="EE1233">
        <f t="shared" si="2627"/>
        <v>0</v>
      </c>
      <c r="EF1233">
        <f t="shared" si="2627"/>
        <v>0</v>
      </c>
    </row>
    <row r="1234" spans="1:136" ht="15.5">
      <c r="A1234" s="90"/>
      <c r="B1234" s="57" t="s">
        <v>208</v>
      </c>
      <c r="C1234" s="97"/>
      <c r="D1234" s="18">
        <v>0</v>
      </c>
      <c r="E1234" s="18">
        <v>0</v>
      </c>
      <c r="F1234" s="18">
        <v>0</v>
      </c>
      <c r="G1234" s="18">
        <v>0</v>
      </c>
      <c r="H1234" s="18">
        <v>0</v>
      </c>
      <c r="I1234" s="18">
        <v>0</v>
      </c>
      <c r="J1234" s="18">
        <v>0</v>
      </c>
      <c r="K1234" s="18">
        <v>0</v>
      </c>
      <c r="L1234" s="18">
        <v>0</v>
      </c>
      <c r="M1234" s="18">
        <v>0</v>
      </c>
      <c r="N1234" s="18">
        <v>0</v>
      </c>
      <c r="O1234" s="18">
        <v>0</v>
      </c>
      <c r="P1234" s="18">
        <v>0</v>
      </c>
      <c r="Q1234" s="18">
        <v>0</v>
      </c>
      <c r="R1234" s="18">
        <v>0</v>
      </c>
      <c r="S1234" s="18">
        <v>0</v>
      </c>
      <c r="T1234" s="18">
        <v>0</v>
      </c>
      <c r="U1234" s="18">
        <v>0</v>
      </c>
      <c r="V1234" s="18">
        <v>0</v>
      </c>
      <c r="W1234" s="18">
        <v>0</v>
      </c>
      <c r="X1234" s="18">
        <v>0</v>
      </c>
      <c r="Y1234" s="18">
        <v>0</v>
      </c>
      <c r="Z1234" s="18">
        <v>0</v>
      </c>
      <c r="AA1234" s="18">
        <v>0</v>
      </c>
      <c r="AB1234" s="18">
        <v>0</v>
      </c>
      <c r="AC1234" s="18">
        <v>0</v>
      </c>
      <c r="AD1234" s="18">
        <v>0</v>
      </c>
      <c r="AE1234" s="18">
        <v>0</v>
      </c>
      <c r="AF1234" s="18">
        <v>0</v>
      </c>
      <c r="AG1234" s="18">
        <v>0</v>
      </c>
      <c r="AH1234" s="18">
        <v>0</v>
      </c>
      <c r="AI1234" s="18">
        <v>0</v>
      </c>
      <c r="AJ1234" s="18">
        <v>0</v>
      </c>
      <c r="AK1234" s="18">
        <v>0</v>
      </c>
      <c r="AL1234" s="18">
        <v>0</v>
      </c>
      <c r="AM1234" s="18">
        <v>0</v>
      </c>
      <c r="AN1234" s="18">
        <v>0</v>
      </c>
      <c r="AO1234" s="18">
        <v>0</v>
      </c>
      <c r="AP1234" s="34">
        <v>0</v>
      </c>
      <c r="AQ1234" s="34">
        <v>0</v>
      </c>
      <c r="AR1234" s="34">
        <v>0</v>
      </c>
      <c r="AS1234" s="34">
        <v>0</v>
      </c>
      <c r="AT1234" s="34">
        <v>0</v>
      </c>
      <c r="AU1234" s="34">
        <v>0</v>
      </c>
      <c r="AV1234" s="34">
        <v>0</v>
      </c>
      <c r="AW1234" s="34">
        <v>0</v>
      </c>
      <c r="AX1234" s="34">
        <v>320.26499999999999</v>
      </c>
      <c r="AY1234" s="34">
        <v>0</v>
      </c>
      <c r="AZ1234" s="34">
        <v>13.45</v>
      </c>
      <c r="BA1234" s="34">
        <v>0</v>
      </c>
      <c r="BB1234" s="34">
        <v>0</v>
      </c>
      <c r="BC1234" s="34">
        <v>0</v>
      </c>
      <c r="BD1234" s="34">
        <v>0</v>
      </c>
      <c r="BE1234" s="34">
        <v>0</v>
      </c>
      <c r="BF1234" s="34">
        <v>0</v>
      </c>
      <c r="BG1234" s="34">
        <v>0</v>
      </c>
      <c r="BH1234" s="34">
        <v>0</v>
      </c>
      <c r="BI1234" s="34">
        <v>0</v>
      </c>
      <c r="BJ1234" s="34">
        <v>0</v>
      </c>
      <c r="BK1234" s="34">
        <v>0</v>
      </c>
      <c r="BL1234" s="34">
        <v>0</v>
      </c>
      <c r="BM1234" s="34">
        <v>0</v>
      </c>
      <c r="BN1234" s="34">
        <v>0</v>
      </c>
      <c r="BO1234" s="113">
        <v>0</v>
      </c>
      <c r="BP1234" s="113">
        <v>0</v>
      </c>
      <c r="BQ1234" s="113">
        <v>0</v>
      </c>
      <c r="BR1234" s="101"/>
      <c r="BS1234">
        <f t="shared" si="2628"/>
        <v>0</v>
      </c>
      <c r="BT1234">
        <f t="shared" ref="BT1234:CB1234" si="2634">IF($C1234&lt;&gt;"",IF(E1234&gt;0,1,0),0)</f>
        <v>0</v>
      </c>
      <c r="BU1234">
        <f t="shared" si="2634"/>
        <v>0</v>
      </c>
      <c r="BV1234">
        <f t="shared" si="2634"/>
        <v>0</v>
      </c>
      <c r="BW1234">
        <f t="shared" si="2634"/>
        <v>0</v>
      </c>
      <c r="BX1234">
        <f t="shared" si="2634"/>
        <v>0</v>
      </c>
      <c r="BY1234">
        <f t="shared" si="2634"/>
        <v>0</v>
      </c>
      <c r="BZ1234">
        <f t="shared" si="2634"/>
        <v>0</v>
      </c>
      <c r="CA1234">
        <f t="shared" si="2634"/>
        <v>0</v>
      </c>
      <c r="CB1234">
        <f t="shared" si="2634"/>
        <v>0</v>
      </c>
      <c r="CC1234">
        <f t="shared" si="2629"/>
        <v>0</v>
      </c>
      <c r="CD1234">
        <f t="shared" si="2629"/>
        <v>0</v>
      </c>
      <c r="CE1234">
        <f t="shared" si="2629"/>
        <v>0</v>
      </c>
      <c r="CF1234">
        <f t="shared" si="2629"/>
        <v>0</v>
      </c>
      <c r="CG1234">
        <f t="shared" si="2629"/>
        <v>0</v>
      </c>
      <c r="CH1234">
        <f t="shared" si="2629"/>
        <v>0</v>
      </c>
      <c r="CI1234">
        <f t="shared" si="2629"/>
        <v>0</v>
      </c>
      <c r="CJ1234">
        <f t="shared" si="2629"/>
        <v>0</v>
      </c>
      <c r="CK1234">
        <f t="shared" si="2629"/>
        <v>0</v>
      </c>
      <c r="CL1234">
        <f t="shared" si="2629"/>
        <v>0</v>
      </c>
      <c r="CM1234">
        <f t="shared" si="2630"/>
        <v>0</v>
      </c>
      <c r="CN1234">
        <f t="shared" si="2630"/>
        <v>0</v>
      </c>
      <c r="CO1234">
        <f t="shared" si="2630"/>
        <v>0</v>
      </c>
      <c r="CP1234">
        <f t="shared" si="2630"/>
        <v>0</v>
      </c>
      <c r="CQ1234">
        <f t="shared" si="2630"/>
        <v>0</v>
      </c>
      <c r="CR1234">
        <f t="shared" si="2630"/>
        <v>0</v>
      </c>
      <c r="CS1234">
        <f t="shared" si="2630"/>
        <v>0</v>
      </c>
      <c r="CT1234">
        <f t="shared" si="2630"/>
        <v>0</v>
      </c>
      <c r="CU1234">
        <f t="shared" si="2630"/>
        <v>0</v>
      </c>
      <c r="CV1234">
        <f t="shared" si="2630"/>
        <v>0</v>
      </c>
      <c r="CW1234">
        <f t="shared" si="2631"/>
        <v>0</v>
      </c>
      <c r="CX1234">
        <f t="shared" si="2631"/>
        <v>0</v>
      </c>
      <c r="CY1234">
        <f t="shared" si="2631"/>
        <v>0</v>
      </c>
      <c r="CZ1234">
        <f t="shared" si="2631"/>
        <v>0</v>
      </c>
      <c r="DA1234">
        <f t="shared" si="2631"/>
        <v>0</v>
      </c>
      <c r="DB1234">
        <f t="shared" si="2631"/>
        <v>0</v>
      </c>
      <c r="DC1234">
        <f t="shared" si="2631"/>
        <v>0</v>
      </c>
      <c r="DD1234">
        <f t="shared" si="2631"/>
        <v>0</v>
      </c>
      <c r="DE1234">
        <f t="shared" si="2631"/>
        <v>0</v>
      </c>
      <c r="DF1234">
        <f t="shared" si="2631"/>
        <v>0</v>
      </c>
      <c r="DG1234">
        <f t="shared" si="2632"/>
        <v>0</v>
      </c>
      <c r="DH1234">
        <f t="shared" si="2632"/>
        <v>0</v>
      </c>
      <c r="DI1234">
        <f t="shared" si="2632"/>
        <v>0</v>
      </c>
      <c r="DJ1234">
        <f t="shared" si="2632"/>
        <v>0</v>
      </c>
      <c r="DK1234">
        <f t="shared" si="2632"/>
        <v>0</v>
      </c>
      <c r="DL1234">
        <f t="shared" si="2632"/>
        <v>0</v>
      </c>
      <c r="DM1234">
        <f t="shared" si="2632"/>
        <v>0</v>
      </c>
      <c r="DN1234">
        <f t="shared" si="2632"/>
        <v>0</v>
      </c>
      <c r="DO1234">
        <f t="shared" si="2632"/>
        <v>0</v>
      </c>
      <c r="DP1234">
        <f t="shared" si="2632"/>
        <v>0</v>
      </c>
      <c r="DQ1234">
        <f t="shared" si="2633"/>
        <v>0</v>
      </c>
      <c r="DR1234">
        <f t="shared" si="2633"/>
        <v>0</v>
      </c>
      <c r="DS1234">
        <f t="shared" si="2633"/>
        <v>0</v>
      </c>
      <c r="DT1234">
        <f t="shared" si="2633"/>
        <v>0</v>
      </c>
      <c r="DU1234">
        <f t="shared" si="2633"/>
        <v>0</v>
      </c>
      <c r="DV1234">
        <f t="shared" si="2633"/>
        <v>0</v>
      </c>
      <c r="DW1234">
        <f t="shared" si="2633"/>
        <v>0</v>
      </c>
      <c r="DX1234">
        <f t="shared" si="2633"/>
        <v>0</v>
      </c>
      <c r="DY1234">
        <f t="shared" si="2633"/>
        <v>0</v>
      </c>
      <c r="DZ1234">
        <f t="shared" si="2623"/>
        <v>0</v>
      </c>
      <c r="EA1234">
        <f t="shared" si="2624"/>
        <v>0</v>
      </c>
      <c r="EB1234">
        <f t="shared" si="2625"/>
        <v>0</v>
      </c>
      <c r="EC1234">
        <f t="shared" si="2626"/>
        <v>0</v>
      </c>
      <c r="ED1234">
        <f t="shared" si="2627"/>
        <v>0</v>
      </c>
      <c r="EE1234">
        <f t="shared" si="2627"/>
        <v>0</v>
      </c>
      <c r="EF1234">
        <f t="shared" si="2627"/>
        <v>0</v>
      </c>
    </row>
    <row r="1235" spans="1:136" ht="15.5">
      <c r="A1235" s="90"/>
      <c r="B1235" s="53" t="s">
        <v>21</v>
      </c>
      <c r="C1235" s="94"/>
      <c r="D1235" s="18">
        <v>0</v>
      </c>
      <c r="E1235" s="18">
        <v>0</v>
      </c>
      <c r="F1235" s="18">
        <v>0</v>
      </c>
      <c r="G1235" s="34">
        <v>0</v>
      </c>
      <c r="H1235" s="34">
        <v>0</v>
      </c>
      <c r="I1235" s="34">
        <v>0</v>
      </c>
      <c r="J1235" s="34">
        <v>0</v>
      </c>
      <c r="K1235" s="34">
        <v>0</v>
      </c>
      <c r="L1235" s="34">
        <v>0</v>
      </c>
      <c r="M1235" s="34">
        <v>0</v>
      </c>
      <c r="N1235" s="34">
        <v>0</v>
      </c>
      <c r="O1235" s="34">
        <v>0</v>
      </c>
      <c r="P1235" s="34">
        <v>0</v>
      </c>
      <c r="Q1235" s="34">
        <v>0</v>
      </c>
      <c r="R1235" s="34">
        <v>0</v>
      </c>
      <c r="S1235" s="34">
        <v>0</v>
      </c>
      <c r="T1235" s="34">
        <v>0</v>
      </c>
      <c r="U1235" s="34">
        <v>0</v>
      </c>
      <c r="V1235" s="34">
        <v>0</v>
      </c>
      <c r="W1235" s="34">
        <v>0</v>
      </c>
      <c r="X1235" s="34">
        <v>0</v>
      </c>
      <c r="Y1235" s="34">
        <v>0</v>
      </c>
      <c r="Z1235" s="34">
        <v>0</v>
      </c>
      <c r="AA1235" s="34">
        <v>0</v>
      </c>
      <c r="AB1235" s="34">
        <v>0</v>
      </c>
      <c r="AC1235" s="34">
        <v>0</v>
      </c>
      <c r="AD1235" s="34">
        <v>0</v>
      </c>
      <c r="AE1235" s="34">
        <v>0</v>
      </c>
      <c r="AF1235" s="34">
        <v>0</v>
      </c>
      <c r="AG1235" s="34">
        <v>0</v>
      </c>
      <c r="AH1235" s="18">
        <v>0</v>
      </c>
      <c r="AI1235" s="18">
        <v>8017</v>
      </c>
      <c r="AJ1235" s="18">
        <v>0</v>
      </c>
      <c r="AK1235" s="18">
        <v>5127</v>
      </c>
      <c r="AL1235" s="18">
        <v>0</v>
      </c>
      <c r="AM1235" s="18">
        <v>0</v>
      </c>
      <c r="AN1235" s="18">
        <v>0</v>
      </c>
      <c r="AO1235" s="18">
        <v>0</v>
      </c>
      <c r="AP1235" s="18">
        <v>36261</v>
      </c>
      <c r="AQ1235" s="18">
        <v>36261</v>
      </c>
      <c r="AR1235" s="18">
        <v>0</v>
      </c>
      <c r="AS1235" s="18">
        <v>0</v>
      </c>
      <c r="AT1235" s="18">
        <v>0</v>
      </c>
      <c r="AU1235" s="18">
        <v>0</v>
      </c>
      <c r="AV1235" s="18">
        <v>0</v>
      </c>
      <c r="AW1235" s="18">
        <v>0</v>
      </c>
      <c r="AX1235" s="18">
        <v>0</v>
      </c>
      <c r="AY1235" s="18">
        <v>0</v>
      </c>
      <c r="AZ1235" s="18">
        <v>0</v>
      </c>
      <c r="BA1235" s="18">
        <v>0</v>
      </c>
      <c r="BB1235" s="18">
        <v>0</v>
      </c>
      <c r="BC1235" s="18">
        <v>0</v>
      </c>
      <c r="BD1235" s="18">
        <v>0</v>
      </c>
      <c r="BE1235" s="25">
        <v>0</v>
      </c>
      <c r="BF1235" s="18">
        <v>0</v>
      </c>
      <c r="BG1235" s="18">
        <v>0</v>
      </c>
      <c r="BH1235" s="18">
        <v>0</v>
      </c>
      <c r="BI1235" s="18">
        <v>0</v>
      </c>
      <c r="BJ1235" s="113">
        <v>0</v>
      </c>
      <c r="BK1235" s="113">
        <v>0</v>
      </c>
      <c r="BL1235" s="113">
        <v>0</v>
      </c>
      <c r="BM1235" s="113">
        <v>0</v>
      </c>
      <c r="BN1235" s="113">
        <v>0</v>
      </c>
      <c r="BO1235" s="113">
        <v>0</v>
      </c>
      <c r="BP1235" s="113">
        <v>0</v>
      </c>
      <c r="BQ1235" s="113">
        <v>0</v>
      </c>
      <c r="BR1235" s="101"/>
      <c r="BS1235">
        <f t="shared" ref="BS1235:CB1236" si="2635">IF($C1235&lt;&gt;"",IF(D1235&gt;0,1,0),0)</f>
        <v>0</v>
      </c>
      <c r="BT1235">
        <f t="shared" si="2635"/>
        <v>0</v>
      </c>
      <c r="BU1235">
        <f t="shared" si="2635"/>
        <v>0</v>
      </c>
      <c r="BV1235">
        <f t="shared" si="2635"/>
        <v>0</v>
      </c>
      <c r="BW1235">
        <f t="shared" si="2635"/>
        <v>0</v>
      </c>
      <c r="BX1235">
        <f t="shared" si="2635"/>
        <v>0</v>
      </c>
      <c r="BY1235">
        <f t="shared" si="2635"/>
        <v>0</v>
      </c>
      <c r="BZ1235">
        <f t="shared" si="2635"/>
        <v>0</v>
      </c>
      <c r="CA1235">
        <f t="shared" si="2635"/>
        <v>0</v>
      </c>
      <c r="CB1235">
        <f t="shared" si="2635"/>
        <v>0</v>
      </c>
      <c r="CC1235">
        <f t="shared" ref="CC1235:CL1236" si="2636">IF($C1235&lt;&gt;"",IF(N1235&gt;0,1,0),0)</f>
        <v>0</v>
      </c>
      <c r="CD1235">
        <f t="shared" si="2636"/>
        <v>0</v>
      </c>
      <c r="CE1235">
        <f t="shared" si="2636"/>
        <v>0</v>
      </c>
      <c r="CF1235">
        <f t="shared" si="2636"/>
        <v>0</v>
      </c>
      <c r="CG1235">
        <f t="shared" si="2636"/>
        <v>0</v>
      </c>
      <c r="CH1235">
        <f t="shared" si="2636"/>
        <v>0</v>
      </c>
      <c r="CI1235">
        <f t="shared" si="2636"/>
        <v>0</v>
      </c>
      <c r="CJ1235">
        <f t="shared" si="2636"/>
        <v>0</v>
      </c>
      <c r="CK1235">
        <f t="shared" si="2636"/>
        <v>0</v>
      </c>
      <c r="CL1235">
        <f t="shared" si="2636"/>
        <v>0</v>
      </c>
      <c r="CM1235">
        <f t="shared" ref="CM1235:CV1236" si="2637">IF($C1235&lt;&gt;"",IF(X1235&gt;0,1,0),0)</f>
        <v>0</v>
      </c>
      <c r="CN1235">
        <f t="shared" si="2637"/>
        <v>0</v>
      </c>
      <c r="CO1235">
        <f t="shared" si="2637"/>
        <v>0</v>
      </c>
      <c r="CP1235">
        <f t="shared" si="2637"/>
        <v>0</v>
      </c>
      <c r="CQ1235">
        <f t="shared" si="2637"/>
        <v>0</v>
      </c>
      <c r="CR1235">
        <f t="shared" si="2637"/>
        <v>0</v>
      </c>
      <c r="CS1235">
        <f t="shared" si="2637"/>
        <v>0</v>
      </c>
      <c r="CT1235">
        <f t="shared" si="2637"/>
        <v>0</v>
      </c>
      <c r="CU1235">
        <f t="shared" si="2637"/>
        <v>0</v>
      </c>
      <c r="CV1235">
        <f t="shared" si="2637"/>
        <v>0</v>
      </c>
      <c r="CW1235">
        <f t="shared" ref="CW1235:DF1236" si="2638">IF($C1235&lt;&gt;"",IF(AH1235&gt;0,1,0),0)</f>
        <v>0</v>
      </c>
      <c r="CX1235">
        <f t="shared" si="2638"/>
        <v>0</v>
      </c>
      <c r="CY1235">
        <f t="shared" si="2638"/>
        <v>0</v>
      </c>
      <c r="CZ1235">
        <f t="shared" si="2638"/>
        <v>0</v>
      </c>
      <c r="DA1235">
        <f t="shared" si="2638"/>
        <v>0</v>
      </c>
      <c r="DB1235">
        <f t="shared" si="2638"/>
        <v>0</v>
      </c>
      <c r="DC1235">
        <f t="shared" si="2638"/>
        <v>0</v>
      </c>
      <c r="DD1235">
        <f t="shared" si="2638"/>
        <v>0</v>
      </c>
      <c r="DE1235">
        <f t="shared" si="2638"/>
        <v>0</v>
      </c>
      <c r="DF1235">
        <f t="shared" si="2638"/>
        <v>0</v>
      </c>
      <c r="DG1235">
        <f t="shared" ref="DG1235:DP1236" si="2639">IF($C1235&lt;&gt;"",IF(AR1235&gt;0,1,0),0)</f>
        <v>0</v>
      </c>
      <c r="DH1235">
        <f t="shared" si="2639"/>
        <v>0</v>
      </c>
      <c r="DI1235">
        <f t="shared" si="2639"/>
        <v>0</v>
      </c>
      <c r="DJ1235">
        <f t="shared" si="2639"/>
        <v>0</v>
      </c>
      <c r="DK1235">
        <f t="shared" si="2639"/>
        <v>0</v>
      </c>
      <c r="DL1235">
        <f t="shared" si="2639"/>
        <v>0</v>
      </c>
      <c r="DM1235">
        <f t="shared" si="2639"/>
        <v>0</v>
      </c>
      <c r="DN1235">
        <f t="shared" si="2639"/>
        <v>0</v>
      </c>
      <c r="DO1235">
        <f t="shared" si="2639"/>
        <v>0</v>
      </c>
      <c r="DP1235">
        <f t="shared" si="2639"/>
        <v>0</v>
      </c>
      <c r="DQ1235">
        <f t="shared" ref="DQ1235:DY1236" si="2640">IF($C1235&lt;&gt;"",IF(BB1235&gt;0,1,0),0)</f>
        <v>0</v>
      </c>
      <c r="DR1235">
        <f t="shared" si="2640"/>
        <v>0</v>
      </c>
      <c r="DS1235">
        <f t="shared" si="2640"/>
        <v>0</v>
      </c>
      <c r="DT1235">
        <f t="shared" si="2640"/>
        <v>0</v>
      </c>
      <c r="DU1235">
        <f t="shared" si="2640"/>
        <v>0</v>
      </c>
      <c r="DV1235">
        <f t="shared" si="2640"/>
        <v>0</v>
      </c>
      <c r="DW1235">
        <f t="shared" si="2640"/>
        <v>0</v>
      </c>
      <c r="DX1235">
        <f t="shared" si="2640"/>
        <v>0</v>
      </c>
      <c r="DY1235">
        <f t="shared" si="2640"/>
        <v>0</v>
      </c>
      <c r="DZ1235">
        <f t="shared" si="2623"/>
        <v>0</v>
      </c>
      <c r="EA1235">
        <f t="shared" si="2624"/>
        <v>0</v>
      </c>
      <c r="EB1235">
        <f t="shared" si="2625"/>
        <v>0</v>
      </c>
      <c r="EC1235">
        <f t="shared" si="2626"/>
        <v>0</v>
      </c>
      <c r="ED1235">
        <f t="shared" si="2627"/>
        <v>0</v>
      </c>
      <c r="EE1235">
        <f t="shared" si="2627"/>
        <v>0</v>
      </c>
      <c r="EF1235">
        <f t="shared" si="2627"/>
        <v>0</v>
      </c>
    </row>
    <row r="1236" spans="1:136" ht="15.5">
      <c r="A1236" s="90"/>
      <c r="B1236" s="57" t="s">
        <v>212</v>
      </c>
      <c r="C1236" s="94"/>
      <c r="D1236" s="18"/>
      <c r="E1236" s="18"/>
      <c r="F1236" s="18"/>
      <c r="G1236" s="18"/>
      <c r="H1236" s="18"/>
      <c r="I1236" s="18"/>
      <c r="J1236" s="18"/>
      <c r="K1236" s="18"/>
      <c r="L1236" s="18"/>
      <c r="M1236" s="18"/>
      <c r="N1236" s="18"/>
      <c r="O1236" s="18"/>
      <c r="P1236" s="18"/>
      <c r="Q1236" s="18"/>
      <c r="R1236" s="18"/>
      <c r="S1236" s="18"/>
      <c r="T1236" s="18"/>
      <c r="U1236" s="18"/>
      <c r="V1236" s="18"/>
      <c r="W1236" s="18"/>
      <c r="X1236" s="18"/>
      <c r="Y1236" s="18"/>
      <c r="Z1236" s="18"/>
      <c r="AA1236" s="18"/>
      <c r="AB1236" s="18"/>
      <c r="AC1236" s="18"/>
      <c r="AD1236" s="18"/>
      <c r="AE1236" s="18"/>
      <c r="AF1236" s="18"/>
      <c r="AG1236" s="18"/>
      <c r="AH1236" s="18"/>
      <c r="AI1236" s="40" t="s">
        <v>16</v>
      </c>
      <c r="AJ1236" s="18"/>
      <c r="AK1236" s="40" t="s">
        <v>16</v>
      </c>
      <c r="AL1236" s="18"/>
      <c r="AM1236" s="40" t="s">
        <v>16</v>
      </c>
      <c r="AN1236" s="18">
        <v>12381</v>
      </c>
      <c r="AO1236" s="40" t="s">
        <v>16</v>
      </c>
      <c r="AP1236" s="40" t="s">
        <v>16</v>
      </c>
      <c r="AQ1236" s="18">
        <f>232000/24.6</f>
        <v>9430.8943089430886</v>
      </c>
      <c r="AR1236" s="18">
        <f>234000/28.2</f>
        <v>8297.8723404255325</v>
      </c>
      <c r="AS1236" s="18">
        <f>215000/30.1</f>
        <v>7142.8571428571422</v>
      </c>
      <c r="AT1236" s="18">
        <f>137000/31.8</f>
        <v>4308.1761006289307</v>
      </c>
      <c r="AU1236" s="18">
        <f>146000/29.5</f>
        <v>4949.1525423728817</v>
      </c>
      <c r="AV1236" s="18">
        <f>75000/27.7</f>
        <v>2707.5812274368232</v>
      </c>
      <c r="AW1236" s="18">
        <v>0</v>
      </c>
      <c r="AX1236" s="18">
        <v>0</v>
      </c>
      <c r="AY1236" s="18">
        <v>0</v>
      </c>
      <c r="AZ1236" s="18">
        <v>0</v>
      </c>
      <c r="BA1236" s="18">
        <v>0</v>
      </c>
      <c r="BB1236" s="18">
        <v>0</v>
      </c>
      <c r="BC1236" s="18">
        <v>0</v>
      </c>
      <c r="BD1236" s="18">
        <v>0</v>
      </c>
      <c r="BE1236" s="25">
        <v>0</v>
      </c>
      <c r="BF1236" s="18">
        <v>0</v>
      </c>
      <c r="BG1236" s="18">
        <v>0</v>
      </c>
      <c r="BH1236" s="18">
        <v>0</v>
      </c>
      <c r="BI1236" s="18">
        <v>0</v>
      </c>
      <c r="BJ1236" s="113">
        <v>0</v>
      </c>
      <c r="BK1236" s="113">
        <v>0</v>
      </c>
      <c r="BL1236" s="113">
        <v>0</v>
      </c>
      <c r="BM1236" s="113">
        <v>0</v>
      </c>
      <c r="BN1236" s="40" t="s">
        <v>16</v>
      </c>
      <c r="BO1236" s="40" t="s">
        <v>16</v>
      </c>
      <c r="BP1236" s="40" t="s">
        <v>16</v>
      </c>
      <c r="BQ1236" s="40" t="s">
        <v>16</v>
      </c>
      <c r="BR1236" s="101"/>
      <c r="BS1236">
        <f t="shared" si="2635"/>
        <v>0</v>
      </c>
      <c r="BT1236">
        <f t="shared" si="2635"/>
        <v>0</v>
      </c>
      <c r="BU1236">
        <f t="shared" si="2635"/>
        <v>0</v>
      </c>
      <c r="BV1236">
        <f t="shared" si="2635"/>
        <v>0</v>
      </c>
      <c r="BW1236">
        <f t="shared" si="2635"/>
        <v>0</v>
      </c>
      <c r="BX1236">
        <f t="shared" si="2635"/>
        <v>0</v>
      </c>
      <c r="BY1236">
        <f t="shared" si="2635"/>
        <v>0</v>
      </c>
      <c r="BZ1236">
        <f t="shared" si="2635"/>
        <v>0</v>
      </c>
      <c r="CA1236">
        <f t="shared" si="2635"/>
        <v>0</v>
      </c>
      <c r="CB1236">
        <f t="shared" si="2635"/>
        <v>0</v>
      </c>
      <c r="CC1236">
        <f t="shared" si="2636"/>
        <v>0</v>
      </c>
      <c r="CD1236">
        <f t="shared" si="2636"/>
        <v>0</v>
      </c>
      <c r="CE1236">
        <f t="shared" si="2636"/>
        <v>0</v>
      </c>
      <c r="CF1236">
        <f t="shared" si="2636"/>
        <v>0</v>
      </c>
      <c r="CG1236">
        <f t="shared" si="2636"/>
        <v>0</v>
      </c>
      <c r="CH1236">
        <f t="shared" si="2636"/>
        <v>0</v>
      </c>
      <c r="CI1236">
        <f t="shared" si="2636"/>
        <v>0</v>
      </c>
      <c r="CJ1236">
        <f t="shared" si="2636"/>
        <v>0</v>
      </c>
      <c r="CK1236">
        <f t="shared" si="2636"/>
        <v>0</v>
      </c>
      <c r="CL1236">
        <f t="shared" si="2636"/>
        <v>0</v>
      </c>
      <c r="CM1236">
        <f t="shared" si="2637"/>
        <v>0</v>
      </c>
      <c r="CN1236">
        <f t="shared" si="2637"/>
        <v>0</v>
      </c>
      <c r="CO1236">
        <f t="shared" si="2637"/>
        <v>0</v>
      </c>
      <c r="CP1236">
        <f t="shared" si="2637"/>
        <v>0</v>
      </c>
      <c r="CQ1236">
        <f t="shared" si="2637"/>
        <v>0</v>
      </c>
      <c r="CR1236">
        <f t="shared" si="2637"/>
        <v>0</v>
      </c>
      <c r="CS1236">
        <f t="shared" si="2637"/>
        <v>0</v>
      </c>
      <c r="CT1236">
        <f t="shared" si="2637"/>
        <v>0</v>
      </c>
      <c r="CU1236">
        <f t="shared" si="2637"/>
        <v>0</v>
      </c>
      <c r="CV1236">
        <f t="shared" si="2637"/>
        <v>0</v>
      </c>
      <c r="CW1236">
        <f t="shared" si="2638"/>
        <v>0</v>
      </c>
      <c r="CX1236">
        <f t="shared" si="2638"/>
        <v>0</v>
      </c>
      <c r="CY1236">
        <f t="shared" si="2638"/>
        <v>0</v>
      </c>
      <c r="CZ1236">
        <f t="shared" si="2638"/>
        <v>0</v>
      </c>
      <c r="DA1236">
        <f t="shared" si="2638"/>
        <v>0</v>
      </c>
      <c r="DB1236">
        <f t="shared" si="2638"/>
        <v>0</v>
      </c>
      <c r="DC1236">
        <f t="shared" si="2638"/>
        <v>0</v>
      </c>
      <c r="DD1236">
        <f t="shared" si="2638"/>
        <v>0</v>
      </c>
      <c r="DE1236">
        <f t="shared" si="2638"/>
        <v>0</v>
      </c>
      <c r="DF1236">
        <f t="shared" si="2638"/>
        <v>0</v>
      </c>
      <c r="DG1236">
        <f t="shared" si="2639"/>
        <v>0</v>
      </c>
      <c r="DH1236">
        <f t="shared" si="2639"/>
        <v>0</v>
      </c>
      <c r="DI1236">
        <f t="shared" si="2639"/>
        <v>0</v>
      </c>
      <c r="DJ1236">
        <f t="shared" si="2639"/>
        <v>0</v>
      </c>
      <c r="DK1236">
        <f t="shared" si="2639"/>
        <v>0</v>
      </c>
      <c r="DL1236">
        <f t="shared" si="2639"/>
        <v>0</v>
      </c>
      <c r="DM1236">
        <f t="shared" si="2639"/>
        <v>0</v>
      </c>
      <c r="DN1236">
        <f t="shared" si="2639"/>
        <v>0</v>
      </c>
      <c r="DO1236">
        <f t="shared" si="2639"/>
        <v>0</v>
      </c>
      <c r="DP1236">
        <f t="shared" si="2639"/>
        <v>0</v>
      </c>
      <c r="DQ1236">
        <f t="shared" si="2640"/>
        <v>0</v>
      </c>
      <c r="DR1236">
        <f t="shared" si="2640"/>
        <v>0</v>
      </c>
      <c r="DS1236">
        <f t="shared" si="2640"/>
        <v>0</v>
      </c>
      <c r="DT1236">
        <f t="shared" si="2640"/>
        <v>0</v>
      </c>
      <c r="DU1236">
        <f t="shared" si="2640"/>
        <v>0</v>
      </c>
      <c r="DV1236">
        <f t="shared" si="2640"/>
        <v>0</v>
      </c>
      <c r="DW1236">
        <f t="shared" si="2640"/>
        <v>0</v>
      </c>
      <c r="DX1236">
        <f t="shared" si="2640"/>
        <v>0</v>
      </c>
      <c r="DY1236">
        <f t="shared" si="2640"/>
        <v>0</v>
      </c>
      <c r="DZ1236">
        <f t="shared" si="2623"/>
        <v>0</v>
      </c>
      <c r="EA1236">
        <f t="shared" si="2624"/>
        <v>0</v>
      </c>
      <c r="EB1236">
        <f t="shared" si="2625"/>
        <v>0</v>
      </c>
      <c r="EC1236">
        <f t="shared" si="2626"/>
        <v>0</v>
      </c>
      <c r="ED1236">
        <f t="shared" si="2627"/>
        <v>0</v>
      </c>
      <c r="EE1236">
        <f t="shared" si="2627"/>
        <v>0</v>
      </c>
      <c r="EF1236">
        <f t="shared" si="2627"/>
        <v>0</v>
      </c>
    </row>
    <row r="1237" spans="1:136" ht="15.5">
      <c r="A1237" s="90"/>
      <c r="B1237" s="37"/>
      <c r="C1237" s="94"/>
      <c r="D1237" s="18"/>
      <c r="E1237" s="22"/>
      <c r="F1237" s="22"/>
      <c r="G1237" s="22"/>
      <c r="H1237" s="22"/>
      <c r="I1237" s="22"/>
      <c r="J1237" s="22"/>
      <c r="K1237" s="22"/>
      <c r="L1237" s="22"/>
      <c r="M1237" s="22"/>
      <c r="N1237" s="22"/>
      <c r="O1237" s="22"/>
      <c r="P1237" s="22"/>
      <c r="Q1237" s="22"/>
      <c r="R1237" s="22"/>
      <c r="S1237" s="22"/>
      <c r="T1237" s="22"/>
      <c r="U1237" s="22"/>
      <c r="V1237" s="22"/>
      <c r="W1237" s="22"/>
      <c r="X1237" s="22"/>
      <c r="Y1237" s="22"/>
      <c r="Z1237" s="22"/>
      <c r="AA1237" s="22"/>
      <c r="AB1237" s="22"/>
      <c r="AC1237" s="22"/>
      <c r="AD1237" s="22"/>
      <c r="AE1237" s="22"/>
      <c r="AF1237" s="22"/>
      <c r="AG1237" s="22"/>
      <c r="AH1237" s="22"/>
      <c r="AI1237" s="22"/>
      <c r="AJ1237" s="22"/>
      <c r="AK1237" s="22"/>
      <c r="AL1237" s="22"/>
      <c r="AM1237" s="22"/>
      <c r="AN1237" s="22"/>
      <c r="AO1237" s="22"/>
      <c r="AP1237" s="22"/>
      <c r="AQ1237" s="22"/>
      <c r="AR1237" s="22"/>
      <c r="AS1237" s="22"/>
      <c r="AT1237" s="22"/>
      <c r="AU1237" s="22"/>
      <c r="AV1237" s="22"/>
      <c r="AW1237" s="22"/>
      <c r="AX1237" s="22"/>
      <c r="AY1237" s="22"/>
      <c r="AZ1237" s="22"/>
      <c r="BA1237" s="22"/>
      <c r="BB1237" s="22"/>
      <c r="BC1237" s="22"/>
      <c r="BD1237" s="22"/>
      <c r="BE1237" s="23"/>
      <c r="BF1237" s="22"/>
      <c r="BG1237" s="22"/>
      <c r="BH1237" s="2"/>
      <c r="BI1237" s="2"/>
      <c r="BJ1237" s="2"/>
      <c r="BK1237" s="2"/>
      <c r="BL1237" s="22"/>
      <c r="BM1237" s="2"/>
      <c r="BN1237" s="2"/>
      <c r="BO1237" s="2"/>
      <c r="BP1237" s="2"/>
      <c r="BQ1237" s="2"/>
      <c r="BR1237" s="101"/>
    </row>
    <row r="1238" spans="1:136" ht="15.5">
      <c r="A1238" s="93">
        <v>158</v>
      </c>
      <c r="B1238" s="54" t="s">
        <v>154</v>
      </c>
      <c r="C1238" s="94">
        <v>4</v>
      </c>
      <c r="D1238" s="18"/>
      <c r="E1238" s="22"/>
      <c r="F1238" s="22"/>
      <c r="G1238" s="22"/>
      <c r="H1238" s="22"/>
      <c r="I1238" s="22"/>
      <c r="J1238" s="22"/>
      <c r="K1238" s="22"/>
      <c r="L1238" s="22"/>
      <c r="M1238" s="22"/>
      <c r="N1238" s="22"/>
      <c r="O1238" s="22"/>
      <c r="P1238" s="22"/>
      <c r="Q1238" s="22"/>
      <c r="R1238" s="22"/>
      <c r="S1238" s="22"/>
      <c r="T1238" s="22"/>
      <c r="U1238" s="22"/>
      <c r="V1238" s="22"/>
      <c r="W1238" s="22"/>
      <c r="X1238" s="22"/>
      <c r="Y1238" s="22"/>
      <c r="Z1238" s="22"/>
      <c r="AA1238" s="22"/>
      <c r="AB1238" s="22"/>
      <c r="AC1238" s="22"/>
      <c r="AD1238" s="22"/>
      <c r="AE1238" s="22"/>
      <c r="AF1238" s="22"/>
      <c r="AG1238" s="22"/>
      <c r="AH1238" s="22"/>
      <c r="AI1238" s="22">
        <f>SUM(AI1239:AI1241)</f>
        <v>0</v>
      </c>
      <c r="AJ1238" s="22">
        <f t="shared" ref="AJ1238:AW1238" si="2641">SUM(AJ1239:AJ1241)</f>
        <v>0</v>
      </c>
      <c r="AK1238" s="22">
        <f t="shared" si="2641"/>
        <v>0</v>
      </c>
      <c r="AL1238" s="22">
        <f t="shared" si="2641"/>
        <v>0</v>
      </c>
      <c r="AM1238" s="22">
        <f t="shared" si="2641"/>
        <v>0</v>
      </c>
      <c r="AN1238" s="22">
        <f t="shared" si="2641"/>
        <v>0</v>
      </c>
      <c r="AO1238" s="22">
        <f t="shared" si="2641"/>
        <v>500.61</v>
      </c>
      <c r="AP1238" s="22">
        <f t="shared" si="2641"/>
        <v>6.7</v>
      </c>
      <c r="AQ1238" s="22">
        <f t="shared" si="2641"/>
        <v>22.8</v>
      </c>
      <c r="AR1238" s="22">
        <f t="shared" si="2641"/>
        <v>20.402999999999999</v>
      </c>
      <c r="AS1238" s="22">
        <f t="shared" si="2641"/>
        <v>19.494</v>
      </c>
      <c r="AT1238" s="22">
        <f t="shared" si="2641"/>
        <v>132.32900000000001</v>
      </c>
      <c r="AU1238" s="22">
        <f t="shared" si="2641"/>
        <v>40.841999999999999</v>
      </c>
      <c r="AV1238" s="22">
        <f t="shared" si="2641"/>
        <v>47.381</v>
      </c>
      <c r="AW1238" s="22">
        <f t="shared" si="2641"/>
        <v>43.16</v>
      </c>
      <c r="AX1238" s="22">
        <f t="shared" ref="AX1238:BQ1238" si="2642">SUM(AX1239:AX1241)</f>
        <v>0</v>
      </c>
      <c r="AY1238" s="22">
        <f t="shared" si="2642"/>
        <v>88.156000000000006</v>
      </c>
      <c r="AZ1238" s="22">
        <f t="shared" si="2642"/>
        <v>113.21</v>
      </c>
      <c r="BA1238" s="22">
        <f t="shared" si="2642"/>
        <v>80.876000000000005</v>
      </c>
      <c r="BB1238" s="22">
        <f t="shared" si="2642"/>
        <v>192.125</v>
      </c>
      <c r="BC1238" s="22">
        <f t="shared" si="2642"/>
        <v>161.46100000000001</v>
      </c>
      <c r="BD1238" s="22">
        <f t="shared" si="2642"/>
        <v>1.34</v>
      </c>
      <c r="BE1238" s="22">
        <f t="shared" si="2642"/>
        <v>0</v>
      </c>
      <c r="BF1238" s="22">
        <f t="shared" si="2642"/>
        <v>0</v>
      </c>
      <c r="BG1238" s="22">
        <f t="shared" si="2642"/>
        <v>0.1575609</v>
      </c>
      <c r="BH1238" s="22">
        <f t="shared" si="2642"/>
        <v>19.461146500000002</v>
      </c>
      <c r="BI1238" s="22">
        <f t="shared" si="2642"/>
        <v>1.8756925</v>
      </c>
      <c r="BJ1238" s="22">
        <f t="shared" si="2642"/>
        <v>2.6265867999999997</v>
      </c>
      <c r="BK1238" s="22">
        <f t="shared" si="2642"/>
        <v>3.4349506000000001</v>
      </c>
      <c r="BL1238" s="22">
        <f t="shared" si="2642"/>
        <v>4.8337358000000004</v>
      </c>
      <c r="BM1238" s="22">
        <f t="shared" si="2642"/>
        <v>6.5981366000000001</v>
      </c>
      <c r="BN1238" s="22">
        <f t="shared" si="2642"/>
        <v>21</v>
      </c>
      <c r="BO1238" s="22">
        <f t="shared" si="2642"/>
        <v>12</v>
      </c>
      <c r="BP1238" s="22">
        <f t="shared" si="2642"/>
        <v>15</v>
      </c>
      <c r="BQ1238" s="22">
        <f t="shared" si="2642"/>
        <v>14</v>
      </c>
      <c r="BR1238" s="101"/>
      <c r="BS1238">
        <f t="shared" ref="BS1238:CX1238" si="2643">IF($C1238&lt;&gt;"",IF(D1238&gt;0,1,0),0)</f>
        <v>0</v>
      </c>
      <c r="BT1238">
        <f t="shared" si="2643"/>
        <v>0</v>
      </c>
      <c r="BU1238">
        <f t="shared" si="2643"/>
        <v>0</v>
      </c>
      <c r="BV1238">
        <f t="shared" si="2643"/>
        <v>0</v>
      </c>
      <c r="BW1238">
        <f t="shared" si="2643"/>
        <v>0</v>
      </c>
      <c r="BX1238">
        <f t="shared" si="2643"/>
        <v>0</v>
      </c>
      <c r="BY1238">
        <f t="shared" si="2643"/>
        <v>0</v>
      </c>
      <c r="BZ1238">
        <f t="shared" si="2643"/>
        <v>0</v>
      </c>
      <c r="CA1238">
        <f t="shared" si="2643"/>
        <v>0</v>
      </c>
      <c r="CB1238">
        <f t="shared" si="2643"/>
        <v>0</v>
      </c>
      <c r="CC1238">
        <f t="shared" si="2643"/>
        <v>0</v>
      </c>
      <c r="CD1238">
        <f t="shared" si="2643"/>
        <v>0</v>
      </c>
      <c r="CE1238">
        <f t="shared" si="2643"/>
        <v>0</v>
      </c>
      <c r="CF1238">
        <f t="shared" si="2643"/>
        <v>0</v>
      </c>
      <c r="CG1238">
        <f t="shared" si="2643"/>
        <v>0</v>
      </c>
      <c r="CH1238">
        <f t="shared" si="2643"/>
        <v>0</v>
      </c>
      <c r="CI1238">
        <f t="shared" si="2643"/>
        <v>0</v>
      </c>
      <c r="CJ1238">
        <f t="shared" si="2643"/>
        <v>0</v>
      </c>
      <c r="CK1238">
        <f t="shared" si="2643"/>
        <v>0</v>
      </c>
      <c r="CL1238">
        <f t="shared" si="2643"/>
        <v>0</v>
      </c>
      <c r="CM1238">
        <f t="shared" si="2643"/>
        <v>0</v>
      </c>
      <c r="CN1238">
        <f t="shared" si="2643"/>
        <v>0</v>
      </c>
      <c r="CO1238">
        <f t="shared" si="2643"/>
        <v>0</v>
      </c>
      <c r="CP1238">
        <f t="shared" si="2643"/>
        <v>0</v>
      </c>
      <c r="CQ1238">
        <f t="shared" si="2643"/>
        <v>0</v>
      </c>
      <c r="CR1238">
        <f t="shared" si="2643"/>
        <v>0</v>
      </c>
      <c r="CS1238">
        <f t="shared" si="2643"/>
        <v>0</v>
      </c>
      <c r="CT1238">
        <f t="shared" si="2643"/>
        <v>0</v>
      </c>
      <c r="CU1238">
        <f t="shared" si="2643"/>
        <v>0</v>
      </c>
      <c r="CV1238">
        <f t="shared" si="2643"/>
        <v>0</v>
      </c>
      <c r="CW1238">
        <f t="shared" si="2643"/>
        <v>0</v>
      </c>
      <c r="CX1238">
        <f t="shared" si="2643"/>
        <v>0</v>
      </c>
      <c r="CY1238">
        <f t="shared" ref="CY1238:EF1238" si="2644">IF($C1238&lt;&gt;"",IF(AJ1238&gt;0,1,0),0)</f>
        <v>0</v>
      </c>
      <c r="CZ1238">
        <f t="shared" si="2644"/>
        <v>0</v>
      </c>
      <c r="DA1238">
        <f t="shared" si="2644"/>
        <v>0</v>
      </c>
      <c r="DB1238">
        <f t="shared" si="2644"/>
        <v>0</v>
      </c>
      <c r="DC1238">
        <f t="shared" si="2644"/>
        <v>0</v>
      </c>
      <c r="DD1238">
        <f t="shared" si="2644"/>
        <v>1</v>
      </c>
      <c r="DE1238">
        <f t="shared" si="2644"/>
        <v>1</v>
      </c>
      <c r="DF1238">
        <f t="shared" si="2644"/>
        <v>1</v>
      </c>
      <c r="DG1238">
        <f t="shared" si="2644"/>
        <v>1</v>
      </c>
      <c r="DH1238">
        <f t="shared" si="2644"/>
        <v>1</v>
      </c>
      <c r="DI1238">
        <f t="shared" si="2644"/>
        <v>1</v>
      </c>
      <c r="DJ1238">
        <f t="shared" si="2644"/>
        <v>1</v>
      </c>
      <c r="DK1238">
        <f t="shared" si="2644"/>
        <v>1</v>
      </c>
      <c r="DL1238">
        <f t="shared" si="2644"/>
        <v>1</v>
      </c>
      <c r="DM1238">
        <f t="shared" si="2644"/>
        <v>0</v>
      </c>
      <c r="DN1238">
        <f t="shared" si="2644"/>
        <v>1</v>
      </c>
      <c r="DO1238">
        <f t="shared" si="2644"/>
        <v>1</v>
      </c>
      <c r="DP1238">
        <f t="shared" si="2644"/>
        <v>1</v>
      </c>
      <c r="DQ1238">
        <f t="shared" si="2644"/>
        <v>1</v>
      </c>
      <c r="DR1238">
        <f t="shared" si="2644"/>
        <v>1</v>
      </c>
      <c r="DS1238">
        <f t="shared" si="2644"/>
        <v>1</v>
      </c>
      <c r="DT1238">
        <f t="shared" si="2644"/>
        <v>0</v>
      </c>
      <c r="DU1238">
        <f t="shared" si="2644"/>
        <v>0</v>
      </c>
      <c r="DV1238">
        <f t="shared" si="2644"/>
        <v>1</v>
      </c>
      <c r="DW1238">
        <f t="shared" si="2644"/>
        <v>1</v>
      </c>
      <c r="DX1238">
        <f t="shared" si="2644"/>
        <v>1</v>
      </c>
      <c r="DY1238">
        <f t="shared" si="2644"/>
        <v>1</v>
      </c>
      <c r="DZ1238">
        <f t="shared" si="2644"/>
        <v>1</v>
      </c>
      <c r="EA1238">
        <f t="shared" si="2644"/>
        <v>1</v>
      </c>
      <c r="EB1238">
        <f>IF($C1238&lt;&gt;"",IF(BM1238&gt;0,1,0),0)</f>
        <v>1</v>
      </c>
      <c r="EC1238">
        <f t="shared" si="2644"/>
        <v>1</v>
      </c>
      <c r="ED1238">
        <f t="shared" si="2644"/>
        <v>1</v>
      </c>
      <c r="EE1238">
        <f t="shared" si="2644"/>
        <v>1</v>
      </c>
      <c r="EF1238">
        <f t="shared" si="2644"/>
        <v>1</v>
      </c>
    </row>
    <row r="1239" spans="1:136" ht="15.5">
      <c r="A1239" s="90"/>
      <c r="B1239" s="57" t="s">
        <v>205</v>
      </c>
      <c r="C1239" s="94"/>
      <c r="D1239" s="18"/>
      <c r="E1239" s="22"/>
      <c r="F1239" s="22"/>
      <c r="G1239" s="22"/>
      <c r="H1239" s="22"/>
      <c r="I1239" s="22"/>
      <c r="J1239" s="22"/>
      <c r="K1239" s="22"/>
      <c r="L1239" s="22"/>
      <c r="M1239" s="22"/>
      <c r="N1239" s="22"/>
      <c r="O1239" s="22"/>
      <c r="P1239" s="22"/>
      <c r="Q1239" s="22"/>
      <c r="R1239" s="22"/>
      <c r="S1239" s="22"/>
      <c r="T1239" s="22"/>
      <c r="U1239" s="22"/>
      <c r="V1239" s="22"/>
      <c r="W1239" s="22"/>
      <c r="X1239" s="22"/>
      <c r="Y1239" s="22"/>
      <c r="Z1239" s="22"/>
      <c r="AA1239" s="22"/>
      <c r="AB1239" s="22"/>
      <c r="AC1239" s="22"/>
      <c r="AD1239" s="22"/>
      <c r="AE1239" s="22"/>
      <c r="AF1239" s="22"/>
      <c r="AG1239" s="22"/>
      <c r="AH1239" s="22"/>
      <c r="AI1239" s="18">
        <v>0</v>
      </c>
      <c r="AJ1239" s="18">
        <v>0</v>
      </c>
      <c r="AK1239" s="18">
        <v>0</v>
      </c>
      <c r="AL1239" s="18">
        <v>0</v>
      </c>
      <c r="AM1239" s="18">
        <v>0</v>
      </c>
      <c r="AN1239" s="18">
        <v>0</v>
      </c>
      <c r="AO1239" s="18">
        <v>0</v>
      </c>
      <c r="AP1239" s="18">
        <v>0</v>
      </c>
      <c r="AQ1239" s="18">
        <v>0</v>
      </c>
      <c r="AR1239" s="18">
        <v>0</v>
      </c>
      <c r="AS1239" s="18">
        <v>0</v>
      </c>
      <c r="AT1239" s="18">
        <v>0</v>
      </c>
      <c r="AU1239" s="18">
        <v>0</v>
      </c>
      <c r="AV1239" s="18">
        <v>0</v>
      </c>
      <c r="AW1239" s="18">
        <v>0</v>
      </c>
      <c r="AX1239" s="18">
        <v>0</v>
      </c>
      <c r="AY1239" s="18">
        <v>0</v>
      </c>
      <c r="AZ1239" s="18">
        <v>0</v>
      </c>
      <c r="BA1239" s="18">
        <v>0</v>
      </c>
      <c r="BB1239" s="18">
        <v>0</v>
      </c>
      <c r="BC1239" s="18">
        <v>0</v>
      </c>
      <c r="BD1239" s="18">
        <v>0</v>
      </c>
      <c r="BE1239" s="25">
        <v>0</v>
      </c>
      <c r="BF1239" s="25">
        <v>0</v>
      </c>
      <c r="BG1239" s="25">
        <v>0</v>
      </c>
      <c r="BH1239" s="18">
        <v>0.87033419999999995</v>
      </c>
      <c r="BI1239" s="18">
        <v>1.8438650000000001</v>
      </c>
      <c r="BJ1239" s="18">
        <v>2.6265867999999997</v>
      </c>
      <c r="BK1239" s="18">
        <v>3.4349506000000001</v>
      </c>
      <c r="BL1239" s="18">
        <v>4</v>
      </c>
      <c r="BM1239" s="18">
        <v>5.6511366000000001</v>
      </c>
      <c r="BN1239" s="18">
        <v>6.0120240000000003</v>
      </c>
      <c r="BO1239" s="18">
        <v>7</v>
      </c>
      <c r="BP1239" s="113">
        <v>7</v>
      </c>
      <c r="BQ1239" s="113">
        <v>7</v>
      </c>
      <c r="BR1239" s="101"/>
    </row>
    <row r="1240" spans="1:136" ht="15.5">
      <c r="A1240" s="90"/>
      <c r="B1240" s="57" t="s">
        <v>3</v>
      </c>
      <c r="C1240" s="94"/>
      <c r="D1240" s="18"/>
      <c r="E1240" s="22"/>
      <c r="F1240" s="22"/>
      <c r="G1240" s="22"/>
      <c r="H1240" s="22"/>
      <c r="I1240" s="22"/>
      <c r="J1240" s="22"/>
      <c r="K1240" s="22"/>
      <c r="L1240" s="22"/>
      <c r="M1240" s="22"/>
      <c r="N1240" s="22"/>
      <c r="O1240" s="22"/>
      <c r="P1240" s="22"/>
      <c r="Q1240" s="22"/>
      <c r="R1240" s="22"/>
      <c r="S1240" s="22"/>
      <c r="T1240" s="22"/>
      <c r="U1240" s="22"/>
      <c r="V1240" s="22"/>
      <c r="W1240" s="22"/>
      <c r="X1240" s="22"/>
      <c r="Y1240" s="22"/>
      <c r="Z1240" s="22"/>
      <c r="AA1240" s="22"/>
      <c r="AB1240" s="22"/>
      <c r="AC1240" s="22"/>
      <c r="AD1240" s="22"/>
      <c r="AE1240" s="22"/>
      <c r="AF1240" s="22"/>
      <c r="AG1240" s="22"/>
      <c r="AH1240" s="22"/>
      <c r="AI1240" s="18">
        <v>0</v>
      </c>
      <c r="AJ1240" s="18">
        <v>0</v>
      </c>
      <c r="AK1240" s="18">
        <v>0</v>
      </c>
      <c r="AL1240" s="18">
        <v>0</v>
      </c>
      <c r="AM1240" s="18">
        <v>0</v>
      </c>
      <c r="AN1240" s="18">
        <v>0</v>
      </c>
      <c r="AO1240" s="18">
        <v>500.61</v>
      </c>
      <c r="AP1240" s="18">
        <v>0</v>
      </c>
      <c r="AQ1240" s="18">
        <v>0</v>
      </c>
      <c r="AR1240" s="18">
        <v>0</v>
      </c>
      <c r="AS1240" s="18">
        <v>0</v>
      </c>
      <c r="AT1240" s="18">
        <v>0</v>
      </c>
      <c r="AU1240" s="18">
        <v>0</v>
      </c>
      <c r="AV1240" s="18">
        <v>0</v>
      </c>
      <c r="AW1240" s="18">
        <v>0</v>
      </c>
      <c r="AX1240" s="18">
        <v>0</v>
      </c>
      <c r="AY1240" s="18">
        <v>0</v>
      </c>
      <c r="AZ1240" s="18">
        <v>0</v>
      </c>
      <c r="BA1240" s="18">
        <v>0</v>
      </c>
      <c r="BB1240" s="18">
        <v>0</v>
      </c>
      <c r="BC1240" s="18">
        <v>0</v>
      </c>
      <c r="BD1240" s="18">
        <v>0</v>
      </c>
      <c r="BE1240" s="25">
        <v>0</v>
      </c>
      <c r="BF1240" s="25">
        <v>0</v>
      </c>
      <c r="BG1240" s="25">
        <v>0.1575609</v>
      </c>
      <c r="BH1240" s="34">
        <f>19.4611465-BH1239</f>
        <v>18.590812300000003</v>
      </c>
      <c r="BI1240" s="34">
        <f>1.8756925-BI1239</f>
        <v>3.1827499999999898E-2</v>
      </c>
      <c r="BJ1240" s="113">
        <f>2.6265868-BJ1239</f>
        <v>0</v>
      </c>
      <c r="BK1240" s="113">
        <f>3.4349506-BK1239</f>
        <v>0</v>
      </c>
      <c r="BL1240" s="113">
        <f>4.8337358-BL1239</f>
        <v>0.83373580000000036</v>
      </c>
      <c r="BM1240" s="113">
        <f>6.5981366-BM1239</f>
        <v>0.94700000000000006</v>
      </c>
      <c r="BN1240" s="113">
        <f>21-BN1239</f>
        <v>14.987976</v>
      </c>
      <c r="BO1240" s="113">
        <f>12-BO1239</f>
        <v>5</v>
      </c>
      <c r="BP1240" s="113">
        <f>15-BP1239</f>
        <v>8</v>
      </c>
      <c r="BQ1240" s="113">
        <f>15-BP1240</f>
        <v>7</v>
      </c>
      <c r="BR1240" s="101"/>
      <c r="BS1240">
        <f t="shared" ref="BS1240:CB1242" si="2645">IF($C1240&lt;&gt;"",IF(D1240&gt;0,1,0),0)</f>
        <v>0</v>
      </c>
      <c r="BT1240">
        <f t="shared" si="2645"/>
        <v>0</v>
      </c>
      <c r="BU1240">
        <f t="shared" si="2645"/>
        <v>0</v>
      </c>
      <c r="BV1240">
        <f t="shared" si="2645"/>
        <v>0</v>
      </c>
      <c r="BW1240">
        <f t="shared" si="2645"/>
        <v>0</v>
      </c>
      <c r="BX1240">
        <f t="shared" si="2645"/>
        <v>0</v>
      </c>
      <c r="BY1240">
        <f t="shared" si="2645"/>
        <v>0</v>
      </c>
      <c r="BZ1240">
        <f t="shared" si="2645"/>
        <v>0</v>
      </c>
      <c r="CA1240">
        <f t="shared" si="2645"/>
        <v>0</v>
      </c>
      <c r="CB1240">
        <f t="shared" si="2645"/>
        <v>0</v>
      </c>
      <c r="CC1240">
        <f t="shared" ref="CC1240:CL1242" si="2646">IF($C1240&lt;&gt;"",IF(N1240&gt;0,1,0),0)</f>
        <v>0</v>
      </c>
      <c r="CD1240">
        <f t="shared" si="2646"/>
        <v>0</v>
      </c>
      <c r="CE1240">
        <f t="shared" si="2646"/>
        <v>0</v>
      </c>
      <c r="CF1240">
        <f t="shared" si="2646"/>
        <v>0</v>
      </c>
      <c r="CG1240">
        <f t="shared" si="2646"/>
        <v>0</v>
      </c>
      <c r="CH1240">
        <f t="shared" si="2646"/>
        <v>0</v>
      </c>
      <c r="CI1240">
        <f t="shared" si="2646"/>
        <v>0</v>
      </c>
      <c r="CJ1240">
        <f t="shared" si="2646"/>
        <v>0</v>
      </c>
      <c r="CK1240">
        <f t="shared" si="2646"/>
        <v>0</v>
      </c>
      <c r="CL1240">
        <f t="shared" si="2646"/>
        <v>0</v>
      </c>
      <c r="CM1240">
        <f t="shared" ref="CM1240:CV1242" si="2647">IF($C1240&lt;&gt;"",IF(X1240&gt;0,1,0),0)</f>
        <v>0</v>
      </c>
      <c r="CN1240">
        <f t="shared" si="2647"/>
        <v>0</v>
      </c>
      <c r="CO1240">
        <f t="shared" si="2647"/>
        <v>0</v>
      </c>
      <c r="CP1240">
        <f t="shared" si="2647"/>
        <v>0</v>
      </c>
      <c r="CQ1240">
        <f t="shared" si="2647"/>
        <v>0</v>
      </c>
      <c r="CR1240">
        <f t="shared" si="2647"/>
        <v>0</v>
      </c>
      <c r="CS1240">
        <f t="shared" si="2647"/>
        <v>0</v>
      </c>
      <c r="CT1240">
        <f t="shared" si="2647"/>
        <v>0</v>
      </c>
      <c r="CU1240">
        <f t="shared" si="2647"/>
        <v>0</v>
      </c>
      <c r="CV1240">
        <f t="shared" si="2647"/>
        <v>0</v>
      </c>
      <c r="CW1240">
        <f t="shared" ref="CW1240:DF1242" si="2648">IF($C1240&lt;&gt;"",IF(AH1240&gt;0,1,0),0)</f>
        <v>0</v>
      </c>
      <c r="CX1240">
        <f t="shared" si="2648"/>
        <v>0</v>
      </c>
      <c r="CY1240">
        <f t="shared" si="2648"/>
        <v>0</v>
      </c>
      <c r="CZ1240">
        <f t="shared" si="2648"/>
        <v>0</v>
      </c>
      <c r="DA1240">
        <f t="shared" si="2648"/>
        <v>0</v>
      </c>
      <c r="DB1240">
        <f t="shared" si="2648"/>
        <v>0</v>
      </c>
      <c r="DC1240">
        <f t="shared" si="2648"/>
        <v>0</v>
      </c>
      <c r="DD1240">
        <f t="shared" si="2648"/>
        <v>0</v>
      </c>
      <c r="DE1240">
        <f t="shared" si="2648"/>
        <v>0</v>
      </c>
      <c r="DF1240">
        <f t="shared" si="2648"/>
        <v>0</v>
      </c>
      <c r="DG1240">
        <f t="shared" ref="DG1240:DP1242" si="2649">IF($C1240&lt;&gt;"",IF(AR1240&gt;0,1,0),0)</f>
        <v>0</v>
      </c>
      <c r="DH1240">
        <f t="shared" si="2649"/>
        <v>0</v>
      </c>
      <c r="DI1240">
        <f t="shared" si="2649"/>
        <v>0</v>
      </c>
      <c r="DJ1240">
        <f t="shared" si="2649"/>
        <v>0</v>
      </c>
      <c r="DK1240">
        <f t="shared" si="2649"/>
        <v>0</v>
      </c>
      <c r="DL1240">
        <f t="shared" si="2649"/>
        <v>0</v>
      </c>
      <c r="DM1240">
        <f t="shared" si="2649"/>
        <v>0</v>
      </c>
      <c r="DN1240">
        <f t="shared" si="2649"/>
        <v>0</v>
      </c>
      <c r="DO1240">
        <f t="shared" si="2649"/>
        <v>0</v>
      </c>
      <c r="DP1240">
        <f t="shared" si="2649"/>
        <v>0</v>
      </c>
      <c r="DQ1240">
        <f t="shared" ref="DQ1240:DZ1242" si="2650">IF($C1240&lt;&gt;"",IF(BB1240&gt;0,1,0),0)</f>
        <v>0</v>
      </c>
      <c r="DR1240">
        <f t="shared" si="2650"/>
        <v>0</v>
      </c>
      <c r="DS1240">
        <f t="shared" si="2650"/>
        <v>0</v>
      </c>
      <c r="DT1240">
        <f t="shared" si="2650"/>
        <v>0</v>
      </c>
      <c r="DU1240">
        <f t="shared" si="2650"/>
        <v>0</v>
      </c>
      <c r="DV1240">
        <f t="shared" si="2650"/>
        <v>0</v>
      </c>
      <c r="DW1240">
        <f t="shared" si="2650"/>
        <v>0</v>
      </c>
      <c r="DX1240">
        <f t="shared" si="2650"/>
        <v>0</v>
      </c>
      <c r="DY1240">
        <f t="shared" si="2650"/>
        <v>0</v>
      </c>
      <c r="DZ1240">
        <f t="shared" si="2650"/>
        <v>0</v>
      </c>
      <c r="EA1240">
        <f t="shared" ref="EA1240:EF1240" si="2651">IF($C1240&lt;&gt;"",IF(BL1238&gt;0,1,0),0)</f>
        <v>0</v>
      </c>
      <c r="EB1240">
        <f t="shared" si="2651"/>
        <v>0</v>
      </c>
      <c r="EC1240">
        <f t="shared" si="2651"/>
        <v>0</v>
      </c>
      <c r="ED1240">
        <f t="shared" si="2651"/>
        <v>0</v>
      </c>
      <c r="EE1240">
        <f t="shared" si="2651"/>
        <v>0</v>
      </c>
      <c r="EF1240">
        <f t="shared" si="2651"/>
        <v>0</v>
      </c>
    </row>
    <row r="1241" spans="1:136" ht="15.5">
      <c r="A1241" s="90"/>
      <c r="B1241" s="19" t="s">
        <v>208</v>
      </c>
      <c r="C1241" s="94"/>
      <c r="D1241" s="18"/>
      <c r="E1241" s="18"/>
      <c r="F1241" s="18"/>
      <c r="G1241" s="18"/>
      <c r="H1241" s="18"/>
      <c r="I1241" s="18"/>
      <c r="J1241" s="18"/>
      <c r="K1241" s="18"/>
      <c r="L1241" s="18"/>
      <c r="M1241" s="18"/>
      <c r="N1241" s="18"/>
      <c r="O1241" s="18"/>
      <c r="P1241" s="18"/>
      <c r="Q1241" s="18"/>
      <c r="R1241" s="18"/>
      <c r="S1241" s="18"/>
      <c r="T1241" s="18"/>
      <c r="U1241" s="18"/>
      <c r="V1241" s="18"/>
      <c r="W1241" s="18"/>
      <c r="X1241" s="18"/>
      <c r="Y1241" s="18"/>
      <c r="Z1241" s="18"/>
      <c r="AA1241" s="18"/>
      <c r="AB1241" s="18"/>
      <c r="AC1241" s="18"/>
      <c r="AD1241" s="18"/>
      <c r="AE1241" s="18"/>
      <c r="AF1241" s="18"/>
      <c r="AG1241" s="18"/>
      <c r="AH1241" s="18"/>
      <c r="AI1241" s="18">
        <v>0</v>
      </c>
      <c r="AJ1241" s="18">
        <v>0</v>
      </c>
      <c r="AK1241" s="18">
        <v>0</v>
      </c>
      <c r="AL1241" s="18">
        <v>0</v>
      </c>
      <c r="AM1241" s="18">
        <v>0</v>
      </c>
      <c r="AN1241" s="18">
        <v>0</v>
      </c>
      <c r="AO1241" s="18">
        <v>0</v>
      </c>
      <c r="AP1241" s="18">
        <v>6.7</v>
      </c>
      <c r="AQ1241" s="18">
        <v>22.8</v>
      </c>
      <c r="AR1241" s="18">
        <v>20.402999999999999</v>
      </c>
      <c r="AS1241" s="18">
        <v>19.494</v>
      </c>
      <c r="AT1241" s="18">
        <v>132.32900000000001</v>
      </c>
      <c r="AU1241" s="18">
        <v>40.841999999999999</v>
      </c>
      <c r="AV1241" s="18">
        <v>47.381</v>
      </c>
      <c r="AW1241" s="18">
        <v>43.16</v>
      </c>
      <c r="AX1241" s="18">
        <v>0</v>
      </c>
      <c r="AY1241" s="18">
        <v>88.156000000000006</v>
      </c>
      <c r="AZ1241" s="18">
        <v>113.21</v>
      </c>
      <c r="BA1241" s="18">
        <v>80.876000000000005</v>
      </c>
      <c r="BB1241" s="18">
        <v>192.125</v>
      </c>
      <c r="BC1241" s="18">
        <v>161.46100000000001</v>
      </c>
      <c r="BD1241" s="25">
        <v>1.34</v>
      </c>
      <c r="BE1241" s="25">
        <v>0</v>
      </c>
      <c r="BF1241" s="25">
        <v>0</v>
      </c>
      <c r="BG1241" s="25">
        <v>0</v>
      </c>
      <c r="BH1241" s="113">
        <v>0</v>
      </c>
      <c r="BI1241" s="113">
        <v>0</v>
      </c>
      <c r="BJ1241" s="113">
        <v>0</v>
      </c>
      <c r="BK1241" s="113">
        <v>0</v>
      </c>
      <c r="BL1241" s="113">
        <v>0</v>
      </c>
      <c r="BM1241" s="113">
        <v>0</v>
      </c>
      <c r="BN1241" s="113">
        <v>0</v>
      </c>
      <c r="BO1241" s="113">
        <v>0</v>
      </c>
      <c r="BP1241" s="113">
        <v>0</v>
      </c>
      <c r="BQ1241" s="113">
        <v>0</v>
      </c>
      <c r="BR1241" s="101"/>
      <c r="BS1241">
        <f t="shared" si="2645"/>
        <v>0</v>
      </c>
      <c r="BT1241">
        <f t="shared" si="2645"/>
        <v>0</v>
      </c>
      <c r="BU1241">
        <f t="shared" si="2645"/>
        <v>0</v>
      </c>
      <c r="BV1241">
        <f t="shared" si="2645"/>
        <v>0</v>
      </c>
      <c r="BW1241">
        <f t="shared" si="2645"/>
        <v>0</v>
      </c>
      <c r="BX1241">
        <f t="shared" si="2645"/>
        <v>0</v>
      </c>
      <c r="BY1241">
        <f t="shared" si="2645"/>
        <v>0</v>
      </c>
      <c r="BZ1241">
        <f t="shared" si="2645"/>
        <v>0</v>
      </c>
      <c r="CA1241">
        <f t="shared" si="2645"/>
        <v>0</v>
      </c>
      <c r="CB1241">
        <f t="shared" si="2645"/>
        <v>0</v>
      </c>
      <c r="CC1241">
        <f t="shared" si="2646"/>
        <v>0</v>
      </c>
      <c r="CD1241">
        <f t="shared" si="2646"/>
        <v>0</v>
      </c>
      <c r="CE1241">
        <f t="shared" si="2646"/>
        <v>0</v>
      </c>
      <c r="CF1241">
        <f t="shared" si="2646"/>
        <v>0</v>
      </c>
      <c r="CG1241">
        <f t="shared" si="2646"/>
        <v>0</v>
      </c>
      <c r="CH1241">
        <f t="shared" si="2646"/>
        <v>0</v>
      </c>
      <c r="CI1241">
        <f t="shared" si="2646"/>
        <v>0</v>
      </c>
      <c r="CJ1241">
        <f t="shared" si="2646"/>
        <v>0</v>
      </c>
      <c r="CK1241">
        <f t="shared" si="2646"/>
        <v>0</v>
      </c>
      <c r="CL1241">
        <f t="shared" si="2646"/>
        <v>0</v>
      </c>
      <c r="CM1241">
        <f t="shared" si="2647"/>
        <v>0</v>
      </c>
      <c r="CN1241">
        <f t="shared" si="2647"/>
        <v>0</v>
      </c>
      <c r="CO1241">
        <f t="shared" si="2647"/>
        <v>0</v>
      </c>
      <c r="CP1241">
        <f t="shared" si="2647"/>
        <v>0</v>
      </c>
      <c r="CQ1241">
        <f t="shared" si="2647"/>
        <v>0</v>
      </c>
      <c r="CR1241">
        <f t="shared" si="2647"/>
        <v>0</v>
      </c>
      <c r="CS1241">
        <f t="shared" si="2647"/>
        <v>0</v>
      </c>
      <c r="CT1241">
        <f t="shared" si="2647"/>
        <v>0</v>
      </c>
      <c r="CU1241">
        <f t="shared" si="2647"/>
        <v>0</v>
      </c>
      <c r="CV1241">
        <f t="shared" si="2647"/>
        <v>0</v>
      </c>
      <c r="CW1241">
        <f t="shared" si="2648"/>
        <v>0</v>
      </c>
      <c r="CX1241">
        <f t="shared" si="2648"/>
        <v>0</v>
      </c>
      <c r="CY1241">
        <f t="shared" si="2648"/>
        <v>0</v>
      </c>
      <c r="CZ1241">
        <f t="shared" si="2648"/>
        <v>0</v>
      </c>
      <c r="DA1241">
        <f t="shared" si="2648"/>
        <v>0</v>
      </c>
      <c r="DB1241">
        <f t="shared" si="2648"/>
        <v>0</v>
      </c>
      <c r="DC1241">
        <f t="shared" si="2648"/>
        <v>0</v>
      </c>
      <c r="DD1241">
        <f t="shared" si="2648"/>
        <v>0</v>
      </c>
      <c r="DE1241">
        <f t="shared" si="2648"/>
        <v>0</v>
      </c>
      <c r="DF1241">
        <f t="shared" si="2648"/>
        <v>0</v>
      </c>
      <c r="DG1241">
        <f t="shared" si="2649"/>
        <v>0</v>
      </c>
      <c r="DH1241">
        <f t="shared" si="2649"/>
        <v>0</v>
      </c>
      <c r="DI1241">
        <f t="shared" si="2649"/>
        <v>0</v>
      </c>
      <c r="DJ1241">
        <f t="shared" si="2649"/>
        <v>0</v>
      </c>
      <c r="DK1241">
        <f t="shared" si="2649"/>
        <v>0</v>
      </c>
      <c r="DL1241">
        <f t="shared" si="2649"/>
        <v>0</v>
      </c>
      <c r="DM1241">
        <f t="shared" si="2649"/>
        <v>0</v>
      </c>
      <c r="DN1241">
        <f t="shared" si="2649"/>
        <v>0</v>
      </c>
      <c r="DO1241">
        <f t="shared" si="2649"/>
        <v>0</v>
      </c>
      <c r="DP1241">
        <f t="shared" si="2649"/>
        <v>0</v>
      </c>
      <c r="DQ1241">
        <f t="shared" si="2650"/>
        <v>0</v>
      </c>
      <c r="DR1241">
        <f t="shared" si="2650"/>
        <v>0</v>
      </c>
      <c r="DS1241">
        <f t="shared" si="2650"/>
        <v>0</v>
      </c>
      <c r="DT1241">
        <f t="shared" si="2650"/>
        <v>0</v>
      </c>
      <c r="DU1241">
        <f t="shared" si="2650"/>
        <v>0</v>
      </c>
      <c r="DV1241">
        <f t="shared" si="2650"/>
        <v>0</v>
      </c>
      <c r="DW1241">
        <f t="shared" si="2650"/>
        <v>0</v>
      </c>
      <c r="DX1241">
        <f t="shared" si="2650"/>
        <v>0</v>
      </c>
      <c r="DY1241">
        <f t="shared" si="2650"/>
        <v>0</v>
      </c>
      <c r="DZ1241">
        <f t="shared" si="2650"/>
        <v>0</v>
      </c>
      <c r="EA1241">
        <f t="shared" ref="EA1241:EF1241" si="2652">IF($C1241&lt;&gt;"",IF(BL1240&gt;0,1,0),0)</f>
        <v>0</v>
      </c>
      <c r="EB1241">
        <f t="shared" si="2652"/>
        <v>0</v>
      </c>
      <c r="EC1241">
        <f t="shared" si="2652"/>
        <v>0</v>
      </c>
      <c r="ED1241">
        <f t="shared" si="2652"/>
        <v>0</v>
      </c>
      <c r="EE1241">
        <f t="shared" si="2652"/>
        <v>0</v>
      </c>
      <c r="EF1241">
        <f t="shared" si="2652"/>
        <v>0</v>
      </c>
    </row>
    <row r="1242" spans="1:136" ht="15.5">
      <c r="A1242" s="90"/>
      <c r="B1242" s="57" t="s">
        <v>212</v>
      </c>
      <c r="C1242" s="94"/>
      <c r="D1242" s="18"/>
      <c r="E1242" s="18"/>
      <c r="F1242" s="18"/>
      <c r="G1242" s="18"/>
      <c r="H1242" s="18"/>
      <c r="I1242" s="18"/>
      <c r="J1242" s="18"/>
      <c r="K1242" s="18"/>
      <c r="L1242" s="18"/>
      <c r="M1242" s="18"/>
      <c r="N1242" s="18"/>
      <c r="O1242" s="18"/>
      <c r="P1242" s="18"/>
      <c r="Q1242" s="18"/>
      <c r="R1242" s="18"/>
      <c r="S1242" s="18"/>
      <c r="T1242" s="18"/>
      <c r="U1242" s="18"/>
      <c r="V1242" s="18"/>
      <c r="W1242" s="18"/>
      <c r="X1242" s="18"/>
      <c r="Y1242" s="18"/>
      <c r="Z1242" s="18"/>
      <c r="AA1242" s="18"/>
      <c r="AB1242" s="18"/>
      <c r="AC1242" s="18"/>
      <c r="AD1242" s="18"/>
      <c r="AE1242" s="18"/>
      <c r="AF1242" s="18"/>
      <c r="AG1242" s="18"/>
      <c r="AH1242" s="18"/>
      <c r="AI1242" s="18">
        <v>0</v>
      </c>
      <c r="AJ1242" s="18">
        <v>0</v>
      </c>
      <c r="AK1242" s="18">
        <v>0</v>
      </c>
      <c r="AL1242" s="18">
        <v>0</v>
      </c>
      <c r="AM1242" s="18">
        <v>102</v>
      </c>
      <c r="AN1242" s="18">
        <v>628</v>
      </c>
      <c r="AO1242" s="40" t="s">
        <v>16</v>
      </c>
      <c r="AP1242" s="18">
        <v>0</v>
      </c>
      <c r="AQ1242" s="18">
        <v>0</v>
      </c>
      <c r="AR1242" s="18">
        <v>0</v>
      </c>
      <c r="AS1242" s="18">
        <v>0</v>
      </c>
      <c r="AT1242" s="18">
        <v>0</v>
      </c>
      <c r="AU1242" s="18">
        <v>0</v>
      </c>
      <c r="AV1242" s="18">
        <v>0</v>
      </c>
      <c r="AW1242" s="18">
        <v>0</v>
      </c>
      <c r="AX1242" s="18">
        <v>0</v>
      </c>
      <c r="AY1242" s="18">
        <v>0</v>
      </c>
      <c r="AZ1242" s="18">
        <v>0</v>
      </c>
      <c r="BA1242" s="18">
        <v>0</v>
      </c>
      <c r="BB1242" s="18">
        <v>0</v>
      </c>
      <c r="BC1242" s="18">
        <v>0</v>
      </c>
      <c r="BD1242" s="25">
        <v>0</v>
      </c>
      <c r="BE1242" s="25">
        <v>0</v>
      </c>
      <c r="BF1242" s="25">
        <v>0</v>
      </c>
      <c r="BG1242" s="25">
        <v>0</v>
      </c>
      <c r="BH1242" s="113">
        <v>0</v>
      </c>
      <c r="BI1242" s="113">
        <v>0</v>
      </c>
      <c r="BJ1242" s="113">
        <v>0</v>
      </c>
      <c r="BK1242" s="113">
        <v>0</v>
      </c>
      <c r="BL1242" s="113">
        <v>0</v>
      </c>
      <c r="BM1242" s="113">
        <v>0</v>
      </c>
      <c r="BN1242" s="113">
        <v>0</v>
      </c>
      <c r="BO1242" s="113">
        <v>0</v>
      </c>
      <c r="BP1242" s="40" t="s">
        <v>16</v>
      </c>
      <c r="BQ1242" s="40" t="s">
        <v>16</v>
      </c>
      <c r="BR1242" s="101"/>
      <c r="BS1242">
        <f t="shared" si="2645"/>
        <v>0</v>
      </c>
      <c r="BT1242">
        <f t="shared" si="2645"/>
        <v>0</v>
      </c>
      <c r="BU1242">
        <f t="shared" si="2645"/>
        <v>0</v>
      </c>
      <c r="BV1242">
        <f t="shared" si="2645"/>
        <v>0</v>
      </c>
      <c r="BW1242">
        <f t="shared" si="2645"/>
        <v>0</v>
      </c>
      <c r="BX1242">
        <f t="shared" si="2645"/>
        <v>0</v>
      </c>
      <c r="BY1242">
        <f t="shared" si="2645"/>
        <v>0</v>
      </c>
      <c r="BZ1242">
        <f t="shared" si="2645"/>
        <v>0</v>
      </c>
      <c r="CA1242">
        <f t="shared" si="2645"/>
        <v>0</v>
      </c>
      <c r="CB1242">
        <f t="shared" si="2645"/>
        <v>0</v>
      </c>
      <c r="CC1242">
        <f t="shared" si="2646"/>
        <v>0</v>
      </c>
      <c r="CD1242">
        <f t="shared" si="2646"/>
        <v>0</v>
      </c>
      <c r="CE1242">
        <f t="shared" si="2646"/>
        <v>0</v>
      </c>
      <c r="CF1242">
        <f t="shared" si="2646"/>
        <v>0</v>
      </c>
      <c r="CG1242">
        <f t="shared" si="2646"/>
        <v>0</v>
      </c>
      <c r="CH1242">
        <f t="shared" si="2646"/>
        <v>0</v>
      </c>
      <c r="CI1242">
        <f t="shared" si="2646"/>
        <v>0</v>
      </c>
      <c r="CJ1242">
        <f t="shared" si="2646"/>
        <v>0</v>
      </c>
      <c r="CK1242">
        <f t="shared" si="2646"/>
        <v>0</v>
      </c>
      <c r="CL1242">
        <f t="shared" si="2646"/>
        <v>0</v>
      </c>
      <c r="CM1242">
        <f t="shared" si="2647"/>
        <v>0</v>
      </c>
      <c r="CN1242">
        <f t="shared" si="2647"/>
        <v>0</v>
      </c>
      <c r="CO1242">
        <f t="shared" si="2647"/>
        <v>0</v>
      </c>
      <c r="CP1242">
        <f t="shared" si="2647"/>
        <v>0</v>
      </c>
      <c r="CQ1242">
        <f t="shared" si="2647"/>
        <v>0</v>
      </c>
      <c r="CR1242">
        <f t="shared" si="2647"/>
        <v>0</v>
      </c>
      <c r="CS1242">
        <f t="shared" si="2647"/>
        <v>0</v>
      </c>
      <c r="CT1242">
        <f t="shared" si="2647"/>
        <v>0</v>
      </c>
      <c r="CU1242">
        <f t="shared" si="2647"/>
        <v>0</v>
      </c>
      <c r="CV1242">
        <f t="shared" si="2647"/>
        <v>0</v>
      </c>
      <c r="CW1242">
        <f t="shared" si="2648"/>
        <v>0</v>
      </c>
      <c r="CX1242">
        <f t="shared" si="2648"/>
        <v>0</v>
      </c>
      <c r="CY1242">
        <f t="shared" si="2648"/>
        <v>0</v>
      </c>
      <c r="CZ1242">
        <f t="shared" si="2648"/>
        <v>0</v>
      </c>
      <c r="DA1242">
        <f t="shared" si="2648"/>
        <v>0</v>
      </c>
      <c r="DB1242">
        <f t="shared" si="2648"/>
        <v>0</v>
      </c>
      <c r="DC1242">
        <f t="shared" si="2648"/>
        <v>0</v>
      </c>
      <c r="DD1242">
        <f t="shared" si="2648"/>
        <v>0</v>
      </c>
      <c r="DE1242">
        <f t="shared" si="2648"/>
        <v>0</v>
      </c>
      <c r="DF1242">
        <f t="shared" si="2648"/>
        <v>0</v>
      </c>
      <c r="DG1242">
        <f t="shared" si="2649"/>
        <v>0</v>
      </c>
      <c r="DH1242">
        <f t="shared" si="2649"/>
        <v>0</v>
      </c>
      <c r="DI1242">
        <f t="shared" si="2649"/>
        <v>0</v>
      </c>
      <c r="DJ1242">
        <f t="shared" si="2649"/>
        <v>0</v>
      </c>
      <c r="DK1242">
        <f t="shared" si="2649"/>
        <v>0</v>
      </c>
      <c r="DL1242">
        <f t="shared" si="2649"/>
        <v>0</v>
      </c>
      <c r="DM1242">
        <f t="shared" si="2649"/>
        <v>0</v>
      </c>
      <c r="DN1242">
        <f t="shared" si="2649"/>
        <v>0</v>
      </c>
      <c r="DO1242">
        <f t="shared" si="2649"/>
        <v>0</v>
      </c>
      <c r="DP1242">
        <f t="shared" si="2649"/>
        <v>0</v>
      </c>
      <c r="DQ1242">
        <f t="shared" si="2650"/>
        <v>0</v>
      </c>
      <c r="DR1242">
        <f t="shared" si="2650"/>
        <v>0</v>
      </c>
      <c r="DS1242">
        <f t="shared" si="2650"/>
        <v>0</v>
      </c>
      <c r="DT1242">
        <f t="shared" si="2650"/>
        <v>0</v>
      </c>
      <c r="DU1242">
        <f t="shared" si="2650"/>
        <v>0</v>
      </c>
      <c r="DV1242">
        <f t="shared" si="2650"/>
        <v>0</v>
      </c>
      <c r="DW1242">
        <f t="shared" si="2650"/>
        <v>0</v>
      </c>
      <c r="DX1242">
        <f t="shared" si="2650"/>
        <v>0</v>
      </c>
      <c r="DY1242">
        <f t="shared" si="2650"/>
        <v>0</v>
      </c>
      <c r="DZ1242">
        <f t="shared" si="2650"/>
        <v>0</v>
      </c>
      <c r="EA1242">
        <f t="shared" ref="EA1242:EF1242" si="2653">IF($C1242&lt;&gt;"",IF(BL1242&gt;0,1,0),0)</f>
        <v>0</v>
      </c>
      <c r="EB1242">
        <f t="shared" si="2653"/>
        <v>0</v>
      </c>
      <c r="EC1242">
        <f t="shared" si="2653"/>
        <v>0</v>
      </c>
      <c r="ED1242">
        <f t="shared" si="2653"/>
        <v>0</v>
      </c>
      <c r="EE1242">
        <f t="shared" si="2653"/>
        <v>0</v>
      </c>
      <c r="EF1242">
        <f t="shared" si="2653"/>
        <v>0</v>
      </c>
    </row>
    <row r="1243" spans="1:136" ht="15.5">
      <c r="A1243" s="90"/>
      <c r="B1243" s="78"/>
      <c r="C1243" s="95"/>
      <c r="D1243" s="18"/>
      <c r="E1243" s="18"/>
      <c r="F1243" s="18"/>
      <c r="G1243" s="18"/>
      <c r="H1243" s="18"/>
      <c r="I1243" s="18"/>
      <c r="J1243" s="18"/>
      <c r="K1243" s="18"/>
      <c r="L1243" s="18"/>
      <c r="M1243" s="18"/>
      <c r="N1243" s="18"/>
      <c r="O1243" s="18"/>
      <c r="P1243" s="18"/>
      <c r="Q1243" s="18"/>
      <c r="R1243" s="18"/>
      <c r="S1243" s="18"/>
      <c r="T1243" s="18"/>
      <c r="U1243" s="18"/>
      <c r="V1243" s="18"/>
      <c r="W1243" s="18"/>
      <c r="X1243" s="18"/>
      <c r="Y1243" s="18"/>
      <c r="Z1243" s="18"/>
      <c r="AA1243" s="18"/>
      <c r="AB1243" s="18"/>
      <c r="AC1243" s="18"/>
      <c r="AD1243" s="18"/>
      <c r="AE1243" s="18"/>
      <c r="AF1243" s="18"/>
      <c r="AG1243" s="18"/>
      <c r="AH1243" s="18"/>
      <c r="AI1243" s="18"/>
      <c r="AJ1243" s="31"/>
      <c r="AK1243" s="31"/>
      <c r="AL1243" s="31"/>
      <c r="AM1243" s="31"/>
      <c r="AN1243" s="31"/>
      <c r="AO1243" s="31"/>
      <c r="AP1243" s="31"/>
      <c r="AQ1243" s="31"/>
      <c r="AR1243" s="31"/>
      <c r="AS1243" s="31"/>
      <c r="AT1243" s="18"/>
      <c r="AU1243" s="18"/>
      <c r="AV1243" s="18"/>
      <c r="AW1243" s="18"/>
      <c r="AX1243" s="18"/>
      <c r="AY1243" s="18"/>
      <c r="AZ1243" s="18"/>
      <c r="BA1243" s="18"/>
      <c r="BB1243" s="18"/>
      <c r="BC1243" s="18"/>
      <c r="BD1243" s="18"/>
      <c r="BE1243" s="25"/>
      <c r="BF1243" s="18"/>
      <c r="BG1243" s="22"/>
      <c r="BH1243" s="2"/>
      <c r="BI1243" s="22"/>
      <c r="BJ1243" s="2"/>
      <c r="BK1243" s="2"/>
      <c r="BL1243" s="22"/>
      <c r="BM1243" s="2"/>
      <c r="BN1243" s="2"/>
      <c r="BO1243" s="2"/>
      <c r="BP1243" s="2"/>
      <c r="BQ1243" s="2"/>
      <c r="BR1243" s="101"/>
    </row>
    <row r="1244" spans="1:136" ht="15.5">
      <c r="A1244" s="93">
        <v>159</v>
      </c>
      <c r="B1244" s="54" t="s">
        <v>155</v>
      </c>
      <c r="C1244" s="94">
        <v>3</v>
      </c>
      <c r="D1244" s="18"/>
      <c r="E1244" s="22"/>
      <c r="F1244" s="22"/>
      <c r="G1244" s="22"/>
      <c r="H1244" s="22"/>
      <c r="I1244" s="22"/>
      <c r="J1244" s="22"/>
      <c r="K1244" s="22"/>
      <c r="L1244" s="22"/>
      <c r="M1244" s="22"/>
      <c r="N1244" s="22"/>
      <c r="O1244" s="22"/>
      <c r="P1244" s="22"/>
      <c r="Q1244" s="22"/>
      <c r="R1244" s="22"/>
      <c r="S1244" s="22"/>
      <c r="T1244" s="22"/>
      <c r="U1244" s="22"/>
      <c r="V1244" s="22"/>
      <c r="W1244" s="22"/>
      <c r="X1244" s="22">
        <f t="shared" ref="X1244:BO1244" si="2654">SUM(X1245:X1247)</f>
        <v>0</v>
      </c>
      <c r="Y1244" s="22">
        <f t="shared" si="2654"/>
        <v>0</v>
      </c>
      <c r="Z1244" s="22">
        <f t="shared" si="2654"/>
        <v>0</v>
      </c>
      <c r="AA1244" s="22">
        <f t="shared" si="2654"/>
        <v>0</v>
      </c>
      <c r="AB1244" s="22">
        <f t="shared" si="2654"/>
        <v>0</v>
      </c>
      <c r="AC1244" s="22">
        <f t="shared" si="2654"/>
        <v>0</v>
      </c>
      <c r="AD1244" s="22">
        <f t="shared" si="2654"/>
        <v>0</v>
      </c>
      <c r="AE1244" s="22">
        <f t="shared" si="2654"/>
        <v>0</v>
      </c>
      <c r="AF1244" s="22">
        <f t="shared" si="2654"/>
        <v>0</v>
      </c>
      <c r="AG1244" s="22">
        <f t="shared" si="2654"/>
        <v>0</v>
      </c>
      <c r="AH1244" s="22">
        <f t="shared" si="2654"/>
        <v>0</v>
      </c>
      <c r="AI1244" s="22">
        <f t="shared" si="2654"/>
        <v>5.5839999999999996</v>
      </c>
      <c r="AJ1244" s="22">
        <f t="shared" si="2654"/>
        <v>0</v>
      </c>
      <c r="AK1244" s="22">
        <f t="shared" si="2654"/>
        <v>0</v>
      </c>
      <c r="AL1244" s="22">
        <f t="shared" si="2654"/>
        <v>0</v>
      </c>
      <c r="AM1244" s="22">
        <f t="shared" si="2654"/>
        <v>0</v>
      </c>
      <c r="AN1244" s="22">
        <f t="shared" si="2654"/>
        <v>0</v>
      </c>
      <c r="AO1244" s="22">
        <f t="shared" si="2654"/>
        <v>0</v>
      </c>
      <c r="AP1244" s="22">
        <f t="shared" si="2654"/>
        <v>0</v>
      </c>
      <c r="AQ1244" s="22">
        <f t="shared" si="2654"/>
        <v>0</v>
      </c>
      <c r="AR1244" s="22">
        <f t="shared" si="2654"/>
        <v>0</v>
      </c>
      <c r="AS1244" s="22">
        <f t="shared" si="2654"/>
        <v>0</v>
      </c>
      <c r="AT1244" s="22">
        <f t="shared" si="2654"/>
        <v>0</v>
      </c>
      <c r="AU1244" s="22">
        <f t="shared" si="2654"/>
        <v>10</v>
      </c>
      <c r="AV1244" s="22">
        <f t="shared" si="2654"/>
        <v>0.51623589999999997</v>
      </c>
      <c r="AW1244" s="22">
        <f t="shared" si="2654"/>
        <v>4.8500107999999997</v>
      </c>
      <c r="AX1244" s="22">
        <f t="shared" si="2654"/>
        <v>0.626892</v>
      </c>
      <c r="AY1244" s="22">
        <f t="shared" si="2654"/>
        <v>0.7007196</v>
      </c>
      <c r="AZ1244" s="22">
        <f t="shared" si="2654"/>
        <v>0.66244919999999996</v>
      </c>
      <c r="BA1244" s="22">
        <f t="shared" si="2654"/>
        <v>0</v>
      </c>
      <c r="BB1244" s="22">
        <f t="shared" si="2654"/>
        <v>0</v>
      </c>
      <c r="BC1244" s="22">
        <f t="shared" si="2654"/>
        <v>0</v>
      </c>
      <c r="BD1244" s="22">
        <f t="shared" si="2654"/>
        <v>0</v>
      </c>
      <c r="BE1244" s="22">
        <f t="shared" si="2654"/>
        <v>10</v>
      </c>
      <c r="BF1244" s="22">
        <f t="shared" si="2654"/>
        <v>0</v>
      </c>
      <c r="BG1244" s="22">
        <f t="shared" si="2654"/>
        <v>3</v>
      </c>
      <c r="BH1244" s="22">
        <f t="shared" si="2654"/>
        <v>3</v>
      </c>
      <c r="BI1244" s="22">
        <f t="shared" si="2654"/>
        <v>3</v>
      </c>
      <c r="BJ1244" s="22">
        <f t="shared" si="2654"/>
        <v>2.8</v>
      </c>
      <c r="BK1244" s="22">
        <f t="shared" si="2654"/>
        <v>0</v>
      </c>
      <c r="BL1244" s="22">
        <f t="shared" si="2654"/>
        <v>0</v>
      </c>
      <c r="BM1244" s="22">
        <f t="shared" si="2654"/>
        <v>0</v>
      </c>
      <c r="BN1244" s="22">
        <f t="shared" si="2654"/>
        <v>0</v>
      </c>
      <c r="BO1244" s="22">
        <f t="shared" si="2654"/>
        <v>0</v>
      </c>
      <c r="BP1244" s="22">
        <f>SUM(BP1245:BP1247)</f>
        <v>0</v>
      </c>
      <c r="BQ1244" s="22">
        <f>SUM(BQ1245:BQ1247)</f>
        <v>0</v>
      </c>
      <c r="BR1244" s="101"/>
      <c r="BS1244">
        <f t="shared" ref="BS1244:CX1244" si="2655">IF($C1244&lt;&gt;"",IF(D1244&gt;0,1,0),0)</f>
        <v>0</v>
      </c>
      <c r="BT1244">
        <f t="shared" si="2655"/>
        <v>0</v>
      </c>
      <c r="BU1244">
        <f t="shared" si="2655"/>
        <v>0</v>
      </c>
      <c r="BV1244">
        <f t="shared" si="2655"/>
        <v>0</v>
      </c>
      <c r="BW1244">
        <f t="shared" si="2655"/>
        <v>0</v>
      </c>
      <c r="BX1244">
        <f t="shared" si="2655"/>
        <v>0</v>
      </c>
      <c r="BY1244">
        <f t="shared" si="2655"/>
        <v>0</v>
      </c>
      <c r="BZ1244">
        <f t="shared" si="2655"/>
        <v>0</v>
      </c>
      <c r="CA1244">
        <f t="shared" si="2655"/>
        <v>0</v>
      </c>
      <c r="CB1244">
        <f t="shared" si="2655"/>
        <v>0</v>
      </c>
      <c r="CC1244">
        <f t="shared" si="2655"/>
        <v>0</v>
      </c>
      <c r="CD1244">
        <f t="shared" si="2655"/>
        <v>0</v>
      </c>
      <c r="CE1244">
        <f t="shared" si="2655"/>
        <v>0</v>
      </c>
      <c r="CF1244">
        <f t="shared" si="2655"/>
        <v>0</v>
      </c>
      <c r="CG1244">
        <f t="shared" si="2655"/>
        <v>0</v>
      </c>
      <c r="CH1244">
        <f t="shared" si="2655"/>
        <v>0</v>
      </c>
      <c r="CI1244">
        <f t="shared" si="2655"/>
        <v>0</v>
      </c>
      <c r="CJ1244">
        <f t="shared" si="2655"/>
        <v>0</v>
      </c>
      <c r="CK1244">
        <f t="shared" si="2655"/>
        <v>0</v>
      </c>
      <c r="CL1244">
        <f t="shared" si="2655"/>
        <v>0</v>
      </c>
      <c r="CM1244">
        <f t="shared" si="2655"/>
        <v>0</v>
      </c>
      <c r="CN1244">
        <f t="shared" si="2655"/>
        <v>0</v>
      </c>
      <c r="CO1244">
        <f t="shared" si="2655"/>
        <v>0</v>
      </c>
      <c r="CP1244">
        <f t="shared" si="2655"/>
        <v>0</v>
      </c>
      <c r="CQ1244">
        <f t="shared" si="2655"/>
        <v>0</v>
      </c>
      <c r="CR1244">
        <f t="shared" si="2655"/>
        <v>0</v>
      </c>
      <c r="CS1244">
        <f t="shared" si="2655"/>
        <v>0</v>
      </c>
      <c r="CT1244">
        <f t="shared" si="2655"/>
        <v>0</v>
      </c>
      <c r="CU1244">
        <f t="shared" si="2655"/>
        <v>0</v>
      </c>
      <c r="CV1244">
        <f t="shared" si="2655"/>
        <v>0</v>
      </c>
      <c r="CW1244">
        <f t="shared" si="2655"/>
        <v>0</v>
      </c>
      <c r="CX1244">
        <f t="shared" si="2655"/>
        <v>1</v>
      </c>
      <c r="CY1244">
        <f t="shared" ref="CY1244:EF1244" si="2656">IF($C1244&lt;&gt;"",IF(AJ1244&gt;0,1,0),0)</f>
        <v>0</v>
      </c>
      <c r="CZ1244">
        <f t="shared" si="2656"/>
        <v>0</v>
      </c>
      <c r="DA1244">
        <f t="shared" si="2656"/>
        <v>0</v>
      </c>
      <c r="DB1244">
        <f t="shared" si="2656"/>
        <v>0</v>
      </c>
      <c r="DC1244">
        <f t="shared" si="2656"/>
        <v>0</v>
      </c>
      <c r="DD1244">
        <f t="shared" si="2656"/>
        <v>0</v>
      </c>
      <c r="DE1244">
        <f t="shared" si="2656"/>
        <v>0</v>
      </c>
      <c r="DF1244">
        <f t="shared" si="2656"/>
        <v>0</v>
      </c>
      <c r="DG1244">
        <f t="shared" si="2656"/>
        <v>0</v>
      </c>
      <c r="DH1244">
        <f t="shared" si="2656"/>
        <v>0</v>
      </c>
      <c r="DI1244">
        <f t="shared" si="2656"/>
        <v>0</v>
      </c>
      <c r="DJ1244">
        <f t="shared" si="2656"/>
        <v>1</v>
      </c>
      <c r="DK1244">
        <f t="shared" si="2656"/>
        <v>1</v>
      </c>
      <c r="DL1244">
        <f t="shared" si="2656"/>
        <v>1</v>
      </c>
      <c r="DM1244">
        <f t="shared" si="2656"/>
        <v>1</v>
      </c>
      <c r="DN1244">
        <f t="shared" si="2656"/>
        <v>1</v>
      </c>
      <c r="DO1244">
        <f t="shared" si="2656"/>
        <v>1</v>
      </c>
      <c r="DP1244">
        <f t="shared" si="2656"/>
        <v>0</v>
      </c>
      <c r="DQ1244">
        <f t="shared" si="2656"/>
        <v>0</v>
      </c>
      <c r="DR1244">
        <f t="shared" si="2656"/>
        <v>0</v>
      </c>
      <c r="DS1244">
        <f t="shared" si="2656"/>
        <v>0</v>
      </c>
      <c r="DT1244">
        <f t="shared" si="2656"/>
        <v>1</v>
      </c>
      <c r="DU1244">
        <f t="shared" si="2656"/>
        <v>0</v>
      </c>
      <c r="DV1244">
        <f t="shared" si="2656"/>
        <v>1</v>
      </c>
      <c r="DW1244">
        <f t="shared" si="2656"/>
        <v>1</v>
      </c>
      <c r="DX1244">
        <f t="shared" si="2656"/>
        <v>1</v>
      </c>
      <c r="DY1244">
        <f t="shared" si="2656"/>
        <v>1</v>
      </c>
      <c r="DZ1244">
        <f t="shared" si="2656"/>
        <v>0</v>
      </c>
      <c r="EA1244">
        <f t="shared" si="2656"/>
        <v>0</v>
      </c>
      <c r="EB1244">
        <f>IF($C1244&lt;&gt;"",IF(BM1244&gt;0,1,0),0)</f>
        <v>0</v>
      </c>
      <c r="EC1244">
        <f t="shared" si="2656"/>
        <v>0</v>
      </c>
      <c r="ED1244">
        <f t="shared" si="2656"/>
        <v>0</v>
      </c>
      <c r="EE1244">
        <f t="shared" si="2656"/>
        <v>0</v>
      </c>
      <c r="EF1244">
        <f t="shared" si="2656"/>
        <v>0</v>
      </c>
    </row>
    <row r="1245" spans="1:136" ht="15.5">
      <c r="A1245" s="90"/>
      <c r="B1245" s="57" t="s">
        <v>205</v>
      </c>
      <c r="C1245" s="94"/>
      <c r="D1245" s="18"/>
      <c r="E1245" s="22"/>
      <c r="F1245" s="22"/>
      <c r="G1245" s="22"/>
      <c r="H1245" s="22"/>
      <c r="I1245" s="22"/>
      <c r="J1245" s="22"/>
      <c r="K1245" s="22"/>
      <c r="L1245" s="22"/>
      <c r="M1245" s="22"/>
      <c r="N1245" s="22"/>
      <c r="O1245" s="22"/>
      <c r="P1245" s="22"/>
      <c r="Q1245" s="22"/>
      <c r="R1245" s="22"/>
      <c r="S1245" s="22"/>
      <c r="T1245" s="22"/>
      <c r="U1245" s="22"/>
      <c r="V1245" s="22"/>
      <c r="W1245" s="22"/>
      <c r="X1245" s="34">
        <v>0</v>
      </c>
      <c r="Y1245" s="34">
        <v>0</v>
      </c>
      <c r="Z1245" s="34">
        <v>0</v>
      </c>
      <c r="AA1245" s="34">
        <v>0</v>
      </c>
      <c r="AB1245" s="34">
        <v>0</v>
      </c>
      <c r="AC1245" s="34">
        <v>0</v>
      </c>
      <c r="AD1245" s="34">
        <v>0</v>
      </c>
      <c r="AE1245" s="34">
        <v>0</v>
      </c>
      <c r="AF1245" s="34">
        <v>0</v>
      </c>
      <c r="AG1245" s="34">
        <v>0</v>
      </c>
      <c r="AH1245" s="34">
        <v>0</v>
      </c>
      <c r="AI1245" s="34">
        <v>0</v>
      </c>
      <c r="AJ1245" s="34">
        <v>0</v>
      </c>
      <c r="AK1245" s="34">
        <v>0</v>
      </c>
      <c r="AL1245" s="34">
        <v>0</v>
      </c>
      <c r="AM1245" s="34">
        <v>0</v>
      </c>
      <c r="AN1245" s="34">
        <v>0</v>
      </c>
      <c r="AO1245" s="34">
        <v>0</v>
      </c>
      <c r="AP1245" s="34">
        <v>0</v>
      </c>
      <c r="AQ1245" s="34">
        <v>0</v>
      </c>
      <c r="AR1245" s="34">
        <v>0</v>
      </c>
      <c r="AS1245" s="34">
        <v>0</v>
      </c>
      <c r="AT1245" s="34">
        <v>0</v>
      </c>
      <c r="AU1245" s="71">
        <v>10</v>
      </c>
      <c r="AV1245" s="34">
        <v>0</v>
      </c>
      <c r="AW1245" s="18">
        <f>407/109</f>
        <v>3.7339449541284404</v>
      </c>
      <c r="AX1245" s="18">
        <v>0</v>
      </c>
      <c r="AY1245" s="18">
        <v>0</v>
      </c>
      <c r="AZ1245" s="18">
        <v>0</v>
      </c>
      <c r="BA1245" s="18">
        <v>0</v>
      </c>
      <c r="BB1245" s="18">
        <v>0</v>
      </c>
      <c r="BC1245" s="18">
        <v>0</v>
      </c>
      <c r="BD1245" s="18">
        <v>0</v>
      </c>
      <c r="BE1245" s="71">
        <v>10</v>
      </c>
      <c r="BF1245" s="18">
        <v>0</v>
      </c>
      <c r="BG1245" s="18">
        <v>3</v>
      </c>
      <c r="BH1245" s="18">
        <v>3</v>
      </c>
      <c r="BI1245" s="18">
        <v>3</v>
      </c>
      <c r="BJ1245" s="113">
        <v>2.8</v>
      </c>
      <c r="BK1245" s="113">
        <v>0</v>
      </c>
      <c r="BL1245" s="113">
        <v>0</v>
      </c>
      <c r="BM1245" s="113">
        <v>0</v>
      </c>
      <c r="BN1245" s="113">
        <v>0</v>
      </c>
      <c r="BO1245" s="113">
        <v>0</v>
      </c>
      <c r="BP1245" s="113">
        <v>0</v>
      </c>
      <c r="BQ1245" s="113">
        <v>0</v>
      </c>
      <c r="BR1245" s="101"/>
      <c r="BS1245">
        <f t="shared" ref="BS1245:CB1248" si="2657">IF($C1245&lt;&gt;"",IF(D1245&gt;0,1,0),0)</f>
        <v>0</v>
      </c>
      <c r="BT1245">
        <f t="shared" si="2657"/>
        <v>0</v>
      </c>
      <c r="BU1245">
        <f t="shared" si="2657"/>
        <v>0</v>
      </c>
      <c r="BV1245">
        <f t="shared" si="2657"/>
        <v>0</v>
      </c>
      <c r="BW1245">
        <f t="shared" si="2657"/>
        <v>0</v>
      </c>
      <c r="BX1245">
        <f t="shared" si="2657"/>
        <v>0</v>
      </c>
      <c r="BY1245">
        <f t="shared" si="2657"/>
        <v>0</v>
      </c>
      <c r="BZ1245">
        <f t="shared" si="2657"/>
        <v>0</v>
      </c>
      <c r="CA1245">
        <f t="shared" si="2657"/>
        <v>0</v>
      </c>
      <c r="CB1245">
        <f t="shared" si="2657"/>
        <v>0</v>
      </c>
      <c r="CC1245">
        <f t="shared" ref="CC1245:CL1248" si="2658">IF($C1245&lt;&gt;"",IF(N1245&gt;0,1,0),0)</f>
        <v>0</v>
      </c>
      <c r="CD1245">
        <f t="shared" si="2658"/>
        <v>0</v>
      </c>
      <c r="CE1245">
        <f t="shared" si="2658"/>
        <v>0</v>
      </c>
      <c r="CF1245">
        <f t="shared" si="2658"/>
        <v>0</v>
      </c>
      <c r="CG1245">
        <f t="shared" si="2658"/>
        <v>0</v>
      </c>
      <c r="CH1245">
        <f t="shared" si="2658"/>
        <v>0</v>
      </c>
      <c r="CI1245">
        <f t="shared" si="2658"/>
        <v>0</v>
      </c>
      <c r="CJ1245">
        <f t="shared" si="2658"/>
        <v>0</v>
      </c>
      <c r="CK1245">
        <f t="shared" si="2658"/>
        <v>0</v>
      </c>
      <c r="CL1245">
        <f t="shared" si="2658"/>
        <v>0</v>
      </c>
      <c r="CM1245">
        <f t="shared" ref="CM1245:CV1248" si="2659">IF($C1245&lt;&gt;"",IF(X1245&gt;0,1,0),0)</f>
        <v>0</v>
      </c>
      <c r="CN1245">
        <f t="shared" si="2659"/>
        <v>0</v>
      </c>
      <c r="CO1245">
        <f t="shared" si="2659"/>
        <v>0</v>
      </c>
      <c r="CP1245">
        <f t="shared" si="2659"/>
        <v>0</v>
      </c>
      <c r="CQ1245">
        <f t="shared" si="2659"/>
        <v>0</v>
      </c>
      <c r="CR1245">
        <f t="shared" si="2659"/>
        <v>0</v>
      </c>
      <c r="CS1245">
        <f t="shared" si="2659"/>
        <v>0</v>
      </c>
      <c r="CT1245">
        <f t="shared" si="2659"/>
        <v>0</v>
      </c>
      <c r="CU1245">
        <f t="shared" si="2659"/>
        <v>0</v>
      </c>
      <c r="CV1245">
        <f t="shared" si="2659"/>
        <v>0</v>
      </c>
      <c r="CW1245">
        <f t="shared" ref="CW1245:DF1248" si="2660">IF($C1245&lt;&gt;"",IF(AH1245&gt;0,1,0),0)</f>
        <v>0</v>
      </c>
      <c r="CX1245">
        <f t="shared" si="2660"/>
        <v>0</v>
      </c>
      <c r="CY1245">
        <f t="shared" si="2660"/>
        <v>0</v>
      </c>
      <c r="CZ1245">
        <f t="shared" si="2660"/>
        <v>0</v>
      </c>
      <c r="DA1245">
        <f t="shared" si="2660"/>
        <v>0</v>
      </c>
      <c r="DB1245">
        <f t="shared" si="2660"/>
        <v>0</v>
      </c>
      <c r="DC1245">
        <f t="shared" si="2660"/>
        <v>0</v>
      </c>
      <c r="DD1245">
        <f t="shared" si="2660"/>
        <v>0</v>
      </c>
      <c r="DE1245">
        <f t="shared" si="2660"/>
        <v>0</v>
      </c>
      <c r="DF1245">
        <f t="shared" si="2660"/>
        <v>0</v>
      </c>
      <c r="DG1245">
        <f t="shared" ref="DG1245:DP1248" si="2661">IF($C1245&lt;&gt;"",IF(AR1245&gt;0,1,0),0)</f>
        <v>0</v>
      </c>
      <c r="DH1245">
        <f t="shared" si="2661"/>
        <v>0</v>
      </c>
      <c r="DI1245">
        <f t="shared" si="2661"/>
        <v>0</v>
      </c>
      <c r="DJ1245">
        <f t="shared" si="2661"/>
        <v>0</v>
      </c>
      <c r="DK1245">
        <f t="shared" si="2661"/>
        <v>0</v>
      </c>
      <c r="DL1245">
        <f t="shared" si="2661"/>
        <v>0</v>
      </c>
      <c r="DM1245">
        <f t="shared" si="2661"/>
        <v>0</v>
      </c>
      <c r="DN1245">
        <f t="shared" si="2661"/>
        <v>0</v>
      </c>
      <c r="DO1245">
        <f t="shared" si="2661"/>
        <v>0</v>
      </c>
      <c r="DP1245">
        <f t="shared" si="2661"/>
        <v>0</v>
      </c>
      <c r="DQ1245">
        <f t="shared" ref="DQ1245:DZ1248" si="2662">IF($C1245&lt;&gt;"",IF(BB1245&gt;0,1,0),0)</f>
        <v>0</v>
      </c>
      <c r="DR1245">
        <f t="shared" si="2662"/>
        <v>0</v>
      </c>
      <c r="DS1245">
        <f t="shared" si="2662"/>
        <v>0</v>
      </c>
      <c r="DT1245">
        <f t="shared" si="2662"/>
        <v>0</v>
      </c>
      <c r="DU1245">
        <f t="shared" si="2662"/>
        <v>0</v>
      </c>
      <c r="DV1245">
        <f t="shared" si="2662"/>
        <v>0</v>
      </c>
      <c r="DW1245">
        <f t="shared" si="2662"/>
        <v>0</v>
      </c>
      <c r="DX1245">
        <f t="shared" si="2662"/>
        <v>0</v>
      </c>
      <c r="DY1245">
        <f t="shared" si="2662"/>
        <v>0</v>
      </c>
      <c r="DZ1245">
        <f t="shared" si="2662"/>
        <v>0</v>
      </c>
      <c r="EA1245">
        <f t="shared" ref="EA1245:EF1246" si="2663">IF($C1245&lt;&gt;"",IF(BL1244&gt;0,1,0),0)</f>
        <v>0</v>
      </c>
      <c r="EB1245">
        <f>IF($C1245&lt;&gt;"",IF(BM1244&gt;0,1,0),0)</f>
        <v>0</v>
      </c>
      <c r="EC1245">
        <f t="shared" si="2663"/>
        <v>0</v>
      </c>
      <c r="ED1245">
        <f t="shared" si="2663"/>
        <v>0</v>
      </c>
      <c r="EE1245">
        <f t="shared" si="2663"/>
        <v>0</v>
      </c>
      <c r="EF1245">
        <f t="shared" si="2663"/>
        <v>0</v>
      </c>
    </row>
    <row r="1246" spans="1:136" ht="15.5">
      <c r="A1246" s="90"/>
      <c r="B1246" s="57" t="s">
        <v>3</v>
      </c>
      <c r="C1246" s="95"/>
      <c r="D1246" s="18"/>
      <c r="E1246" s="34"/>
      <c r="F1246" s="34"/>
      <c r="G1246" s="34"/>
      <c r="H1246" s="34"/>
      <c r="I1246" s="34"/>
      <c r="J1246" s="34"/>
      <c r="K1246" s="34"/>
      <c r="L1246" s="34"/>
      <c r="M1246" s="34"/>
      <c r="N1246" s="34"/>
      <c r="O1246" s="34"/>
      <c r="P1246" s="34"/>
      <c r="Q1246" s="34"/>
      <c r="R1246" s="34"/>
      <c r="S1246" s="34"/>
      <c r="T1246" s="34"/>
      <c r="U1246" s="34"/>
      <c r="V1246" s="34"/>
      <c r="W1246" s="34"/>
      <c r="X1246" s="34">
        <v>0</v>
      </c>
      <c r="Y1246" s="34">
        <v>0</v>
      </c>
      <c r="Z1246" s="34">
        <v>0</v>
      </c>
      <c r="AA1246" s="34">
        <v>0</v>
      </c>
      <c r="AB1246" s="34">
        <v>0</v>
      </c>
      <c r="AC1246" s="34">
        <v>0</v>
      </c>
      <c r="AD1246" s="34">
        <v>0</v>
      </c>
      <c r="AE1246" s="34">
        <v>0</v>
      </c>
      <c r="AF1246" s="34">
        <v>0</v>
      </c>
      <c r="AG1246" s="34">
        <v>0</v>
      </c>
      <c r="AH1246" s="34">
        <v>0</v>
      </c>
      <c r="AI1246" s="34">
        <v>5.5839999999999996</v>
      </c>
      <c r="AJ1246" s="34">
        <v>0</v>
      </c>
      <c r="AK1246" s="34">
        <v>0</v>
      </c>
      <c r="AL1246" s="34">
        <v>0</v>
      </c>
      <c r="AM1246" s="34">
        <v>0</v>
      </c>
      <c r="AN1246" s="34">
        <v>0</v>
      </c>
      <c r="AO1246" s="34">
        <v>0</v>
      </c>
      <c r="AP1246" s="34">
        <v>0</v>
      </c>
      <c r="AQ1246" s="34">
        <v>0</v>
      </c>
      <c r="AR1246" s="34">
        <v>0</v>
      </c>
      <c r="AS1246" s="34">
        <v>0</v>
      </c>
      <c r="AT1246" s="34">
        <v>0</v>
      </c>
      <c r="AU1246" s="34">
        <v>0</v>
      </c>
      <c r="AV1246" s="34">
        <v>0.51623589999999997</v>
      </c>
      <c r="AW1246" s="34">
        <f>4.8500108-AW1245</f>
        <v>1.1160658458715593</v>
      </c>
      <c r="AX1246" s="34">
        <v>0.626892</v>
      </c>
      <c r="AY1246" s="34">
        <v>0.7007196</v>
      </c>
      <c r="AZ1246" s="34">
        <v>0.66244919999999996</v>
      </c>
      <c r="BA1246" s="34">
        <v>0</v>
      </c>
      <c r="BB1246" s="34">
        <v>0</v>
      </c>
      <c r="BC1246" s="34">
        <v>0</v>
      </c>
      <c r="BD1246" s="34">
        <v>0</v>
      </c>
      <c r="BE1246" s="42">
        <v>0</v>
      </c>
      <c r="BF1246" s="34">
        <v>0</v>
      </c>
      <c r="BG1246" s="34">
        <v>0</v>
      </c>
      <c r="BH1246" s="34">
        <v>0</v>
      </c>
      <c r="BI1246" s="34">
        <v>0</v>
      </c>
      <c r="BJ1246" s="113">
        <v>0</v>
      </c>
      <c r="BK1246" s="113">
        <v>0</v>
      </c>
      <c r="BL1246" s="113">
        <v>0</v>
      </c>
      <c r="BM1246" s="113">
        <v>0</v>
      </c>
      <c r="BN1246" s="113">
        <v>0</v>
      </c>
      <c r="BO1246" s="113">
        <v>0</v>
      </c>
      <c r="BP1246" s="113">
        <v>0</v>
      </c>
      <c r="BQ1246" s="113">
        <v>0</v>
      </c>
      <c r="BR1246" s="101"/>
      <c r="BS1246">
        <f t="shared" si="2657"/>
        <v>0</v>
      </c>
      <c r="BT1246">
        <f t="shared" si="2657"/>
        <v>0</v>
      </c>
      <c r="BU1246">
        <f t="shared" si="2657"/>
        <v>0</v>
      </c>
      <c r="BV1246">
        <f t="shared" si="2657"/>
        <v>0</v>
      </c>
      <c r="BW1246">
        <f t="shared" si="2657"/>
        <v>0</v>
      </c>
      <c r="BX1246">
        <f t="shared" si="2657"/>
        <v>0</v>
      </c>
      <c r="BY1246">
        <f t="shared" si="2657"/>
        <v>0</v>
      </c>
      <c r="BZ1246">
        <f t="shared" si="2657"/>
        <v>0</v>
      </c>
      <c r="CA1246">
        <f t="shared" si="2657"/>
        <v>0</v>
      </c>
      <c r="CB1246">
        <f t="shared" si="2657"/>
        <v>0</v>
      </c>
      <c r="CC1246">
        <f t="shared" si="2658"/>
        <v>0</v>
      </c>
      <c r="CD1246">
        <f t="shared" si="2658"/>
        <v>0</v>
      </c>
      <c r="CE1246">
        <f t="shared" si="2658"/>
        <v>0</v>
      </c>
      <c r="CF1246">
        <f t="shared" si="2658"/>
        <v>0</v>
      </c>
      <c r="CG1246">
        <f t="shared" si="2658"/>
        <v>0</v>
      </c>
      <c r="CH1246">
        <f t="shared" si="2658"/>
        <v>0</v>
      </c>
      <c r="CI1246">
        <f t="shared" si="2658"/>
        <v>0</v>
      </c>
      <c r="CJ1246">
        <f t="shared" si="2658"/>
        <v>0</v>
      </c>
      <c r="CK1246">
        <f t="shared" si="2658"/>
        <v>0</v>
      </c>
      <c r="CL1246">
        <f t="shared" si="2658"/>
        <v>0</v>
      </c>
      <c r="CM1246">
        <f t="shared" si="2659"/>
        <v>0</v>
      </c>
      <c r="CN1246">
        <f t="shared" si="2659"/>
        <v>0</v>
      </c>
      <c r="CO1246">
        <f t="shared" si="2659"/>
        <v>0</v>
      </c>
      <c r="CP1246">
        <f t="shared" si="2659"/>
        <v>0</v>
      </c>
      <c r="CQ1246">
        <f t="shared" si="2659"/>
        <v>0</v>
      </c>
      <c r="CR1246">
        <f t="shared" si="2659"/>
        <v>0</v>
      </c>
      <c r="CS1246">
        <f t="shared" si="2659"/>
        <v>0</v>
      </c>
      <c r="CT1246">
        <f t="shared" si="2659"/>
        <v>0</v>
      </c>
      <c r="CU1246">
        <f t="shared" si="2659"/>
        <v>0</v>
      </c>
      <c r="CV1246">
        <f t="shared" si="2659"/>
        <v>0</v>
      </c>
      <c r="CW1246">
        <f t="shared" si="2660"/>
        <v>0</v>
      </c>
      <c r="CX1246">
        <f t="shared" si="2660"/>
        <v>0</v>
      </c>
      <c r="CY1246">
        <f t="shared" si="2660"/>
        <v>0</v>
      </c>
      <c r="CZ1246">
        <f t="shared" si="2660"/>
        <v>0</v>
      </c>
      <c r="DA1246">
        <f t="shared" si="2660"/>
        <v>0</v>
      </c>
      <c r="DB1246">
        <f t="shared" si="2660"/>
        <v>0</v>
      </c>
      <c r="DC1246">
        <f t="shared" si="2660"/>
        <v>0</v>
      </c>
      <c r="DD1246">
        <f t="shared" si="2660"/>
        <v>0</v>
      </c>
      <c r="DE1246">
        <f t="shared" si="2660"/>
        <v>0</v>
      </c>
      <c r="DF1246">
        <f t="shared" si="2660"/>
        <v>0</v>
      </c>
      <c r="DG1246">
        <f t="shared" si="2661"/>
        <v>0</v>
      </c>
      <c r="DH1246">
        <f t="shared" si="2661"/>
        <v>0</v>
      </c>
      <c r="DI1246">
        <f t="shared" si="2661"/>
        <v>0</v>
      </c>
      <c r="DJ1246">
        <f t="shared" si="2661"/>
        <v>0</v>
      </c>
      <c r="DK1246">
        <f t="shared" si="2661"/>
        <v>0</v>
      </c>
      <c r="DL1246">
        <f t="shared" si="2661"/>
        <v>0</v>
      </c>
      <c r="DM1246">
        <f t="shared" si="2661"/>
        <v>0</v>
      </c>
      <c r="DN1246">
        <f t="shared" si="2661"/>
        <v>0</v>
      </c>
      <c r="DO1246">
        <f t="shared" si="2661"/>
        <v>0</v>
      </c>
      <c r="DP1246">
        <f t="shared" si="2661"/>
        <v>0</v>
      </c>
      <c r="DQ1246">
        <f t="shared" si="2662"/>
        <v>0</v>
      </c>
      <c r="DR1246">
        <f t="shared" si="2662"/>
        <v>0</v>
      </c>
      <c r="DS1246">
        <f t="shared" si="2662"/>
        <v>0</v>
      </c>
      <c r="DT1246">
        <f t="shared" si="2662"/>
        <v>0</v>
      </c>
      <c r="DU1246">
        <f t="shared" si="2662"/>
        <v>0</v>
      </c>
      <c r="DV1246">
        <f t="shared" si="2662"/>
        <v>0</v>
      </c>
      <c r="DW1246">
        <f t="shared" si="2662"/>
        <v>0</v>
      </c>
      <c r="DX1246">
        <f t="shared" si="2662"/>
        <v>0</v>
      </c>
      <c r="DY1246">
        <f t="shared" si="2662"/>
        <v>0</v>
      </c>
      <c r="DZ1246">
        <f t="shared" si="2662"/>
        <v>0</v>
      </c>
      <c r="EA1246">
        <f t="shared" si="2663"/>
        <v>0</v>
      </c>
      <c r="EB1246">
        <f>IF($C1246&lt;&gt;"",IF(BM1245&gt;0,1,0),0)</f>
        <v>0</v>
      </c>
      <c r="EC1246">
        <f t="shared" si="2663"/>
        <v>0</v>
      </c>
      <c r="ED1246">
        <f t="shared" si="2663"/>
        <v>0</v>
      </c>
      <c r="EE1246">
        <f t="shared" si="2663"/>
        <v>0</v>
      </c>
      <c r="EF1246">
        <f t="shared" si="2663"/>
        <v>0</v>
      </c>
    </row>
    <row r="1247" spans="1:136" ht="15.5">
      <c r="A1247" s="90"/>
      <c r="B1247" s="19" t="s">
        <v>208</v>
      </c>
      <c r="C1247" s="95"/>
      <c r="D1247" s="18"/>
      <c r="E1247" s="34"/>
      <c r="F1247" s="34"/>
      <c r="G1247" s="34"/>
      <c r="H1247" s="34"/>
      <c r="I1247" s="34"/>
      <c r="J1247" s="34"/>
      <c r="K1247" s="34"/>
      <c r="L1247" s="34"/>
      <c r="M1247" s="34"/>
      <c r="N1247" s="34"/>
      <c r="O1247" s="34"/>
      <c r="P1247" s="34"/>
      <c r="Q1247" s="34"/>
      <c r="R1247" s="34"/>
      <c r="S1247" s="34"/>
      <c r="T1247" s="34"/>
      <c r="U1247" s="34"/>
      <c r="V1247" s="34"/>
      <c r="W1247" s="34"/>
      <c r="X1247" s="34">
        <v>0</v>
      </c>
      <c r="Y1247" s="34">
        <v>0</v>
      </c>
      <c r="Z1247" s="34">
        <v>0</v>
      </c>
      <c r="AA1247" s="34">
        <v>0</v>
      </c>
      <c r="AB1247" s="34">
        <v>0</v>
      </c>
      <c r="AC1247" s="34">
        <v>0</v>
      </c>
      <c r="AD1247" s="34">
        <v>0</v>
      </c>
      <c r="AE1247" s="34">
        <v>0</v>
      </c>
      <c r="AF1247" s="34">
        <v>0</v>
      </c>
      <c r="AG1247" s="34">
        <v>0</v>
      </c>
      <c r="AH1247" s="34">
        <v>0</v>
      </c>
      <c r="AI1247" s="34">
        <v>0</v>
      </c>
      <c r="AJ1247" s="34">
        <v>0</v>
      </c>
      <c r="AK1247" s="34">
        <v>0</v>
      </c>
      <c r="AL1247" s="34">
        <v>0</v>
      </c>
      <c r="AM1247" s="34">
        <v>0</v>
      </c>
      <c r="AN1247" s="34">
        <v>0</v>
      </c>
      <c r="AO1247" s="34">
        <v>0</v>
      </c>
      <c r="AP1247" s="34">
        <v>0</v>
      </c>
      <c r="AQ1247" s="34">
        <v>0</v>
      </c>
      <c r="AR1247" s="34">
        <v>0</v>
      </c>
      <c r="AS1247" s="34">
        <v>0</v>
      </c>
      <c r="AT1247" s="34">
        <v>0</v>
      </c>
      <c r="AU1247" s="34">
        <v>0</v>
      </c>
      <c r="AV1247" s="34">
        <v>0</v>
      </c>
      <c r="AW1247" s="34">
        <v>0</v>
      </c>
      <c r="AX1247" s="34">
        <v>0</v>
      </c>
      <c r="AY1247" s="34">
        <v>0</v>
      </c>
      <c r="AZ1247" s="34">
        <v>0</v>
      </c>
      <c r="BA1247" s="34">
        <v>0</v>
      </c>
      <c r="BB1247" s="34">
        <v>0</v>
      </c>
      <c r="BC1247" s="34">
        <v>0</v>
      </c>
      <c r="BD1247" s="34">
        <v>0</v>
      </c>
      <c r="BE1247" s="42">
        <v>0</v>
      </c>
      <c r="BF1247" s="34">
        <v>0</v>
      </c>
      <c r="BG1247" s="34">
        <v>0</v>
      </c>
      <c r="BH1247" s="34">
        <v>0</v>
      </c>
      <c r="BI1247" s="34">
        <v>0</v>
      </c>
      <c r="BJ1247" s="113">
        <v>0</v>
      </c>
      <c r="BK1247" s="113">
        <v>0</v>
      </c>
      <c r="BL1247" s="113">
        <v>0</v>
      </c>
      <c r="BM1247" s="113">
        <v>0</v>
      </c>
      <c r="BN1247" s="113">
        <v>0</v>
      </c>
      <c r="BO1247" s="113">
        <v>0</v>
      </c>
      <c r="BP1247" s="113">
        <v>0</v>
      </c>
      <c r="BQ1247" s="113">
        <v>0</v>
      </c>
      <c r="BR1247" s="101"/>
      <c r="BS1247">
        <f t="shared" si="2657"/>
        <v>0</v>
      </c>
      <c r="BT1247">
        <f t="shared" si="2657"/>
        <v>0</v>
      </c>
      <c r="BU1247">
        <f t="shared" si="2657"/>
        <v>0</v>
      </c>
      <c r="BV1247">
        <f t="shared" si="2657"/>
        <v>0</v>
      </c>
      <c r="BW1247">
        <f t="shared" si="2657"/>
        <v>0</v>
      </c>
      <c r="BX1247">
        <f t="shared" si="2657"/>
        <v>0</v>
      </c>
      <c r="BY1247">
        <f t="shared" si="2657"/>
        <v>0</v>
      </c>
      <c r="BZ1247">
        <f t="shared" si="2657"/>
        <v>0</v>
      </c>
      <c r="CA1247">
        <f t="shared" si="2657"/>
        <v>0</v>
      </c>
      <c r="CB1247">
        <f t="shared" si="2657"/>
        <v>0</v>
      </c>
      <c r="CC1247">
        <f t="shared" si="2658"/>
        <v>0</v>
      </c>
      <c r="CD1247">
        <f t="shared" si="2658"/>
        <v>0</v>
      </c>
      <c r="CE1247">
        <f t="shared" si="2658"/>
        <v>0</v>
      </c>
      <c r="CF1247">
        <f t="shared" si="2658"/>
        <v>0</v>
      </c>
      <c r="CG1247">
        <f t="shared" si="2658"/>
        <v>0</v>
      </c>
      <c r="CH1247">
        <f t="shared" si="2658"/>
        <v>0</v>
      </c>
      <c r="CI1247">
        <f t="shared" si="2658"/>
        <v>0</v>
      </c>
      <c r="CJ1247">
        <f t="shared" si="2658"/>
        <v>0</v>
      </c>
      <c r="CK1247">
        <f t="shared" si="2658"/>
        <v>0</v>
      </c>
      <c r="CL1247">
        <f t="shared" si="2658"/>
        <v>0</v>
      </c>
      <c r="CM1247">
        <f t="shared" si="2659"/>
        <v>0</v>
      </c>
      <c r="CN1247">
        <f t="shared" si="2659"/>
        <v>0</v>
      </c>
      <c r="CO1247">
        <f t="shared" si="2659"/>
        <v>0</v>
      </c>
      <c r="CP1247">
        <f t="shared" si="2659"/>
        <v>0</v>
      </c>
      <c r="CQ1247">
        <f t="shared" si="2659"/>
        <v>0</v>
      </c>
      <c r="CR1247">
        <f t="shared" si="2659"/>
        <v>0</v>
      </c>
      <c r="CS1247">
        <f t="shared" si="2659"/>
        <v>0</v>
      </c>
      <c r="CT1247">
        <f t="shared" si="2659"/>
        <v>0</v>
      </c>
      <c r="CU1247">
        <f t="shared" si="2659"/>
        <v>0</v>
      </c>
      <c r="CV1247">
        <f t="shared" si="2659"/>
        <v>0</v>
      </c>
      <c r="CW1247">
        <f t="shared" si="2660"/>
        <v>0</v>
      </c>
      <c r="CX1247">
        <f t="shared" si="2660"/>
        <v>0</v>
      </c>
      <c r="CY1247">
        <f t="shared" si="2660"/>
        <v>0</v>
      </c>
      <c r="CZ1247">
        <f t="shared" si="2660"/>
        <v>0</v>
      </c>
      <c r="DA1247">
        <f t="shared" si="2660"/>
        <v>0</v>
      </c>
      <c r="DB1247">
        <f t="shared" si="2660"/>
        <v>0</v>
      </c>
      <c r="DC1247">
        <f t="shared" si="2660"/>
        <v>0</v>
      </c>
      <c r="DD1247">
        <f t="shared" si="2660"/>
        <v>0</v>
      </c>
      <c r="DE1247">
        <f t="shared" si="2660"/>
        <v>0</v>
      </c>
      <c r="DF1247">
        <f t="shared" si="2660"/>
        <v>0</v>
      </c>
      <c r="DG1247">
        <f t="shared" si="2661"/>
        <v>0</v>
      </c>
      <c r="DH1247">
        <f t="shared" si="2661"/>
        <v>0</v>
      </c>
      <c r="DI1247">
        <f t="shared" si="2661"/>
        <v>0</v>
      </c>
      <c r="DJ1247">
        <f t="shared" si="2661"/>
        <v>0</v>
      </c>
      <c r="DK1247">
        <f t="shared" si="2661"/>
        <v>0</v>
      </c>
      <c r="DL1247">
        <f t="shared" si="2661"/>
        <v>0</v>
      </c>
      <c r="DM1247">
        <f t="shared" si="2661"/>
        <v>0</v>
      </c>
      <c r="DN1247">
        <f t="shared" si="2661"/>
        <v>0</v>
      </c>
      <c r="DO1247">
        <f t="shared" si="2661"/>
        <v>0</v>
      </c>
      <c r="DP1247">
        <f t="shared" si="2661"/>
        <v>0</v>
      </c>
      <c r="DQ1247">
        <f t="shared" si="2662"/>
        <v>0</v>
      </c>
      <c r="DR1247">
        <f t="shared" si="2662"/>
        <v>0</v>
      </c>
      <c r="DS1247">
        <f t="shared" si="2662"/>
        <v>0</v>
      </c>
      <c r="DT1247">
        <f t="shared" si="2662"/>
        <v>0</v>
      </c>
      <c r="DU1247">
        <f t="shared" si="2662"/>
        <v>0</v>
      </c>
      <c r="DV1247">
        <f t="shared" si="2662"/>
        <v>0</v>
      </c>
      <c r="DW1247">
        <f t="shared" si="2662"/>
        <v>0</v>
      </c>
      <c r="DX1247">
        <f t="shared" si="2662"/>
        <v>0</v>
      </c>
      <c r="DY1247">
        <f t="shared" si="2662"/>
        <v>0</v>
      </c>
      <c r="DZ1247">
        <f t="shared" si="2662"/>
        <v>0</v>
      </c>
      <c r="EA1247">
        <f t="shared" ref="EA1247:EF1248" si="2664">IF($C1247&lt;&gt;"",IF(BL1247&gt;0,1,0),0)</f>
        <v>0</v>
      </c>
      <c r="EB1247">
        <f>IF($C1247&lt;&gt;"",IF(BM1247&gt;0,1,0),0)</f>
        <v>0</v>
      </c>
      <c r="EC1247">
        <f t="shared" si="2664"/>
        <v>0</v>
      </c>
      <c r="ED1247">
        <f t="shared" si="2664"/>
        <v>0</v>
      </c>
      <c r="EE1247">
        <f t="shared" si="2664"/>
        <v>0</v>
      </c>
      <c r="EF1247">
        <f t="shared" si="2664"/>
        <v>0</v>
      </c>
    </row>
    <row r="1248" spans="1:136" ht="15.5">
      <c r="A1248" s="90"/>
      <c r="B1248" s="57" t="s">
        <v>212</v>
      </c>
      <c r="C1248" s="95"/>
      <c r="D1248" s="18"/>
      <c r="E1248" s="34"/>
      <c r="F1248" s="34"/>
      <c r="G1248" s="34"/>
      <c r="H1248" s="34"/>
      <c r="I1248" s="34"/>
      <c r="J1248" s="34"/>
      <c r="K1248" s="34"/>
      <c r="L1248" s="34"/>
      <c r="M1248" s="34"/>
      <c r="N1248" s="34"/>
      <c r="O1248" s="34"/>
      <c r="P1248" s="34"/>
      <c r="Q1248" s="34"/>
      <c r="R1248" s="34"/>
      <c r="S1248" s="34"/>
      <c r="T1248" s="34"/>
      <c r="U1248" s="34"/>
      <c r="V1248" s="34"/>
      <c r="W1248" s="34"/>
      <c r="X1248" s="34"/>
      <c r="Y1248" s="34"/>
      <c r="Z1248" s="34"/>
      <c r="AA1248" s="34"/>
      <c r="AB1248" s="34"/>
      <c r="AC1248" s="34"/>
      <c r="AD1248" s="34"/>
      <c r="AE1248" s="34"/>
      <c r="AF1248" s="34"/>
      <c r="AG1248" s="34"/>
      <c r="AH1248" s="34">
        <v>0</v>
      </c>
      <c r="AI1248" s="34">
        <v>0</v>
      </c>
      <c r="AJ1248" s="34">
        <v>0</v>
      </c>
      <c r="AK1248" s="34">
        <f>40/90</f>
        <v>0.44444444444444442</v>
      </c>
      <c r="AL1248" s="34">
        <v>0</v>
      </c>
      <c r="AM1248" s="34">
        <v>0</v>
      </c>
      <c r="AN1248" s="34">
        <v>0</v>
      </c>
      <c r="AO1248" s="34">
        <f>101/97</f>
        <v>1.0412371134020619</v>
      </c>
      <c r="AP1248" s="34">
        <v>0</v>
      </c>
      <c r="AQ1248" s="34">
        <v>0</v>
      </c>
      <c r="AR1248" s="34">
        <v>0</v>
      </c>
      <c r="AS1248" s="34">
        <v>0</v>
      </c>
      <c r="AT1248" s="34">
        <f>18/93</f>
        <v>0.19354838709677419</v>
      </c>
      <c r="AU1248" s="34">
        <f>40/87</f>
        <v>0.45977011494252873</v>
      </c>
      <c r="AV1248" s="34">
        <v>0</v>
      </c>
      <c r="AW1248" s="34">
        <v>0</v>
      </c>
      <c r="AX1248" s="34">
        <v>0</v>
      </c>
      <c r="AY1248" s="34">
        <v>0</v>
      </c>
      <c r="AZ1248" s="34">
        <v>0</v>
      </c>
      <c r="BA1248" s="34">
        <v>0</v>
      </c>
      <c r="BB1248" s="34">
        <v>0</v>
      </c>
      <c r="BC1248" s="34">
        <v>0</v>
      </c>
      <c r="BD1248" s="34">
        <v>0</v>
      </c>
      <c r="BE1248" s="42">
        <v>0</v>
      </c>
      <c r="BF1248" s="34">
        <v>0</v>
      </c>
      <c r="BG1248" s="34">
        <v>0</v>
      </c>
      <c r="BH1248" s="34">
        <v>0</v>
      </c>
      <c r="BI1248" s="34">
        <v>0</v>
      </c>
      <c r="BJ1248" s="113">
        <v>0</v>
      </c>
      <c r="BK1248" s="113">
        <v>0</v>
      </c>
      <c r="BL1248" s="113">
        <v>0</v>
      </c>
      <c r="BM1248" s="113">
        <v>0</v>
      </c>
      <c r="BN1248" s="113">
        <v>0</v>
      </c>
      <c r="BO1248" s="113">
        <v>0</v>
      </c>
      <c r="BP1248" s="113">
        <v>0</v>
      </c>
      <c r="BQ1248" s="113">
        <v>0</v>
      </c>
      <c r="BR1248" s="101"/>
      <c r="BS1248">
        <f t="shared" si="2657"/>
        <v>0</v>
      </c>
      <c r="BT1248">
        <f t="shared" si="2657"/>
        <v>0</v>
      </c>
      <c r="BU1248">
        <f t="shared" si="2657"/>
        <v>0</v>
      </c>
      <c r="BV1248">
        <f t="shared" si="2657"/>
        <v>0</v>
      </c>
      <c r="BW1248">
        <f t="shared" si="2657"/>
        <v>0</v>
      </c>
      <c r="BX1248">
        <f t="shared" si="2657"/>
        <v>0</v>
      </c>
      <c r="BY1248">
        <f t="shared" si="2657"/>
        <v>0</v>
      </c>
      <c r="BZ1248">
        <f t="shared" si="2657"/>
        <v>0</v>
      </c>
      <c r="CA1248">
        <f t="shared" si="2657"/>
        <v>0</v>
      </c>
      <c r="CB1248">
        <f t="shared" si="2657"/>
        <v>0</v>
      </c>
      <c r="CC1248">
        <f t="shared" si="2658"/>
        <v>0</v>
      </c>
      <c r="CD1248">
        <f t="shared" si="2658"/>
        <v>0</v>
      </c>
      <c r="CE1248">
        <f t="shared" si="2658"/>
        <v>0</v>
      </c>
      <c r="CF1248">
        <f t="shared" si="2658"/>
        <v>0</v>
      </c>
      <c r="CG1248">
        <f t="shared" si="2658"/>
        <v>0</v>
      </c>
      <c r="CH1248">
        <f t="shared" si="2658"/>
        <v>0</v>
      </c>
      <c r="CI1248">
        <f t="shared" si="2658"/>
        <v>0</v>
      </c>
      <c r="CJ1248">
        <f t="shared" si="2658"/>
        <v>0</v>
      </c>
      <c r="CK1248">
        <f t="shared" si="2658"/>
        <v>0</v>
      </c>
      <c r="CL1248">
        <f t="shared" si="2658"/>
        <v>0</v>
      </c>
      <c r="CM1248">
        <f t="shared" si="2659"/>
        <v>0</v>
      </c>
      <c r="CN1248">
        <f t="shared" si="2659"/>
        <v>0</v>
      </c>
      <c r="CO1248">
        <f t="shared" si="2659"/>
        <v>0</v>
      </c>
      <c r="CP1248">
        <f t="shared" si="2659"/>
        <v>0</v>
      </c>
      <c r="CQ1248">
        <f t="shared" si="2659"/>
        <v>0</v>
      </c>
      <c r="CR1248">
        <f t="shared" si="2659"/>
        <v>0</v>
      </c>
      <c r="CS1248">
        <f t="shared" si="2659"/>
        <v>0</v>
      </c>
      <c r="CT1248">
        <f t="shared" si="2659"/>
        <v>0</v>
      </c>
      <c r="CU1248">
        <f t="shared" si="2659"/>
        <v>0</v>
      </c>
      <c r="CV1248">
        <f t="shared" si="2659"/>
        <v>0</v>
      </c>
      <c r="CW1248">
        <f t="shared" si="2660"/>
        <v>0</v>
      </c>
      <c r="CX1248">
        <f t="shared" si="2660"/>
        <v>0</v>
      </c>
      <c r="CY1248">
        <f t="shared" si="2660"/>
        <v>0</v>
      </c>
      <c r="CZ1248">
        <f t="shared" si="2660"/>
        <v>0</v>
      </c>
      <c r="DA1248">
        <f t="shared" si="2660"/>
        <v>0</v>
      </c>
      <c r="DB1248">
        <f t="shared" si="2660"/>
        <v>0</v>
      </c>
      <c r="DC1248">
        <f t="shared" si="2660"/>
        <v>0</v>
      </c>
      <c r="DD1248">
        <f t="shared" si="2660"/>
        <v>0</v>
      </c>
      <c r="DE1248">
        <f t="shared" si="2660"/>
        <v>0</v>
      </c>
      <c r="DF1248">
        <f t="shared" si="2660"/>
        <v>0</v>
      </c>
      <c r="DG1248">
        <f t="shared" si="2661"/>
        <v>0</v>
      </c>
      <c r="DH1248">
        <f t="shared" si="2661"/>
        <v>0</v>
      </c>
      <c r="DI1248">
        <f t="shared" si="2661"/>
        <v>0</v>
      </c>
      <c r="DJ1248">
        <f t="shared" si="2661"/>
        <v>0</v>
      </c>
      <c r="DK1248">
        <f t="shared" si="2661"/>
        <v>0</v>
      </c>
      <c r="DL1248">
        <f t="shared" si="2661"/>
        <v>0</v>
      </c>
      <c r="DM1248">
        <f t="shared" si="2661"/>
        <v>0</v>
      </c>
      <c r="DN1248">
        <f t="shared" si="2661"/>
        <v>0</v>
      </c>
      <c r="DO1248">
        <f t="shared" si="2661"/>
        <v>0</v>
      </c>
      <c r="DP1248">
        <f t="shared" si="2661"/>
        <v>0</v>
      </c>
      <c r="DQ1248">
        <f t="shared" si="2662"/>
        <v>0</v>
      </c>
      <c r="DR1248">
        <f t="shared" si="2662"/>
        <v>0</v>
      </c>
      <c r="DS1248">
        <f t="shared" si="2662"/>
        <v>0</v>
      </c>
      <c r="DT1248">
        <f t="shared" si="2662"/>
        <v>0</v>
      </c>
      <c r="DU1248">
        <f t="shared" si="2662"/>
        <v>0</v>
      </c>
      <c r="DV1248">
        <f t="shared" si="2662"/>
        <v>0</v>
      </c>
      <c r="DW1248">
        <f t="shared" si="2662"/>
        <v>0</v>
      </c>
      <c r="DX1248">
        <f t="shared" si="2662"/>
        <v>0</v>
      </c>
      <c r="DY1248">
        <f t="shared" si="2662"/>
        <v>0</v>
      </c>
      <c r="DZ1248">
        <f t="shared" si="2662"/>
        <v>0</v>
      </c>
      <c r="EA1248">
        <f t="shared" si="2664"/>
        <v>0</v>
      </c>
      <c r="EB1248">
        <f>IF($C1248&lt;&gt;"",IF(BM1248&gt;0,1,0),0)</f>
        <v>0</v>
      </c>
      <c r="EC1248">
        <f t="shared" si="2664"/>
        <v>0</v>
      </c>
      <c r="ED1248">
        <f t="shared" si="2664"/>
        <v>0</v>
      </c>
      <c r="EE1248">
        <f t="shared" si="2664"/>
        <v>0</v>
      </c>
      <c r="EF1248">
        <f t="shared" si="2664"/>
        <v>0</v>
      </c>
    </row>
    <row r="1249" spans="1:136" ht="15.5">
      <c r="A1249" s="90"/>
      <c r="B1249" s="37"/>
      <c r="C1249" s="95"/>
      <c r="D1249" s="18"/>
      <c r="E1249" s="18"/>
      <c r="F1249" s="18"/>
      <c r="G1249" s="18"/>
      <c r="H1249" s="18"/>
      <c r="I1249" s="18"/>
      <c r="J1249" s="18"/>
      <c r="K1249" s="18"/>
      <c r="L1249" s="18"/>
      <c r="M1249" s="18"/>
      <c r="N1249" s="18"/>
      <c r="O1249" s="18"/>
      <c r="P1249" s="18"/>
      <c r="Q1249" s="18"/>
      <c r="R1249" s="18"/>
      <c r="S1249" s="18"/>
      <c r="T1249" s="18"/>
      <c r="U1249" s="18"/>
      <c r="V1249" s="18"/>
      <c r="W1249" s="18"/>
      <c r="X1249" s="18"/>
      <c r="Y1249" s="18"/>
      <c r="Z1249" s="18"/>
      <c r="AA1249" s="18"/>
      <c r="AB1249" s="18"/>
      <c r="AC1249" s="18"/>
      <c r="AD1249" s="18"/>
      <c r="AE1249" s="18"/>
      <c r="AF1249" s="18"/>
      <c r="AG1249" s="18"/>
      <c r="AH1249" s="18"/>
      <c r="AI1249" s="18"/>
      <c r="AJ1249" s="18"/>
      <c r="AK1249" s="18"/>
      <c r="AL1249" s="18"/>
      <c r="AM1249" s="18"/>
      <c r="AN1249" s="18"/>
      <c r="AO1249" s="18"/>
      <c r="AP1249" s="18"/>
      <c r="AQ1249" s="18"/>
      <c r="AR1249" s="18"/>
      <c r="AS1249" s="18"/>
      <c r="AT1249" s="18"/>
      <c r="AU1249" s="18"/>
      <c r="AV1249" s="18"/>
      <c r="AW1249" s="18"/>
      <c r="AX1249" s="18"/>
      <c r="AY1249" s="18"/>
      <c r="AZ1249" s="18"/>
      <c r="BA1249" s="18"/>
      <c r="BB1249" s="18"/>
      <c r="BC1249" s="18"/>
      <c r="BD1249" s="18"/>
      <c r="BE1249" s="25"/>
      <c r="BF1249" s="18"/>
      <c r="BG1249" s="22"/>
      <c r="BH1249" s="2"/>
      <c r="BI1249" s="22"/>
      <c r="BJ1249" s="113"/>
      <c r="BK1249" s="2"/>
      <c r="BL1249" s="22"/>
      <c r="BM1249" s="2"/>
      <c r="BN1249" s="2"/>
      <c r="BO1249" s="2"/>
      <c r="BP1249" s="2"/>
      <c r="BQ1249" s="2"/>
      <c r="BR1249" s="101"/>
    </row>
    <row r="1250" spans="1:136" ht="15.5">
      <c r="A1250" s="93">
        <v>160</v>
      </c>
      <c r="B1250" s="52" t="s">
        <v>156</v>
      </c>
      <c r="C1250" s="95">
        <v>4</v>
      </c>
      <c r="D1250" s="18"/>
      <c r="E1250" s="22">
        <f>SUM(E1251:E1258)</f>
        <v>0</v>
      </c>
      <c r="F1250" s="22">
        <f t="shared" ref="F1250:BQ1250" si="2665">SUM(F1251:F1258)</f>
        <v>0</v>
      </c>
      <c r="G1250" s="22">
        <f t="shared" si="2665"/>
        <v>0</v>
      </c>
      <c r="H1250" s="22">
        <f t="shared" si="2665"/>
        <v>0</v>
      </c>
      <c r="I1250" s="22">
        <f t="shared" si="2665"/>
        <v>0</v>
      </c>
      <c r="J1250" s="22">
        <f t="shared" si="2665"/>
        <v>0</v>
      </c>
      <c r="K1250" s="22">
        <f t="shared" si="2665"/>
        <v>0</v>
      </c>
      <c r="L1250" s="22">
        <f t="shared" si="2665"/>
        <v>0</v>
      </c>
      <c r="M1250" s="22">
        <f t="shared" si="2665"/>
        <v>0</v>
      </c>
      <c r="N1250" s="22">
        <f t="shared" si="2665"/>
        <v>0</v>
      </c>
      <c r="O1250" s="22">
        <f t="shared" si="2665"/>
        <v>0</v>
      </c>
      <c r="P1250" s="22">
        <f t="shared" si="2665"/>
        <v>0</v>
      </c>
      <c r="Q1250" s="22">
        <f t="shared" si="2665"/>
        <v>0</v>
      </c>
      <c r="R1250" s="22">
        <f t="shared" si="2665"/>
        <v>0</v>
      </c>
      <c r="S1250" s="22">
        <f t="shared" si="2665"/>
        <v>0</v>
      </c>
      <c r="T1250" s="22">
        <f t="shared" si="2665"/>
        <v>0</v>
      </c>
      <c r="U1250" s="22">
        <f t="shared" si="2665"/>
        <v>0</v>
      </c>
      <c r="V1250" s="22">
        <f t="shared" si="2665"/>
        <v>52.9</v>
      </c>
      <c r="W1250" s="22">
        <f t="shared" si="2665"/>
        <v>160.20000000000002</v>
      </c>
      <c r="X1250" s="22">
        <f t="shared" si="2665"/>
        <v>51.4</v>
      </c>
      <c r="Y1250" s="22">
        <f t="shared" si="2665"/>
        <v>5.8</v>
      </c>
      <c r="Z1250" s="22">
        <f t="shared" si="2665"/>
        <v>5.4</v>
      </c>
      <c r="AA1250" s="22">
        <f t="shared" si="2665"/>
        <v>14977.956400596002</v>
      </c>
      <c r="AB1250" s="22">
        <f t="shared" si="2665"/>
        <v>16988.809978000001</v>
      </c>
      <c r="AC1250" s="22">
        <f t="shared" si="2665"/>
        <v>18737.853999999999</v>
      </c>
      <c r="AD1250" s="22">
        <f t="shared" si="2665"/>
        <v>20329.599999999999</v>
      </c>
      <c r="AE1250" s="22">
        <f t="shared" si="2665"/>
        <v>20360.599999999999</v>
      </c>
      <c r="AF1250" s="22">
        <f t="shared" si="2665"/>
        <v>20338.8</v>
      </c>
      <c r="AG1250" s="22">
        <f t="shared" si="2665"/>
        <v>20288.8</v>
      </c>
      <c r="AH1250" s="22">
        <f t="shared" si="2665"/>
        <v>19585</v>
      </c>
      <c r="AI1250" s="22">
        <f t="shared" si="2665"/>
        <v>0</v>
      </c>
      <c r="AJ1250" s="22">
        <f t="shared" si="2665"/>
        <v>618.5</v>
      </c>
      <c r="AK1250" s="22">
        <f t="shared" si="2665"/>
        <v>2013.3</v>
      </c>
      <c r="AL1250" s="22">
        <f t="shared" si="2665"/>
        <v>1540.1</v>
      </c>
      <c r="AM1250" s="22">
        <f t="shared" si="2665"/>
        <v>1420.1</v>
      </c>
      <c r="AN1250" s="22">
        <f t="shared" si="2665"/>
        <v>546.5</v>
      </c>
      <c r="AO1250" s="22">
        <f>SUM(AO1251:AO1258)</f>
        <v>698.7</v>
      </c>
      <c r="AP1250" s="22">
        <f t="shared" si="2665"/>
        <v>484.7</v>
      </c>
      <c r="AQ1250" s="22">
        <f t="shared" si="2665"/>
        <v>183.89999999999998</v>
      </c>
      <c r="AR1250" s="22">
        <f t="shared" si="2665"/>
        <v>137.9</v>
      </c>
      <c r="AS1250" s="22">
        <f t="shared" si="2665"/>
        <v>54.5</v>
      </c>
      <c r="AT1250" s="22">
        <f t="shared" si="2665"/>
        <v>5186.2</v>
      </c>
      <c r="AU1250" s="22">
        <f t="shared" si="2665"/>
        <v>1104.7</v>
      </c>
      <c r="AV1250" s="22">
        <f t="shared" si="2665"/>
        <v>16.05</v>
      </c>
      <c r="AW1250" s="22">
        <f t="shared" si="2665"/>
        <v>942.94399999999996</v>
      </c>
      <c r="AX1250" s="22">
        <f t="shared" si="2665"/>
        <v>0.40699999999999997</v>
      </c>
      <c r="AY1250" s="22">
        <f t="shared" si="2665"/>
        <v>178.15200000000002</v>
      </c>
      <c r="AZ1250" s="22">
        <f t="shared" si="2665"/>
        <v>6.0749999999999993</v>
      </c>
      <c r="BA1250" s="22">
        <f t="shared" si="2665"/>
        <v>1.4730000000000001</v>
      </c>
      <c r="BB1250" s="22">
        <f t="shared" si="2665"/>
        <v>1490.1760429999999</v>
      </c>
      <c r="BC1250" s="22">
        <f t="shared" si="2665"/>
        <v>0.11040849999999999</v>
      </c>
      <c r="BD1250" s="22">
        <f t="shared" si="2665"/>
        <v>6.2E-2</v>
      </c>
      <c r="BE1250" s="22">
        <f t="shared" si="2665"/>
        <v>0.16499999999999998</v>
      </c>
      <c r="BF1250" s="22">
        <f t="shared" si="2665"/>
        <v>0.55600000000000005</v>
      </c>
      <c r="BG1250" s="22">
        <f t="shared" si="2665"/>
        <v>2.6720790000000001</v>
      </c>
      <c r="BH1250" s="22">
        <f t="shared" si="2665"/>
        <v>14517.786213899999</v>
      </c>
      <c r="BI1250" s="22">
        <f t="shared" si="2665"/>
        <v>42242.369193099999</v>
      </c>
      <c r="BJ1250" s="22">
        <f t="shared" si="2665"/>
        <v>75624.773480599993</v>
      </c>
      <c r="BK1250" s="22">
        <f t="shared" si="2665"/>
        <v>78264.237947400004</v>
      </c>
      <c r="BL1250" s="22">
        <f t="shared" si="2665"/>
        <v>82215.588027552018</v>
      </c>
      <c r="BM1250" s="22">
        <f t="shared" si="2665"/>
        <v>92562.905948654079</v>
      </c>
      <c r="BN1250" s="22">
        <f t="shared" si="2665"/>
        <v>104287</v>
      </c>
      <c r="BO1250" s="22">
        <f t="shared" si="2665"/>
        <v>128450</v>
      </c>
      <c r="BP1250" s="22">
        <f t="shared" si="2665"/>
        <v>134923</v>
      </c>
      <c r="BQ1250" s="22">
        <f t="shared" si="2665"/>
        <v>143075</v>
      </c>
      <c r="BR1250" s="101"/>
      <c r="BS1250">
        <f t="shared" ref="BS1250:CB1251" si="2666">IF($C1250&lt;&gt;"",IF(D1250&gt;0,1,0),0)</f>
        <v>0</v>
      </c>
      <c r="BT1250">
        <f t="shared" si="2666"/>
        <v>0</v>
      </c>
      <c r="BU1250">
        <f t="shared" si="2666"/>
        <v>0</v>
      </c>
      <c r="BV1250">
        <f t="shared" si="2666"/>
        <v>0</v>
      </c>
      <c r="BW1250">
        <f t="shared" si="2666"/>
        <v>0</v>
      </c>
      <c r="BX1250">
        <f t="shared" si="2666"/>
        <v>0</v>
      </c>
      <c r="BY1250">
        <f t="shared" si="2666"/>
        <v>0</v>
      </c>
      <c r="BZ1250">
        <f t="shared" si="2666"/>
        <v>0</v>
      </c>
      <c r="CA1250">
        <f t="shared" si="2666"/>
        <v>0</v>
      </c>
      <c r="CB1250">
        <f t="shared" si="2666"/>
        <v>0</v>
      </c>
      <c r="CC1250">
        <f t="shared" ref="CC1250:CL1251" si="2667">IF($C1250&lt;&gt;"",IF(N1250&gt;0,1,0),0)</f>
        <v>0</v>
      </c>
      <c r="CD1250">
        <f t="shared" si="2667"/>
        <v>0</v>
      </c>
      <c r="CE1250">
        <f t="shared" si="2667"/>
        <v>0</v>
      </c>
      <c r="CF1250">
        <f t="shared" si="2667"/>
        <v>0</v>
      </c>
      <c r="CG1250">
        <f t="shared" si="2667"/>
        <v>0</v>
      </c>
      <c r="CH1250">
        <f t="shared" si="2667"/>
        <v>0</v>
      </c>
      <c r="CI1250">
        <f t="shared" si="2667"/>
        <v>0</v>
      </c>
      <c r="CJ1250">
        <f t="shared" si="2667"/>
        <v>0</v>
      </c>
      <c r="CK1250">
        <f t="shared" si="2667"/>
        <v>1</v>
      </c>
      <c r="CL1250">
        <f t="shared" si="2667"/>
        <v>1</v>
      </c>
      <c r="CM1250">
        <f t="shared" ref="CM1250:CV1251" si="2668">IF($C1250&lt;&gt;"",IF(X1250&gt;0,1,0),0)</f>
        <v>1</v>
      </c>
      <c r="CN1250">
        <f t="shared" si="2668"/>
        <v>1</v>
      </c>
      <c r="CO1250">
        <f t="shared" si="2668"/>
        <v>1</v>
      </c>
      <c r="CP1250">
        <f t="shared" si="2668"/>
        <v>1</v>
      </c>
      <c r="CQ1250">
        <f t="shared" si="2668"/>
        <v>1</v>
      </c>
      <c r="CR1250">
        <f t="shared" si="2668"/>
        <v>1</v>
      </c>
      <c r="CS1250">
        <f t="shared" si="2668"/>
        <v>1</v>
      </c>
      <c r="CT1250">
        <f t="shared" si="2668"/>
        <v>1</v>
      </c>
      <c r="CU1250">
        <f t="shared" si="2668"/>
        <v>1</v>
      </c>
      <c r="CV1250">
        <f t="shared" si="2668"/>
        <v>1</v>
      </c>
      <c r="CW1250">
        <f t="shared" ref="CW1250:DF1251" si="2669">IF($C1250&lt;&gt;"",IF(AH1250&gt;0,1,0),0)</f>
        <v>1</v>
      </c>
      <c r="CX1250">
        <f t="shared" si="2669"/>
        <v>0</v>
      </c>
      <c r="CY1250">
        <f t="shared" si="2669"/>
        <v>1</v>
      </c>
      <c r="CZ1250">
        <f t="shared" si="2669"/>
        <v>1</v>
      </c>
      <c r="DA1250">
        <f t="shared" si="2669"/>
        <v>1</v>
      </c>
      <c r="DB1250">
        <f t="shared" si="2669"/>
        <v>1</v>
      </c>
      <c r="DC1250">
        <f t="shared" si="2669"/>
        <v>1</v>
      </c>
      <c r="DD1250">
        <f t="shared" si="2669"/>
        <v>1</v>
      </c>
      <c r="DE1250">
        <f t="shared" si="2669"/>
        <v>1</v>
      </c>
      <c r="DF1250">
        <f t="shared" si="2669"/>
        <v>1</v>
      </c>
      <c r="DG1250">
        <f t="shared" ref="DG1250:DP1251" si="2670">IF($C1250&lt;&gt;"",IF(AR1250&gt;0,1,0),0)</f>
        <v>1</v>
      </c>
      <c r="DH1250">
        <f t="shared" si="2670"/>
        <v>1</v>
      </c>
      <c r="DI1250">
        <f t="shared" si="2670"/>
        <v>1</v>
      </c>
      <c r="DJ1250">
        <f t="shared" si="2670"/>
        <v>1</v>
      </c>
      <c r="DK1250">
        <f t="shared" si="2670"/>
        <v>1</v>
      </c>
      <c r="DL1250">
        <f t="shared" si="2670"/>
        <v>1</v>
      </c>
      <c r="DM1250">
        <f t="shared" si="2670"/>
        <v>1</v>
      </c>
      <c r="DN1250">
        <f t="shared" si="2670"/>
        <v>1</v>
      </c>
      <c r="DO1250">
        <f t="shared" si="2670"/>
        <v>1</v>
      </c>
      <c r="DP1250">
        <f t="shared" si="2670"/>
        <v>1</v>
      </c>
      <c r="DQ1250">
        <f t="shared" ref="DQ1250:DZ1251" si="2671">IF($C1250&lt;&gt;"",IF(BB1250&gt;0,1,0),0)</f>
        <v>1</v>
      </c>
      <c r="DR1250">
        <f t="shared" si="2671"/>
        <v>1</v>
      </c>
      <c r="DS1250">
        <f t="shared" si="2671"/>
        <v>1</v>
      </c>
      <c r="DT1250">
        <f t="shared" si="2671"/>
        <v>1</v>
      </c>
      <c r="DU1250">
        <f t="shared" si="2671"/>
        <v>1</v>
      </c>
      <c r="DV1250">
        <f t="shared" si="2671"/>
        <v>1</v>
      </c>
      <c r="DW1250">
        <f t="shared" si="2671"/>
        <v>1</v>
      </c>
      <c r="DX1250">
        <f t="shared" si="2671"/>
        <v>1</v>
      </c>
      <c r="DY1250">
        <f t="shared" si="2671"/>
        <v>1</v>
      </c>
      <c r="DZ1250">
        <f t="shared" si="2671"/>
        <v>1</v>
      </c>
      <c r="EA1250">
        <f t="shared" ref="EA1250:EF1251" si="2672">IF($C1250&lt;&gt;"",IF(BL1250&gt;0,1,0),0)</f>
        <v>1</v>
      </c>
      <c r="EB1250">
        <f>IF($C1250&lt;&gt;"",IF(BM1250&gt;0,1,0),0)</f>
        <v>1</v>
      </c>
      <c r="EC1250">
        <f t="shared" si="2672"/>
        <v>1</v>
      </c>
      <c r="ED1250">
        <f t="shared" si="2672"/>
        <v>1</v>
      </c>
      <c r="EE1250">
        <f t="shared" si="2672"/>
        <v>1</v>
      </c>
      <c r="EF1250">
        <f t="shared" si="2672"/>
        <v>1</v>
      </c>
    </row>
    <row r="1251" spans="1:136" ht="15.5">
      <c r="A1251" s="90"/>
      <c r="B1251" s="53" t="s">
        <v>238</v>
      </c>
      <c r="C1251" s="95"/>
      <c r="D1251" s="18"/>
      <c r="E1251" s="18">
        <v>0</v>
      </c>
      <c r="F1251" s="18">
        <v>0</v>
      </c>
      <c r="G1251" s="18">
        <v>0</v>
      </c>
      <c r="H1251" s="18">
        <v>0</v>
      </c>
      <c r="I1251" s="18">
        <v>0</v>
      </c>
      <c r="J1251" s="18">
        <v>0</v>
      </c>
      <c r="K1251" s="18">
        <v>0</v>
      </c>
      <c r="L1251" s="18">
        <v>0</v>
      </c>
      <c r="M1251" s="18">
        <v>0</v>
      </c>
      <c r="N1251" s="18">
        <v>0</v>
      </c>
      <c r="O1251" s="18">
        <v>0</v>
      </c>
      <c r="P1251" s="18">
        <v>0</v>
      </c>
      <c r="Q1251" s="18">
        <v>0</v>
      </c>
      <c r="R1251" s="18">
        <v>0</v>
      </c>
      <c r="S1251" s="18">
        <v>0</v>
      </c>
      <c r="T1251" s="18">
        <v>0</v>
      </c>
      <c r="U1251" s="18">
        <v>0</v>
      </c>
      <c r="V1251" s="18">
        <v>0</v>
      </c>
      <c r="W1251" s="18">
        <v>0</v>
      </c>
      <c r="X1251" s="18">
        <v>0</v>
      </c>
      <c r="Y1251" s="18">
        <v>0</v>
      </c>
      <c r="Z1251" s="18">
        <v>0</v>
      </c>
      <c r="AA1251" s="18">
        <v>0</v>
      </c>
      <c r="AB1251" s="18">
        <v>0</v>
      </c>
      <c r="AC1251" s="18">
        <v>0</v>
      </c>
      <c r="AD1251" s="18">
        <v>0</v>
      </c>
      <c r="AE1251" s="18">
        <v>0</v>
      </c>
      <c r="AF1251" s="18">
        <v>0</v>
      </c>
      <c r="AG1251" s="18">
        <v>0</v>
      </c>
      <c r="AH1251" s="18">
        <v>0</v>
      </c>
      <c r="AI1251" s="18">
        <v>0</v>
      </c>
      <c r="AJ1251" s="18">
        <v>0</v>
      </c>
      <c r="AK1251" s="18">
        <v>0</v>
      </c>
      <c r="AL1251" s="18">
        <v>0</v>
      </c>
      <c r="AM1251" s="18">
        <v>0</v>
      </c>
      <c r="AN1251" s="18">
        <v>0</v>
      </c>
      <c r="AO1251" s="18">
        <v>0</v>
      </c>
      <c r="AP1251" s="18">
        <v>0</v>
      </c>
      <c r="AQ1251" s="18">
        <v>0</v>
      </c>
      <c r="AR1251" s="18">
        <v>0</v>
      </c>
      <c r="AS1251" s="18">
        <v>0</v>
      </c>
      <c r="AT1251" s="18">
        <v>0</v>
      </c>
      <c r="AU1251" s="18">
        <v>0</v>
      </c>
      <c r="AV1251" s="18">
        <v>0</v>
      </c>
      <c r="AW1251" s="18">
        <v>0</v>
      </c>
      <c r="AX1251" s="18">
        <v>0</v>
      </c>
      <c r="AY1251" s="18">
        <v>0</v>
      </c>
      <c r="AZ1251" s="18">
        <v>0</v>
      </c>
      <c r="BA1251" s="18">
        <v>0</v>
      </c>
      <c r="BB1251" s="18">
        <v>0</v>
      </c>
      <c r="BC1251" s="18">
        <v>0</v>
      </c>
      <c r="BD1251" s="18">
        <v>0</v>
      </c>
      <c r="BE1251" s="18">
        <v>0</v>
      </c>
      <c r="BF1251" s="18">
        <v>0</v>
      </c>
      <c r="BG1251" s="18">
        <v>0</v>
      </c>
      <c r="BH1251" s="18">
        <v>0</v>
      </c>
      <c r="BI1251" s="18">
        <v>0</v>
      </c>
      <c r="BJ1251" s="146">
        <v>2091</v>
      </c>
      <c r="BK1251" s="146">
        <v>2173</v>
      </c>
      <c r="BL1251" s="146">
        <v>2232</v>
      </c>
      <c r="BM1251" s="146">
        <v>2283</v>
      </c>
      <c r="BN1251" s="146">
        <v>2361</v>
      </c>
      <c r="BO1251" s="113">
        <v>2487</v>
      </c>
      <c r="BP1251" s="113">
        <f>2387+127</f>
        <v>2514</v>
      </c>
      <c r="BQ1251" s="34">
        <f>2387+127+127</f>
        <v>2641</v>
      </c>
      <c r="BR1251" s="101"/>
      <c r="BS1251">
        <f t="shared" si="2666"/>
        <v>0</v>
      </c>
      <c r="BT1251">
        <f t="shared" si="2666"/>
        <v>0</v>
      </c>
      <c r="BU1251">
        <f t="shared" si="2666"/>
        <v>0</v>
      </c>
      <c r="BV1251">
        <f t="shared" si="2666"/>
        <v>0</v>
      </c>
      <c r="BW1251">
        <f t="shared" si="2666"/>
        <v>0</v>
      </c>
      <c r="BX1251">
        <f t="shared" si="2666"/>
        <v>0</v>
      </c>
      <c r="BY1251">
        <f t="shared" si="2666"/>
        <v>0</v>
      </c>
      <c r="BZ1251">
        <f t="shared" si="2666"/>
        <v>0</v>
      </c>
      <c r="CA1251">
        <f t="shared" si="2666"/>
        <v>0</v>
      </c>
      <c r="CB1251">
        <f t="shared" si="2666"/>
        <v>0</v>
      </c>
      <c r="CC1251">
        <f t="shared" si="2667"/>
        <v>0</v>
      </c>
      <c r="CD1251">
        <f t="shared" si="2667"/>
        <v>0</v>
      </c>
      <c r="CE1251">
        <f t="shared" si="2667"/>
        <v>0</v>
      </c>
      <c r="CF1251">
        <f t="shared" si="2667"/>
        <v>0</v>
      </c>
      <c r="CG1251">
        <f t="shared" si="2667"/>
        <v>0</v>
      </c>
      <c r="CH1251">
        <f t="shared" si="2667"/>
        <v>0</v>
      </c>
      <c r="CI1251">
        <f t="shared" si="2667"/>
        <v>0</v>
      </c>
      <c r="CJ1251">
        <f t="shared" si="2667"/>
        <v>0</v>
      </c>
      <c r="CK1251">
        <f t="shared" si="2667"/>
        <v>0</v>
      </c>
      <c r="CL1251">
        <f t="shared" si="2667"/>
        <v>0</v>
      </c>
      <c r="CM1251">
        <f t="shared" si="2668"/>
        <v>0</v>
      </c>
      <c r="CN1251">
        <f t="shared" si="2668"/>
        <v>0</v>
      </c>
      <c r="CO1251">
        <f t="shared" si="2668"/>
        <v>0</v>
      </c>
      <c r="CP1251">
        <f t="shared" si="2668"/>
        <v>0</v>
      </c>
      <c r="CQ1251">
        <f t="shared" si="2668"/>
        <v>0</v>
      </c>
      <c r="CR1251">
        <f t="shared" si="2668"/>
        <v>0</v>
      </c>
      <c r="CS1251">
        <f t="shared" si="2668"/>
        <v>0</v>
      </c>
      <c r="CT1251">
        <f t="shared" si="2668"/>
        <v>0</v>
      </c>
      <c r="CU1251">
        <f t="shared" si="2668"/>
        <v>0</v>
      </c>
      <c r="CV1251">
        <f t="shared" si="2668"/>
        <v>0</v>
      </c>
      <c r="CW1251">
        <f t="shared" si="2669"/>
        <v>0</v>
      </c>
      <c r="CX1251">
        <f t="shared" si="2669"/>
        <v>0</v>
      </c>
      <c r="CY1251">
        <f t="shared" si="2669"/>
        <v>0</v>
      </c>
      <c r="CZ1251">
        <f t="shared" si="2669"/>
        <v>0</v>
      </c>
      <c r="DA1251">
        <f t="shared" si="2669"/>
        <v>0</v>
      </c>
      <c r="DB1251">
        <f t="shared" si="2669"/>
        <v>0</v>
      </c>
      <c r="DC1251">
        <f t="shared" si="2669"/>
        <v>0</v>
      </c>
      <c r="DD1251">
        <f t="shared" si="2669"/>
        <v>0</v>
      </c>
      <c r="DE1251">
        <f t="shared" si="2669"/>
        <v>0</v>
      </c>
      <c r="DF1251">
        <f t="shared" si="2669"/>
        <v>0</v>
      </c>
      <c r="DG1251">
        <f t="shared" si="2670"/>
        <v>0</v>
      </c>
      <c r="DH1251">
        <f t="shared" si="2670"/>
        <v>0</v>
      </c>
      <c r="DI1251">
        <f t="shared" si="2670"/>
        <v>0</v>
      </c>
      <c r="DJ1251">
        <f t="shared" si="2670"/>
        <v>0</v>
      </c>
      <c r="DK1251">
        <f t="shared" si="2670"/>
        <v>0</v>
      </c>
      <c r="DL1251">
        <f t="shared" si="2670"/>
        <v>0</v>
      </c>
      <c r="DM1251">
        <f t="shared" si="2670"/>
        <v>0</v>
      </c>
      <c r="DN1251">
        <f t="shared" si="2670"/>
        <v>0</v>
      </c>
      <c r="DO1251">
        <f t="shared" si="2670"/>
        <v>0</v>
      </c>
      <c r="DP1251">
        <f t="shared" si="2670"/>
        <v>0</v>
      </c>
      <c r="DQ1251">
        <f t="shared" si="2671"/>
        <v>0</v>
      </c>
      <c r="DR1251">
        <f t="shared" si="2671"/>
        <v>0</v>
      </c>
      <c r="DS1251">
        <f t="shared" si="2671"/>
        <v>0</v>
      </c>
      <c r="DT1251">
        <f t="shared" si="2671"/>
        <v>0</v>
      </c>
      <c r="DU1251">
        <f t="shared" si="2671"/>
        <v>0</v>
      </c>
      <c r="DV1251">
        <f t="shared" si="2671"/>
        <v>0</v>
      </c>
      <c r="DW1251">
        <f t="shared" si="2671"/>
        <v>0</v>
      </c>
      <c r="DX1251">
        <f t="shared" si="2671"/>
        <v>0</v>
      </c>
      <c r="DY1251">
        <f t="shared" si="2671"/>
        <v>0</v>
      </c>
      <c r="DZ1251">
        <f t="shared" si="2671"/>
        <v>0</v>
      </c>
      <c r="EA1251">
        <f t="shared" si="2672"/>
        <v>0</v>
      </c>
      <c r="EB1251">
        <f>IF($C1251&lt;&gt;"",IF(BM1251&gt;0,1,0),0)</f>
        <v>0</v>
      </c>
      <c r="EC1251">
        <f t="shared" si="2672"/>
        <v>0</v>
      </c>
      <c r="ED1251">
        <f t="shared" si="2672"/>
        <v>0</v>
      </c>
      <c r="EE1251">
        <f t="shared" si="2672"/>
        <v>0</v>
      </c>
      <c r="EF1251">
        <f t="shared" si="2672"/>
        <v>0</v>
      </c>
    </row>
    <row r="1252" spans="1:136" ht="15.5">
      <c r="A1252" s="90"/>
      <c r="B1252" s="19" t="s">
        <v>2</v>
      </c>
      <c r="C1252" s="95"/>
      <c r="D1252" s="18"/>
      <c r="E1252" s="18">
        <v>0</v>
      </c>
      <c r="F1252" s="18">
        <v>0</v>
      </c>
      <c r="G1252" s="18">
        <v>0</v>
      </c>
      <c r="H1252" s="18">
        <v>0</v>
      </c>
      <c r="I1252" s="18">
        <v>0</v>
      </c>
      <c r="J1252" s="18">
        <v>0</v>
      </c>
      <c r="K1252" s="18">
        <v>0</v>
      </c>
      <c r="L1252" s="18">
        <v>0</v>
      </c>
      <c r="M1252" s="18">
        <v>0</v>
      </c>
      <c r="N1252" s="18">
        <v>0</v>
      </c>
      <c r="O1252" s="18">
        <v>0</v>
      </c>
      <c r="P1252" s="18">
        <v>0</v>
      </c>
      <c r="Q1252" s="18">
        <v>0</v>
      </c>
      <c r="R1252" s="18">
        <v>0</v>
      </c>
      <c r="S1252" s="18">
        <v>0</v>
      </c>
      <c r="T1252" s="18">
        <v>0</v>
      </c>
      <c r="U1252" s="18">
        <v>0</v>
      </c>
      <c r="V1252" s="18">
        <v>0</v>
      </c>
      <c r="W1252" s="18">
        <v>0</v>
      </c>
      <c r="X1252" s="18">
        <v>0</v>
      </c>
      <c r="Y1252" s="18">
        <v>0</v>
      </c>
      <c r="Z1252" s="18">
        <v>0</v>
      </c>
      <c r="AA1252" s="18">
        <v>0</v>
      </c>
      <c r="AB1252" s="18">
        <v>0</v>
      </c>
      <c r="AC1252" s="18">
        <v>0</v>
      </c>
      <c r="AD1252" s="18">
        <v>0</v>
      </c>
      <c r="AE1252" s="18">
        <v>0</v>
      </c>
      <c r="AF1252" s="18">
        <v>0</v>
      </c>
      <c r="AG1252" s="18">
        <v>0</v>
      </c>
      <c r="AH1252" s="18">
        <v>0</v>
      </c>
      <c r="AI1252" s="18">
        <v>0</v>
      </c>
      <c r="AJ1252" s="18">
        <v>0</v>
      </c>
      <c r="AK1252" s="18">
        <v>0</v>
      </c>
      <c r="AL1252" s="18">
        <v>0</v>
      </c>
      <c r="AM1252" s="18">
        <v>0</v>
      </c>
      <c r="AN1252" s="18">
        <v>0</v>
      </c>
      <c r="AO1252" s="18">
        <v>0</v>
      </c>
      <c r="AP1252" s="18">
        <v>0</v>
      </c>
      <c r="AQ1252" s="18">
        <v>0</v>
      </c>
      <c r="AR1252" s="18">
        <v>0</v>
      </c>
      <c r="AS1252" s="18">
        <v>0</v>
      </c>
      <c r="AT1252" s="18">
        <v>0</v>
      </c>
      <c r="AU1252" s="18">
        <v>0</v>
      </c>
      <c r="AV1252" s="18">
        <v>0</v>
      </c>
      <c r="AW1252" s="18">
        <v>0</v>
      </c>
      <c r="AX1252" s="18">
        <v>0</v>
      </c>
      <c r="AY1252" s="18">
        <v>0</v>
      </c>
      <c r="AZ1252" s="18">
        <v>0</v>
      </c>
      <c r="BA1252" s="18">
        <v>0</v>
      </c>
      <c r="BB1252" s="18">
        <v>0</v>
      </c>
      <c r="BC1252" s="18">
        <v>0</v>
      </c>
      <c r="BD1252" s="18">
        <v>0</v>
      </c>
      <c r="BE1252" s="18">
        <v>0</v>
      </c>
      <c r="BF1252" s="18">
        <v>0</v>
      </c>
      <c r="BG1252" s="18">
        <v>0</v>
      </c>
      <c r="BH1252" s="18">
        <v>0</v>
      </c>
      <c r="BI1252" s="18">
        <v>5836</v>
      </c>
      <c r="BJ1252" s="34">
        <v>6538</v>
      </c>
      <c r="BK1252" s="34">
        <v>7338</v>
      </c>
      <c r="BL1252" s="34">
        <v>7579</v>
      </c>
      <c r="BM1252" s="34">
        <v>7820</v>
      </c>
      <c r="BN1252" s="34">
        <v>8062</v>
      </c>
      <c r="BO1252" s="34">
        <v>8524</v>
      </c>
      <c r="BP1252" s="34">
        <v>8691</v>
      </c>
      <c r="BQ1252" s="34">
        <v>8927</v>
      </c>
      <c r="BR1252" s="101"/>
      <c r="BS1252">
        <f t="shared" ref="BS1252:CB1257" si="2673">IF($C1252&lt;&gt;"",IF(D1252&gt;0,1,0),0)</f>
        <v>0</v>
      </c>
      <c r="BT1252">
        <f t="shared" si="2673"/>
        <v>0</v>
      </c>
      <c r="BU1252">
        <f t="shared" si="2673"/>
        <v>0</v>
      </c>
      <c r="BV1252">
        <f t="shared" si="2673"/>
        <v>0</v>
      </c>
      <c r="BW1252">
        <f t="shared" si="2673"/>
        <v>0</v>
      </c>
      <c r="BX1252">
        <f t="shared" si="2673"/>
        <v>0</v>
      </c>
      <c r="BY1252">
        <f t="shared" si="2673"/>
        <v>0</v>
      </c>
      <c r="BZ1252">
        <f t="shared" si="2673"/>
        <v>0</v>
      </c>
      <c r="CA1252">
        <f t="shared" si="2673"/>
        <v>0</v>
      </c>
      <c r="CB1252">
        <f t="shared" si="2673"/>
        <v>0</v>
      </c>
      <c r="CC1252">
        <f t="shared" ref="CC1252:CL1257" si="2674">IF($C1252&lt;&gt;"",IF(N1252&gt;0,1,0),0)</f>
        <v>0</v>
      </c>
      <c r="CD1252">
        <f t="shared" si="2674"/>
        <v>0</v>
      </c>
      <c r="CE1252">
        <f t="shared" si="2674"/>
        <v>0</v>
      </c>
      <c r="CF1252">
        <f t="shared" si="2674"/>
        <v>0</v>
      </c>
      <c r="CG1252">
        <f t="shared" si="2674"/>
        <v>0</v>
      </c>
      <c r="CH1252">
        <f t="shared" si="2674"/>
        <v>0</v>
      </c>
      <c r="CI1252">
        <f t="shared" si="2674"/>
        <v>0</v>
      </c>
      <c r="CJ1252">
        <f t="shared" si="2674"/>
        <v>0</v>
      </c>
      <c r="CK1252">
        <f t="shared" si="2674"/>
        <v>0</v>
      </c>
      <c r="CL1252">
        <f t="shared" si="2674"/>
        <v>0</v>
      </c>
      <c r="CM1252">
        <f t="shared" ref="CM1252:CV1257" si="2675">IF($C1252&lt;&gt;"",IF(X1252&gt;0,1,0),0)</f>
        <v>0</v>
      </c>
      <c r="CN1252">
        <f t="shared" si="2675"/>
        <v>0</v>
      </c>
      <c r="CO1252">
        <f t="shared" si="2675"/>
        <v>0</v>
      </c>
      <c r="CP1252">
        <f t="shared" si="2675"/>
        <v>0</v>
      </c>
      <c r="CQ1252">
        <f t="shared" si="2675"/>
        <v>0</v>
      </c>
      <c r="CR1252">
        <f t="shared" si="2675"/>
        <v>0</v>
      </c>
      <c r="CS1252">
        <f t="shared" si="2675"/>
        <v>0</v>
      </c>
      <c r="CT1252">
        <f t="shared" si="2675"/>
        <v>0</v>
      </c>
      <c r="CU1252">
        <f t="shared" si="2675"/>
        <v>0</v>
      </c>
      <c r="CV1252">
        <f t="shared" si="2675"/>
        <v>0</v>
      </c>
      <c r="CW1252">
        <f t="shared" ref="CW1252:DF1257" si="2676">IF($C1252&lt;&gt;"",IF(AH1252&gt;0,1,0),0)</f>
        <v>0</v>
      </c>
      <c r="CX1252">
        <f t="shared" si="2676"/>
        <v>0</v>
      </c>
      <c r="CY1252">
        <f t="shared" si="2676"/>
        <v>0</v>
      </c>
      <c r="CZ1252">
        <f t="shared" si="2676"/>
        <v>0</v>
      </c>
      <c r="DA1252">
        <f t="shared" si="2676"/>
        <v>0</v>
      </c>
      <c r="DB1252">
        <f t="shared" si="2676"/>
        <v>0</v>
      </c>
      <c r="DC1252">
        <f t="shared" si="2676"/>
        <v>0</v>
      </c>
      <c r="DD1252">
        <f t="shared" si="2676"/>
        <v>0</v>
      </c>
      <c r="DE1252">
        <f t="shared" si="2676"/>
        <v>0</v>
      </c>
      <c r="DF1252">
        <f t="shared" si="2676"/>
        <v>0</v>
      </c>
      <c r="DG1252">
        <f t="shared" ref="DG1252:DP1257" si="2677">IF($C1252&lt;&gt;"",IF(AR1252&gt;0,1,0),0)</f>
        <v>0</v>
      </c>
      <c r="DH1252">
        <f t="shared" si="2677"/>
        <v>0</v>
      </c>
      <c r="DI1252">
        <f t="shared" si="2677"/>
        <v>0</v>
      </c>
      <c r="DJ1252">
        <f t="shared" si="2677"/>
        <v>0</v>
      </c>
      <c r="DK1252">
        <f t="shared" si="2677"/>
        <v>0</v>
      </c>
      <c r="DL1252">
        <f t="shared" si="2677"/>
        <v>0</v>
      </c>
      <c r="DM1252">
        <f t="shared" si="2677"/>
        <v>0</v>
      </c>
      <c r="DN1252">
        <f t="shared" si="2677"/>
        <v>0</v>
      </c>
      <c r="DO1252">
        <f t="shared" si="2677"/>
        <v>0</v>
      </c>
      <c r="DP1252">
        <f t="shared" si="2677"/>
        <v>0</v>
      </c>
      <c r="DQ1252">
        <f t="shared" ref="DQ1252:DZ1257" si="2678">IF($C1252&lt;&gt;"",IF(BB1252&gt;0,1,0),0)</f>
        <v>0</v>
      </c>
      <c r="DR1252">
        <f t="shared" si="2678"/>
        <v>0</v>
      </c>
      <c r="DS1252">
        <f t="shared" si="2678"/>
        <v>0</v>
      </c>
      <c r="DT1252">
        <f t="shared" si="2678"/>
        <v>0</v>
      </c>
      <c r="DU1252">
        <f t="shared" si="2678"/>
        <v>0</v>
      </c>
      <c r="DV1252">
        <f t="shared" si="2678"/>
        <v>0</v>
      </c>
      <c r="DW1252">
        <f t="shared" si="2678"/>
        <v>0</v>
      </c>
      <c r="DX1252">
        <f t="shared" si="2678"/>
        <v>0</v>
      </c>
      <c r="DY1252">
        <f t="shared" si="2678"/>
        <v>0</v>
      </c>
      <c r="DZ1252">
        <f t="shared" si="2678"/>
        <v>0</v>
      </c>
      <c r="EA1252">
        <f t="shared" ref="EA1252:EF1252" si="2679">IF($C1252&lt;&gt;"",IF(BL1250&gt;0,1,0),0)</f>
        <v>0</v>
      </c>
      <c r="EB1252">
        <f t="shared" si="2679"/>
        <v>0</v>
      </c>
      <c r="EC1252">
        <f t="shared" si="2679"/>
        <v>0</v>
      </c>
      <c r="ED1252">
        <f t="shared" si="2679"/>
        <v>0</v>
      </c>
      <c r="EE1252">
        <f t="shared" si="2679"/>
        <v>0</v>
      </c>
      <c r="EF1252">
        <f t="shared" si="2679"/>
        <v>0</v>
      </c>
    </row>
    <row r="1253" spans="1:136" ht="15.5">
      <c r="A1253" s="90"/>
      <c r="B1253" s="19" t="s">
        <v>205</v>
      </c>
      <c r="C1253" s="95"/>
      <c r="D1253" s="18"/>
      <c r="E1253" s="18"/>
      <c r="F1253" s="18"/>
      <c r="G1253" s="18"/>
      <c r="H1253" s="18"/>
      <c r="I1253" s="18"/>
      <c r="J1253" s="18"/>
      <c r="K1253" s="18"/>
      <c r="L1253" s="18"/>
      <c r="M1253" s="18"/>
      <c r="N1253" s="18"/>
      <c r="O1253" s="18"/>
      <c r="P1253" s="18"/>
      <c r="Q1253" s="18"/>
      <c r="R1253" s="18"/>
      <c r="S1253" s="18"/>
      <c r="T1253" s="18"/>
      <c r="U1253" s="18"/>
      <c r="V1253" s="18"/>
      <c r="W1253" s="18"/>
      <c r="X1253" s="18"/>
      <c r="Y1253" s="18"/>
      <c r="Z1253" s="18"/>
      <c r="AA1253" s="18"/>
      <c r="AB1253" s="18"/>
      <c r="AC1253" s="18"/>
      <c r="AD1253" s="18"/>
      <c r="AE1253" s="18"/>
      <c r="AF1253" s="18"/>
      <c r="AG1253" s="18"/>
      <c r="AH1253" s="18"/>
      <c r="AI1253" s="18"/>
      <c r="AJ1253" s="18"/>
      <c r="AK1253" s="18"/>
      <c r="AL1253" s="18"/>
      <c r="AM1253" s="18"/>
      <c r="AN1253" s="18"/>
      <c r="AO1253" s="18"/>
      <c r="AP1253" s="18"/>
      <c r="AQ1253" s="18"/>
      <c r="AR1253" s="18"/>
      <c r="AS1253" s="18"/>
      <c r="AT1253" s="18"/>
      <c r="AU1253" s="18"/>
      <c r="AV1253" s="18"/>
      <c r="AW1253" s="18"/>
      <c r="AX1253" s="18"/>
      <c r="AY1253" s="18"/>
      <c r="AZ1253" s="18"/>
      <c r="BA1253" s="18"/>
      <c r="BB1253" s="18"/>
      <c r="BC1253" s="40" t="s">
        <v>16</v>
      </c>
      <c r="BD1253" s="18"/>
      <c r="BE1253" s="25"/>
      <c r="BF1253" s="40" t="s">
        <v>16</v>
      </c>
      <c r="BG1253" s="40" t="s">
        <v>16</v>
      </c>
      <c r="BH1253" s="18">
        <v>6000</v>
      </c>
      <c r="BI1253" s="18">
        <v>6000</v>
      </c>
      <c r="BJ1253" s="113">
        <v>19000</v>
      </c>
      <c r="BK1253" s="113">
        <v>13500</v>
      </c>
      <c r="BL1253" s="113">
        <v>13500</v>
      </c>
      <c r="BM1253" s="113">
        <v>13500</v>
      </c>
      <c r="BN1253" s="113">
        <v>13500</v>
      </c>
      <c r="BO1253" s="113">
        <v>12000</v>
      </c>
      <c r="BP1253" s="113">
        <v>12000</v>
      </c>
      <c r="BQ1253" s="113">
        <v>13000</v>
      </c>
      <c r="BR1253" s="101"/>
      <c r="BS1253">
        <f t="shared" si="2673"/>
        <v>0</v>
      </c>
      <c r="BT1253">
        <f t="shared" si="2673"/>
        <v>0</v>
      </c>
      <c r="BU1253">
        <f t="shared" si="2673"/>
        <v>0</v>
      </c>
      <c r="BV1253">
        <f t="shared" si="2673"/>
        <v>0</v>
      </c>
      <c r="BW1253">
        <f t="shared" si="2673"/>
        <v>0</v>
      </c>
      <c r="BX1253">
        <f t="shared" si="2673"/>
        <v>0</v>
      </c>
      <c r="BY1253">
        <f t="shared" si="2673"/>
        <v>0</v>
      </c>
      <c r="BZ1253">
        <f t="shared" si="2673"/>
        <v>0</v>
      </c>
      <c r="CA1253">
        <f t="shared" si="2673"/>
        <v>0</v>
      </c>
      <c r="CB1253">
        <f t="shared" si="2673"/>
        <v>0</v>
      </c>
      <c r="CC1253">
        <f t="shared" si="2674"/>
        <v>0</v>
      </c>
      <c r="CD1253">
        <f t="shared" si="2674"/>
        <v>0</v>
      </c>
      <c r="CE1253">
        <f t="shared" si="2674"/>
        <v>0</v>
      </c>
      <c r="CF1253">
        <f t="shared" si="2674"/>
        <v>0</v>
      </c>
      <c r="CG1253">
        <f t="shared" si="2674"/>
        <v>0</v>
      </c>
      <c r="CH1253">
        <f t="shared" si="2674"/>
        <v>0</v>
      </c>
      <c r="CI1253">
        <f t="shared" si="2674"/>
        <v>0</v>
      </c>
      <c r="CJ1253">
        <f t="shared" si="2674"/>
        <v>0</v>
      </c>
      <c r="CK1253">
        <f t="shared" si="2674"/>
        <v>0</v>
      </c>
      <c r="CL1253">
        <f t="shared" si="2674"/>
        <v>0</v>
      </c>
      <c r="CM1253">
        <f t="shared" si="2675"/>
        <v>0</v>
      </c>
      <c r="CN1253">
        <f t="shared" si="2675"/>
        <v>0</v>
      </c>
      <c r="CO1253">
        <f t="shared" si="2675"/>
        <v>0</v>
      </c>
      <c r="CP1253">
        <f t="shared" si="2675"/>
        <v>0</v>
      </c>
      <c r="CQ1253">
        <f t="shared" si="2675"/>
        <v>0</v>
      </c>
      <c r="CR1253">
        <f t="shared" si="2675"/>
        <v>0</v>
      </c>
      <c r="CS1253">
        <f t="shared" si="2675"/>
        <v>0</v>
      </c>
      <c r="CT1253">
        <f t="shared" si="2675"/>
        <v>0</v>
      </c>
      <c r="CU1253">
        <f t="shared" si="2675"/>
        <v>0</v>
      </c>
      <c r="CV1253">
        <f t="shared" si="2675"/>
        <v>0</v>
      </c>
      <c r="CW1253">
        <f t="shared" si="2676"/>
        <v>0</v>
      </c>
      <c r="CX1253">
        <f t="shared" si="2676"/>
        <v>0</v>
      </c>
      <c r="CY1253">
        <f t="shared" si="2676"/>
        <v>0</v>
      </c>
      <c r="CZ1253">
        <f t="shared" si="2676"/>
        <v>0</v>
      </c>
      <c r="DA1253">
        <f t="shared" si="2676"/>
        <v>0</v>
      </c>
      <c r="DB1253">
        <f t="shared" si="2676"/>
        <v>0</v>
      </c>
      <c r="DC1253">
        <f t="shared" si="2676"/>
        <v>0</v>
      </c>
      <c r="DD1253">
        <f t="shared" si="2676"/>
        <v>0</v>
      </c>
      <c r="DE1253">
        <f t="shared" si="2676"/>
        <v>0</v>
      </c>
      <c r="DF1253">
        <f t="shared" si="2676"/>
        <v>0</v>
      </c>
      <c r="DG1253">
        <f t="shared" si="2677"/>
        <v>0</v>
      </c>
      <c r="DH1253">
        <f t="shared" si="2677"/>
        <v>0</v>
      </c>
      <c r="DI1253">
        <f t="shared" si="2677"/>
        <v>0</v>
      </c>
      <c r="DJ1253">
        <f t="shared" si="2677"/>
        <v>0</v>
      </c>
      <c r="DK1253">
        <f t="shared" si="2677"/>
        <v>0</v>
      </c>
      <c r="DL1253">
        <f t="shared" si="2677"/>
        <v>0</v>
      </c>
      <c r="DM1253">
        <f t="shared" si="2677"/>
        <v>0</v>
      </c>
      <c r="DN1253">
        <f t="shared" si="2677"/>
        <v>0</v>
      </c>
      <c r="DO1253">
        <f t="shared" si="2677"/>
        <v>0</v>
      </c>
      <c r="DP1253">
        <f t="shared" si="2677"/>
        <v>0</v>
      </c>
      <c r="DQ1253">
        <f t="shared" si="2678"/>
        <v>0</v>
      </c>
      <c r="DR1253">
        <f t="shared" si="2678"/>
        <v>0</v>
      </c>
      <c r="DS1253">
        <f t="shared" si="2678"/>
        <v>0</v>
      </c>
      <c r="DT1253">
        <f t="shared" si="2678"/>
        <v>0</v>
      </c>
      <c r="DU1253">
        <f t="shared" si="2678"/>
        <v>0</v>
      </c>
      <c r="DV1253">
        <f t="shared" si="2678"/>
        <v>0</v>
      </c>
      <c r="DW1253">
        <f t="shared" si="2678"/>
        <v>0</v>
      </c>
      <c r="DX1253">
        <f t="shared" si="2678"/>
        <v>0</v>
      </c>
      <c r="DY1253">
        <f t="shared" si="2678"/>
        <v>0</v>
      </c>
      <c r="DZ1253">
        <f t="shared" si="2678"/>
        <v>0</v>
      </c>
      <c r="EA1253">
        <f t="shared" ref="EA1253:EF1258" si="2680">IF($C1253&lt;&gt;"",IF(BL1252&gt;0,1,0),0)</f>
        <v>0</v>
      </c>
      <c r="EB1253">
        <f t="shared" ref="EB1253:EB1258" si="2681">IF($C1253&lt;&gt;"",IF(BM1252&gt;0,1,0),0)</f>
        <v>0</v>
      </c>
      <c r="EC1253">
        <f t="shared" si="2680"/>
        <v>0</v>
      </c>
      <c r="ED1253">
        <f t="shared" si="2680"/>
        <v>0</v>
      </c>
      <c r="EE1253">
        <f t="shared" si="2680"/>
        <v>0</v>
      </c>
      <c r="EF1253">
        <f t="shared" si="2680"/>
        <v>0</v>
      </c>
    </row>
    <row r="1254" spans="1:136" ht="15.5">
      <c r="A1254" s="90"/>
      <c r="B1254" s="105" t="s">
        <v>3</v>
      </c>
      <c r="C1254" s="95"/>
      <c r="D1254" s="18"/>
      <c r="E1254" s="18">
        <v>0</v>
      </c>
      <c r="F1254" s="18">
        <v>0</v>
      </c>
      <c r="G1254" s="18">
        <v>0</v>
      </c>
      <c r="H1254" s="18">
        <v>0</v>
      </c>
      <c r="I1254" s="18">
        <v>0</v>
      </c>
      <c r="J1254" s="18">
        <v>0</v>
      </c>
      <c r="K1254" s="18">
        <v>0</v>
      </c>
      <c r="L1254" s="18">
        <v>0</v>
      </c>
      <c r="M1254" s="18">
        <v>0</v>
      </c>
      <c r="N1254" s="18">
        <v>0</v>
      </c>
      <c r="O1254" s="18">
        <v>0</v>
      </c>
      <c r="P1254" s="18">
        <v>0</v>
      </c>
      <c r="Q1254" s="18">
        <v>0</v>
      </c>
      <c r="R1254" s="18">
        <v>0</v>
      </c>
      <c r="S1254" s="18">
        <v>0</v>
      </c>
      <c r="T1254" s="18">
        <v>0</v>
      </c>
      <c r="U1254" s="18">
        <v>0</v>
      </c>
      <c r="V1254" s="18">
        <v>0.9</v>
      </c>
      <c r="W1254" s="18">
        <v>3.4</v>
      </c>
      <c r="X1254" s="18">
        <v>0</v>
      </c>
      <c r="Y1254" s="18">
        <v>0</v>
      </c>
      <c r="Z1254" s="18">
        <v>0</v>
      </c>
      <c r="AA1254" s="18">
        <v>0</v>
      </c>
      <c r="AB1254" s="18">
        <v>7</v>
      </c>
      <c r="AC1254" s="18">
        <v>14.8</v>
      </c>
      <c r="AD1254" s="18">
        <v>22.6</v>
      </c>
      <c r="AE1254" s="18">
        <v>22.6</v>
      </c>
      <c r="AF1254" s="18">
        <v>0.8</v>
      </c>
      <c r="AG1254" s="18">
        <v>0.8</v>
      </c>
      <c r="AH1254" s="18">
        <v>0</v>
      </c>
      <c r="AI1254" s="18">
        <v>0</v>
      </c>
      <c r="AJ1254" s="18">
        <v>30.7</v>
      </c>
      <c r="AK1254" s="18">
        <v>49.5</v>
      </c>
      <c r="AL1254" s="18">
        <v>128.69999999999999</v>
      </c>
      <c r="AM1254" s="18">
        <v>128.1</v>
      </c>
      <c r="AN1254" s="18">
        <v>116.5</v>
      </c>
      <c r="AO1254" s="18">
        <v>86.7</v>
      </c>
      <c r="AP1254" s="18">
        <v>86.7</v>
      </c>
      <c r="AQ1254" s="18">
        <v>84.7</v>
      </c>
      <c r="AR1254" s="18">
        <v>75.3</v>
      </c>
      <c r="AS1254" s="18">
        <v>3</v>
      </c>
      <c r="AT1254" s="18">
        <v>1.6</v>
      </c>
      <c r="AU1254" s="18">
        <v>1.5</v>
      </c>
      <c r="AV1254" s="18">
        <v>0.5</v>
      </c>
      <c r="AW1254" s="18">
        <v>0.8</v>
      </c>
      <c r="AX1254" s="18">
        <v>0.3</v>
      </c>
      <c r="AY1254" s="18">
        <v>177.76000000000002</v>
      </c>
      <c r="AZ1254" s="18">
        <v>5.89</v>
      </c>
      <c r="BA1254" s="18">
        <v>1.36</v>
      </c>
      <c r="BB1254" s="18">
        <v>1490.078</v>
      </c>
      <c r="BC1254" s="18">
        <v>5.1999999999999998E-2</v>
      </c>
      <c r="BD1254" s="18">
        <v>4.4999999999999998E-2</v>
      </c>
      <c r="BE1254" s="25">
        <v>0.14799999999999999</v>
      </c>
      <c r="BF1254" s="25">
        <v>0.55600000000000005</v>
      </c>
      <c r="BG1254" s="18">
        <v>1.862079</v>
      </c>
      <c r="BH1254" s="18">
        <v>867.45722799999999</v>
      </c>
      <c r="BI1254" s="18">
        <f>1736.7330936+3000</f>
        <v>4736.7330935999998</v>
      </c>
      <c r="BJ1254" s="18">
        <v>2916.1544908000001</v>
      </c>
      <c r="BK1254" s="113">
        <v>3877.1602285999998</v>
      </c>
      <c r="BL1254" s="113">
        <v>4000</v>
      </c>
      <c r="BM1254" s="113">
        <v>4645</v>
      </c>
      <c r="BN1254" s="113">
        <v>4500</v>
      </c>
      <c r="BO1254" s="113">
        <v>4600</v>
      </c>
      <c r="BP1254" s="113">
        <v>4700</v>
      </c>
      <c r="BQ1254" s="113">
        <v>4800</v>
      </c>
      <c r="BR1254" s="101"/>
      <c r="BS1254">
        <f t="shared" si="2673"/>
        <v>0</v>
      </c>
      <c r="BT1254">
        <f t="shared" si="2673"/>
        <v>0</v>
      </c>
      <c r="BU1254">
        <f t="shared" si="2673"/>
        <v>0</v>
      </c>
      <c r="BV1254">
        <f t="shared" si="2673"/>
        <v>0</v>
      </c>
      <c r="BW1254">
        <f t="shared" si="2673"/>
        <v>0</v>
      </c>
      <c r="BX1254">
        <f t="shared" si="2673"/>
        <v>0</v>
      </c>
      <c r="BY1254">
        <f t="shared" si="2673"/>
        <v>0</v>
      </c>
      <c r="BZ1254">
        <f t="shared" si="2673"/>
        <v>0</v>
      </c>
      <c r="CA1254">
        <f t="shared" si="2673"/>
        <v>0</v>
      </c>
      <c r="CB1254">
        <f t="shared" si="2673"/>
        <v>0</v>
      </c>
      <c r="CC1254">
        <f t="shared" si="2674"/>
        <v>0</v>
      </c>
      <c r="CD1254">
        <f t="shared" si="2674"/>
        <v>0</v>
      </c>
      <c r="CE1254">
        <f t="shared" si="2674"/>
        <v>0</v>
      </c>
      <c r="CF1254">
        <f t="shared" si="2674"/>
        <v>0</v>
      </c>
      <c r="CG1254">
        <f t="shared" si="2674"/>
        <v>0</v>
      </c>
      <c r="CH1254">
        <f t="shared" si="2674"/>
        <v>0</v>
      </c>
      <c r="CI1254">
        <f t="shared" si="2674"/>
        <v>0</v>
      </c>
      <c r="CJ1254">
        <f t="shared" si="2674"/>
        <v>0</v>
      </c>
      <c r="CK1254">
        <f t="shared" si="2674"/>
        <v>0</v>
      </c>
      <c r="CL1254">
        <f t="shared" si="2674"/>
        <v>0</v>
      </c>
      <c r="CM1254">
        <f t="shared" si="2675"/>
        <v>0</v>
      </c>
      <c r="CN1254">
        <f t="shared" si="2675"/>
        <v>0</v>
      </c>
      <c r="CO1254">
        <f t="shared" si="2675"/>
        <v>0</v>
      </c>
      <c r="CP1254">
        <f t="shared" si="2675"/>
        <v>0</v>
      </c>
      <c r="CQ1254">
        <f t="shared" si="2675"/>
        <v>0</v>
      </c>
      <c r="CR1254">
        <f t="shared" si="2675"/>
        <v>0</v>
      </c>
      <c r="CS1254">
        <f t="shared" si="2675"/>
        <v>0</v>
      </c>
      <c r="CT1254">
        <f t="shared" si="2675"/>
        <v>0</v>
      </c>
      <c r="CU1254">
        <f t="shared" si="2675"/>
        <v>0</v>
      </c>
      <c r="CV1254">
        <f t="shared" si="2675"/>
        <v>0</v>
      </c>
      <c r="CW1254">
        <f t="shared" si="2676"/>
        <v>0</v>
      </c>
      <c r="CX1254">
        <f t="shared" si="2676"/>
        <v>0</v>
      </c>
      <c r="CY1254">
        <f t="shared" si="2676"/>
        <v>0</v>
      </c>
      <c r="CZ1254">
        <f t="shared" si="2676"/>
        <v>0</v>
      </c>
      <c r="DA1254">
        <f t="shared" si="2676"/>
        <v>0</v>
      </c>
      <c r="DB1254">
        <f t="shared" si="2676"/>
        <v>0</v>
      </c>
      <c r="DC1254">
        <f t="shared" si="2676"/>
        <v>0</v>
      </c>
      <c r="DD1254">
        <f t="shared" si="2676"/>
        <v>0</v>
      </c>
      <c r="DE1254">
        <f t="shared" si="2676"/>
        <v>0</v>
      </c>
      <c r="DF1254">
        <f t="shared" si="2676"/>
        <v>0</v>
      </c>
      <c r="DG1254">
        <f t="shared" si="2677"/>
        <v>0</v>
      </c>
      <c r="DH1254">
        <f t="shared" si="2677"/>
        <v>0</v>
      </c>
      <c r="DI1254">
        <f t="shared" si="2677"/>
        <v>0</v>
      </c>
      <c r="DJ1254">
        <f t="shared" si="2677"/>
        <v>0</v>
      </c>
      <c r="DK1254">
        <f t="shared" si="2677"/>
        <v>0</v>
      </c>
      <c r="DL1254">
        <f t="shared" si="2677"/>
        <v>0</v>
      </c>
      <c r="DM1254">
        <f t="shared" si="2677"/>
        <v>0</v>
      </c>
      <c r="DN1254">
        <f t="shared" si="2677"/>
        <v>0</v>
      </c>
      <c r="DO1254">
        <f t="shared" si="2677"/>
        <v>0</v>
      </c>
      <c r="DP1254">
        <f t="shared" si="2677"/>
        <v>0</v>
      </c>
      <c r="DQ1254">
        <f t="shared" si="2678"/>
        <v>0</v>
      </c>
      <c r="DR1254">
        <f t="shared" si="2678"/>
        <v>0</v>
      </c>
      <c r="DS1254">
        <f t="shared" si="2678"/>
        <v>0</v>
      </c>
      <c r="DT1254">
        <f t="shared" si="2678"/>
        <v>0</v>
      </c>
      <c r="DU1254">
        <f t="shared" si="2678"/>
        <v>0</v>
      </c>
      <c r="DV1254">
        <f t="shared" si="2678"/>
        <v>0</v>
      </c>
      <c r="DW1254">
        <f t="shared" si="2678"/>
        <v>0</v>
      </c>
      <c r="DX1254">
        <f t="shared" si="2678"/>
        <v>0</v>
      </c>
      <c r="DY1254">
        <f t="shared" si="2678"/>
        <v>0</v>
      </c>
      <c r="DZ1254">
        <f t="shared" si="2678"/>
        <v>0</v>
      </c>
      <c r="EA1254">
        <f t="shared" si="2680"/>
        <v>0</v>
      </c>
      <c r="EB1254">
        <f t="shared" si="2681"/>
        <v>0</v>
      </c>
      <c r="EC1254">
        <f t="shared" si="2680"/>
        <v>0</v>
      </c>
      <c r="ED1254">
        <f t="shared" si="2680"/>
        <v>0</v>
      </c>
      <c r="EE1254">
        <f t="shared" si="2680"/>
        <v>0</v>
      </c>
      <c r="EF1254">
        <f t="shared" si="2680"/>
        <v>0</v>
      </c>
    </row>
    <row r="1255" spans="1:136" ht="15.5">
      <c r="A1255" s="90"/>
      <c r="B1255" s="19" t="s">
        <v>18</v>
      </c>
      <c r="C1255" s="95"/>
      <c r="D1255" s="18"/>
      <c r="E1255" s="18">
        <v>0</v>
      </c>
      <c r="F1255" s="18">
        <v>0</v>
      </c>
      <c r="G1255" s="18">
        <v>0</v>
      </c>
      <c r="H1255" s="18">
        <v>0</v>
      </c>
      <c r="I1255" s="18">
        <v>0</v>
      </c>
      <c r="J1255" s="18">
        <v>0</v>
      </c>
      <c r="K1255" s="18">
        <v>0</v>
      </c>
      <c r="L1255" s="18">
        <v>0</v>
      </c>
      <c r="M1255" s="18">
        <v>0</v>
      </c>
      <c r="N1255" s="18">
        <v>0</v>
      </c>
      <c r="O1255" s="18">
        <v>0</v>
      </c>
      <c r="P1255" s="18">
        <v>0</v>
      </c>
      <c r="Q1255" s="18">
        <v>0</v>
      </c>
      <c r="R1255" s="18">
        <v>0</v>
      </c>
      <c r="S1255" s="18">
        <v>0</v>
      </c>
      <c r="T1255" s="18">
        <v>0</v>
      </c>
      <c r="U1255" s="18">
        <v>0</v>
      </c>
      <c r="V1255" s="18">
        <v>0</v>
      </c>
      <c r="W1255" s="18">
        <v>0</v>
      </c>
      <c r="X1255" s="18">
        <v>0</v>
      </c>
      <c r="Y1255" s="18">
        <v>0</v>
      </c>
      <c r="Z1255" s="18">
        <v>0</v>
      </c>
      <c r="AA1255" s="18">
        <v>14977.956400596002</v>
      </c>
      <c r="AB1255" s="18">
        <v>16981.809978000001</v>
      </c>
      <c r="AC1255" s="18">
        <v>18723.054</v>
      </c>
      <c r="AD1255" s="18">
        <v>20307</v>
      </c>
      <c r="AE1255" s="18">
        <v>20338</v>
      </c>
      <c r="AF1255" s="18">
        <v>20338</v>
      </c>
      <c r="AG1255" s="18">
        <v>20288</v>
      </c>
      <c r="AH1255" s="18">
        <v>19585</v>
      </c>
      <c r="AI1255" s="18">
        <v>0</v>
      </c>
      <c r="AJ1255" s="18">
        <v>0</v>
      </c>
      <c r="AK1255" s="18">
        <v>0</v>
      </c>
      <c r="AL1255" s="18">
        <v>0</v>
      </c>
      <c r="AM1255" s="18">
        <v>352</v>
      </c>
      <c r="AN1255" s="18">
        <v>430</v>
      </c>
      <c r="AO1255" s="18">
        <v>612</v>
      </c>
      <c r="AP1255" s="18">
        <v>128</v>
      </c>
      <c r="AQ1255" s="18">
        <v>0</v>
      </c>
      <c r="AR1255" s="18">
        <v>0</v>
      </c>
      <c r="AS1255" s="18">
        <v>0</v>
      </c>
      <c r="AT1255" s="18">
        <v>0</v>
      </c>
      <c r="AU1255" s="18">
        <v>0</v>
      </c>
      <c r="AV1255" s="18">
        <v>0</v>
      </c>
      <c r="AW1255" s="18">
        <v>0</v>
      </c>
      <c r="AX1255" s="18">
        <v>0</v>
      </c>
      <c r="AY1255" s="18">
        <v>0</v>
      </c>
      <c r="AZ1255" s="18">
        <v>0</v>
      </c>
      <c r="BA1255" s="18">
        <v>0</v>
      </c>
      <c r="BB1255" s="18">
        <v>0</v>
      </c>
      <c r="BC1255" s="18">
        <v>0</v>
      </c>
      <c r="BD1255" s="18">
        <v>0</v>
      </c>
      <c r="BE1255" s="25">
        <v>0</v>
      </c>
      <c r="BF1255" s="18">
        <v>0</v>
      </c>
      <c r="BG1255" s="18">
        <v>0</v>
      </c>
      <c r="BH1255" s="18">
        <v>0</v>
      </c>
      <c r="BI1255" s="18">
        <v>0</v>
      </c>
      <c r="BJ1255" s="113">
        <v>0</v>
      </c>
      <c r="BK1255" s="113">
        <v>0</v>
      </c>
      <c r="BL1255" s="113">
        <v>0</v>
      </c>
      <c r="BM1255" s="113">
        <v>0</v>
      </c>
      <c r="BN1255" s="113">
        <v>0</v>
      </c>
      <c r="BO1255" s="113">
        <v>0</v>
      </c>
      <c r="BP1255" s="113">
        <v>0</v>
      </c>
      <c r="BQ1255" s="113">
        <v>0</v>
      </c>
      <c r="BR1255" s="101"/>
      <c r="BS1255">
        <f t="shared" si="2673"/>
        <v>0</v>
      </c>
      <c r="BT1255">
        <f t="shared" si="2673"/>
        <v>0</v>
      </c>
      <c r="BU1255">
        <f t="shared" si="2673"/>
        <v>0</v>
      </c>
      <c r="BV1255">
        <f t="shared" si="2673"/>
        <v>0</v>
      </c>
      <c r="BW1255">
        <f t="shared" si="2673"/>
        <v>0</v>
      </c>
      <c r="BX1255">
        <f t="shared" si="2673"/>
        <v>0</v>
      </c>
      <c r="BY1255">
        <f t="shared" si="2673"/>
        <v>0</v>
      </c>
      <c r="BZ1255">
        <f t="shared" si="2673"/>
        <v>0</v>
      </c>
      <c r="CA1255">
        <f t="shared" si="2673"/>
        <v>0</v>
      </c>
      <c r="CB1255">
        <f t="shared" si="2673"/>
        <v>0</v>
      </c>
      <c r="CC1255">
        <f t="shared" si="2674"/>
        <v>0</v>
      </c>
      <c r="CD1255">
        <f t="shared" si="2674"/>
        <v>0</v>
      </c>
      <c r="CE1255">
        <f t="shared" si="2674"/>
        <v>0</v>
      </c>
      <c r="CF1255">
        <f t="shared" si="2674"/>
        <v>0</v>
      </c>
      <c r="CG1255">
        <f t="shared" si="2674"/>
        <v>0</v>
      </c>
      <c r="CH1255">
        <f t="shared" si="2674"/>
        <v>0</v>
      </c>
      <c r="CI1255">
        <f t="shared" si="2674"/>
        <v>0</v>
      </c>
      <c r="CJ1255">
        <f t="shared" si="2674"/>
        <v>0</v>
      </c>
      <c r="CK1255">
        <f t="shared" si="2674"/>
        <v>0</v>
      </c>
      <c r="CL1255">
        <f t="shared" si="2674"/>
        <v>0</v>
      </c>
      <c r="CM1255">
        <f t="shared" si="2675"/>
        <v>0</v>
      </c>
      <c r="CN1255">
        <f t="shared" si="2675"/>
        <v>0</v>
      </c>
      <c r="CO1255">
        <f t="shared" si="2675"/>
        <v>0</v>
      </c>
      <c r="CP1255">
        <f t="shared" si="2675"/>
        <v>0</v>
      </c>
      <c r="CQ1255">
        <f t="shared" si="2675"/>
        <v>0</v>
      </c>
      <c r="CR1255">
        <f t="shared" si="2675"/>
        <v>0</v>
      </c>
      <c r="CS1255">
        <f t="shared" si="2675"/>
        <v>0</v>
      </c>
      <c r="CT1255">
        <f t="shared" si="2675"/>
        <v>0</v>
      </c>
      <c r="CU1255">
        <f t="shared" si="2675"/>
        <v>0</v>
      </c>
      <c r="CV1255">
        <f t="shared" si="2675"/>
        <v>0</v>
      </c>
      <c r="CW1255">
        <f t="shared" si="2676"/>
        <v>0</v>
      </c>
      <c r="CX1255">
        <f t="shared" si="2676"/>
        <v>0</v>
      </c>
      <c r="CY1255">
        <f t="shared" si="2676"/>
        <v>0</v>
      </c>
      <c r="CZ1255">
        <f t="shared" si="2676"/>
        <v>0</v>
      </c>
      <c r="DA1255">
        <f t="shared" si="2676"/>
        <v>0</v>
      </c>
      <c r="DB1255">
        <f t="shared" si="2676"/>
        <v>0</v>
      </c>
      <c r="DC1255">
        <f t="shared" si="2676"/>
        <v>0</v>
      </c>
      <c r="DD1255">
        <f t="shared" si="2676"/>
        <v>0</v>
      </c>
      <c r="DE1255">
        <f t="shared" si="2676"/>
        <v>0</v>
      </c>
      <c r="DF1255">
        <f t="shared" si="2676"/>
        <v>0</v>
      </c>
      <c r="DG1255">
        <f t="shared" si="2677"/>
        <v>0</v>
      </c>
      <c r="DH1255">
        <f t="shared" si="2677"/>
        <v>0</v>
      </c>
      <c r="DI1255">
        <f t="shared" si="2677"/>
        <v>0</v>
      </c>
      <c r="DJ1255">
        <f t="shared" si="2677"/>
        <v>0</v>
      </c>
      <c r="DK1255">
        <f t="shared" si="2677"/>
        <v>0</v>
      </c>
      <c r="DL1255">
        <f t="shared" si="2677"/>
        <v>0</v>
      </c>
      <c r="DM1255">
        <f t="shared" si="2677"/>
        <v>0</v>
      </c>
      <c r="DN1255">
        <f t="shared" si="2677"/>
        <v>0</v>
      </c>
      <c r="DO1255">
        <f t="shared" si="2677"/>
        <v>0</v>
      </c>
      <c r="DP1255">
        <f t="shared" si="2677"/>
        <v>0</v>
      </c>
      <c r="DQ1255">
        <f t="shared" si="2678"/>
        <v>0</v>
      </c>
      <c r="DR1255">
        <f t="shared" si="2678"/>
        <v>0</v>
      </c>
      <c r="DS1255">
        <f t="shared" si="2678"/>
        <v>0</v>
      </c>
      <c r="DT1255">
        <f t="shared" si="2678"/>
        <v>0</v>
      </c>
      <c r="DU1255">
        <f t="shared" si="2678"/>
        <v>0</v>
      </c>
      <c r="DV1255">
        <f t="shared" si="2678"/>
        <v>0</v>
      </c>
      <c r="DW1255">
        <f t="shared" si="2678"/>
        <v>0</v>
      </c>
      <c r="DX1255">
        <f t="shared" si="2678"/>
        <v>0</v>
      </c>
      <c r="DY1255">
        <f t="shared" si="2678"/>
        <v>0</v>
      </c>
      <c r="DZ1255">
        <f t="shared" si="2678"/>
        <v>0</v>
      </c>
      <c r="EA1255">
        <f t="shared" si="2680"/>
        <v>0</v>
      </c>
      <c r="EB1255">
        <f t="shared" si="2681"/>
        <v>0</v>
      </c>
      <c r="EC1255">
        <f t="shared" si="2680"/>
        <v>0</v>
      </c>
      <c r="ED1255">
        <f t="shared" si="2680"/>
        <v>0</v>
      </c>
      <c r="EE1255">
        <f t="shared" si="2680"/>
        <v>0</v>
      </c>
      <c r="EF1255">
        <f t="shared" si="2680"/>
        <v>0</v>
      </c>
    </row>
    <row r="1256" spans="1:136" ht="15.5">
      <c r="A1256" s="90"/>
      <c r="B1256" s="53" t="s">
        <v>25</v>
      </c>
      <c r="C1256" s="95"/>
      <c r="D1256" s="18"/>
      <c r="E1256" s="34">
        <v>0</v>
      </c>
      <c r="F1256" s="34">
        <v>0</v>
      </c>
      <c r="G1256" s="34">
        <v>0</v>
      </c>
      <c r="H1256" s="34">
        <v>0</v>
      </c>
      <c r="I1256" s="34">
        <v>0</v>
      </c>
      <c r="J1256" s="34">
        <v>0</v>
      </c>
      <c r="K1256" s="34">
        <v>0</v>
      </c>
      <c r="L1256" s="34">
        <v>0</v>
      </c>
      <c r="M1256" s="34">
        <v>0</v>
      </c>
      <c r="N1256" s="34">
        <v>0</v>
      </c>
      <c r="O1256" s="34">
        <v>0</v>
      </c>
      <c r="P1256" s="34">
        <v>0</v>
      </c>
      <c r="Q1256" s="34">
        <v>0</v>
      </c>
      <c r="R1256" s="34">
        <v>0</v>
      </c>
      <c r="S1256" s="34">
        <v>0</v>
      </c>
      <c r="T1256" s="34">
        <v>0</v>
      </c>
      <c r="U1256" s="34">
        <v>0</v>
      </c>
      <c r="V1256" s="34">
        <v>0</v>
      </c>
      <c r="W1256" s="34">
        <v>0</v>
      </c>
      <c r="X1256" s="34">
        <v>0</v>
      </c>
      <c r="Y1256" s="34">
        <v>0</v>
      </c>
      <c r="Z1256" s="34">
        <v>0</v>
      </c>
      <c r="AA1256" s="34">
        <v>0</v>
      </c>
      <c r="AB1256" s="34">
        <v>0</v>
      </c>
      <c r="AC1256" s="34">
        <v>0</v>
      </c>
      <c r="AD1256" s="34">
        <v>0</v>
      </c>
      <c r="AE1256" s="34">
        <v>0</v>
      </c>
      <c r="AF1256" s="34">
        <v>0</v>
      </c>
      <c r="AG1256" s="34">
        <v>0</v>
      </c>
      <c r="AH1256" s="34">
        <v>0</v>
      </c>
      <c r="AI1256" s="34">
        <v>0</v>
      </c>
      <c r="AJ1256" s="34">
        <v>0</v>
      </c>
      <c r="AK1256" s="34">
        <v>0</v>
      </c>
      <c r="AL1256" s="34">
        <v>0</v>
      </c>
      <c r="AM1256" s="34">
        <v>0</v>
      </c>
      <c r="AN1256" s="34">
        <v>0</v>
      </c>
      <c r="AO1256" s="34">
        <v>0</v>
      </c>
      <c r="AP1256" s="34">
        <v>0</v>
      </c>
      <c r="AQ1256" s="34">
        <v>0</v>
      </c>
      <c r="AR1256" s="34">
        <v>0</v>
      </c>
      <c r="AS1256" s="34">
        <v>0</v>
      </c>
      <c r="AT1256" s="34">
        <v>0</v>
      </c>
      <c r="AU1256" s="34">
        <v>0</v>
      </c>
      <c r="AV1256" s="34">
        <v>0.35</v>
      </c>
      <c r="AW1256" s="34">
        <v>0.35</v>
      </c>
      <c r="AX1256" s="34">
        <v>0</v>
      </c>
      <c r="AY1256" s="34">
        <v>0</v>
      </c>
      <c r="AZ1256" s="34">
        <v>0</v>
      </c>
      <c r="BA1256" s="34">
        <v>0</v>
      </c>
      <c r="BB1256" s="34">
        <v>0</v>
      </c>
      <c r="BC1256" s="34">
        <v>0</v>
      </c>
      <c r="BD1256" s="34">
        <v>0</v>
      </c>
      <c r="BE1256" s="42">
        <v>0</v>
      </c>
      <c r="BF1256" s="34">
        <v>0</v>
      </c>
      <c r="BG1256" s="34">
        <v>0</v>
      </c>
      <c r="BH1256" s="34">
        <v>0</v>
      </c>
      <c r="BI1256" s="34">
        <v>17196</v>
      </c>
      <c r="BJ1256" s="113">
        <v>34937</v>
      </c>
      <c r="BK1256" s="113">
        <v>37927.570000000007</v>
      </c>
      <c r="BL1256" s="113">
        <v>40918.140000000014</v>
      </c>
      <c r="BM1256" s="113">
        <v>49769</v>
      </c>
      <c r="BN1256" s="113">
        <v>60718</v>
      </c>
      <c r="BO1256" s="113">
        <v>50093</v>
      </c>
      <c r="BP1256" s="113">
        <v>53228</v>
      </c>
      <c r="BQ1256" s="34">
        <v>56689</v>
      </c>
      <c r="BR1256" s="101"/>
      <c r="BS1256">
        <f t="shared" si="2673"/>
        <v>0</v>
      </c>
      <c r="BT1256">
        <f t="shared" si="2673"/>
        <v>0</v>
      </c>
      <c r="BU1256">
        <f t="shared" si="2673"/>
        <v>0</v>
      </c>
      <c r="BV1256">
        <f t="shared" si="2673"/>
        <v>0</v>
      </c>
      <c r="BW1256">
        <f t="shared" si="2673"/>
        <v>0</v>
      </c>
      <c r="BX1256">
        <f t="shared" si="2673"/>
        <v>0</v>
      </c>
      <c r="BY1256">
        <f t="shared" si="2673"/>
        <v>0</v>
      </c>
      <c r="BZ1256">
        <f t="shared" si="2673"/>
        <v>0</v>
      </c>
      <c r="CA1256">
        <f t="shared" si="2673"/>
        <v>0</v>
      </c>
      <c r="CB1256">
        <f t="shared" si="2673"/>
        <v>0</v>
      </c>
      <c r="CC1256">
        <f t="shared" si="2674"/>
        <v>0</v>
      </c>
      <c r="CD1256">
        <f t="shared" si="2674"/>
        <v>0</v>
      </c>
      <c r="CE1256">
        <f t="shared" si="2674"/>
        <v>0</v>
      </c>
      <c r="CF1256">
        <f t="shared" si="2674"/>
        <v>0</v>
      </c>
      <c r="CG1256">
        <f t="shared" si="2674"/>
        <v>0</v>
      </c>
      <c r="CH1256">
        <f t="shared" si="2674"/>
        <v>0</v>
      </c>
      <c r="CI1256">
        <f t="shared" si="2674"/>
        <v>0</v>
      </c>
      <c r="CJ1256">
        <f t="shared" si="2674"/>
        <v>0</v>
      </c>
      <c r="CK1256">
        <f t="shared" si="2674"/>
        <v>0</v>
      </c>
      <c r="CL1256">
        <f t="shared" si="2674"/>
        <v>0</v>
      </c>
      <c r="CM1256">
        <f t="shared" si="2675"/>
        <v>0</v>
      </c>
      <c r="CN1256">
        <f t="shared" si="2675"/>
        <v>0</v>
      </c>
      <c r="CO1256">
        <f t="shared" si="2675"/>
        <v>0</v>
      </c>
      <c r="CP1256">
        <f t="shared" si="2675"/>
        <v>0</v>
      </c>
      <c r="CQ1256">
        <f t="shared" si="2675"/>
        <v>0</v>
      </c>
      <c r="CR1256">
        <f t="shared" si="2675"/>
        <v>0</v>
      </c>
      <c r="CS1256">
        <f t="shared" si="2675"/>
        <v>0</v>
      </c>
      <c r="CT1256">
        <f t="shared" si="2675"/>
        <v>0</v>
      </c>
      <c r="CU1256">
        <f t="shared" si="2675"/>
        <v>0</v>
      </c>
      <c r="CV1256">
        <f t="shared" si="2675"/>
        <v>0</v>
      </c>
      <c r="CW1256">
        <f t="shared" si="2676"/>
        <v>0</v>
      </c>
      <c r="CX1256">
        <f t="shared" si="2676"/>
        <v>0</v>
      </c>
      <c r="CY1256">
        <f t="shared" si="2676"/>
        <v>0</v>
      </c>
      <c r="CZ1256">
        <f t="shared" si="2676"/>
        <v>0</v>
      </c>
      <c r="DA1256">
        <f t="shared" si="2676"/>
        <v>0</v>
      </c>
      <c r="DB1256">
        <f t="shared" si="2676"/>
        <v>0</v>
      </c>
      <c r="DC1256">
        <f t="shared" si="2676"/>
        <v>0</v>
      </c>
      <c r="DD1256">
        <f t="shared" si="2676"/>
        <v>0</v>
      </c>
      <c r="DE1256">
        <f t="shared" si="2676"/>
        <v>0</v>
      </c>
      <c r="DF1256">
        <f t="shared" si="2676"/>
        <v>0</v>
      </c>
      <c r="DG1256">
        <f t="shared" si="2677"/>
        <v>0</v>
      </c>
      <c r="DH1256">
        <f t="shared" si="2677"/>
        <v>0</v>
      </c>
      <c r="DI1256">
        <f t="shared" si="2677"/>
        <v>0</v>
      </c>
      <c r="DJ1256">
        <f t="shared" si="2677"/>
        <v>0</v>
      </c>
      <c r="DK1256">
        <f t="shared" si="2677"/>
        <v>0</v>
      </c>
      <c r="DL1256">
        <f t="shared" si="2677"/>
        <v>0</v>
      </c>
      <c r="DM1256">
        <f t="shared" si="2677"/>
        <v>0</v>
      </c>
      <c r="DN1256">
        <f t="shared" si="2677"/>
        <v>0</v>
      </c>
      <c r="DO1256">
        <f t="shared" si="2677"/>
        <v>0</v>
      </c>
      <c r="DP1256">
        <f t="shared" si="2677"/>
        <v>0</v>
      </c>
      <c r="DQ1256">
        <f t="shared" si="2678"/>
        <v>0</v>
      </c>
      <c r="DR1256">
        <f t="shared" si="2678"/>
        <v>0</v>
      </c>
      <c r="DS1256">
        <f t="shared" si="2678"/>
        <v>0</v>
      </c>
      <c r="DT1256">
        <f t="shared" si="2678"/>
        <v>0</v>
      </c>
      <c r="DU1256">
        <f t="shared" si="2678"/>
        <v>0</v>
      </c>
      <c r="DV1256">
        <f t="shared" si="2678"/>
        <v>0</v>
      </c>
      <c r="DW1256">
        <f t="shared" si="2678"/>
        <v>0</v>
      </c>
      <c r="DX1256">
        <f t="shared" si="2678"/>
        <v>0</v>
      </c>
      <c r="DY1256">
        <f t="shared" si="2678"/>
        <v>0</v>
      </c>
      <c r="DZ1256">
        <f t="shared" si="2678"/>
        <v>0</v>
      </c>
      <c r="EA1256">
        <f t="shared" si="2680"/>
        <v>0</v>
      </c>
      <c r="EB1256">
        <f t="shared" si="2681"/>
        <v>0</v>
      </c>
      <c r="EC1256">
        <f t="shared" si="2680"/>
        <v>0</v>
      </c>
      <c r="ED1256">
        <f t="shared" si="2680"/>
        <v>0</v>
      </c>
      <c r="EE1256">
        <f t="shared" si="2680"/>
        <v>0</v>
      </c>
      <c r="EF1256">
        <f t="shared" si="2680"/>
        <v>0</v>
      </c>
    </row>
    <row r="1257" spans="1:136" ht="15.5">
      <c r="A1257" s="90"/>
      <c r="B1257" s="19" t="s">
        <v>208</v>
      </c>
      <c r="C1257" s="95"/>
      <c r="D1257" s="18"/>
      <c r="E1257" s="18">
        <v>0</v>
      </c>
      <c r="F1257" s="18">
        <v>0</v>
      </c>
      <c r="G1257" s="18">
        <v>0</v>
      </c>
      <c r="H1257" s="18">
        <v>0</v>
      </c>
      <c r="I1257" s="18">
        <v>0</v>
      </c>
      <c r="J1257" s="18">
        <v>0</v>
      </c>
      <c r="K1257" s="18">
        <v>0</v>
      </c>
      <c r="L1257" s="18">
        <v>0</v>
      </c>
      <c r="M1257" s="18">
        <v>0</v>
      </c>
      <c r="N1257" s="18">
        <v>0</v>
      </c>
      <c r="O1257" s="18">
        <v>0</v>
      </c>
      <c r="P1257" s="18">
        <v>0</v>
      </c>
      <c r="Q1257" s="18">
        <v>0</v>
      </c>
      <c r="R1257" s="18">
        <v>0</v>
      </c>
      <c r="S1257" s="18">
        <v>0</v>
      </c>
      <c r="T1257" s="18">
        <v>0</v>
      </c>
      <c r="U1257" s="18">
        <v>0</v>
      </c>
      <c r="V1257" s="18">
        <v>52</v>
      </c>
      <c r="W1257" s="18">
        <v>156.80000000000001</v>
      </c>
      <c r="X1257" s="18">
        <v>51.4</v>
      </c>
      <c r="Y1257" s="18">
        <v>5.8</v>
      </c>
      <c r="Z1257" s="18">
        <v>5.4</v>
      </c>
      <c r="AA1257" s="40" t="s">
        <v>16</v>
      </c>
      <c r="AB1257" s="40" t="s">
        <v>16</v>
      </c>
      <c r="AC1257" s="40" t="s">
        <v>16</v>
      </c>
      <c r="AD1257" s="40" t="s">
        <v>16</v>
      </c>
      <c r="AE1257" s="40" t="s">
        <v>16</v>
      </c>
      <c r="AF1257" s="40" t="s">
        <v>16</v>
      </c>
      <c r="AG1257" s="40" t="s">
        <v>16</v>
      </c>
      <c r="AH1257" s="40" t="s">
        <v>16</v>
      </c>
      <c r="AI1257" s="18">
        <v>0</v>
      </c>
      <c r="AJ1257" s="18">
        <v>587.79999999999995</v>
      </c>
      <c r="AK1257" s="18">
        <v>973.8</v>
      </c>
      <c r="AL1257" s="18">
        <v>1411.3999999999999</v>
      </c>
      <c r="AM1257" s="40" t="s">
        <v>16</v>
      </c>
      <c r="AN1257" s="40" t="s">
        <v>16</v>
      </c>
      <c r="AO1257" s="40" t="s">
        <v>16</v>
      </c>
      <c r="AP1257" s="40" t="s">
        <v>16</v>
      </c>
      <c r="AQ1257" s="18">
        <v>99.199999999999989</v>
      </c>
      <c r="AR1257" s="18">
        <v>62.6</v>
      </c>
      <c r="AS1257" s="18">
        <v>51.5</v>
      </c>
      <c r="AT1257" s="18">
        <v>54.599999999999994</v>
      </c>
      <c r="AU1257" s="18">
        <v>10.199999999999999</v>
      </c>
      <c r="AV1257" s="18">
        <v>15.2</v>
      </c>
      <c r="AW1257" s="18">
        <v>1.794</v>
      </c>
      <c r="AX1257" s="18">
        <v>0.107</v>
      </c>
      <c r="AY1257" s="18">
        <v>0.39200000000000002</v>
      </c>
      <c r="AZ1257" s="18">
        <v>0.185</v>
      </c>
      <c r="BA1257" s="18">
        <v>0.113</v>
      </c>
      <c r="BB1257" s="18">
        <v>9.8043000000000005E-2</v>
      </c>
      <c r="BC1257" s="18">
        <v>5.8408500000000002E-2</v>
      </c>
      <c r="BD1257" s="18">
        <v>1.7000000000000001E-2</v>
      </c>
      <c r="BE1257" s="25">
        <v>1.7000000000000001E-2</v>
      </c>
      <c r="BF1257" s="25">
        <v>0</v>
      </c>
      <c r="BG1257" s="25">
        <v>0.81</v>
      </c>
      <c r="BH1257" s="25">
        <v>7395.3289858999997</v>
      </c>
      <c r="BI1257" s="18">
        <v>8473.6360994999995</v>
      </c>
      <c r="BJ1257" s="18">
        <v>10142.618989799999</v>
      </c>
      <c r="BK1257" s="18">
        <v>13448.5077188</v>
      </c>
      <c r="BL1257" s="113">
        <f>BK1257*1.04</f>
        <v>13986.448027552</v>
      </c>
      <c r="BM1257" s="113">
        <f>BL1257*1.04</f>
        <v>14545.905948654081</v>
      </c>
      <c r="BN1257" s="113">
        <f>15106+40</f>
        <v>15146</v>
      </c>
      <c r="BO1257" s="113">
        <v>50746</v>
      </c>
      <c r="BP1257" s="124">
        <v>53790</v>
      </c>
      <c r="BQ1257" s="113">
        <f>17018+40000</f>
        <v>57018</v>
      </c>
      <c r="BR1257" s="101"/>
      <c r="BS1257">
        <f t="shared" si="2673"/>
        <v>0</v>
      </c>
      <c r="BT1257">
        <f t="shared" si="2673"/>
        <v>0</v>
      </c>
      <c r="BU1257">
        <f t="shared" si="2673"/>
        <v>0</v>
      </c>
      <c r="BV1257">
        <f t="shared" si="2673"/>
        <v>0</v>
      </c>
      <c r="BW1257">
        <f t="shared" si="2673"/>
        <v>0</v>
      </c>
      <c r="BX1257">
        <f t="shared" si="2673"/>
        <v>0</v>
      </c>
      <c r="BY1257">
        <f t="shared" si="2673"/>
        <v>0</v>
      </c>
      <c r="BZ1257">
        <f t="shared" si="2673"/>
        <v>0</v>
      </c>
      <c r="CA1257">
        <f t="shared" si="2673"/>
        <v>0</v>
      </c>
      <c r="CB1257">
        <f t="shared" si="2673"/>
        <v>0</v>
      </c>
      <c r="CC1257">
        <f t="shared" si="2674"/>
        <v>0</v>
      </c>
      <c r="CD1257">
        <f t="shared" si="2674"/>
        <v>0</v>
      </c>
      <c r="CE1257">
        <f t="shared" si="2674"/>
        <v>0</v>
      </c>
      <c r="CF1257">
        <f t="shared" si="2674"/>
        <v>0</v>
      </c>
      <c r="CG1257">
        <f t="shared" si="2674"/>
        <v>0</v>
      </c>
      <c r="CH1257">
        <f t="shared" si="2674"/>
        <v>0</v>
      </c>
      <c r="CI1257">
        <f t="shared" si="2674"/>
        <v>0</v>
      </c>
      <c r="CJ1257">
        <f t="shared" si="2674"/>
        <v>0</v>
      </c>
      <c r="CK1257">
        <f t="shared" si="2674"/>
        <v>0</v>
      </c>
      <c r="CL1257">
        <f t="shared" si="2674"/>
        <v>0</v>
      </c>
      <c r="CM1257">
        <f t="shared" si="2675"/>
        <v>0</v>
      </c>
      <c r="CN1257">
        <f t="shared" si="2675"/>
        <v>0</v>
      </c>
      <c r="CO1257">
        <f t="shared" si="2675"/>
        <v>0</v>
      </c>
      <c r="CP1257">
        <f t="shared" si="2675"/>
        <v>0</v>
      </c>
      <c r="CQ1257">
        <f t="shared" si="2675"/>
        <v>0</v>
      </c>
      <c r="CR1257">
        <f t="shared" si="2675"/>
        <v>0</v>
      </c>
      <c r="CS1257">
        <f t="shared" si="2675"/>
        <v>0</v>
      </c>
      <c r="CT1257">
        <f t="shared" si="2675"/>
        <v>0</v>
      </c>
      <c r="CU1257">
        <f t="shared" si="2675"/>
        <v>0</v>
      </c>
      <c r="CV1257">
        <f t="shared" si="2675"/>
        <v>0</v>
      </c>
      <c r="CW1257">
        <f t="shared" si="2676"/>
        <v>0</v>
      </c>
      <c r="CX1257">
        <f t="shared" si="2676"/>
        <v>0</v>
      </c>
      <c r="CY1257">
        <f t="shared" si="2676"/>
        <v>0</v>
      </c>
      <c r="CZ1257">
        <f t="shared" si="2676"/>
        <v>0</v>
      </c>
      <c r="DA1257">
        <f t="shared" si="2676"/>
        <v>0</v>
      </c>
      <c r="DB1257">
        <f t="shared" si="2676"/>
        <v>0</v>
      </c>
      <c r="DC1257">
        <f t="shared" si="2676"/>
        <v>0</v>
      </c>
      <c r="DD1257">
        <f t="shared" si="2676"/>
        <v>0</v>
      </c>
      <c r="DE1257">
        <f t="shared" si="2676"/>
        <v>0</v>
      </c>
      <c r="DF1257">
        <f t="shared" si="2676"/>
        <v>0</v>
      </c>
      <c r="DG1257">
        <f t="shared" si="2677"/>
        <v>0</v>
      </c>
      <c r="DH1257">
        <f t="shared" si="2677"/>
        <v>0</v>
      </c>
      <c r="DI1257">
        <f t="shared" si="2677"/>
        <v>0</v>
      </c>
      <c r="DJ1257">
        <f t="shared" si="2677"/>
        <v>0</v>
      </c>
      <c r="DK1257">
        <f t="shared" si="2677"/>
        <v>0</v>
      </c>
      <c r="DL1257">
        <f t="shared" si="2677"/>
        <v>0</v>
      </c>
      <c r="DM1257">
        <f t="shared" si="2677"/>
        <v>0</v>
      </c>
      <c r="DN1257">
        <f t="shared" si="2677"/>
        <v>0</v>
      </c>
      <c r="DO1257">
        <f t="shared" si="2677"/>
        <v>0</v>
      </c>
      <c r="DP1257">
        <f t="shared" si="2677"/>
        <v>0</v>
      </c>
      <c r="DQ1257">
        <f t="shared" si="2678"/>
        <v>0</v>
      </c>
      <c r="DR1257">
        <f t="shared" si="2678"/>
        <v>0</v>
      </c>
      <c r="DS1257">
        <f t="shared" si="2678"/>
        <v>0</v>
      </c>
      <c r="DT1257">
        <f t="shared" si="2678"/>
        <v>0</v>
      </c>
      <c r="DU1257">
        <f t="shared" si="2678"/>
        <v>0</v>
      </c>
      <c r="DV1257">
        <f t="shared" si="2678"/>
        <v>0</v>
      </c>
      <c r="DW1257">
        <f t="shared" si="2678"/>
        <v>0</v>
      </c>
      <c r="DX1257">
        <f t="shared" si="2678"/>
        <v>0</v>
      </c>
      <c r="DY1257">
        <f t="shared" si="2678"/>
        <v>0</v>
      </c>
      <c r="DZ1257">
        <f t="shared" si="2678"/>
        <v>0</v>
      </c>
      <c r="EA1257">
        <f t="shared" si="2680"/>
        <v>0</v>
      </c>
      <c r="EB1257">
        <f t="shared" si="2681"/>
        <v>0</v>
      </c>
      <c r="EC1257">
        <f t="shared" si="2680"/>
        <v>0</v>
      </c>
      <c r="ED1257">
        <f t="shared" si="2680"/>
        <v>0</v>
      </c>
      <c r="EE1257">
        <f t="shared" si="2680"/>
        <v>0</v>
      </c>
      <c r="EF1257">
        <f t="shared" si="2680"/>
        <v>0</v>
      </c>
    </row>
    <row r="1258" spans="1:136" ht="15.5">
      <c r="A1258" s="90"/>
      <c r="B1258" s="53" t="s">
        <v>21</v>
      </c>
      <c r="C1258" s="95"/>
      <c r="D1258" s="18"/>
      <c r="E1258" s="34">
        <v>0</v>
      </c>
      <c r="F1258" s="34">
        <v>0</v>
      </c>
      <c r="G1258" s="34">
        <v>0</v>
      </c>
      <c r="H1258" s="34">
        <v>0</v>
      </c>
      <c r="I1258" s="34">
        <v>0</v>
      </c>
      <c r="J1258" s="34">
        <v>0</v>
      </c>
      <c r="K1258" s="34">
        <v>0</v>
      </c>
      <c r="L1258" s="34">
        <v>0</v>
      </c>
      <c r="M1258" s="34">
        <v>0</v>
      </c>
      <c r="N1258" s="34">
        <v>0</v>
      </c>
      <c r="O1258" s="34">
        <v>0</v>
      </c>
      <c r="P1258" s="34">
        <v>0</v>
      </c>
      <c r="Q1258" s="34">
        <v>0</v>
      </c>
      <c r="R1258" s="34">
        <v>0</v>
      </c>
      <c r="S1258" s="34">
        <v>0</v>
      </c>
      <c r="T1258" s="34">
        <v>0</v>
      </c>
      <c r="U1258" s="34">
        <v>0</v>
      </c>
      <c r="V1258" s="34">
        <v>0</v>
      </c>
      <c r="W1258" s="34">
        <v>0</v>
      </c>
      <c r="X1258" s="34">
        <v>0</v>
      </c>
      <c r="Y1258" s="34">
        <v>0</v>
      </c>
      <c r="Z1258" s="34">
        <v>0</v>
      </c>
      <c r="AA1258" s="34">
        <v>0</v>
      </c>
      <c r="AB1258" s="34">
        <v>0</v>
      </c>
      <c r="AC1258" s="34">
        <v>0</v>
      </c>
      <c r="AD1258" s="34">
        <v>0</v>
      </c>
      <c r="AE1258" s="34">
        <v>0</v>
      </c>
      <c r="AF1258" s="34">
        <v>0</v>
      </c>
      <c r="AG1258" s="34">
        <v>0</v>
      </c>
      <c r="AH1258" s="34">
        <v>0</v>
      </c>
      <c r="AI1258" s="34">
        <v>0</v>
      </c>
      <c r="AJ1258" s="34">
        <v>0</v>
      </c>
      <c r="AK1258" s="34">
        <v>990</v>
      </c>
      <c r="AL1258" s="34">
        <v>0</v>
      </c>
      <c r="AM1258" s="34">
        <v>940</v>
      </c>
      <c r="AN1258" s="34">
        <v>0</v>
      </c>
      <c r="AO1258" s="34">
        <v>0</v>
      </c>
      <c r="AP1258" s="34">
        <v>270</v>
      </c>
      <c r="AQ1258" s="34">
        <v>0</v>
      </c>
      <c r="AR1258" s="34">
        <v>0</v>
      </c>
      <c r="AS1258" s="34">
        <v>0</v>
      </c>
      <c r="AT1258" s="34">
        <v>5130</v>
      </c>
      <c r="AU1258" s="34">
        <f>135+101+406+188+87+57+119</f>
        <v>1093</v>
      </c>
      <c r="AV1258" s="34">
        <v>0</v>
      </c>
      <c r="AW1258" s="34">
        <v>940</v>
      </c>
      <c r="AX1258" s="34">
        <v>0</v>
      </c>
      <c r="AY1258" s="34">
        <v>0</v>
      </c>
      <c r="AZ1258" s="34">
        <v>0</v>
      </c>
      <c r="BA1258" s="34">
        <v>0</v>
      </c>
      <c r="BB1258" s="34">
        <v>0</v>
      </c>
      <c r="BC1258" s="34">
        <v>0</v>
      </c>
      <c r="BD1258" s="34">
        <v>0</v>
      </c>
      <c r="BE1258" s="34">
        <v>0</v>
      </c>
      <c r="BF1258" s="34">
        <v>0</v>
      </c>
      <c r="BG1258" s="34">
        <v>0</v>
      </c>
      <c r="BH1258" s="18">
        <v>255</v>
      </c>
      <c r="BI1258" s="18">
        <v>0</v>
      </c>
      <c r="BJ1258" s="113">
        <v>0</v>
      </c>
      <c r="BK1258" s="113">
        <v>0</v>
      </c>
      <c r="BL1258" s="113">
        <v>0</v>
      </c>
      <c r="BM1258" s="113">
        <v>0</v>
      </c>
      <c r="BN1258" s="113">
        <v>0</v>
      </c>
      <c r="BO1258" s="113">
        <v>0</v>
      </c>
      <c r="BP1258" s="113">
        <v>0</v>
      </c>
      <c r="BQ1258" s="113">
        <v>0</v>
      </c>
      <c r="BR1258" s="101"/>
      <c r="BS1258">
        <f t="shared" ref="BS1258:CB1259" si="2682">IF($C1258&lt;&gt;"",IF(D1258&gt;0,1,0),0)</f>
        <v>0</v>
      </c>
      <c r="BT1258">
        <f t="shared" si="2682"/>
        <v>0</v>
      </c>
      <c r="BU1258">
        <f t="shared" si="2682"/>
        <v>0</v>
      </c>
      <c r="BV1258">
        <f t="shared" si="2682"/>
        <v>0</v>
      </c>
      <c r="BW1258">
        <f t="shared" si="2682"/>
        <v>0</v>
      </c>
      <c r="BX1258">
        <f t="shared" si="2682"/>
        <v>0</v>
      </c>
      <c r="BY1258">
        <f t="shared" si="2682"/>
        <v>0</v>
      </c>
      <c r="BZ1258">
        <f t="shared" si="2682"/>
        <v>0</v>
      </c>
      <c r="CA1258">
        <f t="shared" si="2682"/>
        <v>0</v>
      </c>
      <c r="CB1258">
        <f t="shared" si="2682"/>
        <v>0</v>
      </c>
      <c r="CC1258">
        <f t="shared" ref="CC1258:CL1259" si="2683">IF($C1258&lt;&gt;"",IF(N1258&gt;0,1,0),0)</f>
        <v>0</v>
      </c>
      <c r="CD1258">
        <f t="shared" si="2683"/>
        <v>0</v>
      </c>
      <c r="CE1258">
        <f t="shared" si="2683"/>
        <v>0</v>
      </c>
      <c r="CF1258">
        <f t="shared" si="2683"/>
        <v>0</v>
      </c>
      <c r="CG1258">
        <f t="shared" si="2683"/>
        <v>0</v>
      </c>
      <c r="CH1258">
        <f t="shared" si="2683"/>
        <v>0</v>
      </c>
      <c r="CI1258">
        <f t="shared" si="2683"/>
        <v>0</v>
      </c>
      <c r="CJ1258">
        <f t="shared" si="2683"/>
        <v>0</v>
      </c>
      <c r="CK1258">
        <f t="shared" si="2683"/>
        <v>0</v>
      </c>
      <c r="CL1258">
        <f t="shared" si="2683"/>
        <v>0</v>
      </c>
      <c r="CM1258">
        <f t="shared" ref="CM1258:CV1259" si="2684">IF($C1258&lt;&gt;"",IF(X1258&gt;0,1,0),0)</f>
        <v>0</v>
      </c>
      <c r="CN1258">
        <f t="shared" si="2684"/>
        <v>0</v>
      </c>
      <c r="CO1258">
        <f t="shared" si="2684"/>
        <v>0</v>
      </c>
      <c r="CP1258">
        <f t="shared" si="2684"/>
        <v>0</v>
      </c>
      <c r="CQ1258">
        <f t="shared" si="2684"/>
        <v>0</v>
      </c>
      <c r="CR1258">
        <f t="shared" si="2684"/>
        <v>0</v>
      </c>
      <c r="CS1258">
        <f t="shared" si="2684"/>
        <v>0</v>
      </c>
      <c r="CT1258">
        <f t="shared" si="2684"/>
        <v>0</v>
      </c>
      <c r="CU1258">
        <f t="shared" si="2684"/>
        <v>0</v>
      </c>
      <c r="CV1258">
        <f t="shared" si="2684"/>
        <v>0</v>
      </c>
      <c r="CW1258">
        <f t="shared" ref="CW1258:DD1259" si="2685">IF($C1258&lt;&gt;"",IF(AH1258&gt;0,1,0),0)</f>
        <v>0</v>
      </c>
      <c r="CX1258">
        <f t="shared" si="2685"/>
        <v>0</v>
      </c>
      <c r="CY1258">
        <f t="shared" si="2685"/>
        <v>0</v>
      </c>
      <c r="CZ1258">
        <f t="shared" si="2685"/>
        <v>0</v>
      </c>
      <c r="DA1258">
        <f t="shared" si="2685"/>
        <v>0</v>
      </c>
      <c r="DB1258">
        <f t="shared" si="2685"/>
        <v>0</v>
      </c>
      <c r="DC1258">
        <f t="shared" si="2685"/>
        <v>0</v>
      </c>
      <c r="DD1258">
        <f t="shared" si="2685"/>
        <v>0</v>
      </c>
      <c r="DE1258">
        <f>IF($C1258&lt;&gt;"",IF(AP1259&gt;0,1,0),0)</f>
        <v>0</v>
      </c>
      <c r="DF1258">
        <f t="shared" ref="DF1258:DO1259" si="2686">IF($C1258&lt;&gt;"",IF(AQ1258&gt;0,1,0),0)</f>
        <v>0</v>
      </c>
      <c r="DG1258">
        <f t="shared" si="2686"/>
        <v>0</v>
      </c>
      <c r="DH1258">
        <f t="shared" si="2686"/>
        <v>0</v>
      </c>
      <c r="DI1258">
        <f t="shared" si="2686"/>
        <v>0</v>
      </c>
      <c r="DJ1258">
        <f t="shared" si="2686"/>
        <v>0</v>
      </c>
      <c r="DK1258">
        <f t="shared" si="2686"/>
        <v>0</v>
      </c>
      <c r="DL1258">
        <f t="shared" si="2686"/>
        <v>0</v>
      </c>
      <c r="DM1258">
        <f t="shared" si="2686"/>
        <v>0</v>
      </c>
      <c r="DN1258">
        <f t="shared" si="2686"/>
        <v>0</v>
      </c>
      <c r="DO1258">
        <f t="shared" si="2686"/>
        <v>0</v>
      </c>
      <c r="DP1258">
        <f t="shared" ref="DP1258:DY1259" si="2687">IF($C1258&lt;&gt;"",IF(BA1258&gt;0,1,0),0)</f>
        <v>0</v>
      </c>
      <c r="DQ1258">
        <f t="shared" si="2687"/>
        <v>0</v>
      </c>
      <c r="DR1258">
        <f t="shared" si="2687"/>
        <v>0</v>
      </c>
      <c r="DS1258">
        <f t="shared" si="2687"/>
        <v>0</v>
      </c>
      <c r="DT1258">
        <f t="shared" si="2687"/>
        <v>0</v>
      </c>
      <c r="DU1258">
        <f t="shared" si="2687"/>
        <v>0</v>
      </c>
      <c r="DV1258">
        <f t="shared" si="2687"/>
        <v>0</v>
      </c>
      <c r="DW1258">
        <f t="shared" si="2687"/>
        <v>0</v>
      </c>
      <c r="DX1258">
        <f t="shared" si="2687"/>
        <v>0</v>
      </c>
      <c r="DY1258">
        <f t="shared" si="2687"/>
        <v>0</v>
      </c>
      <c r="DZ1258">
        <f>IF($C1258&lt;&gt;"",IF(BK1258&gt;0,1,0),0)</f>
        <v>0</v>
      </c>
      <c r="EA1258">
        <f t="shared" si="2680"/>
        <v>0</v>
      </c>
      <c r="EB1258">
        <f t="shared" si="2681"/>
        <v>0</v>
      </c>
      <c r="EC1258">
        <f t="shared" si="2680"/>
        <v>0</v>
      </c>
      <c r="ED1258">
        <f t="shared" si="2680"/>
        <v>0</v>
      </c>
      <c r="EE1258">
        <f t="shared" si="2680"/>
        <v>0</v>
      </c>
      <c r="EF1258">
        <f t="shared" si="2680"/>
        <v>0</v>
      </c>
    </row>
    <row r="1259" spans="1:136" ht="15.5">
      <c r="A1259" s="90"/>
      <c r="B1259" s="57" t="s">
        <v>212</v>
      </c>
      <c r="C1259" s="95"/>
      <c r="D1259" s="18"/>
      <c r="E1259" s="18"/>
      <c r="F1259" s="18"/>
      <c r="G1259" s="18"/>
      <c r="H1259" s="18"/>
      <c r="I1259" s="18"/>
      <c r="J1259" s="18"/>
      <c r="K1259" s="18"/>
      <c r="L1259" s="18"/>
      <c r="M1259" s="18"/>
      <c r="N1259" s="18"/>
      <c r="O1259" s="18"/>
      <c r="P1259" s="18"/>
      <c r="Q1259" s="18"/>
      <c r="R1259" s="18"/>
      <c r="S1259" s="18"/>
      <c r="T1259" s="18"/>
      <c r="U1259" s="18"/>
      <c r="V1259" s="60"/>
      <c r="W1259" s="18"/>
      <c r="X1259" s="40" t="s">
        <v>16</v>
      </c>
      <c r="Y1259" s="18">
        <f>700/4.295</f>
        <v>162.98020954598371</v>
      </c>
      <c r="Z1259" s="18"/>
      <c r="AA1259" s="18"/>
      <c r="AB1259" s="18"/>
      <c r="AC1259" s="18"/>
      <c r="AD1259" s="18"/>
      <c r="AE1259" s="18"/>
      <c r="AF1259" s="18"/>
      <c r="AG1259" s="18"/>
      <c r="AH1259" s="18">
        <v>0</v>
      </c>
      <c r="AI1259" s="18">
        <v>0</v>
      </c>
      <c r="AJ1259" s="18">
        <v>0</v>
      </c>
      <c r="AK1259" s="18">
        <v>990</v>
      </c>
      <c r="AL1259" s="18">
        <v>0</v>
      </c>
      <c r="AM1259" s="18">
        <f>68+AM1258</f>
        <v>1008</v>
      </c>
      <c r="AN1259" s="18">
        <v>135</v>
      </c>
      <c r="AO1259" s="18">
        <v>203</v>
      </c>
      <c r="AP1259" s="34">
        <v>270</v>
      </c>
      <c r="AQ1259" s="18">
        <v>0</v>
      </c>
      <c r="AR1259" s="18">
        <v>0</v>
      </c>
      <c r="AS1259" s="18">
        <v>0</v>
      </c>
      <c r="AT1259" s="18">
        <v>0</v>
      </c>
      <c r="AU1259" s="18">
        <v>0</v>
      </c>
      <c r="AV1259" s="18">
        <v>0</v>
      </c>
      <c r="AW1259" s="18"/>
      <c r="AX1259" s="18"/>
      <c r="AY1259" s="18"/>
      <c r="AZ1259" s="18"/>
      <c r="BA1259" s="18"/>
      <c r="BB1259" s="18"/>
      <c r="BC1259" s="18"/>
      <c r="BD1259" s="18"/>
      <c r="BE1259" s="25"/>
      <c r="BF1259" s="18"/>
      <c r="BG1259" s="22"/>
      <c r="BH1259" s="113">
        <v>255</v>
      </c>
      <c r="BI1259" s="40" t="s">
        <v>16</v>
      </c>
      <c r="BJ1259" s="40" t="s">
        <v>16</v>
      </c>
      <c r="BK1259" s="40" t="s">
        <v>16</v>
      </c>
      <c r="BL1259" s="40" t="s">
        <v>16</v>
      </c>
      <c r="BM1259" s="40" t="s">
        <v>16</v>
      </c>
      <c r="BN1259" s="40" t="s">
        <v>16</v>
      </c>
      <c r="BO1259" s="40" t="s">
        <v>16</v>
      </c>
      <c r="BP1259" s="40" t="s">
        <v>16</v>
      </c>
      <c r="BQ1259" s="40" t="s">
        <v>16</v>
      </c>
      <c r="BR1259" s="101"/>
      <c r="BS1259">
        <f t="shared" si="2682"/>
        <v>0</v>
      </c>
      <c r="BT1259">
        <f t="shared" si="2682"/>
        <v>0</v>
      </c>
      <c r="BU1259">
        <f t="shared" si="2682"/>
        <v>0</v>
      </c>
      <c r="BV1259">
        <f t="shared" si="2682"/>
        <v>0</v>
      </c>
      <c r="BW1259">
        <f t="shared" si="2682"/>
        <v>0</v>
      </c>
      <c r="BX1259">
        <f t="shared" si="2682"/>
        <v>0</v>
      </c>
      <c r="BY1259">
        <f t="shared" si="2682"/>
        <v>0</v>
      </c>
      <c r="BZ1259">
        <f t="shared" si="2682"/>
        <v>0</v>
      </c>
      <c r="CA1259">
        <f t="shared" si="2682"/>
        <v>0</v>
      </c>
      <c r="CB1259">
        <f t="shared" si="2682"/>
        <v>0</v>
      </c>
      <c r="CC1259">
        <f t="shared" si="2683"/>
        <v>0</v>
      </c>
      <c r="CD1259">
        <f t="shared" si="2683"/>
        <v>0</v>
      </c>
      <c r="CE1259">
        <f t="shared" si="2683"/>
        <v>0</v>
      </c>
      <c r="CF1259">
        <f t="shared" si="2683"/>
        <v>0</v>
      </c>
      <c r="CG1259">
        <f t="shared" si="2683"/>
        <v>0</v>
      </c>
      <c r="CH1259">
        <f t="shared" si="2683"/>
        <v>0</v>
      </c>
      <c r="CI1259">
        <f t="shared" si="2683"/>
        <v>0</v>
      </c>
      <c r="CJ1259">
        <f t="shared" si="2683"/>
        <v>0</v>
      </c>
      <c r="CK1259">
        <f t="shared" si="2683"/>
        <v>0</v>
      </c>
      <c r="CL1259">
        <f t="shared" si="2683"/>
        <v>0</v>
      </c>
      <c r="CM1259">
        <f t="shared" si="2684"/>
        <v>0</v>
      </c>
      <c r="CN1259">
        <f t="shared" si="2684"/>
        <v>0</v>
      </c>
      <c r="CO1259">
        <f t="shared" si="2684"/>
        <v>0</v>
      </c>
      <c r="CP1259">
        <f t="shared" si="2684"/>
        <v>0</v>
      </c>
      <c r="CQ1259">
        <f t="shared" si="2684"/>
        <v>0</v>
      </c>
      <c r="CR1259">
        <f t="shared" si="2684"/>
        <v>0</v>
      </c>
      <c r="CS1259">
        <f t="shared" si="2684"/>
        <v>0</v>
      </c>
      <c r="CT1259">
        <f t="shared" si="2684"/>
        <v>0</v>
      </c>
      <c r="CU1259">
        <f t="shared" si="2684"/>
        <v>0</v>
      </c>
      <c r="CV1259">
        <f t="shared" si="2684"/>
        <v>0</v>
      </c>
      <c r="CW1259">
        <f t="shared" si="2685"/>
        <v>0</v>
      </c>
      <c r="CX1259">
        <f t="shared" si="2685"/>
        <v>0</v>
      </c>
      <c r="CY1259">
        <f t="shared" si="2685"/>
        <v>0</v>
      </c>
      <c r="CZ1259">
        <f t="shared" si="2685"/>
        <v>0</v>
      </c>
      <c r="DA1259">
        <f t="shared" si="2685"/>
        <v>0</v>
      </c>
      <c r="DB1259">
        <f t="shared" si="2685"/>
        <v>0</v>
      </c>
      <c r="DC1259">
        <f t="shared" si="2685"/>
        <v>0</v>
      </c>
      <c r="DD1259">
        <f t="shared" si="2685"/>
        <v>0</v>
      </c>
      <c r="DE1259">
        <f>IF($C1259&lt;&gt;"",IF(#REF!&gt;0,1,0),0)</f>
        <v>0</v>
      </c>
      <c r="DF1259">
        <f t="shared" si="2686"/>
        <v>0</v>
      </c>
      <c r="DG1259">
        <f t="shared" si="2686"/>
        <v>0</v>
      </c>
      <c r="DH1259">
        <f t="shared" si="2686"/>
        <v>0</v>
      </c>
      <c r="DI1259">
        <f t="shared" si="2686"/>
        <v>0</v>
      </c>
      <c r="DJ1259">
        <f t="shared" si="2686"/>
        <v>0</v>
      </c>
      <c r="DK1259">
        <f t="shared" si="2686"/>
        <v>0</v>
      </c>
      <c r="DL1259">
        <f t="shared" si="2686"/>
        <v>0</v>
      </c>
      <c r="DM1259">
        <f t="shared" si="2686"/>
        <v>0</v>
      </c>
      <c r="DN1259">
        <f t="shared" si="2686"/>
        <v>0</v>
      </c>
      <c r="DO1259">
        <f t="shared" si="2686"/>
        <v>0</v>
      </c>
      <c r="DP1259">
        <f t="shared" si="2687"/>
        <v>0</v>
      </c>
      <c r="DQ1259">
        <f t="shared" si="2687"/>
        <v>0</v>
      </c>
      <c r="DR1259">
        <f t="shared" si="2687"/>
        <v>0</v>
      </c>
      <c r="DS1259">
        <f t="shared" si="2687"/>
        <v>0</v>
      </c>
      <c r="DT1259">
        <f t="shared" si="2687"/>
        <v>0</v>
      </c>
      <c r="DU1259">
        <f t="shared" si="2687"/>
        <v>0</v>
      </c>
      <c r="DV1259">
        <f t="shared" si="2687"/>
        <v>0</v>
      </c>
      <c r="DW1259">
        <f t="shared" si="2687"/>
        <v>0</v>
      </c>
      <c r="DX1259">
        <f t="shared" si="2687"/>
        <v>0</v>
      </c>
      <c r="DY1259">
        <f t="shared" si="2687"/>
        <v>0</v>
      </c>
      <c r="DZ1259">
        <f>IF($C1259&lt;&gt;"",IF(BK1259&gt;0,1,0),0)</f>
        <v>0</v>
      </c>
      <c r="EA1259">
        <f t="shared" ref="EA1259:EF1259" si="2688">IF($C1259&lt;&gt;"",IF(BL1259&gt;0,1,0),0)</f>
        <v>0</v>
      </c>
      <c r="EB1259">
        <f t="shared" si="2688"/>
        <v>0</v>
      </c>
      <c r="EC1259">
        <f t="shared" si="2688"/>
        <v>0</v>
      </c>
      <c r="ED1259">
        <f t="shared" si="2688"/>
        <v>0</v>
      </c>
      <c r="EE1259">
        <f t="shared" si="2688"/>
        <v>0</v>
      </c>
      <c r="EF1259">
        <f t="shared" si="2688"/>
        <v>0</v>
      </c>
    </row>
    <row r="1260" spans="1:136" ht="15.5">
      <c r="A1260" s="90"/>
      <c r="B1260" s="57"/>
      <c r="C1260" s="95"/>
      <c r="D1260" s="18"/>
      <c r="E1260" s="18"/>
      <c r="F1260" s="18"/>
      <c r="G1260" s="18"/>
      <c r="H1260" s="18"/>
      <c r="I1260" s="18"/>
      <c r="J1260" s="18"/>
      <c r="K1260" s="18"/>
      <c r="L1260" s="18"/>
      <c r="M1260" s="18"/>
      <c r="N1260" s="18"/>
      <c r="O1260" s="18"/>
      <c r="P1260" s="18"/>
      <c r="Q1260" s="18"/>
      <c r="R1260" s="18"/>
      <c r="S1260" s="18"/>
      <c r="T1260" s="18"/>
      <c r="U1260" s="18"/>
      <c r="V1260" s="60"/>
      <c r="W1260" s="18"/>
      <c r="X1260" s="18"/>
      <c r="Y1260" s="18"/>
      <c r="Z1260" s="18"/>
      <c r="AA1260" s="18"/>
      <c r="AB1260" s="18"/>
      <c r="AC1260" s="18"/>
      <c r="AD1260" s="18"/>
      <c r="AE1260" s="18"/>
      <c r="AF1260" s="18"/>
      <c r="AG1260" s="18"/>
      <c r="AH1260" s="18"/>
      <c r="AI1260" s="18"/>
      <c r="AJ1260" s="18"/>
      <c r="AK1260" s="18"/>
      <c r="AL1260" s="18"/>
      <c r="AM1260" s="18"/>
      <c r="AN1260" s="18"/>
      <c r="AO1260" s="18"/>
      <c r="AP1260" s="18"/>
      <c r="AQ1260" s="18"/>
      <c r="AR1260" s="18"/>
      <c r="AS1260" s="18"/>
      <c r="AT1260" s="18"/>
      <c r="AU1260" s="18"/>
      <c r="AV1260" s="18"/>
      <c r="AW1260" s="18"/>
      <c r="AX1260" s="18"/>
      <c r="AY1260" s="18"/>
      <c r="AZ1260" s="18"/>
      <c r="BA1260" s="18"/>
      <c r="BB1260" s="18"/>
      <c r="BC1260" s="18"/>
      <c r="BD1260" s="18"/>
      <c r="BE1260" s="25"/>
      <c r="BF1260" s="18"/>
      <c r="BG1260" s="22"/>
      <c r="BH1260" s="2"/>
      <c r="BI1260" s="22"/>
      <c r="BJ1260" s="22"/>
      <c r="BK1260" s="22"/>
      <c r="BL1260" s="9"/>
      <c r="BM1260" s="2"/>
      <c r="BN1260" s="2"/>
      <c r="BO1260" s="2"/>
      <c r="BP1260" s="2"/>
      <c r="BQ1260" s="2"/>
      <c r="BR1260" s="101"/>
    </row>
    <row r="1261" spans="1:136" ht="15.5">
      <c r="A1261" s="93">
        <v>161</v>
      </c>
      <c r="B1261" s="52" t="s">
        <v>157</v>
      </c>
      <c r="C1261" s="95">
        <v>3</v>
      </c>
      <c r="D1261" s="22">
        <f t="shared" ref="D1261:AI1261" si="2689">SUM(D1262:D1268)</f>
        <v>0</v>
      </c>
      <c r="E1261" s="22">
        <f t="shared" si="2689"/>
        <v>0</v>
      </c>
      <c r="F1261" s="22">
        <f t="shared" si="2689"/>
        <v>0</v>
      </c>
      <c r="G1261" s="22">
        <f t="shared" si="2689"/>
        <v>0</v>
      </c>
      <c r="H1261" s="22">
        <f t="shared" si="2689"/>
        <v>0</v>
      </c>
      <c r="I1261" s="22">
        <f t="shared" si="2689"/>
        <v>0</v>
      </c>
      <c r="J1261" s="22">
        <f t="shared" si="2689"/>
        <v>0</v>
      </c>
      <c r="K1261" s="22">
        <f t="shared" si="2689"/>
        <v>0</v>
      </c>
      <c r="L1261" s="22">
        <f t="shared" si="2689"/>
        <v>0</v>
      </c>
      <c r="M1261" s="22">
        <f t="shared" si="2689"/>
        <v>0</v>
      </c>
      <c r="N1261" s="22">
        <f t="shared" si="2689"/>
        <v>0</v>
      </c>
      <c r="O1261" s="22">
        <f t="shared" si="2689"/>
        <v>0</v>
      </c>
      <c r="P1261" s="22">
        <f t="shared" si="2689"/>
        <v>0</v>
      </c>
      <c r="Q1261" s="22">
        <f t="shared" si="2689"/>
        <v>0</v>
      </c>
      <c r="R1261" s="22">
        <f t="shared" si="2689"/>
        <v>0</v>
      </c>
      <c r="S1261" s="22">
        <f t="shared" si="2689"/>
        <v>516</v>
      </c>
      <c r="T1261" s="22">
        <f t="shared" si="2689"/>
        <v>0</v>
      </c>
      <c r="U1261" s="22">
        <f t="shared" si="2689"/>
        <v>0</v>
      </c>
      <c r="V1261" s="22">
        <f t="shared" si="2689"/>
        <v>467</v>
      </c>
      <c r="W1261" s="22">
        <f t="shared" si="2689"/>
        <v>0</v>
      </c>
      <c r="X1261" s="22">
        <f t="shared" si="2689"/>
        <v>33</v>
      </c>
      <c r="Y1261" s="22">
        <f t="shared" si="2689"/>
        <v>1389</v>
      </c>
      <c r="Z1261" s="22">
        <f t="shared" si="2689"/>
        <v>1406.8</v>
      </c>
      <c r="AA1261" s="22">
        <f t="shared" si="2689"/>
        <v>1604</v>
      </c>
      <c r="AB1261" s="22">
        <f t="shared" si="2689"/>
        <v>1593.1080252569363</v>
      </c>
      <c r="AC1261" s="22">
        <f t="shared" si="2689"/>
        <v>2720.3288522699695</v>
      </c>
      <c r="AD1261" s="22">
        <f t="shared" si="2689"/>
        <v>1976.3608835952341</v>
      </c>
      <c r="AE1261" s="22">
        <f t="shared" si="2689"/>
        <v>603.8956250939475</v>
      </c>
      <c r="AF1261" s="22">
        <f t="shared" si="2689"/>
        <v>1169.4578428817617</v>
      </c>
      <c r="AG1261" s="22">
        <f t="shared" si="2689"/>
        <v>1527.1890409042389</v>
      </c>
      <c r="AH1261" s="22">
        <f t="shared" si="2689"/>
        <v>2730.070398304325</v>
      </c>
      <c r="AI1261" s="22">
        <f t="shared" si="2689"/>
        <v>4832.1888798374139</v>
      </c>
      <c r="AJ1261" s="22">
        <f t="shared" ref="AJ1261:BO1261" si="2690">SUM(AJ1262:AJ1268)</f>
        <v>7017.6637717807353</v>
      </c>
      <c r="AK1261" s="22">
        <f t="shared" si="2690"/>
        <v>7492.4633245737132</v>
      </c>
      <c r="AL1261" s="22">
        <f t="shared" si="2690"/>
        <v>9276.4808834750002</v>
      </c>
      <c r="AM1261" s="22">
        <f t="shared" si="2690"/>
        <v>11295.459585500001</v>
      </c>
      <c r="AN1261" s="22">
        <f t="shared" si="2690"/>
        <v>13255.6011344</v>
      </c>
      <c r="AO1261" s="22">
        <f t="shared" si="2690"/>
        <v>9791.9694204999996</v>
      </c>
      <c r="AP1261" s="22">
        <f t="shared" si="2690"/>
        <v>10379.449051399999</v>
      </c>
      <c r="AQ1261" s="22">
        <f t="shared" si="2690"/>
        <v>10285.0830929</v>
      </c>
      <c r="AR1261" s="22">
        <f t="shared" si="2690"/>
        <v>10219.652348400001</v>
      </c>
      <c r="AS1261" s="22">
        <f t="shared" si="2690"/>
        <v>1457.1148962000002</v>
      </c>
      <c r="AT1261" s="22">
        <f t="shared" si="2690"/>
        <v>1439.5023544000001</v>
      </c>
      <c r="AU1261" s="22">
        <f t="shared" si="2690"/>
        <v>1445.0868310999999</v>
      </c>
      <c r="AV1261" s="22">
        <f t="shared" si="2690"/>
        <v>1406.3591418999999</v>
      </c>
      <c r="AW1261" s="22">
        <f t="shared" si="2690"/>
        <v>1423.1403598000002</v>
      </c>
      <c r="AX1261" s="22">
        <f t="shared" si="2690"/>
        <v>14.329099300000001</v>
      </c>
      <c r="AY1261" s="22">
        <f t="shared" si="2690"/>
        <v>16.0850185</v>
      </c>
      <c r="AZ1261" s="22">
        <f t="shared" si="2690"/>
        <v>13.788119199999999</v>
      </c>
      <c r="BA1261" s="22">
        <f t="shared" si="2690"/>
        <v>13.597750699999999</v>
      </c>
      <c r="BB1261" s="22">
        <f t="shared" si="2690"/>
        <v>18.3721614</v>
      </c>
      <c r="BC1261" s="22">
        <f t="shared" si="2690"/>
        <v>17.271575299999999</v>
      </c>
      <c r="BD1261" s="22">
        <f t="shared" si="2690"/>
        <v>12.9785389</v>
      </c>
      <c r="BE1261" s="22">
        <f t="shared" si="2690"/>
        <v>11.1732174</v>
      </c>
      <c r="BF1261" s="22">
        <f t="shared" si="2690"/>
        <v>33.466742100000005</v>
      </c>
      <c r="BG1261" s="22">
        <f t="shared" si="2690"/>
        <v>36.464256800000001</v>
      </c>
      <c r="BH1261" s="22">
        <f t="shared" si="2690"/>
        <v>50.036088799999995</v>
      </c>
      <c r="BI1261" s="22">
        <f t="shared" si="2690"/>
        <v>54.754995700000002</v>
      </c>
      <c r="BJ1261" s="9">
        <f t="shared" si="2690"/>
        <v>56.657818800000001</v>
      </c>
      <c r="BK1261" s="9">
        <f t="shared" si="2690"/>
        <v>59.6497058</v>
      </c>
      <c r="BL1261" s="9">
        <f t="shared" si="2690"/>
        <v>63.582558899999995</v>
      </c>
      <c r="BM1261" s="9">
        <f t="shared" si="2690"/>
        <v>63.744028300000004</v>
      </c>
      <c r="BN1261" s="9">
        <f t="shared" si="2690"/>
        <v>61.743167999999997</v>
      </c>
      <c r="BO1261" s="9">
        <f t="shared" si="2690"/>
        <v>66.033131699999998</v>
      </c>
      <c r="BP1261" s="9">
        <f>SUM(BP1262:BP1268)</f>
        <v>698</v>
      </c>
      <c r="BQ1261" s="9">
        <f>SUM(BQ1262:BQ1268)</f>
        <v>36</v>
      </c>
      <c r="BR1261" s="101"/>
      <c r="BS1261">
        <f t="shared" ref="BS1261:CX1261" si="2691">IF($C1261&lt;&gt;"",IF(D1261&gt;0,1,0),0)</f>
        <v>0</v>
      </c>
      <c r="BT1261">
        <f t="shared" si="2691"/>
        <v>0</v>
      </c>
      <c r="BU1261">
        <f t="shared" si="2691"/>
        <v>0</v>
      </c>
      <c r="BV1261">
        <f t="shared" si="2691"/>
        <v>0</v>
      </c>
      <c r="BW1261">
        <f t="shared" si="2691"/>
        <v>0</v>
      </c>
      <c r="BX1261">
        <f t="shared" si="2691"/>
        <v>0</v>
      </c>
      <c r="BY1261">
        <f t="shared" si="2691"/>
        <v>0</v>
      </c>
      <c r="BZ1261">
        <f t="shared" si="2691"/>
        <v>0</v>
      </c>
      <c r="CA1261">
        <f t="shared" si="2691"/>
        <v>0</v>
      </c>
      <c r="CB1261">
        <f t="shared" si="2691"/>
        <v>0</v>
      </c>
      <c r="CC1261">
        <f t="shared" si="2691"/>
        <v>0</v>
      </c>
      <c r="CD1261">
        <f t="shared" si="2691"/>
        <v>0</v>
      </c>
      <c r="CE1261">
        <f t="shared" si="2691"/>
        <v>0</v>
      </c>
      <c r="CF1261">
        <f t="shared" si="2691"/>
        <v>0</v>
      </c>
      <c r="CG1261">
        <f t="shared" si="2691"/>
        <v>0</v>
      </c>
      <c r="CH1261">
        <f t="shared" si="2691"/>
        <v>1</v>
      </c>
      <c r="CI1261">
        <f t="shared" si="2691"/>
        <v>0</v>
      </c>
      <c r="CJ1261">
        <f t="shared" si="2691"/>
        <v>0</v>
      </c>
      <c r="CK1261">
        <f t="shared" si="2691"/>
        <v>1</v>
      </c>
      <c r="CL1261">
        <f t="shared" si="2691"/>
        <v>0</v>
      </c>
      <c r="CM1261">
        <f t="shared" si="2691"/>
        <v>1</v>
      </c>
      <c r="CN1261">
        <f t="shared" si="2691"/>
        <v>1</v>
      </c>
      <c r="CO1261">
        <f t="shared" si="2691"/>
        <v>1</v>
      </c>
      <c r="CP1261">
        <f t="shared" si="2691"/>
        <v>1</v>
      </c>
      <c r="CQ1261">
        <f t="shared" si="2691"/>
        <v>1</v>
      </c>
      <c r="CR1261">
        <f t="shared" si="2691"/>
        <v>1</v>
      </c>
      <c r="CS1261">
        <f t="shared" si="2691"/>
        <v>1</v>
      </c>
      <c r="CT1261">
        <f t="shared" si="2691"/>
        <v>1</v>
      </c>
      <c r="CU1261">
        <f t="shared" si="2691"/>
        <v>1</v>
      </c>
      <c r="CV1261">
        <f t="shared" si="2691"/>
        <v>1</v>
      </c>
      <c r="CW1261">
        <f t="shared" si="2691"/>
        <v>1</v>
      </c>
      <c r="CX1261">
        <f t="shared" si="2691"/>
        <v>1</v>
      </c>
      <c r="CY1261">
        <f t="shared" ref="CY1261:EF1261" si="2692">IF($C1261&lt;&gt;"",IF(AJ1261&gt;0,1,0),0)</f>
        <v>1</v>
      </c>
      <c r="CZ1261">
        <f t="shared" si="2692"/>
        <v>1</v>
      </c>
      <c r="DA1261">
        <f t="shared" si="2692"/>
        <v>1</v>
      </c>
      <c r="DB1261">
        <f t="shared" si="2692"/>
        <v>1</v>
      </c>
      <c r="DC1261">
        <f t="shared" si="2692"/>
        <v>1</v>
      </c>
      <c r="DD1261">
        <f t="shared" si="2692"/>
        <v>1</v>
      </c>
      <c r="DE1261">
        <f t="shared" si="2692"/>
        <v>1</v>
      </c>
      <c r="DF1261">
        <f t="shared" si="2692"/>
        <v>1</v>
      </c>
      <c r="DG1261">
        <f t="shared" si="2692"/>
        <v>1</v>
      </c>
      <c r="DH1261">
        <f t="shared" si="2692"/>
        <v>1</v>
      </c>
      <c r="DI1261">
        <f t="shared" si="2692"/>
        <v>1</v>
      </c>
      <c r="DJ1261">
        <f t="shared" si="2692"/>
        <v>1</v>
      </c>
      <c r="DK1261">
        <f t="shared" si="2692"/>
        <v>1</v>
      </c>
      <c r="DL1261">
        <f t="shared" si="2692"/>
        <v>1</v>
      </c>
      <c r="DM1261">
        <f t="shared" si="2692"/>
        <v>1</v>
      </c>
      <c r="DN1261">
        <f t="shared" si="2692"/>
        <v>1</v>
      </c>
      <c r="DO1261">
        <f t="shared" si="2692"/>
        <v>1</v>
      </c>
      <c r="DP1261">
        <f t="shared" si="2692"/>
        <v>1</v>
      </c>
      <c r="DQ1261">
        <f t="shared" si="2692"/>
        <v>1</v>
      </c>
      <c r="DR1261">
        <f t="shared" si="2692"/>
        <v>1</v>
      </c>
      <c r="DS1261">
        <f t="shared" si="2692"/>
        <v>1</v>
      </c>
      <c r="DT1261">
        <f t="shared" si="2692"/>
        <v>1</v>
      </c>
      <c r="DU1261">
        <f t="shared" si="2692"/>
        <v>1</v>
      </c>
      <c r="DV1261">
        <f t="shared" si="2692"/>
        <v>1</v>
      </c>
      <c r="DW1261">
        <f t="shared" si="2692"/>
        <v>1</v>
      </c>
      <c r="DX1261">
        <f t="shared" si="2692"/>
        <v>1</v>
      </c>
      <c r="DY1261">
        <f t="shared" si="2692"/>
        <v>1</v>
      </c>
      <c r="DZ1261">
        <f t="shared" si="2692"/>
        <v>1</v>
      </c>
      <c r="EA1261">
        <f t="shared" si="2692"/>
        <v>1</v>
      </c>
      <c r="EB1261">
        <f>IF($C1261&lt;&gt;"",IF(BM1261&gt;0,1,0),0)</f>
        <v>1</v>
      </c>
      <c r="EC1261">
        <f t="shared" si="2692"/>
        <v>1</v>
      </c>
      <c r="ED1261">
        <f t="shared" si="2692"/>
        <v>1</v>
      </c>
      <c r="EE1261">
        <f t="shared" si="2692"/>
        <v>1</v>
      </c>
      <c r="EF1261">
        <f t="shared" si="2692"/>
        <v>1</v>
      </c>
    </row>
    <row r="1262" spans="1:136" ht="15.5">
      <c r="A1262" s="90"/>
      <c r="B1262" s="24" t="s">
        <v>15</v>
      </c>
      <c r="C1262" s="95"/>
      <c r="D1262" s="58">
        <v>0</v>
      </c>
      <c r="E1262" s="58">
        <v>0</v>
      </c>
      <c r="F1262" s="58">
        <v>0</v>
      </c>
      <c r="G1262" s="58">
        <v>0</v>
      </c>
      <c r="H1262" s="58">
        <v>0</v>
      </c>
      <c r="I1262" s="58">
        <v>0</v>
      </c>
      <c r="J1262" s="58">
        <v>0</v>
      </c>
      <c r="K1262" s="58">
        <v>0</v>
      </c>
      <c r="L1262" s="58">
        <v>0</v>
      </c>
      <c r="M1262" s="58">
        <v>0</v>
      </c>
      <c r="N1262" s="58">
        <v>0</v>
      </c>
      <c r="O1262" s="58">
        <v>0</v>
      </c>
      <c r="P1262" s="58">
        <v>0</v>
      </c>
      <c r="Q1262" s="58">
        <v>0</v>
      </c>
      <c r="R1262" s="58">
        <v>0</v>
      </c>
      <c r="S1262" s="58">
        <v>0</v>
      </c>
      <c r="T1262" s="82">
        <v>0</v>
      </c>
      <c r="U1262" s="59">
        <v>0</v>
      </c>
      <c r="V1262" s="59">
        <v>0</v>
      </c>
      <c r="W1262" s="58">
        <v>0</v>
      </c>
      <c r="X1262" s="58">
        <v>33</v>
      </c>
      <c r="Y1262" s="58">
        <v>25</v>
      </c>
      <c r="Z1262" s="58">
        <v>2.8</v>
      </c>
      <c r="AA1262" s="58">
        <v>30</v>
      </c>
      <c r="AB1262" s="58">
        <v>97.108025256936372</v>
      </c>
      <c r="AC1262" s="58">
        <v>120.45050325941402</v>
      </c>
      <c r="AD1262" s="58">
        <v>145.64888899945285</v>
      </c>
      <c r="AE1262" s="58">
        <v>181.45136962447563</v>
      </c>
      <c r="AF1262" s="58">
        <v>185.42878783164181</v>
      </c>
      <c r="AG1262" s="58">
        <v>186.4856482866939</v>
      </c>
      <c r="AH1262" s="58">
        <v>214.33121209896885</v>
      </c>
      <c r="AI1262" s="58">
        <v>224.40065493182911</v>
      </c>
      <c r="AJ1262" s="58">
        <v>231.84530800653113</v>
      </c>
      <c r="AK1262" s="58">
        <v>245.83691299011994</v>
      </c>
      <c r="AL1262" s="58">
        <v>0</v>
      </c>
      <c r="AM1262" s="58">
        <v>0</v>
      </c>
      <c r="AN1262" s="58">
        <v>0</v>
      </c>
      <c r="AO1262" s="58">
        <v>0</v>
      </c>
      <c r="AP1262" s="58">
        <v>0</v>
      </c>
      <c r="AQ1262" s="58">
        <v>0</v>
      </c>
      <c r="AR1262" s="58">
        <v>0</v>
      </c>
      <c r="AS1262" s="58">
        <v>0</v>
      </c>
      <c r="AT1262" s="58">
        <v>0</v>
      </c>
      <c r="AU1262" s="58">
        <v>0</v>
      </c>
      <c r="AV1262" s="58">
        <v>0</v>
      </c>
      <c r="AW1262" s="58">
        <v>0</v>
      </c>
      <c r="AX1262" s="58">
        <v>0</v>
      </c>
      <c r="AY1262" s="58">
        <v>0</v>
      </c>
      <c r="AZ1262" s="58">
        <v>0</v>
      </c>
      <c r="BA1262" s="58">
        <v>0</v>
      </c>
      <c r="BB1262" s="58">
        <v>0</v>
      </c>
      <c r="BC1262" s="58">
        <v>0</v>
      </c>
      <c r="BD1262" s="18">
        <v>0</v>
      </c>
      <c r="BE1262" s="25">
        <v>0</v>
      </c>
      <c r="BF1262" s="18">
        <v>0</v>
      </c>
      <c r="BG1262" s="18">
        <v>0</v>
      </c>
      <c r="BH1262" s="18">
        <v>0</v>
      </c>
      <c r="BI1262" s="18">
        <v>0</v>
      </c>
      <c r="BJ1262" s="113">
        <v>0</v>
      </c>
      <c r="BK1262" s="113">
        <v>0</v>
      </c>
      <c r="BL1262" s="113">
        <v>0</v>
      </c>
      <c r="BM1262" s="113">
        <v>0</v>
      </c>
      <c r="BN1262" s="113">
        <v>0</v>
      </c>
      <c r="BO1262" s="113">
        <v>0</v>
      </c>
      <c r="BP1262" s="113">
        <v>0</v>
      </c>
      <c r="BQ1262" s="113">
        <v>0</v>
      </c>
      <c r="BR1262" s="101"/>
      <c r="BS1262">
        <f t="shared" ref="BS1262:CB1267" si="2693">IF($C1262&lt;&gt;"",IF(D1262&gt;0,1,0),0)</f>
        <v>0</v>
      </c>
      <c r="BT1262">
        <f t="shared" si="2693"/>
        <v>0</v>
      </c>
      <c r="BU1262">
        <f t="shared" si="2693"/>
        <v>0</v>
      </c>
      <c r="BV1262">
        <f t="shared" si="2693"/>
        <v>0</v>
      </c>
      <c r="BW1262">
        <f t="shared" si="2693"/>
        <v>0</v>
      </c>
      <c r="BX1262">
        <f t="shared" si="2693"/>
        <v>0</v>
      </c>
      <c r="BY1262">
        <f t="shared" si="2693"/>
        <v>0</v>
      </c>
      <c r="BZ1262">
        <f t="shared" si="2693"/>
        <v>0</v>
      </c>
      <c r="CA1262">
        <f t="shared" si="2693"/>
        <v>0</v>
      </c>
      <c r="CB1262">
        <f t="shared" si="2693"/>
        <v>0</v>
      </c>
      <c r="CC1262">
        <f t="shared" ref="CC1262:CL1267" si="2694">IF($C1262&lt;&gt;"",IF(N1262&gt;0,1,0),0)</f>
        <v>0</v>
      </c>
      <c r="CD1262">
        <f t="shared" si="2694"/>
        <v>0</v>
      </c>
      <c r="CE1262">
        <f t="shared" si="2694"/>
        <v>0</v>
      </c>
      <c r="CF1262">
        <f t="shared" si="2694"/>
        <v>0</v>
      </c>
      <c r="CG1262">
        <f t="shared" si="2694"/>
        <v>0</v>
      </c>
      <c r="CH1262">
        <f t="shared" si="2694"/>
        <v>0</v>
      </c>
      <c r="CI1262">
        <f t="shared" si="2694"/>
        <v>0</v>
      </c>
      <c r="CJ1262">
        <f t="shared" si="2694"/>
        <v>0</v>
      </c>
      <c r="CK1262">
        <f t="shared" si="2694"/>
        <v>0</v>
      </c>
      <c r="CL1262">
        <f t="shared" si="2694"/>
        <v>0</v>
      </c>
      <c r="CM1262">
        <f t="shared" ref="CM1262:CV1267" si="2695">IF($C1262&lt;&gt;"",IF(X1262&gt;0,1,0),0)</f>
        <v>0</v>
      </c>
      <c r="CN1262">
        <f t="shared" si="2695"/>
        <v>0</v>
      </c>
      <c r="CO1262">
        <f t="shared" si="2695"/>
        <v>0</v>
      </c>
      <c r="CP1262">
        <f t="shared" si="2695"/>
        <v>0</v>
      </c>
      <c r="CQ1262">
        <f t="shared" si="2695"/>
        <v>0</v>
      </c>
      <c r="CR1262">
        <f t="shared" si="2695"/>
        <v>0</v>
      </c>
      <c r="CS1262">
        <f t="shared" si="2695"/>
        <v>0</v>
      </c>
      <c r="CT1262">
        <f t="shared" si="2695"/>
        <v>0</v>
      </c>
      <c r="CU1262">
        <f t="shared" si="2695"/>
        <v>0</v>
      </c>
      <c r="CV1262">
        <f t="shared" si="2695"/>
        <v>0</v>
      </c>
      <c r="CW1262">
        <f t="shared" ref="CW1262:DF1267" si="2696">IF($C1262&lt;&gt;"",IF(AH1262&gt;0,1,0),0)</f>
        <v>0</v>
      </c>
      <c r="CX1262">
        <f t="shared" si="2696"/>
        <v>0</v>
      </c>
      <c r="CY1262">
        <f t="shared" si="2696"/>
        <v>0</v>
      </c>
      <c r="CZ1262">
        <f t="shared" si="2696"/>
        <v>0</v>
      </c>
      <c r="DA1262">
        <f t="shared" si="2696"/>
        <v>0</v>
      </c>
      <c r="DB1262">
        <f t="shared" si="2696"/>
        <v>0</v>
      </c>
      <c r="DC1262">
        <f t="shared" si="2696"/>
        <v>0</v>
      </c>
      <c r="DD1262">
        <f t="shared" si="2696"/>
        <v>0</v>
      </c>
      <c r="DE1262">
        <f t="shared" si="2696"/>
        <v>0</v>
      </c>
      <c r="DF1262">
        <f t="shared" si="2696"/>
        <v>0</v>
      </c>
      <c r="DG1262">
        <f t="shared" ref="DG1262:DP1267" si="2697">IF($C1262&lt;&gt;"",IF(AR1262&gt;0,1,0),0)</f>
        <v>0</v>
      </c>
      <c r="DH1262">
        <f t="shared" si="2697"/>
        <v>0</v>
      </c>
      <c r="DI1262">
        <f t="shared" si="2697"/>
        <v>0</v>
      </c>
      <c r="DJ1262">
        <f t="shared" si="2697"/>
        <v>0</v>
      </c>
      <c r="DK1262">
        <f t="shared" si="2697"/>
        <v>0</v>
      </c>
      <c r="DL1262">
        <f t="shared" si="2697"/>
        <v>0</v>
      </c>
      <c r="DM1262">
        <f t="shared" si="2697"/>
        <v>0</v>
      </c>
      <c r="DN1262">
        <f t="shared" si="2697"/>
        <v>0</v>
      </c>
      <c r="DO1262">
        <f t="shared" si="2697"/>
        <v>0</v>
      </c>
      <c r="DP1262">
        <f t="shared" si="2697"/>
        <v>0</v>
      </c>
      <c r="DQ1262">
        <f t="shared" ref="DQ1262:DZ1267" si="2698">IF($C1262&lt;&gt;"",IF(BB1262&gt;0,1,0),0)</f>
        <v>0</v>
      </c>
      <c r="DR1262">
        <f t="shared" si="2698"/>
        <v>0</v>
      </c>
      <c r="DS1262">
        <f t="shared" si="2698"/>
        <v>0</v>
      </c>
      <c r="DT1262">
        <f t="shared" si="2698"/>
        <v>0</v>
      </c>
      <c r="DU1262">
        <f t="shared" si="2698"/>
        <v>0</v>
      </c>
      <c r="DV1262">
        <f t="shared" si="2698"/>
        <v>0</v>
      </c>
      <c r="DW1262">
        <f t="shared" si="2698"/>
        <v>0</v>
      </c>
      <c r="DX1262">
        <f t="shared" si="2698"/>
        <v>0</v>
      </c>
      <c r="DY1262">
        <f t="shared" si="2698"/>
        <v>0</v>
      </c>
      <c r="DZ1262">
        <f t="shared" si="2698"/>
        <v>0</v>
      </c>
      <c r="EA1262">
        <f t="shared" ref="EA1262:EF1267" si="2699">IF($C1262&lt;&gt;"",IF(BL1261&gt;0,1,0),0)</f>
        <v>0</v>
      </c>
      <c r="EB1262">
        <f>IF($C1262&lt;&gt;"",IF(BM1261&gt;0,1,0),0)</f>
        <v>0</v>
      </c>
      <c r="EC1262">
        <f t="shared" si="2699"/>
        <v>0</v>
      </c>
      <c r="ED1262">
        <f t="shared" si="2699"/>
        <v>0</v>
      </c>
      <c r="EE1262">
        <f t="shared" si="2699"/>
        <v>0</v>
      </c>
      <c r="EF1262">
        <f t="shared" si="2699"/>
        <v>0</v>
      </c>
    </row>
    <row r="1263" spans="1:136" ht="15.5">
      <c r="A1263" s="90"/>
      <c r="B1263" s="19" t="s">
        <v>2</v>
      </c>
      <c r="C1263" s="95"/>
      <c r="D1263" s="58">
        <v>0</v>
      </c>
      <c r="E1263" s="58">
        <v>0</v>
      </c>
      <c r="F1263" s="58">
        <v>0</v>
      </c>
      <c r="G1263" s="58">
        <v>0</v>
      </c>
      <c r="H1263" s="58">
        <v>0</v>
      </c>
      <c r="I1263" s="58">
        <v>0</v>
      </c>
      <c r="J1263" s="58">
        <v>0</v>
      </c>
      <c r="K1263" s="58">
        <v>0</v>
      </c>
      <c r="L1263" s="58">
        <v>0</v>
      </c>
      <c r="M1263" s="58">
        <v>0</v>
      </c>
      <c r="N1263" s="58">
        <v>0</v>
      </c>
      <c r="O1263" s="58">
        <v>0</v>
      </c>
      <c r="P1263" s="58">
        <v>0</v>
      </c>
      <c r="Q1263" s="58">
        <v>0</v>
      </c>
      <c r="R1263" s="58">
        <v>0</v>
      </c>
      <c r="S1263" s="118">
        <v>0</v>
      </c>
      <c r="T1263" s="104">
        <v>0</v>
      </c>
      <c r="U1263" s="104">
        <v>0</v>
      </c>
      <c r="V1263" s="104">
        <v>0</v>
      </c>
      <c r="W1263" s="104">
        <v>0</v>
      </c>
      <c r="X1263" s="104">
        <v>0</v>
      </c>
      <c r="Y1263" s="104">
        <v>0</v>
      </c>
      <c r="Z1263" s="104">
        <v>0</v>
      </c>
      <c r="AA1263" s="40" t="s">
        <v>16</v>
      </c>
      <c r="AB1263" s="40" t="s">
        <v>16</v>
      </c>
      <c r="AC1263" s="40" t="s">
        <v>16</v>
      </c>
      <c r="AD1263" s="40" t="s">
        <v>16</v>
      </c>
      <c r="AE1263" s="40" t="s">
        <v>16</v>
      </c>
      <c r="AF1263" s="58">
        <v>521</v>
      </c>
      <c r="AG1263" s="58">
        <v>512</v>
      </c>
      <c r="AH1263" s="40" t="s">
        <v>16</v>
      </c>
      <c r="AI1263" s="40" t="s">
        <v>16</v>
      </c>
      <c r="AJ1263" s="40" t="s">
        <v>16</v>
      </c>
      <c r="AK1263" s="58">
        <v>544</v>
      </c>
      <c r="AL1263" s="40" t="s">
        <v>16</v>
      </c>
      <c r="AM1263" s="40" t="s">
        <v>16</v>
      </c>
      <c r="AN1263" s="40" t="s">
        <v>16</v>
      </c>
      <c r="AO1263" s="40" t="s">
        <v>16</v>
      </c>
      <c r="AP1263" s="40" t="s">
        <v>16</v>
      </c>
      <c r="AQ1263" s="40" t="s">
        <v>16</v>
      </c>
      <c r="AR1263" s="58">
        <v>9691</v>
      </c>
      <c r="AS1263" s="58">
        <v>0</v>
      </c>
      <c r="AT1263" s="58">
        <v>0</v>
      </c>
      <c r="AU1263" s="58">
        <v>0</v>
      </c>
      <c r="AV1263" s="58">
        <v>0</v>
      </c>
      <c r="AW1263" s="58">
        <v>0</v>
      </c>
      <c r="AX1263" s="34">
        <v>0</v>
      </c>
      <c r="AY1263" s="34">
        <v>0</v>
      </c>
      <c r="AZ1263" s="34">
        <v>0</v>
      </c>
      <c r="BA1263" s="34">
        <v>0</v>
      </c>
      <c r="BB1263" s="34">
        <v>0</v>
      </c>
      <c r="BC1263" s="34">
        <v>0</v>
      </c>
      <c r="BD1263" s="34">
        <v>0</v>
      </c>
      <c r="BE1263" s="34">
        <v>0</v>
      </c>
      <c r="BF1263" s="34">
        <v>0</v>
      </c>
      <c r="BG1263" s="34">
        <v>0</v>
      </c>
      <c r="BH1263" s="34">
        <v>0</v>
      </c>
      <c r="BI1263" s="34">
        <v>0</v>
      </c>
      <c r="BJ1263" s="113">
        <v>0</v>
      </c>
      <c r="BK1263" s="113">
        <v>0</v>
      </c>
      <c r="BL1263" s="113">
        <v>0</v>
      </c>
      <c r="BM1263" s="113">
        <v>0</v>
      </c>
      <c r="BN1263" s="113">
        <v>0</v>
      </c>
      <c r="BO1263" s="113">
        <v>0</v>
      </c>
      <c r="BP1263" s="113">
        <v>0</v>
      </c>
      <c r="BQ1263" s="113">
        <v>0</v>
      </c>
      <c r="BR1263" s="101"/>
      <c r="BS1263">
        <f t="shared" si="2693"/>
        <v>0</v>
      </c>
      <c r="BT1263">
        <f t="shared" si="2693"/>
        <v>0</v>
      </c>
      <c r="BU1263">
        <f t="shared" si="2693"/>
        <v>0</v>
      </c>
      <c r="BV1263">
        <f t="shared" si="2693"/>
        <v>0</v>
      </c>
      <c r="BW1263">
        <f t="shared" si="2693"/>
        <v>0</v>
      </c>
      <c r="BX1263">
        <f t="shared" si="2693"/>
        <v>0</v>
      </c>
      <c r="BY1263">
        <f t="shared" si="2693"/>
        <v>0</v>
      </c>
      <c r="BZ1263">
        <f t="shared" si="2693"/>
        <v>0</v>
      </c>
      <c r="CA1263">
        <f t="shared" si="2693"/>
        <v>0</v>
      </c>
      <c r="CB1263">
        <f t="shared" si="2693"/>
        <v>0</v>
      </c>
      <c r="CC1263">
        <f t="shared" si="2694"/>
        <v>0</v>
      </c>
      <c r="CD1263">
        <f t="shared" si="2694"/>
        <v>0</v>
      </c>
      <c r="CE1263">
        <f t="shared" si="2694"/>
        <v>0</v>
      </c>
      <c r="CF1263">
        <f t="shared" si="2694"/>
        <v>0</v>
      </c>
      <c r="CG1263">
        <f t="shared" si="2694"/>
        <v>0</v>
      </c>
      <c r="CH1263">
        <f t="shared" si="2694"/>
        <v>0</v>
      </c>
      <c r="CI1263">
        <f t="shared" si="2694"/>
        <v>0</v>
      </c>
      <c r="CJ1263">
        <f t="shared" si="2694"/>
        <v>0</v>
      </c>
      <c r="CK1263">
        <f t="shared" si="2694"/>
        <v>0</v>
      </c>
      <c r="CL1263">
        <f t="shared" si="2694"/>
        <v>0</v>
      </c>
      <c r="CM1263">
        <f t="shared" si="2695"/>
        <v>0</v>
      </c>
      <c r="CN1263">
        <f t="shared" si="2695"/>
        <v>0</v>
      </c>
      <c r="CO1263">
        <f t="shared" si="2695"/>
        <v>0</v>
      </c>
      <c r="CP1263">
        <f t="shared" si="2695"/>
        <v>0</v>
      </c>
      <c r="CQ1263">
        <f t="shared" si="2695"/>
        <v>0</v>
      </c>
      <c r="CR1263">
        <f t="shared" si="2695"/>
        <v>0</v>
      </c>
      <c r="CS1263">
        <f t="shared" si="2695"/>
        <v>0</v>
      </c>
      <c r="CT1263">
        <f t="shared" si="2695"/>
        <v>0</v>
      </c>
      <c r="CU1263">
        <f t="shared" si="2695"/>
        <v>0</v>
      </c>
      <c r="CV1263">
        <f t="shared" si="2695"/>
        <v>0</v>
      </c>
      <c r="CW1263">
        <f t="shared" si="2696"/>
        <v>0</v>
      </c>
      <c r="CX1263">
        <f t="shared" si="2696"/>
        <v>0</v>
      </c>
      <c r="CY1263">
        <f t="shared" si="2696"/>
        <v>0</v>
      </c>
      <c r="CZ1263">
        <f t="shared" si="2696"/>
        <v>0</v>
      </c>
      <c r="DA1263">
        <f t="shared" si="2696"/>
        <v>0</v>
      </c>
      <c r="DB1263">
        <f t="shared" si="2696"/>
        <v>0</v>
      </c>
      <c r="DC1263">
        <f t="shared" si="2696"/>
        <v>0</v>
      </c>
      <c r="DD1263">
        <f t="shared" si="2696"/>
        <v>0</v>
      </c>
      <c r="DE1263">
        <f t="shared" si="2696"/>
        <v>0</v>
      </c>
      <c r="DF1263">
        <f t="shared" si="2696"/>
        <v>0</v>
      </c>
      <c r="DG1263">
        <f t="shared" si="2697"/>
        <v>0</v>
      </c>
      <c r="DH1263">
        <f t="shared" si="2697"/>
        <v>0</v>
      </c>
      <c r="DI1263">
        <f t="shared" si="2697"/>
        <v>0</v>
      </c>
      <c r="DJ1263">
        <f t="shared" si="2697"/>
        <v>0</v>
      </c>
      <c r="DK1263">
        <f t="shared" si="2697"/>
        <v>0</v>
      </c>
      <c r="DL1263">
        <f t="shared" si="2697"/>
        <v>0</v>
      </c>
      <c r="DM1263">
        <f t="shared" si="2697"/>
        <v>0</v>
      </c>
      <c r="DN1263">
        <f t="shared" si="2697"/>
        <v>0</v>
      </c>
      <c r="DO1263">
        <f t="shared" si="2697"/>
        <v>0</v>
      </c>
      <c r="DP1263">
        <f t="shared" si="2697"/>
        <v>0</v>
      </c>
      <c r="DQ1263">
        <f t="shared" si="2698"/>
        <v>0</v>
      </c>
      <c r="DR1263">
        <f t="shared" si="2698"/>
        <v>0</v>
      </c>
      <c r="DS1263">
        <f t="shared" si="2698"/>
        <v>0</v>
      </c>
      <c r="DT1263">
        <f t="shared" si="2698"/>
        <v>0</v>
      </c>
      <c r="DU1263">
        <f t="shared" si="2698"/>
        <v>0</v>
      </c>
      <c r="DV1263">
        <f t="shared" si="2698"/>
        <v>0</v>
      </c>
      <c r="DW1263">
        <f t="shared" si="2698"/>
        <v>0</v>
      </c>
      <c r="DX1263">
        <f t="shared" si="2698"/>
        <v>0</v>
      </c>
      <c r="DY1263">
        <f t="shared" si="2698"/>
        <v>0</v>
      </c>
      <c r="DZ1263">
        <f t="shared" si="2698"/>
        <v>0</v>
      </c>
      <c r="EA1263">
        <f t="shared" si="2699"/>
        <v>0</v>
      </c>
      <c r="EB1263">
        <f>IF($C1263&lt;&gt;"",IF(BM1262&gt;0,1,0),0)</f>
        <v>0</v>
      </c>
      <c r="EC1263">
        <f t="shared" si="2699"/>
        <v>0</v>
      </c>
      <c r="ED1263">
        <f t="shared" si="2699"/>
        <v>0</v>
      </c>
      <c r="EE1263">
        <f t="shared" si="2699"/>
        <v>0</v>
      </c>
      <c r="EF1263">
        <f t="shared" si="2699"/>
        <v>0</v>
      </c>
    </row>
    <row r="1264" spans="1:136" ht="15.5">
      <c r="A1264" s="90"/>
      <c r="B1264" s="19" t="s">
        <v>205</v>
      </c>
      <c r="C1264" s="95"/>
      <c r="D1264" s="113">
        <v>0</v>
      </c>
      <c r="E1264" s="113">
        <v>0</v>
      </c>
      <c r="F1264" s="113">
        <v>0</v>
      </c>
      <c r="G1264" s="113">
        <v>0</v>
      </c>
      <c r="H1264" s="113">
        <v>0</v>
      </c>
      <c r="I1264" s="113">
        <v>0</v>
      </c>
      <c r="J1264" s="113">
        <v>0</v>
      </c>
      <c r="K1264" s="113">
        <v>0</v>
      </c>
      <c r="L1264" s="113">
        <v>0</v>
      </c>
      <c r="M1264" s="113">
        <v>0</v>
      </c>
      <c r="N1264" s="113">
        <v>0</v>
      </c>
      <c r="O1264" s="113">
        <v>0</v>
      </c>
      <c r="P1264" s="113">
        <v>0</v>
      </c>
      <c r="Q1264" s="113">
        <v>0</v>
      </c>
      <c r="R1264" s="113">
        <v>0</v>
      </c>
      <c r="S1264" s="113">
        <v>0</v>
      </c>
      <c r="T1264" s="113">
        <v>0</v>
      </c>
      <c r="U1264" s="113">
        <v>0</v>
      </c>
      <c r="V1264" s="113">
        <v>0</v>
      </c>
      <c r="W1264" s="113">
        <v>0</v>
      </c>
      <c r="X1264" s="113">
        <v>0</v>
      </c>
      <c r="Y1264" s="113">
        <v>0</v>
      </c>
      <c r="Z1264" s="113">
        <v>0</v>
      </c>
      <c r="AA1264" s="113">
        <v>0</v>
      </c>
      <c r="AB1264" s="113">
        <v>0</v>
      </c>
      <c r="AC1264" s="113">
        <v>0</v>
      </c>
      <c r="AD1264" s="113">
        <v>0</v>
      </c>
      <c r="AE1264" s="113">
        <v>0</v>
      </c>
      <c r="AF1264" s="113">
        <v>0</v>
      </c>
      <c r="AG1264" s="113">
        <f>314.3695353</f>
        <v>314.3695353</v>
      </c>
      <c r="AH1264" s="113">
        <v>348.87621209999998</v>
      </c>
      <c r="AI1264" s="113">
        <v>351.559755</v>
      </c>
      <c r="AJ1264" s="113">
        <v>353.722579</v>
      </c>
      <c r="AK1264" s="113">
        <v>356.47509170000001</v>
      </c>
      <c r="AL1264" s="113">
        <v>353.17995769999999</v>
      </c>
      <c r="AM1264" s="113">
        <v>355.39007360000005</v>
      </c>
      <c r="AN1264" s="113">
        <v>355.42645289999996</v>
      </c>
      <c r="AO1264" s="113">
        <v>355.46147289999999</v>
      </c>
      <c r="AP1264" s="113">
        <v>355.46356480000003</v>
      </c>
      <c r="AQ1264" s="113">
        <v>355.4620352</v>
      </c>
      <c r="AR1264" s="113">
        <v>355.46604980000001</v>
      </c>
      <c r="AS1264" s="113">
        <v>355.46719280000002</v>
      </c>
      <c r="AT1264" s="113">
        <v>355.46623839999995</v>
      </c>
      <c r="AU1264" s="113">
        <v>355.46738360000001</v>
      </c>
      <c r="AV1264" s="113">
        <v>355.46776539999996</v>
      </c>
      <c r="AW1264" s="113">
        <v>355.87166150000002</v>
      </c>
      <c r="AX1264" s="113">
        <v>0</v>
      </c>
      <c r="AY1264" s="34">
        <v>0</v>
      </c>
      <c r="AZ1264" s="34">
        <v>0</v>
      </c>
      <c r="BA1264" s="34">
        <v>0</v>
      </c>
      <c r="BB1264" s="34">
        <v>0</v>
      </c>
      <c r="BC1264" s="34">
        <v>0</v>
      </c>
      <c r="BD1264" s="34">
        <v>0.54486769999999995</v>
      </c>
      <c r="BE1264" s="34">
        <v>0.74888569999999999</v>
      </c>
      <c r="BF1264" s="34">
        <v>4.2814859000000007</v>
      </c>
      <c r="BG1264" s="34">
        <v>7.7518422999999999</v>
      </c>
      <c r="BH1264" s="34">
        <v>21.555122600000001</v>
      </c>
      <c r="BI1264" s="34">
        <v>25.678766899999999</v>
      </c>
      <c r="BJ1264" s="34">
        <v>28.415719500000002</v>
      </c>
      <c r="BK1264" s="34">
        <v>31.539835399999998</v>
      </c>
      <c r="BL1264" s="34">
        <v>35.681962399999996</v>
      </c>
      <c r="BM1264" s="34">
        <v>35.9980811</v>
      </c>
      <c r="BN1264" s="34">
        <v>34.8914744</v>
      </c>
      <c r="BO1264" s="34">
        <v>35</v>
      </c>
      <c r="BP1264" s="34">
        <v>35</v>
      </c>
      <c r="BQ1264" s="113">
        <v>36</v>
      </c>
      <c r="BR1264" s="101"/>
    </row>
    <row r="1265" spans="1:136" ht="15.5">
      <c r="A1265" s="90"/>
      <c r="B1265" s="57" t="s">
        <v>3</v>
      </c>
      <c r="C1265" s="95"/>
      <c r="D1265" s="58">
        <v>0</v>
      </c>
      <c r="E1265" s="58">
        <v>0</v>
      </c>
      <c r="F1265" s="58">
        <v>0</v>
      </c>
      <c r="G1265" s="58">
        <v>0</v>
      </c>
      <c r="H1265" s="58">
        <v>0</v>
      </c>
      <c r="I1265" s="58">
        <v>0</v>
      </c>
      <c r="J1265" s="58">
        <v>0</v>
      </c>
      <c r="K1265" s="58">
        <v>0</v>
      </c>
      <c r="L1265" s="58">
        <v>0</v>
      </c>
      <c r="M1265" s="58">
        <v>0</v>
      </c>
      <c r="N1265" s="58">
        <v>0</v>
      </c>
      <c r="O1265" s="58">
        <v>0</v>
      </c>
      <c r="P1265" s="58">
        <v>0</v>
      </c>
      <c r="Q1265" s="58">
        <v>0</v>
      </c>
      <c r="R1265" s="58">
        <v>0</v>
      </c>
      <c r="S1265" s="104">
        <v>148</v>
      </c>
      <c r="T1265" s="104">
        <v>0</v>
      </c>
      <c r="U1265" s="104">
        <v>0</v>
      </c>
      <c r="V1265" s="104">
        <v>0</v>
      </c>
      <c r="W1265" s="104">
        <v>0</v>
      </c>
      <c r="X1265" s="104">
        <v>0</v>
      </c>
      <c r="Y1265" s="34">
        <v>1029</v>
      </c>
      <c r="Z1265" s="34">
        <v>1053</v>
      </c>
      <c r="AA1265" s="34">
        <v>1224</v>
      </c>
      <c r="AB1265" s="34">
        <v>1142</v>
      </c>
      <c r="AC1265" s="34">
        <v>1279</v>
      </c>
      <c r="AD1265" s="34">
        <v>1442</v>
      </c>
      <c r="AE1265" s="200">
        <v>4.5999999999999999E-2</v>
      </c>
      <c r="AF1265" s="40" t="s">
        <v>16</v>
      </c>
      <c r="AG1265" s="40" t="s">
        <v>16</v>
      </c>
      <c r="AH1265" s="168">
        <f>1950.0709351-AH1264</f>
        <v>1601.1947230000001</v>
      </c>
      <c r="AI1265" s="168">
        <f>4001.0108035-AI1264</f>
        <v>3649.4510485000001</v>
      </c>
      <c r="AJ1265" s="168">
        <f>6149.2830099-AJ1264</f>
        <v>5795.5604309</v>
      </c>
      <c r="AK1265" s="168">
        <f>6582.3577407-AK1264-AK1263</f>
        <v>5681.8826490000001</v>
      </c>
      <c r="AL1265" s="168">
        <f>8572.9927491-AL1264</f>
        <v>8219.8127913999997</v>
      </c>
      <c r="AM1265" s="168">
        <f>10540.0360855-AM1264</f>
        <v>10184.6460119</v>
      </c>
      <c r="AN1265" s="168">
        <f>12449.6011344-AN1264</f>
        <v>12094.174681500001</v>
      </c>
      <c r="AO1265" s="168">
        <f>9009.9694205-AO1264</f>
        <v>8654.5079475999992</v>
      </c>
      <c r="AP1265" s="168">
        <f>9591.3935269-AP1264</f>
        <v>9235.9299620999991</v>
      </c>
      <c r="AQ1265" s="168">
        <f>10274.1363046-AQ1264</f>
        <v>9918.6742694000004</v>
      </c>
      <c r="AR1265" s="168">
        <f>10211.5851633-AR1264-AR1263</f>
        <v>165.11911350000082</v>
      </c>
      <c r="AS1265" s="168">
        <f>1447.3134887-AS1264</f>
        <v>1091.8462959000001</v>
      </c>
      <c r="AT1265" s="168">
        <f>1430.9792407-AT1264</f>
        <v>1075.5130023000002</v>
      </c>
      <c r="AU1265" s="168">
        <f>1435.7371054-AU1264</f>
        <v>1080.2697218000001</v>
      </c>
      <c r="AV1265" s="168">
        <f>1396.6271611-AV1264</f>
        <v>1041.1593957</v>
      </c>
      <c r="AW1265" s="168">
        <f>1414.1119441-AW1264</f>
        <v>1058.2402826</v>
      </c>
      <c r="AX1265" s="168">
        <v>14.329099300000001</v>
      </c>
      <c r="AY1265" s="168">
        <v>16.0850185</v>
      </c>
      <c r="AZ1265" s="168">
        <v>13.788119199999999</v>
      </c>
      <c r="BA1265" s="168">
        <v>13.597750699999999</v>
      </c>
      <c r="BB1265" s="168">
        <v>18.3721614</v>
      </c>
      <c r="BC1265" s="168">
        <v>17.271575299999999</v>
      </c>
      <c r="BD1265" s="168">
        <f>12.9600673-BD1264</f>
        <v>12.415199600000001</v>
      </c>
      <c r="BE1265" s="168">
        <f>11.1359817-BE1264</f>
        <v>10.387096</v>
      </c>
      <c r="BF1265" s="168">
        <f>33.4339614-BF1264</f>
        <v>29.152475500000001</v>
      </c>
      <c r="BG1265" s="168">
        <f>36.4348619-BG1264</f>
        <v>28.683019600000002</v>
      </c>
      <c r="BH1265" s="168">
        <f>50.0076281-BH1264</f>
        <v>28.452505499999997</v>
      </c>
      <c r="BI1265" s="168">
        <f>54.7226146-BI1264</f>
        <v>29.043847700000001</v>
      </c>
      <c r="BJ1265" s="168">
        <f>56.6269038-BJ1264</f>
        <v>28.211184299999999</v>
      </c>
      <c r="BK1265" s="168">
        <f>59.619374-BK1264</f>
        <v>28.079538600000003</v>
      </c>
      <c r="BL1265" s="168">
        <f>63.5494272-BL1264</f>
        <v>27.8674648</v>
      </c>
      <c r="BM1265" s="168">
        <f>63.7134481-BM1264</f>
        <v>27.715367000000001</v>
      </c>
      <c r="BN1265" s="113">
        <f>61.7143698-BN1264</f>
        <v>26.8228954</v>
      </c>
      <c r="BO1265" s="113">
        <v>31</v>
      </c>
      <c r="BP1265" s="113">
        <v>30</v>
      </c>
      <c r="BQ1265" s="113">
        <v>0</v>
      </c>
      <c r="BR1265" s="101"/>
      <c r="BS1265">
        <f t="shared" si="2693"/>
        <v>0</v>
      </c>
      <c r="BT1265">
        <f t="shared" si="2693"/>
        <v>0</v>
      </c>
      <c r="BU1265">
        <f t="shared" si="2693"/>
        <v>0</v>
      </c>
      <c r="BV1265">
        <f t="shared" si="2693"/>
        <v>0</v>
      </c>
      <c r="BW1265">
        <f t="shared" si="2693"/>
        <v>0</v>
      </c>
      <c r="BX1265">
        <f t="shared" si="2693"/>
        <v>0</v>
      </c>
      <c r="BY1265">
        <f t="shared" si="2693"/>
        <v>0</v>
      </c>
      <c r="BZ1265">
        <f t="shared" si="2693"/>
        <v>0</v>
      </c>
      <c r="CA1265">
        <f t="shared" si="2693"/>
        <v>0</v>
      </c>
      <c r="CB1265">
        <f t="shared" si="2693"/>
        <v>0</v>
      </c>
      <c r="CC1265">
        <f t="shared" si="2694"/>
        <v>0</v>
      </c>
      <c r="CD1265">
        <f t="shared" si="2694"/>
        <v>0</v>
      </c>
      <c r="CE1265">
        <f t="shared" si="2694"/>
        <v>0</v>
      </c>
      <c r="CF1265">
        <f t="shared" si="2694"/>
        <v>0</v>
      </c>
      <c r="CG1265">
        <f t="shared" si="2694"/>
        <v>0</v>
      </c>
      <c r="CH1265">
        <f t="shared" si="2694"/>
        <v>0</v>
      </c>
      <c r="CI1265">
        <f t="shared" si="2694"/>
        <v>0</v>
      </c>
      <c r="CJ1265">
        <f t="shared" si="2694"/>
        <v>0</v>
      </c>
      <c r="CK1265">
        <f t="shared" si="2694"/>
        <v>0</v>
      </c>
      <c r="CL1265">
        <f t="shared" si="2694"/>
        <v>0</v>
      </c>
      <c r="CM1265">
        <f t="shared" si="2695"/>
        <v>0</v>
      </c>
      <c r="CN1265">
        <f t="shared" si="2695"/>
        <v>0</v>
      </c>
      <c r="CO1265">
        <f t="shared" si="2695"/>
        <v>0</v>
      </c>
      <c r="CP1265">
        <f t="shared" si="2695"/>
        <v>0</v>
      </c>
      <c r="CQ1265">
        <f t="shared" si="2695"/>
        <v>0</v>
      </c>
      <c r="CR1265">
        <f t="shared" si="2695"/>
        <v>0</v>
      </c>
      <c r="CS1265">
        <f t="shared" si="2695"/>
        <v>0</v>
      </c>
      <c r="CT1265">
        <f t="shared" si="2695"/>
        <v>0</v>
      </c>
      <c r="CU1265">
        <f t="shared" si="2695"/>
        <v>0</v>
      </c>
      <c r="CV1265">
        <f t="shared" si="2695"/>
        <v>0</v>
      </c>
      <c r="CW1265">
        <f t="shared" si="2696"/>
        <v>0</v>
      </c>
      <c r="CX1265">
        <f t="shared" si="2696"/>
        <v>0</v>
      </c>
      <c r="CY1265">
        <f t="shared" si="2696"/>
        <v>0</v>
      </c>
      <c r="CZ1265">
        <f t="shared" si="2696"/>
        <v>0</v>
      </c>
      <c r="DA1265">
        <f t="shared" si="2696"/>
        <v>0</v>
      </c>
      <c r="DB1265">
        <f t="shared" si="2696"/>
        <v>0</v>
      </c>
      <c r="DC1265">
        <f t="shared" si="2696"/>
        <v>0</v>
      </c>
      <c r="DD1265">
        <f t="shared" si="2696"/>
        <v>0</v>
      </c>
      <c r="DE1265">
        <f t="shared" si="2696"/>
        <v>0</v>
      </c>
      <c r="DF1265">
        <f t="shared" si="2696"/>
        <v>0</v>
      </c>
      <c r="DG1265">
        <f t="shared" si="2697"/>
        <v>0</v>
      </c>
      <c r="DH1265">
        <f t="shared" si="2697"/>
        <v>0</v>
      </c>
      <c r="DI1265">
        <f t="shared" si="2697"/>
        <v>0</v>
      </c>
      <c r="DJ1265">
        <f t="shared" si="2697"/>
        <v>0</v>
      </c>
      <c r="DK1265">
        <f t="shared" si="2697"/>
        <v>0</v>
      </c>
      <c r="DL1265">
        <f t="shared" si="2697"/>
        <v>0</v>
      </c>
      <c r="DM1265">
        <f t="shared" si="2697"/>
        <v>0</v>
      </c>
      <c r="DN1265">
        <f t="shared" si="2697"/>
        <v>0</v>
      </c>
      <c r="DO1265">
        <f t="shared" si="2697"/>
        <v>0</v>
      </c>
      <c r="DP1265">
        <f t="shared" si="2697"/>
        <v>0</v>
      </c>
      <c r="DQ1265">
        <f t="shared" si="2698"/>
        <v>0</v>
      </c>
      <c r="DR1265">
        <f t="shared" si="2698"/>
        <v>0</v>
      </c>
      <c r="DS1265">
        <f t="shared" si="2698"/>
        <v>0</v>
      </c>
      <c r="DT1265">
        <f t="shared" si="2698"/>
        <v>0</v>
      </c>
      <c r="DU1265">
        <f t="shared" si="2698"/>
        <v>0</v>
      </c>
      <c r="DV1265">
        <f t="shared" si="2698"/>
        <v>0</v>
      </c>
      <c r="DW1265">
        <f t="shared" si="2698"/>
        <v>0</v>
      </c>
      <c r="DX1265">
        <f t="shared" si="2698"/>
        <v>0</v>
      </c>
      <c r="DY1265">
        <f t="shared" si="2698"/>
        <v>0</v>
      </c>
      <c r="DZ1265">
        <f t="shared" si="2698"/>
        <v>0</v>
      </c>
      <c r="EA1265">
        <f t="shared" ref="EA1265:EF1265" si="2700">IF($C1265&lt;&gt;"",IF(BL1263&gt;0,1,0),0)</f>
        <v>0</v>
      </c>
      <c r="EB1265">
        <f t="shared" si="2700"/>
        <v>0</v>
      </c>
      <c r="EC1265">
        <f t="shared" si="2700"/>
        <v>0</v>
      </c>
      <c r="ED1265">
        <f t="shared" si="2700"/>
        <v>0</v>
      </c>
      <c r="EE1265">
        <f t="shared" si="2700"/>
        <v>0</v>
      </c>
      <c r="EF1265">
        <f t="shared" si="2700"/>
        <v>0</v>
      </c>
    </row>
    <row r="1266" spans="1:136" ht="15.5">
      <c r="A1266" s="90"/>
      <c r="B1266" s="19" t="s">
        <v>18</v>
      </c>
      <c r="C1266" s="98"/>
      <c r="D1266" s="58">
        <v>0</v>
      </c>
      <c r="E1266" s="58">
        <v>0</v>
      </c>
      <c r="F1266" s="58">
        <v>0</v>
      </c>
      <c r="G1266" s="58">
        <v>0</v>
      </c>
      <c r="H1266" s="58">
        <v>0</v>
      </c>
      <c r="I1266" s="58">
        <v>0</v>
      </c>
      <c r="J1266" s="58">
        <v>0</v>
      </c>
      <c r="K1266" s="58">
        <v>0</v>
      </c>
      <c r="L1266" s="58">
        <v>0</v>
      </c>
      <c r="M1266" s="58">
        <v>0</v>
      </c>
      <c r="N1266" s="58">
        <v>0</v>
      </c>
      <c r="O1266" s="58">
        <v>0</v>
      </c>
      <c r="P1266" s="58">
        <v>0</v>
      </c>
      <c r="Q1266" s="58">
        <v>0</v>
      </c>
      <c r="R1266" s="58">
        <v>0</v>
      </c>
      <c r="S1266" s="18">
        <v>0</v>
      </c>
      <c r="T1266" s="34">
        <v>0</v>
      </c>
      <c r="U1266" s="34">
        <v>0</v>
      </c>
      <c r="V1266" s="34">
        <v>0</v>
      </c>
      <c r="W1266" s="34">
        <v>0</v>
      </c>
      <c r="X1266" s="34">
        <v>0</v>
      </c>
      <c r="Y1266" s="34">
        <v>0</v>
      </c>
      <c r="Z1266" s="34">
        <v>0</v>
      </c>
      <c r="AA1266" s="34">
        <v>0</v>
      </c>
      <c r="AB1266" s="34">
        <v>0</v>
      </c>
      <c r="AC1266" s="34">
        <v>358.87834901055521</v>
      </c>
      <c r="AD1266" s="34">
        <v>388.71199459578145</v>
      </c>
      <c r="AE1266" s="34">
        <v>422.39825546947185</v>
      </c>
      <c r="AF1266" s="34">
        <v>463.02905505011989</v>
      </c>
      <c r="AG1266" s="34">
        <v>514.33385731754504</v>
      </c>
      <c r="AH1266" s="34">
        <v>565.66825110535615</v>
      </c>
      <c r="AI1266" s="34">
        <v>606.77742140558451</v>
      </c>
      <c r="AJ1266" s="34">
        <v>636.53545387420354</v>
      </c>
      <c r="AK1266" s="34">
        <v>664.26867088359359</v>
      </c>
      <c r="AL1266" s="34">
        <v>703.48813437499985</v>
      </c>
      <c r="AM1266" s="34">
        <v>755.42349999999988</v>
      </c>
      <c r="AN1266" s="34">
        <v>806</v>
      </c>
      <c r="AO1266" s="34">
        <v>782</v>
      </c>
      <c r="AP1266" s="34">
        <v>782</v>
      </c>
      <c r="AQ1266" s="34">
        <v>0</v>
      </c>
      <c r="AR1266" s="34">
        <v>0</v>
      </c>
      <c r="AS1266" s="34">
        <v>0</v>
      </c>
      <c r="AT1266" s="34">
        <v>0</v>
      </c>
      <c r="AU1266" s="34">
        <v>0</v>
      </c>
      <c r="AV1266" s="34">
        <v>0</v>
      </c>
      <c r="AW1266" s="34">
        <v>0</v>
      </c>
      <c r="AX1266" s="34">
        <v>0</v>
      </c>
      <c r="AY1266" s="34">
        <v>0</v>
      </c>
      <c r="AZ1266" s="34">
        <v>0</v>
      </c>
      <c r="BA1266" s="34">
        <v>0</v>
      </c>
      <c r="BB1266" s="34">
        <v>0</v>
      </c>
      <c r="BC1266" s="34">
        <v>0</v>
      </c>
      <c r="BD1266" s="34">
        <v>0</v>
      </c>
      <c r="BE1266" s="42">
        <v>0</v>
      </c>
      <c r="BF1266" s="34">
        <v>0</v>
      </c>
      <c r="BG1266" s="34">
        <v>0</v>
      </c>
      <c r="BH1266" s="34">
        <v>0</v>
      </c>
      <c r="BI1266" s="34">
        <v>0</v>
      </c>
      <c r="BJ1266" s="113">
        <v>0</v>
      </c>
      <c r="BK1266" s="113">
        <v>0</v>
      </c>
      <c r="BL1266" s="113">
        <v>0</v>
      </c>
      <c r="BM1266" s="113">
        <v>0</v>
      </c>
      <c r="BN1266" s="113">
        <v>0</v>
      </c>
      <c r="BO1266" s="113">
        <v>0</v>
      </c>
      <c r="BP1266" s="113">
        <v>0</v>
      </c>
      <c r="BQ1266" s="113">
        <v>0</v>
      </c>
      <c r="BR1266" s="101"/>
      <c r="BS1266">
        <f t="shared" si="2693"/>
        <v>0</v>
      </c>
      <c r="BT1266">
        <f t="shared" si="2693"/>
        <v>0</v>
      </c>
      <c r="BU1266">
        <f t="shared" si="2693"/>
        <v>0</v>
      </c>
      <c r="BV1266">
        <f t="shared" si="2693"/>
        <v>0</v>
      </c>
      <c r="BW1266">
        <f t="shared" si="2693"/>
        <v>0</v>
      </c>
      <c r="BX1266">
        <f t="shared" si="2693"/>
        <v>0</v>
      </c>
      <c r="BY1266">
        <f t="shared" si="2693"/>
        <v>0</v>
      </c>
      <c r="BZ1266">
        <f t="shared" si="2693"/>
        <v>0</v>
      </c>
      <c r="CA1266">
        <f t="shared" si="2693"/>
        <v>0</v>
      </c>
      <c r="CB1266">
        <f t="shared" si="2693"/>
        <v>0</v>
      </c>
      <c r="CC1266">
        <f t="shared" si="2694"/>
        <v>0</v>
      </c>
      <c r="CD1266">
        <f t="shared" si="2694"/>
        <v>0</v>
      </c>
      <c r="CE1266">
        <f t="shared" si="2694"/>
        <v>0</v>
      </c>
      <c r="CF1266">
        <f t="shared" si="2694"/>
        <v>0</v>
      </c>
      <c r="CG1266">
        <f t="shared" si="2694"/>
        <v>0</v>
      </c>
      <c r="CH1266">
        <f t="shared" si="2694"/>
        <v>0</v>
      </c>
      <c r="CI1266">
        <f t="shared" si="2694"/>
        <v>0</v>
      </c>
      <c r="CJ1266">
        <f t="shared" si="2694"/>
        <v>0</v>
      </c>
      <c r="CK1266">
        <f t="shared" si="2694"/>
        <v>0</v>
      </c>
      <c r="CL1266">
        <f t="shared" si="2694"/>
        <v>0</v>
      </c>
      <c r="CM1266">
        <f t="shared" si="2695"/>
        <v>0</v>
      </c>
      <c r="CN1266">
        <f t="shared" si="2695"/>
        <v>0</v>
      </c>
      <c r="CO1266">
        <f t="shared" si="2695"/>
        <v>0</v>
      </c>
      <c r="CP1266">
        <f t="shared" si="2695"/>
        <v>0</v>
      </c>
      <c r="CQ1266">
        <f t="shared" si="2695"/>
        <v>0</v>
      </c>
      <c r="CR1266">
        <f t="shared" si="2695"/>
        <v>0</v>
      </c>
      <c r="CS1266">
        <f t="shared" si="2695"/>
        <v>0</v>
      </c>
      <c r="CT1266">
        <f t="shared" si="2695"/>
        <v>0</v>
      </c>
      <c r="CU1266">
        <f t="shared" si="2695"/>
        <v>0</v>
      </c>
      <c r="CV1266">
        <f t="shared" si="2695"/>
        <v>0</v>
      </c>
      <c r="CW1266">
        <f t="shared" si="2696"/>
        <v>0</v>
      </c>
      <c r="CX1266">
        <f t="shared" si="2696"/>
        <v>0</v>
      </c>
      <c r="CY1266">
        <f t="shared" si="2696"/>
        <v>0</v>
      </c>
      <c r="CZ1266">
        <f t="shared" si="2696"/>
        <v>0</v>
      </c>
      <c r="DA1266">
        <f t="shared" si="2696"/>
        <v>0</v>
      </c>
      <c r="DB1266">
        <f t="shared" si="2696"/>
        <v>0</v>
      </c>
      <c r="DC1266">
        <f t="shared" si="2696"/>
        <v>0</v>
      </c>
      <c r="DD1266">
        <f t="shared" si="2696"/>
        <v>0</v>
      </c>
      <c r="DE1266">
        <f t="shared" si="2696"/>
        <v>0</v>
      </c>
      <c r="DF1266">
        <f t="shared" si="2696"/>
        <v>0</v>
      </c>
      <c r="DG1266">
        <f t="shared" si="2697"/>
        <v>0</v>
      </c>
      <c r="DH1266">
        <f t="shared" si="2697"/>
        <v>0</v>
      </c>
      <c r="DI1266">
        <f t="shared" si="2697"/>
        <v>0</v>
      </c>
      <c r="DJ1266">
        <f t="shared" si="2697"/>
        <v>0</v>
      </c>
      <c r="DK1266">
        <f t="shared" si="2697"/>
        <v>0</v>
      </c>
      <c r="DL1266">
        <f t="shared" si="2697"/>
        <v>0</v>
      </c>
      <c r="DM1266">
        <f t="shared" si="2697"/>
        <v>0</v>
      </c>
      <c r="DN1266">
        <f t="shared" si="2697"/>
        <v>0</v>
      </c>
      <c r="DO1266">
        <f t="shared" si="2697"/>
        <v>0</v>
      </c>
      <c r="DP1266">
        <f t="shared" si="2697"/>
        <v>0</v>
      </c>
      <c r="DQ1266">
        <f t="shared" si="2698"/>
        <v>0</v>
      </c>
      <c r="DR1266">
        <f t="shared" si="2698"/>
        <v>0</v>
      </c>
      <c r="DS1266">
        <f t="shared" si="2698"/>
        <v>0</v>
      </c>
      <c r="DT1266">
        <f t="shared" si="2698"/>
        <v>0</v>
      </c>
      <c r="DU1266">
        <f t="shared" si="2698"/>
        <v>0</v>
      </c>
      <c r="DV1266">
        <f t="shared" si="2698"/>
        <v>0</v>
      </c>
      <c r="DW1266">
        <f t="shared" si="2698"/>
        <v>0</v>
      </c>
      <c r="DX1266">
        <f t="shared" si="2698"/>
        <v>0</v>
      </c>
      <c r="DY1266">
        <f t="shared" si="2698"/>
        <v>0</v>
      </c>
      <c r="DZ1266">
        <f t="shared" si="2698"/>
        <v>0</v>
      </c>
      <c r="EA1266">
        <f t="shared" si="2699"/>
        <v>0</v>
      </c>
      <c r="EB1266">
        <f>IF($C1266&lt;&gt;"",IF(BM1265&gt;0,1,0),0)</f>
        <v>0</v>
      </c>
      <c r="EC1266">
        <f t="shared" si="2699"/>
        <v>0</v>
      </c>
      <c r="ED1266">
        <f t="shared" si="2699"/>
        <v>0</v>
      </c>
      <c r="EE1266">
        <f t="shared" si="2699"/>
        <v>0</v>
      </c>
      <c r="EF1266">
        <f t="shared" si="2699"/>
        <v>0</v>
      </c>
    </row>
    <row r="1267" spans="1:136" ht="15.5">
      <c r="A1267" s="90"/>
      <c r="B1267" s="19" t="s">
        <v>208</v>
      </c>
      <c r="C1267" s="95"/>
      <c r="D1267" s="58">
        <v>0</v>
      </c>
      <c r="E1267" s="58">
        <v>0</v>
      </c>
      <c r="F1267" s="58">
        <v>0</v>
      </c>
      <c r="G1267" s="58">
        <v>0</v>
      </c>
      <c r="H1267" s="58">
        <v>0</v>
      </c>
      <c r="I1267" s="58">
        <v>0</v>
      </c>
      <c r="J1267" s="58">
        <v>0</v>
      </c>
      <c r="K1267" s="58">
        <v>0</v>
      </c>
      <c r="L1267" s="58">
        <v>0</v>
      </c>
      <c r="M1267" s="58">
        <v>0</v>
      </c>
      <c r="N1267" s="58">
        <v>0</v>
      </c>
      <c r="O1267" s="58">
        <v>0</v>
      </c>
      <c r="P1267" s="58">
        <v>0</v>
      </c>
      <c r="Q1267" s="58">
        <v>0</v>
      </c>
      <c r="R1267" s="58">
        <v>0</v>
      </c>
      <c r="S1267" s="104">
        <v>0</v>
      </c>
      <c r="T1267" s="104">
        <v>0</v>
      </c>
      <c r="U1267" s="104">
        <v>0</v>
      </c>
      <c r="V1267" s="104">
        <v>0</v>
      </c>
      <c r="W1267" s="104">
        <v>0</v>
      </c>
      <c r="X1267" s="104">
        <v>0</v>
      </c>
      <c r="Y1267" s="34">
        <v>335</v>
      </c>
      <c r="Z1267" s="34">
        <v>351</v>
      </c>
      <c r="AA1267" s="34">
        <v>350</v>
      </c>
      <c r="AB1267" s="34">
        <v>354</v>
      </c>
      <c r="AC1267" s="18">
        <v>587</v>
      </c>
      <c r="AD1267" s="40" t="s">
        <v>16</v>
      </c>
      <c r="AE1267" s="40">
        <v>0</v>
      </c>
      <c r="AF1267" s="40">
        <v>0</v>
      </c>
      <c r="AG1267" s="40" t="s">
        <v>16</v>
      </c>
      <c r="AH1267" s="40" t="s">
        <v>16</v>
      </c>
      <c r="AI1267" s="40" t="s">
        <v>16</v>
      </c>
      <c r="AJ1267" s="40" t="s">
        <v>16</v>
      </c>
      <c r="AK1267" s="40" t="s">
        <v>16</v>
      </c>
      <c r="AL1267" s="40" t="s">
        <v>16</v>
      </c>
      <c r="AM1267" s="40" t="s">
        <v>16</v>
      </c>
      <c r="AN1267" s="40" t="s">
        <v>16</v>
      </c>
      <c r="AO1267" s="40" t="s">
        <v>16</v>
      </c>
      <c r="AP1267" s="34">
        <v>6.0555244999999998</v>
      </c>
      <c r="AQ1267" s="34">
        <v>10.946788300000001</v>
      </c>
      <c r="AR1267" s="34">
        <v>8.0671850999999997</v>
      </c>
      <c r="AS1267" s="34">
        <v>9.8014074999999998</v>
      </c>
      <c r="AT1267" s="34">
        <v>8.5231136999999997</v>
      </c>
      <c r="AU1267" s="34">
        <v>9.3497256999999987</v>
      </c>
      <c r="AV1267" s="34">
        <v>9.7319808000000005</v>
      </c>
      <c r="AW1267" s="34">
        <v>9.0284157</v>
      </c>
      <c r="AX1267" s="34">
        <v>0</v>
      </c>
      <c r="AY1267" s="34">
        <v>0</v>
      </c>
      <c r="AZ1267" s="34">
        <v>0</v>
      </c>
      <c r="BA1267" s="34">
        <v>0</v>
      </c>
      <c r="BB1267" s="34">
        <v>0</v>
      </c>
      <c r="BC1267" s="34">
        <v>0</v>
      </c>
      <c r="BD1267" s="34">
        <v>1.8471599999999998E-2</v>
      </c>
      <c r="BE1267" s="42">
        <v>3.7235699999999997E-2</v>
      </c>
      <c r="BF1267" s="34">
        <v>3.2780699999999996E-2</v>
      </c>
      <c r="BG1267" s="34">
        <v>2.9394900000000002E-2</v>
      </c>
      <c r="BH1267" s="34">
        <v>2.8460700000000002E-2</v>
      </c>
      <c r="BI1267" s="34">
        <v>3.2381099999999996E-2</v>
      </c>
      <c r="BJ1267" s="103">
        <v>3.0915000000000002E-2</v>
      </c>
      <c r="BK1267" s="103">
        <v>3.0331799999999999E-2</v>
      </c>
      <c r="BL1267" s="103">
        <v>3.31317E-2</v>
      </c>
      <c r="BM1267" s="103">
        <v>3.0580200000000002E-2</v>
      </c>
      <c r="BN1267" s="103">
        <v>2.8798199999999999E-2</v>
      </c>
      <c r="BO1267" s="103">
        <v>3.31317E-2</v>
      </c>
      <c r="BP1267" s="34">
        <v>633</v>
      </c>
      <c r="BQ1267" s="113">
        <v>0</v>
      </c>
      <c r="BR1267" s="101"/>
      <c r="BS1267">
        <f t="shared" si="2693"/>
        <v>0</v>
      </c>
      <c r="BT1267">
        <f t="shared" si="2693"/>
        <v>0</v>
      </c>
      <c r="BU1267">
        <f t="shared" si="2693"/>
        <v>0</v>
      </c>
      <c r="BV1267">
        <f t="shared" si="2693"/>
        <v>0</v>
      </c>
      <c r="BW1267">
        <f t="shared" si="2693"/>
        <v>0</v>
      </c>
      <c r="BX1267">
        <f t="shared" si="2693"/>
        <v>0</v>
      </c>
      <c r="BY1267">
        <f t="shared" si="2693"/>
        <v>0</v>
      </c>
      <c r="BZ1267">
        <f t="shared" si="2693"/>
        <v>0</v>
      </c>
      <c r="CA1267">
        <f t="shared" si="2693"/>
        <v>0</v>
      </c>
      <c r="CB1267">
        <f t="shared" si="2693"/>
        <v>0</v>
      </c>
      <c r="CC1267">
        <f t="shared" si="2694"/>
        <v>0</v>
      </c>
      <c r="CD1267">
        <f t="shared" si="2694"/>
        <v>0</v>
      </c>
      <c r="CE1267">
        <f t="shared" si="2694"/>
        <v>0</v>
      </c>
      <c r="CF1267">
        <f t="shared" si="2694"/>
        <v>0</v>
      </c>
      <c r="CG1267">
        <f t="shared" si="2694"/>
        <v>0</v>
      </c>
      <c r="CH1267">
        <f t="shared" si="2694"/>
        <v>0</v>
      </c>
      <c r="CI1267">
        <f t="shared" si="2694"/>
        <v>0</v>
      </c>
      <c r="CJ1267">
        <f t="shared" si="2694"/>
        <v>0</v>
      </c>
      <c r="CK1267">
        <f t="shared" si="2694"/>
        <v>0</v>
      </c>
      <c r="CL1267">
        <f t="shared" si="2694"/>
        <v>0</v>
      </c>
      <c r="CM1267">
        <f t="shared" si="2695"/>
        <v>0</v>
      </c>
      <c r="CN1267">
        <f t="shared" si="2695"/>
        <v>0</v>
      </c>
      <c r="CO1267">
        <f t="shared" si="2695"/>
        <v>0</v>
      </c>
      <c r="CP1267">
        <f t="shared" si="2695"/>
        <v>0</v>
      </c>
      <c r="CQ1267">
        <f t="shared" si="2695"/>
        <v>0</v>
      </c>
      <c r="CR1267">
        <f t="shared" si="2695"/>
        <v>0</v>
      </c>
      <c r="CS1267">
        <f t="shared" si="2695"/>
        <v>0</v>
      </c>
      <c r="CT1267">
        <f t="shared" si="2695"/>
        <v>0</v>
      </c>
      <c r="CU1267">
        <f t="shared" si="2695"/>
        <v>0</v>
      </c>
      <c r="CV1267">
        <f t="shared" si="2695"/>
        <v>0</v>
      </c>
      <c r="CW1267">
        <f t="shared" si="2696"/>
        <v>0</v>
      </c>
      <c r="CX1267">
        <f t="shared" si="2696"/>
        <v>0</v>
      </c>
      <c r="CY1267">
        <f t="shared" si="2696"/>
        <v>0</v>
      </c>
      <c r="CZ1267">
        <f t="shared" si="2696"/>
        <v>0</v>
      </c>
      <c r="DA1267">
        <f t="shared" si="2696"/>
        <v>0</v>
      </c>
      <c r="DB1267">
        <f t="shared" si="2696"/>
        <v>0</v>
      </c>
      <c r="DC1267">
        <f t="shared" si="2696"/>
        <v>0</v>
      </c>
      <c r="DD1267">
        <f t="shared" si="2696"/>
        <v>0</v>
      </c>
      <c r="DE1267">
        <f t="shared" si="2696"/>
        <v>0</v>
      </c>
      <c r="DF1267">
        <f t="shared" si="2696"/>
        <v>0</v>
      </c>
      <c r="DG1267">
        <f t="shared" si="2697"/>
        <v>0</v>
      </c>
      <c r="DH1267">
        <f t="shared" si="2697"/>
        <v>0</v>
      </c>
      <c r="DI1267">
        <f t="shared" si="2697"/>
        <v>0</v>
      </c>
      <c r="DJ1267">
        <f t="shared" si="2697"/>
        <v>0</v>
      </c>
      <c r="DK1267">
        <f t="shared" si="2697"/>
        <v>0</v>
      </c>
      <c r="DL1267">
        <f t="shared" si="2697"/>
        <v>0</v>
      </c>
      <c r="DM1267">
        <f t="shared" si="2697"/>
        <v>0</v>
      </c>
      <c r="DN1267">
        <f t="shared" si="2697"/>
        <v>0</v>
      </c>
      <c r="DO1267">
        <f t="shared" si="2697"/>
        <v>0</v>
      </c>
      <c r="DP1267">
        <f t="shared" si="2697"/>
        <v>0</v>
      </c>
      <c r="DQ1267">
        <f t="shared" si="2698"/>
        <v>0</v>
      </c>
      <c r="DR1267">
        <f t="shared" si="2698"/>
        <v>0</v>
      </c>
      <c r="DS1267">
        <f t="shared" si="2698"/>
        <v>0</v>
      </c>
      <c r="DT1267">
        <f t="shared" si="2698"/>
        <v>0</v>
      </c>
      <c r="DU1267">
        <f t="shared" si="2698"/>
        <v>0</v>
      </c>
      <c r="DV1267">
        <f t="shared" si="2698"/>
        <v>0</v>
      </c>
      <c r="DW1267">
        <f t="shared" si="2698"/>
        <v>0</v>
      </c>
      <c r="DX1267">
        <f t="shared" si="2698"/>
        <v>0</v>
      </c>
      <c r="DY1267">
        <f t="shared" si="2698"/>
        <v>0</v>
      </c>
      <c r="DZ1267">
        <f t="shared" si="2698"/>
        <v>0</v>
      </c>
      <c r="EA1267">
        <f t="shared" si="2699"/>
        <v>0</v>
      </c>
      <c r="EB1267">
        <f>IF($C1267&lt;&gt;"",IF(BM1266&gt;0,1,0),0)</f>
        <v>0</v>
      </c>
      <c r="EC1267">
        <f t="shared" si="2699"/>
        <v>0</v>
      </c>
      <c r="ED1267">
        <f t="shared" si="2699"/>
        <v>0</v>
      </c>
      <c r="EE1267">
        <f t="shared" si="2699"/>
        <v>0</v>
      </c>
      <c r="EF1267">
        <f t="shared" si="2699"/>
        <v>0</v>
      </c>
    </row>
    <row r="1268" spans="1:136" ht="15.5">
      <c r="A1268" s="90"/>
      <c r="B1268" s="53" t="s">
        <v>21</v>
      </c>
      <c r="C1268" s="98"/>
      <c r="D1268" s="34">
        <v>0</v>
      </c>
      <c r="E1268" s="34">
        <v>0</v>
      </c>
      <c r="F1268" s="34">
        <v>0</v>
      </c>
      <c r="G1268" s="34">
        <v>0</v>
      </c>
      <c r="H1268" s="34">
        <v>0</v>
      </c>
      <c r="I1268" s="34">
        <v>0</v>
      </c>
      <c r="J1268" s="34">
        <v>0</v>
      </c>
      <c r="K1268" s="34">
        <v>0</v>
      </c>
      <c r="L1268" s="34">
        <v>0</v>
      </c>
      <c r="M1268" s="34">
        <v>0</v>
      </c>
      <c r="N1268" s="34">
        <v>0</v>
      </c>
      <c r="O1268" s="34">
        <v>0</v>
      </c>
      <c r="P1268" s="34">
        <v>0</v>
      </c>
      <c r="Q1268" s="34">
        <v>0</v>
      </c>
      <c r="R1268" s="34">
        <v>0</v>
      </c>
      <c r="S1268" s="18">
        <v>368</v>
      </c>
      <c r="T1268" s="34">
        <v>0</v>
      </c>
      <c r="U1268" s="34">
        <v>0</v>
      </c>
      <c r="V1268" s="18">
        <v>467</v>
      </c>
      <c r="W1268" s="34">
        <v>0</v>
      </c>
      <c r="X1268" s="34">
        <v>0</v>
      </c>
      <c r="Y1268" s="34">
        <v>0</v>
      </c>
      <c r="Z1268" s="34">
        <v>0</v>
      </c>
      <c r="AA1268" s="34">
        <v>0</v>
      </c>
      <c r="AB1268" s="34">
        <v>0</v>
      </c>
      <c r="AC1268" s="18">
        <v>375</v>
      </c>
      <c r="AD1268" s="34">
        <v>0</v>
      </c>
      <c r="AE1268" s="34">
        <v>0</v>
      </c>
      <c r="AF1268" s="34">
        <v>0</v>
      </c>
      <c r="AG1268" s="34">
        <v>0</v>
      </c>
      <c r="AH1268" s="34">
        <v>0</v>
      </c>
      <c r="AI1268" s="34">
        <v>0</v>
      </c>
      <c r="AJ1268" s="34">
        <v>0</v>
      </c>
      <c r="AK1268" s="34">
        <v>0</v>
      </c>
      <c r="AL1268" s="34">
        <v>0</v>
      </c>
      <c r="AM1268" s="34">
        <v>0</v>
      </c>
      <c r="AN1268" s="34">
        <v>0</v>
      </c>
      <c r="AO1268" s="34">
        <v>0</v>
      </c>
      <c r="AP1268" s="34">
        <v>0</v>
      </c>
      <c r="AQ1268" s="34">
        <v>0</v>
      </c>
      <c r="AR1268" s="34">
        <v>0</v>
      </c>
      <c r="AS1268" s="34">
        <v>0</v>
      </c>
      <c r="AT1268" s="34">
        <v>0</v>
      </c>
      <c r="AU1268" s="34">
        <v>0</v>
      </c>
      <c r="AV1268" s="34">
        <v>0</v>
      </c>
      <c r="AW1268" s="34">
        <v>0</v>
      </c>
      <c r="AX1268" s="34">
        <v>0</v>
      </c>
      <c r="AY1268" s="34">
        <v>0</v>
      </c>
      <c r="AZ1268" s="34">
        <v>0</v>
      </c>
      <c r="BA1268" s="34">
        <v>0</v>
      </c>
      <c r="BB1268" s="34">
        <v>0</v>
      </c>
      <c r="BC1268" s="34">
        <v>0</v>
      </c>
      <c r="BD1268" s="34">
        <v>0</v>
      </c>
      <c r="BE1268" s="34">
        <v>0</v>
      </c>
      <c r="BF1268" s="34">
        <v>0</v>
      </c>
      <c r="BG1268" s="34">
        <v>0</v>
      </c>
      <c r="BH1268" s="34">
        <v>0</v>
      </c>
      <c r="BI1268" s="34">
        <v>0</v>
      </c>
      <c r="BJ1268" s="113">
        <v>0</v>
      </c>
      <c r="BK1268" s="113">
        <v>0</v>
      </c>
      <c r="BL1268" s="113">
        <v>0</v>
      </c>
      <c r="BM1268" s="113">
        <v>0</v>
      </c>
      <c r="BN1268" s="113">
        <v>0</v>
      </c>
      <c r="BO1268" s="113">
        <v>0</v>
      </c>
      <c r="BP1268" s="113">
        <v>0</v>
      </c>
      <c r="BQ1268" s="113">
        <v>0</v>
      </c>
      <c r="BR1268" s="101"/>
      <c r="BS1268">
        <f t="shared" ref="BS1268:CR1268" si="2701">IF($C1268&lt;&gt;"",IF(D1268&gt;0,1,0),0)</f>
        <v>0</v>
      </c>
      <c r="BT1268">
        <f t="shared" si="2701"/>
        <v>0</v>
      </c>
      <c r="BU1268">
        <f t="shared" si="2701"/>
        <v>0</v>
      </c>
      <c r="BV1268">
        <f t="shared" si="2701"/>
        <v>0</v>
      </c>
      <c r="BW1268">
        <f t="shared" si="2701"/>
        <v>0</v>
      </c>
      <c r="BX1268">
        <f t="shared" si="2701"/>
        <v>0</v>
      </c>
      <c r="BY1268">
        <f t="shared" si="2701"/>
        <v>0</v>
      </c>
      <c r="BZ1268">
        <f t="shared" si="2701"/>
        <v>0</v>
      </c>
      <c r="CA1268">
        <f t="shared" si="2701"/>
        <v>0</v>
      </c>
      <c r="CB1268">
        <f t="shared" si="2701"/>
        <v>0</v>
      </c>
      <c r="CC1268">
        <f t="shared" si="2701"/>
        <v>0</v>
      </c>
      <c r="CD1268">
        <f t="shared" si="2701"/>
        <v>0</v>
      </c>
      <c r="CE1268">
        <f t="shared" si="2701"/>
        <v>0</v>
      </c>
      <c r="CF1268">
        <f t="shared" si="2701"/>
        <v>0</v>
      </c>
      <c r="CG1268">
        <f t="shared" si="2701"/>
        <v>0</v>
      </c>
      <c r="CH1268">
        <f t="shared" si="2701"/>
        <v>0</v>
      </c>
      <c r="CI1268">
        <f t="shared" si="2701"/>
        <v>0</v>
      </c>
      <c r="CJ1268">
        <f t="shared" si="2701"/>
        <v>0</v>
      </c>
      <c r="CK1268">
        <f t="shared" si="2701"/>
        <v>0</v>
      </c>
      <c r="CL1268">
        <f t="shared" si="2701"/>
        <v>0</v>
      </c>
      <c r="CM1268">
        <f t="shared" si="2701"/>
        <v>0</v>
      </c>
      <c r="CN1268">
        <f t="shared" si="2701"/>
        <v>0</v>
      </c>
      <c r="CO1268">
        <f t="shared" si="2701"/>
        <v>0</v>
      </c>
      <c r="CP1268">
        <f t="shared" si="2701"/>
        <v>0</v>
      </c>
      <c r="CQ1268">
        <f t="shared" si="2701"/>
        <v>0</v>
      </c>
      <c r="CR1268">
        <f t="shared" si="2701"/>
        <v>0</v>
      </c>
      <c r="CS1268">
        <f t="shared" ref="CS1268:DV1268" si="2702">IF($C1268&lt;&gt;"",IF(AE1268&gt;0,1,0),0)</f>
        <v>0</v>
      </c>
      <c r="CT1268">
        <f t="shared" si="2702"/>
        <v>0</v>
      </c>
      <c r="CU1268">
        <f t="shared" si="2702"/>
        <v>0</v>
      </c>
      <c r="CV1268">
        <f t="shared" si="2702"/>
        <v>0</v>
      </c>
      <c r="CW1268">
        <f t="shared" si="2702"/>
        <v>0</v>
      </c>
      <c r="CX1268">
        <f t="shared" si="2702"/>
        <v>0</v>
      </c>
      <c r="CY1268">
        <f t="shared" si="2702"/>
        <v>0</v>
      </c>
      <c r="CZ1268">
        <f t="shared" si="2702"/>
        <v>0</v>
      </c>
      <c r="DA1268">
        <f t="shared" si="2702"/>
        <v>0</v>
      </c>
      <c r="DB1268">
        <f t="shared" si="2702"/>
        <v>0</v>
      </c>
      <c r="DC1268">
        <f t="shared" si="2702"/>
        <v>0</v>
      </c>
      <c r="DD1268">
        <f t="shared" si="2702"/>
        <v>0</v>
      </c>
      <c r="DE1268">
        <f t="shared" si="2702"/>
        <v>0</v>
      </c>
      <c r="DF1268">
        <f t="shared" si="2702"/>
        <v>0</v>
      </c>
      <c r="DG1268">
        <f t="shared" si="2702"/>
        <v>0</v>
      </c>
      <c r="DH1268">
        <f t="shared" si="2702"/>
        <v>0</v>
      </c>
      <c r="DI1268">
        <f t="shared" si="2702"/>
        <v>0</v>
      </c>
      <c r="DJ1268">
        <f t="shared" si="2702"/>
        <v>0</v>
      </c>
      <c r="DK1268">
        <f t="shared" si="2702"/>
        <v>0</v>
      </c>
      <c r="DL1268">
        <f t="shared" si="2702"/>
        <v>0</v>
      </c>
      <c r="DM1268">
        <f t="shared" si="2702"/>
        <v>0</v>
      </c>
      <c r="DN1268">
        <f t="shared" si="2702"/>
        <v>0</v>
      </c>
      <c r="DO1268">
        <f t="shared" si="2702"/>
        <v>0</v>
      </c>
      <c r="DP1268">
        <f t="shared" si="2702"/>
        <v>0</v>
      </c>
      <c r="DQ1268">
        <f t="shared" si="2702"/>
        <v>0</v>
      </c>
      <c r="DR1268">
        <f t="shared" si="2702"/>
        <v>0</v>
      </c>
      <c r="DS1268">
        <f t="shared" si="2702"/>
        <v>0</v>
      </c>
      <c r="DT1268">
        <f t="shared" si="2702"/>
        <v>0</v>
      </c>
      <c r="DU1268">
        <f t="shared" si="2702"/>
        <v>0</v>
      </c>
      <c r="DV1268">
        <f t="shared" si="2702"/>
        <v>0</v>
      </c>
      <c r="DW1268">
        <f>IF($C1268&lt;&gt;"",IF(#REF!&gt;0,1,0),0)</f>
        <v>0</v>
      </c>
      <c r="DX1268">
        <f>IF($C1268&lt;&gt;"",IF(#REF!&gt;0,1,0),0)</f>
        <v>0</v>
      </c>
      <c r="DY1268">
        <f>IF($C1268&lt;&gt;"",IF(#REF!&gt;0,1,0),0)</f>
        <v>0</v>
      </c>
      <c r="DZ1268">
        <f>IF($C1268&lt;&gt;"",IF(#REF!&gt;0,1,0),0)</f>
        <v>0</v>
      </c>
      <c r="EA1268">
        <f>IF($C1268&lt;&gt;"",IF(#REF!&gt;0,1,0),0)</f>
        <v>0</v>
      </c>
      <c r="EB1268">
        <f>IF($C1268&lt;&gt;"",IF(#REF!&gt;0,1,0),0)</f>
        <v>0</v>
      </c>
      <c r="EC1268">
        <f>IF($C1268&lt;&gt;"",IF(#REF!&gt;0,1,0),0)</f>
        <v>0</v>
      </c>
      <c r="ED1268">
        <f>IF($C1268&lt;&gt;"",IF(#REF!&gt;0,1,0),0)</f>
        <v>0</v>
      </c>
      <c r="EE1268">
        <f>IF($C1268&lt;&gt;"",IF(#REF!&gt;0,1,0),0)</f>
        <v>0</v>
      </c>
      <c r="EF1268">
        <f>IF($C1268&lt;&gt;"",IF(#REF!&gt;0,1,0),0)</f>
        <v>0</v>
      </c>
    </row>
    <row r="1269" spans="1:136" ht="15.5">
      <c r="A1269" s="90"/>
      <c r="B1269" s="57" t="s">
        <v>212</v>
      </c>
      <c r="C1269" s="98"/>
      <c r="D1269" s="34"/>
      <c r="E1269" s="34"/>
      <c r="F1269" s="34"/>
      <c r="G1269" s="34"/>
      <c r="H1269" s="34"/>
      <c r="I1269" s="34"/>
      <c r="J1269" s="34"/>
      <c r="K1269" s="34"/>
      <c r="L1269" s="34"/>
      <c r="M1269" s="34"/>
      <c r="N1269" s="34"/>
      <c r="O1269" s="34"/>
      <c r="P1269" s="34"/>
      <c r="Q1269" s="34"/>
      <c r="R1269" s="34"/>
      <c r="S1269" s="18"/>
      <c r="T1269" s="34"/>
      <c r="U1269" s="34"/>
      <c r="V1269" s="40" t="s">
        <v>16</v>
      </c>
      <c r="W1269" s="34">
        <v>0</v>
      </c>
      <c r="X1269" s="34">
        <v>0</v>
      </c>
      <c r="Y1269" s="34">
        <v>0</v>
      </c>
      <c r="Z1269" s="34">
        <v>0</v>
      </c>
      <c r="AA1269" s="34">
        <v>0</v>
      </c>
      <c r="AB1269" s="34">
        <v>0</v>
      </c>
      <c r="AC1269" s="40" t="s">
        <v>16</v>
      </c>
      <c r="AD1269" s="34">
        <v>0</v>
      </c>
      <c r="AE1269" s="34">
        <v>0</v>
      </c>
      <c r="AF1269" s="34">
        <v>0</v>
      </c>
      <c r="AG1269" s="34">
        <v>0</v>
      </c>
      <c r="AH1269" s="34">
        <v>0</v>
      </c>
      <c r="AI1269" s="34">
        <v>0</v>
      </c>
      <c r="AJ1269" s="34">
        <v>0</v>
      </c>
      <c r="AK1269" s="34">
        <v>0</v>
      </c>
      <c r="AL1269" s="34">
        <v>0</v>
      </c>
      <c r="AM1269" s="34">
        <v>0</v>
      </c>
      <c r="AN1269" s="34">
        <v>0</v>
      </c>
      <c r="AO1269" s="34">
        <v>0</v>
      </c>
      <c r="AP1269" s="34">
        <v>0</v>
      </c>
      <c r="AQ1269" s="34">
        <v>0</v>
      </c>
      <c r="AR1269" s="34">
        <v>0</v>
      </c>
      <c r="AS1269" s="34">
        <v>0</v>
      </c>
      <c r="AT1269" s="34">
        <v>0</v>
      </c>
      <c r="AU1269" s="34">
        <v>0</v>
      </c>
      <c r="AV1269" s="34">
        <v>0</v>
      </c>
      <c r="AW1269" s="34">
        <v>0</v>
      </c>
      <c r="AX1269" s="34">
        <v>0</v>
      </c>
      <c r="AY1269" s="34">
        <v>0</v>
      </c>
      <c r="AZ1269" s="34">
        <v>0</v>
      </c>
      <c r="BA1269" s="34">
        <v>0</v>
      </c>
      <c r="BB1269" s="34">
        <v>0</v>
      </c>
      <c r="BC1269" s="34">
        <v>0</v>
      </c>
      <c r="BD1269" s="34">
        <v>0</v>
      </c>
      <c r="BE1269" s="34">
        <v>0</v>
      </c>
      <c r="BF1269" s="34">
        <v>0</v>
      </c>
      <c r="BG1269" s="34">
        <v>0</v>
      </c>
      <c r="BH1269" s="34">
        <v>0</v>
      </c>
      <c r="BI1269" s="34">
        <v>0</v>
      </c>
      <c r="BJ1269" s="34">
        <v>0</v>
      </c>
      <c r="BK1269" s="34">
        <v>0</v>
      </c>
      <c r="BL1269" s="34">
        <v>0</v>
      </c>
      <c r="BM1269" s="34">
        <v>0</v>
      </c>
      <c r="BN1269" s="34">
        <v>0</v>
      </c>
      <c r="BO1269" s="34">
        <v>0</v>
      </c>
      <c r="BP1269" s="34">
        <v>0</v>
      </c>
      <c r="BQ1269" s="34">
        <v>0</v>
      </c>
      <c r="BR1269" s="101"/>
    </row>
    <row r="1270" spans="1:136" ht="15.5">
      <c r="A1270" s="90"/>
      <c r="B1270" s="53"/>
      <c r="C1270" s="98"/>
      <c r="D1270" s="34"/>
      <c r="E1270" s="34"/>
      <c r="F1270" s="34"/>
      <c r="G1270" s="34"/>
      <c r="H1270" s="34"/>
      <c r="I1270" s="34"/>
      <c r="J1270" s="34"/>
      <c r="K1270" s="34"/>
      <c r="L1270" s="34"/>
      <c r="M1270" s="34"/>
      <c r="N1270" s="34"/>
      <c r="O1270" s="34"/>
      <c r="P1270" s="34"/>
      <c r="Q1270" s="34"/>
      <c r="R1270" s="34"/>
      <c r="S1270" s="18"/>
      <c r="T1270" s="34"/>
      <c r="U1270" s="34"/>
      <c r="V1270" s="18"/>
      <c r="W1270" s="34"/>
      <c r="X1270" s="34"/>
      <c r="Y1270" s="34"/>
      <c r="Z1270" s="34"/>
      <c r="AA1270" s="34"/>
      <c r="AB1270" s="34"/>
      <c r="AC1270" s="18"/>
      <c r="AD1270" s="34"/>
      <c r="AE1270" s="34"/>
      <c r="AF1270" s="34"/>
      <c r="AG1270" s="34"/>
      <c r="AH1270" s="34"/>
      <c r="AI1270" s="34"/>
      <c r="AJ1270" s="34"/>
      <c r="AK1270" s="34"/>
      <c r="AL1270" s="34"/>
      <c r="AM1270" s="34"/>
      <c r="AN1270" s="34"/>
      <c r="AO1270" s="34"/>
      <c r="AP1270" s="34"/>
      <c r="AQ1270" s="34"/>
      <c r="AR1270" s="34"/>
      <c r="AS1270" s="34"/>
      <c r="AT1270" s="34"/>
      <c r="AU1270" s="34"/>
      <c r="AV1270" s="34"/>
      <c r="AW1270" s="34"/>
      <c r="AX1270" s="34"/>
      <c r="AY1270" s="34"/>
      <c r="AZ1270" s="34"/>
      <c r="BA1270" s="34"/>
      <c r="BB1270" s="34"/>
      <c r="BC1270" s="34"/>
      <c r="BD1270" s="34"/>
      <c r="BE1270" s="42"/>
      <c r="BF1270" s="34"/>
      <c r="BG1270" s="34"/>
      <c r="BH1270" s="34"/>
      <c r="BI1270" s="34"/>
      <c r="BJ1270" s="113"/>
      <c r="BK1270" s="113"/>
      <c r="BL1270" s="2"/>
      <c r="BM1270" s="2"/>
      <c r="BN1270" s="2"/>
      <c r="BO1270" s="2"/>
      <c r="BP1270" s="2"/>
      <c r="BQ1270" s="2"/>
      <c r="BR1270" s="101"/>
    </row>
    <row r="1271" spans="1:136" ht="15.5">
      <c r="A1271" s="93">
        <v>162</v>
      </c>
      <c r="B1271" s="52" t="s">
        <v>219</v>
      </c>
      <c r="C1271" s="98">
        <v>4</v>
      </c>
      <c r="D1271" s="34"/>
      <c r="E1271" s="34"/>
      <c r="F1271" s="34"/>
      <c r="G1271" s="34"/>
      <c r="H1271" s="34"/>
      <c r="I1271" s="34"/>
      <c r="J1271" s="34"/>
      <c r="K1271" s="34"/>
      <c r="L1271" s="34"/>
      <c r="M1271" s="34"/>
      <c r="N1271" s="34"/>
      <c r="O1271" s="34"/>
      <c r="P1271" s="34"/>
      <c r="Q1271" s="34"/>
      <c r="R1271" s="34"/>
      <c r="S1271" s="18"/>
      <c r="T1271" s="34"/>
      <c r="U1271" s="34"/>
      <c r="V1271" s="18"/>
      <c r="W1271" s="34"/>
      <c r="X1271" s="34"/>
      <c r="Y1271" s="34"/>
      <c r="Z1271" s="34"/>
      <c r="AA1271" s="34"/>
      <c r="AB1271" s="34"/>
      <c r="AC1271" s="18"/>
      <c r="AD1271" s="34"/>
      <c r="AE1271" s="34"/>
      <c r="AF1271" s="34"/>
      <c r="AG1271" s="34"/>
      <c r="AH1271" s="34"/>
      <c r="AI1271" s="34"/>
      <c r="AJ1271" s="34"/>
      <c r="AK1271" s="34"/>
      <c r="AL1271" s="34"/>
      <c r="AM1271" s="34"/>
      <c r="AN1271" s="34"/>
      <c r="AO1271" s="34"/>
      <c r="AP1271" s="34"/>
      <c r="AQ1271" s="34"/>
      <c r="AR1271" s="34"/>
      <c r="AS1271" s="34"/>
      <c r="AT1271" s="34"/>
      <c r="AU1271" s="34"/>
      <c r="AV1271" s="34"/>
      <c r="AW1271" s="34"/>
      <c r="AX1271" s="34"/>
      <c r="AY1271" s="34"/>
      <c r="AZ1271" s="34"/>
      <c r="BA1271" s="34"/>
      <c r="BB1271" s="34"/>
      <c r="BC1271" s="34"/>
      <c r="BD1271" s="34"/>
      <c r="BE1271" s="42"/>
      <c r="BF1271" s="34"/>
      <c r="BG1271" s="34"/>
      <c r="BH1271" s="34"/>
      <c r="BI1271" s="34"/>
      <c r="BJ1271" s="113"/>
      <c r="BK1271" s="113"/>
      <c r="BL1271" s="113"/>
      <c r="BM1271" s="2"/>
      <c r="BN1271" s="2"/>
      <c r="BO1271" s="2"/>
      <c r="BP1271" s="2"/>
      <c r="BQ1271" s="2"/>
      <c r="BR1271" s="101"/>
    </row>
    <row r="1272" spans="1:136" ht="15.5">
      <c r="A1272" s="90"/>
      <c r="B1272" s="57" t="s">
        <v>212</v>
      </c>
      <c r="C1272" s="98"/>
      <c r="D1272" s="34"/>
      <c r="E1272" s="34"/>
      <c r="F1272" s="34"/>
      <c r="G1272" s="34"/>
      <c r="H1272" s="34"/>
      <c r="I1272" s="34"/>
      <c r="J1272" s="34"/>
      <c r="K1272" s="34"/>
      <c r="L1272" s="34"/>
      <c r="M1272" s="34"/>
      <c r="N1272" s="34"/>
      <c r="O1272" s="34"/>
      <c r="P1272" s="34"/>
      <c r="Q1272" s="34"/>
      <c r="R1272" s="34"/>
      <c r="S1272" s="18"/>
      <c r="T1272" s="34"/>
      <c r="U1272" s="34"/>
      <c r="V1272" s="18"/>
      <c r="W1272" s="34"/>
      <c r="X1272" s="34"/>
      <c r="Y1272" s="34"/>
      <c r="Z1272" s="34"/>
      <c r="AA1272" s="34"/>
      <c r="AB1272" s="34"/>
      <c r="AC1272" s="18"/>
      <c r="AD1272" s="34"/>
      <c r="AE1272" s="34"/>
      <c r="AF1272" s="34"/>
      <c r="AG1272" s="34"/>
      <c r="AH1272" s="34"/>
      <c r="AI1272" s="34"/>
      <c r="AJ1272" s="34"/>
      <c r="AK1272" s="34"/>
      <c r="AL1272" s="34"/>
      <c r="AM1272" s="34">
        <v>10.4</v>
      </c>
      <c r="AN1272" s="34">
        <v>0</v>
      </c>
      <c r="AO1272" s="34">
        <v>5</v>
      </c>
      <c r="AP1272" s="34">
        <v>74</v>
      </c>
      <c r="AQ1272" s="34">
        <v>84</v>
      </c>
      <c r="AR1272" s="34">
        <v>152</v>
      </c>
      <c r="AS1272" s="34">
        <v>361</v>
      </c>
      <c r="AT1272" s="34">
        <v>415</v>
      </c>
      <c r="AU1272" s="34">
        <v>292</v>
      </c>
      <c r="AV1272" s="34">
        <v>195</v>
      </c>
      <c r="AW1272" s="34">
        <v>58</v>
      </c>
      <c r="AX1272" s="34">
        <v>485</v>
      </c>
      <c r="AY1272" s="34">
        <v>387</v>
      </c>
      <c r="AZ1272" s="34">
        <v>0</v>
      </c>
      <c r="BA1272" s="34">
        <v>96.886452000000006</v>
      </c>
      <c r="BB1272" s="34">
        <v>87.982270400000004</v>
      </c>
      <c r="BC1272" s="34">
        <v>264.62160900000003</v>
      </c>
      <c r="BD1272" s="34">
        <v>436.5727296</v>
      </c>
      <c r="BE1272" s="42">
        <v>694.62373320000006</v>
      </c>
      <c r="BF1272" s="34">
        <v>902.47811200000001</v>
      </c>
      <c r="BG1272" s="34">
        <v>179.99411200000009</v>
      </c>
      <c r="BH1272" s="34">
        <v>621.99411200000009</v>
      </c>
      <c r="BI1272" s="34">
        <v>973.99411200000009</v>
      </c>
      <c r="BJ1272" s="113">
        <v>1079.00233</v>
      </c>
      <c r="BK1272" s="113">
        <v>3277</v>
      </c>
      <c r="BL1272" s="18">
        <v>4137</v>
      </c>
      <c r="BM1272" s="113">
        <v>5171</v>
      </c>
      <c r="BN1272" s="113">
        <v>5630</v>
      </c>
      <c r="BO1272" s="113">
        <v>6212</v>
      </c>
      <c r="BP1272" s="113">
        <v>7286</v>
      </c>
      <c r="BQ1272" s="40" t="s">
        <v>16</v>
      </c>
      <c r="BR1272" s="101"/>
      <c r="BS1272">
        <f t="shared" ref="BS1272:CX1272" si="2703">IF($C1272&lt;&gt;"",IF(D1272&gt;0,1,0),0)</f>
        <v>0</v>
      </c>
      <c r="BT1272">
        <f t="shared" si="2703"/>
        <v>0</v>
      </c>
      <c r="BU1272">
        <f t="shared" si="2703"/>
        <v>0</v>
      </c>
      <c r="BV1272">
        <f t="shared" si="2703"/>
        <v>0</v>
      </c>
      <c r="BW1272">
        <f t="shared" si="2703"/>
        <v>0</v>
      </c>
      <c r="BX1272">
        <f t="shared" si="2703"/>
        <v>0</v>
      </c>
      <c r="BY1272">
        <f t="shared" si="2703"/>
        <v>0</v>
      </c>
      <c r="BZ1272">
        <f t="shared" si="2703"/>
        <v>0</v>
      </c>
      <c r="CA1272">
        <f t="shared" si="2703"/>
        <v>0</v>
      </c>
      <c r="CB1272">
        <f t="shared" si="2703"/>
        <v>0</v>
      </c>
      <c r="CC1272">
        <f t="shared" si="2703"/>
        <v>0</v>
      </c>
      <c r="CD1272">
        <f t="shared" si="2703"/>
        <v>0</v>
      </c>
      <c r="CE1272">
        <f t="shared" si="2703"/>
        <v>0</v>
      </c>
      <c r="CF1272">
        <f t="shared" si="2703"/>
        <v>0</v>
      </c>
      <c r="CG1272">
        <f t="shared" si="2703"/>
        <v>0</v>
      </c>
      <c r="CH1272">
        <f t="shared" si="2703"/>
        <v>0</v>
      </c>
      <c r="CI1272">
        <f t="shared" si="2703"/>
        <v>0</v>
      </c>
      <c r="CJ1272">
        <f t="shared" si="2703"/>
        <v>0</v>
      </c>
      <c r="CK1272">
        <f t="shared" si="2703"/>
        <v>0</v>
      </c>
      <c r="CL1272">
        <f t="shared" si="2703"/>
        <v>0</v>
      </c>
      <c r="CM1272">
        <f t="shared" si="2703"/>
        <v>0</v>
      </c>
      <c r="CN1272">
        <f t="shared" si="2703"/>
        <v>0</v>
      </c>
      <c r="CO1272">
        <f t="shared" si="2703"/>
        <v>0</v>
      </c>
      <c r="CP1272">
        <f t="shared" si="2703"/>
        <v>0</v>
      </c>
      <c r="CQ1272">
        <f t="shared" si="2703"/>
        <v>0</v>
      </c>
      <c r="CR1272">
        <f t="shared" si="2703"/>
        <v>0</v>
      </c>
      <c r="CS1272">
        <f t="shared" si="2703"/>
        <v>0</v>
      </c>
      <c r="CT1272">
        <f t="shared" si="2703"/>
        <v>0</v>
      </c>
      <c r="CU1272">
        <f t="shared" si="2703"/>
        <v>0</v>
      </c>
      <c r="CV1272">
        <f t="shared" si="2703"/>
        <v>0</v>
      </c>
      <c r="CW1272">
        <f t="shared" si="2703"/>
        <v>0</v>
      </c>
      <c r="CX1272">
        <f t="shared" si="2703"/>
        <v>0</v>
      </c>
      <c r="CY1272">
        <f t="shared" ref="CY1272:EF1272" si="2704">IF($C1272&lt;&gt;"",IF(AJ1272&gt;0,1,0),0)</f>
        <v>0</v>
      </c>
      <c r="CZ1272">
        <f t="shared" si="2704"/>
        <v>0</v>
      </c>
      <c r="DA1272">
        <f t="shared" si="2704"/>
        <v>0</v>
      </c>
      <c r="DB1272">
        <f t="shared" si="2704"/>
        <v>0</v>
      </c>
      <c r="DC1272">
        <f t="shared" si="2704"/>
        <v>0</v>
      </c>
      <c r="DD1272">
        <f t="shared" si="2704"/>
        <v>0</v>
      </c>
      <c r="DE1272">
        <f t="shared" si="2704"/>
        <v>0</v>
      </c>
      <c r="DF1272">
        <f t="shared" si="2704"/>
        <v>0</v>
      </c>
      <c r="DG1272">
        <f t="shared" si="2704"/>
        <v>0</v>
      </c>
      <c r="DH1272">
        <f t="shared" si="2704"/>
        <v>0</v>
      </c>
      <c r="DI1272">
        <f t="shared" si="2704"/>
        <v>0</v>
      </c>
      <c r="DJ1272">
        <f t="shared" si="2704"/>
        <v>0</v>
      </c>
      <c r="DK1272">
        <f t="shared" si="2704"/>
        <v>0</v>
      </c>
      <c r="DL1272">
        <f t="shared" si="2704"/>
        <v>0</v>
      </c>
      <c r="DM1272">
        <f t="shared" si="2704"/>
        <v>0</v>
      </c>
      <c r="DN1272">
        <f t="shared" si="2704"/>
        <v>0</v>
      </c>
      <c r="DO1272">
        <f t="shared" si="2704"/>
        <v>0</v>
      </c>
      <c r="DP1272">
        <f t="shared" si="2704"/>
        <v>0</v>
      </c>
      <c r="DQ1272">
        <f t="shared" si="2704"/>
        <v>0</v>
      </c>
      <c r="DR1272">
        <f t="shared" si="2704"/>
        <v>0</v>
      </c>
      <c r="DS1272">
        <f t="shared" si="2704"/>
        <v>0</v>
      </c>
      <c r="DT1272">
        <f t="shared" si="2704"/>
        <v>0</v>
      </c>
      <c r="DU1272">
        <f t="shared" si="2704"/>
        <v>0</v>
      </c>
      <c r="DV1272">
        <f t="shared" si="2704"/>
        <v>0</v>
      </c>
      <c r="DW1272">
        <f t="shared" si="2704"/>
        <v>0</v>
      </c>
      <c r="DX1272">
        <f t="shared" si="2704"/>
        <v>0</v>
      </c>
      <c r="DY1272">
        <f t="shared" si="2704"/>
        <v>0</v>
      </c>
      <c r="DZ1272">
        <f t="shared" si="2704"/>
        <v>0</v>
      </c>
      <c r="EA1272">
        <f t="shared" si="2704"/>
        <v>0</v>
      </c>
      <c r="EB1272">
        <f>IF($C1272&lt;&gt;"",IF(BM1272&gt;0,1,0),0)</f>
        <v>0</v>
      </c>
      <c r="EC1272">
        <f t="shared" si="2704"/>
        <v>0</v>
      </c>
      <c r="ED1272">
        <f t="shared" si="2704"/>
        <v>0</v>
      </c>
      <c r="EE1272">
        <f t="shared" si="2704"/>
        <v>0</v>
      </c>
      <c r="EF1272">
        <f t="shared" si="2704"/>
        <v>0</v>
      </c>
    </row>
    <row r="1273" spans="1:136" ht="15.5">
      <c r="A1273" s="90"/>
      <c r="B1273" s="37"/>
      <c r="C1273" s="88"/>
      <c r="D1273" s="36"/>
      <c r="E1273" s="36"/>
      <c r="F1273" s="36"/>
      <c r="G1273" s="36"/>
      <c r="H1273" s="36"/>
      <c r="I1273" s="36"/>
      <c r="J1273" s="36"/>
      <c r="K1273" s="36"/>
      <c r="L1273" s="36"/>
      <c r="M1273" s="36"/>
      <c r="N1273" s="36"/>
      <c r="O1273" s="36"/>
      <c r="P1273" s="36"/>
      <c r="Q1273" s="36"/>
      <c r="R1273" s="36"/>
      <c r="S1273" s="36"/>
      <c r="T1273" s="36"/>
      <c r="U1273" s="36"/>
      <c r="V1273" s="36"/>
      <c r="W1273" s="36"/>
      <c r="X1273" s="36"/>
      <c r="Y1273" s="36"/>
      <c r="Z1273" s="36"/>
      <c r="AA1273" s="36"/>
      <c r="AB1273" s="36"/>
      <c r="AC1273" s="36"/>
      <c r="AD1273" s="36"/>
      <c r="AE1273" s="36"/>
      <c r="AF1273" s="36"/>
      <c r="AG1273" s="36"/>
      <c r="AH1273" s="36"/>
      <c r="AI1273" s="36"/>
      <c r="AJ1273" s="36"/>
      <c r="AK1273" s="36"/>
      <c r="AL1273" s="36"/>
      <c r="AM1273" s="36"/>
      <c r="AN1273" s="36"/>
      <c r="AO1273" s="36"/>
      <c r="AP1273" s="36"/>
      <c r="AQ1273" s="36"/>
      <c r="AR1273" s="36"/>
      <c r="AS1273" s="36"/>
      <c r="AT1273" s="36"/>
      <c r="AU1273" s="36"/>
      <c r="AV1273" s="36"/>
      <c r="AW1273" s="36"/>
      <c r="AX1273" s="36"/>
      <c r="AY1273" s="36"/>
      <c r="AZ1273" s="36"/>
      <c r="BA1273" s="36"/>
      <c r="BB1273" s="36"/>
      <c r="BC1273" s="36"/>
      <c r="BD1273" s="36"/>
      <c r="BE1273" s="74"/>
      <c r="BF1273" s="34"/>
      <c r="BG1273" s="22"/>
      <c r="BH1273" s="2"/>
      <c r="BI1273" s="2"/>
      <c r="BJ1273" s="2"/>
      <c r="BK1273" s="2"/>
      <c r="BL1273" s="22"/>
      <c r="BM1273" s="2"/>
      <c r="BN1273" s="2"/>
      <c r="BO1273" s="2"/>
      <c r="BP1273" s="2"/>
      <c r="BQ1273" s="2"/>
      <c r="BR1273" s="101"/>
    </row>
    <row r="1274" spans="1:136" ht="15.5">
      <c r="A1274" s="93">
        <v>163</v>
      </c>
      <c r="B1274" s="75" t="s">
        <v>158</v>
      </c>
      <c r="C1274" s="98">
        <v>4</v>
      </c>
      <c r="D1274" s="9"/>
      <c r="E1274" s="9"/>
      <c r="F1274" s="9"/>
      <c r="G1274" s="9"/>
      <c r="H1274" s="9"/>
      <c r="I1274" s="9"/>
      <c r="J1274" s="9"/>
      <c r="K1274" s="9">
        <f t="shared" ref="K1274:AP1274" si="2705">SUM(K1275:K1279)</f>
        <v>0</v>
      </c>
      <c r="L1274" s="9">
        <f t="shared" si="2705"/>
        <v>0</v>
      </c>
      <c r="M1274" s="9">
        <f t="shared" si="2705"/>
        <v>0</v>
      </c>
      <c r="N1274" s="9">
        <f t="shared" si="2705"/>
        <v>0</v>
      </c>
      <c r="O1274" s="9">
        <f t="shared" si="2705"/>
        <v>0</v>
      </c>
      <c r="P1274" s="9">
        <f t="shared" si="2705"/>
        <v>0</v>
      </c>
      <c r="Q1274" s="9">
        <f t="shared" si="2705"/>
        <v>14.919215900000001</v>
      </c>
      <c r="R1274" s="9">
        <f t="shared" si="2705"/>
        <v>22.585941500000001</v>
      </c>
      <c r="S1274" s="9">
        <f t="shared" si="2705"/>
        <v>32.795705499999997</v>
      </c>
      <c r="T1274" s="9">
        <f t="shared" si="2705"/>
        <v>46.101426099999998</v>
      </c>
      <c r="U1274" s="9">
        <f t="shared" si="2705"/>
        <v>104.12655059999999</v>
      </c>
      <c r="V1274" s="9">
        <f t="shared" si="2705"/>
        <v>48.802000499999998</v>
      </c>
      <c r="W1274" s="9">
        <f t="shared" si="2705"/>
        <v>49.437921199999998</v>
      </c>
      <c r="X1274" s="9">
        <f t="shared" si="2705"/>
        <v>7.6549528000000002</v>
      </c>
      <c r="Y1274" s="9">
        <f t="shared" si="2705"/>
        <v>22.362048199999997</v>
      </c>
      <c r="Z1274" s="9">
        <f t="shared" si="2705"/>
        <v>40.987471599999999</v>
      </c>
      <c r="AA1274" s="9">
        <f t="shared" si="2705"/>
        <v>81.032190900000003</v>
      </c>
      <c r="AB1274" s="9">
        <f t="shared" si="2705"/>
        <v>131.77199419999999</v>
      </c>
      <c r="AC1274" s="9">
        <f t="shared" si="2705"/>
        <v>194.8690814</v>
      </c>
      <c r="AD1274" s="9">
        <f t="shared" si="2705"/>
        <v>278.41362679999997</v>
      </c>
      <c r="AE1274" s="9">
        <f t="shared" si="2705"/>
        <v>383.64683530000002</v>
      </c>
      <c r="AF1274" s="9">
        <f t="shared" si="2705"/>
        <v>497.51203520000001</v>
      </c>
      <c r="AG1274" s="9">
        <f t="shared" si="2705"/>
        <v>605.77368189999993</v>
      </c>
      <c r="AH1274" s="9">
        <f t="shared" si="2705"/>
        <v>1183.1682697000001</v>
      </c>
      <c r="AI1274" s="9">
        <f t="shared" si="2705"/>
        <v>972.88736529999994</v>
      </c>
      <c r="AJ1274" s="9">
        <f t="shared" si="2705"/>
        <v>1134.2716333000001</v>
      </c>
      <c r="AK1274" s="9">
        <f t="shared" si="2705"/>
        <v>1299.2691287</v>
      </c>
      <c r="AL1274" s="9">
        <f t="shared" si="2705"/>
        <v>1300.9644991</v>
      </c>
      <c r="AM1274" s="9">
        <f t="shared" si="2705"/>
        <v>1368.1706653000001</v>
      </c>
      <c r="AN1274" s="9">
        <f t="shared" si="2705"/>
        <v>1709.6725564000001</v>
      </c>
      <c r="AO1274" s="9">
        <f t="shared" si="2705"/>
        <v>2124.1524675000001</v>
      </c>
      <c r="AP1274" s="9">
        <f t="shared" si="2705"/>
        <v>104.32064939999999</v>
      </c>
      <c r="AQ1274" s="9">
        <f t="shared" ref="AQ1274:BQ1274" si="2706">SUM(AQ1275:AQ1279)</f>
        <v>225.09334149999998</v>
      </c>
      <c r="AR1274" s="9">
        <f t="shared" si="2706"/>
        <v>148.68650069999998</v>
      </c>
      <c r="AS1274" s="9">
        <f t="shared" si="2706"/>
        <v>1211.9855627000002</v>
      </c>
      <c r="AT1274" s="9">
        <f t="shared" si="2706"/>
        <v>220.76538060000001</v>
      </c>
      <c r="AU1274" s="9">
        <f t="shared" si="2706"/>
        <v>189.4593653</v>
      </c>
      <c r="AV1274" s="9">
        <f t="shared" si="2706"/>
        <v>359.50577929999997</v>
      </c>
      <c r="AW1274" s="9">
        <f t="shared" si="2706"/>
        <v>365.07257650000003</v>
      </c>
      <c r="AX1274" s="9">
        <f t="shared" si="2706"/>
        <v>365.44471770000001</v>
      </c>
      <c r="AY1274" s="9">
        <f t="shared" si="2706"/>
        <v>273.24294429999998</v>
      </c>
      <c r="AZ1274" s="9">
        <f t="shared" si="2706"/>
        <v>292.48035320000002</v>
      </c>
      <c r="BA1274" s="9">
        <f t="shared" si="2706"/>
        <v>282.57692830000002</v>
      </c>
      <c r="BB1274" s="9">
        <f t="shared" si="2706"/>
        <v>390.00767519999999</v>
      </c>
      <c r="BC1274" s="9">
        <f t="shared" si="2706"/>
        <v>226.87077649999998</v>
      </c>
      <c r="BD1274" s="9">
        <f t="shared" si="2706"/>
        <v>334.94644319999998</v>
      </c>
      <c r="BE1274" s="9">
        <f t="shared" si="2706"/>
        <v>355.93099339999998</v>
      </c>
      <c r="BF1274" s="9">
        <f t="shared" si="2706"/>
        <v>371.98197449999998</v>
      </c>
      <c r="BG1274" s="9">
        <f t="shared" si="2706"/>
        <v>397.95912490000001</v>
      </c>
      <c r="BH1274" s="9">
        <f t="shared" si="2706"/>
        <v>629.72842720000006</v>
      </c>
      <c r="BI1274" s="22">
        <f t="shared" si="2706"/>
        <v>1810</v>
      </c>
      <c r="BJ1274" s="22">
        <f t="shared" si="2706"/>
        <v>1730</v>
      </c>
      <c r="BK1274" s="22">
        <f t="shared" si="2706"/>
        <v>1759</v>
      </c>
      <c r="BL1274" s="22">
        <f t="shared" si="2706"/>
        <v>2152.8147561999999</v>
      </c>
      <c r="BM1274" s="22">
        <f t="shared" si="2706"/>
        <v>2493.9192524999999</v>
      </c>
      <c r="BN1274" s="22">
        <f t="shared" si="2706"/>
        <v>2803.3816590000001</v>
      </c>
      <c r="BO1274" s="22">
        <f t="shared" si="2706"/>
        <v>3154</v>
      </c>
      <c r="BP1274" s="22">
        <f t="shared" si="2706"/>
        <v>3154</v>
      </c>
      <c r="BQ1274" s="22">
        <f t="shared" si="2706"/>
        <v>3154</v>
      </c>
      <c r="BR1274" s="101"/>
      <c r="BS1274">
        <f t="shared" ref="BS1274:CX1274" si="2707">IF($C1274&lt;&gt;"",IF(D1274&gt;0,1,0),0)</f>
        <v>0</v>
      </c>
      <c r="BT1274">
        <f t="shared" si="2707"/>
        <v>0</v>
      </c>
      <c r="BU1274">
        <f t="shared" si="2707"/>
        <v>0</v>
      </c>
      <c r="BV1274">
        <f t="shared" si="2707"/>
        <v>0</v>
      </c>
      <c r="BW1274">
        <f t="shared" si="2707"/>
        <v>0</v>
      </c>
      <c r="BX1274">
        <f t="shared" si="2707"/>
        <v>0</v>
      </c>
      <c r="BY1274">
        <f t="shared" si="2707"/>
        <v>0</v>
      </c>
      <c r="BZ1274">
        <f t="shared" si="2707"/>
        <v>0</v>
      </c>
      <c r="CA1274">
        <f t="shared" si="2707"/>
        <v>0</v>
      </c>
      <c r="CB1274">
        <f t="shared" si="2707"/>
        <v>0</v>
      </c>
      <c r="CC1274">
        <f t="shared" si="2707"/>
        <v>0</v>
      </c>
      <c r="CD1274">
        <f t="shared" si="2707"/>
        <v>0</v>
      </c>
      <c r="CE1274">
        <f t="shared" si="2707"/>
        <v>0</v>
      </c>
      <c r="CF1274">
        <f t="shared" si="2707"/>
        <v>1</v>
      </c>
      <c r="CG1274">
        <f t="shared" si="2707"/>
        <v>1</v>
      </c>
      <c r="CH1274">
        <f t="shared" si="2707"/>
        <v>1</v>
      </c>
      <c r="CI1274">
        <f t="shared" si="2707"/>
        <v>1</v>
      </c>
      <c r="CJ1274">
        <f t="shared" si="2707"/>
        <v>1</v>
      </c>
      <c r="CK1274">
        <f t="shared" si="2707"/>
        <v>1</v>
      </c>
      <c r="CL1274">
        <f t="shared" si="2707"/>
        <v>1</v>
      </c>
      <c r="CM1274">
        <f t="shared" si="2707"/>
        <v>1</v>
      </c>
      <c r="CN1274">
        <f t="shared" si="2707"/>
        <v>1</v>
      </c>
      <c r="CO1274">
        <f t="shared" si="2707"/>
        <v>1</v>
      </c>
      <c r="CP1274">
        <f t="shared" si="2707"/>
        <v>1</v>
      </c>
      <c r="CQ1274">
        <f t="shared" si="2707"/>
        <v>1</v>
      </c>
      <c r="CR1274">
        <f t="shared" si="2707"/>
        <v>1</v>
      </c>
      <c r="CS1274">
        <f t="shared" si="2707"/>
        <v>1</v>
      </c>
      <c r="CT1274">
        <f t="shared" si="2707"/>
        <v>1</v>
      </c>
      <c r="CU1274">
        <f t="shared" si="2707"/>
        <v>1</v>
      </c>
      <c r="CV1274">
        <f t="shared" si="2707"/>
        <v>1</v>
      </c>
      <c r="CW1274">
        <f t="shared" si="2707"/>
        <v>1</v>
      </c>
      <c r="CX1274">
        <f t="shared" si="2707"/>
        <v>1</v>
      </c>
      <c r="CY1274">
        <f t="shared" ref="CY1274:EF1274" si="2708">IF($C1274&lt;&gt;"",IF(AJ1274&gt;0,1,0),0)</f>
        <v>1</v>
      </c>
      <c r="CZ1274">
        <f t="shared" si="2708"/>
        <v>1</v>
      </c>
      <c r="DA1274">
        <f t="shared" si="2708"/>
        <v>1</v>
      </c>
      <c r="DB1274">
        <f t="shared" si="2708"/>
        <v>1</v>
      </c>
      <c r="DC1274">
        <f t="shared" si="2708"/>
        <v>1</v>
      </c>
      <c r="DD1274">
        <f t="shared" si="2708"/>
        <v>1</v>
      </c>
      <c r="DE1274">
        <f t="shared" si="2708"/>
        <v>1</v>
      </c>
      <c r="DF1274">
        <f t="shared" si="2708"/>
        <v>1</v>
      </c>
      <c r="DG1274">
        <f t="shared" si="2708"/>
        <v>1</v>
      </c>
      <c r="DH1274">
        <f t="shared" si="2708"/>
        <v>1</v>
      </c>
      <c r="DI1274">
        <f t="shared" si="2708"/>
        <v>1</v>
      </c>
      <c r="DJ1274">
        <f t="shared" si="2708"/>
        <v>1</v>
      </c>
      <c r="DK1274">
        <f t="shared" si="2708"/>
        <v>1</v>
      </c>
      <c r="DL1274">
        <f t="shared" si="2708"/>
        <v>1</v>
      </c>
      <c r="DM1274">
        <f t="shared" si="2708"/>
        <v>1</v>
      </c>
      <c r="DN1274">
        <f t="shared" si="2708"/>
        <v>1</v>
      </c>
      <c r="DO1274">
        <f t="shared" si="2708"/>
        <v>1</v>
      </c>
      <c r="DP1274">
        <f t="shared" si="2708"/>
        <v>1</v>
      </c>
      <c r="DQ1274">
        <f t="shared" si="2708"/>
        <v>1</v>
      </c>
      <c r="DR1274">
        <f t="shared" si="2708"/>
        <v>1</v>
      </c>
      <c r="DS1274">
        <f t="shared" si="2708"/>
        <v>1</v>
      </c>
      <c r="DT1274">
        <f t="shared" si="2708"/>
        <v>1</v>
      </c>
      <c r="DU1274">
        <f t="shared" si="2708"/>
        <v>1</v>
      </c>
      <c r="DV1274">
        <f t="shared" si="2708"/>
        <v>1</v>
      </c>
      <c r="DW1274">
        <f t="shared" si="2708"/>
        <v>1</v>
      </c>
      <c r="DX1274">
        <f t="shared" si="2708"/>
        <v>1</v>
      </c>
      <c r="DY1274">
        <f t="shared" si="2708"/>
        <v>1</v>
      </c>
      <c r="DZ1274">
        <f t="shared" si="2708"/>
        <v>1</v>
      </c>
      <c r="EA1274">
        <f t="shared" si="2708"/>
        <v>1</v>
      </c>
      <c r="EB1274">
        <f>IF($C1274&lt;&gt;"",IF(BM1274&gt;0,1,0),0)</f>
        <v>1</v>
      </c>
      <c r="EC1274">
        <f t="shared" si="2708"/>
        <v>1</v>
      </c>
      <c r="ED1274">
        <f t="shared" si="2708"/>
        <v>1</v>
      </c>
      <c r="EE1274">
        <f t="shared" si="2708"/>
        <v>1</v>
      </c>
      <c r="EF1274">
        <f t="shared" si="2708"/>
        <v>1</v>
      </c>
    </row>
    <row r="1275" spans="1:136" ht="15.5">
      <c r="A1275" s="90"/>
      <c r="B1275" s="19" t="s">
        <v>2</v>
      </c>
      <c r="C1275" s="88"/>
      <c r="D1275" s="9"/>
      <c r="E1275" s="9"/>
      <c r="F1275" s="9"/>
      <c r="G1275" s="9"/>
      <c r="H1275" s="9"/>
      <c r="I1275" s="9"/>
      <c r="J1275" s="9"/>
      <c r="K1275" s="34">
        <v>0</v>
      </c>
      <c r="L1275" s="34">
        <v>0</v>
      </c>
      <c r="M1275" s="34">
        <v>0</v>
      </c>
      <c r="N1275" s="34">
        <v>0</v>
      </c>
      <c r="O1275" s="34">
        <v>0</v>
      </c>
      <c r="P1275" s="34">
        <v>0</v>
      </c>
      <c r="Q1275" s="34">
        <v>0</v>
      </c>
      <c r="R1275" s="34">
        <v>0</v>
      </c>
      <c r="S1275" s="9"/>
      <c r="T1275" s="9"/>
      <c r="U1275" s="9"/>
      <c r="V1275" s="9"/>
      <c r="W1275" s="9"/>
      <c r="X1275" s="9"/>
      <c r="Y1275" s="9"/>
      <c r="Z1275" s="9"/>
      <c r="AA1275" s="9"/>
      <c r="AB1275" s="9"/>
      <c r="AC1275" s="9"/>
      <c r="AD1275" s="9"/>
      <c r="AE1275" s="9"/>
      <c r="AF1275" s="9"/>
      <c r="AG1275" s="9"/>
      <c r="AH1275" s="9"/>
      <c r="AI1275" s="9"/>
      <c r="AJ1275" s="9"/>
      <c r="AK1275" s="9"/>
      <c r="AL1275" s="9"/>
      <c r="AM1275" s="9"/>
      <c r="AN1275" s="34">
        <v>112</v>
      </c>
      <c r="AO1275" s="34">
        <v>1444</v>
      </c>
      <c r="AP1275" s="34">
        <v>0</v>
      </c>
      <c r="AQ1275" s="34">
        <v>0</v>
      </c>
      <c r="AR1275" s="40" t="s">
        <v>16</v>
      </c>
      <c r="AS1275" s="34">
        <v>420</v>
      </c>
      <c r="AT1275" s="40" t="s">
        <v>16</v>
      </c>
      <c r="AU1275" s="34">
        <v>0</v>
      </c>
      <c r="AV1275" s="34">
        <v>0</v>
      </c>
      <c r="AW1275" s="34">
        <v>0</v>
      </c>
      <c r="AX1275" s="34">
        <v>0</v>
      </c>
      <c r="AY1275" s="34">
        <v>8</v>
      </c>
      <c r="AZ1275" s="34">
        <v>0</v>
      </c>
      <c r="BA1275" s="34">
        <v>0</v>
      </c>
      <c r="BB1275" s="34">
        <v>0</v>
      </c>
      <c r="BC1275" s="34">
        <v>0</v>
      </c>
      <c r="BD1275" s="34">
        <v>0</v>
      </c>
      <c r="BE1275" s="34">
        <v>0</v>
      </c>
      <c r="BF1275" s="34">
        <v>0</v>
      </c>
      <c r="BG1275" s="34">
        <v>0</v>
      </c>
      <c r="BH1275" s="34">
        <v>0</v>
      </c>
      <c r="BI1275" s="18">
        <v>1599</v>
      </c>
      <c r="BJ1275" s="113">
        <v>1612</v>
      </c>
      <c r="BK1275" s="113">
        <v>1638</v>
      </c>
      <c r="BL1275" s="113">
        <v>1683</v>
      </c>
      <c r="BM1275" s="113">
        <v>1664</v>
      </c>
      <c r="BN1275" s="113">
        <v>1701</v>
      </c>
      <c r="BO1275" s="113">
        <v>1705</v>
      </c>
      <c r="BP1275" s="113">
        <v>1733</v>
      </c>
      <c r="BQ1275" s="113">
        <v>1795</v>
      </c>
      <c r="BR1275" s="101"/>
      <c r="BS1275">
        <f t="shared" ref="BS1275:CB1280" si="2709">IF($C1275&lt;&gt;"",IF(D1275&gt;0,1,0),0)</f>
        <v>0</v>
      </c>
      <c r="BT1275">
        <f t="shared" si="2709"/>
        <v>0</v>
      </c>
      <c r="BU1275">
        <f t="shared" si="2709"/>
        <v>0</v>
      </c>
      <c r="BV1275">
        <f t="shared" si="2709"/>
        <v>0</v>
      </c>
      <c r="BW1275">
        <f t="shared" si="2709"/>
        <v>0</v>
      </c>
      <c r="BX1275">
        <f t="shared" si="2709"/>
        <v>0</v>
      </c>
      <c r="BY1275">
        <f t="shared" si="2709"/>
        <v>0</v>
      </c>
      <c r="BZ1275">
        <f t="shared" si="2709"/>
        <v>0</v>
      </c>
      <c r="CA1275">
        <f t="shared" si="2709"/>
        <v>0</v>
      </c>
      <c r="CB1275">
        <f t="shared" si="2709"/>
        <v>0</v>
      </c>
      <c r="CC1275">
        <f t="shared" ref="CC1275:CL1280" si="2710">IF($C1275&lt;&gt;"",IF(N1275&gt;0,1,0),0)</f>
        <v>0</v>
      </c>
      <c r="CD1275">
        <f t="shared" si="2710"/>
        <v>0</v>
      </c>
      <c r="CE1275">
        <f t="shared" si="2710"/>
        <v>0</v>
      </c>
      <c r="CF1275">
        <f t="shared" si="2710"/>
        <v>0</v>
      </c>
      <c r="CG1275">
        <f t="shared" si="2710"/>
        <v>0</v>
      </c>
      <c r="CH1275">
        <f t="shared" si="2710"/>
        <v>0</v>
      </c>
      <c r="CI1275">
        <f t="shared" si="2710"/>
        <v>0</v>
      </c>
      <c r="CJ1275">
        <f t="shared" si="2710"/>
        <v>0</v>
      </c>
      <c r="CK1275">
        <f t="shared" si="2710"/>
        <v>0</v>
      </c>
      <c r="CL1275">
        <f t="shared" si="2710"/>
        <v>0</v>
      </c>
      <c r="CM1275">
        <f t="shared" ref="CM1275:CV1280" si="2711">IF($C1275&lt;&gt;"",IF(X1275&gt;0,1,0),0)</f>
        <v>0</v>
      </c>
      <c r="CN1275">
        <f t="shared" si="2711"/>
        <v>0</v>
      </c>
      <c r="CO1275">
        <f t="shared" si="2711"/>
        <v>0</v>
      </c>
      <c r="CP1275">
        <f t="shared" si="2711"/>
        <v>0</v>
      </c>
      <c r="CQ1275">
        <f t="shared" si="2711"/>
        <v>0</v>
      </c>
      <c r="CR1275">
        <f t="shared" si="2711"/>
        <v>0</v>
      </c>
      <c r="CS1275">
        <f t="shared" si="2711"/>
        <v>0</v>
      </c>
      <c r="CT1275">
        <f t="shared" si="2711"/>
        <v>0</v>
      </c>
      <c r="CU1275">
        <f t="shared" si="2711"/>
        <v>0</v>
      </c>
      <c r="CV1275">
        <f t="shared" si="2711"/>
        <v>0</v>
      </c>
      <c r="CW1275">
        <f t="shared" ref="CW1275:DF1280" si="2712">IF($C1275&lt;&gt;"",IF(AH1275&gt;0,1,0),0)</f>
        <v>0</v>
      </c>
      <c r="CX1275">
        <f t="shared" si="2712"/>
        <v>0</v>
      </c>
      <c r="CY1275">
        <f t="shared" si="2712"/>
        <v>0</v>
      </c>
      <c r="CZ1275">
        <f t="shared" si="2712"/>
        <v>0</v>
      </c>
      <c r="DA1275">
        <f t="shared" si="2712"/>
        <v>0</v>
      </c>
      <c r="DB1275">
        <f t="shared" si="2712"/>
        <v>0</v>
      </c>
      <c r="DC1275">
        <f t="shared" si="2712"/>
        <v>0</v>
      </c>
      <c r="DD1275">
        <f t="shared" si="2712"/>
        <v>0</v>
      </c>
      <c r="DE1275">
        <f t="shared" si="2712"/>
        <v>0</v>
      </c>
      <c r="DF1275">
        <f t="shared" si="2712"/>
        <v>0</v>
      </c>
      <c r="DG1275">
        <f t="shared" ref="DG1275:DP1280" si="2713">IF($C1275&lt;&gt;"",IF(AR1275&gt;0,1,0),0)</f>
        <v>0</v>
      </c>
      <c r="DH1275">
        <f t="shared" si="2713"/>
        <v>0</v>
      </c>
      <c r="DI1275">
        <f t="shared" si="2713"/>
        <v>0</v>
      </c>
      <c r="DJ1275">
        <f t="shared" si="2713"/>
        <v>0</v>
      </c>
      <c r="DK1275">
        <f t="shared" si="2713"/>
        <v>0</v>
      </c>
      <c r="DL1275">
        <f t="shared" si="2713"/>
        <v>0</v>
      </c>
      <c r="DM1275">
        <f t="shared" si="2713"/>
        <v>0</v>
      </c>
      <c r="DN1275">
        <f t="shared" si="2713"/>
        <v>0</v>
      </c>
      <c r="DO1275">
        <f t="shared" si="2713"/>
        <v>0</v>
      </c>
      <c r="DP1275">
        <f t="shared" si="2713"/>
        <v>0</v>
      </c>
      <c r="DQ1275">
        <f t="shared" ref="DQ1275:DZ1280" si="2714">IF($C1275&lt;&gt;"",IF(BB1275&gt;0,1,0),0)</f>
        <v>0</v>
      </c>
      <c r="DR1275">
        <f t="shared" si="2714"/>
        <v>0</v>
      </c>
      <c r="DS1275">
        <f t="shared" si="2714"/>
        <v>0</v>
      </c>
      <c r="DT1275">
        <f t="shared" si="2714"/>
        <v>0</v>
      </c>
      <c r="DU1275">
        <f t="shared" si="2714"/>
        <v>0</v>
      </c>
      <c r="DV1275">
        <f t="shared" si="2714"/>
        <v>0</v>
      </c>
      <c r="DW1275">
        <f t="shared" si="2714"/>
        <v>0</v>
      </c>
      <c r="DX1275">
        <f t="shared" si="2714"/>
        <v>0</v>
      </c>
      <c r="DY1275">
        <f t="shared" si="2714"/>
        <v>0</v>
      </c>
      <c r="DZ1275">
        <f t="shared" si="2714"/>
        <v>0</v>
      </c>
      <c r="EA1275">
        <f t="shared" ref="EA1275:EF1279" si="2715">IF($C1275&lt;&gt;"",IF(BL1274&gt;0,1,0),0)</f>
        <v>0</v>
      </c>
      <c r="EB1275">
        <f>IF($C1275&lt;&gt;"",IF(BM1274&gt;0,1,0),0)</f>
        <v>0</v>
      </c>
      <c r="EC1275">
        <f t="shared" si="2715"/>
        <v>0</v>
      </c>
      <c r="ED1275">
        <f t="shared" si="2715"/>
        <v>0</v>
      </c>
      <c r="EE1275">
        <f t="shared" si="2715"/>
        <v>0</v>
      </c>
      <c r="EF1275">
        <f t="shared" si="2715"/>
        <v>0</v>
      </c>
    </row>
    <row r="1276" spans="1:136" ht="15.5">
      <c r="A1276" s="90"/>
      <c r="B1276" s="19" t="s">
        <v>205</v>
      </c>
      <c r="C1276" s="88"/>
      <c r="D1276" s="9"/>
      <c r="E1276" s="9"/>
      <c r="F1276" s="9"/>
      <c r="G1276" s="9"/>
      <c r="H1276" s="9"/>
      <c r="I1276" s="9"/>
      <c r="J1276" s="9"/>
      <c r="K1276" s="34"/>
      <c r="L1276" s="34"/>
      <c r="M1276" s="34"/>
      <c r="N1276" s="34">
        <v>0</v>
      </c>
      <c r="O1276" s="34">
        <v>0</v>
      </c>
      <c r="P1276" s="34">
        <v>0</v>
      </c>
      <c r="Q1276" s="34">
        <v>14.919215900000001</v>
      </c>
      <c r="R1276" s="36">
        <v>21.776389699999999</v>
      </c>
      <c r="S1276" s="36">
        <v>23.7503575</v>
      </c>
      <c r="T1276" s="36">
        <v>28.214651199999999</v>
      </c>
      <c r="U1276" s="130">
        <v>38.052205299999997</v>
      </c>
      <c r="V1276" s="34">
        <v>47.810980499999999</v>
      </c>
      <c r="W1276" s="34">
        <v>48.335921200000001</v>
      </c>
      <c r="X1276" s="34">
        <v>0</v>
      </c>
      <c r="Y1276" s="34">
        <v>0</v>
      </c>
      <c r="Z1276" s="34">
        <v>0</v>
      </c>
      <c r="AA1276" s="34">
        <v>2.2860687000000004</v>
      </c>
      <c r="AB1276" s="34">
        <v>7.8911935</v>
      </c>
      <c r="AC1276" s="34">
        <v>12.8384661</v>
      </c>
      <c r="AD1276" s="34">
        <v>16.287033699999999</v>
      </c>
      <c r="AE1276" s="34">
        <v>22.0977107</v>
      </c>
      <c r="AF1276" s="34">
        <v>26.821194600000002</v>
      </c>
      <c r="AG1276" s="34">
        <v>27.945601700000001</v>
      </c>
      <c r="AH1276" s="34">
        <v>34.410217100000004</v>
      </c>
      <c r="AI1276" s="34">
        <v>37.962797100000003</v>
      </c>
      <c r="AJ1276" s="34">
        <v>39.687539100000002</v>
      </c>
      <c r="AK1276" s="34">
        <v>42.841321899999997</v>
      </c>
      <c r="AL1276" s="34">
        <v>30.813169500000001</v>
      </c>
      <c r="AM1276" s="34">
        <v>34.657247499999997</v>
      </c>
      <c r="AN1276" s="34">
        <v>39.575284100000005</v>
      </c>
      <c r="AO1276" s="34">
        <v>43.261681000000003</v>
      </c>
      <c r="AP1276" s="34">
        <v>14.560755</v>
      </c>
      <c r="AQ1276" s="34">
        <v>19.018701199999999</v>
      </c>
      <c r="AR1276" s="18">
        <v>31.2479987</v>
      </c>
      <c r="AS1276" s="34">
        <v>39.956423899999997</v>
      </c>
      <c r="AT1276" s="34">
        <v>60.357545399999999</v>
      </c>
      <c r="AU1276" s="34">
        <v>66.875774300000003</v>
      </c>
      <c r="AV1276" s="34">
        <v>92.101519800000005</v>
      </c>
      <c r="AW1276" s="34">
        <v>60.507424</v>
      </c>
      <c r="AX1276" s="34">
        <v>64.211381099999997</v>
      </c>
      <c r="AY1276" s="34">
        <v>68.205698699999999</v>
      </c>
      <c r="AZ1276" s="34">
        <v>77.946229500000001</v>
      </c>
      <c r="BA1276" s="34">
        <v>83.934441000000007</v>
      </c>
      <c r="BB1276" s="34">
        <v>91.367260799999997</v>
      </c>
      <c r="BC1276" s="34">
        <v>100.3323793</v>
      </c>
      <c r="BD1276" s="34">
        <v>115.36228240000001</v>
      </c>
      <c r="BE1276" s="42">
        <v>129.0602169</v>
      </c>
      <c r="BF1276" s="34">
        <v>140.55204219999999</v>
      </c>
      <c r="BG1276" s="18">
        <v>159</v>
      </c>
      <c r="BH1276" s="113">
        <v>172</v>
      </c>
      <c r="BI1276" s="113">
        <v>211</v>
      </c>
      <c r="BJ1276" s="113">
        <v>118</v>
      </c>
      <c r="BK1276" s="113">
        <v>121</v>
      </c>
      <c r="BL1276" s="113">
        <v>125</v>
      </c>
      <c r="BM1276" s="113">
        <v>129</v>
      </c>
      <c r="BN1276" s="113">
        <v>130</v>
      </c>
      <c r="BO1276" s="113">
        <v>141.12954740000001</v>
      </c>
      <c r="BP1276" s="113">
        <v>150.544104</v>
      </c>
      <c r="BQ1276" s="113">
        <v>161</v>
      </c>
      <c r="BR1276" s="101"/>
      <c r="BS1276">
        <f t="shared" si="2709"/>
        <v>0</v>
      </c>
      <c r="BT1276">
        <f t="shared" si="2709"/>
        <v>0</v>
      </c>
      <c r="BU1276">
        <f t="shared" si="2709"/>
        <v>0</v>
      </c>
      <c r="BV1276">
        <f t="shared" si="2709"/>
        <v>0</v>
      </c>
      <c r="BW1276">
        <f t="shared" si="2709"/>
        <v>0</v>
      </c>
      <c r="BX1276">
        <f t="shared" si="2709"/>
        <v>0</v>
      </c>
      <c r="BY1276">
        <f t="shared" si="2709"/>
        <v>0</v>
      </c>
      <c r="BZ1276">
        <f t="shared" si="2709"/>
        <v>0</v>
      </c>
      <c r="CA1276">
        <f t="shared" si="2709"/>
        <v>0</v>
      </c>
      <c r="CB1276">
        <f t="shared" si="2709"/>
        <v>0</v>
      </c>
      <c r="CC1276">
        <f t="shared" si="2710"/>
        <v>0</v>
      </c>
      <c r="CD1276">
        <f t="shared" si="2710"/>
        <v>0</v>
      </c>
      <c r="CE1276">
        <f t="shared" si="2710"/>
        <v>0</v>
      </c>
      <c r="CF1276">
        <f t="shared" si="2710"/>
        <v>0</v>
      </c>
      <c r="CG1276">
        <f t="shared" si="2710"/>
        <v>0</v>
      </c>
      <c r="CH1276">
        <f t="shared" si="2710"/>
        <v>0</v>
      </c>
      <c r="CI1276">
        <f t="shared" si="2710"/>
        <v>0</v>
      </c>
      <c r="CJ1276">
        <f t="shared" si="2710"/>
        <v>0</v>
      </c>
      <c r="CK1276">
        <f t="shared" si="2710"/>
        <v>0</v>
      </c>
      <c r="CL1276">
        <f t="shared" si="2710"/>
        <v>0</v>
      </c>
      <c r="CM1276">
        <f t="shared" si="2711"/>
        <v>0</v>
      </c>
      <c r="CN1276">
        <f t="shared" si="2711"/>
        <v>0</v>
      </c>
      <c r="CO1276">
        <f t="shared" si="2711"/>
        <v>0</v>
      </c>
      <c r="CP1276">
        <f t="shared" si="2711"/>
        <v>0</v>
      </c>
      <c r="CQ1276">
        <f t="shared" si="2711"/>
        <v>0</v>
      </c>
      <c r="CR1276">
        <f t="shared" si="2711"/>
        <v>0</v>
      </c>
      <c r="CS1276">
        <f t="shared" si="2711"/>
        <v>0</v>
      </c>
      <c r="CT1276">
        <f t="shared" si="2711"/>
        <v>0</v>
      </c>
      <c r="CU1276">
        <f t="shared" si="2711"/>
        <v>0</v>
      </c>
      <c r="CV1276">
        <f t="shared" si="2711"/>
        <v>0</v>
      </c>
      <c r="CW1276">
        <f t="shared" si="2712"/>
        <v>0</v>
      </c>
      <c r="CX1276">
        <f t="shared" si="2712"/>
        <v>0</v>
      </c>
      <c r="CY1276">
        <f t="shared" si="2712"/>
        <v>0</v>
      </c>
      <c r="CZ1276">
        <f t="shared" si="2712"/>
        <v>0</v>
      </c>
      <c r="DA1276">
        <f t="shared" si="2712"/>
        <v>0</v>
      </c>
      <c r="DB1276">
        <f t="shared" si="2712"/>
        <v>0</v>
      </c>
      <c r="DC1276">
        <f t="shared" si="2712"/>
        <v>0</v>
      </c>
      <c r="DD1276">
        <f t="shared" si="2712"/>
        <v>0</v>
      </c>
      <c r="DE1276">
        <f t="shared" si="2712"/>
        <v>0</v>
      </c>
      <c r="DF1276">
        <f t="shared" si="2712"/>
        <v>0</v>
      </c>
      <c r="DG1276">
        <f t="shared" si="2713"/>
        <v>0</v>
      </c>
      <c r="DH1276">
        <f t="shared" si="2713"/>
        <v>0</v>
      </c>
      <c r="DI1276">
        <f t="shared" si="2713"/>
        <v>0</v>
      </c>
      <c r="DJ1276">
        <f t="shared" si="2713"/>
        <v>0</v>
      </c>
      <c r="DK1276">
        <f t="shared" si="2713"/>
        <v>0</v>
      </c>
      <c r="DL1276">
        <f t="shared" si="2713"/>
        <v>0</v>
      </c>
      <c r="DM1276">
        <f t="shared" si="2713"/>
        <v>0</v>
      </c>
      <c r="DN1276">
        <f t="shared" si="2713"/>
        <v>0</v>
      </c>
      <c r="DO1276">
        <f t="shared" si="2713"/>
        <v>0</v>
      </c>
      <c r="DP1276">
        <f t="shared" si="2713"/>
        <v>0</v>
      </c>
      <c r="DQ1276">
        <f t="shared" si="2714"/>
        <v>0</v>
      </c>
      <c r="DR1276">
        <f t="shared" si="2714"/>
        <v>0</v>
      </c>
      <c r="DS1276">
        <f t="shared" si="2714"/>
        <v>0</v>
      </c>
      <c r="DT1276">
        <f t="shared" si="2714"/>
        <v>0</v>
      </c>
      <c r="DU1276">
        <f t="shared" si="2714"/>
        <v>0</v>
      </c>
      <c r="DV1276">
        <f t="shared" si="2714"/>
        <v>0</v>
      </c>
      <c r="DW1276">
        <f t="shared" si="2714"/>
        <v>0</v>
      </c>
      <c r="DX1276">
        <f t="shared" si="2714"/>
        <v>0</v>
      </c>
      <c r="DY1276">
        <f t="shared" si="2714"/>
        <v>0</v>
      </c>
      <c r="DZ1276">
        <f t="shared" si="2714"/>
        <v>0</v>
      </c>
      <c r="EA1276">
        <f t="shared" si="2715"/>
        <v>0</v>
      </c>
      <c r="EB1276">
        <f>IF($C1276&lt;&gt;"",IF(BM1275&gt;0,1,0),0)</f>
        <v>0</v>
      </c>
      <c r="EC1276">
        <f t="shared" si="2715"/>
        <v>0</v>
      </c>
      <c r="ED1276">
        <f t="shared" si="2715"/>
        <v>0</v>
      </c>
      <c r="EE1276">
        <f t="shared" si="2715"/>
        <v>0</v>
      </c>
      <c r="EF1276">
        <f t="shared" si="2715"/>
        <v>0</v>
      </c>
    </row>
    <row r="1277" spans="1:136" ht="15.5">
      <c r="A1277" s="90"/>
      <c r="B1277" s="57" t="s">
        <v>3</v>
      </c>
      <c r="C1277" s="88"/>
      <c r="D1277" s="34"/>
      <c r="E1277" s="34"/>
      <c r="F1277" s="34"/>
      <c r="G1277" s="34"/>
      <c r="H1277" s="34"/>
      <c r="I1277" s="34"/>
      <c r="J1277" s="34"/>
      <c r="K1277" s="34"/>
      <c r="L1277" s="34"/>
      <c r="M1277" s="34"/>
      <c r="N1277" s="34">
        <v>0</v>
      </c>
      <c r="O1277" s="34">
        <v>0</v>
      </c>
      <c r="P1277" s="34">
        <v>0</v>
      </c>
      <c r="Q1277" s="34">
        <f>14.9192159-Q1276</f>
        <v>0</v>
      </c>
      <c r="R1277" s="34">
        <f>22.5859415-R1276</f>
        <v>0.80955180000000126</v>
      </c>
      <c r="S1277" s="34">
        <f>32.7957055-S1276</f>
        <v>9.0453479999999971</v>
      </c>
      <c r="T1277" s="34">
        <f>46.1014261-T1276</f>
        <v>17.886774899999999</v>
      </c>
      <c r="U1277" s="34">
        <v>66.07434529999999</v>
      </c>
      <c r="V1277" s="34">
        <f>48.8020005-V1276</f>
        <v>0.9910199999999989</v>
      </c>
      <c r="W1277" s="34">
        <f>49.4379212-W1276</f>
        <v>1.1019999999999968</v>
      </c>
      <c r="X1277" s="34">
        <v>3.6438327999999998</v>
      </c>
      <c r="Y1277" s="34">
        <v>12.881878199999999</v>
      </c>
      <c r="Z1277" s="34">
        <v>25.909331599999998</v>
      </c>
      <c r="AA1277" s="34">
        <f>45.4172109-AA1276</f>
        <v>43.131142199999999</v>
      </c>
      <c r="AB1277" s="34">
        <f>78.0318142-AB1276</f>
        <v>70.140620699999999</v>
      </c>
      <c r="AC1277" s="34">
        <f>110.6619414-AC1276</f>
        <v>97.823475299999998</v>
      </c>
      <c r="AD1277" s="34">
        <f>158.036067-AD1276</f>
        <v>141.74903330000001</v>
      </c>
      <c r="AE1277" s="34">
        <f>196.2868074-AE1276</f>
        <v>174.18909669999999</v>
      </c>
      <c r="AF1277" s="34">
        <f>234.3952152-AF1276</f>
        <v>207.57402059999998</v>
      </c>
      <c r="AG1277" s="34">
        <f>265.8455847-AG1276</f>
        <v>237.89998300000002</v>
      </c>
      <c r="AH1277" s="34">
        <f>659.5387303-AH1276</f>
        <v>625.12851320000004</v>
      </c>
      <c r="AI1277" s="34">
        <f>320.7067413-AI1276</f>
        <v>282.74394419999999</v>
      </c>
      <c r="AJ1277" s="34">
        <f>291.0197368-AJ1276</f>
        <v>251.33219769999997</v>
      </c>
      <c r="AK1277" s="34">
        <f>307.7663568-AK1276</f>
        <v>264.92503490000001</v>
      </c>
      <c r="AL1277" s="34">
        <f>179.7677498-AL1276</f>
        <v>148.95458029999998</v>
      </c>
      <c r="AM1277" s="34">
        <f>133.0210013-AM1276</f>
        <v>98.363753799999998</v>
      </c>
      <c r="AN1277" s="34">
        <f>259.8521931-AN1276</f>
        <v>220.27690900000002</v>
      </c>
      <c r="AO1277" s="18">
        <f>171.2093114-AO1276</f>
        <v>127.94763039999998</v>
      </c>
      <c r="AP1277" s="34">
        <f>99.887704-AP1276</f>
        <v>85.326948999999999</v>
      </c>
      <c r="AQ1277" s="34">
        <f>220.053376-AQ1276</f>
        <v>201.03467479999998</v>
      </c>
      <c r="AR1277" s="34">
        <f>143.0092182-AR1276</f>
        <v>111.7612195</v>
      </c>
      <c r="AS1277" s="34">
        <f>90.5869944-AS1276</f>
        <v>50.630570499999997</v>
      </c>
      <c r="AT1277" s="34">
        <f>211.6186192-AT1276</f>
        <v>151.26107380000002</v>
      </c>
      <c r="AU1277" s="34">
        <f>173.1237233-AU1276</f>
        <v>106.24794899999999</v>
      </c>
      <c r="AV1277" s="34">
        <f>335.4756111-AV1276</f>
        <v>243.37409129999998</v>
      </c>
      <c r="AW1277" s="34">
        <f>299.7750823-AW1276</f>
        <v>239.26765829999999</v>
      </c>
      <c r="AX1277" s="34">
        <f>365.4447177-AX1276</f>
        <v>301.23333660000003</v>
      </c>
      <c r="AY1277" s="34">
        <f>265.2429443-AY1276</f>
        <v>197.03724559999998</v>
      </c>
      <c r="AZ1277" s="34">
        <f>292.4803532-AZ1276</f>
        <v>214.53412370000001</v>
      </c>
      <c r="BA1277" s="34">
        <f>282.5769283-BA1276</f>
        <v>198.64248730000003</v>
      </c>
      <c r="BB1277" s="34">
        <f>390.0076752-BB1276</f>
        <v>298.6404144</v>
      </c>
      <c r="BC1277" s="34">
        <f>BE1277-BC1276</f>
        <v>126.53839719999998</v>
      </c>
      <c r="BD1277" s="34">
        <f>334.9464432-BD1276</f>
        <v>219.58416079999995</v>
      </c>
      <c r="BE1277" s="42">
        <f>355.9309934-BE1276</f>
        <v>226.87077649999998</v>
      </c>
      <c r="BF1277" s="18">
        <f>371.9819745-BF1276</f>
        <v>231.42993229999999</v>
      </c>
      <c r="BG1277" s="18">
        <f>397.9591249-BG1276</f>
        <v>238.95912490000001</v>
      </c>
      <c r="BH1277" s="18">
        <f>629.7284272-BH1276</f>
        <v>457.72842720000006</v>
      </c>
      <c r="BI1277" s="40" t="s">
        <v>16</v>
      </c>
      <c r="BJ1277" s="40" t="s">
        <v>16</v>
      </c>
      <c r="BK1277" s="40" t="s">
        <v>16</v>
      </c>
      <c r="BL1277" s="113">
        <f>2152.8147562-BL1276-BL1275</f>
        <v>344.81475619999992</v>
      </c>
      <c r="BM1277" s="113">
        <f>2493.9192525-BM1276-BM1275</f>
        <v>700.91925249999986</v>
      </c>
      <c r="BN1277" s="18">
        <f>2803.381659-BN1276-BN1275</f>
        <v>972.38165900000013</v>
      </c>
      <c r="BO1277" s="18">
        <f>3154-BO1276-BO1275</f>
        <v>1307.8704526000001</v>
      </c>
      <c r="BP1277" s="18">
        <f>3154-BP1276-BP1275</f>
        <v>1270.4558959999999</v>
      </c>
      <c r="BQ1277" s="18">
        <f>3154-BQ1276-BQ1275</f>
        <v>1198</v>
      </c>
      <c r="BR1277" s="101"/>
      <c r="BS1277">
        <f t="shared" si="2709"/>
        <v>0</v>
      </c>
      <c r="BT1277">
        <f t="shared" si="2709"/>
        <v>0</v>
      </c>
      <c r="BU1277">
        <f t="shared" si="2709"/>
        <v>0</v>
      </c>
      <c r="BV1277">
        <f t="shared" si="2709"/>
        <v>0</v>
      </c>
      <c r="BW1277">
        <f t="shared" si="2709"/>
        <v>0</v>
      </c>
      <c r="BX1277">
        <f t="shared" si="2709"/>
        <v>0</v>
      </c>
      <c r="BY1277">
        <f t="shared" si="2709"/>
        <v>0</v>
      </c>
      <c r="BZ1277">
        <f t="shared" si="2709"/>
        <v>0</v>
      </c>
      <c r="CA1277">
        <f t="shared" si="2709"/>
        <v>0</v>
      </c>
      <c r="CB1277">
        <f t="shared" si="2709"/>
        <v>0</v>
      </c>
      <c r="CC1277">
        <f t="shared" si="2710"/>
        <v>0</v>
      </c>
      <c r="CD1277">
        <f t="shared" si="2710"/>
        <v>0</v>
      </c>
      <c r="CE1277">
        <f t="shared" si="2710"/>
        <v>0</v>
      </c>
      <c r="CF1277">
        <f t="shared" si="2710"/>
        <v>0</v>
      </c>
      <c r="CG1277">
        <f t="shared" si="2710"/>
        <v>0</v>
      </c>
      <c r="CH1277">
        <f t="shared" si="2710"/>
        <v>0</v>
      </c>
      <c r="CI1277">
        <f t="shared" si="2710"/>
        <v>0</v>
      </c>
      <c r="CJ1277">
        <f t="shared" si="2710"/>
        <v>0</v>
      </c>
      <c r="CK1277">
        <f t="shared" si="2710"/>
        <v>0</v>
      </c>
      <c r="CL1277">
        <f t="shared" si="2710"/>
        <v>0</v>
      </c>
      <c r="CM1277">
        <f t="shared" si="2711"/>
        <v>0</v>
      </c>
      <c r="CN1277">
        <f t="shared" si="2711"/>
        <v>0</v>
      </c>
      <c r="CO1277">
        <f t="shared" si="2711"/>
        <v>0</v>
      </c>
      <c r="CP1277">
        <f t="shared" si="2711"/>
        <v>0</v>
      </c>
      <c r="CQ1277">
        <f t="shared" si="2711"/>
        <v>0</v>
      </c>
      <c r="CR1277">
        <f t="shared" si="2711"/>
        <v>0</v>
      </c>
      <c r="CS1277">
        <f t="shared" si="2711"/>
        <v>0</v>
      </c>
      <c r="CT1277">
        <f t="shared" si="2711"/>
        <v>0</v>
      </c>
      <c r="CU1277">
        <f t="shared" si="2711"/>
        <v>0</v>
      </c>
      <c r="CV1277">
        <f t="shared" si="2711"/>
        <v>0</v>
      </c>
      <c r="CW1277">
        <f t="shared" si="2712"/>
        <v>0</v>
      </c>
      <c r="CX1277">
        <f t="shared" si="2712"/>
        <v>0</v>
      </c>
      <c r="CY1277">
        <f t="shared" si="2712"/>
        <v>0</v>
      </c>
      <c r="CZ1277">
        <f t="shared" si="2712"/>
        <v>0</v>
      </c>
      <c r="DA1277">
        <f t="shared" si="2712"/>
        <v>0</v>
      </c>
      <c r="DB1277">
        <f t="shared" si="2712"/>
        <v>0</v>
      </c>
      <c r="DC1277">
        <f t="shared" si="2712"/>
        <v>0</v>
      </c>
      <c r="DD1277">
        <f t="shared" si="2712"/>
        <v>0</v>
      </c>
      <c r="DE1277">
        <f t="shared" si="2712"/>
        <v>0</v>
      </c>
      <c r="DF1277">
        <f t="shared" si="2712"/>
        <v>0</v>
      </c>
      <c r="DG1277">
        <f t="shared" si="2713"/>
        <v>0</v>
      </c>
      <c r="DH1277">
        <f t="shared" si="2713"/>
        <v>0</v>
      </c>
      <c r="DI1277">
        <f t="shared" si="2713"/>
        <v>0</v>
      </c>
      <c r="DJ1277">
        <f t="shared" si="2713"/>
        <v>0</v>
      </c>
      <c r="DK1277">
        <f t="shared" si="2713"/>
        <v>0</v>
      </c>
      <c r="DL1277">
        <f t="shared" si="2713"/>
        <v>0</v>
      </c>
      <c r="DM1277">
        <f t="shared" si="2713"/>
        <v>0</v>
      </c>
      <c r="DN1277">
        <f t="shared" si="2713"/>
        <v>0</v>
      </c>
      <c r="DO1277">
        <f t="shared" si="2713"/>
        <v>0</v>
      </c>
      <c r="DP1277">
        <f t="shared" si="2713"/>
        <v>0</v>
      </c>
      <c r="DQ1277">
        <f t="shared" si="2714"/>
        <v>0</v>
      </c>
      <c r="DR1277">
        <f t="shared" si="2714"/>
        <v>0</v>
      </c>
      <c r="DS1277">
        <f t="shared" si="2714"/>
        <v>0</v>
      </c>
      <c r="DT1277">
        <f t="shared" si="2714"/>
        <v>0</v>
      </c>
      <c r="DU1277">
        <f t="shared" si="2714"/>
        <v>0</v>
      </c>
      <c r="DV1277">
        <f t="shared" si="2714"/>
        <v>0</v>
      </c>
      <c r="DW1277">
        <f t="shared" si="2714"/>
        <v>0</v>
      </c>
      <c r="DX1277">
        <f t="shared" si="2714"/>
        <v>0</v>
      </c>
      <c r="DY1277">
        <f t="shared" si="2714"/>
        <v>0</v>
      </c>
      <c r="DZ1277">
        <f t="shared" si="2714"/>
        <v>0</v>
      </c>
      <c r="EA1277">
        <f t="shared" si="2715"/>
        <v>0</v>
      </c>
      <c r="EB1277">
        <f>IF($C1277&lt;&gt;"",IF(BM1276&gt;0,1,0),0)</f>
        <v>0</v>
      </c>
      <c r="EC1277">
        <f t="shared" si="2715"/>
        <v>0</v>
      </c>
      <c r="ED1277">
        <f t="shared" si="2715"/>
        <v>0</v>
      </c>
      <c r="EE1277">
        <f t="shared" si="2715"/>
        <v>0</v>
      </c>
      <c r="EF1277">
        <f t="shared" si="2715"/>
        <v>0</v>
      </c>
    </row>
    <row r="1278" spans="1:136" ht="15.5">
      <c r="A1278" s="90"/>
      <c r="B1278" s="19" t="s">
        <v>18</v>
      </c>
      <c r="C1278" s="98"/>
      <c r="D1278" s="34"/>
      <c r="E1278" s="34"/>
      <c r="F1278" s="34"/>
      <c r="G1278" s="34"/>
      <c r="H1278" s="34"/>
      <c r="I1278" s="34"/>
      <c r="J1278" s="34"/>
      <c r="K1278" s="34">
        <v>0</v>
      </c>
      <c r="L1278" s="34">
        <v>0</v>
      </c>
      <c r="M1278" s="34">
        <v>0</v>
      </c>
      <c r="N1278" s="34">
        <v>0</v>
      </c>
      <c r="O1278" s="34">
        <v>0</v>
      </c>
      <c r="P1278" s="34">
        <v>0</v>
      </c>
      <c r="Q1278" s="34">
        <v>0</v>
      </c>
      <c r="R1278" s="34">
        <v>0</v>
      </c>
      <c r="S1278" s="34">
        <v>0</v>
      </c>
      <c r="T1278" s="34">
        <v>0</v>
      </c>
      <c r="U1278" s="34">
        <v>0</v>
      </c>
      <c r="V1278" s="34">
        <v>0</v>
      </c>
      <c r="W1278" s="34">
        <v>0</v>
      </c>
      <c r="X1278" s="34"/>
      <c r="Y1278" s="34"/>
      <c r="Z1278" s="34"/>
      <c r="AA1278" s="34"/>
      <c r="AB1278" s="34"/>
      <c r="AC1278" s="34"/>
      <c r="AD1278" s="34"/>
      <c r="AE1278" s="34"/>
      <c r="AF1278" s="34"/>
      <c r="AG1278" s="34"/>
      <c r="AH1278" s="34"/>
      <c r="AI1278" s="40" t="s">
        <v>16</v>
      </c>
      <c r="AJ1278" s="40" t="s">
        <v>16</v>
      </c>
      <c r="AK1278" s="40" t="s">
        <v>16</v>
      </c>
      <c r="AL1278" s="40" t="s">
        <v>16</v>
      </c>
      <c r="AM1278" s="40" t="s">
        <v>16</v>
      </c>
      <c r="AN1278" s="40" t="s">
        <v>16</v>
      </c>
      <c r="AO1278" s="40" t="s">
        <v>16</v>
      </c>
      <c r="AP1278" s="40" t="s">
        <v>16</v>
      </c>
      <c r="AQ1278" s="40" t="s">
        <v>16</v>
      </c>
      <c r="AR1278" s="40" t="s">
        <v>16</v>
      </c>
      <c r="AS1278" s="34">
        <v>697</v>
      </c>
      <c r="AT1278" s="34">
        <v>0</v>
      </c>
      <c r="AU1278" s="34">
        <v>0</v>
      </c>
      <c r="AV1278" s="34">
        <v>0</v>
      </c>
      <c r="AW1278" s="34">
        <v>0</v>
      </c>
      <c r="AX1278" s="34">
        <v>0</v>
      </c>
      <c r="AY1278" s="34">
        <v>0</v>
      </c>
      <c r="AZ1278" s="34">
        <v>0</v>
      </c>
      <c r="BA1278" s="34">
        <v>0</v>
      </c>
      <c r="BB1278" s="34">
        <v>0</v>
      </c>
      <c r="BC1278" s="34">
        <v>0</v>
      </c>
      <c r="BD1278" s="34">
        <v>0</v>
      </c>
      <c r="BE1278" s="34">
        <v>0</v>
      </c>
      <c r="BF1278" s="34">
        <v>0</v>
      </c>
      <c r="BG1278" s="34">
        <v>0</v>
      </c>
      <c r="BH1278" s="18">
        <v>0</v>
      </c>
      <c r="BI1278" s="18">
        <v>0</v>
      </c>
      <c r="BJ1278" s="113">
        <v>0</v>
      </c>
      <c r="BK1278" s="113">
        <v>0</v>
      </c>
      <c r="BL1278" s="113">
        <v>0</v>
      </c>
      <c r="BM1278" s="113">
        <v>0</v>
      </c>
      <c r="BN1278" s="113">
        <v>0</v>
      </c>
      <c r="BO1278" s="113">
        <v>0</v>
      </c>
      <c r="BP1278" s="113">
        <v>0</v>
      </c>
      <c r="BQ1278" s="113">
        <v>0</v>
      </c>
      <c r="BR1278" s="101"/>
      <c r="BS1278">
        <f t="shared" si="2709"/>
        <v>0</v>
      </c>
      <c r="BT1278">
        <f t="shared" si="2709"/>
        <v>0</v>
      </c>
      <c r="BU1278">
        <f t="shared" si="2709"/>
        <v>0</v>
      </c>
      <c r="BV1278">
        <f t="shared" si="2709"/>
        <v>0</v>
      </c>
      <c r="BW1278">
        <f t="shared" si="2709"/>
        <v>0</v>
      </c>
      <c r="BX1278">
        <f t="shared" si="2709"/>
        <v>0</v>
      </c>
      <c r="BY1278">
        <f t="shared" si="2709"/>
        <v>0</v>
      </c>
      <c r="BZ1278">
        <f t="shared" si="2709"/>
        <v>0</v>
      </c>
      <c r="CA1278">
        <f t="shared" si="2709"/>
        <v>0</v>
      </c>
      <c r="CB1278">
        <f t="shared" si="2709"/>
        <v>0</v>
      </c>
      <c r="CC1278">
        <f t="shared" si="2710"/>
        <v>0</v>
      </c>
      <c r="CD1278">
        <f t="shared" si="2710"/>
        <v>0</v>
      </c>
      <c r="CE1278">
        <f t="shared" si="2710"/>
        <v>0</v>
      </c>
      <c r="CF1278">
        <f t="shared" si="2710"/>
        <v>0</v>
      </c>
      <c r="CG1278">
        <f t="shared" si="2710"/>
        <v>0</v>
      </c>
      <c r="CH1278">
        <f t="shared" si="2710"/>
        <v>0</v>
      </c>
      <c r="CI1278">
        <f t="shared" si="2710"/>
        <v>0</v>
      </c>
      <c r="CJ1278">
        <f t="shared" si="2710"/>
        <v>0</v>
      </c>
      <c r="CK1278">
        <f t="shared" si="2710"/>
        <v>0</v>
      </c>
      <c r="CL1278">
        <f t="shared" si="2710"/>
        <v>0</v>
      </c>
      <c r="CM1278">
        <f t="shared" si="2711"/>
        <v>0</v>
      </c>
      <c r="CN1278">
        <f t="shared" si="2711"/>
        <v>0</v>
      </c>
      <c r="CO1278">
        <f t="shared" si="2711"/>
        <v>0</v>
      </c>
      <c r="CP1278">
        <f t="shared" si="2711"/>
        <v>0</v>
      </c>
      <c r="CQ1278">
        <f t="shared" si="2711"/>
        <v>0</v>
      </c>
      <c r="CR1278">
        <f t="shared" si="2711"/>
        <v>0</v>
      </c>
      <c r="CS1278">
        <f t="shared" si="2711"/>
        <v>0</v>
      </c>
      <c r="CT1278">
        <f t="shared" si="2711"/>
        <v>0</v>
      </c>
      <c r="CU1278">
        <f t="shared" si="2711"/>
        <v>0</v>
      </c>
      <c r="CV1278">
        <f t="shared" si="2711"/>
        <v>0</v>
      </c>
      <c r="CW1278">
        <f t="shared" si="2712"/>
        <v>0</v>
      </c>
      <c r="CX1278">
        <f t="shared" si="2712"/>
        <v>0</v>
      </c>
      <c r="CY1278">
        <f t="shared" si="2712"/>
        <v>0</v>
      </c>
      <c r="CZ1278">
        <f t="shared" si="2712"/>
        <v>0</v>
      </c>
      <c r="DA1278">
        <f t="shared" si="2712"/>
        <v>0</v>
      </c>
      <c r="DB1278">
        <f t="shared" si="2712"/>
        <v>0</v>
      </c>
      <c r="DC1278">
        <f t="shared" si="2712"/>
        <v>0</v>
      </c>
      <c r="DD1278">
        <f t="shared" si="2712"/>
        <v>0</v>
      </c>
      <c r="DE1278">
        <f t="shared" si="2712"/>
        <v>0</v>
      </c>
      <c r="DF1278">
        <f t="shared" si="2712"/>
        <v>0</v>
      </c>
      <c r="DG1278">
        <f t="shared" si="2713"/>
        <v>0</v>
      </c>
      <c r="DH1278">
        <f t="shared" si="2713"/>
        <v>0</v>
      </c>
      <c r="DI1278">
        <f t="shared" si="2713"/>
        <v>0</v>
      </c>
      <c r="DJ1278">
        <f t="shared" si="2713"/>
        <v>0</v>
      </c>
      <c r="DK1278">
        <f t="shared" si="2713"/>
        <v>0</v>
      </c>
      <c r="DL1278">
        <f t="shared" si="2713"/>
        <v>0</v>
      </c>
      <c r="DM1278">
        <f t="shared" si="2713"/>
        <v>0</v>
      </c>
      <c r="DN1278">
        <f t="shared" si="2713"/>
        <v>0</v>
      </c>
      <c r="DO1278">
        <f t="shared" si="2713"/>
        <v>0</v>
      </c>
      <c r="DP1278">
        <f t="shared" si="2713"/>
        <v>0</v>
      </c>
      <c r="DQ1278">
        <f t="shared" si="2714"/>
        <v>0</v>
      </c>
      <c r="DR1278">
        <f t="shared" si="2714"/>
        <v>0</v>
      </c>
      <c r="DS1278">
        <f t="shared" si="2714"/>
        <v>0</v>
      </c>
      <c r="DT1278">
        <f t="shared" si="2714"/>
        <v>0</v>
      </c>
      <c r="DU1278">
        <f t="shared" si="2714"/>
        <v>0</v>
      </c>
      <c r="DV1278">
        <f t="shared" si="2714"/>
        <v>0</v>
      </c>
      <c r="DW1278">
        <f t="shared" si="2714"/>
        <v>0</v>
      </c>
      <c r="DX1278">
        <f t="shared" si="2714"/>
        <v>0</v>
      </c>
      <c r="DY1278">
        <f t="shared" si="2714"/>
        <v>0</v>
      </c>
      <c r="DZ1278">
        <f t="shared" si="2714"/>
        <v>0</v>
      </c>
      <c r="EA1278">
        <f t="shared" si="2715"/>
        <v>0</v>
      </c>
      <c r="EB1278">
        <f>IF($C1278&lt;&gt;"",IF(BM1277&gt;0,1,0),0)</f>
        <v>0</v>
      </c>
      <c r="EC1278">
        <f t="shared" si="2715"/>
        <v>0</v>
      </c>
      <c r="ED1278">
        <f t="shared" si="2715"/>
        <v>0</v>
      </c>
      <c r="EE1278">
        <f t="shared" si="2715"/>
        <v>0</v>
      </c>
      <c r="EF1278">
        <f t="shared" si="2715"/>
        <v>0</v>
      </c>
    </row>
    <row r="1279" spans="1:136" ht="15.5">
      <c r="A1279" s="90"/>
      <c r="B1279" s="19" t="s">
        <v>208</v>
      </c>
      <c r="C1279" s="88"/>
      <c r="D1279" s="34"/>
      <c r="E1279" s="34"/>
      <c r="F1279" s="34"/>
      <c r="G1279" s="34"/>
      <c r="H1279" s="34"/>
      <c r="I1279" s="34"/>
      <c r="J1279" s="34"/>
      <c r="K1279" s="34"/>
      <c r="L1279" s="34"/>
      <c r="M1279" s="34"/>
      <c r="N1279" s="34">
        <v>0</v>
      </c>
      <c r="O1279" s="34">
        <v>0</v>
      </c>
      <c r="P1279" s="34">
        <v>0</v>
      </c>
      <c r="Q1279" s="34">
        <v>0</v>
      </c>
      <c r="R1279" s="34">
        <v>0</v>
      </c>
      <c r="S1279" s="34">
        <v>0</v>
      </c>
      <c r="T1279" s="34">
        <v>0</v>
      </c>
      <c r="U1279" s="34">
        <v>0</v>
      </c>
      <c r="V1279" s="34">
        <v>0</v>
      </c>
      <c r="W1279" s="34">
        <v>0</v>
      </c>
      <c r="X1279" s="34">
        <v>4.01112</v>
      </c>
      <c r="Y1279" s="34">
        <v>9.4801699999999993</v>
      </c>
      <c r="Z1279" s="34">
        <v>15.078139999999999</v>
      </c>
      <c r="AA1279" s="34">
        <v>35.614980000000003</v>
      </c>
      <c r="AB1279" s="34">
        <v>53.740180000000002</v>
      </c>
      <c r="AC1279" s="34">
        <v>84.207139999999995</v>
      </c>
      <c r="AD1279" s="34">
        <v>120.3775598</v>
      </c>
      <c r="AE1279" s="34">
        <v>187.36002790000001</v>
      </c>
      <c r="AF1279" s="34">
        <v>263.11682000000002</v>
      </c>
      <c r="AG1279" s="34">
        <v>339.92809719999997</v>
      </c>
      <c r="AH1279" s="34">
        <v>523.6295394</v>
      </c>
      <c r="AI1279" s="34">
        <v>652.18062399999997</v>
      </c>
      <c r="AJ1279" s="34">
        <v>843.25189650000004</v>
      </c>
      <c r="AK1279" s="34">
        <v>991.50277189999997</v>
      </c>
      <c r="AL1279" s="34">
        <v>1121.1967493</v>
      </c>
      <c r="AM1279" s="34">
        <v>1235.149664</v>
      </c>
      <c r="AN1279" s="34">
        <v>1337.8203633000001</v>
      </c>
      <c r="AO1279" s="34">
        <v>508.94315610000001</v>
      </c>
      <c r="AP1279" s="34">
        <v>4.4329454000000004</v>
      </c>
      <c r="AQ1279" s="34">
        <v>5.0399655000000001</v>
      </c>
      <c r="AR1279" s="34">
        <v>5.6772824999999996</v>
      </c>
      <c r="AS1279" s="34">
        <v>4.3985683</v>
      </c>
      <c r="AT1279" s="34">
        <v>9.1467614000000008</v>
      </c>
      <c r="AU1279" s="34">
        <v>16.335642</v>
      </c>
      <c r="AV1279" s="34">
        <v>24.030168199999999</v>
      </c>
      <c r="AW1279" s="34">
        <v>65.297494200000003</v>
      </c>
      <c r="AX1279" s="34">
        <v>0</v>
      </c>
      <c r="AY1279" s="34">
        <v>0</v>
      </c>
      <c r="AZ1279" s="34">
        <v>0</v>
      </c>
      <c r="BA1279" s="34">
        <v>0</v>
      </c>
      <c r="BB1279" s="34">
        <v>0</v>
      </c>
      <c r="BC1279" s="34">
        <v>0</v>
      </c>
      <c r="BD1279" s="34">
        <v>0</v>
      </c>
      <c r="BE1279" s="42">
        <v>0</v>
      </c>
      <c r="BF1279" s="42">
        <v>0</v>
      </c>
      <c r="BG1279" s="18">
        <v>0</v>
      </c>
      <c r="BH1279" s="18">
        <v>0</v>
      </c>
      <c r="BI1279" s="18">
        <v>0</v>
      </c>
      <c r="BJ1279" s="40" t="s">
        <v>16</v>
      </c>
      <c r="BK1279" s="113">
        <v>0</v>
      </c>
      <c r="BL1279" s="113">
        <v>0</v>
      </c>
      <c r="BM1279" s="113">
        <v>0</v>
      </c>
      <c r="BN1279" s="113">
        <v>0</v>
      </c>
      <c r="BO1279" s="113">
        <v>0</v>
      </c>
      <c r="BP1279" s="113">
        <v>0</v>
      </c>
      <c r="BQ1279" s="113">
        <v>0</v>
      </c>
      <c r="BR1279" s="101"/>
      <c r="BS1279">
        <f t="shared" si="2709"/>
        <v>0</v>
      </c>
      <c r="BT1279">
        <f t="shared" si="2709"/>
        <v>0</v>
      </c>
      <c r="BU1279">
        <f t="shared" si="2709"/>
        <v>0</v>
      </c>
      <c r="BV1279">
        <f t="shared" si="2709"/>
        <v>0</v>
      </c>
      <c r="BW1279">
        <f t="shared" si="2709"/>
        <v>0</v>
      </c>
      <c r="BX1279">
        <f t="shared" si="2709"/>
        <v>0</v>
      </c>
      <c r="BY1279">
        <f t="shared" si="2709"/>
        <v>0</v>
      </c>
      <c r="BZ1279">
        <f t="shared" si="2709"/>
        <v>0</v>
      </c>
      <c r="CA1279">
        <f t="shared" si="2709"/>
        <v>0</v>
      </c>
      <c r="CB1279">
        <f t="shared" si="2709"/>
        <v>0</v>
      </c>
      <c r="CC1279">
        <f t="shared" si="2710"/>
        <v>0</v>
      </c>
      <c r="CD1279">
        <f t="shared" si="2710"/>
        <v>0</v>
      </c>
      <c r="CE1279">
        <f t="shared" si="2710"/>
        <v>0</v>
      </c>
      <c r="CF1279">
        <f t="shared" si="2710"/>
        <v>0</v>
      </c>
      <c r="CG1279">
        <f t="shared" si="2710"/>
        <v>0</v>
      </c>
      <c r="CH1279">
        <f t="shared" si="2710"/>
        <v>0</v>
      </c>
      <c r="CI1279">
        <f t="shared" si="2710"/>
        <v>0</v>
      </c>
      <c r="CJ1279">
        <f t="shared" si="2710"/>
        <v>0</v>
      </c>
      <c r="CK1279">
        <f t="shared" si="2710"/>
        <v>0</v>
      </c>
      <c r="CL1279">
        <f t="shared" si="2710"/>
        <v>0</v>
      </c>
      <c r="CM1279">
        <f t="shared" si="2711"/>
        <v>0</v>
      </c>
      <c r="CN1279">
        <f t="shared" si="2711"/>
        <v>0</v>
      </c>
      <c r="CO1279">
        <f t="shared" si="2711"/>
        <v>0</v>
      </c>
      <c r="CP1279">
        <f t="shared" si="2711"/>
        <v>0</v>
      </c>
      <c r="CQ1279">
        <f t="shared" si="2711"/>
        <v>0</v>
      </c>
      <c r="CR1279">
        <f t="shared" si="2711"/>
        <v>0</v>
      </c>
      <c r="CS1279">
        <f t="shared" si="2711"/>
        <v>0</v>
      </c>
      <c r="CT1279">
        <f t="shared" si="2711"/>
        <v>0</v>
      </c>
      <c r="CU1279">
        <f t="shared" si="2711"/>
        <v>0</v>
      </c>
      <c r="CV1279">
        <f t="shared" si="2711"/>
        <v>0</v>
      </c>
      <c r="CW1279">
        <f t="shared" si="2712"/>
        <v>0</v>
      </c>
      <c r="CX1279">
        <f t="shared" si="2712"/>
        <v>0</v>
      </c>
      <c r="CY1279">
        <f t="shared" si="2712"/>
        <v>0</v>
      </c>
      <c r="CZ1279">
        <f t="shared" si="2712"/>
        <v>0</v>
      </c>
      <c r="DA1279">
        <f t="shared" si="2712"/>
        <v>0</v>
      </c>
      <c r="DB1279">
        <f t="shared" si="2712"/>
        <v>0</v>
      </c>
      <c r="DC1279">
        <f t="shared" si="2712"/>
        <v>0</v>
      </c>
      <c r="DD1279">
        <f t="shared" si="2712"/>
        <v>0</v>
      </c>
      <c r="DE1279">
        <f t="shared" si="2712"/>
        <v>0</v>
      </c>
      <c r="DF1279">
        <f t="shared" si="2712"/>
        <v>0</v>
      </c>
      <c r="DG1279">
        <f t="shared" si="2713"/>
        <v>0</v>
      </c>
      <c r="DH1279">
        <f t="shared" si="2713"/>
        <v>0</v>
      </c>
      <c r="DI1279">
        <f t="shared" si="2713"/>
        <v>0</v>
      </c>
      <c r="DJ1279">
        <f t="shared" si="2713"/>
        <v>0</v>
      </c>
      <c r="DK1279">
        <f t="shared" si="2713"/>
        <v>0</v>
      </c>
      <c r="DL1279">
        <f t="shared" si="2713"/>
        <v>0</v>
      </c>
      <c r="DM1279">
        <f t="shared" si="2713"/>
        <v>0</v>
      </c>
      <c r="DN1279">
        <f t="shared" si="2713"/>
        <v>0</v>
      </c>
      <c r="DO1279">
        <f t="shared" si="2713"/>
        <v>0</v>
      </c>
      <c r="DP1279">
        <f t="shared" si="2713"/>
        <v>0</v>
      </c>
      <c r="DQ1279">
        <f t="shared" si="2714"/>
        <v>0</v>
      </c>
      <c r="DR1279">
        <f t="shared" si="2714"/>
        <v>0</v>
      </c>
      <c r="DS1279">
        <f t="shared" si="2714"/>
        <v>0</v>
      </c>
      <c r="DT1279">
        <f t="shared" si="2714"/>
        <v>0</v>
      </c>
      <c r="DU1279">
        <f t="shared" si="2714"/>
        <v>0</v>
      </c>
      <c r="DV1279">
        <f t="shared" si="2714"/>
        <v>0</v>
      </c>
      <c r="DW1279">
        <f t="shared" si="2714"/>
        <v>0</v>
      </c>
      <c r="DX1279">
        <f t="shared" si="2714"/>
        <v>0</v>
      </c>
      <c r="DY1279">
        <f t="shared" si="2714"/>
        <v>0</v>
      </c>
      <c r="DZ1279">
        <f t="shared" si="2714"/>
        <v>0</v>
      </c>
      <c r="EA1279">
        <f t="shared" si="2715"/>
        <v>0</v>
      </c>
      <c r="EB1279">
        <f>IF($C1279&lt;&gt;"",IF(BM1278&gt;0,1,0),0)</f>
        <v>0</v>
      </c>
      <c r="EC1279">
        <f t="shared" si="2715"/>
        <v>0</v>
      </c>
      <c r="ED1279">
        <f t="shared" si="2715"/>
        <v>0</v>
      </c>
      <c r="EE1279">
        <f t="shared" si="2715"/>
        <v>0</v>
      </c>
      <c r="EF1279">
        <f t="shared" si="2715"/>
        <v>0</v>
      </c>
    </row>
    <row r="1280" spans="1:136" ht="15.5">
      <c r="A1280" s="90"/>
      <c r="B1280" s="57" t="s">
        <v>212</v>
      </c>
      <c r="C1280" s="88"/>
      <c r="D1280" s="34"/>
      <c r="E1280" s="34"/>
      <c r="F1280" s="34"/>
      <c r="G1280" s="34"/>
      <c r="H1280" s="34"/>
      <c r="I1280" s="34"/>
      <c r="J1280" s="34"/>
      <c r="K1280" s="34"/>
      <c r="L1280" s="34"/>
      <c r="M1280" s="34"/>
      <c r="N1280" s="34"/>
      <c r="O1280" s="34"/>
      <c r="P1280" s="34"/>
      <c r="Q1280" s="34"/>
      <c r="R1280" s="34"/>
      <c r="S1280" s="34"/>
      <c r="T1280" s="34"/>
      <c r="U1280" s="34"/>
      <c r="V1280" s="34"/>
      <c r="W1280" s="34"/>
      <c r="X1280" s="34"/>
      <c r="Y1280" s="34"/>
      <c r="Z1280" s="34"/>
      <c r="AA1280" s="34"/>
      <c r="AB1280" s="34"/>
      <c r="AC1280" s="34"/>
      <c r="AD1280" s="34"/>
      <c r="AE1280" s="34"/>
      <c r="AF1280" s="34"/>
      <c r="AG1280" s="34"/>
      <c r="AH1280" s="34">
        <v>0</v>
      </c>
      <c r="AI1280" s="34">
        <v>0</v>
      </c>
      <c r="AJ1280" s="34">
        <v>0</v>
      </c>
      <c r="AK1280" s="34">
        <v>0</v>
      </c>
      <c r="AL1280" s="34">
        <v>0</v>
      </c>
      <c r="AM1280" s="34">
        <v>53.005507474429585</v>
      </c>
      <c r="AN1280" s="34">
        <v>229.14105594956658</v>
      </c>
      <c r="AO1280" s="34">
        <v>157.12643678160919</v>
      </c>
      <c r="AP1280" s="34">
        <v>22.779043280182233</v>
      </c>
      <c r="AQ1280" s="34">
        <v>0</v>
      </c>
      <c r="AR1280" s="34">
        <v>0</v>
      </c>
      <c r="AS1280" s="34">
        <v>0</v>
      </c>
      <c r="AT1280" s="34">
        <v>0</v>
      </c>
      <c r="AU1280" s="34">
        <f>18000/585</f>
        <v>30.76923076923077</v>
      </c>
      <c r="AV1280" s="34">
        <v>0</v>
      </c>
      <c r="AW1280" s="34">
        <v>0</v>
      </c>
      <c r="AX1280" s="40" t="s">
        <v>16</v>
      </c>
      <c r="AY1280" s="34"/>
      <c r="AZ1280" s="34"/>
      <c r="BA1280" s="34"/>
      <c r="BB1280" s="34">
        <v>220.65727699530515</v>
      </c>
      <c r="BC1280" s="34">
        <v>32.786885245901637</v>
      </c>
      <c r="BD1280" s="34">
        <v>0</v>
      </c>
      <c r="BE1280" s="42">
        <v>46.511627906976742</v>
      </c>
      <c r="BF1280" s="18">
        <v>93.023255813953483</v>
      </c>
      <c r="BG1280" s="40" t="s">
        <v>16</v>
      </c>
      <c r="BH1280" s="40" t="s">
        <v>16</v>
      </c>
      <c r="BI1280" s="40" t="s">
        <v>16</v>
      </c>
      <c r="BJ1280" s="40" t="s">
        <v>16</v>
      </c>
      <c r="BK1280" s="40" t="s">
        <v>16</v>
      </c>
      <c r="BL1280" s="40" t="s">
        <v>16</v>
      </c>
      <c r="BM1280" s="113">
        <v>3300</v>
      </c>
      <c r="BN1280" s="40" t="s">
        <v>16</v>
      </c>
      <c r="BO1280" s="40" t="s">
        <v>16</v>
      </c>
      <c r="BP1280" s="71">
        <v>1335</v>
      </c>
      <c r="BQ1280" s="113">
        <v>1273</v>
      </c>
      <c r="BR1280" s="101"/>
      <c r="BS1280">
        <f t="shared" si="2709"/>
        <v>0</v>
      </c>
      <c r="BT1280">
        <f t="shared" si="2709"/>
        <v>0</v>
      </c>
      <c r="BU1280">
        <f t="shared" si="2709"/>
        <v>0</v>
      </c>
      <c r="BV1280">
        <f t="shared" si="2709"/>
        <v>0</v>
      </c>
      <c r="BW1280">
        <f t="shared" si="2709"/>
        <v>0</v>
      </c>
      <c r="BX1280">
        <f t="shared" si="2709"/>
        <v>0</v>
      </c>
      <c r="BY1280">
        <f t="shared" si="2709"/>
        <v>0</v>
      </c>
      <c r="BZ1280">
        <f t="shared" si="2709"/>
        <v>0</v>
      </c>
      <c r="CA1280">
        <f t="shared" si="2709"/>
        <v>0</v>
      </c>
      <c r="CB1280">
        <f t="shared" si="2709"/>
        <v>0</v>
      </c>
      <c r="CC1280">
        <f t="shared" si="2710"/>
        <v>0</v>
      </c>
      <c r="CD1280">
        <f t="shared" si="2710"/>
        <v>0</v>
      </c>
      <c r="CE1280">
        <f t="shared" si="2710"/>
        <v>0</v>
      </c>
      <c r="CF1280">
        <f t="shared" si="2710"/>
        <v>0</v>
      </c>
      <c r="CG1280">
        <f t="shared" si="2710"/>
        <v>0</v>
      </c>
      <c r="CH1280">
        <f t="shared" si="2710"/>
        <v>0</v>
      </c>
      <c r="CI1280">
        <f t="shared" si="2710"/>
        <v>0</v>
      </c>
      <c r="CJ1280">
        <f t="shared" si="2710"/>
        <v>0</v>
      </c>
      <c r="CK1280">
        <f t="shared" si="2710"/>
        <v>0</v>
      </c>
      <c r="CL1280">
        <f t="shared" si="2710"/>
        <v>0</v>
      </c>
      <c r="CM1280">
        <f t="shared" si="2711"/>
        <v>0</v>
      </c>
      <c r="CN1280">
        <f t="shared" si="2711"/>
        <v>0</v>
      </c>
      <c r="CO1280">
        <f t="shared" si="2711"/>
        <v>0</v>
      </c>
      <c r="CP1280">
        <f t="shared" si="2711"/>
        <v>0</v>
      </c>
      <c r="CQ1280">
        <f t="shared" si="2711"/>
        <v>0</v>
      </c>
      <c r="CR1280">
        <f t="shared" si="2711"/>
        <v>0</v>
      </c>
      <c r="CS1280">
        <f t="shared" si="2711"/>
        <v>0</v>
      </c>
      <c r="CT1280">
        <f t="shared" si="2711"/>
        <v>0</v>
      </c>
      <c r="CU1280">
        <f t="shared" si="2711"/>
        <v>0</v>
      </c>
      <c r="CV1280">
        <f t="shared" si="2711"/>
        <v>0</v>
      </c>
      <c r="CW1280">
        <f t="shared" si="2712"/>
        <v>0</v>
      </c>
      <c r="CX1280">
        <f t="shared" si="2712"/>
        <v>0</v>
      </c>
      <c r="CY1280">
        <f t="shared" si="2712"/>
        <v>0</v>
      </c>
      <c r="CZ1280">
        <f t="shared" si="2712"/>
        <v>0</v>
      </c>
      <c r="DA1280">
        <f t="shared" si="2712"/>
        <v>0</v>
      </c>
      <c r="DB1280">
        <f t="shared" si="2712"/>
        <v>0</v>
      </c>
      <c r="DC1280">
        <f t="shared" si="2712"/>
        <v>0</v>
      </c>
      <c r="DD1280">
        <f t="shared" si="2712"/>
        <v>0</v>
      </c>
      <c r="DE1280">
        <f t="shared" si="2712"/>
        <v>0</v>
      </c>
      <c r="DF1280">
        <f t="shared" si="2712"/>
        <v>0</v>
      </c>
      <c r="DG1280">
        <f t="shared" si="2713"/>
        <v>0</v>
      </c>
      <c r="DH1280">
        <f t="shared" si="2713"/>
        <v>0</v>
      </c>
      <c r="DI1280">
        <f t="shared" si="2713"/>
        <v>0</v>
      </c>
      <c r="DJ1280">
        <f t="shared" si="2713"/>
        <v>0</v>
      </c>
      <c r="DK1280">
        <f t="shared" si="2713"/>
        <v>0</v>
      </c>
      <c r="DL1280">
        <f t="shared" si="2713"/>
        <v>0</v>
      </c>
      <c r="DM1280">
        <f t="shared" si="2713"/>
        <v>0</v>
      </c>
      <c r="DN1280">
        <f t="shared" si="2713"/>
        <v>0</v>
      </c>
      <c r="DO1280">
        <f t="shared" si="2713"/>
        <v>0</v>
      </c>
      <c r="DP1280">
        <f t="shared" si="2713"/>
        <v>0</v>
      </c>
      <c r="DQ1280">
        <f t="shared" si="2714"/>
        <v>0</v>
      </c>
      <c r="DR1280">
        <f t="shared" si="2714"/>
        <v>0</v>
      </c>
      <c r="DS1280">
        <f t="shared" si="2714"/>
        <v>0</v>
      </c>
      <c r="DT1280">
        <f t="shared" si="2714"/>
        <v>0</v>
      </c>
      <c r="DU1280">
        <f t="shared" si="2714"/>
        <v>0</v>
      </c>
      <c r="DV1280">
        <f t="shared" si="2714"/>
        <v>0</v>
      </c>
      <c r="DW1280">
        <f t="shared" si="2714"/>
        <v>0</v>
      </c>
      <c r="DX1280">
        <f t="shared" si="2714"/>
        <v>0</v>
      </c>
      <c r="DY1280">
        <f t="shared" si="2714"/>
        <v>0</v>
      </c>
      <c r="DZ1280">
        <f t="shared" si="2714"/>
        <v>0</v>
      </c>
      <c r="EA1280">
        <f t="shared" ref="EA1280:EF1280" si="2716">IF($C1280&lt;&gt;"",IF(BL1280&gt;0,1,0),0)</f>
        <v>0</v>
      </c>
      <c r="EB1280">
        <f t="shared" si="2716"/>
        <v>0</v>
      </c>
      <c r="EC1280">
        <f t="shared" si="2716"/>
        <v>0</v>
      </c>
      <c r="ED1280">
        <f t="shared" si="2716"/>
        <v>0</v>
      </c>
      <c r="EE1280">
        <f t="shared" si="2716"/>
        <v>0</v>
      </c>
      <c r="EF1280">
        <f t="shared" si="2716"/>
        <v>0</v>
      </c>
    </row>
    <row r="1281" spans="1:136" ht="15.5">
      <c r="A1281" s="90"/>
      <c r="B1281" s="19"/>
      <c r="C1281" s="99"/>
      <c r="D1281" s="36"/>
      <c r="E1281" s="36"/>
      <c r="F1281" s="36"/>
      <c r="G1281" s="36"/>
      <c r="H1281" s="36"/>
      <c r="I1281" s="36"/>
      <c r="J1281" s="36"/>
      <c r="K1281" s="36"/>
      <c r="L1281" s="36"/>
      <c r="M1281" s="36"/>
      <c r="N1281" s="36"/>
      <c r="O1281" s="36"/>
      <c r="P1281" s="36"/>
      <c r="Q1281" s="36"/>
      <c r="R1281" s="36"/>
      <c r="S1281" s="36"/>
      <c r="T1281" s="36"/>
      <c r="U1281" s="36"/>
      <c r="V1281" s="36"/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6"/>
      <c r="AM1281" s="36"/>
      <c r="AN1281" s="36"/>
      <c r="AO1281" s="36"/>
      <c r="AP1281" s="36"/>
      <c r="AQ1281" s="36"/>
      <c r="AR1281" s="36"/>
      <c r="AS1281" s="36"/>
      <c r="AT1281" s="36"/>
      <c r="AU1281" s="36"/>
      <c r="AV1281" s="36"/>
      <c r="AW1281" s="36"/>
      <c r="AX1281" s="36"/>
      <c r="AY1281" s="36"/>
      <c r="AZ1281" s="36"/>
      <c r="BA1281" s="36"/>
      <c r="BB1281" s="36"/>
      <c r="BC1281" s="36"/>
      <c r="BD1281" s="36"/>
      <c r="BE1281" s="74"/>
      <c r="BF1281" s="36"/>
      <c r="BG1281" s="22"/>
      <c r="BH1281" s="2"/>
      <c r="BI1281" s="2"/>
      <c r="BJ1281" s="229"/>
      <c r="BK1281" s="2"/>
      <c r="BL1281" s="2"/>
      <c r="BM1281" s="2"/>
      <c r="BN1281" s="2"/>
      <c r="BO1281" s="2"/>
      <c r="BP1281" s="2"/>
      <c r="BQ1281" s="2"/>
      <c r="BR1281" s="101"/>
    </row>
    <row r="1282" spans="1:136" ht="15.5">
      <c r="A1282" s="93">
        <v>164</v>
      </c>
      <c r="B1282" s="32" t="s">
        <v>159</v>
      </c>
      <c r="C1282" s="98">
        <v>3</v>
      </c>
      <c r="D1282" s="9">
        <f t="shared" ref="D1282:AI1282" si="2717">SUM(D1283:D1288)</f>
        <v>241.31000000000003</v>
      </c>
      <c r="E1282" s="9">
        <f t="shared" si="2717"/>
        <v>248.41060000000002</v>
      </c>
      <c r="F1282" s="9">
        <f t="shared" si="2717"/>
        <v>255.5112</v>
      </c>
      <c r="G1282" s="9">
        <f t="shared" si="2717"/>
        <v>262.61180000000002</v>
      </c>
      <c r="H1282" s="9">
        <f t="shared" si="2717"/>
        <v>284.7124</v>
      </c>
      <c r="I1282" s="9">
        <f t="shared" si="2717"/>
        <v>595.41300000000001</v>
      </c>
      <c r="J1282" s="9">
        <f t="shared" si="2717"/>
        <v>295.51360000000005</v>
      </c>
      <c r="K1282" s="9">
        <f t="shared" si="2717"/>
        <v>290.85860000000008</v>
      </c>
      <c r="L1282" s="9">
        <f t="shared" si="2717"/>
        <v>15.9</v>
      </c>
      <c r="M1282" s="9">
        <f t="shared" si="2717"/>
        <v>0</v>
      </c>
      <c r="N1282" s="9">
        <f t="shared" si="2717"/>
        <v>0.7</v>
      </c>
      <c r="O1282" s="9">
        <f t="shared" si="2717"/>
        <v>0</v>
      </c>
      <c r="P1282" s="9">
        <f t="shared" si="2717"/>
        <v>0</v>
      </c>
      <c r="Q1282" s="9">
        <f t="shared" si="2717"/>
        <v>0</v>
      </c>
      <c r="R1282" s="9">
        <f t="shared" si="2717"/>
        <v>0</v>
      </c>
      <c r="S1282" s="9">
        <f t="shared" si="2717"/>
        <v>0</v>
      </c>
      <c r="T1282" s="9">
        <f t="shared" si="2717"/>
        <v>0</v>
      </c>
      <c r="U1282" s="9">
        <f t="shared" si="2717"/>
        <v>0</v>
      </c>
      <c r="V1282" s="9">
        <f t="shared" si="2717"/>
        <v>0</v>
      </c>
      <c r="W1282" s="9">
        <f t="shared" si="2717"/>
        <v>0</v>
      </c>
      <c r="X1282" s="9">
        <f t="shared" si="2717"/>
        <v>0</v>
      </c>
      <c r="Y1282" s="9">
        <f t="shared" si="2717"/>
        <v>0</v>
      </c>
      <c r="Z1282" s="9">
        <f t="shared" si="2717"/>
        <v>1.7</v>
      </c>
      <c r="AA1282" s="9">
        <f t="shared" si="2717"/>
        <v>951.3</v>
      </c>
      <c r="AB1282" s="9">
        <f t="shared" si="2717"/>
        <v>2054</v>
      </c>
      <c r="AC1282" s="9">
        <f t="shared" si="2717"/>
        <v>4902.8</v>
      </c>
      <c r="AD1282" s="9">
        <f t="shared" si="2717"/>
        <v>1636</v>
      </c>
      <c r="AE1282" s="9">
        <f t="shared" si="2717"/>
        <v>958.9</v>
      </c>
      <c r="AF1282" s="9">
        <f t="shared" si="2717"/>
        <v>7849.5</v>
      </c>
      <c r="AG1282" s="9">
        <f t="shared" si="2717"/>
        <v>6768.66</v>
      </c>
      <c r="AH1282" s="9">
        <f t="shared" si="2717"/>
        <v>6329.4</v>
      </c>
      <c r="AI1282" s="9">
        <f t="shared" si="2717"/>
        <v>5347.3</v>
      </c>
      <c r="AJ1282" s="9"/>
      <c r="AK1282" s="9"/>
      <c r="AL1282" s="9"/>
      <c r="AM1282" s="9"/>
      <c r="AN1282" s="9"/>
      <c r="AO1282" s="9"/>
      <c r="AP1282" s="9"/>
      <c r="AQ1282" s="9"/>
      <c r="AR1282" s="9"/>
      <c r="AS1282" s="9"/>
      <c r="AT1282" s="9"/>
      <c r="AU1282" s="9"/>
      <c r="AV1282" s="9"/>
      <c r="AW1282" s="9"/>
      <c r="AX1282" s="9"/>
      <c r="AY1282" s="9"/>
      <c r="AZ1282" s="9"/>
      <c r="BA1282" s="9"/>
      <c r="BB1282" s="9"/>
      <c r="BC1282" s="9"/>
      <c r="BD1282" s="9"/>
      <c r="BE1282" s="8"/>
      <c r="BF1282" s="36"/>
      <c r="BG1282" s="2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101"/>
      <c r="BS1282">
        <f t="shared" ref="BS1282:CX1282" si="2718">IF($C1282&lt;&gt;"",IF(D1282&gt;0,1,0),0)</f>
        <v>1</v>
      </c>
      <c r="BT1282">
        <f t="shared" si="2718"/>
        <v>1</v>
      </c>
      <c r="BU1282">
        <f t="shared" si="2718"/>
        <v>1</v>
      </c>
      <c r="BV1282">
        <f t="shared" si="2718"/>
        <v>1</v>
      </c>
      <c r="BW1282">
        <f t="shared" si="2718"/>
        <v>1</v>
      </c>
      <c r="BX1282">
        <f t="shared" si="2718"/>
        <v>1</v>
      </c>
      <c r="BY1282">
        <f t="shared" si="2718"/>
        <v>1</v>
      </c>
      <c r="BZ1282">
        <f t="shared" si="2718"/>
        <v>1</v>
      </c>
      <c r="CA1282">
        <f t="shared" si="2718"/>
        <v>1</v>
      </c>
      <c r="CB1282">
        <f t="shared" si="2718"/>
        <v>0</v>
      </c>
      <c r="CC1282">
        <f t="shared" si="2718"/>
        <v>1</v>
      </c>
      <c r="CD1282">
        <f t="shared" si="2718"/>
        <v>0</v>
      </c>
      <c r="CE1282">
        <f t="shared" si="2718"/>
        <v>0</v>
      </c>
      <c r="CF1282">
        <f t="shared" si="2718"/>
        <v>0</v>
      </c>
      <c r="CG1282">
        <f t="shared" si="2718"/>
        <v>0</v>
      </c>
      <c r="CH1282">
        <f t="shared" si="2718"/>
        <v>0</v>
      </c>
      <c r="CI1282">
        <f t="shared" si="2718"/>
        <v>0</v>
      </c>
      <c r="CJ1282">
        <f t="shared" si="2718"/>
        <v>0</v>
      </c>
      <c r="CK1282">
        <f t="shared" si="2718"/>
        <v>0</v>
      </c>
      <c r="CL1282">
        <f t="shared" si="2718"/>
        <v>0</v>
      </c>
      <c r="CM1282">
        <f t="shared" si="2718"/>
        <v>0</v>
      </c>
      <c r="CN1282">
        <f t="shared" si="2718"/>
        <v>0</v>
      </c>
      <c r="CO1282">
        <f t="shared" si="2718"/>
        <v>1</v>
      </c>
      <c r="CP1282">
        <f t="shared" si="2718"/>
        <v>1</v>
      </c>
      <c r="CQ1282">
        <f t="shared" si="2718"/>
        <v>1</v>
      </c>
      <c r="CR1282">
        <f t="shared" si="2718"/>
        <v>1</v>
      </c>
      <c r="CS1282">
        <f t="shared" si="2718"/>
        <v>1</v>
      </c>
      <c r="CT1282">
        <f t="shared" si="2718"/>
        <v>1</v>
      </c>
      <c r="CU1282">
        <f t="shared" si="2718"/>
        <v>1</v>
      </c>
      <c r="CV1282">
        <f t="shared" si="2718"/>
        <v>1</v>
      </c>
      <c r="CW1282">
        <f t="shared" si="2718"/>
        <v>1</v>
      </c>
      <c r="CX1282">
        <f t="shared" si="2718"/>
        <v>1</v>
      </c>
      <c r="CY1282">
        <f t="shared" ref="CY1282:EF1282" si="2719">IF($C1282&lt;&gt;"",IF(AJ1282&gt;0,1,0),0)</f>
        <v>0</v>
      </c>
      <c r="CZ1282">
        <f t="shared" si="2719"/>
        <v>0</v>
      </c>
      <c r="DA1282">
        <f t="shared" si="2719"/>
        <v>0</v>
      </c>
      <c r="DB1282">
        <f t="shared" si="2719"/>
        <v>0</v>
      </c>
      <c r="DC1282">
        <f t="shared" si="2719"/>
        <v>0</v>
      </c>
      <c r="DD1282">
        <f t="shared" si="2719"/>
        <v>0</v>
      </c>
      <c r="DE1282">
        <f t="shared" si="2719"/>
        <v>0</v>
      </c>
      <c r="DF1282">
        <f t="shared" si="2719"/>
        <v>0</v>
      </c>
      <c r="DG1282">
        <f t="shared" si="2719"/>
        <v>0</v>
      </c>
      <c r="DH1282">
        <f t="shared" si="2719"/>
        <v>0</v>
      </c>
      <c r="DI1282">
        <f t="shared" si="2719"/>
        <v>0</v>
      </c>
      <c r="DJ1282">
        <f t="shared" si="2719"/>
        <v>0</v>
      </c>
      <c r="DK1282">
        <f t="shared" si="2719"/>
        <v>0</v>
      </c>
      <c r="DL1282">
        <f t="shared" si="2719"/>
        <v>0</v>
      </c>
      <c r="DM1282">
        <f t="shared" si="2719"/>
        <v>0</v>
      </c>
      <c r="DN1282">
        <f t="shared" si="2719"/>
        <v>0</v>
      </c>
      <c r="DO1282">
        <f t="shared" si="2719"/>
        <v>0</v>
      </c>
      <c r="DP1282">
        <f t="shared" si="2719"/>
        <v>0</v>
      </c>
      <c r="DQ1282">
        <f t="shared" si="2719"/>
        <v>0</v>
      </c>
      <c r="DR1282">
        <f t="shared" si="2719"/>
        <v>0</v>
      </c>
      <c r="DS1282">
        <f t="shared" si="2719"/>
        <v>0</v>
      </c>
      <c r="DT1282">
        <f t="shared" si="2719"/>
        <v>0</v>
      </c>
      <c r="DU1282">
        <f t="shared" si="2719"/>
        <v>0</v>
      </c>
      <c r="DV1282">
        <f t="shared" si="2719"/>
        <v>0</v>
      </c>
      <c r="DW1282">
        <f t="shared" si="2719"/>
        <v>0</v>
      </c>
      <c r="DX1282">
        <f t="shared" si="2719"/>
        <v>0</v>
      </c>
      <c r="DY1282">
        <f t="shared" si="2719"/>
        <v>0</v>
      </c>
      <c r="DZ1282">
        <f t="shared" si="2719"/>
        <v>0</v>
      </c>
      <c r="EA1282">
        <f t="shared" si="2719"/>
        <v>0</v>
      </c>
      <c r="EB1282">
        <f>IF($C1282&lt;&gt;"",IF(BM1282&gt;0,1,0),0)</f>
        <v>0</v>
      </c>
      <c r="EC1282">
        <f t="shared" si="2719"/>
        <v>0</v>
      </c>
      <c r="ED1282">
        <f t="shared" si="2719"/>
        <v>0</v>
      </c>
      <c r="EE1282">
        <f t="shared" si="2719"/>
        <v>0</v>
      </c>
      <c r="EF1282">
        <f t="shared" si="2719"/>
        <v>0</v>
      </c>
    </row>
    <row r="1283" spans="1:136" ht="15.5">
      <c r="A1283" s="90"/>
      <c r="B1283" s="24" t="s">
        <v>15</v>
      </c>
      <c r="C1283" s="98"/>
      <c r="D1283" s="34">
        <v>0</v>
      </c>
      <c r="E1283" s="34">
        <v>0</v>
      </c>
      <c r="F1283" s="34">
        <v>0</v>
      </c>
      <c r="G1283" s="34">
        <v>0</v>
      </c>
      <c r="H1283" s="34">
        <v>15</v>
      </c>
      <c r="I1283" s="34">
        <v>0</v>
      </c>
      <c r="J1283" s="34">
        <v>0</v>
      </c>
      <c r="K1283" s="34">
        <v>0</v>
      </c>
      <c r="L1283" s="34">
        <v>0</v>
      </c>
      <c r="M1283" s="34">
        <v>0</v>
      </c>
      <c r="N1283" s="34">
        <v>0</v>
      </c>
      <c r="O1283" s="34">
        <v>0</v>
      </c>
      <c r="P1283" s="34">
        <v>0</v>
      </c>
      <c r="Q1283" s="34">
        <v>0</v>
      </c>
      <c r="R1283" s="34">
        <v>0</v>
      </c>
      <c r="S1283" s="34">
        <v>0</v>
      </c>
      <c r="T1283" s="34">
        <v>0</v>
      </c>
      <c r="U1283" s="34">
        <v>0</v>
      </c>
      <c r="V1283" s="34">
        <v>0</v>
      </c>
      <c r="W1283" s="34">
        <v>0</v>
      </c>
      <c r="X1283" s="34">
        <v>0</v>
      </c>
      <c r="Y1283" s="34">
        <v>0</v>
      </c>
      <c r="Z1283" s="34">
        <v>0</v>
      </c>
      <c r="AA1283" s="34">
        <v>0</v>
      </c>
      <c r="AB1283" s="34">
        <v>0</v>
      </c>
      <c r="AC1283" s="34">
        <v>0</v>
      </c>
      <c r="AD1283" s="34">
        <v>0</v>
      </c>
      <c r="AE1283" s="34">
        <v>0</v>
      </c>
      <c r="AF1283" s="34">
        <v>0</v>
      </c>
      <c r="AG1283" s="34">
        <v>0</v>
      </c>
      <c r="AH1283" s="34">
        <v>0</v>
      </c>
      <c r="AI1283" s="34">
        <v>0</v>
      </c>
      <c r="AJ1283" s="34"/>
      <c r="AK1283" s="9" t="s">
        <v>24</v>
      </c>
      <c r="AL1283" s="9"/>
      <c r="AM1283" s="9"/>
      <c r="AN1283" s="9"/>
      <c r="AO1283" s="9"/>
      <c r="AP1283" s="9"/>
      <c r="AQ1283" s="9"/>
      <c r="AR1283" s="9"/>
      <c r="AS1283" s="9"/>
      <c r="AT1283" s="9"/>
      <c r="AU1283" s="9"/>
      <c r="AV1283" s="9"/>
      <c r="AW1283" s="9"/>
      <c r="AX1283" s="9"/>
      <c r="AY1283" s="9"/>
      <c r="AZ1283" s="9"/>
      <c r="BA1283" s="9"/>
      <c r="BB1283" s="9"/>
      <c r="BC1283" s="9"/>
      <c r="BD1283" s="9"/>
      <c r="BE1283" s="8"/>
      <c r="BF1283" s="9"/>
      <c r="BG1283" s="2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101"/>
      <c r="BS1283">
        <f t="shared" ref="BS1283:CB1289" si="2720">IF($C1283&lt;&gt;"",IF(D1283&gt;0,1,0),0)</f>
        <v>0</v>
      </c>
      <c r="BT1283">
        <f t="shared" si="2720"/>
        <v>0</v>
      </c>
      <c r="BU1283">
        <f t="shared" si="2720"/>
        <v>0</v>
      </c>
      <c r="BV1283">
        <f t="shared" si="2720"/>
        <v>0</v>
      </c>
      <c r="BW1283">
        <f t="shared" si="2720"/>
        <v>0</v>
      </c>
      <c r="BX1283">
        <f t="shared" si="2720"/>
        <v>0</v>
      </c>
      <c r="BY1283">
        <f t="shared" si="2720"/>
        <v>0</v>
      </c>
      <c r="BZ1283">
        <f t="shared" si="2720"/>
        <v>0</v>
      </c>
      <c r="CA1283">
        <f t="shared" si="2720"/>
        <v>0</v>
      </c>
      <c r="CB1283">
        <f t="shared" si="2720"/>
        <v>0</v>
      </c>
      <c r="CC1283">
        <f t="shared" ref="CC1283:CL1289" si="2721">IF($C1283&lt;&gt;"",IF(N1283&gt;0,1,0),0)</f>
        <v>0</v>
      </c>
      <c r="CD1283">
        <f t="shared" si="2721"/>
        <v>0</v>
      </c>
      <c r="CE1283">
        <f t="shared" si="2721"/>
        <v>0</v>
      </c>
      <c r="CF1283">
        <f t="shared" si="2721"/>
        <v>0</v>
      </c>
      <c r="CG1283">
        <f t="shared" si="2721"/>
        <v>0</v>
      </c>
      <c r="CH1283">
        <f t="shared" si="2721"/>
        <v>0</v>
      </c>
      <c r="CI1283">
        <f t="shared" si="2721"/>
        <v>0</v>
      </c>
      <c r="CJ1283">
        <f t="shared" si="2721"/>
        <v>0</v>
      </c>
      <c r="CK1283">
        <f t="shared" si="2721"/>
        <v>0</v>
      </c>
      <c r="CL1283">
        <f t="shared" si="2721"/>
        <v>0</v>
      </c>
      <c r="CM1283">
        <f t="shared" ref="CM1283:CV1289" si="2722">IF($C1283&lt;&gt;"",IF(X1283&gt;0,1,0),0)</f>
        <v>0</v>
      </c>
      <c r="CN1283">
        <f t="shared" si="2722"/>
        <v>0</v>
      </c>
      <c r="CO1283">
        <f t="shared" si="2722"/>
        <v>0</v>
      </c>
      <c r="CP1283">
        <f t="shared" si="2722"/>
        <v>0</v>
      </c>
      <c r="CQ1283">
        <f t="shared" si="2722"/>
        <v>0</v>
      </c>
      <c r="CR1283">
        <f t="shared" si="2722"/>
        <v>0</v>
      </c>
      <c r="CS1283">
        <f t="shared" si="2722"/>
        <v>0</v>
      </c>
      <c r="CT1283">
        <f t="shared" si="2722"/>
        <v>0</v>
      </c>
      <c r="CU1283">
        <f t="shared" si="2722"/>
        <v>0</v>
      </c>
      <c r="CV1283">
        <f t="shared" si="2722"/>
        <v>0</v>
      </c>
      <c r="CW1283">
        <f t="shared" ref="CW1283:DF1289" si="2723">IF($C1283&lt;&gt;"",IF(AH1283&gt;0,1,0),0)</f>
        <v>0</v>
      </c>
      <c r="CX1283">
        <f t="shared" si="2723"/>
        <v>0</v>
      </c>
      <c r="CY1283">
        <f t="shared" si="2723"/>
        <v>0</v>
      </c>
      <c r="CZ1283">
        <f t="shared" si="2723"/>
        <v>0</v>
      </c>
      <c r="DA1283">
        <f t="shared" si="2723"/>
        <v>0</v>
      </c>
      <c r="DB1283">
        <f t="shared" si="2723"/>
        <v>0</v>
      </c>
      <c r="DC1283">
        <f t="shared" si="2723"/>
        <v>0</v>
      </c>
      <c r="DD1283">
        <f t="shared" si="2723"/>
        <v>0</v>
      </c>
      <c r="DE1283">
        <f t="shared" si="2723"/>
        <v>0</v>
      </c>
      <c r="DF1283">
        <f t="shared" si="2723"/>
        <v>0</v>
      </c>
      <c r="DG1283">
        <f t="shared" ref="DG1283:DP1289" si="2724">IF($C1283&lt;&gt;"",IF(AR1283&gt;0,1,0),0)</f>
        <v>0</v>
      </c>
      <c r="DH1283">
        <f t="shared" si="2724"/>
        <v>0</v>
      </c>
      <c r="DI1283">
        <f t="shared" si="2724"/>
        <v>0</v>
      </c>
      <c r="DJ1283">
        <f t="shared" si="2724"/>
        <v>0</v>
      </c>
      <c r="DK1283">
        <f t="shared" si="2724"/>
        <v>0</v>
      </c>
      <c r="DL1283">
        <f t="shared" si="2724"/>
        <v>0</v>
      </c>
      <c r="DM1283">
        <f t="shared" si="2724"/>
        <v>0</v>
      </c>
      <c r="DN1283">
        <f t="shared" si="2724"/>
        <v>0</v>
      </c>
      <c r="DO1283">
        <f t="shared" si="2724"/>
        <v>0</v>
      </c>
      <c r="DP1283">
        <f t="shared" si="2724"/>
        <v>0</v>
      </c>
      <c r="DQ1283">
        <f t="shared" ref="DQ1283:DZ1289" si="2725">IF($C1283&lt;&gt;"",IF(BB1283&gt;0,1,0),0)</f>
        <v>0</v>
      </c>
      <c r="DR1283">
        <f t="shared" si="2725"/>
        <v>0</v>
      </c>
      <c r="DS1283">
        <f t="shared" si="2725"/>
        <v>0</v>
      </c>
      <c r="DT1283">
        <f t="shared" si="2725"/>
        <v>0</v>
      </c>
      <c r="DU1283">
        <f t="shared" si="2725"/>
        <v>0</v>
      </c>
      <c r="DV1283">
        <f t="shared" si="2725"/>
        <v>0</v>
      </c>
      <c r="DW1283">
        <f t="shared" si="2725"/>
        <v>0</v>
      </c>
      <c r="DX1283">
        <f t="shared" si="2725"/>
        <v>0</v>
      </c>
      <c r="DY1283">
        <f t="shared" si="2725"/>
        <v>0</v>
      </c>
      <c r="DZ1283">
        <f t="shared" si="2725"/>
        <v>0</v>
      </c>
      <c r="EA1283">
        <f t="shared" ref="EA1283:EF1288" si="2726">IF($C1283&lt;&gt;"",IF(BL1282&gt;0,1,0),0)</f>
        <v>0</v>
      </c>
      <c r="EB1283">
        <f t="shared" ref="EB1283:EB1288" si="2727">IF($C1283&lt;&gt;"",IF(BM1282&gt;0,1,0),0)</f>
        <v>0</v>
      </c>
      <c r="EC1283">
        <f t="shared" si="2726"/>
        <v>0</v>
      </c>
      <c r="ED1283">
        <f t="shared" si="2726"/>
        <v>0</v>
      </c>
      <c r="EE1283">
        <f t="shared" si="2726"/>
        <v>0</v>
      </c>
      <c r="EF1283">
        <f t="shared" si="2726"/>
        <v>0</v>
      </c>
    </row>
    <row r="1284" spans="1:136" ht="15.5">
      <c r="A1284" s="90"/>
      <c r="B1284" s="19" t="s">
        <v>2</v>
      </c>
      <c r="C1284" s="99"/>
      <c r="D1284" s="34">
        <v>0</v>
      </c>
      <c r="E1284" s="34">
        <v>0</v>
      </c>
      <c r="F1284" s="34">
        <v>0</v>
      </c>
      <c r="G1284" s="34">
        <v>0</v>
      </c>
      <c r="H1284" s="34">
        <v>0</v>
      </c>
      <c r="I1284" s="34">
        <v>0</v>
      </c>
      <c r="J1284" s="34">
        <v>0</v>
      </c>
      <c r="K1284" s="34">
        <v>0</v>
      </c>
      <c r="L1284" s="34">
        <v>0</v>
      </c>
      <c r="M1284" s="34">
        <v>0</v>
      </c>
      <c r="N1284" s="34">
        <v>0</v>
      </c>
      <c r="O1284" s="34">
        <v>0</v>
      </c>
      <c r="P1284" s="34">
        <v>0</v>
      </c>
      <c r="Q1284" s="34">
        <v>0</v>
      </c>
      <c r="R1284" s="34">
        <v>0</v>
      </c>
      <c r="S1284" s="34">
        <v>0</v>
      </c>
      <c r="T1284" s="34">
        <v>0</v>
      </c>
      <c r="U1284" s="34">
        <v>0</v>
      </c>
      <c r="V1284" s="34">
        <v>0</v>
      </c>
      <c r="W1284" s="34">
        <v>0</v>
      </c>
      <c r="X1284" s="34">
        <v>0</v>
      </c>
      <c r="Y1284" s="34">
        <v>0</v>
      </c>
      <c r="Z1284" s="34">
        <v>0</v>
      </c>
      <c r="AA1284" s="34">
        <v>0</v>
      </c>
      <c r="AB1284" s="34">
        <v>787</v>
      </c>
      <c r="AC1284" s="34">
        <v>1097</v>
      </c>
      <c r="AD1284" s="34">
        <v>762</v>
      </c>
      <c r="AE1284" s="34">
        <v>0</v>
      </c>
      <c r="AF1284" s="34">
        <v>952</v>
      </c>
      <c r="AG1284" s="40" t="s">
        <v>16</v>
      </c>
      <c r="AH1284" s="18">
        <v>640</v>
      </c>
      <c r="AI1284" s="18">
        <v>0</v>
      </c>
      <c r="AJ1284" s="9"/>
      <c r="AK1284" s="9"/>
      <c r="AL1284" s="9"/>
      <c r="AM1284" s="9"/>
      <c r="AN1284" s="9"/>
      <c r="AO1284" s="9"/>
      <c r="AP1284" s="9"/>
      <c r="AQ1284" s="9"/>
      <c r="AR1284" s="9"/>
      <c r="AS1284" s="9"/>
      <c r="AT1284" s="9"/>
      <c r="AU1284" s="9"/>
      <c r="AV1284" s="9"/>
      <c r="AW1284" s="9"/>
      <c r="AX1284" s="9"/>
      <c r="AY1284" s="9"/>
      <c r="AZ1284" s="9"/>
      <c r="BA1284" s="9"/>
      <c r="BB1284" s="9"/>
      <c r="BC1284" s="9"/>
      <c r="BD1284" s="9"/>
      <c r="BE1284" s="8"/>
      <c r="BF1284" s="9"/>
      <c r="BG1284" s="2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101"/>
      <c r="BS1284">
        <f t="shared" si="2720"/>
        <v>0</v>
      </c>
      <c r="BT1284">
        <f t="shared" si="2720"/>
        <v>0</v>
      </c>
      <c r="BU1284">
        <f t="shared" si="2720"/>
        <v>0</v>
      </c>
      <c r="BV1284">
        <f t="shared" si="2720"/>
        <v>0</v>
      </c>
      <c r="BW1284">
        <f t="shared" si="2720"/>
        <v>0</v>
      </c>
      <c r="BX1284">
        <f t="shared" si="2720"/>
        <v>0</v>
      </c>
      <c r="BY1284">
        <f t="shared" si="2720"/>
        <v>0</v>
      </c>
      <c r="BZ1284">
        <f t="shared" si="2720"/>
        <v>0</v>
      </c>
      <c r="CA1284">
        <f t="shared" si="2720"/>
        <v>0</v>
      </c>
      <c r="CB1284">
        <f t="shared" si="2720"/>
        <v>0</v>
      </c>
      <c r="CC1284">
        <f t="shared" si="2721"/>
        <v>0</v>
      </c>
      <c r="CD1284">
        <f t="shared" si="2721"/>
        <v>0</v>
      </c>
      <c r="CE1284">
        <f t="shared" si="2721"/>
        <v>0</v>
      </c>
      <c r="CF1284">
        <f t="shared" si="2721"/>
        <v>0</v>
      </c>
      <c r="CG1284">
        <f t="shared" si="2721"/>
        <v>0</v>
      </c>
      <c r="CH1284">
        <f t="shared" si="2721"/>
        <v>0</v>
      </c>
      <c r="CI1284">
        <f t="shared" si="2721"/>
        <v>0</v>
      </c>
      <c r="CJ1284">
        <f t="shared" si="2721"/>
        <v>0</v>
      </c>
      <c r="CK1284">
        <f t="shared" si="2721"/>
        <v>0</v>
      </c>
      <c r="CL1284">
        <f t="shared" si="2721"/>
        <v>0</v>
      </c>
      <c r="CM1284">
        <f t="shared" si="2722"/>
        <v>0</v>
      </c>
      <c r="CN1284">
        <f t="shared" si="2722"/>
        <v>0</v>
      </c>
      <c r="CO1284">
        <f t="shared" si="2722"/>
        <v>0</v>
      </c>
      <c r="CP1284">
        <f t="shared" si="2722"/>
        <v>0</v>
      </c>
      <c r="CQ1284">
        <f t="shared" si="2722"/>
        <v>0</v>
      </c>
      <c r="CR1284">
        <f t="shared" si="2722"/>
        <v>0</v>
      </c>
      <c r="CS1284">
        <f t="shared" si="2722"/>
        <v>0</v>
      </c>
      <c r="CT1284">
        <f t="shared" si="2722"/>
        <v>0</v>
      </c>
      <c r="CU1284">
        <f t="shared" si="2722"/>
        <v>0</v>
      </c>
      <c r="CV1284">
        <f t="shared" si="2722"/>
        <v>0</v>
      </c>
      <c r="CW1284">
        <f t="shared" si="2723"/>
        <v>0</v>
      </c>
      <c r="CX1284">
        <f t="shared" si="2723"/>
        <v>0</v>
      </c>
      <c r="CY1284">
        <f t="shared" si="2723"/>
        <v>0</v>
      </c>
      <c r="CZ1284">
        <f t="shared" si="2723"/>
        <v>0</v>
      </c>
      <c r="DA1284">
        <f t="shared" si="2723"/>
        <v>0</v>
      </c>
      <c r="DB1284">
        <f t="shared" si="2723"/>
        <v>0</v>
      </c>
      <c r="DC1284">
        <f t="shared" si="2723"/>
        <v>0</v>
      </c>
      <c r="DD1284">
        <f t="shared" si="2723"/>
        <v>0</v>
      </c>
      <c r="DE1284">
        <f t="shared" si="2723"/>
        <v>0</v>
      </c>
      <c r="DF1284">
        <f t="shared" si="2723"/>
        <v>0</v>
      </c>
      <c r="DG1284">
        <f t="shared" si="2724"/>
        <v>0</v>
      </c>
      <c r="DH1284">
        <f t="shared" si="2724"/>
        <v>0</v>
      </c>
      <c r="DI1284">
        <f t="shared" si="2724"/>
        <v>0</v>
      </c>
      <c r="DJ1284">
        <f t="shared" si="2724"/>
        <v>0</v>
      </c>
      <c r="DK1284">
        <f t="shared" si="2724"/>
        <v>0</v>
      </c>
      <c r="DL1284">
        <f t="shared" si="2724"/>
        <v>0</v>
      </c>
      <c r="DM1284">
        <f t="shared" si="2724"/>
        <v>0</v>
      </c>
      <c r="DN1284">
        <f t="shared" si="2724"/>
        <v>0</v>
      </c>
      <c r="DO1284">
        <f t="shared" si="2724"/>
        <v>0</v>
      </c>
      <c r="DP1284">
        <f t="shared" si="2724"/>
        <v>0</v>
      </c>
      <c r="DQ1284">
        <f t="shared" si="2725"/>
        <v>0</v>
      </c>
      <c r="DR1284">
        <f t="shared" si="2725"/>
        <v>0</v>
      </c>
      <c r="DS1284">
        <f t="shared" si="2725"/>
        <v>0</v>
      </c>
      <c r="DT1284">
        <f t="shared" si="2725"/>
        <v>0</v>
      </c>
      <c r="DU1284">
        <f t="shared" si="2725"/>
        <v>0</v>
      </c>
      <c r="DV1284">
        <f t="shared" si="2725"/>
        <v>0</v>
      </c>
      <c r="DW1284">
        <f t="shared" si="2725"/>
        <v>0</v>
      </c>
      <c r="DX1284">
        <f t="shared" si="2725"/>
        <v>0</v>
      </c>
      <c r="DY1284">
        <f t="shared" si="2725"/>
        <v>0</v>
      </c>
      <c r="DZ1284">
        <f t="shared" si="2725"/>
        <v>0</v>
      </c>
      <c r="EA1284">
        <f t="shared" si="2726"/>
        <v>0</v>
      </c>
      <c r="EB1284">
        <f t="shared" si="2727"/>
        <v>0</v>
      </c>
      <c r="EC1284">
        <f t="shared" si="2726"/>
        <v>0</v>
      </c>
      <c r="ED1284">
        <f t="shared" si="2726"/>
        <v>0</v>
      </c>
      <c r="EE1284">
        <f t="shared" si="2726"/>
        <v>0</v>
      </c>
      <c r="EF1284">
        <f t="shared" si="2726"/>
        <v>0</v>
      </c>
    </row>
    <row r="1285" spans="1:136" ht="15.5">
      <c r="A1285" s="90"/>
      <c r="B1285" s="19" t="s">
        <v>3</v>
      </c>
      <c r="C1285" s="99"/>
      <c r="D1285" s="34">
        <v>0</v>
      </c>
      <c r="E1285" s="34">
        <v>0</v>
      </c>
      <c r="F1285" s="34">
        <v>0</v>
      </c>
      <c r="G1285" s="34">
        <v>0</v>
      </c>
      <c r="H1285" s="34">
        <v>0</v>
      </c>
      <c r="I1285" s="34">
        <f>288.6+30</f>
        <v>318.60000000000002</v>
      </c>
      <c r="J1285" s="34">
        <v>11.6</v>
      </c>
      <c r="K1285" s="34">
        <v>0</v>
      </c>
      <c r="L1285" s="34">
        <v>15.9</v>
      </c>
      <c r="M1285" s="34">
        <v>0</v>
      </c>
      <c r="N1285" s="34">
        <v>0</v>
      </c>
      <c r="O1285" s="34">
        <v>0</v>
      </c>
      <c r="P1285" s="34">
        <v>0</v>
      </c>
      <c r="Q1285" s="34">
        <v>0</v>
      </c>
      <c r="R1285" s="34">
        <v>0</v>
      </c>
      <c r="S1285" s="34">
        <v>0</v>
      </c>
      <c r="T1285" s="34">
        <v>0</v>
      </c>
      <c r="U1285" s="34">
        <v>0</v>
      </c>
      <c r="V1285" s="34">
        <v>0</v>
      </c>
      <c r="W1285" s="34">
        <v>0</v>
      </c>
      <c r="X1285" s="34">
        <v>0</v>
      </c>
      <c r="Y1285" s="34">
        <v>0</v>
      </c>
      <c r="Z1285" s="34">
        <v>1.7</v>
      </c>
      <c r="AA1285" s="34">
        <v>1.3</v>
      </c>
      <c r="AB1285" s="34">
        <v>16.899999999999999</v>
      </c>
      <c r="AC1285" s="34">
        <v>0</v>
      </c>
      <c r="AD1285" s="34">
        <v>0</v>
      </c>
      <c r="AE1285" s="34">
        <v>0</v>
      </c>
      <c r="AF1285" s="34">
        <v>2.5</v>
      </c>
      <c r="AG1285" s="34">
        <v>6.7</v>
      </c>
      <c r="AH1285" s="34">
        <v>298.39999999999998</v>
      </c>
      <c r="AI1285" s="34">
        <v>629</v>
      </c>
      <c r="AJ1285" s="34"/>
      <c r="AK1285" s="34"/>
      <c r="AL1285" s="34"/>
      <c r="AM1285" s="34"/>
      <c r="AN1285" s="34"/>
      <c r="AO1285" s="34"/>
      <c r="AP1285" s="34"/>
      <c r="AQ1285" s="34"/>
      <c r="AR1285" s="34"/>
      <c r="AS1285" s="34"/>
      <c r="AT1285" s="34"/>
      <c r="AU1285" s="34"/>
      <c r="AV1285" s="34"/>
      <c r="AW1285" s="34"/>
      <c r="AX1285" s="34"/>
      <c r="AY1285" s="34"/>
      <c r="AZ1285" s="34"/>
      <c r="BA1285" s="34"/>
      <c r="BB1285" s="34"/>
      <c r="BC1285" s="34"/>
      <c r="BD1285" s="34"/>
      <c r="BE1285" s="42"/>
      <c r="BF1285" s="9"/>
      <c r="BG1285" s="2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101"/>
      <c r="BS1285">
        <f t="shared" si="2720"/>
        <v>0</v>
      </c>
      <c r="BT1285">
        <f t="shared" si="2720"/>
        <v>0</v>
      </c>
      <c r="BU1285">
        <f t="shared" si="2720"/>
        <v>0</v>
      </c>
      <c r="BV1285">
        <f t="shared" si="2720"/>
        <v>0</v>
      </c>
      <c r="BW1285">
        <f t="shared" si="2720"/>
        <v>0</v>
      </c>
      <c r="BX1285">
        <f t="shared" si="2720"/>
        <v>0</v>
      </c>
      <c r="BY1285">
        <f t="shared" si="2720"/>
        <v>0</v>
      </c>
      <c r="BZ1285">
        <f t="shared" si="2720"/>
        <v>0</v>
      </c>
      <c r="CA1285">
        <f t="shared" si="2720"/>
        <v>0</v>
      </c>
      <c r="CB1285">
        <f t="shared" si="2720"/>
        <v>0</v>
      </c>
      <c r="CC1285">
        <f t="shared" si="2721"/>
        <v>0</v>
      </c>
      <c r="CD1285">
        <f t="shared" si="2721"/>
        <v>0</v>
      </c>
      <c r="CE1285">
        <f t="shared" si="2721"/>
        <v>0</v>
      </c>
      <c r="CF1285">
        <f t="shared" si="2721"/>
        <v>0</v>
      </c>
      <c r="CG1285">
        <f t="shared" si="2721"/>
        <v>0</v>
      </c>
      <c r="CH1285">
        <f t="shared" si="2721"/>
        <v>0</v>
      </c>
      <c r="CI1285">
        <f t="shared" si="2721"/>
        <v>0</v>
      </c>
      <c r="CJ1285">
        <f t="shared" si="2721"/>
        <v>0</v>
      </c>
      <c r="CK1285">
        <f t="shared" si="2721"/>
        <v>0</v>
      </c>
      <c r="CL1285">
        <f t="shared" si="2721"/>
        <v>0</v>
      </c>
      <c r="CM1285">
        <f t="shared" si="2722"/>
        <v>0</v>
      </c>
      <c r="CN1285">
        <f t="shared" si="2722"/>
        <v>0</v>
      </c>
      <c r="CO1285">
        <f t="shared" si="2722"/>
        <v>0</v>
      </c>
      <c r="CP1285">
        <f t="shared" si="2722"/>
        <v>0</v>
      </c>
      <c r="CQ1285">
        <f t="shared" si="2722"/>
        <v>0</v>
      </c>
      <c r="CR1285">
        <f t="shared" si="2722"/>
        <v>0</v>
      </c>
      <c r="CS1285">
        <f t="shared" si="2722"/>
        <v>0</v>
      </c>
      <c r="CT1285">
        <f t="shared" si="2722"/>
        <v>0</v>
      </c>
      <c r="CU1285">
        <f t="shared" si="2722"/>
        <v>0</v>
      </c>
      <c r="CV1285">
        <f t="shared" si="2722"/>
        <v>0</v>
      </c>
      <c r="CW1285">
        <f t="shared" si="2723"/>
        <v>0</v>
      </c>
      <c r="CX1285">
        <f t="shared" si="2723"/>
        <v>0</v>
      </c>
      <c r="CY1285">
        <f t="shared" si="2723"/>
        <v>0</v>
      </c>
      <c r="CZ1285">
        <f t="shared" si="2723"/>
        <v>0</v>
      </c>
      <c r="DA1285">
        <f t="shared" si="2723"/>
        <v>0</v>
      </c>
      <c r="DB1285">
        <f t="shared" si="2723"/>
        <v>0</v>
      </c>
      <c r="DC1285">
        <f t="shared" si="2723"/>
        <v>0</v>
      </c>
      <c r="DD1285">
        <f t="shared" si="2723"/>
        <v>0</v>
      </c>
      <c r="DE1285">
        <f t="shared" si="2723"/>
        <v>0</v>
      </c>
      <c r="DF1285">
        <f t="shared" si="2723"/>
        <v>0</v>
      </c>
      <c r="DG1285">
        <f t="shared" si="2724"/>
        <v>0</v>
      </c>
      <c r="DH1285">
        <f t="shared" si="2724"/>
        <v>0</v>
      </c>
      <c r="DI1285">
        <f t="shared" si="2724"/>
        <v>0</v>
      </c>
      <c r="DJ1285">
        <f t="shared" si="2724"/>
        <v>0</v>
      </c>
      <c r="DK1285">
        <f t="shared" si="2724"/>
        <v>0</v>
      </c>
      <c r="DL1285">
        <f t="shared" si="2724"/>
        <v>0</v>
      </c>
      <c r="DM1285">
        <f t="shared" si="2724"/>
        <v>0</v>
      </c>
      <c r="DN1285">
        <f t="shared" si="2724"/>
        <v>0</v>
      </c>
      <c r="DO1285">
        <f t="shared" si="2724"/>
        <v>0</v>
      </c>
      <c r="DP1285">
        <f t="shared" si="2724"/>
        <v>0</v>
      </c>
      <c r="DQ1285">
        <f t="shared" si="2725"/>
        <v>0</v>
      </c>
      <c r="DR1285">
        <f t="shared" si="2725"/>
        <v>0</v>
      </c>
      <c r="DS1285">
        <f t="shared" si="2725"/>
        <v>0</v>
      </c>
      <c r="DT1285">
        <f t="shared" si="2725"/>
        <v>0</v>
      </c>
      <c r="DU1285">
        <f t="shared" si="2725"/>
        <v>0</v>
      </c>
      <c r="DV1285">
        <f t="shared" si="2725"/>
        <v>0</v>
      </c>
      <c r="DW1285">
        <f t="shared" si="2725"/>
        <v>0</v>
      </c>
      <c r="DX1285">
        <f t="shared" si="2725"/>
        <v>0</v>
      </c>
      <c r="DY1285">
        <f t="shared" si="2725"/>
        <v>0</v>
      </c>
      <c r="DZ1285">
        <f t="shared" si="2725"/>
        <v>0</v>
      </c>
      <c r="EA1285">
        <f t="shared" si="2726"/>
        <v>0</v>
      </c>
      <c r="EB1285">
        <f t="shared" si="2727"/>
        <v>0</v>
      </c>
      <c r="EC1285">
        <f t="shared" si="2726"/>
        <v>0</v>
      </c>
      <c r="ED1285">
        <f t="shared" si="2726"/>
        <v>0</v>
      </c>
      <c r="EE1285">
        <f t="shared" si="2726"/>
        <v>0</v>
      </c>
      <c r="EF1285">
        <f t="shared" si="2726"/>
        <v>0</v>
      </c>
    </row>
    <row r="1286" spans="1:136" ht="15.5">
      <c r="A1286" s="90"/>
      <c r="B1286" s="19" t="s">
        <v>18</v>
      </c>
      <c r="C1286" s="99"/>
      <c r="D1286" s="34">
        <v>0</v>
      </c>
      <c r="E1286" s="34">
        <v>0</v>
      </c>
      <c r="F1286" s="34">
        <v>0</v>
      </c>
      <c r="G1286" s="34">
        <v>0</v>
      </c>
      <c r="H1286" s="34">
        <v>0</v>
      </c>
      <c r="I1286" s="34">
        <v>0</v>
      </c>
      <c r="J1286" s="34">
        <v>0</v>
      </c>
      <c r="K1286" s="34">
        <v>0</v>
      </c>
      <c r="L1286" s="34">
        <v>0</v>
      </c>
      <c r="M1286" s="34">
        <v>0</v>
      </c>
      <c r="N1286" s="34">
        <v>0</v>
      </c>
      <c r="O1286" s="34">
        <v>0</v>
      </c>
      <c r="P1286" s="34">
        <v>0</v>
      </c>
      <c r="Q1286" s="34">
        <v>0</v>
      </c>
      <c r="R1286" s="34">
        <v>0</v>
      </c>
      <c r="S1286" s="34">
        <v>0</v>
      </c>
      <c r="T1286" s="34">
        <v>0</v>
      </c>
      <c r="U1286" s="34">
        <v>0</v>
      </c>
      <c r="V1286" s="34">
        <v>0</v>
      </c>
      <c r="W1286" s="34">
        <v>0</v>
      </c>
      <c r="X1286" s="34">
        <v>0</v>
      </c>
      <c r="Y1286" s="34">
        <v>0</v>
      </c>
      <c r="Z1286" s="34">
        <v>0</v>
      </c>
      <c r="AA1286" s="34">
        <v>950</v>
      </c>
      <c r="AB1286" s="34">
        <v>1250</v>
      </c>
      <c r="AC1286" s="34">
        <v>3600</v>
      </c>
      <c r="AD1286" s="34">
        <v>800</v>
      </c>
      <c r="AE1286" s="34">
        <v>800</v>
      </c>
      <c r="AF1286" s="34">
        <v>6895</v>
      </c>
      <c r="AG1286" s="34">
        <v>6760</v>
      </c>
      <c r="AH1286" s="34">
        <v>5391</v>
      </c>
      <c r="AI1286" s="34">
        <v>4710</v>
      </c>
      <c r="AJ1286" s="34"/>
      <c r="AK1286" s="34"/>
      <c r="AL1286" s="34"/>
      <c r="AM1286" s="34"/>
      <c r="AN1286" s="34"/>
      <c r="AO1286" s="34"/>
      <c r="AP1286" s="34"/>
      <c r="AQ1286" s="34"/>
      <c r="AR1286" s="34"/>
      <c r="AS1286" s="34"/>
      <c r="AT1286" s="34"/>
      <c r="AU1286" s="34"/>
      <c r="AV1286" s="34"/>
      <c r="AW1286" s="34"/>
      <c r="AX1286" s="34"/>
      <c r="AY1286" s="34"/>
      <c r="AZ1286" s="34"/>
      <c r="BA1286" s="34"/>
      <c r="BB1286" s="34"/>
      <c r="BC1286" s="34"/>
      <c r="BD1286" s="34"/>
      <c r="BE1286" s="42"/>
      <c r="BF1286" s="34"/>
      <c r="BG1286" s="2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101"/>
      <c r="BS1286">
        <f t="shared" si="2720"/>
        <v>0</v>
      </c>
      <c r="BT1286">
        <f t="shared" si="2720"/>
        <v>0</v>
      </c>
      <c r="BU1286">
        <f t="shared" si="2720"/>
        <v>0</v>
      </c>
      <c r="BV1286">
        <f t="shared" si="2720"/>
        <v>0</v>
      </c>
      <c r="BW1286">
        <f t="shared" si="2720"/>
        <v>0</v>
      </c>
      <c r="BX1286">
        <f t="shared" si="2720"/>
        <v>0</v>
      </c>
      <c r="BY1286">
        <f t="shared" si="2720"/>
        <v>0</v>
      </c>
      <c r="BZ1286">
        <f t="shared" si="2720"/>
        <v>0</v>
      </c>
      <c r="CA1286">
        <f t="shared" si="2720"/>
        <v>0</v>
      </c>
      <c r="CB1286">
        <f t="shared" si="2720"/>
        <v>0</v>
      </c>
      <c r="CC1286">
        <f t="shared" si="2721"/>
        <v>0</v>
      </c>
      <c r="CD1286">
        <f t="shared" si="2721"/>
        <v>0</v>
      </c>
      <c r="CE1286">
        <f t="shared" si="2721"/>
        <v>0</v>
      </c>
      <c r="CF1286">
        <f t="shared" si="2721"/>
        <v>0</v>
      </c>
      <c r="CG1286">
        <f t="shared" si="2721"/>
        <v>0</v>
      </c>
      <c r="CH1286">
        <f t="shared" si="2721"/>
        <v>0</v>
      </c>
      <c r="CI1286">
        <f t="shared" si="2721"/>
        <v>0</v>
      </c>
      <c r="CJ1286">
        <f t="shared" si="2721"/>
        <v>0</v>
      </c>
      <c r="CK1286">
        <f t="shared" si="2721"/>
        <v>0</v>
      </c>
      <c r="CL1286">
        <f t="shared" si="2721"/>
        <v>0</v>
      </c>
      <c r="CM1286">
        <f t="shared" si="2722"/>
        <v>0</v>
      </c>
      <c r="CN1286">
        <f t="shared" si="2722"/>
        <v>0</v>
      </c>
      <c r="CO1286">
        <f t="shared" si="2722"/>
        <v>0</v>
      </c>
      <c r="CP1286">
        <f t="shared" si="2722"/>
        <v>0</v>
      </c>
      <c r="CQ1286">
        <f t="shared" si="2722"/>
        <v>0</v>
      </c>
      <c r="CR1286">
        <f t="shared" si="2722"/>
        <v>0</v>
      </c>
      <c r="CS1286">
        <f t="shared" si="2722"/>
        <v>0</v>
      </c>
      <c r="CT1286">
        <f t="shared" si="2722"/>
        <v>0</v>
      </c>
      <c r="CU1286">
        <f t="shared" si="2722"/>
        <v>0</v>
      </c>
      <c r="CV1286">
        <f t="shared" si="2722"/>
        <v>0</v>
      </c>
      <c r="CW1286">
        <f t="shared" si="2723"/>
        <v>0</v>
      </c>
      <c r="CX1286">
        <f t="shared" si="2723"/>
        <v>0</v>
      </c>
      <c r="CY1286">
        <f t="shared" si="2723"/>
        <v>0</v>
      </c>
      <c r="CZ1286">
        <f t="shared" si="2723"/>
        <v>0</v>
      </c>
      <c r="DA1286">
        <f t="shared" si="2723"/>
        <v>0</v>
      </c>
      <c r="DB1286">
        <f t="shared" si="2723"/>
        <v>0</v>
      </c>
      <c r="DC1286">
        <f t="shared" si="2723"/>
        <v>0</v>
      </c>
      <c r="DD1286">
        <f t="shared" si="2723"/>
        <v>0</v>
      </c>
      <c r="DE1286">
        <f t="shared" si="2723"/>
        <v>0</v>
      </c>
      <c r="DF1286">
        <f t="shared" si="2723"/>
        <v>0</v>
      </c>
      <c r="DG1286">
        <f t="shared" si="2724"/>
        <v>0</v>
      </c>
      <c r="DH1286">
        <f t="shared" si="2724"/>
        <v>0</v>
      </c>
      <c r="DI1286">
        <f t="shared" si="2724"/>
        <v>0</v>
      </c>
      <c r="DJ1286">
        <f t="shared" si="2724"/>
        <v>0</v>
      </c>
      <c r="DK1286">
        <f t="shared" si="2724"/>
        <v>0</v>
      </c>
      <c r="DL1286">
        <f t="shared" si="2724"/>
        <v>0</v>
      </c>
      <c r="DM1286">
        <f t="shared" si="2724"/>
        <v>0</v>
      </c>
      <c r="DN1286">
        <f t="shared" si="2724"/>
        <v>0</v>
      </c>
      <c r="DO1286">
        <f t="shared" si="2724"/>
        <v>0</v>
      </c>
      <c r="DP1286">
        <f t="shared" si="2724"/>
        <v>0</v>
      </c>
      <c r="DQ1286">
        <f t="shared" si="2725"/>
        <v>0</v>
      </c>
      <c r="DR1286">
        <f t="shared" si="2725"/>
        <v>0</v>
      </c>
      <c r="DS1286">
        <f t="shared" si="2725"/>
        <v>0</v>
      </c>
      <c r="DT1286">
        <f t="shared" si="2725"/>
        <v>0</v>
      </c>
      <c r="DU1286">
        <f t="shared" si="2725"/>
        <v>0</v>
      </c>
      <c r="DV1286">
        <f t="shared" si="2725"/>
        <v>0</v>
      </c>
      <c r="DW1286">
        <f t="shared" si="2725"/>
        <v>0</v>
      </c>
      <c r="DX1286">
        <f t="shared" si="2725"/>
        <v>0</v>
      </c>
      <c r="DY1286">
        <f t="shared" si="2725"/>
        <v>0</v>
      </c>
      <c r="DZ1286">
        <f t="shared" si="2725"/>
        <v>0</v>
      </c>
      <c r="EA1286">
        <f t="shared" si="2726"/>
        <v>0</v>
      </c>
      <c r="EB1286">
        <f t="shared" si="2727"/>
        <v>0</v>
      </c>
      <c r="EC1286">
        <f t="shared" si="2726"/>
        <v>0</v>
      </c>
      <c r="ED1286">
        <f t="shared" si="2726"/>
        <v>0</v>
      </c>
      <c r="EE1286">
        <f t="shared" si="2726"/>
        <v>0</v>
      </c>
      <c r="EF1286">
        <f t="shared" si="2726"/>
        <v>0</v>
      </c>
    </row>
    <row r="1287" spans="1:136" ht="15.5">
      <c r="A1287" s="90"/>
      <c r="B1287" s="53" t="s">
        <v>25</v>
      </c>
      <c r="C1287" s="98"/>
      <c r="D1287" s="34">
        <v>241.31000000000003</v>
      </c>
      <c r="E1287" s="34">
        <v>248.41060000000002</v>
      </c>
      <c r="F1287" s="34">
        <v>255.5112</v>
      </c>
      <c r="G1287" s="34">
        <v>262.61180000000002</v>
      </c>
      <c r="H1287" s="34">
        <v>269.7124</v>
      </c>
      <c r="I1287" s="34">
        <v>276.81300000000005</v>
      </c>
      <c r="J1287" s="34">
        <v>283.91360000000003</v>
      </c>
      <c r="K1287" s="34">
        <v>290.85860000000008</v>
      </c>
      <c r="L1287" s="34">
        <v>0</v>
      </c>
      <c r="M1287" s="34">
        <v>0</v>
      </c>
      <c r="N1287" s="34">
        <v>0</v>
      </c>
      <c r="O1287" s="34">
        <v>0</v>
      </c>
      <c r="P1287" s="34">
        <v>0</v>
      </c>
      <c r="Q1287" s="34">
        <v>0</v>
      </c>
      <c r="R1287" s="34">
        <v>0</v>
      </c>
      <c r="S1287" s="34">
        <v>0</v>
      </c>
      <c r="T1287" s="34">
        <v>0</v>
      </c>
      <c r="U1287" s="34">
        <v>0</v>
      </c>
      <c r="V1287" s="34">
        <v>0</v>
      </c>
      <c r="W1287" s="34">
        <v>0</v>
      </c>
      <c r="X1287" s="34">
        <v>0</v>
      </c>
      <c r="Y1287" s="34">
        <v>0</v>
      </c>
      <c r="Z1287" s="34">
        <v>0</v>
      </c>
      <c r="AA1287" s="34">
        <v>0</v>
      </c>
      <c r="AB1287" s="34">
        <v>0</v>
      </c>
      <c r="AC1287" s="34">
        <v>0</v>
      </c>
      <c r="AD1287" s="34">
        <v>0</v>
      </c>
      <c r="AE1287" s="34">
        <v>0</v>
      </c>
      <c r="AF1287" s="34">
        <v>0</v>
      </c>
      <c r="AG1287" s="34">
        <v>0</v>
      </c>
      <c r="AH1287" s="34">
        <v>0</v>
      </c>
      <c r="AI1287" s="34">
        <v>0</v>
      </c>
      <c r="AJ1287" s="34"/>
      <c r="AK1287" s="34"/>
      <c r="AL1287" s="34"/>
      <c r="AM1287" s="34"/>
      <c r="AN1287" s="34"/>
      <c r="AO1287" s="34"/>
      <c r="AP1287" s="34"/>
      <c r="AQ1287" s="34"/>
      <c r="AR1287" s="34"/>
      <c r="AS1287" s="34"/>
      <c r="AT1287" s="34"/>
      <c r="AU1287" s="34"/>
      <c r="AV1287" s="34"/>
      <c r="AW1287" s="34"/>
      <c r="AX1287" s="34"/>
      <c r="AY1287" s="34"/>
      <c r="AZ1287" s="34"/>
      <c r="BA1287" s="34"/>
      <c r="BB1287" s="34"/>
      <c r="BC1287" s="34"/>
      <c r="BD1287" s="34"/>
      <c r="BE1287" s="42"/>
      <c r="BF1287" s="34"/>
      <c r="BG1287" s="2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101"/>
      <c r="BS1287">
        <f t="shared" si="2720"/>
        <v>0</v>
      </c>
      <c r="BT1287">
        <f t="shared" si="2720"/>
        <v>0</v>
      </c>
      <c r="BU1287">
        <f t="shared" si="2720"/>
        <v>0</v>
      </c>
      <c r="BV1287">
        <f t="shared" si="2720"/>
        <v>0</v>
      </c>
      <c r="BW1287">
        <f t="shared" si="2720"/>
        <v>0</v>
      </c>
      <c r="BX1287">
        <f t="shared" si="2720"/>
        <v>0</v>
      </c>
      <c r="BY1287">
        <f t="shared" si="2720"/>
        <v>0</v>
      </c>
      <c r="BZ1287">
        <f t="shared" si="2720"/>
        <v>0</v>
      </c>
      <c r="CA1287">
        <f t="shared" si="2720"/>
        <v>0</v>
      </c>
      <c r="CB1287">
        <f t="shared" si="2720"/>
        <v>0</v>
      </c>
      <c r="CC1287">
        <f t="shared" si="2721"/>
        <v>0</v>
      </c>
      <c r="CD1287">
        <f t="shared" si="2721"/>
        <v>0</v>
      </c>
      <c r="CE1287">
        <f t="shared" si="2721"/>
        <v>0</v>
      </c>
      <c r="CF1287">
        <f t="shared" si="2721"/>
        <v>0</v>
      </c>
      <c r="CG1287">
        <f t="shared" si="2721"/>
        <v>0</v>
      </c>
      <c r="CH1287">
        <f t="shared" si="2721"/>
        <v>0</v>
      </c>
      <c r="CI1287">
        <f t="shared" si="2721"/>
        <v>0</v>
      </c>
      <c r="CJ1287">
        <f t="shared" si="2721"/>
        <v>0</v>
      </c>
      <c r="CK1287">
        <f t="shared" si="2721"/>
        <v>0</v>
      </c>
      <c r="CL1287">
        <f t="shared" si="2721"/>
        <v>0</v>
      </c>
      <c r="CM1287">
        <f t="shared" si="2722"/>
        <v>0</v>
      </c>
      <c r="CN1287">
        <f t="shared" si="2722"/>
        <v>0</v>
      </c>
      <c r="CO1287">
        <f t="shared" si="2722"/>
        <v>0</v>
      </c>
      <c r="CP1287">
        <f t="shared" si="2722"/>
        <v>0</v>
      </c>
      <c r="CQ1287">
        <f t="shared" si="2722"/>
        <v>0</v>
      </c>
      <c r="CR1287">
        <f t="shared" si="2722"/>
        <v>0</v>
      </c>
      <c r="CS1287">
        <f t="shared" si="2722"/>
        <v>0</v>
      </c>
      <c r="CT1287">
        <f t="shared" si="2722"/>
        <v>0</v>
      </c>
      <c r="CU1287">
        <f t="shared" si="2722"/>
        <v>0</v>
      </c>
      <c r="CV1287">
        <f t="shared" si="2722"/>
        <v>0</v>
      </c>
      <c r="CW1287">
        <f t="shared" si="2723"/>
        <v>0</v>
      </c>
      <c r="CX1287">
        <f t="shared" si="2723"/>
        <v>0</v>
      </c>
      <c r="CY1287">
        <f t="shared" si="2723"/>
        <v>0</v>
      </c>
      <c r="CZ1287">
        <f t="shared" si="2723"/>
        <v>0</v>
      </c>
      <c r="DA1287">
        <f t="shared" si="2723"/>
        <v>0</v>
      </c>
      <c r="DB1287">
        <f t="shared" si="2723"/>
        <v>0</v>
      </c>
      <c r="DC1287">
        <f t="shared" si="2723"/>
        <v>0</v>
      </c>
      <c r="DD1287">
        <f t="shared" si="2723"/>
        <v>0</v>
      </c>
      <c r="DE1287">
        <f t="shared" si="2723"/>
        <v>0</v>
      </c>
      <c r="DF1287">
        <f t="shared" si="2723"/>
        <v>0</v>
      </c>
      <c r="DG1287">
        <f t="shared" si="2724"/>
        <v>0</v>
      </c>
      <c r="DH1287">
        <f t="shared" si="2724"/>
        <v>0</v>
      </c>
      <c r="DI1287">
        <f t="shared" si="2724"/>
        <v>0</v>
      </c>
      <c r="DJ1287">
        <f t="shared" si="2724"/>
        <v>0</v>
      </c>
      <c r="DK1287">
        <f t="shared" si="2724"/>
        <v>0</v>
      </c>
      <c r="DL1287">
        <f t="shared" si="2724"/>
        <v>0</v>
      </c>
      <c r="DM1287">
        <f t="shared" si="2724"/>
        <v>0</v>
      </c>
      <c r="DN1287">
        <f t="shared" si="2724"/>
        <v>0</v>
      </c>
      <c r="DO1287">
        <f t="shared" si="2724"/>
        <v>0</v>
      </c>
      <c r="DP1287">
        <f t="shared" si="2724"/>
        <v>0</v>
      </c>
      <c r="DQ1287">
        <f t="shared" si="2725"/>
        <v>0</v>
      </c>
      <c r="DR1287">
        <f t="shared" si="2725"/>
        <v>0</v>
      </c>
      <c r="DS1287">
        <f t="shared" si="2725"/>
        <v>0</v>
      </c>
      <c r="DT1287">
        <f t="shared" si="2725"/>
        <v>0</v>
      </c>
      <c r="DU1287">
        <f t="shared" si="2725"/>
        <v>0</v>
      </c>
      <c r="DV1287">
        <f t="shared" si="2725"/>
        <v>0</v>
      </c>
      <c r="DW1287">
        <f t="shared" si="2725"/>
        <v>0</v>
      </c>
      <c r="DX1287">
        <f t="shared" si="2725"/>
        <v>0</v>
      </c>
      <c r="DY1287">
        <f t="shared" si="2725"/>
        <v>0</v>
      </c>
      <c r="DZ1287">
        <f t="shared" si="2725"/>
        <v>0</v>
      </c>
      <c r="EA1287">
        <f t="shared" si="2726"/>
        <v>0</v>
      </c>
      <c r="EB1287">
        <f t="shared" si="2727"/>
        <v>0</v>
      </c>
      <c r="EC1287">
        <f t="shared" si="2726"/>
        <v>0</v>
      </c>
      <c r="ED1287">
        <f t="shared" si="2726"/>
        <v>0</v>
      </c>
      <c r="EE1287">
        <f t="shared" si="2726"/>
        <v>0</v>
      </c>
      <c r="EF1287">
        <f t="shared" si="2726"/>
        <v>0</v>
      </c>
    </row>
    <row r="1288" spans="1:136" ht="15.5">
      <c r="A1288" s="90"/>
      <c r="B1288" s="19" t="s">
        <v>208</v>
      </c>
      <c r="C1288" s="99"/>
      <c r="D1288" s="34">
        <v>0</v>
      </c>
      <c r="E1288" s="34">
        <v>0</v>
      </c>
      <c r="F1288" s="34">
        <v>0</v>
      </c>
      <c r="G1288" s="34">
        <v>0</v>
      </c>
      <c r="H1288" s="34">
        <v>0</v>
      </c>
      <c r="I1288" s="34">
        <v>0</v>
      </c>
      <c r="J1288" s="34">
        <v>0</v>
      </c>
      <c r="K1288" s="34">
        <v>0</v>
      </c>
      <c r="L1288" s="34">
        <v>0</v>
      </c>
      <c r="M1288" s="34">
        <v>0</v>
      </c>
      <c r="N1288" s="34">
        <v>0.7</v>
      </c>
      <c r="O1288" s="34">
        <v>0</v>
      </c>
      <c r="P1288" s="34">
        <v>0</v>
      </c>
      <c r="Q1288" s="34">
        <v>0</v>
      </c>
      <c r="R1288" s="34">
        <v>0</v>
      </c>
      <c r="S1288" s="34">
        <v>0</v>
      </c>
      <c r="T1288" s="34">
        <v>0</v>
      </c>
      <c r="U1288" s="34">
        <v>0</v>
      </c>
      <c r="V1288" s="34">
        <v>0</v>
      </c>
      <c r="W1288" s="34">
        <v>0</v>
      </c>
      <c r="X1288" s="34">
        <v>0</v>
      </c>
      <c r="Y1288" s="34">
        <v>0</v>
      </c>
      <c r="Z1288" s="34">
        <v>0</v>
      </c>
      <c r="AA1288" s="34">
        <v>0</v>
      </c>
      <c r="AB1288" s="34">
        <v>0.1</v>
      </c>
      <c r="AC1288" s="34">
        <v>205.8</v>
      </c>
      <c r="AD1288" s="34">
        <v>74</v>
      </c>
      <c r="AE1288" s="34">
        <v>158.9</v>
      </c>
      <c r="AF1288" s="34">
        <v>0</v>
      </c>
      <c r="AG1288" s="34">
        <v>1.96</v>
      </c>
      <c r="AH1288" s="34">
        <v>0</v>
      </c>
      <c r="AI1288" s="34">
        <v>8.3000000000000007</v>
      </c>
      <c r="AJ1288" s="34"/>
      <c r="AK1288" s="34"/>
      <c r="AL1288" s="34"/>
      <c r="AM1288" s="34"/>
      <c r="AN1288" s="34"/>
      <c r="AO1288" s="34"/>
      <c r="AP1288" s="34"/>
      <c r="AQ1288" s="34"/>
      <c r="AR1288" s="34"/>
      <c r="AS1288" s="34"/>
      <c r="AT1288" s="34"/>
      <c r="AU1288" s="34"/>
      <c r="AV1288" s="34"/>
      <c r="AW1288" s="34"/>
      <c r="AX1288" s="34"/>
      <c r="AY1288" s="34"/>
      <c r="AZ1288" s="34"/>
      <c r="BA1288" s="34"/>
      <c r="BB1288" s="34"/>
      <c r="BC1288" s="34"/>
      <c r="BD1288" s="34"/>
      <c r="BE1288" s="42"/>
      <c r="BF1288" s="34"/>
      <c r="BG1288" s="2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101"/>
      <c r="BS1288">
        <f t="shared" si="2720"/>
        <v>0</v>
      </c>
      <c r="BT1288">
        <f t="shared" si="2720"/>
        <v>0</v>
      </c>
      <c r="BU1288">
        <f t="shared" si="2720"/>
        <v>0</v>
      </c>
      <c r="BV1288">
        <f t="shared" si="2720"/>
        <v>0</v>
      </c>
      <c r="BW1288">
        <f t="shared" si="2720"/>
        <v>0</v>
      </c>
      <c r="BX1288">
        <f t="shared" si="2720"/>
        <v>0</v>
      </c>
      <c r="BY1288">
        <f t="shared" si="2720"/>
        <v>0</v>
      </c>
      <c r="BZ1288">
        <f t="shared" si="2720"/>
        <v>0</v>
      </c>
      <c r="CA1288">
        <f t="shared" si="2720"/>
        <v>0</v>
      </c>
      <c r="CB1288">
        <f t="shared" si="2720"/>
        <v>0</v>
      </c>
      <c r="CC1288">
        <f t="shared" si="2721"/>
        <v>0</v>
      </c>
      <c r="CD1288">
        <f t="shared" si="2721"/>
        <v>0</v>
      </c>
      <c r="CE1288">
        <f t="shared" si="2721"/>
        <v>0</v>
      </c>
      <c r="CF1288">
        <f t="shared" si="2721"/>
        <v>0</v>
      </c>
      <c r="CG1288">
        <f t="shared" si="2721"/>
        <v>0</v>
      </c>
      <c r="CH1288">
        <f t="shared" si="2721"/>
        <v>0</v>
      </c>
      <c r="CI1288">
        <f t="shared" si="2721"/>
        <v>0</v>
      </c>
      <c r="CJ1288">
        <f t="shared" si="2721"/>
        <v>0</v>
      </c>
      <c r="CK1288">
        <f t="shared" si="2721"/>
        <v>0</v>
      </c>
      <c r="CL1288">
        <f t="shared" si="2721"/>
        <v>0</v>
      </c>
      <c r="CM1288">
        <f t="shared" si="2722"/>
        <v>0</v>
      </c>
      <c r="CN1288">
        <f t="shared" si="2722"/>
        <v>0</v>
      </c>
      <c r="CO1288">
        <f t="shared" si="2722"/>
        <v>0</v>
      </c>
      <c r="CP1288">
        <f t="shared" si="2722"/>
        <v>0</v>
      </c>
      <c r="CQ1288">
        <f t="shared" si="2722"/>
        <v>0</v>
      </c>
      <c r="CR1288">
        <f t="shared" si="2722"/>
        <v>0</v>
      </c>
      <c r="CS1288">
        <f t="shared" si="2722"/>
        <v>0</v>
      </c>
      <c r="CT1288">
        <f t="shared" si="2722"/>
        <v>0</v>
      </c>
      <c r="CU1288">
        <f t="shared" si="2722"/>
        <v>0</v>
      </c>
      <c r="CV1288">
        <f t="shared" si="2722"/>
        <v>0</v>
      </c>
      <c r="CW1288">
        <f t="shared" si="2723"/>
        <v>0</v>
      </c>
      <c r="CX1288">
        <f t="shared" si="2723"/>
        <v>0</v>
      </c>
      <c r="CY1288">
        <f t="shared" si="2723"/>
        <v>0</v>
      </c>
      <c r="CZ1288">
        <f t="shared" si="2723"/>
        <v>0</v>
      </c>
      <c r="DA1288">
        <f t="shared" si="2723"/>
        <v>0</v>
      </c>
      <c r="DB1288">
        <f t="shared" si="2723"/>
        <v>0</v>
      </c>
      <c r="DC1288">
        <f t="shared" si="2723"/>
        <v>0</v>
      </c>
      <c r="DD1288">
        <f t="shared" si="2723"/>
        <v>0</v>
      </c>
      <c r="DE1288">
        <f t="shared" si="2723"/>
        <v>0</v>
      </c>
      <c r="DF1288">
        <f t="shared" si="2723"/>
        <v>0</v>
      </c>
      <c r="DG1288">
        <f t="shared" si="2724"/>
        <v>0</v>
      </c>
      <c r="DH1288">
        <f t="shared" si="2724"/>
        <v>0</v>
      </c>
      <c r="DI1288">
        <f t="shared" si="2724"/>
        <v>0</v>
      </c>
      <c r="DJ1288">
        <f t="shared" si="2724"/>
        <v>0</v>
      </c>
      <c r="DK1288">
        <f t="shared" si="2724"/>
        <v>0</v>
      </c>
      <c r="DL1288">
        <f t="shared" si="2724"/>
        <v>0</v>
      </c>
      <c r="DM1288">
        <f t="shared" si="2724"/>
        <v>0</v>
      </c>
      <c r="DN1288">
        <f t="shared" si="2724"/>
        <v>0</v>
      </c>
      <c r="DO1288">
        <f t="shared" si="2724"/>
        <v>0</v>
      </c>
      <c r="DP1288">
        <f t="shared" si="2724"/>
        <v>0</v>
      </c>
      <c r="DQ1288">
        <f t="shared" si="2725"/>
        <v>0</v>
      </c>
      <c r="DR1288">
        <f t="shared" si="2725"/>
        <v>0</v>
      </c>
      <c r="DS1288">
        <f t="shared" si="2725"/>
        <v>0</v>
      </c>
      <c r="DT1288">
        <f t="shared" si="2725"/>
        <v>0</v>
      </c>
      <c r="DU1288">
        <f t="shared" si="2725"/>
        <v>0</v>
      </c>
      <c r="DV1288">
        <f t="shared" si="2725"/>
        <v>0</v>
      </c>
      <c r="DW1288">
        <f t="shared" si="2725"/>
        <v>0</v>
      </c>
      <c r="DX1288">
        <f t="shared" si="2725"/>
        <v>0</v>
      </c>
      <c r="DY1288">
        <f t="shared" si="2725"/>
        <v>0</v>
      </c>
      <c r="DZ1288">
        <f t="shared" si="2725"/>
        <v>0</v>
      </c>
      <c r="EA1288">
        <f t="shared" si="2726"/>
        <v>0</v>
      </c>
      <c r="EB1288">
        <f t="shared" si="2727"/>
        <v>0</v>
      </c>
      <c r="EC1288">
        <f t="shared" si="2726"/>
        <v>0</v>
      </c>
      <c r="ED1288">
        <f t="shared" si="2726"/>
        <v>0</v>
      </c>
      <c r="EE1288">
        <f t="shared" si="2726"/>
        <v>0</v>
      </c>
      <c r="EF1288">
        <f t="shared" si="2726"/>
        <v>0</v>
      </c>
    </row>
    <row r="1289" spans="1:136" ht="15.5">
      <c r="A1289" s="90"/>
      <c r="B1289" s="57" t="s">
        <v>212</v>
      </c>
      <c r="C1289" s="99"/>
      <c r="D1289" s="34"/>
      <c r="E1289" s="34"/>
      <c r="F1289" s="34"/>
      <c r="G1289" s="34"/>
      <c r="H1289" s="34"/>
      <c r="I1289" s="34"/>
      <c r="J1289" s="34"/>
      <c r="K1289" s="34"/>
      <c r="L1289" s="34"/>
      <c r="M1289" s="34"/>
      <c r="N1289" s="34"/>
      <c r="O1289" s="34"/>
      <c r="P1289" s="34"/>
      <c r="Q1289" s="34"/>
      <c r="R1289" s="34"/>
      <c r="S1289" s="34"/>
      <c r="T1289" s="34"/>
      <c r="U1289" s="34"/>
      <c r="V1289" s="34"/>
      <c r="W1289" s="34"/>
      <c r="X1289" s="34"/>
      <c r="Y1289" s="34"/>
      <c r="Z1289" s="34"/>
      <c r="AA1289" s="34"/>
      <c r="AB1289" s="34"/>
      <c r="AC1289" s="34"/>
      <c r="AD1289" s="34"/>
      <c r="AE1289" s="34"/>
      <c r="AF1289" s="34"/>
      <c r="AG1289" s="40" t="s">
        <v>16</v>
      </c>
      <c r="AH1289" s="40" t="s">
        <v>16</v>
      </c>
      <c r="AI1289" s="40" t="s">
        <v>16</v>
      </c>
      <c r="AJ1289" s="34"/>
      <c r="AK1289" s="34"/>
      <c r="AL1289" s="34"/>
      <c r="AM1289" s="34"/>
      <c r="AN1289" s="34"/>
      <c r="AO1289" s="34"/>
      <c r="AP1289" s="34"/>
      <c r="AQ1289" s="34"/>
      <c r="AR1289" s="34"/>
      <c r="AS1289" s="34"/>
      <c r="AT1289" s="34"/>
      <c r="AU1289" s="34"/>
      <c r="AV1289" s="34"/>
      <c r="AW1289" s="34"/>
      <c r="AX1289" s="34"/>
      <c r="AY1289" s="34"/>
      <c r="AZ1289" s="34"/>
      <c r="BA1289" s="34"/>
      <c r="BB1289" s="34"/>
      <c r="BC1289" s="34"/>
      <c r="BD1289" s="34"/>
      <c r="BE1289" s="42"/>
      <c r="BF1289" s="34"/>
      <c r="BG1289" s="2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101"/>
      <c r="BS1289">
        <f t="shared" si="2720"/>
        <v>0</v>
      </c>
      <c r="BT1289">
        <f t="shared" si="2720"/>
        <v>0</v>
      </c>
      <c r="BU1289">
        <f t="shared" si="2720"/>
        <v>0</v>
      </c>
      <c r="BV1289">
        <f t="shared" si="2720"/>
        <v>0</v>
      </c>
      <c r="BW1289">
        <f t="shared" si="2720"/>
        <v>0</v>
      </c>
      <c r="BX1289">
        <f t="shared" si="2720"/>
        <v>0</v>
      </c>
      <c r="BY1289">
        <f t="shared" si="2720"/>
        <v>0</v>
      </c>
      <c r="BZ1289">
        <f t="shared" si="2720"/>
        <v>0</v>
      </c>
      <c r="CA1289">
        <f t="shared" si="2720"/>
        <v>0</v>
      </c>
      <c r="CB1289">
        <f t="shared" si="2720"/>
        <v>0</v>
      </c>
      <c r="CC1289">
        <f t="shared" si="2721"/>
        <v>0</v>
      </c>
      <c r="CD1289">
        <f t="shared" si="2721"/>
        <v>0</v>
      </c>
      <c r="CE1289">
        <f t="shared" si="2721"/>
        <v>0</v>
      </c>
      <c r="CF1289">
        <f t="shared" si="2721"/>
        <v>0</v>
      </c>
      <c r="CG1289">
        <f t="shared" si="2721"/>
        <v>0</v>
      </c>
      <c r="CH1289">
        <f t="shared" si="2721"/>
        <v>0</v>
      </c>
      <c r="CI1289">
        <f t="shared" si="2721"/>
        <v>0</v>
      </c>
      <c r="CJ1289">
        <f t="shared" si="2721"/>
        <v>0</v>
      </c>
      <c r="CK1289">
        <f t="shared" si="2721"/>
        <v>0</v>
      </c>
      <c r="CL1289">
        <f t="shared" si="2721"/>
        <v>0</v>
      </c>
      <c r="CM1289">
        <f t="shared" si="2722"/>
        <v>0</v>
      </c>
      <c r="CN1289">
        <f t="shared" si="2722"/>
        <v>0</v>
      </c>
      <c r="CO1289">
        <f t="shared" si="2722"/>
        <v>0</v>
      </c>
      <c r="CP1289">
        <f t="shared" si="2722"/>
        <v>0</v>
      </c>
      <c r="CQ1289">
        <f t="shared" si="2722"/>
        <v>0</v>
      </c>
      <c r="CR1289">
        <f t="shared" si="2722"/>
        <v>0</v>
      </c>
      <c r="CS1289">
        <f t="shared" si="2722"/>
        <v>0</v>
      </c>
      <c r="CT1289">
        <f t="shared" si="2722"/>
        <v>0</v>
      </c>
      <c r="CU1289">
        <f t="shared" si="2722"/>
        <v>0</v>
      </c>
      <c r="CV1289">
        <f t="shared" si="2722"/>
        <v>0</v>
      </c>
      <c r="CW1289">
        <f t="shared" si="2723"/>
        <v>0</v>
      </c>
      <c r="CX1289">
        <f t="shared" si="2723"/>
        <v>0</v>
      </c>
      <c r="CY1289">
        <f t="shared" si="2723"/>
        <v>0</v>
      </c>
      <c r="CZ1289">
        <f t="shared" si="2723"/>
        <v>0</v>
      </c>
      <c r="DA1289">
        <f t="shared" si="2723"/>
        <v>0</v>
      </c>
      <c r="DB1289">
        <f t="shared" si="2723"/>
        <v>0</v>
      </c>
      <c r="DC1289">
        <f t="shared" si="2723"/>
        <v>0</v>
      </c>
      <c r="DD1289">
        <f t="shared" si="2723"/>
        <v>0</v>
      </c>
      <c r="DE1289">
        <f t="shared" si="2723"/>
        <v>0</v>
      </c>
      <c r="DF1289">
        <f t="shared" si="2723"/>
        <v>0</v>
      </c>
      <c r="DG1289">
        <f t="shared" si="2724"/>
        <v>0</v>
      </c>
      <c r="DH1289">
        <f t="shared" si="2724"/>
        <v>0</v>
      </c>
      <c r="DI1289">
        <f t="shared" si="2724"/>
        <v>0</v>
      </c>
      <c r="DJ1289">
        <f t="shared" si="2724"/>
        <v>0</v>
      </c>
      <c r="DK1289">
        <f t="shared" si="2724"/>
        <v>0</v>
      </c>
      <c r="DL1289">
        <f t="shared" si="2724"/>
        <v>0</v>
      </c>
      <c r="DM1289">
        <f t="shared" si="2724"/>
        <v>0</v>
      </c>
      <c r="DN1289">
        <f t="shared" si="2724"/>
        <v>0</v>
      </c>
      <c r="DO1289">
        <f t="shared" si="2724"/>
        <v>0</v>
      </c>
      <c r="DP1289">
        <f t="shared" si="2724"/>
        <v>0</v>
      </c>
      <c r="DQ1289">
        <f t="shared" si="2725"/>
        <v>0</v>
      </c>
      <c r="DR1289">
        <f t="shared" si="2725"/>
        <v>0</v>
      </c>
      <c r="DS1289">
        <f t="shared" si="2725"/>
        <v>0</v>
      </c>
      <c r="DT1289">
        <f t="shared" si="2725"/>
        <v>0</v>
      </c>
      <c r="DU1289">
        <f t="shared" si="2725"/>
        <v>0</v>
      </c>
      <c r="DV1289">
        <f t="shared" si="2725"/>
        <v>0</v>
      </c>
      <c r="DW1289">
        <f t="shared" si="2725"/>
        <v>0</v>
      </c>
      <c r="DX1289">
        <f t="shared" si="2725"/>
        <v>0</v>
      </c>
      <c r="DY1289">
        <f t="shared" si="2725"/>
        <v>0</v>
      </c>
      <c r="DZ1289">
        <f t="shared" si="2725"/>
        <v>0</v>
      </c>
      <c r="EA1289">
        <f t="shared" ref="EA1289:EF1289" si="2728">IF($C1289&lt;&gt;"",IF(BL1289&gt;0,1,0),0)</f>
        <v>0</v>
      </c>
      <c r="EB1289">
        <f t="shared" si="2728"/>
        <v>0</v>
      </c>
      <c r="EC1289">
        <f t="shared" si="2728"/>
        <v>0</v>
      </c>
      <c r="ED1289">
        <f t="shared" si="2728"/>
        <v>0</v>
      </c>
      <c r="EE1289">
        <f t="shared" si="2728"/>
        <v>0</v>
      </c>
      <c r="EF1289">
        <f t="shared" si="2728"/>
        <v>0</v>
      </c>
    </row>
    <row r="1290" spans="1:136" ht="15.5">
      <c r="A1290" s="90"/>
      <c r="B1290" s="37"/>
      <c r="C1290" s="99"/>
      <c r="D1290" s="36"/>
      <c r="E1290" s="36"/>
      <c r="F1290" s="36"/>
      <c r="G1290" s="36"/>
      <c r="H1290" s="36"/>
      <c r="I1290" s="36"/>
      <c r="J1290" s="36"/>
      <c r="K1290" s="36"/>
      <c r="L1290" s="36"/>
      <c r="M1290" s="36"/>
      <c r="N1290" s="36"/>
      <c r="O1290" s="36"/>
      <c r="P1290" s="36"/>
      <c r="Q1290" s="36"/>
      <c r="R1290" s="36"/>
      <c r="S1290" s="36"/>
      <c r="T1290" s="36"/>
      <c r="U1290" s="36"/>
      <c r="V1290" s="36"/>
      <c r="W1290" s="36"/>
      <c r="X1290" s="36"/>
      <c r="Y1290" s="36"/>
      <c r="Z1290" s="36"/>
      <c r="AA1290" s="36"/>
      <c r="AB1290" s="36"/>
      <c r="AC1290" s="36"/>
      <c r="AD1290" s="36"/>
      <c r="AE1290" s="36"/>
      <c r="AF1290" s="36"/>
      <c r="AG1290" s="36"/>
      <c r="AH1290" s="36"/>
      <c r="AI1290" s="36"/>
      <c r="AJ1290" s="36"/>
      <c r="AK1290" s="36"/>
      <c r="AL1290" s="36"/>
      <c r="AM1290" s="36"/>
      <c r="AN1290" s="36"/>
      <c r="AO1290" s="36"/>
      <c r="AP1290" s="36"/>
      <c r="AQ1290" s="36"/>
      <c r="AR1290" s="36"/>
      <c r="AS1290" s="36"/>
      <c r="AT1290" s="36"/>
      <c r="AU1290" s="36"/>
      <c r="AV1290" s="36"/>
      <c r="AW1290" s="36"/>
      <c r="AX1290" s="36"/>
      <c r="AY1290" s="36"/>
      <c r="AZ1290" s="36"/>
      <c r="BA1290" s="36"/>
      <c r="BB1290" s="36"/>
      <c r="BC1290" s="36"/>
      <c r="BD1290" s="36"/>
      <c r="BE1290" s="74"/>
      <c r="BF1290" s="34"/>
      <c r="BG1290" s="22"/>
      <c r="BH1290" s="2"/>
      <c r="BI1290" s="2"/>
      <c r="BJ1290" s="2"/>
      <c r="BK1290" s="2"/>
      <c r="BL1290" s="22"/>
      <c r="BM1290" s="2"/>
      <c r="BN1290" s="2"/>
      <c r="BO1290" s="2"/>
      <c r="BP1290" s="2"/>
      <c r="BQ1290" s="2"/>
      <c r="BR1290" s="101"/>
    </row>
    <row r="1291" spans="1:136" ht="15.5">
      <c r="A1291" s="93">
        <v>165</v>
      </c>
      <c r="B1291" s="52" t="s">
        <v>160</v>
      </c>
      <c r="C1291" s="98">
        <v>3</v>
      </c>
      <c r="D1291" s="9">
        <f t="shared" ref="D1291:AI1291" si="2729">SUM(D1292:D1300)</f>
        <v>0</v>
      </c>
      <c r="E1291" s="9">
        <f t="shared" si="2729"/>
        <v>0</v>
      </c>
      <c r="F1291" s="9">
        <f t="shared" si="2729"/>
        <v>0</v>
      </c>
      <c r="G1291" s="9">
        <f t="shared" si="2729"/>
        <v>0</v>
      </c>
      <c r="H1291" s="9">
        <f t="shared" si="2729"/>
        <v>0</v>
      </c>
      <c r="I1291" s="9">
        <f t="shared" si="2729"/>
        <v>0</v>
      </c>
      <c r="J1291" s="9">
        <f t="shared" si="2729"/>
        <v>0</v>
      </c>
      <c r="K1291" s="9">
        <f t="shared" si="2729"/>
        <v>0</v>
      </c>
      <c r="L1291" s="9">
        <f t="shared" si="2729"/>
        <v>0</v>
      </c>
      <c r="M1291" s="9">
        <f t="shared" si="2729"/>
        <v>0</v>
      </c>
      <c r="N1291" s="9">
        <f t="shared" si="2729"/>
        <v>0</v>
      </c>
      <c r="O1291" s="9">
        <f t="shared" si="2729"/>
        <v>0</v>
      </c>
      <c r="P1291" s="9">
        <f t="shared" si="2729"/>
        <v>0</v>
      </c>
      <c r="Q1291" s="9">
        <f t="shared" si="2729"/>
        <v>0</v>
      </c>
      <c r="R1291" s="9">
        <f t="shared" si="2729"/>
        <v>0</v>
      </c>
      <c r="S1291" s="9">
        <f t="shared" si="2729"/>
        <v>1.845432</v>
      </c>
      <c r="T1291" s="9">
        <f t="shared" si="2729"/>
        <v>1.9986176000000002</v>
      </c>
      <c r="U1291" s="9">
        <f t="shared" si="2729"/>
        <v>3.3608194999999998</v>
      </c>
      <c r="V1291" s="9">
        <f t="shared" si="2729"/>
        <v>15.3235604</v>
      </c>
      <c r="W1291" s="9">
        <f t="shared" si="2729"/>
        <v>38.376974500000003</v>
      </c>
      <c r="X1291" s="9">
        <f t="shared" si="2729"/>
        <v>39.2794867</v>
      </c>
      <c r="Y1291" s="9">
        <f t="shared" si="2729"/>
        <v>75.446144200000006</v>
      </c>
      <c r="Z1291" s="9">
        <f t="shared" si="2729"/>
        <v>233.2320325</v>
      </c>
      <c r="AA1291" s="9">
        <f t="shared" si="2729"/>
        <v>503.95546450000001</v>
      </c>
      <c r="AB1291" s="9">
        <f t="shared" si="2729"/>
        <v>382.01879150000002</v>
      </c>
      <c r="AC1291" s="9">
        <f t="shared" si="2729"/>
        <v>1484.567541276474</v>
      </c>
      <c r="AD1291" s="9">
        <f t="shared" si="2729"/>
        <v>1771.4314042089563</v>
      </c>
      <c r="AE1291" s="9">
        <f t="shared" si="2729"/>
        <v>2410.1176269265297</v>
      </c>
      <c r="AF1291" s="9">
        <f t="shared" si="2729"/>
        <v>3077.3736177218598</v>
      </c>
      <c r="AG1291" s="9">
        <f t="shared" si="2729"/>
        <v>3803.3756781757897</v>
      </c>
      <c r="AH1291" s="9">
        <f t="shared" si="2729"/>
        <v>3784.5956415726005</v>
      </c>
      <c r="AI1291" s="9">
        <f t="shared" si="2729"/>
        <v>4025.5325850612353</v>
      </c>
      <c r="AJ1291" s="9">
        <f t="shared" ref="AJ1291:BQ1291" si="2730">SUM(AJ1292:AJ1300)</f>
        <v>3306.9307720238544</v>
      </c>
      <c r="AK1291" s="9">
        <f t="shared" si="2730"/>
        <v>4245.6094698561556</v>
      </c>
      <c r="AL1291" s="9">
        <f t="shared" si="2730"/>
        <v>4257.208121313598</v>
      </c>
      <c r="AM1291" s="9">
        <f t="shared" si="2730"/>
        <v>3048.498319087103</v>
      </c>
      <c r="AN1291" s="9">
        <f t="shared" si="2730"/>
        <v>736.27391590000002</v>
      </c>
      <c r="AO1291" s="9">
        <f t="shared" si="2730"/>
        <v>1012.0317289999999</v>
      </c>
      <c r="AP1291" s="9">
        <f t="shared" si="2730"/>
        <v>968.44775760000005</v>
      </c>
      <c r="AQ1291" s="9">
        <f t="shared" si="2730"/>
        <v>1174.7238831000002</v>
      </c>
      <c r="AR1291" s="9">
        <f t="shared" si="2730"/>
        <v>377.25932109999997</v>
      </c>
      <c r="AS1291" s="9">
        <f t="shared" si="2730"/>
        <v>591.45627420000005</v>
      </c>
      <c r="AT1291" s="9">
        <f t="shared" si="2730"/>
        <v>832.44103100000007</v>
      </c>
      <c r="AU1291" s="9">
        <f t="shared" si="2730"/>
        <v>807.82260919999999</v>
      </c>
      <c r="AV1291" s="9">
        <f t="shared" si="2730"/>
        <v>855.65608250000002</v>
      </c>
      <c r="AW1291" s="9">
        <f t="shared" si="2730"/>
        <v>2184.3678107999999</v>
      </c>
      <c r="AX1291" s="9">
        <f t="shared" si="2730"/>
        <v>4014.0072290000003</v>
      </c>
      <c r="AY1291" s="9">
        <f t="shared" si="2730"/>
        <v>476.74782959999999</v>
      </c>
      <c r="AZ1291" s="9">
        <f t="shared" si="2730"/>
        <v>442.04700760000003</v>
      </c>
      <c r="BA1291" s="9">
        <f t="shared" si="2730"/>
        <v>683.89196230000005</v>
      </c>
      <c r="BB1291" s="9">
        <f t="shared" si="2730"/>
        <v>607.69503599999996</v>
      </c>
      <c r="BC1291" s="9">
        <f t="shared" si="2730"/>
        <v>618.80886180000005</v>
      </c>
      <c r="BD1291" s="9">
        <f t="shared" si="2730"/>
        <v>594.81760910000003</v>
      </c>
      <c r="BE1291" s="9">
        <f t="shared" si="2730"/>
        <v>602.45755399999996</v>
      </c>
      <c r="BF1291" s="9">
        <f t="shared" si="2730"/>
        <v>561.30364729999997</v>
      </c>
      <c r="BG1291" s="9">
        <f t="shared" si="2730"/>
        <v>594.93793819999996</v>
      </c>
      <c r="BH1291" s="9">
        <f t="shared" si="2730"/>
        <v>520.42684750000001</v>
      </c>
      <c r="BI1291" s="22">
        <f t="shared" si="2730"/>
        <v>556.91190119999999</v>
      </c>
      <c r="BJ1291" s="22">
        <f t="shared" si="2730"/>
        <v>547.17931009999995</v>
      </c>
      <c r="BK1291" s="22">
        <f t="shared" si="2730"/>
        <v>568.88595080000005</v>
      </c>
      <c r="BL1291" s="22">
        <f t="shared" si="2730"/>
        <v>4122.3942551999999</v>
      </c>
      <c r="BM1291" s="217">
        <f t="shared" si="2730"/>
        <v>11282.93</v>
      </c>
      <c r="BN1291" s="217">
        <f t="shared" si="2730"/>
        <v>10069</v>
      </c>
      <c r="BO1291" s="22">
        <f t="shared" si="2730"/>
        <v>11488</v>
      </c>
      <c r="BP1291" s="22">
        <f t="shared" si="2730"/>
        <v>10967</v>
      </c>
      <c r="BQ1291" s="22">
        <f t="shared" si="2730"/>
        <v>6027</v>
      </c>
      <c r="BR1291" s="101"/>
      <c r="BS1291">
        <f t="shared" ref="BS1291:CX1291" si="2731">IF($C1291&lt;&gt;"",IF(D1291&gt;0,1,0),0)</f>
        <v>0</v>
      </c>
      <c r="BT1291">
        <f t="shared" si="2731"/>
        <v>0</v>
      </c>
      <c r="BU1291">
        <f t="shared" si="2731"/>
        <v>0</v>
      </c>
      <c r="BV1291">
        <f t="shared" si="2731"/>
        <v>0</v>
      </c>
      <c r="BW1291">
        <f t="shared" si="2731"/>
        <v>0</v>
      </c>
      <c r="BX1291">
        <f t="shared" si="2731"/>
        <v>0</v>
      </c>
      <c r="BY1291">
        <f t="shared" si="2731"/>
        <v>0</v>
      </c>
      <c r="BZ1291">
        <f t="shared" si="2731"/>
        <v>0</v>
      </c>
      <c r="CA1291">
        <f t="shared" si="2731"/>
        <v>0</v>
      </c>
      <c r="CB1291">
        <f t="shared" si="2731"/>
        <v>0</v>
      </c>
      <c r="CC1291">
        <f t="shared" si="2731"/>
        <v>0</v>
      </c>
      <c r="CD1291">
        <f t="shared" si="2731"/>
        <v>0</v>
      </c>
      <c r="CE1291">
        <f t="shared" si="2731"/>
        <v>0</v>
      </c>
      <c r="CF1291">
        <f t="shared" si="2731"/>
        <v>0</v>
      </c>
      <c r="CG1291">
        <f t="shared" si="2731"/>
        <v>0</v>
      </c>
      <c r="CH1291">
        <f t="shared" si="2731"/>
        <v>1</v>
      </c>
      <c r="CI1291">
        <f t="shared" si="2731"/>
        <v>1</v>
      </c>
      <c r="CJ1291">
        <f t="shared" si="2731"/>
        <v>1</v>
      </c>
      <c r="CK1291">
        <f t="shared" si="2731"/>
        <v>1</v>
      </c>
      <c r="CL1291">
        <f t="shared" si="2731"/>
        <v>1</v>
      </c>
      <c r="CM1291">
        <f t="shared" si="2731"/>
        <v>1</v>
      </c>
      <c r="CN1291">
        <f t="shared" si="2731"/>
        <v>1</v>
      </c>
      <c r="CO1291">
        <f t="shared" si="2731"/>
        <v>1</v>
      </c>
      <c r="CP1291">
        <f t="shared" si="2731"/>
        <v>1</v>
      </c>
      <c r="CQ1291">
        <f t="shared" si="2731"/>
        <v>1</v>
      </c>
      <c r="CR1291">
        <f t="shared" si="2731"/>
        <v>1</v>
      </c>
      <c r="CS1291">
        <f t="shared" si="2731"/>
        <v>1</v>
      </c>
      <c r="CT1291">
        <f t="shared" si="2731"/>
        <v>1</v>
      </c>
      <c r="CU1291">
        <f t="shared" si="2731"/>
        <v>1</v>
      </c>
      <c r="CV1291">
        <f t="shared" si="2731"/>
        <v>1</v>
      </c>
      <c r="CW1291">
        <f t="shared" si="2731"/>
        <v>1</v>
      </c>
      <c r="CX1291">
        <f t="shared" si="2731"/>
        <v>1</v>
      </c>
      <c r="CY1291">
        <f t="shared" ref="CY1291:EF1291" si="2732">IF($C1291&lt;&gt;"",IF(AJ1291&gt;0,1,0),0)</f>
        <v>1</v>
      </c>
      <c r="CZ1291">
        <f t="shared" si="2732"/>
        <v>1</v>
      </c>
      <c r="DA1291">
        <f t="shared" si="2732"/>
        <v>1</v>
      </c>
      <c r="DB1291">
        <f t="shared" si="2732"/>
        <v>1</v>
      </c>
      <c r="DC1291">
        <f t="shared" si="2732"/>
        <v>1</v>
      </c>
      <c r="DD1291">
        <f t="shared" si="2732"/>
        <v>1</v>
      </c>
      <c r="DE1291">
        <f t="shared" si="2732"/>
        <v>1</v>
      </c>
      <c r="DF1291">
        <f t="shared" si="2732"/>
        <v>1</v>
      </c>
      <c r="DG1291">
        <f t="shared" si="2732"/>
        <v>1</v>
      </c>
      <c r="DH1291">
        <f t="shared" si="2732"/>
        <v>1</v>
      </c>
      <c r="DI1291">
        <f t="shared" si="2732"/>
        <v>1</v>
      </c>
      <c r="DJ1291">
        <f t="shared" si="2732"/>
        <v>1</v>
      </c>
      <c r="DK1291">
        <f t="shared" si="2732"/>
        <v>1</v>
      </c>
      <c r="DL1291">
        <f t="shared" si="2732"/>
        <v>1</v>
      </c>
      <c r="DM1291">
        <f t="shared" si="2732"/>
        <v>1</v>
      </c>
      <c r="DN1291">
        <f t="shared" si="2732"/>
        <v>1</v>
      </c>
      <c r="DO1291">
        <f t="shared" si="2732"/>
        <v>1</v>
      </c>
      <c r="DP1291">
        <f t="shared" si="2732"/>
        <v>1</v>
      </c>
      <c r="DQ1291">
        <f t="shared" si="2732"/>
        <v>1</v>
      </c>
      <c r="DR1291">
        <f t="shared" si="2732"/>
        <v>1</v>
      </c>
      <c r="DS1291">
        <f t="shared" si="2732"/>
        <v>1</v>
      </c>
      <c r="DT1291">
        <f t="shared" si="2732"/>
        <v>1</v>
      </c>
      <c r="DU1291">
        <f t="shared" si="2732"/>
        <v>1</v>
      </c>
      <c r="DV1291">
        <f t="shared" si="2732"/>
        <v>1</v>
      </c>
      <c r="DW1291">
        <f t="shared" si="2732"/>
        <v>1</v>
      </c>
      <c r="DX1291">
        <f t="shared" si="2732"/>
        <v>1</v>
      </c>
      <c r="DY1291">
        <f t="shared" si="2732"/>
        <v>1</v>
      </c>
      <c r="DZ1291">
        <f t="shared" si="2732"/>
        <v>1</v>
      </c>
      <c r="EA1291">
        <f t="shared" si="2732"/>
        <v>1</v>
      </c>
      <c r="EB1291">
        <f>IF($C1291&lt;&gt;"",IF(BM1291&gt;0,1,0),0)</f>
        <v>1</v>
      </c>
      <c r="EC1291">
        <f t="shared" si="2732"/>
        <v>1</v>
      </c>
      <c r="ED1291">
        <f t="shared" si="2732"/>
        <v>1</v>
      </c>
      <c r="EE1291">
        <f t="shared" si="2732"/>
        <v>1</v>
      </c>
      <c r="EF1291">
        <f t="shared" si="2732"/>
        <v>1</v>
      </c>
    </row>
    <row r="1292" spans="1:136" ht="15.5">
      <c r="A1292" s="90"/>
      <c r="B1292" s="24" t="s">
        <v>15</v>
      </c>
      <c r="C1292" s="99"/>
      <c r="D1292" s="34">
        <v>0</v>
      </c>
      <c r="E1292" s="34">
        <v>0</v>
      </c>
      <c r="F1292" s="34">
        <v>0</v>
      </c>
      <c r="G1292" s="34">
        <v>0</v>
      </c>
      <c r="H1292" s="34">
        <v>0</v>
      </c>
      <c r="I1292" s="34">
        <v>0</v>
      </c>
      <c r="J1292" s="34">
        <v>0</v>
      </c>
      <c r="K1292" s="34">
        <v>0</v>
      </c>
      <c r="L1292" s="34">
        <v>0</v>
      </c>
      <c r="M1292" s="34">
        <v>0</v>
      </c>
      <c r="N1292" s="34">
        <v>0</v>
      </c>
      <c r="O1292" s="34">
        <v>0</v>
      </c>
      <c r="P1292" s="34">
        <v>0</v>
      </c>
      <c r="Q1292" s="34">
        <v>0</v>
      </c>
      <c r="R1292" s="34">
        <v>0</v>
      </c>
      <c r="S1292" s="34">
        <v>0</v>
      </c>
      <c r="T1292" s="34">
        <v>0</v>
      </c>
      <c r="U1292" s="34">
        <v>0</v>
      </c>
      <c r="V1292" s="34">
        <v>0</v>
      </c>
      <c r="W1292" s="34">
        <v>0</v>
      </c>
      <c r="X1292" s="34">
        <v>0</v>
      </c>
      <c r="Y1292" s="34">
        <v>0</v>
      </c>
      <c r="Z1292" s="34">
        <v>49</v>
      </c>
      <c r="AA1292" s="34">
        <v>0</v>
      </c>
      <c r="AB1292" s="34">
        <v>0</v>
      </c>
      <c r="AC1292" s="34">
        <v>889.18427317647388</v>
      </c>
      <c r="AD1292" s="34">
        <v>1041.7973411089563</v>
      </c>
      <c r="AE1292" s="34">
        <v>1293.8705088265297</v>
      </c>
      <c r="AF1292" s="34">
        <v>1322.2321802218598</v>
      </c>
      <c r="AG1292" s="34">
        <v>1377.04140537579</v>
      </c>
      <c r="AH1292" s="34">
        <v>1593.3429735726006</v>
      </c>
      <c r="AI1292" s="34">
        <v>1706.4912937612353</v>
      </c>
      <c r="AJ1292" s="34">
        <v>1727.3553694238544</v>
      </c>
      <c r="AK1292" s="34">
        <v>1763.2097812561558</v>
      </c>
      <c r="AL1292" s="34">
        <v>1950.7450048135984</v>
      </c>
      <c r="AM1292" s="34">
        <v>2085.4516855871029</v>
      </c>
      <c r="AN1292" s="34">
        <v>0</v>
      </c>
      <c r="AO1292" s="34">
        <v>0</v>
      </c>
      <c r="AP1292" s="34">
        <v>0</v>
      </c>
      <c r="AQ1292" s="34">
        <v>0</v>
      </c>
      <c r="AR1292" s="34">
        <v>0</v>
      </c>
      <c r="AS1292" s="34">
        <v>0</v>
      </c>
      <c r="AT1292" s="34">
        <v>0</v>
      </c>
      <c r="AU1292" s="34">
        <v>0</v>
      </c>
      <c r="AV1292" s="34">
        <v>0</v>
      </c>
      <c r="AW1292" s="34">
        <v>0</v>
      </c>
      <c r="AX1292" s="34">
        <v>0</v>
      </c>
      <c r="AY1292" s="34">
        <v>0</v>
      </c>
      <c r="AZ1292" s="34">
        <v>0</v>
      </c>
      <c r="BA1292" s="34">
        <v>0</v>
      </c>
      <c r="BB1292" s="34">
        <v>0</v>
      </c>
      <c r="BC1292" s="34">
        <v>0</v>
      </c>
      <c r="BD1292" s="34">
        <v>0</v>
      </c>
      <c r="BE1292" s="42">
        <v>0</v>
      </c>
      <c r="BF1292" s="34">
        <v>0</v>
      </c>
      <c r="BG1292" s="34">
        <v>0</v>
      </c>
      <c r="BH1292" s="34">
        <v>0</v>
      </c>
      <c r="BI1292" s="34">
        <v>0</v>
      </c>
      <c r="BJ1292" s="113">
        <v>0</v>
      </c>
      <c r="BK1292" s="113">
        <v>0</v>
      </c>
      <c r="BL1292" s="113">
        <v>0</v>
      </c>
      <c r="BM1292" s="113">
        <v>0</v>
      </c>
      <c r="BN1292" s="113">
        <v>0</v>
      </c>
      <c r="BO1292" s="113">
        <v>0</v>
      </c>
      <c r="BP1292" s="113">
        <v>0</v>
      </c>
      <c r="BQ1292" s="113">
        <v>0</v>
      </c>
      <c r="BR1292" s="101"/>
      <c r="BS1292">
        <f t="shared" ref="BS1292:BS1301" si="2733">IF($C1292&lt;&gt;"",IF(D1292&gt;0,1,0),0)</f>
        <v>0</v>
      </c>
      <c r="BT1292">
        <f t="shared" ref="BT1292:BT1301" si="2734">IF($C1292&lt;&gt;"",IF(E1292&gt;0,1,0),0)</f>
        <v>0</v>
      </c>
      <c r="BU1292">
        <f t="shared" ref="BU1292:BU1301" si="2735">IF($C1292&lt;&gt;"",IF(F1292&gt;0,1,0),0)</f>
        <v>0</v>
      </c>
      <c r="BV1292">
        <f t="shared" ref="BV1292:BV1301" si="2736">IF($C1292&lt;&gt;"",IF(G1292&gt;0,1,0),0)</f>
        <v>0</v>
      </c>
      <c r="BW1292">
        <f t="shared" ref="BW1292:BW1301" si="2737">IF($C1292&lt;&gt;"",IF(H1292&gt;0,1,0),0)</f>
        <v>0</v>
      </c>
      <c r="BX1292">
        <f t="shared" ref="BX1292:BX1301" si="2738">IF($C1292&lt;&gt;"",IF(I1292&gt;0,1,0),0)</f>
        <v>0</v>
      </c>
      <c r="BY1292">
        <f t="shared" ref="BY1292:BY1301" si="2739">IF($C1292&lt;&gt;"",IF(J1292&gt;0,1,0),0)</f>
        <v>0</v>
      </c>
      <c r="BZ1292">
        <f t="shared" ref="BZ1292:BZ1301" si="2740">IF($C1292&lt;&gt;"",IF(K1292&gt;0,1,0),0)</f>
        <v>0</v>
      </c>
      <c r="CA1292">
        <f t="shared" ref="CA1292:CA1301" si="2741">IF($C1292&lt;&gt;"",IF(L1292&gt;0,1,0),0)</f>
        <v>0</v>
      </c>
      <c r="CB1292">
        <f t="shared" ref="CB1292:CB1301" si="2742">IF($C1292&lt;&gt;"",IF(M1292&gt;0,1,0),0)</f>
        <v>0</v>
      </c>
      <c r="CC1292">
        <f t="shared" ref="CC1292:CC1301" si="2743">IF($C1292&lt;&gt;"",IF(N1292&gt;0,1,0),0)</f>
        <v>0</v>
      </c>
      <c r="CD1292">
        <f t="shared" ref="CD1292:CD1301" si="2744">IF($C1292&lt;&gt;"",IF(O1292&gt;0,1,0),0)</f>
        <v>0</v>
      </c>
      <c r="CE1292">
        <f t="shared" ref="CE1292:CE1301" si="2745">IF($C1292&lt;&gt;"",IF(P1292&gt;0,1,0),0)</f>
        <v>0</v>
      </c>
      <c r="CF1292">
        <f t="shared" ref="CF1292:CF1301" si="2746">IF($C1292&lt;&gt;"",IF(Q1292&gt;0,1,0),0)</f>
        <v>0</v>
      </c>
      <c r="CG1292">
        <f t="shared" ref="CG1292:CG1301" si="2747">IF($C1292&lt;&gt;"",IF(R1292&gt;0,1,0),0)</f>
        <v>0</v>
      </c>
      <c r="CH1292">
        <f t="shared" ref="CH1292:CH1301" si="2748">IF($C1292&lt;&gt;"",IF(S1292&gt;0,1,0),0)</f>
        <v>0</v>
      </c>
      <c r="CI1292">
        <f t="shared" ref="CI1292:CI1301" si="2749">IF($C1292&lt;&gt;"",IF(T1292&gt;0,1,0),0)</f>
        <v>0</v>
      </c>
      <c r="CJ1292">
        <f t="shared" ref="CJ1292:CJ1301" si="2750">IF($C1292&lt;&gt;"",IF(U1292&gt;0,1,0),0)</f>
        <v>0</v>
      </c>
      <c r="CK1292">
        <f t="shared" ref="CK1292:CK1301" si="2751">IF($C1292&lt;&gt;"",IF(V1292&gt;0,1,0),0)</f>
        <v>0</v>
      </c>
      <c r="CL1292">
        <f t="shared" ref="CL1292:CL1301" si="2752">IF($C1292&lt;&gt;"",IF(W1292&gt;0,1,0),0)</f>
        <v>0</v>
      </c>
      <c r="CM1292">
        <f t="shared" ref="CM1292:CM1301" si="2753">IF($C1292&lt;&gt;"",IF(X1292&gt;0,1,0),0)</f>
        <v>0</v>
      </c>
      <c r="CN1292">
        <f t="shared" ref="CN1292:CN1301" si="2754">IF($C1292&lt;&gt;"",IF(Y1292&gt;0,1,0),0)</f>
        <v>0</v>
      </c>
      <c r="CO1292">
        <f t="shared" ref="CO1292:CO1301" si="2755">IF($C1292&lt;&gt;"",IF(Z1292&gt;0,1,0),0)</f>
        <v>0</v>
      </c>
      <c r="CP1292">
        <f t="shared" ref="CP1292:CP1301" si="2756">IF($C1292&lt;&gt;"",IF(AA1292&gt;0,1,0),0)</f>
        <v>0</v>
      </c>
      <c r="CQ1292">
        <f t="shared" ref="CQ1292:CQ1301" si="2757">IF($C1292&lt;&gt;"",IF(AB1292&gt;0,1,0),0)</f>
        <v>0</v>
      </c>
      <c r="CR1292">
        <f t="shared" ref="CR1292:CR1301" si="2758">IF($C1292&lt;&gt;"",IF(AC1292&gt;0,1,0),0)</f>
        <v>0</v>
      </c>
      <c r="CS1292">
        <f t="shared" ref="CS1292:CS1301" si="2759">IF($C1292&lt;&gt;"",IF(AD1292&gt;0,1,0),0)</f>
        <v>0</v>
      </c>
      <c r="CT1292">
        <f t="shared" ref="CT1292:CT1301" si="2760">IF($C1292&lt;&gt;"",IF(AE1292&gt;0,1,0),0)</f>
        <v>0</v>
      </c>
      <c r="CU1292">
        <f t="shared" ref="CU1292:CU1301" si="2761">IF($C1292&lt;&gt;"",IF(AF1292&gt;0,1,0),0)</f>
        <v>0</v>
      </c>
      <c r="CV1292">
        <f t="shared" ref="CV1292:CV1301" si="2762">IF($C1292&lt;&gt;"",IF(AG1292&gt;0,1,0),0)</f>
        <v>0</v>
      </c>
      <c r="CW1292">
        <f t="shared" ref="CW1292:CW1301" si="2763">IF($C1292&lt;&gt;"",IF(AH1292&gt;0,1,0),0)</f>
        <v>0</v>
      </c>
      <c r="CX1292">
        <f t="shared" ref="CX1292:CX1301" si="2764">IF($C1292&lt;&gt;"",IF(AI1292&gt;0,1,0),0)</f>
        <v>0</v>
      </c>
      <c r="CY1292">
        <f t="shared" ref="CY1292:CY1301" si="2765">IF($C1292&lt;&gt;"",IF(AJ1292&gt;0,1,0),0)</f>
        <v>0</v>
      </c>
      <c r="CZ1292">
        <f t="shared" ref="CZ1292:CZ1301" si="2766">IF($C1292&lt;&gt;"",IF(AK1292&gt;0,1,0),0)</f>
        <v>0</v>
      </c>
      <c r="DA1292">
        <f t="shared" ref="DA1292:DA1301" si="2767">IF($C1292&lt;&gt;"",IF(AL1292&gt;0,1,0),0)</f>
        <v>0</v>
      </c>
      <c r="DB1292">
        <f t="shared" ref="DB1292:DB1301" si="2768">IF($C1292&lt;&gt;"",IF(AM1292&gt;0,1,0),0)</f>
        <v>0</v>
      </c>
      <c r="DC1292">
        <f t="shared" ref="DC1292:DC1301" si="2769">IF($C1292&lt;&gt;"",IF(AN1292&gt;0,1,0),0)</f>
        <v>0</v>
      </c>
      <c r="DD1292">
        <f t="shared" ref="DD1292:DD1301" si="2770">IF($C1292&lt;&gt;"",IF(AO1292&gt;0,1,0),0)</f>
        <v>0</v>
      </c>
      <c r="DE1292">
        <f t="shared" ref="DE1292:DE1301" si="2771">IF($C1292&lt;&gt;"",IF(AP1292&gt;0,1,0),0)</f>
        <v>0</v>
      </c>
      <c r="DF1292">
        <f t="shared" ref="DF1292:DF1301" si="2772">IF($C1292&lt;&gt;"",IF(AQ1292&gt;0,1,0),0)</f>
        <v>0</v>
      </c>
      <c r="DG1292">
        <f t="shared" ref="DG1292:DG1301" si="2773">IF($C1292&lt;&gt;"",IF(AR1292&gt;0,1,0),0)</f>
        <v>0</v>
      </c>
      <c r="DH1292">
        <f t="shared" ref="DH1292:DH1301" si="2774">IF($C1292&lt;&gt;"",IF(AS1292&gt;0,1,0),0)</f>
        <v>0</v>
      </c>
      <c r="DI1292">
        <f t="shared" ref="DI1292:DI1301" si="2775">IF($C1292&lt;&gt;"",IF(AT1292&gt;0,1,0),0)</f>
        <v>0</v>
      </c>
      <c r="DJ1292">
        <f t="shared" ref="DJ1292:DJ1301" si="2776">IF($C1292&lt;&gt;"",IF(AU1292&gt;0,1,0),0)</f>
        <v>0</v>
      </c>
      <c r="DK1292">
        <f t="shared" ref="DK1292:DK1301" si="2777">IF($C1292&lt;&gt;"",IF(AV1292&gt;0,1,0),0)</f>
        <v>0</v>
      </c>
      <c r="DL1292">
        <f t="shared" ref="DL1292:DL1301" si="2778">IF($C1292&lt;&gt;"",IF(AW1292&gt;0,1,0),0)</f>
        <v>0</v>
      </c>
      <c r="DM1292">
        <f t="shared" ref="DM1292:DM1301" si="2779">IF($C1292&lt;&gt;"",IF(AX1292&gt;0,1,0),0)</f>
        <v>0</v>
      </c>
      <c r="DN1292">
        <f t="shared" ref="DN1292:DN1301" si="2780">IF($C1292&lt;&gt;"",IF(AY1292&gt;0,1,0),0)</f>
        <v>0</v>
      </c>
      <c r="DO1292">
        <f t="shared" ref="DO1292:DO1301" si="2781">IF($C1292&lt;&gt;"",IF(AZ1292&gt;0,1,0),0)</f>
        <v>0</v>
      </c>
      <c r="DP1292">
        <f t="shared" ref="DP1292:DP1301" si="2782">IF($C1292&lt;&gt;"",IF(BA1292&gt;0,1,0),0)</f>
        <v>0</v>
      </c>
      <c r="DQ1292">
        <f t="shared" ref="DQ1292:DQ1301" si="2783">IF($C1292&lt;&gt;"",IF(BB1292&gt;0,1,0),0)</f>
        <v>0</v>
      </c>
      <c r="DR1292">
        <f t="shared" ref="DR1292:DR1301" si="2784">IF($C1292&lt;&gt;"",IF(BC1292&gt;0,1,0),0)</f>
        <v>0</v>
      </c>
      <c r="DS1292">
        <f t="shared" ref="DS1292:DS1301" si="2785">IF($C1292&lt;&gt;"",IF(BD1292&gt;0,1,0),0)</f>
        <v>0</v>
      </c>
      <c r="DT1292">
        <f t="shared" ref="DT1292:DT1301" si="2786">IF($C1292&lt;&gt;"",IF(BE1292&gt;0,1,0),0)</f>
        <v>0</v>
      </c>
      <c r="DU1292">
        <f t="shared" ref="DU1292:DU1301" si="2787">IF($C1292&lt;&gt;"",IF(BF1292&gt;0,1,0),0)</f>
        <v>0</v>
      </c>
      <c r="DV1292">
        <f t="shared" ref="DV1292:DV1301" si="2788">IF($C1292&lt;&gt;"",IF(BG1292&gt;0,1,0),0)</f>
        <v>0</v>
      </c>
      <c r="DW1292">
        <f t="shared" ref="DW1292:DW1301" si="2789">IF($C1292&lt;&gt;"",IF(BH1292&gt;0,1,0),0)</f>
        <v>0</v>
      </c>
      <c r="DX1292">
        <f t="shared" ref="DX1292:DX1301" si="2790">IF($C1292&lt;&gt;"",IF(BI1292&gt;0,1,0),0)</f>
        <v>0</v>
      </c>
      <c r="DY1292">
        <f t="shared" ref="DY1292:DY1301" si="2791">IF($C1292&lt;&gt;"",IF(BJ1292&gt;0,1,0),0)</f>
        <v>0</v>
      </c>
      <c r="DZ1292">
        <f t="shared" ref="DZ1292:DZ1301" si="2792">IF($C1292&lt;&gt;"",IF(BK1292&gt;0,1,0),0)</f>
        <v>0</v>
      </c>
      <c r="EA1292">
        <f t="shared" ref="EA1292:EF1298" si="2793">IF($C1292&lt;&gt;"",IF(BL1291&gt;0,1,0),0)</f>
        <v>0</v>
      </c>
      <c r="EB1292">
        <f t="shared" ref="EB1292:EB1298" si="2794">IF($C1292&lt;&gt;"",IF(BM1291&gt;0,1,0),0)</f>
        <v>0</v>
      </c>
      <c r="EC1292">
        <f t="shared" si="2793"/>
        <v>0</v>
      </c>
      <c r="ED1292">
        <f t="shared" si="2793"/>
        <v>0</v>
      </c>
      <c r="EE1292">
        <f t="shared" si="2793"/>
        <v>0</v>
      </c>
      <c r="EF1292">
        <f t="shared" si="2793"/>
        <v>0</v>
      </c>
    </row>
    <row r="1293" spans="1:136" ht="15.5">
      <c r="A1293" s="90"/>
      <c r="B1293" s="57" t="s">
        <v>184</v>
      </c>
      <c r="C1293" s="99"/>
      <c r="D1293" s="34">
        <v>0</v>
      </c>
      <c r="E1293" s="34">
        <v>0</v>
      </c>
      <c r="F1293" s="34">
        <v>0</v>
      </c>
      <c r="G1293" s="34">
        <v>0</v>
      </c>
      <c r="H1293" s="34">
        <v>0</v>
      </c>
      <c r="I1293" s="34">
        <v>0</v>
      </c>
      <c r="J1293" s="34">
        <v>0</v>
      </c>
      <c r="K1293" s="34">
        <v>0</v>
      </c>
      <c r="L1293" s="34">
        <v>0</v>
      </c>
      <c r="M1293" s="34">
        <v>0</v>
      </c>
      <c r="N1293" s="34">
        <v>0</v>
      </c>
      <c r="O1293" s="34">
        <v>0</v>
      </c>
      <c r="P1293" s="34">
        <v>0</v>
      </c>
      <c r="Q1293" s="34">
        <v>0</v>
      </c>
      <c r="R1293" s="34">
        <v>0</v>
      </c>
      <c r="S1293" s="34">
        <v>0</v>
      </c>
      <c r="T1293" s="34">
        <v>0</v>
      </c>
      <c r="U1293" s="34">
        <v>0</v>
      </c>
      <c r="V1293" s="34">
        <v>0</v>
      </c>
      <c r="W1293" s="34">
        <v>0</v>
      </c>
      <c r="X1293" s="34">
        <v>0</v>
      </c>
      <c r="Y1293" s="34">
        <v>0</v>
      </c>
      <c r="Z1293" s="34">
        <v>0</v>
      </c>
      <c r="AA1293" s="34">
        <v>0</v>
      </c>
      <c r="AB1293" s="34">
        <v>0</v>
      </c>
      <c r="AC1293" s="34">
        <v>0</v>
      </c>
      <c r="AD1293" s="34">
        <v>0</v>
      </c>
      <c r="AE1293" s="40" t="s">
        <v>16</v>
      </c>
      <c r="AF1293" s="34">
        <v>103</v>
      </c>
      <c r="AG1293" s="34">
        <v>70</v>
      </c>
      <c r="AH1293" s="34">
        <v>256</v>
      </c>
      <c r="AI1293" s="34">
        <v>0</v>
      </c>
      <c r="AJ1293" s="34">
        <v>0</v>
      </c>
      <c r="AK1293" s="34">
        <v>0</v>
      </c>
      <c r="AL1293" s="34">
        <v>0</v>
      </c>
      <c r="AM1293" s="34">
        <v>0</v>
      </c>
      <c r="AN1293" s="34">
        <v>0</v>
      </c>
      <c r="AO1293" s="34">
        <v>0</v>
      </c>
      <c r="AP1293" s="34">
        <v>0</v>
      </c>
      <c r="AQ1293" s="34">
        <v>0</v>
      </c>
      <c r="AR1293" s="34">
        <v>0</v>
      </c>
      <c r="AS1293" s="34">
        <v>0</v>
      </c>
      <c r="AT1293" s="34">
        <v>0</v>
      </c>
      <c r="AU1293" s="34">
        <v>0</v>
      </c>
      <c r="AV1293" s="34">
        <v>0</v>
      </c>
      <c r="AW1293" s="34">
        <v>0</v>
      </c>
      <c r="AX1293" s="34">
        <v>0</v>
      </c>
      <c r="AY1293" s="34">
        <v>0</v>
      </c>
      <c r="AZ1293" s="34">
        <v>0</v>
      </c>
      <c r="BA1293" s="34">
        <v>0</v>
      </c>
      <c r="BB1293" s="34">
        <v>0</v>
      </c>
      <c r="BC1293" s="34">
        <v>0</v>
      </c>
      <c r="BD1293" s="34">
        <v>0</v>
      </c>
      <c r="BE1293" s="34">
        <v>0</v>
      </c>
      <c r="BF1293" s="34">
        <v>0</v>
      </c>
      <c r="BG1293" s="34">
        <v>0</v>
      </c>
      <c r="BH1293" s="34">
        <v>0</v>
      </c>
      <c r="BI1293" s="34">
        <v>0</v>
      </c>
      <c r="BJ1293" s="113">
        <v>0</v>
      </c>
      <c r="BK1293" s="113">
        <v>0</v>
      </c>
      <c r="BL1293" s="113">
        <v>0</v>
      </c>
      <c r="BM1293" s="113">
        <v>0.93</v>
      </c>
      <c r="BN1293" s="113">
        <v>2</v>
      </c>
      <c r="BO1293" s="113">
        <v>0</v>
      </c>
      <c r="BP1293" s="113">
        <v>0</v>
      </c>
      <c r="BQ1293" s="113">
        <v>0</v>
      </c>
      <c r="BR1293" s="101"/>
      <c r="BS1293">
        <f t="shared" si="2733"/>
        <v>0</v>
      </c>
      <c r="BT1293">
        <f t="shared" si="2734"/>
        <v>0</v>
      </c>
      <c r="BU1293">
        <f t="shared" si="2735"/>
        <v>0</v>
      </c>
      <c r="BV1293">
        <f t="shared" si="2736"/>
        <v>0</v>
      </c>
      <c r="BW1293">
        <f t="shared" si="2737"/>
        <v>0</v>
      </c>
      <c r="BX1293">
        <f t="shared" si="2738"/>
        <v>0</v>
      </c>
      <c r="BY1293">
        <f t="shared" si="2739"/>
        <v>0</v>
      </c>
      <c r="BZ1293">
        <f t="shared" si="2740"/>
        <v>0</v>
      </c>
      <c r="CA1293">
        <f t="shared" si="2741"/>
        <v>0</v>
      </c>
      <c r="CB1293">
        <f t="shared" si="2742"/>
        <v>0</v>
      </c>
      <c r="CC1293">
        <f t="shared" si="2743"/>
        <v>0</v>
      </c>
      <c r="CD1293">
        <f t="shared" si="2744"/>
        <v>0</v>
      </c>
      <c r="CE1293">
        <f t="shared" si="2745"/>
        <v>0</v>
      </c>
      <c r="CF1293">
        <f t="shared" si="2746"/>
        <v>0</v>
      </c>
      <c r="CG1293">
        <f t="shared" si="2747"/>
        <v>0</v>
      </c>
      <c r="CH1293">
        <f t="shared" si="2748"/>
        <v>0</v>
      </c>
      <c r="CI1293">
        <f t="shared" si="2749"/>
        <v>0</v>
      </c>
      <c r="CJ1293">
        <f t="shared" si="2750"/>
        <v>0</v>
      </c>
      <c r="CK1293">
        <f t="shared" si="2751"/>
        <v>0</v>
      </c>
      <c r="CL1293">
        <f t="shared" si="2752"/>
        <v>0</v>
      </c>
      <c r="CM1293">
        <f t="shared" si="2753"/>
        <v>0</v>
      </c>
      <c r="CN1293">
        <f t="shared" si="2754"/>
        <v>0</v>
      </c>
      <c r="CO1293">
        <f t="shared" si="2755"/>
        <v>0</v>
      </c>
      <c r="CP1293">
        <f t="shared" si="2756"/>
        <v>0</v>
      </c>
      <c r="CQ1293">
        <f t="shared" si="2757"/>
        <v>0</v>
      </c>
      <c r="CR1293">
        <f t="shared" si="2758"/>
        <v>0</v>
      </c>
      <c r="CS1293">
        <f t="shared" si="2759"/>
        <v>0</v>
      </c>
      <c r="CT1293">
        <f t="shared" si="2760"/>
        <v>0</v>
      </c>
      <c r="CU1293">
        <f t="shared" si="2761"/>
        <v>0</v>
      </c>
      <c r="CV1293">
        <f t="shared" si="2762"/>
        <v>0</v>
      </c>
      <c r="CW1293">
        <f t="shared" si="2763"/>
        <v>0</v>
      </c>
      <c r="CX1293">
        <f t="shared" si="2764"/>
        <v>0</v>
      </c>
      <c r="CY1293">
        <f t="shared" si="2765"/>
        <v>0</v>
      </c>
      <c r="CZ1293">
        <f t="shared" si="2766"/>
        <v>0</v>
      </c>
      <c r="DA1293">
        <f t="shared" si="2767"/>
        <v>0</v>
      </c>
      <c r="DB1293">
        <f t="shared" si="2768"/>
        <v>0</v>
      </c>
      <c r="DC1293">
        <f t="shared" si="2769"/>
        <v>0</v>
      </c>
      <c r="DD1293">
        <f t="shared" si="2770"/>
        <v>0</v>
      </c>
      <c r="DE1293">
        <f t="shared" si="2771"/>
        <v>0</v>
      </c>
      <c r="DF1293">
        <f t="shared" si="2772"/>
        <v>0</v>
      </c>
      <c r="DG1293">
        <f t="shared" si="2773"/>
        <v>0</v>
      </c>
      <c r="DH1293">
        <f t="shared" si="2774"/>
        <v>0</v>
      </c>
      <c r="DI1293">
        <f t="shared" si="2775"/>
        <v>0</v>
      </c>
      <c r="DJ1293">
        <f t="shared" si="2776"/>
        <v>0</v>
      </c>
      <c r="DK1293">
        <f t="shared" si="2777"/>
        <v>0</v>
      </c>
      <c r="DL1293">
        <f t="shared" si="2778"/>
        <v>0</v>
      </c>
      <c r="DM1293">
        <f t="shared" si="2779"/>
        <v>0</v>
      </c>
      <c r="DN1293">
        <f t="shared" si="2780"/>
        <v>0</v>
      </c>
      <c r="DO1293">
        <f t="shared" si="2781"/>
        <v>0</v>
      </c>
      <c r="DP1293">
        <f t="shared" si="2782"/>
        <v>0</v>
      </c>
      <c r="DQ1293">
        <f t="shared" si="2783"/>
        <v>0</v>
      </c>
      <c r="DR1293">
        <f t="shared" si="2784"/>
        <v>0</v>
      </c>
      <c r="DS1293">
        <f t="shared" si="2785"/>
        <v>0</v>
      </c>
      <c r="DT1293">
        <f t="shared" si="2786"/>
        <v>0</v>
      </c>
      <c r="DU1293">
        <f t="shared" si="2787"/>
        <v>0</v>
      </c>
      <c r="DV1293">
        <f t="shared" si="2788"/>
        <v>0</v>
      </c>
      <c r="DW1293">
        <f t="shared" si="2789"/>
        <v>0</v>
      </c>
      <c r="DX1293">
        <f t="shared" si="2790"/>
        <v>0</v>
      </c>
      <c r="DY1293">
        <f t="shared" si="2791"/>
        <v>0</v>
      </c>
      <c r="DZ1293">
        <f t="shared" si="2792"/>
        <v>0</v>
      </c>
      <c r="EA1293">
        <f t="shared" si="2793"/>
        <v>0</v>
      </c>
      <c r="EB1293">
        <f t="shared" si="2794"/>
        <v>0</v>
      </c>
      <c r="EC1293">
        <f t="shared" si="2793"/>
        <v>0</v>
      </c>
      <c r="ED1293">
        <f t="shared" si="2793"/>
        <v>0</v>
      </c>
      <c r="EE1293">
        <f t="shared" si="2793"/>
        <v>0</v>
      </c>
      <c r="EF1293">
        <f t="shared" si="2793"/>
        <v>0</v>
      </c>
    </row>
    <row r="1294" spans="1:136" ht="15.5">
      <c r="A1294" s="90"/>
      <c r="B1294" s="57" t="s">
        <v>202</v>
      </c>
      <c r="C1294" s="99"/>
      <c r="D1294" s="34">
        <v>0</v>
      </c>
      <c r="E1294" s="34">
        <v>0</v>
      </c>
      <c r="F1294" s="34">
        <v>0</v>
      </c>
      <c r="G1294" s="34">
        <v>0</v>
      </c>
      <c r="H1294" s="34">
        <v>0</v>
      </c>
      <c r="I1294" s="34">
        <v>0</v>
      </c>
      <c r="J1294" s="34">
        <v>0</v>
      </c>
      <c r="K1294" s="34">
        <v>0</v>
      </c>
      <c r="L1294" s="34">
        <v>0</v>
      </c>
      <c r="M1294" s="34">
        <v>0</v>
      </c>
      <c r="N1294" s="34">
        <v>0</v>
      </c>
      <c r="O1294" s="34">
        <v>0</v>
      </c>
      <c r="P1294" s="34">
        <v>0</v>
      </c>
      <c r="Q1294" s="34">
        <v>0</v>
      </c>
      <c r="R1294" s="34">
        <v>0</v>
      </c>
      <c r="S1294" s="34">
        <v>0</v>
      </c>
      <c r="T1294" s="34">
        <v>0</v>
      </c>
      <c r="U1294" s="34">
        <v>0</v>
      </c>
      <c r="V1294" s="34">
        <v>0</v>
      </c>
      <c r="W1294" s="34">
        <v>0</v>
      </c>
      <c r="X1294" s="34">
        <v>0</v>
      </c>
      <c r="Y1294" s="34">
        <v>0</v>
      </c>
      <c r="Z1294" s="34">
        <v>0</v>
      </c>
      <c r="AA1294" s="34">
        <v>0</v>
      </c>
      <c r="AB1294" s="34">
        <v>0</v>
      </c>
      <c r="AC1294" s="34">
        <v>0</v>
      </c>
      <c r="AD1294" s="34">
        <v>0</v>
      </c>
      <c r="AE1294" s="18">
        <v>0</v>
      </c>
      <c r="AF1294" s="34">
        <v>3</v>
      </c>
      <c r="AG1294" s="34">
        <v>1</v>
      </c>
      <c r="AH1294" s="34">
        <v>11</v>
      </c>
      <c r="AI1294" s="34">
        <v>0</v>
      </c>
      <c r="AJ1294" s="34">
        <v>0</v>
      </c>
      <c r="AK1294" s="34">
        <v>0</v>
      </c>
      <c r="AL1294" s="34">
        <v>0</v>
      </c>
      <c r="AM1294" s="34">
        <v>0</v>
      </c>
      <c r="AN1294" s="34">
        <v>0</v>
      </c>
      <c r="AO1294" s="34">
        <v>0</v>
      </c>
      <c r="AP1294" s="34">
        <v>0</v>
      </c>
      <c r="AQ1294" s="34">
        <v>0</v>
      </c>
      <c r="AR1294" s="34">
        <v>0</v>
      </c>
      <c r="AS1294" s="34">
        <v>0</v>
      </c>
      <c r="AT1294" s="34">
        <v>0</v>
      </c>
      <c r="AU1294" s="34">
        <v>0</v>
      </c>
      <c r="AV1294" s="34">
        <v>0</v>
      </c>
      <c r="AW1294" s="34">
        <v>0</v>
      </c>
      <c r="AX1294" s="34">
        <v>0</v>
      </c>
      <c r="AY1294" s="34">
        <v>0</v>
      </c>
      <c r="AZ1294" s="34">
        <v>0</v>
      </c>
      <c r="BA1294" s="34">
        <v>0</v>
      </c>
      <c r="BB1294" s="34">
        <v>0</v>
      </c>
      <c r="BC1294" s="34">
        <v>0</v>
      </c>
      <c r="BD1294" s="34">
        <v>0</v>
      </c>
      <c r="BE1294" s="42">
        <v>0</v>
      </c>
      <c r="BF1294" s="34">
        <v>0</v>
      </c>
      <c r="BG1294" s="34">
        <v>0</v>
      </c>
      <c r="BH1294" s="34">
        <v>0</v>
      </c>
      <c r="BI1294" s="34">
        <v>0</v>
      </c>
      <c r="BJ1294" s="113">
        <v>0</v>
      </c>
      <c r="BK1294" s="113">
        <v>0</v>
      </c>
      <c r="BL1294" s="113">
        <v>0</v>
      </c>
      <c r="BM1294" s="113">
        <v>0</v>
      </c>
      <c r="BN1294" s="113">
        <v>0</v>
      </c>
      <c r="BO1294" s="113">
        <v>0</v>
      </c>
      <c r="BP1294" s="113">
        <v>0</v>
      </c>
      <c r="BQ1294" s="113">
        <v>0</v>
      </c>
      <c r="BR1294" s="101"/>
      <c r="BS1294">
        <f t="shared" si="2733"/>
        <v>0</v>
      </c>
      <c r="BT1294">
        <f t="shared" si="2734"/>
        <v>0</v>
      </c>
      <c r="BU1294">
        <f t="shared" si="2735"/>
        <v>0</v>
      </c>
      <c r="BV1294">
        <f t="shared" si="2736"/>
        <v>0</v>
      </c>
      <c r="BW1294">
        <f t="shared" si="2737"/>
        <v>0</v>
      </c>
      <c r="BX1294">
        <f t="shared" si="2738"/>
        <v>0</v>
      </c>
      <c r="BY1294">
        <f t="shared" si="2739"/>
        <v>0</v>
      </c>
      <c r="BZ1294">
        <f t="shared" si="2740"/>
        <v>0</v>
      </c>
      <c r="CA1294">
        <f t="shared" si="2741"/>
        <v>0</v>
      </c>
      <c r="CB1294">
        <f t="shared" si="2742"/>
        <v>0</v>
      </c>
      <c r="CC1294">
        <f t="shared" si="2743"/>
        <v>0</v>
      </c>
      <c r="CD1294">
        <f t="shared" si="2744"/>
        <v>0</v>
      </c>
      <c r="CE1294">
        <f t="shared" si="2745"/>
        <v>0</v>
      </c>
      <c r="CF1294">
        <f t="shared" si="2746"/>
        <v>0</v>
      </c>
      <c r="CG1294">
        <f t="shared" si="2747"/>
        <v>0</v>
      </c>
      <c r="CH1294">
        <f t="shared" si="2748"/>
        <v>0</v>
      </c>
      <c r="CI1294">
        <f t="shared" si="2749"/>
        <v>0</v>
      </c>
      <c r="CJ1294">
        <f t="shared" si="2750"/>
        <v>0</v>
      </c>
      <c r="CK1294">
        <f t="shared" si="2751"/>
        <v>0</v>
      </c>
      <c r="CL1294">
        <f t="shared" si="2752"/>
        <v>0</v>
      </c>
      <c r="CM1294">
        <f t="shared" si="2753"/>
        <v>0</v>
      </c>
      <c r="CN1294">
        <f t="shared" si="2754"/>
        <v>0</v>
      </c>
      <c r="CO1294">
        <f t="shared" si="2755"/>
        <v>0</v>
      </c>
      <c r="CP1294">
        <f t="shared" si="2756"/>
        <v>0</v>
      </c>
      <c r="CQ1294">
        <f t="shared" si="2757"/>
        <v>0</v>
      </c>
      <c r="CR1294">
        <f t="shared" si="2758"/>
        <v>0</v>
      </c>
      <c r="CS1294">
        <f t="shared" si="2759"/>
        <v>0</v>
      </c>
      <c r="CT1294">
        <f t="shared" si="2760"/>
        <v>0</v>
      </c>
      <c r="CU1294">
        <f t="shared" si="2761"/>
        <v>0</v>
      </c>
      <c r="CV1294">
        <f t="shared" si="2762"/>
        <v>0</v>
      </c>
      <c r="CW1294">
        <f t="shared" si="2763"/>
        <v>0</v>
      </c>
      <c r="CX1294">
        <f t="shared" si="2764"/>
        <v>0</v>
      </c>
      <c r="CY1294">
        <f t="shared" si="2765"/>
        <v>0</v>
      </c>
      <c r="CZ1294">
        <f t="shared" si="2766"/>
        <v>0</v>
      </c>
      <c r="DA1294">
        <f t="shared" si="2767"/>
        <v>0</v>
      </c>
      <c r="DB1294">
        <f t="shared" si="2768"/>
        <v>0</v>
      </c>
      <c r="DC1294">
        <f t="shared" si="2769"/>
        <v>0</v>
      </c>
      <c r="DD1294">
        <f t="shared" si="2770"/>
        <v>0</v>
      </c>
      <c r="DE1294">
        <f t="shared" si="2771"/>
        <v>0</v>
      </c>
      <c r="DF1294">
        <f t="shared" si="2772"/>
        <v>0</v>
      </c>
      <c r="DG1294">
        <f t="shared" si="2773"/>
        <v>0</v>
      </c>
      <c r="DH1294">
        <f t="shared" si="2774"/>
        <v>0</v>
      </c>
      <c r="DI1294">
        <f t="shared" si="2775"/>
        <v>0</v>
      </c>
      <c r="DJ1294">
        <f t="shared" si="2776"/>
        <v>0</v>
      </c>
      <c r="DK1294">
        <f t="shared" si="2777"/>
        <v>0</v>
      </c>
      <c r="DL1294">
        <f t="shared" si="2778"/>
        <v>0</v>
      </c>
      <c r="DM1294">
        <f t="shared" si="2779"/>
        <v>0</v>
      </c>
      <c r="DN1294">
        <f t="shared" si="2780"/>
        <v>0</v>
      </c>
      <c r="DO1294">
        <f t="shared" si="2781"/>
        <v>0</v>
      </c>
      <c r="DP1294">
        <f t="shared" si="2782"/>
        <v>0</v>
      </c>
      <c r="DQ1294">
        <f t="shared" si="2783"/>
        <v>0</v>
      </c>
      <c r="DR1294">
        <f t="shared" si="2784"/>
        <v>0</v>
      </c>
      <c r="DS1294">
        <f t="shared" si="2785"/>
        <v>0</v>
      </c>
      <c r="DT1294">
        <f t="shared" si="2786"/>
        <v>0</v>
      </c>
      <c r="DU1294">
        <f t="shared" si="2787"/>
        <v>0</v>
      </c>
      <c r="DV1294">
        <f t="shared" si="2788"/>
        <v>0</v>
      </c>
      <c r="DW1294">
        <f t="shared" si="2789"/>
        <v>0</v>
      </c>
      <c r="DX1294">
        <f t="shared" si="2790"/>
        <v>0</v>
      </c>
      <c r="DY1294">
        <f t="shared" si="2791"/>
        <v>0</v>
      </c>
      <c r="DZ1294">
        <f t="shared" si="2792"/>
        <v>0</v>
      </c>
      <c r="EA1294">
        <f t="shared" si="2793"/>
        <v>0</v>
      </c>
      <c r="EB1294">
        <f t="shared" si="2794"/>
        <v>0</v>
      </c>
      <c r="EC1294">
        <f t="shared" si="2793"/>
        <v>0</v>
      </c>
      <c r="ED1294">
        <f t="shared" si="2793"/>
        <v>0</v>
      </c>
      <c r="EE1294">
        <f t="shared" si="2793"/>
        <v>0</v>
      </c>
      <c r="EF1294">
        <f t="shared" si="2793"/>
        <v>0</v>
      </c>
    </row>
    <row r="1295" spans="1:136" ht="15.5">
      <c r="A1295" s="90"/>
      <c r="B1295" s="19" t="s">
        <v>2</v>
      </c>
      <c r="C1295" s="99"/>
      <c r="D1295" s="34">
        <v>0</v>
      </c>
      <c r="E1295" s="34">
        <v>0</v>
      </c>
      <c r="F1295" s="34">
        <v>0</v>
      </c>
      <c r="G1295" s="34">
        <v>0</v>
      </c>
      <c r="H1295" s="34">
        <v>0</v>
      </c>
      <c r="I1295" s="34">
        <v>0</v>
      </c>
      <c r="J1295" s="34">
        <v>0</v>
      </c>
      <c r="K1295" s="34">
        <v>0</v>
      </c>
      <c r="L1295" s="34">
        <v>0</v>
      </c>
      <c r="M1295" s="34">
        <v>0</v>
      </c>
      <c r="N1295" s="34">
        <v>0</v>
      </c>
      <c r="O1295" s="34">
        <v>0</v>
      </c>
      <c r="P1295" s="34">
        <v>0</v>
      </c>
      <c r="Q1295" s="34">
        <v>0</v>
      </c>
      <c r="R1295" s="34">
        <v>0</v>
      </c>
      <c r="S1295" s="34">
        <v>0</v>
      </c>
      <c r="T1295" s="34"/>
      <c r="U1295" s="34"/>
      <c r="V1295" s="34"/>
      <c r="W1295" s="34"/>
      <c r="X1295" s="34"/>
      <c r="Y1295" s="34"/>
      <c r="Z1295" s="40" t="s">
        <v>16</v>
      </c>
      <c r="AA1295" s="34">
        <v>380</v>
      </c>
      <c r="AB1295" s="34">
        <v>207</v>
      </c>
      <c r="AC1295" s="40" t="s">
        <v>16</v>
      </c>
      <c r="AD1295" s="34">
        <v>547</v>
      </c>
      <c r="AE1295" s="34"/>
      <c r="AF1295" s="34"/>
      <c r="AG1295" s="34"/>
      <c r="AH1295" s="34">
        <v>963</v>
      </c>
      <c r="AI1295" s="34"/>
      <c r="AJ1295" s="34">
        <v>918</v>
      </c>
      <c r="AK1295" s="34"/>
      <c r="AL1295" s="34"/>
      <c r="AM1295" s="34"/>
      <c r="AN1295" s="34">
        <v>566</v>
      </c>
      <c r="AO1295" s="40" t="s">
        <v>16</v>
      </c>
      <c r="AP1295" s="40" t="s">
        <v>16</v>
      </c>
      <c r="AQ1295" s="34">
        <v>1062</v>
      </c>
      <c r="AR1295" s="34"/>
      <c r="AS1295" s="34"/>
      <c r="AT1295" s="34">
        <v>249</v>
      </c>
      <c r="AU1295" s="34"/>
      <c r="AV1295" s="34"/>
      <c r="AW1295" s="34">
        <v>1763</v>
      </c>
      <c r="AX1295" s="40" t="s">
        <v>16</v>
      </c>
      <c r="AY1295" s="34">
        <v>0</v>
      </c>
      <c r="AZ1295" s="34">
        <v>0</v>
      </c>
      <c r="BA1295" s="34">
        <v>0</v>
      </c>
      <c r="BB1295" s="34">
        <v>0</v>
      </c>
      <c r="BC1295" s="34">
        <v>0</v>
      </c>
      <c r="BD1295" s="34">
        <v>0</v>
      </c>
      <c r="BE1295" s="42">
        <v>0</v>
      </c>
      <c r="BF1295" s="34">
        <v>0</v>
      </c>
      <c r="BG1295" s="18">
        <v>0</v>
      </c>
      <c r="BH1295" s="18">
        <v>0</v>
      </c>
      <c r="BI1295" s="113">
        <v>0</v>
      </c>
      <c r="BJ1295" s="113">
        <v>0</v>
      </c>
      <c r="BK1295" s="113">
        <v>0</v>
      </c>
      <c r="BL1295" s="113">
        <v>0</v>
      </c>
      <c r="BM1295" s="154">
        <v>1274</v>
      </c>
      <c r="BN1295" s="113">
        <v>1474</v>
      </c>
      <c r="BO1295" s="113">
        <v>1549</v>
      </c>
      <c r="BP1295" s="113">
        <v>1688</v>
      </c>
      <c r="BQ1295" s="113">
        <v>1773</v>
      </c>
      <c r="BR1295" s="101"/>
      <c r="BS1295">
        <f t="shared" si="2733"/>
        <v>0</v>
      </c>
      <c r="BT1295">
        <f t="shared" si="2734"/>
        <v>0</v>
      </c>
      <c r="BU1295">
        <f t="shared" si="2735"/>
        <v>0</v>
      </c>
      <c r="BV1295">
        <f t="shared" si="2736"/>
        <v>0</v>
      </c>
      <c r="BW1295">
        <f t="shared" si="2737"/>
        <v>0</v>
      </c>
      <c r="BX1295">
        <f t="shared" si="2738"/>
        <v>0</v>
      </c>
      <c r="BY1295">
        <f t="shared" si="2739"/>
        <v>0</v>
      </c>
      <c r="BZ1295">
        <f t="shared" si="2740"/>
        <v>0</v>
      </c>
      <c r="CA1295">
        <f t="shared" si="2741"/>
        <v>0</v>
      </c>
      <c r="CB1295">
        <f t="shared" si="2742"/>
        <v>0</v>
      </c>
      <c r="CC1295">
        <f t="shared" si="2743"/>
        <v>0</v>
      </c>
      <c r="CD1295">
        <f t="shared" si="2744"/>
        <v>0</v>
      </c>
      <c r="CE1295">
        <f t="shared" si="2745"/>
        <v>0</v>
      </c>
      <c r="CF1295">
        <f t="shared" si="2746"/>
        <v>0</v>
      </c>
      <c r="CG1295">
        <f t="shared" si="2747"/>
        <v>0</v>
      </c>
      <c r="CH1295">
        <f t="shared" si="2748"/>
        <v>0</v>
      </c>
      <c r="CI1295">
        <f t="shared" si="2749"/>
        <v>0</v>
      </c>
      <c r="CJ1295">
        <f t="shared" si="2750"/>
        <v>0</v>
      </c>
      <c r="CK1295">
        <f t="shared" si="2751"/>
        <v>0</v>
      </c>
      <c r="CL1295">
        <f t="shared" si="2752"/>
        <v>0</v>
      </c>
      <c r="CM1295">
        <f t="shared" si="2753"/>
        <v>0</v>
      </c>
      <c r="CN1295">
        <f t="shared" si="2754"/>
        <v>0</v>
      </c>
      <c r="CO1295">
        <f t="shared" si="2755"/>
        <v>0</v>
      </c>
      <c r="CP1295">
        <f t="shared" si="2756"/>
        <v>0</v>
      </c>
      <c r="CQ1295">
        <f t="shared" si="2757"/>
        <v>0</v>
      </c>
      <c r="CR1295">
        <f t="shared" si="2758"/>
        <v>0</v>
      </c>
      <c r="CS1295">
        <f t="shared" si="2759"/>
        <v>0</v>
      </c>
      <c r="CT1295">
        <f t="shared" si="2760"/>
        <v>0</v>
      </c>
      <c r="CU1295">
        <f t="shared" si="2761"/>
        <v>0</v>
      </c>
      <c r="CV1295">
        <f t="shared" si="2762"/>
        <v>0</v>
      </c>
      <c r="CW1295">
        <f t="shared" si="2763"/>
        <v>0</v>
      </c>
      <c r="CX1295">
        <f t="shared" si="2764"/>
        <v>0</v>
      </c>
      <c r="CY1295">
        <f t="shared" si="2765"/>
        <v>0</v>
      </c>
      <c r="CZ1295">
        <f t="shared" si="2766"/>
        <v>0</v>
      </c>
      <c r="DA1295">
        <f t="shared" si="2767"/>
        <v>0</v>
      </c>
      <c r="DB1295">
        <f t="shared" si="2768"/>
        <v>0</v>
      </c>
      <c r="DC1295">
        <f t="shared" si="2769"/>
        <v>0</v>
      </c>
      <c r="DD1295">
        <f t="shared" si="2770"/>
        <v>0</v>
      </c>
      <c r="DE1295">
        <f t="shared" si="2771"/>
        <v>0</v>
      </c>
      <c r="DF1295">
        <f t="shared" si="2772"/>
        <v>0</v>
      </c>
      <c r="DG1295">
        <f t="shared" si="2773"/>
        <v>0</v>
      </c>
      <c r="DH1295">
        <f t="shared" si="2774"/>
        <v>0</v>
      </c>
      <c r="DI1295">
        <f t="shared" si="2775"/>
        <v>0</v>
      </c>
      <c r="DJ1295">
        <f t="shared" si="2776"/>
        <v>0</v>
      </c>
      <c r="DK1295">
        <f t="shared" si="2777"/>
        <v>0</v>
      </c>
      <c r="DL1295">
        <f t="shared" si="2778"/>
        <v>0</v>
      </c>
      <c r="DM1295">
        <f t="shared" si="2779"/>
        <v>0</v>
      </c>
      <c r="DN1295">
        <f t="shared" si="2780"/>
        <v>0</v>
      </c>
      <c r="DO1295">
        <f t="shared" si="2781"/>
        <v>0</v>
      </c>
      <c r="DP1295">
        <f t="shared" si="2782"/>
        <v>0</v>
      </c>
      <c r="DQ1295">
        <f t="shared" si="2783"/>
        <v>0</v>
      </c>
      <c r="DR1295">
        <f t="shared" si="2784"/>
        <v>0</v>
      </c>
      <c r="DS1295">
        <f t="shared" si="2785"/>
        <v>0</v>
      </c>
      <c r="DT1295">
        <f t="shared" si="2786"/>
        <v>0</v>
      </c>
      <c r="DU1295">
        <f t="shared" si="2787"/>
        <v>0</v>
      </c>
      <c r="DV1295">
        <f t="shared" si="2788"/>
        <v>0</v>
      </c>
      <c r="DW1295">
        <f t="shared" si="2789"/>
        <v>0</v>
      </c>
      <c r="DX1295">
        <f t="shared" si="2790"/>
        <v>0</v>
      </c>
      <c r="DY1295">
        <f t="shared" si="2791"/>
        <v>0</v>
      </c>
      <c r="DZ1295">
        <f t="shared" si="2792"/>
        <v>0</v>
      </c>
      <c r="EA1295">
        <f t="shared" si="2793"/>
        <v>0</v>
      </c>
      <c r="EB1295">
        <f t="shared" si="2794"/>
        <v>0</v>
      </c>
      <c r="EC1295">
        <f t="shared" si="2793"/>
        <v>0</v>
      </c>
      <c r="ED1295">
        <f t="shared" si="2793"/>
        <v>0</v>
      </c>
      <c r="EE1295">
        <f t="shared" si="2793"/>
        <v>0</v>
      </c>
      <c r="EF1295">
        <f t="shared" si="2793"/>
        <v>0</v>
      </c>
    </row>
    <row r="1296" spans="1:136" ht="15.5">
      <c r="A1296" s="90"/>
      <c r="B1296" s="19" t="s">
        <v>205</v>
      </c>
      <c r="C1296" s="99"/>
      <c r="D1296" s="34"/>
      <c r="E1296" s="34"/>
      <c r="F1296" s="34"/>
      <c r="G1296" s="34"/>
      <c r="H1296" s="34"/>
      <c r="I1296" s="34"/>
      <c r="J1296" s="34"/>
      <c r="K1296" s="34"/>
      <c r="L1296" s="34"/>
      <c r="M1296" s="34"/>
      <c r="N1296" s="34"/>
      <c r="O1296" s="34"/>
      <c r="P1296" s="34"/>
      <c r="Q1296" s="34"/>
      <c r="R1296" s="34"/>
      <c r="S1296" s="34"/>
      <c r="T1296" s="34"/>
      <c r="U1296" s="34"/>
      <c r="V1296" s="34"/>
      <c r="W1296" s="34"/>
      <c r="X1296" s="34"/>
      <c r="Y1296" s="34"/>
      <c r="Z1296" s="40"/>
      <c r="AA1296" s="34"/>
      <c r="AB1296" s="34"/>
      <c r="AC1296" s="71">
        <v>0</v>
      </c>
      <c r="AD1296" s="34">
        <v>0</v>
      </c>
      <c r="AE1296" s="34">
        <v>0</v>
      </c>
      <c r="AF1296" s="34">
        <v>1.4475999999999999E-2</v>
      </c>
      <c r="AG1296" s="34">
        <v>2.5687999999999999E-2</v>
      </c>
      <c r="AH1296" s="34">
        <v>0.52500650000000004</v>
      </c>
      <c r="AI1296" s="34">
        <v>4.8154440000000003</v>
      </c>
      <c r="AJ1296" s="34">
        <v>4.8235333000000002</v>
      </c>
      <c r="AK1296" s="34">
        <v>8.1144695000000002</v>
      </c>
      <c r="AL1296" s="34">
        <v>9.8400458999999998</v>
      </c>
      <c r="AM1296" s="34">
        <v>17.058264999999999</v>
      </c>
      <c r="AN1296" s="34">
        <v>31.721557600000001</v>
      </c>
      <c r="AO1296" s="71">
        <v>70.304501099999996</v>
      </c>
      <c r="AP1296" s="71">
        <v>94.969614100000001</v>
      </c>
      <c r="AQ1296" s="34">
        <v>74.133794900000012</v>
      </c>
      <c r="AR1296" s="34">
        <v>73.939426299999994</v>
      </c>
      <c r="AS1296" s="34">
        <v>111.3041772</v>
      </c>
      <c r="AT1296" s="34">
        <v>131.38122530000001</v>
      </c>
      <c r="AU1296" s="34">
        <v>143.176952</v>
      </c>
      <c r="AV1296" s="34">
        <v>121.45454609999999</v>
      </c>
      <c r="AW1296" s="34">
        <v>129.66347479999999</v>
      </c>
      <c r="AX1296" s="34">
        <v>123.73972809999999</v>
      </c>
      <c r="AY1296" s="34">
        <v>99.667367599999992</v>
      </c>
      <c r="AZ1296" s="34">
        <v>62.268153299999994</v>
      </c>
      <c r="BA1296" s="34">
        <v>58.758038599999999</v>
      </c>
      <c r="BB1296" s="34">
        <v>57.942041700000004</v>
      </c>
      <c r="BC1296" s="34">
        <v>57.716871600000005</v>
      </c>
      <c r="BD1296" s="34">
        <v>53.2980819</v>
      </c>
      <c r="BE1296" s="42">
        <v>50.124887299999997</v>
      </c>
      <c r="BF1296" s="34">
        <v>45.759110899999996</v>
      </c>
      <c r="BG1296" s="18">
        <v>87</v>
      </c>
      <c r="BH1296" s="113">
        <v>36</v>
      </c>
      <c r="BI1296" s="113">
        <v>37</v>
      </c>
      <c r="BJ1296" s="113">
        <v>36</v>
      </c>
      <c r="BK1296" s="113">
        <v>62</v>
      </c>
      <c r="BL1296" s="113">
        <v>276</v>
      </c>
      <c r="BM1296" s="154">
        <v>5935</v>
      </c>
      <c r="BN1296" s="113">
        <v>4137</v>
      </c>
      <c r="BO1296" s="113">
        <v>4779</v>
      </c>
      <c r="BP1296" s="113">
        <v>4922</v>
      </c>
      <c r="BQ1296" s="113">
        <v>3538</v>
      </c>
      <c r="BR1296" s="101"/>
      <c r="BS1296">
        <f t="shared" si="2733"/>
        <v>0</v>
      </c>
      <c r="BT1296">
        <f t="shared" si="2734"/>
        <v>0</v>
      </c>
      <c r="BU1296">
        <f t="shared" si="2735"/>
        <v>0</v>
      </c>
      <c r="BV1296">
        <f t="shared" si="2736"/>
        <v>0</v>
      </c>
      <c r="BW1296">
        <f t="shared" si="2737"/>
        <v>0</v>
      </c>
      <c r="BX1296">
        <f t="shared" si="2738"/>
        <v>0</v>
      </c>
      <c r="BY1296">
        <f t="shared" si="2739"/>
        <v>0</v>
      </c>
      <c r="BZ1296">
        <f t="shared" si="2740"/>
        <v>0</v>
      </c>
      <c r="CA1296">
        <f t="shared" si="2741"/>
        <v>0</v>
      </c>
      <c r="CB1296">
        <f t="shared" si="2742"/>
        <v>0</v>
      </c>
      <c r="CC1296">
        <f t="shared" si="2743"/>
        <v>0</v>
      </c>
      <c r="CD1296">
        <f t="shared" si="2744"/>
        <v>0</v>
      </c>
      <c r="CE1296">
        <f t="shared" si="2745"/>
        <v>0</v>
      </c>
      <c r="CF1296">
        <f t="shared" si="2746"/>
        <v>0</v>
      </c>
      <c r="CG1296">
        <f t="shared" si="2747"/>
        <v>0</v>
      </c>
      <c r="CH1296">
        <f t="shared" si="2748"/>
        <v>0</v>
      </c>
      <c r="CI1296">
        <f t="shared" si="2749"/>
        <v>0</v>
      </c>
      <c r="CJ1296">
        <f t="shared" si="2750"/>
        <v>0</v>
      </c>
      <c r="CK1296">
        <f t="shared" si="2751"/>
        <v>0</v>
      </c>
      <c r="CL1296">
        <f t="shared" si="2752"/>
        <v>0</v>
      </c>
      <c r="CM1296">
        <f t="shared" si="2753"/>
        <v>0</v>
      </c>
      <c r="CN1296">
        <f t="shared" si="2754"/>
        <v>0</v>
      </c>
      <c r="CO1296">
        <f t="shared" si="2755"/>
        <v>0</v>
      </c>
      <c r="CP1296">
        <f t="shared" si="2756"/>
        <v>0</v>
      </c>
      <c r="CQ1296">
        <f t="shared" si="2757"/>
        <v>0</v>
      </c>
      <c r="CR1296">
        <f t="shared" si="2758"/>
        <v>0</v>
      </c>
      <c r="CS1296">
        <f t="shared" si="2759"/>
        <v>0</v>
      </c>
      <c r="CT1296">
        <f t="shared" si="2760"/>
        <v>0</v>
      </c>
      <c r="CU1296">
        <f t="shared" si="2761"/>
        <v>0</v>
      </c>
      <c r="CV1296">
        <f t="shared" si="2762"/>
        <v>0</v>
      </c>
      <c r="CW1296">
        <f t="shared" si="2763"/>
        <v>0</v>
      </c>
      <c r="CX1296">
        <f t="shared" si="2764"/>
        <v>0</v>
      </c>
      <c r="CY1296">
        <f t="shared" si="2765"/>
        <v>0</v>
      </c>
      <c r="CZ1296">
        <f t="shared" si="2766"/>
        <v>0</v>
      </c>
      <c r="DA1296">
        <f t="shared" si="2767"/>
        <v>0</v>
      </c>
      <c r="DB1296">
        <f t="shared" si="2768"/>
        <v>0</v>
      </c>
      <c r="DC1296">
        <f t="shared" si="2769"/>
        <v>0</v>
      </c>
      <c r="DD1296">
        <f t="shared" si="2770"/>
        <v>0</v>
      </c>
      <c r="DE1296">
        <f t="shared" si="2771"/>
        <v>0</v>
      </c>
      <c r="DF1296">
        <f t="shared" si="2772"/>
        <v>0</v>
      </c>
      <c r="DG1296">
        <f t="shared" si="2773"/>
        <v>0</v>
      </c>
      <c r="DH1296">
        <f t="shared" si="2774"/>
        <v>0</v>
      </c>
      <c r="DI1296">
        <f t="shared" si="2775"/>
        <v>0</v>
      </c>
      <c r="DJ1296">
        <f t="shared" si="2776"/>
        <v>0</v>
      </c>
      <c r="DK1296">
        <f t="shared" si="2777"/>
        <v>0</v>
      </c>
      <c r="DL1296">
        <f t="shared" si="2778"/>
        <v>0</v>
      </c>
      <c r="DM1296">
        <f t="shared" si="2779"/>
        <v>0</v>
      </c>
      <c r="DN1296">
        <f t="shared" si="2780"/>
        <v>0</v>
      </c>
      <c r="DO1296">
        <f t="shared" si="2781"/>
        <v>0</v>
      </c>
      <c r="DP1296">
        <f t="shared" si="2782"/>
        <v>0</v>
      </c>
      <c r="DQ1296">
        <f t="shared" si="2783"/>
        <v>0</v>
      </c>
      <c r="DR1296">
        <f t="shared" si="2784"/>
        <v>0</v>
      </c>
      <c r="DS1296">
        <f t="shared" si="2785"/>
        <v>0</v>
      </c>
      <c r="DT1296">
        <f t="shared" si="2786"/>
        <v>0</v>
      </c>
      <c r="DU1296">
        <f t="shared" si="2787"/>
        <v>0</v>
      </c>
      <c r="DV1296">
        <f t="shared" si="2788"/>
        <v>0</v>
      </c>
      <c r="DW1296">
        <f t="shared" si="2789"/>
        <v>0</v>
      </c>
      <c r="DX1296">
        <f t="shared" si="2790"/>
        <v>0</v>
      </c>
      <c r="DY1296">
        <f t="shared" si="2791"/>
        <v>0</v>
      </c>
      <c r="DZ1296">
        <f t="shared" si="2792"/>
        <v>0</v>
      </c>
      <c r="EA1296">
        <f t="shared" si="2793"/>
        <v>0</v>
      </c>
      <c r="EB1296">
        <f t="shared" si="2794"/>
        <v>0</v>
      </c>
      <c r="EC1296">
        <f t="shared" si="2793"/>
        <v>0</v>
      </c>
      <c r="ED1296">
        <f t="shared" si="2793"/>
        <v>0</v>
      </c>
      <c r="EE1296">
        <f t="shared" si="2793"/>
        <v>0</v>
      </c>
      <c r="EF1296">
        <f t="shared" si="2793"/>
        <v>0</v>
      </c>
    </row>
    <row r="1297" spans="1:136" ht="15.5">
      <c r="A1297" s="90"/>
      <c r="B1297" s="57" t="s">
        <v>3</v>
      </c>
      <c r="C1297" s="99"/>
      <c r="D1297" s="34"/>
      <c r="E1297" s="34"/>
      <c r="F1297" s="34"/>
      <c r="G1297" s="34"/>
      <c r="H1297" s="34"/>
      <c r="I1297" s="34"/>
      <c r="J1297" s="34"/>
      <c r="K1297" s="34"/>
      <c r="L1297" s="34"/>
      <c r="M1297" s="34"/>
      <c r="N1297" s="34">
        <v>0</v>
      </c>
      <c r="O1297" s="34">
        <v>0</v>
      </c>
      <c r="P1297" s="34">
        <v>0</v>
      </c>
      <c r="Q1297" s="34">
        <v>0</v>
      </c>
      <c r="R1297" s="34">
        <v>0</v>
      </c>
      <c r="S1297" s="34">
        <v>0.182115</v>
      </c>
      <c r="T1297" s="34">
        <v>0.50050559999999999</v>
      </c>
      <c r="U1297" s="34">
        <v>0.83569950000000004</v>
      </c>
      <c r="V1297" s="34">
        <v>1.0834498000000001</v>
      </c>
      <c r="W1297" s="34">
        <v>4.8252319999999997</v>
      </c>
      <c r="X1297" s="34">
        <v>23.6842568</v>
      </c>
      <c r="Y1297" s="34">
        <v>25.251405200000004</v>
      </c>
      <c r="Z1297" s="34">
        <v>71.485401199999998</v>
      </c>
      <c r="AA1297" s="40" t="s">
        <v>16</v>
      </c>
      <c r="AB1297" s="40" t="s">
        <v>16</v>
      </c>
      <c r="AC1297" s="34">
        <v>362.17473669999998</v>
      </c>
      <c r="AD1297" s="40" t="s">
        <v>16</v>
      </c>
      <c r="AE1297" s="34">
        <v>919.96031070000004</v>
      </c>
      <c r="AF1297" s="34">
        <v>1414.7317462999999</v>
      </c>
      <c r="AG1297" s="34">
        <v>2089.4630001</v>
      </c>
      <c r="AH1297" s="34">
        <f>1874-AH1293-AH1294-AH1295-AH1296</f>
        <v>643.47499349999998</v>
      </c>
      <c r="AI1297" s="34">
        <f>2098.1721127-AI1296</f>
        <v>2093.3566687000002</v>
      </c>
      <c r="AJ1297" s="34">
        <f>1387-AJ1295-AJ1296</f>
        <v>464.17646669999999</v>
      </c>
      <c r="AK1297" s="34">
        <f>2279.0282426-AK1296</f>
        <v>2270.9137731000001</v>
      </c>
      <c r="AL1297" s="34">
        <f>1813.8055074-AL1296</f>
        <v>1803.9654614999999</v>
      </c>
      <c r="AM1297" s="34">
        <f>836.6588642-AM1296</f>
        <v>819.60059920000003</v>
      </c>
      <c r="AN1297" s="40" t="s">
        <v>16</v>
      </c>
      <c r="AO1297" s="34">
        <f>895.7299833-AO1296</f>
        <v>825.42548219999992</v>
      </c>
      <c r="AP1297" s="34">
        <f>890.8055348-AP1296</f>
        <v>795.83592070000009</v>
      </c>
      <c r="AQ1297" s="40" t="s">
        <v>16</v>
      </c>
      <c r="AR1297" s="34">
        <f>339.260342-AR1296</f>
        <v>265.3209157</v>
      </c>
      <c r="AS1297" s="34">
        <f>519.9737999-AS1296</f>
        <v>408.66962269999999</v>
      </c>
      <c r="AT1297" s="34">
        <f>657.3597988-AT1295-AT1296</f>
        <v>276.97857350000004</v>
      </c>
      <c r="AU1297" s="34">
        <f>634.7965844-AU1296</f>
        <v>491.6196324</v>
      </c>
      <c r="AV1297" s="34">
        <f>520.1804714-AV1296</f>
        <v>398.72592529999997</v>
      </c>
      <c r="AW1297" s="40" t="s">
        <v>16</v>
      </c>
      <c r="AX1297" s="18">
        <f>3680.192229-AX1296</f>
        <v>3556.4525009000004</v>
      </c>
      <c r="AY1297" s="34">
        <f>111.2818296-AY1296</f>
        <v>11.614462000000003</v>
      </c>
      <c r="AZ1297" s="34">
        <f>76.5810076-AZ1296</f>
        <v>14.312854300000012</v>
      </c>
      <c r="BA1297" s="34">
        <f>63.8919623-BA1296</f>
        <v>5.133923700000004</v>
      </c>
      <c r="BB1297" s="130">
        <f>62.695036-BB1296</f>
        <v>4.7529942999999975</v>
      </c>
      <c r="BC1297" s="130">
        <f>61.8088618-BC1296</f>
        <v>4.0919901999999979</v>
      </c>
      <c r="BD1297" s="130">
        <f>57.8176091-BD1296</f>
        <v>4.5195271999999989</v>
      </c>
      <c r="BE1297" s="27">
        <f>55.457554-BE1296</f>
        <v>5.3326667000000043</v>
      </c>
      <c r="BF1297" s="71">
        <f>50.3036473-BF1296</f>
        <v>4.5445364000000055</v>
      </c>
      <c r="BG1297" s="71">
        <f>110.9379382-BG1296</f>
        <v>23.937938200000005</v>
      </c>
      <c r="BH1297" s="71">
        <f>61.4268475-BH1296</f>
        <v>25.426847500000001</v>
      </c>
      <c r="BI1297" s="71">
        <f>62.9119012-BI1296</f>
        <v>25.911901200000003</v>
      </c>
      <c r="BJ1297" s="71">
        <f>63.1793101-BJ1296</f>
        <v>27.179310100000002</v>
      </c>
      <c r="BK1297" s="130">
        <f>90.8859508-BK1296</f>
        <v>28.885950800000003</v>
      </c>
      <c r="BL1297" s="71">
        <f>337.8942552-BL1296</f>
        <v>61.894255199999975</v>
      </c>
      <c r="BM1297" s="169">
        <v>91</v>
      </c>
      <c r="BN1297" s="71">
        <v>278</v>
      </c>
      <c r="BO1297" s="113">
        <v>748</v>
      </c>
      <c r="BP1297" s="113">
        <v>770</v>
      </c>
      <c r="BQ1297" s="113">
        <v>0</v>
      </c>
      <c r="BR1297" s="101"/>
      <c r="BS1297">
        <f t="shared" si="2733"/>
        <v>0</v>
      </c>
      <c r="BT1297">
        <f t="shared" si="2734"/>
        <v>0</v>
      </c>
      <c r="BU1297">
        <f t="shared" si="2735"/>
        <v>0</v>
      </c>
      <c r="BV1297">
        <f t="shared" si="2736"/>
        <v>0</v>
      </c>
      <c r="BW1297">
        <f t="shared" si="2737"/>
        <v>0</v>
      </c>
      <c r="BX1297">
        <f t="shared" si="2738"/>
        <v>0</v>
      </c>
      <c r="BY1297">
        <f t="shared" si="2739"/>
        <v>0</v>
      </c>
      <c r="BZ1297">
        <f t="shared" si="2740"/>
        <v>0</v>
      </c>
      <c r="CA1297">
        <f t="shared" si="2741"/>
        <v>0</v>
      </c>
      <c r="CB1297">
        <f t="shared" si="2742"/>
        <v>0</v>
      </c>
      <c r="CC1297">
        <f t="shared" si="2743"/>
        <v>0</v>
      </c>
      <c r="CD1297">
        <f t="shared" si="2744"/>
        <v>0</v>
      </c>
      <c r="CE1297">
        <f t="shared" si="2745"/>
        <v>0</v>
      </c>
      <c r="CF1297">
        <f t="shared" si="2746"/>
        <v>0</v>
      </c>
      <c r="CG1297">
        <f t="shared" si="2747"/>
        <v>0</v>
      </c>
      <c r="CH1297">
        <f t="shared" si="2748"/>
        <v>0</v>
      </c>
      <c r="CI1297">
        <f t="shared" si="2749"/>
        <v>0</v>
      </c>
      <c r="CJ1297">
        <f t="shared" si="2750"/>
        <v>0</v>
      </c>
      <c r="CK1297">
        <f t="shared" si="2751"/>
        <v>0</v>
      </c>
      <c r="CL1297">
        <f t="shared" si="2752"/>
        <v>0</v>
      </c>
      <c r="CM1297">
        <f t="shared" si="2753"/>
        <v>0</v>
      </c>
      <c r="CN1297">
        <f t="shared" si="2754"/>
        <v>0</v>
      </c>
      <c r="CO1297">
        <f t="shared" si="2755"/>
        <v>0</v>
      </c>
      <c r="CP1297">
        <f t="shared" si="2756"/>
        <v>0</v>
      </c>
      <c r="CQ1297">
        <f t="shared" si="2757"/>
        <v>0</v>
      </c>
      <c r="CR1297">
        <f t="shared" si="2758"/>
        <v>0</v>
      </c>
      <c r="CS1297">
        <f t="shared" si="2759"/>
        <v>0</v>
      </c>
      <c r="CT1297">
        <f t="shared" si="2760"/>
        <v>0</v>
      </c>
      <c r="CU1297">
        <f t="shared" si="2761"/>
        <v>0</v>
      </c>
      <c r="CV1297">
        <f t="shared" si="2762"/>
        <v>0</v>
      </c>
      <c r="CW1297">
        <f t="shared" si="2763"/>
        <v>0</v>
      </c>
      <c r="CX1297">
        <f t="shared" si="2764"/>
        <v>0</v>
      </c>
      <c r="CY1297">
        <f t="shared" si="2765"/>
        <v>0</v>
      </c>
      <c r="CZ1297">
        <f t="shared" si="2766"/>
        <v>0</v>
      </c>
      <c r="DA1297">
        <f t="shared" si="2767"/>
        <v>0</v>
      </c>
      <c r="DB1297">
        <f t="shared" si="2768"/>
        <v>0</v>
      </c>
      <c r="DC1297">
        <f t="shared" si="2769"/>
        <v>0</v>
      </c>
      <c r="DD1297">
        <f t="shared" si="2770"/>
        <v>0</v>
      </c>
      <c r="DE1297">
        <f t="shared" si="2771"/>
        <v>0</v>
      </c>
      <c r="DF1297">
        <f t="shared" si="2772"/>
        <v>0</v>
      </c>
      <c r="DG1297">
        <f t="shared" si="2773"/>
        <v>0</v>
      </c>
      <c r="DH1297">
        <f t="shared" si="2774"/>
        <v>0</v>
      </c>
      <c r="DI1297">
        <f t="shared" si="2775"/>
        <v>0</v>
      </c>
      <c r="DJ1297">
        <f t="shared" si="2776"/>
        <v>0</v>
      </c>
      <c r="DK1297">
        <f t="shared" si="2777"/>
        <v>0</v>
      </c>
      <c r="DL1297">
        <f t="shared" si="2778"/>
        <v>0</v>
      </c>
      <c r="DM1297">
        <f t="shared" si="2779"/>
        <v>0</v>
      </c>
      <c r="DN1297">
        <f t="shared" si="2780"/>
        <v>0</v>
      </c>
      <c r="DO1297">
        <f t="shared" si="2781"/>
        <v>0</v>
      </c>
      <c r="DP1297">
        <f t="shared" si="2782"/>
        <v>0</v>
      </c>
      <c r="DQ1297">
        <f t="shared" si="2783"/>
        <v>0</v>
      </c>
      <c r="DR1297">
        <f t="shared" si="2784"/>
        <v>0</v>
      </c>
      <c r="DS1297">
        <f t="shared" si="2785"/>
        <v>0</v>
      </c>
      <c r="DT1297">
        <f t="shared" si="2786"/>
        <v>0</v>
      </c>
      <c r="DU1297">
        <f t="shared" si="2787"/>
        <v>0</v>
      </c>
      <c r="DV1297">
        <f t="shared" si="2788"/>
        <v>0</v>
      </c>
      <c r="DW1297">
        <f t="shared" si="2789"/>
        <v>0</v>
      </c>
      <c r="DX1297">
        <f t="shared" si="2790"/>
        <v>0</v>
      </c>
      <c r="DY1297">
        <f t="shared" si="2791"/>
        <v>0</v>
      </c>
      <c r="DZ1297">
        <f t="shared" si="2792"/>
        <v>0</v>
      </c>
      <c r="EA1297">
        <f t="shared" si="2793"/>
        <v>0</v>
      </c>
      <c r="EB1297">
        <f t="shared" si="2794"/>
        <v>0</v>
      </c>
      <c r="EC1297">
        <f t="shared" si="2793"/>
        <v>0</v>
      </c>
      <c r="ED1297">
        <f t="shared" si="2793"/>
        <v>0</v>
      </c>
      <c r="EE1297">
        <f t="shared" si="2793"/>
        <v>0</v>
      </c>
      <c r="EF1297">
        <f t="shared" si="2793"/>
        <v>0</v>
      </c>
    </row>
    <row r="1298" spans="1:136" ht="15.5">
      <c r="A1298" s="90"/>
      <c r="B1298" s="19" t="s">
        <v>18</v>
      </c>
      <c r="C1298" s="98"/>
      <c r="D1298" s="34"/>
      <c r="E1298" s="34"/>
      <c r="F1298" s="34"/>
      <c r="G1298" s="34"/>
      <c r="H1298" s="34"/>
      <c r="I1298" s="34"/>
      <c r="J1298" s="34"/>
      <c r="K1298" s="34"/>
      <c r="L1298" s="34"/>
      <c r="M1298" s="34"/>
      <c r="N1298" s="34"/>
      <c r="O1298" s="34"/>
      <c r="P1298" s="34"/>
      <c r="Q1298" s="34"/>
      <c r="R1298" s="34"/>
      <c r="S1298" s="34"/>
      <c r="T1298" s="34"/>
      <c r="U1298" s="34"/>
      <c r="V1298" s="34"/>
      <c r="W1298" s="34"/>
      <c r="X1298" s="34"/>
      <c r="Y1298" s="34"/>
      <c r="Z1298" s="40" t="s">
        <v>16</v>
      </c>
      <c r="AA1298" s="40" t="s">
        <v>16</v>
      </c>
      <c r="AB1298" s="18">
        <v>74</v>
      </c>
      <c r="AC1298" s="40" t="s">
        <v>16</v>
      </c>
      <c r="AD1298" s="40" t="s">
        <v>16</v>
      </c>
      <c r="AE1298" s="40" t="s">
        <v>16</v>
      </c>
      <c r="AF1298" s="40" t="s">
        <v>16</v>
      </c>
      <c r="AG1298" s="40" t="s">
        <v>16</v>
      </c>
      <c r="AH1298" s="40" t="s">
        <v>16</v>
      </c>
      <c r="AI1298" s="40" t="s">
        <v>16</v>
      </c>
      <c r="AJ1298" s="40" t="s">
        <v>16</v>
      </c>
      <c r="AK1298" s="40" t="s">
        <v>16</v>
      </c>
      <c r="AL1298" s="34">
        <v>387</v>
      </c>
      <c r="AM1298" s="34">
        <v>0</v>
      </c>
      <c r="AN1298" s="34">
        <v>0</v>
      </c>
      <c r="AO1298" s="34">
        <v>0</v>
      </c>
      <c r="AP1298" s="34">
        <v>0</v>
      </c>
      <c r="AQ1298" s="34">
        <v>0</v>
      </c>
      <c r="AR1298" s="34">
        <v>0</v>
      </c>
      <c r="AS1298" s="34">
        <v>0</v>
      </c>
      <c r="AT1298" s="34">
        <v>0</v>
      </c>
      <c r="AU1298" s="34">
        <v>0</v>
      </c>
      <c r="AV1298" s="34">
        <v>0</v>
      </c>
      <c r="AW1298" s="34">
        <v>0</v>
      </c>
      <c r="AX1298" s="34">
        <v>0</v>
      </c>
      <c r="AY1298" s="34">
        <v>0</v>
      </c>
      <c r="AZ1298" s="34">
        <v>0</v>
      </c>
      <c r="BA1298" s="34">
        <v>0</v>
      </c>
      <c r="BB1298" s="34">
        <v>0</v>
      </c>
      <c r="BC1298" s="34">
        <v>0</v>
      </c>
      <c r="BD1298" s="34">
        <v>0</v>
      </c>
      <c r="BE1298" s="42">
        <v>0</v>
      </c>
      <c r="BF1298" s="34">
        <v>0</v>
      </c>
      <c r="BG1298" s="34">
        <v>0</v>
      </c>
      <c r="BH1298" s="34">
        <v>0</v>
      </c>
      <c r="BI1298" s="113">
        <v>0</v>
      </c>
      <c r="BJ1298" s="113">
        <v>0</v>
      </c>
      <c r="BK1298" s="113">
        <v>0</v>
      </c>
      <c r="BL1298" s="113">
        <v>0</v>
      </c>
      <c r="BM1298" s="154">
        <v>0</v>
      </c>
      <c r="BN1298" s="113">
        <v>0</v>
      </c>
      <c r="BO1298" s="113">
        <v>0</v>
      </c>
      <c r="BP1298" s="113">
        <v>0</v>
      </c>
      <c r="BQ1298" s="113">
        <v>0</v>
      </c>
      <c r="BR1298" s="101"/>
      <c r="BS1298">
        <f t="shared" si="2733"/>
        <v>0</v>
      </c>
      <c r="BT1298">
        <f t="shared" si="2734"/>
        <v>0</v>
      </c>
      <c r="BU1298">
        <f t="shared" si="2735"/>
        <v>0</v>
      </c>
      <c r="BV1298">
        <f t="shared" si="2736"/>
        <v>0</v>
      </c>
      <c r="BW1298">
        <f t="shared" si="2737"/>
        <v>0</v>
      </c>
      <c r="BX1298">
        <f t="shared" si="2738"/>
        <v>0</v>
      </c>
      <c r="BY1298">
        <f t="shared" si="2739"/>
        <v>0</v>
      </c>
      <c r="BZ1298">
        <f t="shared" si="2740"/>
        <v>0</v>
      </c>
      <c r="CA1298">
        <f t="shared" si="2741"/>
        <v>0</v>
      </c>
      <c r="CB1298">
        <f t="shared" si="2742"/>
        <v>0</v>
      </c>
      <c r="CC1298">
        <f t="shared" si="2743"/>
        <v>0</v>
      </c>
      <c r="CD1298">
        <f t="shared" si="2744"/>
        <v>0</v>
      </c>
      <c r="CE1298">
        <f t="shared" si="2745"/>
        <v>0</v>
      </c>
      <c r="CF1298">
        <f t="shared" si="2746"/>
        <v>0</v>
      </c>
      <c r="CG1298">
        <f t="shared" si="2747"/>
        <v>0</v>
      </c>
      <c r="CH1298">
        <f t="shared" si="2748"/>
        <v>0</v>
      </c>
      <c r="CI1298">
        <f t="shared" si="2749"/>
        <v>0</v>
      </c>
      <c r="CJ1298">
        <f t="shared" si="2750"/>
        <v>0</v>
      </c>
      <c r="CK1298">
        <f t="shared" si="2751"/>
        <v>0</v>
      </c>
      <c r="CL1298">
        <f t="shared" si="2752"/>
        <v>0</v>
      </c>
      <c r="CM1298">
        <f t="shared" si="2753"/>
        <v>0</v>
      </c>
      <c r="CN1298">
        <f t="shared" si="2754"/>
        <v>0</v>
      </c>
      <c r="CO1298">
        <f t="shared" si="2755"/>
        <v>0</v>
      </c>
      <c r="CP1298">
        <f t="shared" si="2756"/>
        <v>0</v>
      </c>
      <c r="CQ1298">
        <f t="shared" si="2757"/>
        <v>0</v>
      </c>
      <c r="CR1298">
        <f t="shared" si="2758"/>
        <v>0</v>
      </c>
      <c r="CS1298">
        <f t="shared" si="2759"/>
        <v>0</v>
      </c>
      <c r="CT1298">
        <f t="shared" si="2760"/>
        <v>0</v>
      </c>
      <c r="CU1298">
        <f t="shared" si="2761"/>
        <v>0</v>
      </c>
      <c r="CV1298">
        <f t="shared" si="2762"/>
        <v>0</v>
      </c>
      <c r="CW1298">
        <f t="shared" si="2763"/>
        <v>0</v>
      </c>
      <c r="CX1298">
        <f t="shared" si="2764"/>
        <v>0</v>
      </c>
      <c r="CY1298">
        <f t="shared" si="2765"/>
        <v>0</v>
      </c>
      <c r="CZ1298">
        <f t="shared" si="2766"/>
        <v>0</v>
      </c>
      <c r="DA1298">
        <f t="shared" si="2767"/>
        <v>0</v>
      </c>
      <c r="DB1298">
        <f t="shared" si="2768"/>
        <v>0</v>
      </c>
      <c r="DC1298">
        <f t="shared" si="2769"/>
        <v>0</v>
      </c>
      <c r="DD1298">
        <f t="shared" si="2770"/>
        <v>0</v>
      </c>
      <c r="DE1298">
        <f t="shared" si="2771"/>
        <v>0</v>
      </c>
      <c r="DF1298">
        <f t="shared" si="2772"/>
        <v>0</v>
      </c>
      <c r="DG1298">
        <f t="shared" si="2773"/>
        <v>0</v>
      </c>
      <c r="DH1298">
        <f t="shared" si="2774"/>
        <v>0</v>
      </c>
      <c r="DI1298">
        <f t="shared" si="2775"/>
        <v>0</v>
      </c>
      <c r="DJ1298">
        <f t="shared" si="2776"/>
        <v>0</v>
      </c>
      <c r="DK1298">
        <f t="shared" si="2777"/>
        <v>0</v>
      </c>
      <c r="DL1298">
        <f t="shared" si="2778"/>
        <v>0</v>
      </c>
      <c r="DM1298">
        <f t="shared" si="2779"/>
        <v>0</v>
      </c>
      <c r="DN1298">
        <f t="shared" si="2780"/>
        <v>0</v>
      </c>
      <c r="DO1298">
        <f t="shared" si="2781"/>
        <v>0</v>
      </c>
      <c r="DP1298">
        <f t="shared" si="2782"/>
        <v>0</v>
      </c>
      <c r="DQ1298">
        <f t="shared" si="2783"/>
        <v>0</v>
      </c>
      <c r="DR1298">
        <f t="shared" si="2784"/>
        <v>0</v>
      </c>
      <c r="DS1298">
        <f t="shared" si="2785"/>
        <v>0</v>
      </c>
      <c r="DT1298">
        <f t="shared" si="2786"/>
        <v>0</v>
      </c>
      <c r="DU1298">
        <f t="shared" si="2787"/>
        <v>0</v>
      </c>
      <c r="DV1298">
        <f t="shared" si="2788"/>
        <v>0</v>
      </c>
      <c r="DW1298">
        <f t="shared" si="2789"/>
        <v>0</v>
      </c>
      <c r="DX1298">
        <f t="shared" si="2790"/>
        <v>0</v>
      </c>
      <c r="DY1298">
        <f t="shared" si="2791"/>
        <v>0</v>
      </c>
      <c r="DZ1298">
        <f t="shared" si="2792"/>
        <v>0</v>
      </c>
      <c r="EA1298">
        <f t="shared" si="2793"/>
        <v>0</v>
      </c>
      <c r="EB1298">
        <f t="shared" si="2794"/>
        <v>0</v>
      </c>
      <c r="EC1298">
        <f t="shared" si="2793"/>
        <v>0</v>
      </c>
      <c r="ED1298">
        <f t="shared" si="2793"/>
        <v>0</v>
      </c>
      <c r="EE1298">
        <f t="shared" si="2793"/>
        <v>0</v>
      </c>
      <c r="EF1298">
        <f t="shared" si="2793"/>
        <v>0</v>
      </c>
    </row>
    <row r="1299" spans="1:136" ht="15.5">
      <c r="A1299" s="90"/>
      <c r="B1299" s="19" t="s">
        <v>25</v>
      </c>
      <c r="C1299" s="98"/>
      <c r="D1299" s="34"/>
      <c r="E1299" s="34"/>
      <c r="F1299" s="34"/>
      <c r="G1299" s="34"/>
      <c r="H1299" s="34"/>
      <c r="I1299" s="34"/>
      <c r="J1299" s="34"/>
      <c r="K1299" s="34"/>
      <c r="L1299" s="34"/>
      <c r="M1299" s="34"/>
      <c r="N1299" s="34">
        <v>0</v>
      </c>
      <c r="O1299" s="34">
        <v>0</v>
      </c>
      <c r="P1299" s="34">
        <v>0</v>
      </c>
      <c r="Q1299" s="34">
        <v>0</v>
      </c>
      <c r="R1299" s="34">
        <v>0</v>
      </c>
      <c r="S1299" s="34">
        <v>0</v>
      </c>
      <c r="T1299" s="34">
        <v>0</v>
      </c>
      <c r="U1299" s="34">
        <v>0</v>
      </c>
      <c r="V1299" s="34">
        <v>0</v>
      </c>
      <c r="W1299" s="34">
        <v>0</v>
      </c>
      <c r="X1299" s="34">
        <v>0</v>
      </c>
      <c r="Y1299" s="34">
        <v>0</v>
      </c>
      <c r="Z1299" s="71">
        <v>0</v>
      </c>
      <c r="AA1299" s="71">
        <v>0</v>
      </c>
      <c r="AB1299" s="18">
        <v>0</v>
      </c>
      <c r="AC1299" s="18">
        <v>0</v>
      </c>
      <c r="AD1299" s="18">
        <v>0</v>
      </c>
      <c r="AE1299" s="18">
        <v>0</v>
      </c>
      <c r="AF1299" s="18">
        <v>0</v>
      </c>
      <c r="AG1299" s="18">
        <v>0</v>
      </c>
      <c r="AH1299" s="18">
        <v>0</v>
      </c>
      <c r="AI1299" s="18">
        <v>0</v>
      </c>
      <c r="AJ1299" s="18">
        <v>0</v>
      </c>
      <c r="AK1299" s="18">
        <v>0</v>
      </c>
      <c r="AL1299" s="18">
        <v>0</v>
      </c>
      <c r="AM1299" s="18">
        <v>0</v>
      </c>
      <c r="AN1299" s="18">
        <v>0</v>
      </c>
      <c r="AO1299" s="18">
        <v>0</v>
      </c>
      <c r="AP1299" s="18">
        <v>0</v>
      </c>
      <c r="AQ1299" s="18">
        <v>0</v>
      </c>
      <c r="AR1299" s="18">
        <v>0</v>
      </c>
      <c r="AS1299" s="18">
        <v>0</v>
      </c>
      <c r="AT1299" s="18">
        <v>0</v>
      </c>
      <c r="AU1299" s="18">
        <v>0</v>
      </c>
      <c r="AV1299" s="18">
        <v>0</v>
      </c>
      <c r="AW1299" s="18">
        <v>0</v>
      </c>
      <c r="AX1299" s="18">
        <v>0</v>
      </c>
      <c r="AY1299" s="18">
        <v>0</v>
      </c>
      <c r="AZ1299" s="18">
        <v>0</v>
      </c>
      <c r="BA1299" s="18">
        <v>0</v>
      </c>
      <c r="BB1299" s="18">
        <v>0</v>
      </c>
      <c r="BC1299" s="18">
        <v>0</v>
      </c>
      <c r="BD1299" s="18">
        <v>0</v>
      </c>
      <c r="BE1299" s="18">
        <v>0</v>
      </c>
      <c r="BF1299" s="18">
        <v>0</v>
      </c>
      <c r="BG1299" s="18">
        <v>0</v>
      </c>
      <c r="BH1299" s="18">
        <v>0</v>
      </c>
      <c r="BI1299" s="18">
        <v>0</v>
      </c>
      <c r="BJ1299" s="18">
        <v>0</v>
      </c>
      <c r="BK1299" s="18">
        <v>0</v>
      </c>
      <c r="BL1299" s="113">
        <f>3000+42.5</f>
        <v>3042.5</v>
      </c>
      <c r="BM1299" s="154">
        <v>3280</v>
      </c>
      <c r="BN1299" s="113">
        <v>3517</v>
      </c>
      <c r="BO1299" s="113">
        <v>3726</v>
      </c>
      <c r="BP1299" s="113">
        <f>BO1299-840</f>
        <v>2886</v>
      </c>
      <c r="BQ1299" s="113">
        <v>0</v>
      </c>
      <c r="BR1299" s="101"/>
      <c r="BS1299">
        <f t="shared" si="2733"/>
        <v>0</v>
      </c>
      <c r="BT1299">
        <f t="shared" si="2734"/>
        <v>0</v>
      </c>
      <c r="BU1299">
        <f t="shared" si="2735"/>
        <v>0</v>
      </c>
      <c r="BV1299">
        <f t="shared" si="2736"/>
        <v>0</v>
      </c>
      <c r="BW1299">
        <f t="shared" si="2737"/>
        <v>0</v>
      </c>
      <c r="BX1299">
        <f t="shared" si="2738"/>
        <v>0</v>
      </c>
      <c r="BY1299">
        <f t="shared" si="2739"/>
        <v>0</v>
      </c>
      <c r="BZ1299">
        <f t="shared" si="2740"/>
        <v>0</v>
      </c>
      <c r="CA1299">
        <f t="shared" si="2741"/>
        <v>0</v>
      </c>
      <c r="CB1299">
        <f t="shared" si="2742"/>
        <v>0</v>
      </c>
      <c r="CC1299">
        <f t="shared" si="2743"/>
        <v>0</v>
      </c>
      <c r="CD1299">
        <f t="shared" si="2744"/>
        <v>0</v>
      </c>
      <c r="CE1299">
        <f t="shared" si="2745"/>
        <v>0</v>
      </c>
      <c r="CF1299">
        <f t="shared" si="2746"/>
        <v>0</v>
      </c>
      <c r="CG1299">
        <f t="shared" si="2747"/>
        <v>0</v>
      </c>
      <c r="CH1299">
        <f t="shared" si="2748"/>
        <v>0</v>
      </c>
      <c r="CI1299">
        <f t="shared" si="2749"/>
        <v>0</v>
      </c>
      <c r="CJ1299">
        <f t="shared" si="2750"/>
        <v>0</v>
      </c>
      <c r="CK1299">
        <f t="shared" si="2751"/>
        <v>0</v>
      </c>
      <c r="CL1299">
        <f t="shared" si="2752"/>
        <v>0</v>
      </c>
      <c r="CM1299">
        <f t="shared" si="2753"/>
        <v>0</v>
      </c>
      <c r="CN1299">
        <f t="shared" si="2754"/>
        <v>0</v>
      </c>
      <c r="CO1299">
        <f t="shared" si="2755"/>
        <v>0</v>
      </c>
      <c r="CP1299">
        <f t="shared" si="2756"/>
        <v>0</v>
      </c>
      <c r="CQ1299">
        <f t="shared" si="2757"/>
        <v>0</v>
      </c>
      <c r="CR1299">
        <f t="shared" si="2758"/>
        <v>0</v>
      </c>
      <c r="CS1299">
        <f t="shared" si="2759"/>
        <v>0</v>
      </c>
      <c r="CT1299">
        <f t="shared" si="2760"/>
        <v>0</v>
      </c>
      <c r="CU1299">
        <f t="shared" si="2761"/>
        <v>0</v>
      </c>
      <c r="CV1299">
        <f t="shared" si="2762"/>
        <v>0</v>
      </c>
      <c r="CW1299">
        <f t="shared" si="2763"/>
        <v>0</v>
      </c>
      <c r="CX1299">
        <f t="shared" si="2764"/>
        <v>0</v>
      </c>
      <c r="CY1299">
        <f t="shared" si="2765"/>
        <v>0</v>
      </c>
      <c r="CZ1299">
        <f t="shared" si="2766"/>
        <v>0</v>
      </c>
      <c r="DA1299">
        <f t="shared" si="2767"/>
        <v>0</v>
      </c>
      <c r="DB1299">
        <f t="shared" si="2768"/>
        <v>0</v>
      </c>
      <c r="DC1299">
        <f t="shared" si="2769"/>
        <v>0</v>
      </c>
      <c r="DD1299">
        <f t="shared" si="2770"/>
        <v>0</v>
      </c>
      <c r="DE1299">
        <f t="shared" si="2771"/>
        <v>0</v>
      </c>
      <c r="DF1299">
        <f t="shared" si="2772"/>
        <v>0</v>
      </c>
      <c r="DG1299">
        <f t="shared" si="2773"/>
        <v>0</v>
      </c>
      <c r="DH1299">
        <f t="shared" si="2774"/>
        <v>0</v>
      </c>
      <c r="DI1299">
        <f t="shared" si="2775"/>
        <v>0</v>
      </c>
      <c r="DJ1299">
        <f t="shared" si="2776"/>
        <v>0</v>
      </c>
      <c r="DK1299">
        <f t="shared" si="2777"/>
        <v>0</v>
      </c>
      <c r="DL1299">
        <f t="shared" si="2778"/>
        <v>0</v>
      </c>
      <c r="DM1299">
        <f t="shared" si="2779"/>
        <v>0</v>
      </c>
      <c r="DN1299">
        <f t="shared" si="2780"/>
        <v>0</v>
      </c>
      <c r="DO1299">
        <f t="shared" si="2781"/>
        <v>0</v>
      </c>
      <c r="DP1299">
        <f t="shared" si="2782"/>
        <v>0</v>
      </c>
      <c r="DQ1299">
        <f t="shared" si="2783"/>
        <v>0</v>
      </c>
      <c r="DR1299">
        <f t="shared" si="2784"/>
        <v>0</v>
      </c>
      <c r="DS1299">
        <f t="shared" si="2785"/>
        <v>0</v>
      </c>
      <c r="DT1299">
        <f t="shared" si="2786"/>
        <v>0</v>
      </c>
      <c r="DU1299">
        <f t="shared" si="2787"/>
        <v>0</v>
      </c>
      <c r="DV1299">
        <f t="shared" si="2788"/>
        <v>0</v>
      </c>
      <c r="DW1299">
        <f t="shared" si="2789"/>
        <v>0</v>
      </c>
      <c r="DX1299">
        <f t="shared" si="2790"/>
        <v>0</v>
      </c>
      <c r="DY1299">
        <f t="shared" si="2791"/>
        <v>0</v>
      </c>
      <c r="DZ1299">
        <f t="shared" si="2792"/>
        <v>0</v>
      </c>
      <c r="EA1299">
        <f t="shared" ref="EA1299:EF1299" si="2795">IF($C1299&lt;&gt;"",IF(BL1299&gt;0,1,0),0)</f>
        <v>0</v>
      </c>
      <c r="EB1299">
        <f t="shared" si="2795"/>
        <v>0</v>
      </c>
      <c r="EC1299">
        <f t="shared" si="2795"/>
        <v>0</v>
      </c>
      <c r="ED1299">
        <f t="shared" si="2795"/>
        <v>0</v>
      </c>
      <c r="EE1299">
        <f t="shared" si="2795"/>
        <v>0</v>
      </c>
      <c r="EF1299">
        <f t="shared" si="2795"/>
        <v>0</v>
      </c>
    </row>
    <row r="1300" spans="1:136" ht="15.5">
      <c r="A1300" s="90"/>
      <c r="B1300" s="19" t="s">
        <v>208</v>
      </c>
      <c r="C1300" s="99"/>
      <c r="D1300" s="34"/>
      <c r="E1300" s="34"/>
      <c r="F1300" s="34"/>
      <c r="G1300" s="34"/>
      <c r="H1300" s="34"/>
      <c r="I1300" s="34"/>
      <c r="J1300" s="34"/>
      <c r="K1300" s="34"/>
      <c r="L1300" s="34"/>
      <c r="M1300" s="34"/>
      <c r="N1300" s="34">
        <v>0</v>
      </c>
      <c r="O1300" s="34">
        <v>0</v>
      </c>
      <c r="P1300" s="34">
        <v>0</v>
      </c>
      <c r="Q1300" s="34">
        <v>0</v>
      </c>
      <c r="R1300" s="34">
        <v>0</v>
      </c>
      <c r="S1300" s="34">
        <v>1.6633169999999999</v>
      </c>
      <c r="T1300" s="34">
        <v>1.4981120000000001</v>
      </c>
      <c r="U1300" s="34">
        <v>2.5251199999999998</v>
      </c>
      <c r="V1300" s="34">
        <v>14.2401106</v>
      </c>
      <c r="W1300" s="34">
        <v>33.551742500000003</v>
      </c>
      <c r="X1300" s="34">
        <v>15.595229899999998</v>
      </c>
      <c r="Y1300" s="34">
        <v>50.194738999999998</v>
      </c>
      <c r="Z1300" s="34">
        <v>112.74663129999999</v>
      </c>
      <c r="AA1300" s="34">
        <v>123.95546450000001</v>
      </c>
      <c r="AB1300" s="34">
        <v>101.01879150000001</v>
      </c>
      <c r="AC1300" s="34">
        <v>233.2085314</v>
      </c>
      <c r="AD1300" s="34">
        <v>182.63406309999999</v>
      </c>
      <c r="AE1300" s="34">
        <v>196.28680739999999</v>
      </c>
      <c r="AF1300" s="34">
        <v>234.3952152</v>
      </c>
      <c r="AG1300" s="34">
        <v>265.84558469999996</v>
      </c>
      <c r="AH1300" s="34">
        <v>317.25266800000003</v>
      </c>
      <c r="AI1300" s="34">
        <v>220.86917860000003</v>
      </c>
      <c r="AJ1300" s="34">
        <v>192.57540259999999</v>
      </c>
      <c r="AK1300" s="34">
        <v>203.37144599999999</v>
      </c>
      <c r="AL1300" s="34">
        <v>105.6576091</v>
      </c>
      <c r="AM1300" s="34">
        <v>126.3877693</v>
      </c>
      <c r="AN1300" s="34">
        <v>138.55235830000001</v>
      </c>
      <c r="AO1300" s="34">
        <v>116.3017457</v>
      </c>
      <c r="AP1300" s="34">
        <v>77.642222799999999</v>
      </c>
      <c r="AQ1300" s="34">
        <v>38.590088200000004</v>
      </c>
      <c r="AR1300" s="34">
        <v>37.9989791</v>
      </c>
      <c r="AS1300" s="34">
        <v>71.482474299999993</v>
      </c>
      <c r="AT1300" s="34">
        <v>175.08123219999999</v>
      </c>
      <c r="AU1300" s="34">
        <v>173.02602480000002</v>
      </c>
      <c r="AV1300" s="34">
        <v>335.47561110000004</v>
      </c>
      <c r="AW1300" s="34">
        <v>291.70433600000001</v>
      </c>
      <c r="AX1300" s="231">
        <v>333.815</v>
      </c>
      <c r="AY1300" s="34">
        <v>365.46600000000001</v>
      </c>
      <c r="AZ1300" s="34">
        <v>365.46600000000001</v>
      </c>
      <c r="BA1300" s="34">
        <v>620</v>
      </c>
      <c r="BB1300" s="34">
        <v>545</v>
      </c>
      <c r="BC1300" s="34">
        <v>557</v>
      </c>
      <c r="BD1300" s="34">
        <v>537</v>
      </c>
      <c r="BE1300" s="42">
        <v>547</v>
      </c>
      <c r="BF1300" s="18">
        <v>511</v>
      </c>
      <c r="BG1300" s="18">
        <v>484</v>
      </c>
      <c r="BH1300" s="18">
        <v>459</v>
      </c>
      <c r="BI1300" s="18">
        <v>494</v>
      </c>
      <c r="BJ1300" s="18">
        <v>484</v>
      </c>
      <c r="BK1300" s="130">
        <v>478</v>
      </c>
      <c r="BL1300" s="71">
        <v>742</v>
      </c>
      <c r="BM1300" s="169">
        <v>702</v>
      </c>
      <c r="BN1300" s="154">
        <v>661</v>
      </c>
      <c r="BO1300" s="113">
        <v>686</v>
      </c>
      <c r="BP1300" s="113">
        <v>701</v>
      </c>
      <c r="BQ1300" s="113">
        <v>716</v>
      </c>
      <c r="BR1300" s="101"/>
      <c r="BS1300">
        <f t="shared" si="2733"/>
        <v>0</v>
      </c>
      <c r="BT1300">
        <f t="shared" si="2734"/>
        <v>0</v>
      </c>
      <c r="BU1300">
        <f t="shared" si="2735"/>
        <v>0</v>
      </c>
      <c r="BV1300">
        <f t="shared" si="2736"/>
        <v>0</v>
      </c>
      <c r="BW1300">
        <f t="shared" si="2737"/>
        <v>0</v>
      </c>
      <c r="BX1300">
        <f t="shared" si="2738"/>
        <v>0</v>
      </c>
      <c r="BY1300">
        <f t="shared" si="2739"/>
        <v>0</v>
      </c>
      <c r="BZ1300">
        <f t="shared" si="2740"/>
        <v>0</v>
      </c>
      <c r="CA1300">
        <f t="shared" si="2741"/>
        <v>0</v>
      </c>
      <c r="CB1300">
        <f t="shared" si="2742"/>
        <v>0</v>
      </c>
      <c r="CC1300">
        <f t="shared" si="2743"/>
        <v>0</v>
      </c>
      <c r="CD1300">
        <f t="shared" si="2744"/>
        <v>0</v>
      </c>
      <c r="CE1300">
        <f t="shared" si="2745"/>
        <v>0</v>
      </c>
      <c r="CF1300">
        <f t="shared" si="2746"/>
        <v>0</v>
      </c>
      <c r="CG1300">
        <f t="shared" si="2747"/>
        <v>0</v>
      </c>
      <c r="CH1300">
        <f t="shared" si="2748"/>
        <v>0</v>
      </c>
      <c r="CI1300">
        <f t="shared" si="2749"/>
        <v>0</v>
      </c>
      <c r="CJ1300">
        <f t="shared" si="2750"/>
        <v>0</v>
      </c>
      <c r="CK1300">
        <f t="shared" si="2751"/>
        <v>0</v>
      </c>
      <c r="CL1300">
        <f t="shared" si="2752"/>
        <v>0</v>
      </c>
      <c r="CM1300">
        <f t="shared" si="2753"/>
        <v>0</v>
      </c>
      <c r="CN1300">
        <f t="shared" si="2754"/>
        <v>0</v>
      </c>
      <c r="CO1300">
        <f t="shared" si="2755"/>
        <v>0</v>
      </c>
      <c r="CP1300">
        <f t="shared" si="2756"/>
        <v>0</v>
      </c>
      <c r="CQ1300">
        <f t="shared" si="2757"/>
        <v>0</v>
      </c>
      <c r="CR1300">
        <f t="shared" si="2758"/>
        <v>0</v>
      </c>
      <c r="CS1300">
        <f t="shared" si="2759"/>
        <v>0</v>
      </c>
      <c r="CT1300">
        <f t="shared" si="2760"/>
        <v>0</v>
      </c>
      <c r="CU1300">
        <f t="shared" si="2761"/>
        <v>0</v>
      </c>
      <c r="CV1300">
        <f t="shared" si="2762"/>
        <v>0</v>
      </c>
      <c r="CW1300">
        <f t="shared" si="2763"/>
        <v>0</v>
      </c>
      <c r="CX1300">
        <f t="shared" si="2764"/>
        <v>0</v>
      </c>
      <c r="CY1300">
        <f t="shared" si="2765"/>
        <v>0</v>
      </c>
      <c r="CZ1300">
        <f t="shared" si="2766"/>
        <v>0</v>
      </c>
      <c r="DA1300">
        <f t="shared" si="2767"/>
        <v>0</v>
      </c>
      <c r="DB1300">
        <f t="shared" si="2768"/>
        <v>0</v>
      </c>
      <c r="DC1300">
        <f t="shared" si="2769"/>
        <v>0</v>
      </c>
      <c r="DD1300">
        <f t="shared" si="2770"/>
        <v>0</v>
      </c>
      <c r="DE1300">
        <f t="shared" si="2771"/>
        <v>0</v>
      </c>
      <c r="DF1300">
        <f t="shared" si="2772"/>
        <v>0</v>
      </c>
      <c r="DG1300">
        <f t="shared" si="2773"/>
        <v>0</v>
      </c>
      <c r="DH1300">
        <f t="shared" si="2774"/>
        <v>0</v>
      </c>
      <c r="DI1300">
        <f t="shared" si="2775"/>
        <v>0</v>
      </c>
      <c r="DJ1300">
        <f t="shared" si="2776"/>
        <v>0</v>
      </c>
      <c r="DK1300">
        <f t="shared" si="2777"/>
        <v>0</v>
      </c>
      <c r="DL1300">
        <f t="shared" si="2778"/>
        <v>0</v>
      </c>
      <c r="DM1300">
        <f t="shared" si="2779"/>
        <v>0</v>
      </c>
      <c r="DN1300">
        <f t="shared" si="2780"/>
        <v>0</v>
      </c>
      <c r="DO1300">
        <f t="shared" si="2781"/>
        <v>0</v>
      </c>
      <c r="DP1300">
        <f t="shared" si="2782"/>
        <v>0</v>
      </c>
      <c r="DQ1300">
        <f t="shared" si="2783"/>
        <v>0</v>
      </c>
      <c r="DR1300">
        <f t="shared" si="2784"/>
        <v>0</v>
      </c>
      <c r="DS1300">
        <f t="shared" si="2785"/>
        <v>0</v>
      </c>
      <c r="DT1300">
        <f t="shared" si="2786"/>
        <v>0</v>
      </c>
      <c r="DU1300">
        <f t="shared" si="2787"/>
        <v>0</v>
      </c>
      <c r="DV1300">
        <f t="shared" si="2788"/>
        <v>0</v>
      </c>
      <c r="DW1300">
        <f t="shared" si="2789"/>
        <v>0</v>
      </c>
      <c r="DX1300">
        <f t="shared" si="2790"/>
        <v>0</v>
      </c>
      <c r="DY1300">
        <f t="shared" si="2791"/>
        <v>0</v>
      </c>
      <c r="DZ1300">
        <f t="shared" si="2792"/>
        <v>0</v>
      </c>
      <c r="EA1300">
        <f t="shared" ref="EA1300:EF1300" si="2796">IF($C1300&lt;&gt;"",IF(BL1299&gt;0,1,0),0)</f>
        <v>0</v>
      </c>
      <c r="EB1300">
        <f t="shared" si="2796"/>
        <v>0</v>
      </c>
      <c r="EC1300">
        <f t="shared" si="2796"/>
        <v>0</v>
      </c>
      <c r="ED1300">
        <f t="shared" si="2796"/>
        <v>0</v>
      </c>
      <c r="EE1300">
        <f t="shared" si="2796"/>
        <v>0</v>
      </c>
      <c r="EF1300">
        <f t="shared" si="2796"/>
        <v>0</v>
      </c>
    </row>
    <row r="1301" spans="1:136" ht="15.5">
      <c r="A1301" s="90"/>
      <c r="B1301" s="19" t="s">
        <v>212</v>
      </c>
      <c r="C1301" s="99"/>
      <c r="D1301" s="34"/>
      <c r="E1301" s="34"/>
      <c r="F1301" s="34"/>
      <c r="G1301" s="34"/>
      <c r="H1301" s="34"/>
      <c r="I1301" s="34"/>
      <c r="J1301" s="34"/>
      <c r="K1301" s="34"/>
      <c r="L1301" s="34"/>
      <c r="M1301" s="34"/>
      <c r="N1301" s="34"/>
      <c r="O1301" s="34"/>
      <c r="P1301" s="34"/>
      <c r="Q1301" s="34"/>
      <c r="R1301" s="34"/>
      <c r="S1301" s="34"/>
      <c r="T1301" s="34"/>
      <c r="U1301" s="34"/>
      <c r="V1301" s="34"/>
      <c r="W1301" s="34"/>
      <c r="X1301" s="34"/>
      <c r="Y1301" s="34"/>
      <c r="Z1301" s="34"/>
      <c r="AA1301" s="34"/>
      <c r="AB1301" s="34"/>
      <c r="AC1301" s="34"/>
      <c r="AD1301" s="34"/>
      <c r="AE1301" s="34"/>
      <c r="AF1301" s="34"/>
      <c r="AG1301" s="34">
        <v>16349.95</v>
      </c>
      <c r="AH1301" s="34">
        <v>16354.283333333333</v>
      </c>
      <c r="AI1301" s="34">
        <v>4657.6857142857143</v>
      </c>
      <c r="AJ1301" s="34">
        <v>5705.1277584204418</v>
      </c>
      <c r="AK1301" s="34">
        <v>2168.4105960264901</v>
      </c>
      <c r="AL1301" s="34">
        <v>1489.4851748045435</v>
      </c>
      <c r="AM1301" s="34">
        <v>1071.8840733283882</v>
      </c>
      <c r="AN1301" s="34">
        <v>754.15763856178364</v>
      </c>
      <c r="AO1301" s="34">
        <v>656.95152497421532</v>
      </c>
      <c r="AP1301" s="34">
        <v>362.82771535580525</v>
      </c>
      <c r="AQ1301" s="34">
        <v>263.44410876132929</v>
      </c>
      <c r="AR1301" s="149">
        <v>148.83631220264883</v>
      </c>
      <c r="AS1301" s="149">
        <v>95.900662435211615</v>
      </c>
      <c r="AT1301" s="149">
        <v>139.7789542119439</v>
      </c>
      <c r="AU1301" s="149">
        <v>148.19292175580475</v>
      </c>
      <c r="AV1301" s="149">
        <v>251.30780498012138</v>
      </c>
      <c r="AW1301" s="149">
        <v>212.14157706093189</v>
      </c>
      <c r="AX1301" s="149">
        <v>285.47625659539017</v>
      </c>
      <c r="AY1301" s="149">
        <v>203.51351351351352</v>
      </c>
      <c r="AZ1301" s="149">
        <v>66.329248801278638</v>
      </c>
      <c r="BA1301" s="149">
        <v>222.75069361870788</v>
      </c>
      <c r="BB1301" s="149">
        <v>181.36335209505941</v>
      </c>
      <c r="BC1301" s="149">
        <v>104.50524583419049</v>
      </c>
      <c r="BD1301" s="149">
        <v>1544.7470817120623</v>
      </c>
      <c r="BE1301" s="159">
        <v>1729.6296296296296</v>
      </c>
      <c r="BF1301" s="147">
        <v>2671.2698412698414</v>
      </c>
      <c r="BG1301" s="147">
        <v>1199.6323529411764</v>
      </c>
      <c r="BH1301" s="147">
        <v>2072.7547931382442</v>
      </c>
      <c r="BI1301" s="147">
        <v>1278.0684104627767</v>
      </c>
      <c r="BJ1301" s="147">
        <v>2527.6613579212071</v>
      </c>
      <c r="BK1301" s="149">
        <v>3137.4548083875634</v>
      </c>
      <c r="BL1301" s="154">
        <v>2412.7367424242425</v>
      </c>
      <c r="BM1301" s="147">
        <v>67399</v>
      </c>
      <c r="BN1301" s="113">
        <f>59868/17.86</f>
        <v>3352.0716685330349</v>
      </c>
      <c r="BO1301" s="113">
        <f>77861/25.74</f>
        <v>3024.9028749028753</v>
      </c>
      <c r="BP1301" s="113">
        <f>84690/27.71</f>
        <v>3056.2973655719957</v>
      </c>
      <c r="BQ1301" s="113">
        <v>1363</v>
      </c>
      <c r="BR1301" s="101"/>
      <c r="BS1301">
        <f t="shared" si="2733"/>
        <v>0</v>
      </c>
      <c r="BT1301">
        <f t="shared" si="2734"/>
        <v>0</v>
      </c>
      <c r="BU1301">
        <f t="shared" si="2735"/>
        <v>0</v>
      </c>
      <c r="BV1301">
        <f t="shared" si="2736"/>
        <v>0</v>
      </c>
      <c r="BW1301">
        <f t="shared" si="2737"/>
        <v>0</v>
      </c>
      <c r="BX1301">
        <f t="shared" si="2738"/>
        <v>0</v>
      </c>
      <c r="BY1301">
        <f t="shared" si="2739"/>
        <v>0</v>
      </c>
      <c r="BZ1301">
        <f t="shared" si="2740"/>
        <v>0</v>
      </c>
      <c r="CA1301">
        <f t="shared" si="2741"/>
        <v>0</v>
      </c>
      <c r="CB1301">
        <f t="shared" si="2742"/>
        <v>0</v>
      </c>
      <c r="CC1301">
        <f t="shared" si="2743"/>
        <v>0</v>
      </c>
      <c r="CD1301">
        <f t="shared" si="2744"/>
        <v>0</v>
      </c>
      <c r="CE1301">
        <f t="shared" si="2745"/>
        <v>0</v>
      </c>
      <c r="CF1301">
        <f t="shared" si="2746"/>
        <v>0</v>
      </c>
      <c r="CG1301">
        <f t="shared" si="2747"/>
        <v>0</v>
      </c>
      <c r="CH1301">
        <f t="shared" si="2748"/>
        <v>0</v>
      </c>
      <c r="CI1301">
        <f t="shared" si="2749"/>
        <v>0</v>
      </c>
      <c r="CJ1301">
        <f t="shared" si="2750"/>
        <v>0</v>
      </c>
      <c r="CK1301">
        <f t="shared" si="2751"/>
        <v>0</v>
      </c>
      <c r="CL1301">
        <f t="shared" si="2752"/>
        <v>0</v>
      </c>
      <c r="CM1301">
        <f t="shared" si="2753"/>
        <v>0</v>
      </c>
      <c r="CN1301">
        <f t="shared" si="2754"/>
        <v>0</v>
      </c>
      <c r="CO1301">
        <f t="shared" si="2755"/>
        <v>0</v>
      </c>
      <c r="CP1301">
        <f t="shared" si="2756"/>
        <v>0</v>
      </c>
      <c r="CQ1301">
        <f t="shared" si="2757"/>
        <v>0</v>
      </c>
      <c r="CR1301">
        <f t="shared" si="2758"/>
        <v>0</v>
      </c>
      <c r="CS1301">
        <f t="shared" si="2759"/>
        <v>0</v>
      </c>
      <c r="CT1301">
        <f t="shared" si="2760"/>
        <v>0</v>
      </c>
      <c r="CU1301">
        <f t="shared" si="2761"/>
        <v>0</v>
      </c>
      <c r="CV1301">
        <f t="shared" si="2762"/>
        <v>0</v>
      </c>
      <c r="CW1301">
        <f t="shared" si="2763"/>
        <v>0</v>
      </c>
      <c r="CX1301">
        <f t="shared" si="2764"/>
        <v>0</v>
      </c>
      <c r="CY1301">
        <f t="shared" si="2765"/>
        <v>0</v>
      </c>
      <c r="CZ1301">
        <f t="shared" si="2766"/>
        <v>0</v>
      </c>
      <c r="DA1301">
        <f t="shared" si="2767"/>
        <v>0</v>
      </c>
      <c r="DB1301">
        <f t="shared" si="2768"/>
        <v>0</v>
      </c>
      <c r="DC1301">
        <f t="shared" si="2769"/>
        <v>0</v>
      </c>
      <c r="DD1301">
        <f t="shared" si="2770"/>
        <v>0</v>
      </c>
      <c r="DE1301">
        <f t="shared" si="2771"/>
        <v>0</v>
      </c>
      <c r="DF1301">
        <f t="shared" si="2772"/>
        <v>0</v>
      </c>
      <c r="DG1301">
        <f t="shared" si="2773"/>
        <v>0</v>
      </c>
      <c r="DH1301">
        <f t="shared" si="2774"/>
        <v>0</v>
      </c>
      <c r="DI1301">
        <f t="shared" si="2775"/>
        <v>0</v>
      </c>
      <c r="DJ1301">
        <f t="shared" si="2776"/>
        <v>0</v>
      </c>
      <c r="DK1301">
        <f t="shared" si="2777"/>
        <v>0</v>
      </c>
      <c r="DL1301">
        <f t="shared" si="2778"/>
        <v>0</v>
      </c>
      <c r="DM1301">
        <f t="shared" si="2779"/>
        <v>0</v>
      </c>
      <c r="DN1301">
        <f t="shared" si="2780"/>
        <v>0</v>
      </c>
      <c r="DO1301">
        <f t="shared" si="2781"/>
        <v>0</v>
      </c>
      <c r="DP1301">
        <f t="shared" si="2782"/>
        <v>0</v>
      </c>
      <c r="DQ1301">
        <f t="shared" si="2783"/>
        <v>0</v>
      </c>
      <c r="DR1301">
        <f t="shared" si="2784"/>
        <v>0</v>
      </c>
      <c r="DS1301">
        <f t="shared" si="2785"/>
        <v>0</v>
      </c>
      <c r="DT1301">
        <f t="shared" si="2786"/>
        <v>0</v>
      </c>
      <c r="DU1301">
        <f t="shared" si="2787"/>
        <v>0</v>
      </c>
      <c r="DV1301">
        <f t="shared" si="2788"/>
        <v>0</v>
      </c>
      <c r="DW1301">
        <f t="shared" si="2789"/>
        <v>0</v>
      </c>
      <c r="DX1301">
        <f t="shared" si="2790"/>
        <v>0</v>
      </c>
      <c r="DY1301">
        <f t="shared" si="2791"/>
        <v>0</v>
      </c>
      <c r="DZ1301">
        <f t="shared" si="2792"/>
        <v>0</v>
      </c>
      <c r="EA1301">
        <f t="shared" ref="EA1301:EF1301" si="2797">IF($C1301&lt;&gt;"",IF(BL1301&gt;0,1,0),0)</f>
        <v>0</v>
      </c>
      <c r="EB1301">
        <f t="shared" si="2797"/>
        <v>0</v>
      </c>
      <c r="EC1301">
        <f t="shared" si="2797"/>
        <v>0</v>
      </c>
      <c r="ED1301">
        <f t="shared" si="2797"/>
        <v>0</v>
      </c>
      <c r="EE1301">
        <f t="shared" si="2797"/>
        <v>0</v>
      </c>
      <c r="EF1301">
        <f t="shared" si="2797"/>
        <v>0</v>
      </c>
    </row>
    <row r="1302" spans="1:136" ht="15.5">
      <c r="A1302" s="90"/>
      <c r="B1302" s="37"/>
      <c r="C1302" s="88"/>
      <c r="D1302" s="36"/>
      <c r="E1302" s="36"/>
      <c r="F1302" s="36"/>
      <c r="G1302" s="36"/>
      <c r="H1302" s="36"/>
      <c r="I1302" s="36"/>
      <c r="J1302" s="36"/>
      <c r="K1302" s="36"/>
      <c r="L1302" s="36"/>
      <c r="M1302" s="36"/>
      <c r="N1302" s="36"/>
      <c r="O1302" s="36"/>
      <c r="P1302" s="36"/>
      <c r="Q1302" s="36"/>
      <c r="R1302" s="36"/>
      <c r="S1302" s="36"/>
      <c r="T1302" s="36"/>
      <c r="U1302" s="36"/>
      <c r="V1302" s="36"/>
      <c r="W1302" s="36"/>
      <c r="X1302" s="36"/>
      <c r="Y1302" s="36"/>
      <c r="Z1302" s="36"/>
      <c r="AA1302" s="36"/>
      <c r="AB1302" s="36"/>
      <c r="AC1302" s="36"/>
      <c r="AD1302" s="36"/>
      <c r="AE1302" s="36"/>
      <c r="AF1302" s="36"/>
      <c r="AG1302" s="36"/>
      <c r="AH1302" s="36"/>
      <c r="AI1302" s="36"/>
      <c r="AJ1302" s="36"/>
      <c r="AK1302" s="36"/>
      <c r="AL1302" s="36"/>
      <c r="AM1302" s="36"/>
      <c r="AN1302" s="36"/>
      <c r="AO1302" s="36"/>
      <c r="AP1302" s="36"/>
      <c r="AQ1302" s="36"/>
      <c r="AR1302" s="36"/>
      <c r="AS1302" s="36"/>
      <c r="AT1302" s="36"/>
      <c r="AU1302" s="36"/>
      <c r="AV1302" s="36"/>
      <c r="AW1302" s="36"/>
      <c r="AX1302" s="36"/>
      <c r="AY1302" s="36"/>
      <c r="AZ1302" s="36"/>
      <c r="BA1302" s="36"/>
      <c r="BB1302" s="36"/>
      <c r="BC1302" s="36"/>
      <c r="BD1302" s="36"/>
      <c r="BE1302" s="74"/>
      <c r="BF1302" s="36"/>
      <c r="BG1302" s="36"/>
      <c r="BH1302" s="34"/>
      <c r="BI1302" s="2"/>
      <c r="BJ1302" s="2"/>
      <c r="BK1302" s="2"/>
      <c r="BL1302" s="22"/>
      <c r="BM1302" s="2"/>
      <c r="BN1302" s="2"/>
      <c r="BO1302" s="2"/>
      <c r="BP1302" s="2"/>
      <c r="BQ1302" s="2"/>
      <c r="BR1302" s="101"/>
      <c r="DG1302">
        <f t="shared" ref="DG1302:DG1313" si="2798">IF($C1302&lt;&gt;"",IF(AR1302&gt;0,1,0),0)</f>
        <v>0</v>
      </c>
    </row>
    <row r="1303" spans="1:136" ht="15.5">
      <c r="A1303" s="93">
        <v>166</v>
      </c>
      <c r="B1303" s="52" t="s">
        <v>161</v>
      </c>
      <c r="C1303" s="98">
        <v>3</v>
      </c>
      <c r="D1303" s="9"/>
      <c r="E1303" s="9"/>
      <c r="F1303" s="9"/>
      <c r="G1303" s="9"/>
      <c r="H1303" s="9"/>
      <c r="I1303" s="9">
        <f t="shared" ref="I1303:AN1303" si="2799">SUM(I1304:I1312)</f>
        <v>184.26827048000001</v>
      </c>
      <c r="J1303" s="9">
        <f t="shared" si="2799"/>
        <v>191.35462506999994</v>
      </c>
      <c r="K1303" s="9">
        <f t="shared" si="2799"/>
        <v>170.09226827999998</v>
      </c>
      <c r="L1303" s="9">
        <f t="shared" si="2799"/>
        <v>176.16628649999998</v>
      </c>
      <c r="M1303" s="9">
        <f t="shared" si="2799"/>
        <v>182.24030472000001</v>
      </c>
      <c r="N1303" s="9">
        <f t="shared" si="2799"/>
        <v>257.34807992775001</v>
      </c>
      <c r="O1303" s="9">
        <f t="shared" si="2799"/>
        <v>215.69096793950004</v>
      </c>
      <c r="P1303" s="9">
        <f t="shared" si="2799"/>
        <v>206.75220569550004</v>
      </c>
      <c r="Q1303" s="9">
        <f t="shared" si="2799"/>
        <v>199.65183168000007</v>
      </c>
      <c r="R1303" s="9">
        <f t="shared" si="2799"/>
        <v>206.40925927525009</v>
      </c>
      <c r="S1303" s="9">
        <f t="shared" si="2799"/>
        <v>184.05938181700009</v>
      </c>
      <c r="T1303" s="9">
        <f t="shared" si="2799"/>
        <v>157.33090258200008</v>
      </c>
      <c r="U1303" s="9">
        <f t="shared" si="2799"/>
        <v>177.93334724500014</v>
      </c>
      <c r="V1303" s="9">
        <f t="shared" si="2799"/>
        <v>247.42847436375013</v>
      </c>
      <c r="W1303" s="9">
        <f t="shared" si="2799"/>
        <v>222.73211301000018</v>
      </c>
      <c r="X1303" s="9">
        <f t="shared" si="2799"/>
        <v>243.86586961625019</v>
      </c>
      <c r="Y1303" s="9">
        <f t="shared" si="2799"/>
        <v>63</v>
      </c>
      <c r="Z1303" s="9">
        <f t="shared" si="2799"/>
        <v>0</v>
      </c>
      <c r="AA1303" s="9">
        <f t="shared" si="2799"/>
        <v>0</v>
      </c>
      <c r="AB1303" s="9">
        <f t="shared" si="2799"/>
        <v>0</v>
      </c>
      <c r="AC1303" s="9">
        <f t="shared" si="2799"/>
        <v>0.1218397</v>
      </c>
      <c r="AD1303" s="9">
        <f t="shared" si="2799"/>
        <v>0.38743259999999996</v>
      </c>
      <c r="AE1303" s="9">
        <f t="shared" si="2799"/>
        <v>11.5914587</v>
      </c>
      <c r="AF1303" s="9">
        <f t="shared" si="2799"/>
        <v>0.57435309999999995</v>
      </c>
      <c r="AG1303" s="9">
        <f t="shared" si="2799"/>
        <v>1.8660000000000001</v>
      </c>
      <c r="AH1303" s="9">
        <f t="shared" si="2799"/>
        <v>23.770828399999999</v>
      </c>
      <c r="AI1303" s="9">
        <f t="shared" si="2799"/>
        <v>1.27034E-2</v>
      </c>
      <c r="AJ1303" s="9">
        <f t="shared" si="2799"/>
        <v>4.1535705000000007</v>
      </c>
      <c r="AK1303" s="9">
        <f t="shared" si="2799"/>
        <v>5.1328145000000003</v>
      </c>
      <c r="AL1303" s="9">
        <f t="shared" si="2799"/>
        <v>17.161191299999999</v>
      </c>
      <c r="AM1303" s="9">
        <f t="shared" si="2799"/>
        <v>89.434113499999995</v>
      </c>
      <c r="AN1303" s="9">
        <f t="shared" si="2799"/>
        <v>1.3784911</v>
      </c>
      <c r="AO1303" s="9">
        <f t="shared" ref="AO1303:BQ1303" si="2800">SUM(AO1304:AO1312)</f>
        <v>6.9817822000000005</v>
      </c>
      <c r="AP1303" s="9">
        <f t="shared" si="2800"/>
        <v>20.007792999999999</v>
      </c>
      <c r="AQ1303" s="9">
        <f t="shared" si="2800"/>
        <v>26.739382900000003</v>
      </c>
      <c r="AR1303" s="9">
        <f t="shared" si="2800"/>
        <v>252.30869050000001</v>
      </c>
      <c r="AS1303" s="9">
        <f t="shared" si="2800"/>
        <v>2651.8454039300268</v>
      </c>
      <c r="AT1303" s="9">
        <f t="shared" si="2800"/>
        <v>1532.3712839020368</v>
      </c>
      <c r="AU1303" s="9">
        <f t="shared" si="2800"/>
        <v>2096.8104084015786</v>
      </c>
      <c r="AV1303" s="9">
        <f t="shared" si="2800"/>
        <v>2465.9648044400556</v>
      </c>
      <c r="AW1303" s="9">
        <f t="shared" si="2800"/>
        <v>2252.6978195850438</v>
      </c>
      <c r="AX1303" s="9">
        <f t="shared" si="2800"/>
        <v>2944.7132901465548</v>
      </c>
      <c r="AY1303" s="9">
        <f t="shared" si="2800"/>
        <v>3137.9729014196623</v>
      </c>
      <c r="AZ1303" s="9">
        <f t="shared" si="2800"/>
        <v>3568.7383617618775</v>
      </c>
      <c r="BA1303" s="9">
        <f t="shared" si="2800"/>
        <v>3711.637986108105</v>
      </c>
      <c r="BB1303" s="180">
        <f t="shared" si="2800"/>
        <v>3720.5948481312089</v>
      </c>
      <c r="BC1303" s="180">
        <f t="shared" si="2800"/>
        <v>3935.3423066461032</v>
      </c>
      <c r="BD1303" s="180">
        <f t="shared" si="2800"/>
        <v>4119.7436022700258</v>
      </c>
      <c r="BE1303" s="9">
        <f t="shared" si="2800"/>
        <v>4359.1984929107593</v>
      </c>
      <c r="BF1303" s="145">
        <f t="shared" si="2800"/>
        <v>4163.5408690441309</v>
      </c>
      <c r="BG1303" s="145">
        <f t="shared" si="2800"/>
        <v>4762.6178650382572</v>
      </c>
      <c r="BH1303" s="145">
        <f t="shared" si="2800"/>
        <v>5034.2889880017628</v>
      </c>
      <c r="BI1303" s="217">
        <f t="shared" si="2800"/>
        <v>4571</v>
      </c>
      <c r="BJ1303" s="217">
        <f t="shared" si="2800"/>
        <v>4413</v>
      </c>
      <c r="BK1303" s="217">
        <f t="shared" si="2800"/>
        <v>4570</v>
      </c>
      <c r="BL1303" s="217">
        <f t="shared" si="2800"/>
        <v>8349</v>
      </c>
      <c r="BM1303" s="217">
        <f>SUM(BM1304:BM1312)</f>
        <v>8377</v>
      </c>
      <c r="BN1303" s="217">
        <f t="shared" si="2800"/>
        <v>8332</v>
      </c>
      <c r="BO1303" s="217">
        <f t="shared" si="2800"/>
        <v>8485</v>
      </c>
      <c r="BP1303" s="217">
        <f t="shared" si="2800"/>
        <v>8600</v>
      </c>
      <c r="BQ1303" s="217">
        <f t="shared" si="2800"/>
        <v>9257</v>
      </c>
      <c r="BR1303" s="101"/>
      <c r="BS1303">
        <f t="shared" ref="BS1303:BS1313" si="2801">IF($C1303&lt;&gt;"",IF(D1303&gt;0,1,0),0)</f>
        <v>0</v>
      </c>
      <c r="BT1303">
        <f t="shared" ref="BT1303:BT1313" si="2802">IF($C1303&lt;&gt;"",IF(E1303&gt;0,1,0),0)</f>
        <v>0</v>
      </c>
      <c r="BU1303">
        <f t="shared" ref="BU1303:BU1313" si="2803">IF($C1303&lt;&gt;"",IF(F1303&gt;0,1,0),0)</f>
        <v>0</v>
      </c>
      <c r="BV1303">
        <f t="shared" ref="BV1303:BV1313" si="2804">IF($C1303&lt;&gt;"",IF(G1303&gt;0,1,0),0)</f>
        <v>0</v>
      </c>
      <c r="BW1303">
        <f t="shared" ref="BW1303:BW1313" si="2805">IF($C1303&lt;&gt;"",IF(H1303&gt;0,1,0),0)</f>
        <v>0</v>
      </c>
      <c r="BX1303">
        <f t="shared" ref="BX1303:BX1313" si="2806">IF($C1303&lt;&gt;"",IF(I1303&gt;0,1,0),0)</f>
        <v>1</v>
      </c>
      <c r="BY1303">
        <f t="shared" ref="BY1303:BY1313" si="2807">IF($C1303&lt;&gt;"",IF(J1303&gt;0,1,0),0)</f>
        <v>1</v>
      </c>
      <c r="BZ1303">
        <f t="shared" ref="BZ1303:BZ1313" si="2808">IF($C1303&lt;&gt;"",IF(K1303&gt;0,1,0),0)</f>
        <v>1</v>
      </c>
      <c r="CA1303">
        <f t="shared" ref="CA1303:CA1313" si="2809">IF($C1303&lt;&gt;"",IF(L1303&gt;0,1,0),0)</f>
        <v>1</v>
      </c>
      <c r="CB1303">
        <f t="shared" ref="CB1303:CB1313" si="2810">IF($C1303&lt;&gt;"",IF(M1303&gt;0,1,0),0)</f>
        <v>1</v>
      </c>
      <c r="CC1303">
        <f t="shared" ref="CC1303:CC1313" si="2811">IF($C1303&lt;&gt;"",IF(N1303&gt;0,1,0),0)</f>
        <v>1</v>
      </c>
      <c r="CD1303">
        <f t="shared" ref="CD1303:CD1313" si="2812">IF($C1303&lt;&gt;"",IF(O1303&gt;0,1,0),0)</f>
        <v>1</v>
      </c>
      <c r="CE1303">
        <f t="shared" ref="CE1303:CE1313" si="2813">IF($C1303&lt;&gt;"",IF(P1303&gt;0,1,0),0)</f>
        <v>1</v>
      </c>
      <c r="CF1303">
        <f t="shared" ref="CF1303:CF1313" si="2814">IF($C1303&lt;&gt;"",IF(Q1303&gt;0,1,0),0)</f>
        <v>1</v>
      </c>
      <c r="CG1303">
        <f t="shared" ref="CG1303:CG1313" si="2815">IF($C1303&lt;&gt;"",IF(R1303&gt;0,1,0),0)</f>
        <v>1</v>
      </c>
      <c r="CH1303">
        <f t="shared" ref="CH1303:CH1313" si="2816">IF($C1303&lt;&gt;"",IF(S1303&gt;0,1,0),0)</f>
        <v>1</v>
      </c>
      <c r="CI1303">
        <f t="shared" ref="CI1303:CI1313" si="2817">IF($C1303&lt;&gt;"",IF(T1303&gt;0,1,0),0)</f>
        <v>1</v>
      </c>
      <c r="CJ1303">
        <f t="shared" ref="CJ1303:CJ1313" si="2818">IF($C1303&lt;&gt;"",IF(U1303&gt;0,1,0),0)</f>
        <v>1</v>
      </c>
      <c r="CK1303">
        <f t="shared" ref="CK1303:CK1313" si="2819">IF($C1303&lt;&gt;"",IF(V1303&gt;0,1,0),0)</f>
        <v>1</v>
      </c>
      <c r="CL1303">
        <f t="shared" ref="CL1303:CL1313" si="2820">IF($C1303&lt;&gt;"",IF(W1303&gt;0,1,0),0)</f>
        <v>1</v>
      </c>
      <c r="CM1303">
        <f t="shared" ref="CM1303:CM1313" si="2821">IF($C1303&lt;&gt;"",IF(X1303&gt;0,1,0),0)</f>
        <v>1</v>
      </c>
      <c r="CN1303">
        <f t="shared" ref="CN1303:CN1313" si="2822">IF($C1303&lt;&gt;"",IF(Y1303&gt;0,1,0),0)</f>
        <v>1</v>
      </c>
      <c r="CO1303">
        <f t="shared" ref="CO1303:CO1313" si="2823">IF($C1303&lt;&gt;"",IF(Z1303&gt;0,1,0),0)</f>
        <v>0</v>
      </c>
      <c r="CP1303">
        <f t="shared" ref="CP1303:CP1313" si="2824">IF($C1303&lt;&gt;"",IF(AA1303&gt;0,1,0),0)</f>
        <v>0</v>
      </c>
      <c r="CQ1303">
        <f t="shared" ref="CQ1303:CQ1313" si="2825">IF($C1303&lt;&gt;"",IF(AB1303&gt;0,1,0),0)</f>
        <v>0</v>
      </c>
      <c r="CR1303">
        <f t="shared" ref="CR1303:CR1313" si="2826">IF($C1303&lt;&gt;"",IF(AC1303&gt;0,1,0),0)</f>
        <v>1</v>
      </c>
      <c r="CS1303">
        <f t="shared" ref="CS1303:CS1313" si="2827">IF($C1303&lt;&gt;"",IF(AD1303&gt;0,1,0),0)</f>
        <v>1</v>
      </c>
      <c r="CT1303">
        <f t="shared" ref="CT1303:CT1313" si="2828">IF($C1303&lt;&gt;"",IF(AE1303&gt;0,1,0),0)</f>
        <v>1</v>
      </c>
      <c r="CU1303">
        <f t="shared" ref="CU1303:CU1313" si="2829">IF($C1303&lt;&gt;"",IF(AF1303&gt;0,1,0),0)</f>
        <v>1</v>
      </c>
      <c r="CV1303">
        <f t="shared" ref="CV1303:CV1313" si="2830">IF($C1303&lt;&gt;"",IF(AG1303&gt;0,1,0),0)</f>
        <v>1</v>
      </c>
      <c r="CW1303">
        <f t="shared" ref="CW1303:CW1313" si="2831">IF($C1303&lt;&gt;"",IF(AH1303&gt;0,1,0),0)</f>
        <v>1</v>
      </c>
      <c r="CX1303">
        <f t="shared" ref="CX1303:CX1313" si="2832">IF($C1303&lt;&gt;"",IF(AI1303&gt;0,1,0),0)</f>
        <v>1</v>
      </c>
      <c r="CY1303">
        <f t="shared" ref="CY1303:CY1313" si="2833">IF($C1303&lt;&gt;"",IF(AJ1303&gt;0,1,0),0)</f>
        <v>1</v>
      </c>
      <c r="CZ1303">
        <f t="shared" ref="CZ1303:CZ1313" si="2834">IF($C1303&lt;&gt;"",IF(AK1303&gt;0,1,0),0)</f>
        <v>1</v>
      </c>
      <c r="DA1303">
        <f t="shared" ref="DA1303:DA1313" si="2835">IF($C1303&lt;&gt;"",IF(AL1303&gt;0,1,0),0)</f>
        <v>1</v>
      </c>
      <c r="DB1303">
        <f t="shared" ref="DB1303:DB1313" si="2836">IF($C1303&lt;&gt;"",IF(AM1303&gt;0,1,0),0)</f>
        <v>1</v>
      </c>
      <c r="DC1303">
        <f t="shared" ref="DC1303:DC1313" si="2837">IF($C1303&lt;&gt;"",IF(AN1303&gt;0,1,0),0)</f>
        <v>1</v>
      </c>
      <c r="DD1303">
        <f t="shared" ref="DD1303:DD1313" si="2838">IF($C1303&lt;&gt;"",IF(AO1303&gt;0,1,0),0)</f>
        <v>1</v>
      </c>
      <c r="DE1303">
        <f t="shared" ref="DE1303:DE1313" si="2839">IF($C1303&lt;&gt;"",IF(AP1303&gt;0,1,0),0)</f>
        <v>1</v>
      </c>
      <c r="DF1303">
        <f t="shared" ref="DF1303:DF1313" si="2840">IF($C1303&lt;&gt;"",IF(AQ1303&gt;0,1,0),0)</f>
        <v>1</v>
      </c>
      <c r="DG1303">
        <f t="shared" si="2798"/>
        <v>1</v>
      </c>
      <c r="DH1303">
        <f t="shared" ref="DH1303:EF1303" si="2841">IF($C1303&lt;&gt;"",IF(AS1303&gt;0,1,0),0)</f>
        <v>1</v>
      </c>
      <c r="DI1303">
        <f t="shared" si="2841"/>
        <v>1</v>
      </c>
      <c r="DJ1303">
        <f t="shared" si="2841"/>
        <v>1</v>
      </c>
      <c r="DK1303">
        <f t="shared" si="2841"/>
        <v>1</v>
      </c>
      <c r="DL1303">
        <f t="shared" si="2841"/>
        <v>1</v>
      </c>
      <c r="DM1303">
        <f t="shared" si="2841"/>
        <v>1</v>
      </c>
      <c r="DN1303">
        <f t="shared" si="2841"/>
        <v>1</v>
      </c>
      <c r="DO1303">
        <f t="shared" si="2841"/>
        <v>1</v>
      </c>
      <c r="DP1303">
        <f t="shared" si="2841"/>
        <v>1</v>
      </c>
      <c r="DQ1303">
        <f t="shared" si="2841"/>
        <v>1</v>
      </c>
      <c r="DR1303">
        <f t="shared" si="2841"/>
        <v>1</v>
      </c>
      <c r="DS1303">
        <f t="shared" si="2841"/>
        <v>1</v>
      </c>
      <c r="DT1303">
        <f t="shared" si="2841"/>
        <v>1</v>
      </c>
      <c r="DU1303">
        <f t="shared" si="2841"/>
        <v>1</v>
      </c>
      <c r="DV1303">
        <f t="shared" si="2841"/>
        <v>1</v>
      </c>
      <c r="DW1303">
        <f t="shared" si="2841"/>
        <v>1</v>
      </c>
      <c r="DX1303">
        <f t="shared" si="2841"/>
        <v>1</v>
      </c>
      <c r="DY1303">
        <f t="shared" si="2841"/>
        <v>1</v>
      </c>
      <c r="DZ1303">
        <f t="shared" si="2841"/>
        <v>1</v>
      </c>
      <c r="EA1303">
        <f t="shared" si="2841"/>
        <v>1</v>
      </c>
      <c r="EB1303">
        <f>IF($C1303&lt;&gt;"",IF(BM1303&gt;0,1,0),0)</f>
        <v>1</v>
      </c>
      <c r="EC1303">
        <f t="shared" si="2841"/>
        <v>1</v>
      </c>
      <c r="ED1303">
        <f t="shared" si="2841"/>
        <v>1</v>
      </c>
      <c r="EE1303">
        <f t="shared" si="2841"/>
        <v>1</v>
      </c>
      <c r="EF1303">
        <f t="shared" si="2841"/>
        <v>1</v>
      </c>
    </row>
    <row r="1304" spans="1:136" ht="15.5">
      <c r="A1304" s="90"/>
      <c r="B1304" s="24" t="s">
        <v>15</v>
      </c>
      <c r="C1304" s="88"/>
      <c r="D1304" s="34"/>
      <c r="E1304" s="34"/>
      <c r="F1304" s="34"/>
      <c r="G1304" s="34"/>
      <c r="H1304" s="34"/>
      <c r="I1304" s="34"/>
      <c r="J1304" s="34"/>
      <c r="K1304" s="34"/>
      <c r="L1304" s="34"/>
      <c r="M1304" s="34"/>
      <c r="N1304" s="34">
        <v>0</v>
      </c>
      <c r="O1304" s="34">
        <v>0</v>
      </c>
      <c r="P1304" s="34">
        <v>0</v>
      </c>
      <c r="Q1304" s="34">
        <v>0</v>
      </c>
      <c r="R1304" s="34">
        <v>0</v>
      </c>
      <c r="S1304" s="34">
        <v>0</v>
      </c>
      <c r="T1304" s="34">
        <v>0</v>
      </c>
      <c r="U1304" s="34">
        <v>0</v>
      </c>
      <c r="V1304" s="34">
        <v>0</v>
      </c>
      <c r="W1304" s="34">
        <v>0</v>
      </c>
      <c r="X1304" s="34">
        <v>0</v>
      </c>
      <c r="Y1304" s="34">
        <v>0</v>
      </c>
      <c r="Z1304" s="34">
        <v>0</v>
      </c>
      <c r="AA1304" s="34">
        <v>0</v>
      </c>
      <c r="AB1304" s="34">
        <v>0</v>
      </c>
      <c r="AC1304" s="34">
        <v>0</v>
      </c>
      <c r="AD1304" s="34">
        <v>0</v>
      </c>
      <c r="AE1304" s="34">
        <v>0</v>
      </c>
      <c r="AF1304" s="34">
        <v>0</v>
      </c>
      <c r="AG1304" s="34">
        <v>0</v>
      </c>
      <c r="AH1304" s="34">
        <v>0</v>
      </c>
      <c r="AI1304" s="34">
        <v>0</v>
      </c>
      <c r="AJ1304" s="34">
        <v>0</v>
      </c>
      <c r="AK1304" s="34">
        <v>0</v>
      </c>
      <c r="AL1304" s="34">
        <v>0</v>
      </c>
      <c r="AM1304" s="34">
        <v>0</v>
      </c>
      <c r="AN1304" s="34">
        <v>0</v>
      </c>
      <c r="AO1304" s="34">
        <v>0</v>
      </c>
      <c r="AP1304" s="34">
        <v>0</v>
      </c>
      <c r="AQ1304" s="34">
        <v>0</v>
      </c>
      <c r="AR1304" s="34">
        <v>0</v>
      </c>
      <c r="AS1304" s="34">
        <v>273.23256783002677</v>
      </c>
      <c r="AT1304" s="34">
        <v>300.90950540203676</v>
      </c>
      <c r="AU1304" s="34">
        <v>331.50256140157876</v>
      </c>
      <c r="AV1304" s="34">
        <v>334.01900394005554</v>
      </c>
      <c r="AW1304" s="34">
        <v>159.58063128504341</v>
      </c>
      <c r="AX1304" s="34">
        <v>172.87623244655484</v>
      </c>
      <c r="AY1304" s="34">
        <v>191.12312451966235</v>
      </c>
      <c r="AZ1304" s="34">
        <v>191.51417146187777</v>
      </c>
      <c r="BA1304" s="34">
        <v>197.60077530810486</v>
      </c>
      <c r="BB1304" s="34">
        <v>192.59484813120901</v>
      </c>
      <c r="BC1304" s="34">
        <v>194.68579324610272</v>
      </c>
      <c r="BD1304" s="34">
        <v>189.54043617002623</v>
      </c>
      <c r="BE1304" s="42">
        <v>190.16212601075978</v>
      </c>
      <c r="BF1304" s="149">
        <v>178.97183624413034</v>
      </c>
      <c r="BG1304" s="18">
        <v>171.18962803825661</v>
      </c>
      <c r="BH1304" s="154">
        <v>166.52839040176212</v>
      </c>
      <c r="BI1304" s="154">
        <v>0</v>
      </c>
      <c r="BJ1304" s="154">
        <v>0</v>
      </c>
      <c r="BK1304" s="154">
        <v>0</v>
      </c>
      <c r="BL1304" s="154">
        <v>0</v>
      </c>
      <c r="BM1304" s="154">
        <v>0</v>
      </c>
      <c r="BN1304" s="154">
        <v>0</v>
      </c>
      <c r="BO1304" s="154">
        <v>0</v>
      </c>
      <c r="BP1304" s="154">
        <v>0</v>
      </c>
      <c r="BQ1304" s="113">
        <v>0</v>
      </c>
      <c r="BR1304" s="101"/>
      <c r="BS1304">
        <f t="shared" si="2801"/>
        <v>0</v>
      </c>
      <c r="BT1304">
        <f t="shared" si="2802"/>
        <v>0</v>
      </c>
      <c r="BU1304">
        <f t="shared" si="2803"/>
        <v>0</v>
      </c>
      <c r="BV1304">
        <f t="shared" si="2804"/>
        <v>0</v>
      </c>
      <c r="BW1304">
        <f t="shared" si="2805"/>
        <v>0</v>
      </c>
      <c r="BX1304">
        <f t="shared" si="2806"/>
        <v>0</v>
      </c>
      <c r="BY1304">
        <f t="shared" si="2807"/>
        <v>0</v>
      </c>
      <c r="BZ1304">
        <f t="shared" si="2808"/>
        <v>0</v>
      </c>
      <c r="CA1304">
        <f t="shared" si="2809"/>
        <v>0</v>
      </c>
      <c r="CB1304">
        <f t="shared" si="2810"/>
        <v>0</v>
      </c>
      <c r="CC1304">
        <f t="shared" si="2811"/>
        <v>0</v>
      </c>
      <c r="CD1304">
        <f t="shared" si="2812"/>
        <v>0</v>
      </c>
      <c r="CE1304">
        <f t="shared" si="2813"/>
        <v>0</v>
      </c>
      <c r="CF1304">
        <f t="shared" si="2814"/>
        <v>0</v>
      </c>
      <c r="CG1304">
        <f t="shared" si="2815"/>
        <v>0</v>
      </c>
      <c r="CH1304">
        <f t="shared" si="2816"/>
        <v>0</v>
      </c>
      <c r="CI1304">
        <f t="shared" si="2817"/>
        <v>0</v>
      </c>
      <c r="CJ1304">
        <f t="shared" si="2818"/>
        <v>0</v>
      </c>
      <c r="CK1304">
        <f t="shared" si="2819"/>
        <v>0</v>
      </c>
      <c r="CL1304">
        <f t="shared" si="2820"/>
        <v>0</v>
      </c>
      <c r="CM1304">
        <f t="shared" si="2821"/>
        <v>0</v>
      </c>
      <c r="CN1304">
        <f t="shared" si="2822"/>
        <v>0</v>
      </c>
      <c r="CO1304">
        <f t="shared" si="2823"/>
        <v>0</v>
      </c>
      <c r="CP1304">
        <f t="shared" si="2824"/>
        <v>0</v>
      </c>
      <c r="CQ1304">
        <f t="shared" si="2825"/>
        <v>0</v>
      </c>
      <c r="CR1304">
        <f t="shared" si="2826"/>
        <v>0</v>
      </c>
      <c r="CS1304">
        <f t="shared" si="2827"/>
        <v>0</v>
      </c>
      <c r="CT1304">
        <f t="shared" si="2828"/>
        <v>0</v>
      </c>
      <c r="CU1304">
        <f t="shared" si="2829"/>
        <v>0</v>
      </c>
      <c r="CV1304">
        <f t="shared" si="2830"/>
        <v>0</v>
      </c>
      <c r="CW1304">
        <f t="shared" si="2831"/>
        <v>0</v>
      </c>
      <c r="CX1304">
        <f t="shared" si="2832"/>
        <v>0</v>
      </c>
      <c r="CY1304">
        <f t="shared" si="2833"/>
        <v>0</v>
      </c>
      <c r="CZ1304">
        <f t="shared" si="2834"/>
        <v>0</v>
      </c>
      <c r="DA1304">
        <f t="shared" si="2835"/>
        <v>0</v>
      </c>
      <c r="DB1304">
        <f t="shared" si="2836"/>
        <v>0</v>
      </c>
      <c r="DC1304">
        <f t="shared" si="2837"/>
        <v>0</v>
      </c>
      <c r="DD1304">
        <f t="shared" si="2838"/>
        <v>0</v>
      </c>
      <c r="DE1304">
        <f t="shared" si="2839"/>
        <v>0</v>
      </c>
      <c r="DF1304">
        <f t="shared" si="2840"/>
        <v>0</v>
      </c>
      <c r="DG1304">
        <f t="shared" si="2798"/>
        <v>0</v>
      </c>
      <c r="DH1304">
        <f t="shared" ref="DH1304:DH1313" si="2842">IF($C1304&lt;&gt;"",IF(AS1304&gt;0,1,0),0)</f>
        <v>0</v>
      </c>
      <c r="DI1304">
        <f t="shared" ref="DI1304:DI1313" si="2843">IF($C1304&lt;&gt;"",IF(AT1304&gt;0,1,0),0)</f>
        <v>0</v>
      </c>
      <c r="DJ1304">
        <f t="shared" ref="DJ1304:DJ1313" si="2844">IF($C1304&lt;&gt;"",IF(AU1304&gt;0,1,0),0)</f>
        <v>0</v>
      </c>
      <c r="DK1304">
        <f t="shared" ref="DK1304:DK1313" si="2845">IF($C1304&lt;&gt;"",IF(AV1304&gt;0,1,0),0)</f>
        <v>0</v>
      </c>
      <c r="DL1304">
        <f t="shared" ref="DL1304:DL1313" si="2846">IF($C1304&lt;&gt;"",IF(AW1304&gt;0,1,0),0)</f>
        <v>0</v>
      </c>
      <c r="DM1304">
        <f t="shared" ref="DM1304:DM1313" si="2847">IF($C1304&lt;&gt;"",IF(AX1304&gt;0,1,0),0)</f>
        <v>0</v>
      </c>
      <c r="DN1304">
        <f t="shared" ref="DN1304:DN1313" si="2848">IF($C1304&lt;&gt;"",IF(AY1304&gt;0,1,0),0)</f>
        <v>0</v>
      </c>
      <c r="DO1304">
        <f t="shared" ref="DO1304:DO1313" si="2849">IF($C1304&lt;&gt;"",IF(AZ1304&gt;0,1,0),0)</f>
        <v>0</v>
      </c>
      <c r="DP1304">
        <f t="shared" ref="DP1304:DP1313" si="2850">IF($C1304&lt;&gt;"",IF(BA1304&gt;0,1,0),0)</f>
        <v>0</v>
      </c>
      <c r="DQ1304">
        <f t="shared" ref="DQ1304:DQ1313" si="2851">IF($C1304&lt;&gt;"",IF(BB1304&gt;0,1,0),0)</f>
        <v>0</v>
      </c>
      <c r="DR1304">
        <f t="shared" ref="DR1304:DR1313" si="2852">IF($C1304&lt;&gt;"",IF(BC1304&gt;0,1,0),0)</f>
        <v>0</v>
      </c>
      <c r="DS1304">
        <f t="shared" ref="DS1304:DS1313" si="2853">IF($C1304&lt;&gt;"",IF(BD1304&gt;0,1,0),0)</f>
        <v>0</v>
      </c>
      <c r="DT1304">
        <f t="shared" ref="DT1304:DT1313" si="2854">IF($C1304&lt;&gt;"",IF(BE1304&gt;0,1,0),0)</f>
        <v>0</v>
      </c>
      <c r="DU1304">
        <f t="shared" ref="DU1304:DU1313" si="2855">IF($C1304&lt;&gt;"",IF(BF1304&gt;0,1,0),0)</f>
        <v>0</v>
      </c>
      <c r="DV1304">
        <f t="shared" ref="DV1304:DV1313" si="2856">IF($C1304&lt;&gt;"",IF(BG1304&gt;0,1,0),0)</f>
        <v>0</v>
      </c>
      <c r="DW1304">
        <f t="shared" ref="DW1304:DW1313" si="2857">IF($C1304&lt;&gt;"",IF(BH1304&gt;0,1,0),0)</f>
        <v>0</v>
      </c>
      <c r="DX1304">
        <f t="shared" ref="DX1304:DX1313" si="2858">IF($C1304&lt;&gt;"",IF(BI1304&gt;0,1,0),0)</f>
        <v>0</v>
      </c>
      <c r="DY1304">
        <f t="shared" ref="DY1304:DY1313" si="2859">IF($C1304&lt;&gt;"",IF(BJ1304&gt;0,1,0),0)</f>
        <v>0</v>
      </c>
      <c r="DZ1304">
        <f t="shared" ref="DZ1304:DZ1313" si="2860">IF($C1304&lt;&gt;"",IF(BK1304&gt;0,1,0),0)</f>
        <v>0</v>
      </c>
      <c r="EA1304">
        <f t="shared" ref="EA1304:EF1310" si="2861">IF($C1304&lt;&gt;"",IF(BL1303&gt;0,1,0),0)</f>
        <v>0</v>
      </c>
      <c r="EB1304">
        <f t="shared" ref="EB1304:EB1310" si="2862">IF($C1304&lt;&gt;"",IF(BM1303&gt;0,1,0),0)</f>
        <v>0</v>
      </c>
      <c r="EC1304">
        <f t="shared" si="2861"/>
        <v>0</v>
      </c>
      <c r="ED1304">
        <f t="shared" si="2861"/>
        <v>0</v>
      </c>
      <c r="EE1304">
        <f t="shared" si="2861"/>
        <v>0</v>
      </c>
      <c r="EF1304">
        <f t="shared" si="2861"/>
        <v>0</v>
      </c>
    </row>
    <row r="1305" spans="1:136" ht="15.5">
      <c r="A1305" s="90"/>
      <c r="B1305" s="57" t="s">
        <v>184</v>
      </c>
      <c r="C1305" s="88"/>
      <c r="D1305" s="34"/>
      <c r="E1305" s="34"/>
      <c r="F1305" s="34"/>
      <c r="G1305" s="34"/>
      <c r="H1305" s="34"/>
      <c r="I1305" s="34"/>
      <c r="J1305" s="34"/>
      <c r="K1305" s="34"/>
      <c r="L1305" s="34"/>
      <c r="M1305" s="34"/>
      <c r="N1305" s="34">
        <v>0</v>
      </c>
      <c r="O1305" s="34">
        <v>0</v>
      </c>
      <c r="P1305" s="34">
        <v>0</v>
      </c>
      <c r="Q1305" s="34">
        <v>0</v>
      </c>
      <c r="R1305" s="34">
        <v>0</v>
      </c>
      <c r="S1305" s="34">
        <v>0</v>
      </c>
      <c r="T1305" s="34">
        <v>0</v>
      </c>
      <c r="U1305" s="34">
        <v>0</v>
      </c>
      <c r="V1305" s="34">
        <v>0</v>
      </c>
      <c r="W1305" s="34">
        <v>0</v>
      </c>
      <c r="X1305" s="34">
        <v>0</v>
      </c>
      <c r="Y1305" s="34">
        <v>0</v>
      </c>
      <c r="Z1305" s="34">
        <v>0</v>
      </c>
      <c r="AA1305" s="34">
        <v>0</v>
      </c>
      <c r="AB1305" s="34">
        <v>0</v>
      </c>
      <c r="AC1305" s="34">
        <v>0</v>
      </c>
      <c r="AD1305" s="34">
        <v>0</v>
      </c>
      <c r="AE1305" s="34">
        <v>0</v>
      </c>
      <c r="AF1305" s="34">
        <v>0</v>
      </c>
      <c r="AG1305" s="34">
        <v>0</v>
      </c>
      <c r="AH1305" s="34">
        <v>0</v>
      </c>
      <c r="AI1305" s="34">
        <v>0</v>
      </c>
      <c r="AJ1305" s="34">
        <v>0</v>
      </c>
      <c r="AK1305" s="34">
        <v>0</v>
      </c>
      <c r="AL1305" s="34">
        <v>0</v>
      </c>
      <c r="AM1305" s="34">
        <v>0</v>
      </c>
      <c r="AN1305" s="34">
        <v>0</v>
      </c>
      <c r="AO1305" s="34">
        <v>0</v>
      </c>
      <c r="AP1305" s="34">
        <v>0</v>
      </c>
      <c r="AQ1305" s="34">
        <v>0</v>
      </c>
      <c r="AR1305" s="34">
        <v>0</v>
      </c>
      <c r="AS1305" s="34">
        <v>48</v>
      </c>
      <c r="AT1305" s="34">
        <v>117</v>
      </c>
      <c r="AU1305" s="34">
        <v>190</v>
      </c>
      <c r="AV1305" s="34">
        <v>36</v>
      </c>
      <c r="AW1305" s="34">
        <v>300</v>
      </c>
      <c r="AX1305" s="34">
        <v>353</v>
      </c>
      <c r="AY1305" s="34">
        <v>417</v>
      </c>
      <c r="AZ1305" s="34">
        <v>492</v>
      </c>
      <c r="BA1305" s="34">
        <v>565</v>
      </c>
      <c r="BB1305" s="34">
        <v>631</v>
      </c>
      <c r="BC1305" s="34">
        <v>701</v>
      </c>
      <c r="BD1305" s="34">
        <v>761</v>
      </c>
      <c r="BE1305" s="42">
        <v>809</v>
      </c>
      <c r="BF1305" s="149">
        <v>852</v>
      </c>
      <c r="BG1305" s="34">
        <v>873</v>
      </c>
      <c r="BH1305" s="154">
        <v>896</v>
      </c>
      <c r="BI1305" s="154">
        <v>919</v>
      </c>
      <c r="BJ1305" s="154">
        <v>954</v>
      </c>
      <c r="BK1305" s="154">
        <v>988</v>
      </c>
      <c r="BL1305" s="154">
        <v>1015</v>
      </c>
      <c r="BM1305" s="154">
        <v>1042</v>
      </c>
      <c r="BN1305" s="154">
        <v>1074</v>
      </c>
      <c r="BO1305" s="154">
        <v>1100</v>
      </c>
      <c r="BP1305" s="154">
        <v>1125</v>
      </c>
      <c r="BQ1305" s="154">
        <v>1156</v>
      </c>
      <c r="BR1305" s="101"/>
      <c r="BS1305">
        <f t="shared" si="2801"/>
        <v>0</v>
      </c>
      <c r="BT1305">
        <f t="shared" si="2802"/>
        <v>0</v>
      </c>
      <c r="BU1305">
        <f t="shared" si="2803"/>
        <v>0</v>
      </c>
      <c r="BV1305">
        <f t="shared" si="2804"/>
        <v>0</v>
      </c>
      <c r="BW1305">
        <f t="shared" si="2805"/>
        <v>0</v>
      </c>
      <c r="BX1305">
        <f t="shared" si="2806"/>
        <v>0</v>
      </c>
      <c r="BY1305">
        <f t="shared" si="2807"/>
        <v>0</v>
      </c>
      <c r="BZ1305">
        <f t="shared" si="2808"/>
        <v>0</v>
      </c>
      <c r="CA1305">
        <f t="shared" si="2809"/>
        <v>0</v>
      </c>
      <c r="CB1305">
        <f t="shared" si="2810"/>
        <v>0</v>
      </c>
      <c r="CC1305">
        <f t="shared" si="2811"/>
        <v>0</v>
      </c>
      <c r="CD1305">
        <f t="shared" si="2812"/>
        <v>0</v>
      </c>
      <c r="CE1305">
        <f t="shared" si="2813"/>
        <v>0</v>
      </c>
      <c r="CF1305">
        <f t="shared" si="2814"/>
        <v>0</v>
      </c>
      <c r="CG1305">
        <f t="shared" si="2815"/>
        <v>0</v>
      </c>
      <c r="CH1305">
        <f t="shared" si="2816"/>
        <v>0</v>
      </c>
      <c r="CI1305">
        <f t="shared" si="2817"/>
        <v>0</v>
      </c>
      <c r="CJ1305">
        <f t="shared" si="2818"/>
        <v>0</v>
      </c>
      <c r="CK1305">
        <f t="shared" si="2819"/>
        <v>0</v>
      </c>
      <c r="CL1305">
        <f t="shared" si="2820"/>
        <v>0</v>
      </c>
      <c r="CM1305">
        <f t="shared" si="2821"/>
        <v>0</v>
      </c>
      <c r="CN1305">
        <f t="shared" si="2822"/>
        <v>0</v>
      </c>
      <c r="CO1305">
        <f t="shared" si="2823"/>
        <v>0</v>
      </c>
      <c r="CP1305">
        <f t="shared" si="2824"/>
        <v>0</v>
      </c>
      <c r="CQ1305">
        <f t="shared" si="2825"/>
        <v>0</v>
      </c>
      <c r="CR1305">
        <f t="shared" si="2826"/>
        <v>0</v>
      </c>
      <c r="CS1305">
        <f t="shared" si="2827"/>
        <v>0</v>
      </c>
      <c r="CT1305">
        <f t="shared" si="2828"/>
        <v>0</v>
      </c>
      <c r="CU1305">
        <f t="shared" si="2829"/>
        <v>0</v>
      </c>
      <c r="CV1305">
        <f t="shared" si="2830"/>
        <v>0</v>
      </c>
      <c r="CW1305">
        <f t="shared" si="2831"/>
        <v>0</v>
      </c>
      <c r="CX1305">
        <f t="shared" si="2832"/>
        <v>0</v>
      </c>
      <c r="CY1305">
        <f t="shared" si="2833"/>
        <v>0</v>
      </c>
      <c r="CZ1305">
        <f t="shared" si="2834"/>
        <v>0</v>
      </c>
      <c r="DA1305">
        <f t="shared" si="2835"/>
        <v>0</v>
      </c>
      <c r="DB1305">
        <f t="shared" si="2836"/>
        <v>0</v>
      </c>
      <c r="DC1305">
        <f t="shared" si="2837"/>
        <v>0</v>
      </c>
      <c r="DD1305">
        <f t="shared" si="2838"/>
        <v>0</v>
      </c>
      <c r="DE1305">
        <f t="shared" si="2839"/>
        <v>0</v>
      </c>
      <c r="DF1305">
        <f t="shared" si="2840"/>
        <v>0</v>
      </c>
      <c r="DG1305">
        <f t="shared" si="2798"/>
        <v>0</v>
      </c>
      <c r="DH1305">
        <f t="shared" si="2842"/>
        <v>0</v>
      </c>
      <c r="DI1305">
        <f t="shared" si="2843"/>
        <v>0</v>
      </c>
      <c r="DJ1305">
        <f t="shared" si="2844"/>
        <v>0</v>
      </c>
      <c r="DK1305">
        <f t="shared" si="2845"/>
        <v>0</v>
      </c>
      <c r="DL1305">
        <f t="shared" si="2846"/>
        <v>0</v>
      </c>
      <c r="DM1305">
        <f t="shared" si="2847"/>
        <v>0</v>
      </c>
      <c r="DN1305">
        <f t="shared" si="2848"/>
        <v>0</v>
      </c>
      <c r="DO1305">
        <f t="shared" si="2849"/>
        <v>0</v>
      </c>
      <c r="DP1305">
        <f t="shared" si="2850"/>
        <v>0</v>
      </c>
      <c r="DQ1305">
        <f t="shared" si="2851"/>
        <v>0</v>
      </c>
      <c r="DR1305">
        <f t="shared" si="2852"/>
        <v>0</v>
      </c>
      <c r="DS1305">
        <f t="shared" si="2853"/>
        <v>0</v>
      </c>
      <c r="DT1305">
        <f t="shared" si="2854"/>
        <v>0</v>
      </c>
      <c r="DU1305">
        <f t="shared" si="2855"/>
        <v>0</v>
      </c>
      <c r="DV1305">
        <f t="shared" si="2856"/>
        <v>0</v>
      </c>
      <c r="DW1305">
        <f t="shared" si="2857"/>
        <v>0</v>
      </c>
      <c r="DX1305">
        <f t="shared" si="2858"/>
        <v>0</v>
      </c>
      <c r="DY1305">
        <f t="shared" si="2859"/>
        <v>0</v>
      </c>
      <c r="DZ1305">
        <f t="shared" si="2860"/>
        <v>0</v>
      </c>
      <c r="EA1305">
        <f t="shared" si="2861"/>
        <v>0</v>
      </c>
      <c r="EB1305">
        <f t="shared" si="2862"/>
        <v>0</v>
      </c>
      <c r="EC1305">
        <f t="shared" si="2861"/>
        <v>0</v>
      </c>
      <c r="ED1305">
        <f t="shared" si="2861"/>
        <v>0</v>
      </c>
      <c r="EE1305">
        <f t="shared" si="2861"/>
        <v>0</v>
      </c>
      <c r="EF1305">
        <f t="shared" si="2861"/>
        <v>0</v>
      </c>
    </row>
    <row r="1306" spans="1:136" ht="15.5">
      <c r="A1306" s="90"/>
      <c r="B1306" s="57" t="s">
        <v>202</v>
      </c>
      <c r="C1306" s="88"/>
      <c r="D1306" s="34"/>
      <c r="E1306" s="34"/>
      <c r="F1306" s="34"/>
      <c r="G1306" s="34"/>
      <c r="H1306" s="34"/>
      <c r="I1306" s="34"/>
      <c r="J1306" s="34"/>
      <c r="K1306" s="34"/>
      <c r="L1306" s="34"/>
      <c r="M1306" s="34"/>
      <c r="N1306" s="34">
        <v>0</v>
      </c>
      <c r="O1306" s="34">
        <v>0</v>
      </c>
      <c r="P1306" s="34">
        <v>0</v>
      </c>
      <c r="Q1306" s="34">
        <v>0</v>
      </c>
      <c r="R1306" s="34">
        <v>0</v>
      </c>
      <c r="S1306" s="34">
        <v>0</v>
      </c>
      <c r="T1306" s="34">
        <v>0</v>
      </c>
      <c r="U1306" s="34">
        <v>0</v>
      </c>
      <c r="V1306" s="34">
        <v>0</v>
      </c>
      <c r="W1306" s="34">
        <v>0</v>
      </c>
      <c r="X1306" s="34">
        <v>0</v>
      </c>
      <c r="Y1306" s="34">
        <v>0</v>
      </c>
      <c r="Z1306" s="34">
        <v>0</v>
      </c>
      <c r="AA1306" s="34">
        <v>0</v>
      </c>
      <c r="AB1306" s="34">
        <v>0</v>
      </c>
      <c r="AC1306" s="34">
        <v>0</v>
      </c>
      <c r="AD1306" s="34">
        <v>0</v>
      </c>
      <c r="AE1306" s="34">
        <v>0</v>
      </c>
      <c r="AF1306" s="34">
        <v>0</v>
      </c>
      <c r="AG1306" s="34">
        <v>0</v>
      </c>
      <c r="AH1306" s="34">
        <v>0</v>
      </c>
      <c r="AI1306" s="34">
        <v>0</v>
      </c>
      <c r="AJ1306" s="34">
        <v>0</v>
      </c>
      <c r="AK1306" s="34">
        <v>0</v>
      </c>
      <c r="AL1306" s="34">
        <v>0</v>
      </c>
      <c r="AM1306" s="34">
        <v>0</v>
      </c>
      <c r="AN1306" s="34">
        <v>0</v>
      </c>
      <c r="AO1306" s="34">
        <v>0</v>
      </c>
      <c r="AP1306" s="34">
        <v>0</v>
      </c>
      <c r="AQ1306" s="34">
        <v>0</v>
      </c>
      <c r="AR1306" s="34">
        <v>0</v>
      </c>
      <c r="AS1306" s="175">
        <v>5</v>
      </c>
      <c r="AT1306" s="175">
        <v>9</v>
      </c>
      <c r="AU1306" s="175">
        <v>20</v>
      </c>
      <c r="AV1306" s="175">
        <v>36</v>
      </c>
      <c r="AW1306" s="175">
        <v>51</v>
      </c>
      <c r="AX1306" s="175">
        <v>67</v>
      </c>
      <c r="AY1306" s="175">
        <v>85</v>
      </c>
      <c r="AZ1306" s="175">
        <v>109</v>
      </c>
      <c r="BA1306" s="175">
        <v>121</v>
      </c>
      <c r="BB1306" s="175">
        <v>132</v>
      </c>
      <c r="BC1306" s="175">
        <v>160</v>
      </c>
      <c r="BD1306" s="175">
        <v>169</v>
      </c>
      <c r="BE1306" s="249">
        <v>188</v>
      </c>
      <c r="BF1306" s="175">
        <v>220</v>
      </c>
      <c r="BG1306" s="175">
        <v>222</v>
      </c>
      <c r="BH1306" s="154">
        <v>242</v>
      </c>
      <c r="BI1306" s="154">
        <v>262</v>
      </c>
      <c r="BJ1306" s="154">
        <v>290</v>
      </c>
      <c r="BK1306" s="154">
        <v>312</v>
      </c>
      <c r="BL1306" s="154">
        <v>361</v>
      </c>
      <c r="BM1306" s="154">
        <v>377</v>
      </c>
      <c r="BN1306" s="154">
        <v>381</v>
      </c>
      <c r="BO1306" s="154">
        <v>407</v>
      </c>
      <c r="BP1306" s="154">
        <v>419</v>
      </c>
      <c r="BQ1306" s="154">
        <v>465</v>
      </c>
      <c r="BR1306" s="101"/>
      <c r="BS1306">
        <f t="shared" si="2801"/>
        <v>0</v>
      </c>
      <c r="BT1306">
        <f t="shared" si="2802"/>
        <v>0</v>
      </c>
      <c r="BU1306">
        <f t="shared" si="2803"/>
        <v>0</v>
      </c>
      <c r="BV1306">
        <f t="shared" si="2804"/>
        <v>0</v>
      </c>
      <c r="BW1306">
        <f t="shared" si="2805"/>
        <v>0</v>
      </c>
      <c r="BX1306">
        <f t="shared" si="2806"/>
        <v>0</v>
      </c>
      <c r="BY1306">
        <f t="shared" si="2807"/>
        <v>0</v>
      </c>
      <c r="BZ1306">
        <f t="shared" si="2808"/>
        <v>0</v>
      </c>
      <c r="CA1306">
        <f t="shared" si="2809"/>
        <v>0</v>
      </c>
      <c r="CB1306">
        <f t="shared" si="2810"/>
        <v>0</v>
      </c>
      <c r="CC1306">
        <f t="shared" si="2811"/>
        <v>0</v>
      </c>
      <c r="CD1306">
        <f t="shared" si="2812"/>
        <v>0</v>
      </c>
      <c r="CE1306">
        <f t="shared" si="2813"/>
        <v>0</v>
      </c>
      <c r="CF1306">
        <f t="shared" si="2814"/>
        <v>0</v>
      </c>
      <c r="CG1306">
        <f t="shared" si="2815"/>
        <v>0</v>
      </c>
      <c r="CH1306">
        <f t="shared" si="2816"/>
        <v>0</v>
      </c>
      <c r="CI1306">
        <f t="shared" si="2817"/>
        <v>0</v>
      </c>
      <c r="CJ1306">
        <f t="shared" si="2818"/>
        <v>0</v>
      </c>
      <c r="CK1306">
        <f t="shared" si="2819"/>
        <v>0</v>
      </c>
      <c r="CL1306">
        <f t="shared" si="2820"/>
        <v>0</v>
      </c>
      <c r="CM1306">
        <f t="shared" si="2821"/>
        <v>0</v>
      </c>
      <c r="CN1306">
        <f t="shared" si="2822"/>
        <v>0</v>
      </c>
      <c r="CO1306">
        <f t="shared" si="2823"/>
        <v>0</v>
      </c>
      <c r="CP1306">
        <f t="shared" si="2824"/>
        <v>0</v>
      </c>
      <c r="CQ1306">
        <f t="shared" si="2825"/>
        <v>0</v>
      </c>
      <c r="CR1306">
        <f t="shared" si="2826"/>
        <v>0</v>
      </c>
      <c r="CS1306">
        <f t="shared" si="2827"/>
        <v>0</v>
      </c>
      <c r="CT1306">
        <f t="shared" si="2828"/>
        <v>0</v>
      </c>
      <c r="CU1306">
        <f t="shared" si="2829"/>
        <v>0</v>
      </c>
      <c r="CV1306">
        <f t="shared" si="2830"/>
        <v>0</v>
      </c>
      <c r="CW1306">
        <f t="shared" si="2831"/>
        <v>0</v>
      </c>
      <c r="CX1306">
        <f t="shared" si="2832"/>
        <v>0</v>
      </c>
      <c r="CY1306">
        <f t="shared" si="2833"/>
        <v>0</v>
      </c>
      <c r="CZ1306">
        <f t="shared" si="2834"/>
        <v>0</v>
      </c>
      <c r="DA1306">
        <f t="shared" si="2835"/>
        <v>0</v>
      </c>
      <c r="DB1306">
        <f t="shared" si="2836"/>
        <v>0</v>
      </c>
      <c r="DC1306">
        <f t="shared" si="2837"/>
        <v>0</v>
      </c>
      <c r="DD1306">
        <f t="shared" si="2838"/>
        <v>0</v>
      </c>
      <c r="DE1306">
        <f t="shared" si="2839"/>
        <v>0</v>
      </c>
      <c r="DF1306">
        <f t="shared" si="2840"/>
        <v>0</v>
      </c>
      <c r="DG1306">
        <f t="shared" si="2798"/>
        <v>0</v>
      </c>
      <c r="DH1306">
        <f t="shared" si="2842"/>
        <v>0</v>
      </c>
      <c r="DI1306">
        <f t="shared" si="2843"/>
        <v>0</v>
      </c>
      <c r="DJ1306">
        <f t="shared" si="2844"/>
        <v>0</v>
      </c>
      <c r="DK1306">
        <f t="shared" si="2845"/>
        <v>0</v>
      </c>
      <c r="DL1306">
        <f t="shared" si="2846"/>
        <v>0</v>
      </c>
      <c r="DM1306">
        <f t="shared" si="2847"/>
        <v>0</v>
      </c>
      <c r="DN1306">
        <f t="shared" si="2848"/>
        <v>0</v>
      </c>
      <c r="DO1306">
        <f t="shared" si="2849"/>
        <v>0</v>
      </c>
      <c r="DP1306">
        <f t="shared" si="2850"/>
        <v>0</v>
      </c>
      <c r="DQ1306">
        <f t="shared" si="2851"/>
        <v>0</v>
      </c>
      <c r="DR1306">
        <f t="shared" si="2852"/>
        <v>0</v>
      </c>
      <c r="DS1306">
        <f t="shared" si="2853"/>
        <v>0</v>
      </c>
      <c r="DT1306">
        <f t="shared" si="2854"/>
        <v>0</v>
      </c>
      <c r="DU1306">
        <f t="shared" si="2855"/>
        <v>0</v>
      </c>
      <c r="DV1306">
        <f t="shared" si="2856"/>
        <v>0</v>
      </c>
      <c r="DW1306">
        <f t="shared" si="2857"/>
        <v>0</v>
      </c>
      <c r="DX1306">
        <f t="shared" si="2858"/>
        <v>0</v>
      </c>
      <c r="DY1306">
        <f t="shared" si="2859"/>
        <v>0</v>
      </c>
      <c r="DZ1306">
        <f t="shared" si="2860"/>
        <v>0</v>
      </c>
      <c r="EA1306">
        <f t="shared" si="2861"/>
        <v>0</v>
      </c>
      <c r="EB1306">
        <f t="shared" si="2862"/>
        <v>0</v>
      </c>
      <c r="EC1306">
        <f t="shared" si="2861"/>
        <v>0</v>
      </c>
      <c r="ED1306">
        <f t="shared" si="2861"/>
        <v>0</v>
      </c>
      <c r="EE1306">
        <f t="shared" si="2861"/>
        <v>0</v>
      </c>
      <c r="EF1306">
        <f t="shared" si="2861"/>
        <v>0</v>
      </c>
    </row>
    <row r="1307" spans="1:136" ht="15.5">
      <c r="A1307" s="90"/>
      <c r="B1307" s="19" t="s">
        <v>2</v>
      </c>
      <c r="C1307" s="88"/>
      <c r="D1307" s="34"/>
      <c r="E1307" s="34"/>
      <c r="F1307" s="34"/>
      <c r="G1307" s="34"/>
      <c r="H1307" s="34"/>
      <c r="I1307" s="34"/>
      <c r="J1307" s="34"/>
      <c r="K1307" s="34"/>
      <c r="L1307" s="34"/>
      <c r="M1307" s="34"/>
      <c r="N1307" s="34">
        <v>0</v>
      </c>
      <c r="O1307" s="34">
        <v>0</v>
      </c>
      <c r="P1307" s="34">
        <v>0</v>
      </c>
      <c r="Q1307" s="34">
        <v>0</v>
      </c>
      <c r="R1307" s="34">
        <v>0</v>
      </c>
      <c r="S1307" s="34">
        <v>0</v>
      </c>
      <c r="T1307" s="34">
        <v>0</v>
      </c>
      <c r="U1307" s="34">
        <v>0</v>
      </c>
      <c r="V1307" s="34">
        <v>0</v>
      </c>
      <c r="W1307" s="34">
        <v>0</v>
      </c>
      <c r="X1307" s="34">
        <v>0</v>
      </c>
      <c r="Y1307" s="34">
        <v>0</v>
      </c>
      <c r="Z1307" s="34">
        <v>0</v>
      </c>
      <c r="AA1307" s="34">
        <v>0</v>
      </c>
      <c r="AB1307" s="34">
        <v>0</v>
      </c>
      <c r="AC1307" s="34">
        <v>0</v>
      </c>
      <c r="AD1307" s="34">
        <v>0</v>
      </c>
      <c r="AE1307" s="34">
        <v>0</v>
      </c>
      <c r="AF1307" s="34">
        <v>0</v>
      </c>
      <c r="AG1307" s="34">
        <v>0</v>
      </c>
      <c r="AH1307" s="34">
        <v>0</v>
      </c>
      <c r="AI1307" s="34">
        <v>0</v>
      </c>
      <c r="AJ1307" s="34">
        <v>0</v>
      </c>
      <c r="AK1307" s="34">
        <v>0</v>
      </c>
      <c r="AL1307" s="34">
        <v>0</v>
      </c>
      <c r="AM1307" s="34">
        <v>0</v>
      </c>
      <c r="AN1307" s="34">
        <v>0</v>
      </c>
      <c r="AO1307" s="34">
        <v>0</v>
      </c>
      <c r="AP1307" s="34">
        <v>0</v>
      </c>
      <c r="AQ1307" s="34">
        <v>0</v>
      </c>
      <c r="AR1307" s="40" t="s">
        <v>16</v>
      </c>
      <c r="AS1307" s="40" t="s">
        <v>16</v>
      </c>
      <c r="AT1307" s="40" t="s">
        <v>16</v>
      </c>
      <c r="AU1307" s="40" t="s">
        <v>16</v>
      </c>
      <c r="AV1307" s="40" t="s">
        <v>16</v>
      </c>
      <c r="AW1307" s="40" t="s">
        <v>16</v>
      </c>
      <c r="AX1307" s="40" t="s">
        <v>16</v>
      </c>
      <c r="AY1307" s="40" t="s">
        <v>16</v>
      </c>
      <c r="AZ1307" s="266">
        <v>2084</v>
      </c>
      <c r="BA1307" s="169">
        <v>2063</v>
      </c>
      <c r="BB1307" s="169">
        <v>2015</v>
      </c>
      <c r="BC1307" s="169">
        <v>1938</v>
      </c>
      <c r="BD1307" s="169">
        <v>1940</v>
      </c>
      <c r="BE1307" s="169">
        <v>2051</v>
      </c>
      <c r="BF1307" s="169">
        <v>2264</v>
      </c>
      <c r="BG1307" s="169">
        <v>2854</v>
      </c>
      <c r="BH1307" s="169">
        <v>3041</v>
      </c>
      <c r="BI1307" s="169">
        <v>1896</v>
      </c>
      <c r="BJ1307" s="169">
        <v>1888</v>
      </c>
      <c r="BK1307" s="169">
        <v>1880</v>
      </c>
      <c r="BL1307" s="154">
        <v>2067</v>
      </c>
      <c r="BM1307" s="154">
        <v>1905</v>
      </c>
      <c r="BN1307" s="154">
        <v>1822</v>
      </c>
      <c r="BO1307" s="154">
        <v>1826</v>
      </c>
      <c r="BP1307" s="154">
        <v>1779</v>
      </c>
      <c r="BQ1307" s="113">
        <v>1850</v>
      </c>
      <c r="BR1307" s="101"/>
      <c r="BS1307">
        <f t="shared" si="2801"/>
        <v>0</v>
      </c>
      <c r="BT1307">
        <f t="shared" si="2802"/>
        <v>0</v>
      </c>
      <c r="BU1307">
        <f t="shared" si="2803"/>
        <v>0</v>
      </c>
      <c r="BV1307">
        <f t="shared" si="2804"/>
        <v>0</v>
      </c>
      <c r="BW1307">
        <f t="shared" si="2805"/>
        <v>0</v>
      </c>
      <c r="BX1307">
        <f t="shared" si="2806"/>
        <v>0</v>
      </c>
      <c r="BY1307">
        <f t="shared" si="2807"/>
        <v>0</v>
      </c>
      <c r="BZ1307">
        <f t="shared" si="2808"/>
        <v>0</v>
      </c>
      <c r="CA1307">
        <f t="shared" si="2809"/>
        <v>0</v>
      </c>
      <c r="CB1307">
        <f t="shared" si="2810"/>
        <v>0</v>
      </c>
      <c r="CC1307">
        <f t="shared" si="2811"/>
        <v>0</v>
      </c>
      <c r="CD1307">
        <f t="shared" si="2812"/>
        <v>0</v>
      </c>
      <c r="CE1307">
        <f t="shared" si="2813"/>
        <v>0</v>
      </c>
      <c r="CF1307">
        <f t="shared" si="2814"/>
        <v>0</v>
      </c>
      <c r="CG1307">
        <f t="shared" si="2815"/>
        <v>0</v>
      </c>
      <c r="CH1307">
        <f t="shared" si="2816"/>
        <v>0</v>
      </c>
      <c r="CI1307">
        <f t="shared" si="2817"/>
        <v>0</v>
      </c>
      <c r="CJ1307">
        <f t="shared" si="2818"/>
        <v>0</v>
      </c>
      <c r="CK1307">
        <f t="shared" si="2819"/>
        <v>0</v>
      </c>
      <c r="CL1307">
        <f t="shared" si="2820"/>
        <v>0</v>
      </c>
      <c r="CM1307">
        <f t="shared" si="2821"/>
        <v>0</v>
      </c>
      <c r="CN1307">
        <f t="shared" si="2822"/>
        <v>0</v>
      </c>
      <c r="CO1307">
        <f t="shared" si="2823"/>
        <v>0</v>
      </c>
      <c r="CP1307">
        <f t="shared" si="2824"/>
        <v>0</v>
      </c>
      <c r="CQ1307">
        <f t="shared" si="2825"/>
        <v>0</v>
      </c>
      <c r="CR1307">
        <f t="shared" si="2826"/>
        <v>0</v>
      </c>
      <c r="CS1307">
        <f t="shared" si="2827"/>
        <v>0</v>
      </c>
      <c r="CT1307">
        <f t="shared" si="2828"/>
        <v>0</v>
      </c>
      <c r="CU1307">
        <f t="shared" si="2829"/>
        <v>0</v>
      </c>
      <c r="CV1307">
        <f t="shared" si="2830"/>
        <v>0</v>
      </c>
      <c r="CW1307">
        <f t="shared" si="2831"/>
        <v>0</v>
      </c>
      <c r="CX1307">
        <f t="shared" si="2832"/>
        <v>0</v>
      </c>
      <c r="CY1307">
        <f t="shared" si="2833"/>
        <v>0</v>
      </c>
      <c r="CZ1307">
        <f t="shared" si="2834"/>
        <v>0</v>
      </c>
      <c r="DA1307">
        <f t="shared" si="2835"/>
        <v>0</v>
      </c>
      <c r="DB1307">
        <f t="shared" si="2836"/>
        <v>0</v>
      </c>
      <c r="DC1307">
        <f t="shared" si="2837"/>
        <v>0</v>
      </c>
      <c r="DD1307">
        <f t="shared" si="2838"/>
        <v>0</v>
      </c>
      <c r="DE1307">
        <f t="shared" si="2839"/>
        <v>0</v>
      </c>
      <c r="DF1307">
        <f t="shared" si="2840"/>
        <v>0</v>
      </c>
      <c r="DG1307">
        <f t="shared" si="2798"/>
        <v>0</v>
      </c>
      <c r="DH1307">
        <f t="shared" si="2842"/>
        <v>0</v>
      </c>
      <c r="DI1307">
        <f t="shared" si="2843"/>
        <v>0</v>
      </c>
      <c r="DJ1307">
        <f t="shared" si="2844"/>
        <v>0</v>
      </c>
      <c r="DK1307">
        <f t="shared" si="2845"/>
        <v>0</v>
      </c>
      <c r="DL1307">
        <f t="shared" si="2846"/>
        <v>0</v>
      </c>
      <c r="DM1307">
        <f t="shared" si="2847"/>
        <v>0</v>
      </c>
      <c r="DN1307">
        <f t="shared" si="2848"/>
        <v>0</v>
      </c>
      <c r="DO1307">
        <f t="shared" si="2849"/>
        <v>0</v>
      </c>
      <c r="DP1307">
        <f t="shared" si="2850"/>
        <v>0</v>
      </c>
      <c r="DQ1307">
        <f t="shared" si="2851"/>
        <v>0</v>
      </c>
      <c r="DR1307">
        <f t="shared" si="2852"/>
        <v>0</v>
      </c>
      <c r="DS1307">
        <f t="shared" si="2853"/>
        <v>0</v>
      </c>
      <c r="DT1307">
        <f t="shared" si="2854"/>
        <v>0</v>
      </c>
      <c r="DU1307">
        <f t="shared" si="2855"/>
        <v>0</v>
      </c>
      <c r="DV1307">
        <f t="shared" si="2856"/>
        <v>0</v>
      </c>
      <c r="DW1307">
        <f t="shared" si="2857"/>
        <v>0</v>
      </c>
      <c r="DX1307">
        <f t="shared" si="2858"/>
        <v>0</v>
      </c>
      <c r="DY1307">
        <f t="shared" si="2859"/>
        <v>0</v>
      </c>
      <c r="DZ1307">
        <f t="shared" si="2860"/>
        <v>0</v>
      </c>
      <c r="EA1307">
        <f t="shared" si="2861"/>
        <v>0</v>
      </c>
      <c r="EB1307">
        <f t="shared" si="2862"/>
        <v>0</v>
      </c>
      <c r="EC1307">
        <f t="shared" si="2861"/>
        <v>0</v>
      </c>
      <c r="ED1307">
        <f t="shared" si="2861"/>
        <v>0</v>
      </c>
      <c r="EE1307">
        <f t="shared" si="2861"/>
        <v>0</v>
      </c>
      <c r="EF1307">
        <f t="shared" si="2861"/>
        <v>0</v>
      </c>
    </row>
    <row r="1308" spans="1:136" ht="15.5">
      <c r="A1308" s="90"/>
      <c r="B1308" s="19" t="s">
        <v>205</v>
      </c>
      <c r="C1308" s="88"/>
      <c r="D1308" s="34"/>
      <c r="E1308" s="34"/>
      <c r="F1308" s="34"/>
      <c r="G1308" s="34"/>
      <c r="H1308" s="34"/>
      <c r="I1308" s="34"/>
      <c r="J1308" s="34"/>
      <c r="K1308" s="34"/>
      <c r="L1308" s="34"/>
      <c r="M1308" s="34"/>
      <c r="N1308" s="34"/>
      <c r="O1308" s="34"/>
      <c r="P1308" s="34"/>
      <c r="Q1308" s="34"/>
      <c r="R1308" s="34"/>
      <c r="S1308" s="34"/>
      <c r="T1308" s="34"/>
      <c r="U1308" s="34"/>
      <c r="V1308" s="34"/>
      <c r="W1308" s="34"/>
      <c r="X1308" s="34"/>
      <c r="Y1308" s="34"/>
      <c r="Z1308" s="34"/>
      <c r="AA1308" s="34"/>
      <c r="AB1308" s="34"/>
      <c r="AC1308" s="34">
        <v>0</v>
      </c>
      <c r="AD1308" s="34">
        <v>0</v>
      </c>
      <c r="AE1308" s="34">
        <v>0</v>
      </c>
      <c r="AF1308" s="34">
        <v>0</v>
      </c>
      <c r="AG1308" s="34">
        <v>0</v>
      </c>
      <c r="AH1308" s="34">
        <v>0</v>
      </c>
      <c r="AI1308" s="34">
        <v>0</v>
      </c>
      <c r="AJ1308" s="34">
        <v>0</v>
      </c>
      <c r="AK1308" s="34">
        <v>0</v>
      </c>
      <c r="AL1308" s="34">
        <v>0</v>
      </c>
      <c r="AM1308" s="34">
        <v>0</v>
      </c>
      <c r="AN1308" s="34">
        <v>0</v>
      </c>
      <c r="AO1308" s="34">
        <v>0</v>
      </c>
      <c r="AP1308" s="34">
        <v>0</v>
      </c>
      <c r="AQ1308" s="34">
        <v>0</v>
      </c>
      <c r="AR1308" s="71">
        <v>9.1658021999999999</v>
      </c>
      <c r="AS1308" s="71">
        <v>11.5545863</v>
      </c>
      <c r="AT1308" s="71">
        <v>30.8779577</v>
      </c>
      <c r="AU1308" s="18">
        <v>25.146777199999999</v>
      </c>
      <c r="AV1308" s="18">
        <v>35.193695099999999</v>
      </c>
      <c r="AW1308" s="71">
        <v>56.448499099999999</v>
      </c>
      <c r="AX1308" s="71">
        <v>68.801977800000003</v>
      </c>
      <c r="AY1308" s="18">
        <v>97.038442799999999</v>
      </c>
      <c r="AZ1308" s="71">
        <v>128.022999</v>
      </c>
      <c r="BA1308" s="71">
        <v>125.1800314</v>
      </c>
      <c r="BB1308" s="71">
        <v>143.0619217</v>
      </c>
      <c r="BC1308" s="71">
        <v>153.92958290000001</v>
      </c>
      <c r="BD1308" s="71">
        <v>187.4811072</v>
      </c>
      <c r="BE1308" s="128">
        <v>249.00132370000003</v>
      </c>
      <c r="BF1308" s="169">
        <v>136.57831290000001</v>
      </c>
      <c r="BG1308" s="71">
        <v>158.428237</v>
      </c>
      <c r="BH1308" s="169">
        <v>230.76059759999998</v>
      </c>
      <c r="BI1308" s="169">
        <v>310</v>
      </c>
      <c r="BJ1308" s="147">
        <v>348.14822610000004</v>
      </c>
      <c r="BK1308" s="147">
        <v>407.26894160000001</v>
      </c>
      <c r="BL1308" s="154">
        <v>508.85960999999998</v>
      </c>
      <c r="BM1308" s="154">
        <v>528.84127000000001</v>
      </c>
      <c r="BN1308" s="154">
        <v>540.80036860000007</v>
      </c>
      <c r="BO1308" s="154">
        <v>629.14232560000005</v>
      </c>
      <c r="BP1308" s="154">
        <v>692.47214670000005</v>
      </c>
      <c r="BQ1308" s="113">
        <v>625</v>
      </c>
      <c r="BR1308" s="101"/>
      <c r="BS1308">
        <f t="shared" si="2801"/>
        <v>0</v>
      </c>
      <c r="BT1308">
        <f t="shared" si="2802"/>
        <v>0</v>
      </c>
      <c r="BU1308">
        <f t="shared" si="2803"/>
        <v>0</v>
      </c>
      <c r="BV1308">
        <f t="shared" si="2804"/>
        <v>0</v>
      </c>
      <c r="BW1308">
        <f t="shared" si="2805"/>
        <v>0</v>
      </c>
      <c r="BX1308">
        <f t="shared" si="2806"/>
        <v>0</v>
      </c>
      <c r="BY1308">
        <f t="shared" si="2807"/>
        <v>0</v>
      </c>
      <c r="BZ1308">
        <f t="shared" si="2808"/>
        <v>0</v>
      </c>
      <c r="CA1308">
        <f t="shared" si="2809"/>
        <v>0</v>
      </c>
      <c r="CB1308">
        <f t="shared" si="2810"/>
        <v>0</v>
      </c>
      <c r="CC1308">
        <f t="shared" si="2811"/>
        <v>0</v>
      </c>
      <c r="CD1308">
        <f t="shared" si="2812"/>
        <v>0</v>
      </c>
      <c r="CE1308">
        <f t="shared" si="2813"/>
        <v>0</v>
      </c>
      <c r="CF1308">
        <f t="shared" si="2814"/>
        <v>0</v>
      </c>
      <c r="CG1308">
        <f t="shared" si="2815"/>
        <v>0</v>
      </c>
      <c r="CH1308">
        <f t="shared" si="2816"/>
        <v>0</v>
      </c>
      <c r="CI1308">
        <f t="shared" si="2817"/>
        <v>0</v>
      </c>
      <c r="CJ1308">
        <f t="shared" si="2818"/>
        <v>0</v>
      </c>
      <c r="CK1308">
        <f t="shared" si="2819"/>
        <v>0</v>
      </c>
      <c r="CL1308">
        <f t="shared" si="2820"/>
        <v>0</v>
      </c>
      <c r="CM1308">
        <f t="shared" si="2821"/>
        <v>0</v>
      </c>
      <c r="CN1308">
        <f t="shared" si="2822"/>
        <v>0</v>
      </c>
      <c r="CO1308">
        <f t="shared" si="2823"/>
        <v>0</v>
      </c>
      <c r="CP1308">
        <f t="shared" si="2824"/>
        <v>0</v>
      </c>
      <c r="CQ1308">
        <f t="shared" si="2825"/>
        <v>0</v>
      </c>
      <c r="CR1308">
        <f t="shared" si="2826"/>
        <v>0</v>
      </c>
      <c r="CS1308">
        <f t="shared" si="2827"/>
        <v>0</v>
      </c>
      <c r="CT1308">
        <f t="shared" si="2828"/>
        <v>0</v>
      </c>
      <c r="CU1308">
        <f t="shared" si="2829"/>
        <v>0</v>
      </c>
      <c r="CV1308">
        <f t="shared" si="2830"/>
        <v>0</v>
      </c>
      <c r="CW1308">
        <f t="shared" si="2831"/>
        <v>0</v>
      </c>
      <c r="CX1308">
        <f t="shared" si="2832"/>
        <v>0</v>
      </c>
      <c r="CY1308">
        <f t="shared" si="2833"/>
        <v>0</v>
      </c>
      <c r="CZ1308">
        <f t="shared" si="2834"/>
        <v>0</v>
      </c>
      <c r="DA1308">
        <f t="shared" si="2835"/>
        <v>0</v>
      </c>
      <c r="DB1308">
        <f t="shared" si="2836"/>
        <v>0</v>
      </c>
      <c r="DC1308">
        <f t="shared" si="2837"/>
        <v>0</v>
      </c>
      <c r="DD1308">
        <f t="shared" si="2838"/>
        <v>0</v>
      </c>
      <c r="DE1308">
        <f t="shared" si="2839"/>
        <v>0</v>
      </c>
      <c r="DF1308">
        <f t="shared" si="2840"/>
        <v>0</v>
      </c>
      <c r="DG1308">
        <f t="shared" si="2798"/>
        <v>0</v>
      </c>
      <c r="DH1308">
        <f t="shared" si="2842"/>
        <v>0</v>
      </c>
      <c r="DI1308">
        <f t="shared" si="2843"/>
        <v>0</v>
      </c>
      <c r="DJ1308">
        <f t="shared" si="2844"/>
        <v>0</v>
      </c>
      <c r="DK1308">
        <f t="shared" si="2845"/>
        <v>0</v>
      </c>
      <c r="DL1308">
        <f t="shared" si="2846"/>
        <v>0</v>
      </c>
      <c r="DM1308">
        <f t="shared" si="2847"/>
        <v>0</v>
      </c>
      <c r="DN1308">
        <f t="shared" si="2848"/>
        <v>0</v>
      </c>
      <c r="DO1308">
        <f t="shared" si="2849"/>
        <v>0</v>
      </c>
      <c r="DP1308">
        <f t="shared" si="2850"/>
        <v>0</v>
      </c>
      <c r="DQ1308">
        <f t="shared" si="2851"/>
        <v>0</v>
      </c>
      <c r="DR1308">
        <f t="shared" si="2852"/>
        <v>0</v>
      </c>
      <c r="DS1308">
        <f t="shared" si="2853"/>
        <v>0</v>
      </c>
      <c r="DT1308">
        <f t="shared" si="2854"/>
        <v>0</v>
      </c>
      <c r="DU1308">
        <f t="shared" si="2855"/>
        <v>0</v>
      </c>
      <c r="DV1308">
        <f t="shared" si="2856"/>
        <v>0</v>
      </c>
      <c r="DW1308">
        <f t="shared" si="2857"/>
        <v>0</v>
      </c>
      <c r="DX1308">
        <f t="shared" si="2858"/>
        <v>0</v>
      </c>
      <c r="DY1308">
        <f t="shared" si="2859"/>
        <v>0</v>
      </c>
      <c r="DZ1308">
        <f t="shared" si="2860"/>
        <v>0</v>
      </c>
      <c r="EA1308">
        <f t="shared" si="2861"/>
        <v>0</v>
      </c>
      <c r="EB1308">
        <f t="shared" si="2862"/>
        <v>0</v>
      </c>
      <c r="EC1308">
        <f t="shared" si="2861"/>
        <v>0</v>
      </c>
      <c r="ED1308">
        <f t="shared" si="2861"/>
        <v>0</v>
      </c>
      <c r="EE1308">
        <f t="shared" si="2861"/>
        <v>0</v>
      </c>
      <c r="EF1308">
        <f t="shared" si="2861"/>
        <v>0</v>
      </c>
    </row>
    <row r="1309" spans="1:136" ht="15.5">
      <c r="A1309" s="90"/>
      <c r="B1309" s="57" t="s">
        <v>3</v>
      </c>
      <c r="C1309" s="88"/>
      <c r="D1309" s="34"/>
      <c r="E1309" s="34"/>
      <c r="F1309" s="34"/>
      <c r="G1309" s="34"/>
      <c r="H1309" s="34"/>
      <c r="I1309" s="34"/>
      <c r="J1309" s="34"/>
      <c r="K1309" s="34"/>
      <c r="L1309" s="34"/>
      <c r="M1309" s="34"/>
      <c r="N1309" s="34">
        <v>7.2984</v>
      </c>
      <c r="O1309" s="34">
        <v>10.7732583</v>
      </c>
      <c r="P1309" s="34">
        <v>11.301405300000001</v>
      </c>
      <c r="Q1309" s="34">
        <v>0</v>
      </c>
      <c r="R1309" s="34">
        <v>0</v>
      </c>
      <c r="S1309" s="34">
        <v>0</v>
      </c>
      <c r="T1309" s="34">
        <v>0</v>
      </c>
      <c r="U1309" s="34">
        <v>0</v>
      </c>
      <c r="V1309" s="34">
        <v>4.2453855999999996</v>
      </c>
      <c r="W1309" s="34">
        <v>0</v>
      </c>
      <c r="X1309" s="34">
        <v>0</v>
      </c>
      <c r="Y1309" s="34">
        <v>0</v>
      </c>
      <c r="Z1309" s="34">
        <v>0</v>
      </c>
      <c r="AA1309" s="34">
        <v>0</v>
      </c>
      <c r="AB1309" s="34">
        <v>0</v>
      </c>
      <c r="AC1309" s="34">
        <v>0</v>
      </c>
      <c r="AD1309" s="34">
        <v>0</v>
      </c>
      <c r="AE1309" s="34">
        <v>4.3680782999999996</v>
      </c>
      <c r="AF1309" s="34">
        <v>0.57435309999999995</v>
      </c>
      <c r="AG1309" s="34">
        <v>1.8660000000000001</v>
      </c>
      <c r="AH1309" s="34">
        <v>23.770828399999999</v>
      </c>
      <c r="AI1309" s="34">
        <v>1.27034E-2</v>
      </c>
      <c r="AJ1309" s="34">
        <v>0.99629030000000007</v>
      </c>
      <c r="AK1309" s="34">
        <v>2.6062821</v>
      </c>
      <c r="AL1309" s="34">
        <v>14.898059200000001</v>
      </c>
      <c r="AM1309" s="34">
        <v>74.201582999999999</v>
      </c>
      <c r="AN1309" s="34">
        <v>1.2404444999999999</v>
      </c>
      <c r="AO1309" s="34">
        <v>1</v>
      </c>
      <c r="AP1309" s="34">
        <v>7</v>
      </c>
      <c r="AQ1309" s="34">
        <v>12</v>
      </c>
      <c r="AR1309" s="18">
        <f>162-AR1308</f>
        <v>152.8341978</v>
      </c>
      <c r="AS1309" s="34">
        <f>486-AS1306-AS1305-AS1308</f>
        <v>421.44541370000002</v>
      </c>
      <c r="AT1309" s="34">
        <f>959-AT1306-AT1305-AT1308</f>
        <v>802.12204229999998</v>
      </c>
      <c r="AU1309" s="34">
        <f>1413-AU1306-AU1305-AU1308</f>
        <v>1177.8532227999999</v>
      </c>
      <c r="AV1309" s="34">
        <f>1699-AV1306-AV1305-AV1308</f>
        <v>1591.8063049</v>
      </c>
      <c r="AW1309" s="34">
        <f>1657-AW1306-AW1305-AW1308</f>
        <v>1249.5515009000001</v>
      </c>
      <c r="AX1309" s="149">
        <f>1975-AX1308-AX1306-AX1305</f>
        <v>1486.1980222</v>
      </c>
      <c r="AY1309" s="149">
        <f>2290-AY1308-AY1306-AY1305</f>
        <v>1690.9615571999998</v>
      </c>
      <c r="AZ1309" s="40" t="s">
        <v>16</v>
      </c>
      <c r="BA1309" s="40" t="s">
        <v>16</v>
      </c>
      <c r="BB1309" s="18">
        <f>2983-BB1308-BB1307-BB1306-BB1305</f>
        <v>61.938078300000143</v>
      </c>
      <c r="BC1309" s="42">
        <f>3173.8361971-BC1308-BC1307-BC1306-BC1305</f>
        <v>220.90661420000015</v>
      </c>
      <c r="BD1309" s="42">
        <f>3394-BD1308-BD1307-BD1306-BD1305</f>
        <v>336.51889279999978</v>
      </c>
      <c r="BE1309" s="42">
        <f>3622-BE1308-BE1307-BE1306-BE1305</f>
        <v>324.99867630000017</v>
      </c>
      <c r="BF1309" s="40" t="s">
        <v>16</v>
      </c>
      <c r="BG1309" s="40" t="s">
        <v>16</v>
      </c>
      <c r="BH1309" s="40" t="s">
        <v>16</v>
      </c>
      <c r="BI1309" s="147">
        <f>3834-BI1308-BI1307-BI1306-BI1305</f>
        <v>447</v>
      </c>
      <c r="BJ1309" s="147">
        <f>3929-BJ1308-BJ1307-BJ1306-BJ1305</f>
        <v>448.8517738999999</v>
      </c>
      <c r="BK1309" s="147">
        <f>4093-BK1308-BK1307-BK1306-BK1305</f>
        <v>505.73105840000017</v>
      </c>
      <c r="BL1309" s="147">
        <f>4194-BL1308-BL1307-BL1306-BL1305</f>
        <v>242.14039000000002</v>
      </c>
      <c r="BM1309" s="147">
        <f>4177-BM1308-BM1307-BM1306-BM1305</f>
        <v>324.15873000000011</v>
      </c>
      <c r="BN1309" s="147">
        <f>4177-BN1308-BN1307-BN1306-BN1305</f>
        <v>359.19963139999982</v>
      </c>
      <c r="BO1309" s="147">
        <f>4385-BO1308-BO1307-BO1306-BO1305</f>
        <v>422.85767440000018</v>
      </c>
      <c r="BP1309" s="154">
        <f>4500-BP1308-BP1307-BP1306-BP1305</f>
        <v>484.52785330000006</v>
      </c>
      <c r="BQ1309" s="113">
        <v>620</v>
      </c>
      <c r="BR1309" s="101"/>
      <c r="BS1309">
        <f t="shared" si="2801"/>
        <v>0</v>
      </c>
      <c r="BT1309">
        <f t="shared" si="2802"/>
        <v>0</v>
      </c>
      <c r="BU1309">
        <f t="shared" si="2803"/>
        <v>0</v>
      </c>
      <c r="BV1309">
        <f t="shared" si="2804"/>
        <v>0</v>
      </c>
      <c r="BW1309">
        <f t="shared" si="2805"/>
        <v>0</v>
      </c>
      <c r="BX1309">
        <f t="shared" si="2806"/>
        <v>0</v>
      </c>
      <c r="BY1309">
        <f t="shared" si="2807"/>
        <v>0</v>
      </c>
      <c r="BZ1309">
        <f t="shared" si="2808"/>
        <v>0</v>
      </c>
      <c r="CA1309">
        <f t="shared" si="2809"/>
        <v>0</v>
      </c>
      <c r="CB1309">
        <f t="shared" si="2810"/>
        <v>0</v>
      </c>
      <c r="CC1309">
        <f t="shared" si="2811"/>
        <v>0</v>
      </c>
      <c r="CD1309">
        <f t="shared" si="2812"/>
        <v>0</v>
      </c>
      <c r="CE1309">
        <f t="shared" si="2813"/>
        <v>0</v>
      </c>
      <c r="CF1309">
        <f t="shared" si="2814"/>
        <v>0</v>
      </c>
      <c r="CG1309">
        <f t="shared" si="2815"/>
        <v>0</v>
      </c>
      <c r="CH1309">
        <f t="shared" si="2816"/>
        <v>0</v>
      </c>
      <c r="CI1309">
        <f t="shared" si="2817"/>
        <v>0</v>
      </c>
      <c r="CJ1309">
        <f t="shared" si="2818"/>
        <v>0</v>
      </c>
      <c r="CK1309">
        <f t="shared" si="2819"/>
        <v>0</v>
      </c>
      <c r="CL1309">
        <f t="shared" si="2820"/>
        <v>0</v>
      </c>
      <c r="CM1309">
        <f t="shared" si="2821"/>
        <v>0</v>
      </c>
      <c r="CN1309">
        <f t="shared" si="2822"/>
        <v>0</v>
      </c>
      <c r="CO1309">
        <f t="shared" si="2823"/>
        <v>0</v>
      </c>
      <c r="CP1309">
        <f t="shared" si="2824"/>
        <v>0</v>
      </c>
      <c r="CQ1309">
        <f t="shared" si="2825"/>
        <v>0</v>
      </c>
      <c r="CR1309">
        <f t="shared" si="2826"/>
        <v>0</v>
      </c>
      <c r="CS1309">
        <f t="shared" si="2827"/>
        <v>0</v>
      </c>
      <c r="CT1309">
        <f t="shared" si="2828"/>
        <v>0</v>
      </c>
      <c r="CU1309">
        <f t="shared" si="2829"/>
        <v>0</v>
      </c>
      <c r="CV1309">
        <f t="shared" si="2830"/>
        <v>0</v>
      </c>
      <c r="CW1309">
        <f t="shared" si="2831"/>
        <v>0</v>
      </c>
      <c r="CX1309">
        <f t="shared" si="2832"/>
        <v>0</v>
      </c>
      <c r="CY1309">
        <f t="shared" si="2833"/>
        <v>0</v>
      </c>
      <c r="CZ1309">
        <f t="shared" si="2834"/>
        <v>0</v>
      </c>
      <c r="DA1309">
        <f t="shared" si="2835"/>
        <v>0</v>
      </c>
      <c r="DB1309">
        <f t="shared" si="2836"/>
        <v>0</v>
      </c>
      <c r="DC1309">
        <f t="shared" si="2837"/>
        <v>0</v>
      </c>
      <c r="DD1309">
        <f t="shared" si="2838"/>
        <v>0</v>
      </c>
      <c r="DE1309">
        <f t="shared" si="2839"/>
        <v>0</v>
      </c>
      <c r="DF1309">
        <f t="shared" si="2840"/>
        <v>0</v>
      </c>
      <c r="DG1309">
        <f t="shared" si="2798"/>
        <v>0</v>
      </c>
      <c r="DH1309">
        <f t="shared" si="2842"/>
        <v>0</v>
      </c>
      <c r="DI1309">
        <f t="shared" si="2843"/>
        <v>0</v>
      </c>
      <c r="DJ1309">
        <f t="shared" si="2844"/>
        <v>0</v>
      </c>
      <c r="DK1309">
        <f t="shared" si="2845"/>
        <v>0</v>
      </c>
      <c r="DL1309">
        <f t="shared" si="2846"/>
        <v>0</v>
      </c>
      <c r="DM1309">
        <f t="shared" si="2847"/>
        <v>0</v>
      </c>
      <c r="DN1309">
        <f t="shared" si="2848"/>
        <v>0</v>
      </c>
      <c r="DO1309">
        <f t="shared" si="2849"/>
        <v>0</v>
      </c>
      <c r="DP1309">
        <f t="shared" si="2850"/>
        <v>0</v>
      </c>
      <c r="DQ1309">
        <f t="shared" si="2851"/>
        <v>0</v>
      </c>
      <c r="DR1309">
        <f t="shared" si="2852"/>
        <v>0</v>
      </c>
      <c r="DS1309">
        <f t="shared" si="2853"/>
        <v>0</v>
      </c>
      <c r="DT1309">
        <f t="shared" si="2854"/>
        <v>0</v>
      </c>
      <c r="DU1309">
        <f t="shared" si="2855"/>
        <v>0</v>
      </c>
      <c r="DV1309">
        <f t="shared" si="2856"/>
        <v>0</v>
      </c>
      <c r="DW1309">
        <f t="shared" si="2857"/>
        <v>0</v>
      </c>
      <c r="DX1309">
        <f t="shared" si="2858"/>
        <v>0</v>
      </c>
      <c r="DY1309">
        <f t="shared" si="2859"/>
        <v>0</v>
      </c>
      <c r="DZ1309">
        <f t="shared" si="2860"/>
        <v>0</v>
      </c>
      <c r="EA1309">
        <f t="shared" si="2861"/>
        <v>0</v>
      </c>
      <c r="EB1309">
        <f t="shared" si="2862"/>
        <v>0</v>
      </c>
      <c r="EC1309">
        <f t="shared" si="2861"/>
        <v>0</v>
      </c>
      <c r="ED1309">
        <f t="shared" si="2861"/>
        <v>0</v>
      </c>
      <c r="EE1309">
        <f t="shared" si="2861"/>
        <v>0</v>
      </c>
      <c r="EF1309">
        <f t="shared" si="2861"/>
        <v>0</v>
      </c>
    </row>
    <row r="1310" spans="1:136" ht="15.5">
      <c r="A1310" s="90"/>
      <c r="B1310" s="53" t="s">
        <v>25</v>
      </c>
      <c r="C1310" s="88"/>
      <c r="D1310" s="34"/>
      <c r="E1310" s="34"/>
      <c r="F1310" s="34"/>
      <c r="G1310" s="34"/>
      <c r="H1310" s="34"/>
      <c r="I1310" s="34">
        <v>184.26827048000001</v>
      </c>
      <c r="J1310" s="34">
        <v>191.35462506999994</v>
      </c>
      <c r="K1310" s="34">
        <v>170.09226827999998</v>
      </c>
      <c r="L1310" s="34">
        <v>176.16628649999998</v>
      </c>
      <c r="M1310" s="34">
        <v>182.24030472000001</v>
      </c>
      <c r="N1310" s="34">
        <v>187.52967992775004</v>
      </c>
      <c r="O1310" s="34">
        <v>204.91770963950003</v>
      </c>
      <c r="P1310" s="34">
        <v>195.45080039550004</v>
      </c>
      <c r="Q1310" s="34">
        <v>199.65183168000007</v>
      </c>
      <c r="R1310" s="34">
        <v>206.40925927525009</v>
      </c>
      <c r="S1310" s="34">
        <v>184.05938181700009</v>
      </c>
      <c r="T1310" s="34">
        <v>157.33090258200008</v>
      </c>
      <c r="U1310" s="34">
        <v>177.93334724500014</v>
      </c>
      <c r="V1310" s="34">
        <v>196.43494696375012</v>
      </c>
      <c r="W1310" s="34">
        <v>222.73211301000018</v>
      </c>
      <c r="X1310" s="34">
        <v>243.86586961625019</v>
      </c>
      <c r="Y1310" s="34">
        <v>63</v>
      </c>
      <c r="Z1310" s="83">
        <v>0</v>
      </c>
      <c r="AA1310" s="83">
        <v>0</v>
      </c>
      <c r="AB1310" s="83">
        <v>0</v>
      </c>
      <c r="AC1310" s="83">
        <v>0</v>
      </c>
      <c r="AD1310" s="83">
        <v>0</v>
      </c>
      <c r="AE1310" s="83">
        <v>0</v>
      </c>
      <c r="AF1310" s="83">
        <v>0</v>
      </c>
      <c r="AG1310" s="83">
        <v>0</v>
      </c>
      <c r="AH1310" s="83">
        <v>0</v>
      </c>
      <c r="AI1310" s="83">
        <v>0</v>
      </c>
      <c r="AJ1310" s="83">
        <v>0</v>
      </c>
      <c r="AK1310" s="83">
        <v>0</v>
      </c>
      <c r="AL1310" s="83">
        <v>0</v>
      </c>
      <c r="AM1310" s="83">
        <v>0</v>
      </c>
      <c r="AN1310" s="83">
        <v>0</v>
      </c>
      <c r="AO1310" s="83">
        <v>0</v>
      </c>
      <c r="AP1310" s="83">
        <v>0</v>
      </c>
      <c r="AQ1310" s="83">
        <v>0</v>
      </c>
      <c r="AR1310" s="83">
        <v>0</v>
      </c>
      <c r="AS1310" s="83">
        <v>0</v>
      </c>
      <c r="AT1310" s="83">
        <v>0</v>
      </c>
      <c r="AU1310" s="83">
        <v>0</v>
      </c>
      <c r="AV1310" s="83">
        <v>0</v>
      </c>
      <c r="AW1310" s="83">
        <v>0</v>
      </c>
      <c r="AX1310" s="83">
        <v>0</v>
      </c>
      <c r="AY1310" s="83">
        <v>0</v>
      </c>
      <c r="AZ1310" s="83">
        <v>0</v>
      </c>
      <c r="BA1310" s="83">
        <v>31.5</v>
      </c>
      <c r="BB1310" s="83">
        <v>34</v>
      </c>
      <c r="BC1310" s="83">
        <v>36.799999999999997</v>
      </c>
      <c r="BD1310" s="83">
        <v>41</v>
      </c>
      <c r="BE1310" s="83">
        <v>44</v>
      </c>
      <c r="BF1310" s="181">
        <v>47</v>
      </c>
      <c r="BG1310" s="83">
        <v>51</v>
      </c>
      <c r="BH1310" s="181">
        <v>55</v>
      </c>
      <c r="BI1310" s="154">
        <v>59</v>
      </c>
      <c r="BJ1310" s="154">
        <v>63</v>
      </c>
      <c r="BK1310" s="154">
        <v>67</v>
      </c>
      <c r="BL1310" s="154">
        <v>71</v>
      </c>
      <c r="BM1310" s="154">
        <v>75</v>
      </c>
      <c r="BN1310" s="154">
        <v>79</v>
      </c>
      <c r="BO1310" s="154">
        <v>83</v>
      </c>
      <c r="BP1310" s="154">
        <v>87</v>
      </c>
      <c r="BQ1310" s="113">
        <v>91</v>
      </c>
      <c r="BR1310" s="101"/>
      <c r="BS1310">
        <f t="shared" si="2801"/>
        <v>0</v>
      </c>
      <c r="BT1310">
        <f t="shared" si="2802"/>
        <v>0</v>
      </c>
      <c r="BU1310">
        <f t="shared" si="2803"/>
        <v>0</v>
      </c>
      <c r="BV1310">
        <f t="shared" si="2804"/>
        <v>0</v>
      </c>
      <c r="BW1310">
        <f t="shared" si="2805"/>
        <v>0</v>
      </c>
      <c r="BX1310">
        <f t="shared" si="2806"/>
        <v>0</v>
      </c>
      <c r="BY1310">
        <f t="shared" si="2807"/>
        <v>0</v>
      </c>
      <c r="BZ1310">
        <f t="shared" si="2808"/>
        <v>0</v>
      </c>
      <c r="CA1310">
        <f t="shared" si="2809"/>
        <v>0</v>
      </c>
      <c r="CB1310">
        <f t="shared" si="2810"/>
        <v>0</v>
      </c>
      <c r="CC1310">
        <f t="shared" si="2811"/>
        <v>0</v>
      </c>
      <c r="CD1310">
        <f t="shared" si="2812"/>
        <v>0</v>
      </c>
      <c r="CE1310">
        <f t="shared" si="2813"/>
        <v>0</v>
      </c>
      <c r="CF1310">
        <f t="shared" si="2814"/>
        <v>0</v>
      </c>
      <c r="CG1310">
        <f t="shared" si="2815"/>
        <v>0</v>
      </c>
      <c r="CH1310">
        <f t="shared" si="2816"/>
        <v>0</v>
      </c>
      <c r="CI1310">
        <f t="shared" si="2817"/>
        <v>0</v>
      </c>
      <c r="CJ1310">
        <f t="shared" si="2818"/>
        <v>0</v>
      </c>
      <c r="CK1310">
        <f t="shared" si="2819"/>
        <v>0</v>
      </c>
      <c r="CL1310">
        <f t="shared" si="2820"/>
        <v>0</v>
      </c>
      <c r="CM1310">
        <f t="shared" si="2821"/>
        <v>0</v>
      </c>
      <c r="CN1310">
        <f t="shared" si="2822"/>
        <v>0</v>
      </c>
      <c r="CO1310">
        <f t="shared" si="2823"/>
        <v>0</v>
      </c>
      <c r="CP1310">
        <f t="shared" si="2824"/>
        <v>0</v>
      </c>
      <c r="CQ1310">
        <f t="shared" si="2825"/>
        <v>0</v>
      </c>
      <c r="CR1310">
        <f t="shared" si="2826"/>
        <v>0</v>
      </c>
      <c r="CS1310">
        <f t="shared" si="2827"/>
        <v>0</v>
      </c>
      <c r="CT1310">
        <f t="shared" si="2828"/>
        <v>0</v>
      </c>
      <c r="CU1310">
        <f t="shared" si="2829"/>
        <v>0</v>
      </c>
      <c r="CV1310">
        <f t="shared" si="2830"/>
        <v>0</v>
      </c>
      <c r="CW1310">
        <f t="shared" si="2831"/>
        <v>0</v>
      </c>
      <c r="CX1310">
        <f t="shared" si="2832"/>
        <v>0</v>
      </c>
      <c r="CY1310">
        <f t="shared" si="2833"/>
        <v>0</v>
      </c>
      <c r="CZ1310">
        <f t="shared" si="2834"/>
        <v>0</v>
      </c>
      <c r="DA1310">
        <f t="shared" si="2835"/>
        <v>0</v>
      </c>
      <c r="DB1310">
        <f t="shared" si="2836"/>
        <v>0</v>
      </c>
      <c r="DC1310">
        <f t="shared" si="2837"/>
        <v>0</v>
      </c>
      <c r="DD1310">
        <f t="shared" si="2838"/>
        <v>0</v>
      </c>
      <c r="DE1310">
        <f t="shared" si="2839"/>
        <v>0</v>
      </c>
      <c r="DF1310">
        <f t="shared" si="2840"/>
        <v>0</v>
      </c>
      <c r="DG1310">
        <f t="shared" si="2798"/>
        <v>0</v>
      </c>
      <c r="DH1310">
        <f t="shared" si="2842"/>
        <v>0</v>
      </c>
      <c r="DI1310">
        <f t="shared" si="2843"/>
        <v>0</v>
      </c>
      <c r="DJ1310">
        <f t="shared" si="2844"/>
        <v>0</v>
      </c>
      <c r="DK1310">
        <f t="shared" si="2845"/>
        <v>0</v>
      </c>
      <c r="DL1310">
        <f t="shared" si="2846"/>
        <v>0</v>
      </c>
      <c r="DM1310">
        <f t="shared" si="2847"/>
        <v>0</v>
      </c>
      <c r="DN1310">
        <f t="shared" si="2848"/>
        <v>0</v>
      </c>
      <c r="DO1310">
        <f t="shared" si="2849"/>
        <v>0</v>
      </c>
      <c r="DP1310">
        <f t="shared" si="2850"/>
        <v>0</v>
      </c>
      <c r="DQ1310">
        <f t="shared" si="2851"/>
        <v>0</v>
      </c>
      <c r="DR1310">
        <f t="shared" si="2852"/>
        <v>0</v>
      </c>
      <c r="DS1310">
        <f t="shared" si="2853"/>
        <v>0</v>
      </c>
      <c r="DT1310">
        <f t="shared" si="2854"/>
        <v>0</v>
      </c>
      <c r="DU1310">
        <f t="shared" si="2855"/>
        <v>0</v>
      </c>
      <c r="DV1310">
        <f t="shared" si="2856"/>
        <v>0</v>
      </c>
      <c r="DW1310">
        <f t="shared" si="2857"/>
        <v>0</v>
      </c>
      <c r="DX1310">
        <f t="shared" si="2858"/>
        <v>0</v>
      </c>
      <c r="DY1310">
        <f t="shared" si="2859"/>
        <v>0</v>
      </c>
      <c r="DZ1310">
        <f t="shared" si="2860"/>
        <v>0</v>
      </c>
      <c r="EA1310">
        <f t="shared" si="2861"/>
        <v>0</v>
      </c>
      <c r="EB1310">
        <f t="shared" si="2862"/>
        <v>0</v>
      </c>
      <c r="EC1310">
        <f t="shared" si="2861"/>
        <v>0</v>
      </c>
      <c r="ED1310">
        <f t="shared" si="2861"/>
        <v>0</v>
      </c>
      <c r="EE1310">
        <f t="shared" si="2861"/>
        <v>0</v>
      </c>
      <c r="EF1310">
        <f t="shared" si="2861"/>
        <v>0</v>
      </c>
    </row>
    <row r="1311" spans="1:136" ht="15.5">
      <c r="A1311" s="90"/>
      <c r="B1311" s="19" t="s">
        <v>208</v>
      </c>
      <c r="C1311" s="88"/>
      <c r="D1311" s="34"/>
      <c r="E1311" s="34"/>
      <c r="F1311" s="34"/>
      <c r="G1311" s="34"/>
      <c r="H1311" s="34"/>
      <c r="I1311" s="34">
        <v>0</v>
      </c>
      <c r="J1311" s="34">
        <v>0</v>
      </c>
      <c r="K1311" s="34">
        <v>0</v>
      </c>
      <c r="L1311" s="34">
        <v>0</v>
      </c>
      <c r="M1311" s="34">
        <v>0</v>
      </c>
      <c r="N1311" s="34">
        <v>62.52</v>
      </c>
      <c r="O1311" s="34">
        <v>0</v>
      </c>
      <c r="P1311" s="34">
        <v>0</v>
      </c>
      <c r="Q1311" s="34">
        <v>0</v>
      </c>
      <c r="R1311" s="34">
        <v>0</v>
      </c>
      <c r="S1311" s="34">
        <v>0</v>
      </c>
      <c r="T1311" s="34">
        <v>0</v>
      </c>
      <c r="U1311" s="34">
        <v>0</v>
      </c>
      <c r="V1311" s="34">
        <v>46.748141799999999</v>
      </c>
      <c r="W1311" s="34">
        <v>0</v>
      </c>
      <c r="X1311" s="34">
        <v>0</v>
      </c>
      <c r="Y1311" s="34">
        <v>0</v>
      </c>
      <c r="Z1311" s="34">
        <v>0</v>
      </c>
      <c r="AA1311" s="34">
        <v>0</v>
      </c>
      <c r="AB1311" s="34">
        <v>0</v>
      </c>
      <c r="AC1311" s="34">
        <v>0.1218397</v>
      </c>
      <c r="AD1311" s="34">
        <v>0.38743259999999996</v>
      </c>
      <c r="AE1311" s="34">
        <v>7.2233804000000008</v>
      </c>
      <c r="AF1311" s="34">
        <v>0</v>
      </c>
      <c r="AG1311" s="34">
        <v>0</v>
      </c>
      <c r="AH1311" s="34">
        <v>0</v>
      </c>
      <c r="AI1311" s="34">
        <v>0</v>
      </c>
      <c r="AJ1311" s="34">
        <v>3.1572802000000002</v>
      </c>
      <c r="AK1311" s="34">
        <v>2.5265323999999998</v>
      </c>
      <c r="AL1311" s="34">
        <v>2.2631321</v>
      </c>
      <c r="AM1311" s="34">
        <v>15.232530499999999</v>
      </c>
      <c r="AN1311" s="34">
        <v>0.13804660000000002</v>
      </c>
      <c r="AO1311" s="34">
        <v>5.9817822000000005</v>
      </c>
      <c r="AP1311" s="34">
        <v>13.007792999999999</v>
      </c>
      <c r="AQ1311" s="34">
        <v>14.739382900000001</v>
      </c>
      <c r="AR1311" s="34">
        <v>81.5086905</v>
      </c>
      <c r="AS1311" s="34">
        <v>180.61283609999998</v>
      </c>
      <c r="AT1311" s="34">
        <v>272.46177849999998</v>
      </c>
      <c r="AU1311" s="34">
        <v>352.30784699999998</v>
      </c>
      <c r="AV1311" s="34">
        <v>432.94580050000002</v>
      </c>
      <c r="AW1311" s="34">
        <v>436.11718830000001</v>
      </c>
      <c r="AX1311" s="34">
        <v>509.8370577</v>
      </c>
      <c r="AY1311" s="34">
        <v>649.84977689999994</v>
      </c>
      <c r="AZ1311" s="34">
        <v>564.2011913</v>
      </c>
      <c r="BA1311" s="34">
        <f>639.8571794-BA1310</f>
        <v>608.35717939999995</v>
      </c>
      <c r="BB1311" s="34">
        <f>545-BB1310</f>
        <v>511</v>
      </c>
      <c r="BC1311" s="34">
        <f>566.8203163-BC1310</f>
        <v>530.02031629999999</v>
      </c>
      <c r="BD1311" s="34">
        <f>536.2031661-BD1310</f>
        <v>495.20316609999998</v>
      </c>
      <c r="BE1311" s="42">
        <f>547.0363669-BE1310</f>
        <v>503.03636689999996</v>
      </c>
      <c r="BF1311" s="147">
        <f>511.9907199-BF1310</f>
        <v>464.99071989999999</v>
      </c>
      <c r="BG1311" s="18">
        <f>484-BG1310</f>
        <v>433</v>
      </c>
      <c r="BH1311" s="147">
        <f>458-BH1310</f>
        <v>403</v>
      </c>
      <c r="BI1311" s="147">
        <f>737-BI1310</f>
        <v>678</v>
      </c>
      <c r="BJ1311" s="169">
        <f>484-BJ1310</f>
        <v>421</v>
      </c>
      <c r="BK1311" s="169">
        <f>477-BK1310</f>
        <v>410</v>
      </c>
      <c r="BL1311" s="154">
        <f>4155-BL1310</f>
        <v>4084</v>
      </c>
      <c r="BM1311" s="154">
        <f>4200-BM1310</f>
        <v>4125</v>
      </c>
      <c r="BN1311" s="154">
        <f>4155-BN1310</f>
        <v>4076</v>
      </c>
      <c r="BO1311" s="154">
        <f>4100-BO1310</f>
        <v>4017</v>
      </c>
      <c r="BP1311" s="154">
        <f>4100-BP1310</f>
        <v>4013</v>
      </c>
      <c r="BQ1311" s="113">
        <v>4025</v>
      </c>
      <c r="BR1311" s="101"/>
      <c r="BS1311">
        <f t="shared" si="2801"/>
        <v>0</v>
      </c>
      <c r="BT1311">
        <f t="shared" si="2802"/>
        <v>0</v>
      </c>
      <c r="BU1311">
        <f t="shared" si="2803"/>
        <v>0</v>
      </c>
      <c r="BV1311">
        <f t="shared" si="2804"/>
        <v>0</v>
      </c>
      <c r="BW1311">
        <f t="shared" si="2805"/>
        <v>0</v>
      </c>
      <c r="BX1311">
        <f t="shared" si="2806"/>
        <v>0</v>
      </c>
      <c r="BY1311">
        <f t="shared" si="2807"/>
        <v>0</v>
      </c>
      <c r="BZ1311">
        <f t="shared" si="2808"/>
        <v>0</v>
      </c>
      <c r="CA1311">
        <f t="shared" si="2809"/>
        <v>0</v>
      </c>
      <c r="CB1311">
        <f t="shared" si="2810"/>
        <v>0</v>
      </c>
      <c r="CC1311">
        <f t="shared" si="2811"/>
        <v>0</v>
      </c>
      <c r="CD1311">
        <f t="shared" si="2812"/>
        <v>0</v>
      </c>
      <c r="CE1311">
        <f t="shared" si="2813"/>
        <v>0</v>
      </c>
      <c r="CF1311">
        <f t="shared" si="2814"/>
        <v>0</v>
      </c>
      <c r="CG1311">
        <f t="shared" si="2815"/>
        <v>0</v>
      </c>
      <c r="CH1311">
        <f t="shared" si="2816"/>
        <v>0</v>
      </c>
      <c r="CI1311">
        <f t="shared" si="2817"/>
        <v>0</v>
      </c>
      <c r="CJ1311">
        <f t="shared" si="2818"/>
        <v>0</v>
      </c>
      <c r="CK1311">
        <f t="shared" si="2819"/>
        <v>0</v>
      </c>
      <c r="CL1311">
        <f t="shared" si="2820"/>
        <v>0</v>
      </c>
      <c r="CM1311">
        <f t="shared" si="2821"/>
        <v>0</v>
      </c>
      <c r="CN1311">
        <f t="shared" si="2822"/>
        <v>0</v>
      </c>
      <c r="CO1311">
        <f t="shared" si="2823"/>
        <v>0</v>
      </c>
      <c r="CP1311">
        <f t="shared" si="2824"/>
        <v>0</v>
      </c>
      <c r="CQ1311">
        <f t="shared" si="2825"/>
        <v>0</v>
      </c>
      <c r="CR1311">
        <f t="shared" si="2826"/>
        <v>0</v>
      </c>
      <c r="CS1311">
        <f t="shared" si="2827"/>
        <v>0</v>
      </c>
      <c r="CT1311">
        <f t="shared" si="2828"/>
        <v>0</v>
      </c>
      <c r="CU1311">
        <f t="shared" si="2829"/>
        <v>0</v>
      </c>
      <c r="CV1311">
        <f t="shared" si="2830"/>
        <v>0</v>
      </c>
      <c r="CW1311">
        <f t="shared" si="2831"/>
        <v>0</v>
      </c>
      <c r="CX1311">
        <f t="shared" si="2832"/>
        <v>0</v>
      </c>
      <c r="CY1311">
        <f t="shared" si="2833"/>
        <v>0</v>
      </c>
      <c r="CZ1311">
        <f t="shared" si="2834"/>
        <v>0</v>
      </c>
      <c r="DA1311">
        <f t="shared" si="2835"/>
        <v>0</v>
      </c>
      <c r="DB1311">
        <f t="shared" si="2836"/>
        <v>0</v>
      </c>
      <c r="DC1311">
        <f t="shared" si="2837"/>
        <v>0</v>
      </c>
      <c r="DD1311">
        <f t="shared" si="2838"/>
        <v>0</v>
      </c>
      <c r="DE1311">
        <f t="shared" si="2839"/>
        <v>0</v>
      </c>
      <c r="DF1311">
        <f t="shared" si="2840"/>
        <v>0</v>
      </c>
      <c r="DG1311">
        <f t="shared" si="2798"/>
        <v>0</v>
      </c>
      <c r="DH1311">
        <f t="shared" si="2842"/>
        <v>0</v>
      </c>
      <c r="DI1311">
        <f t="shared" si="2843"/>
        <v>0</v>
      </c>
      <c r="DJ1311">
        <f t="shared" si="2844"/>
        <v>0</v>
      </c>
      <c r="DK1311">
        <f t="shared" si="2845"/>
        <v>0</v>
      </c>
      <c r="DL1311">
        <f t="shared" si="2846"/>
        <v>0</v>
      </c>
      <c r="DM1311">
        <f t="shared" si="2847"/>
        <v>0</v>
      </c>
      <c r="DN1311">
        <f t="shared" si="2848"/>
        <v>0</v>
      </c>
      <c r="DO1311">
        <f t="shared" si="2849"/>
        <v>0</v>
      </c>
      <c r="DP1311">
        <f t="shared" si="2850"/>
        <v>0</v>
      </c>
      <c r="DQ1311">
        <f t="shared" si="2851"/>
        <v>0</v>
      </c>
      <c r="DR1311">
        <f t="shared" si="2852"/>
        <v>0</v>
      </c>
      <c r="DS1311">
        <f t="shared" si="2853"/>
        <v>0</v>
      </c>
      <c r="DT1311">
        <f t="shared" si="2854"/>
        <v>0</v>
      </c>
      <c r="DU1311">
        <f t="shared" si="2855"/>
        <v>0</v>
      </c>
      <c r="DV1311">
        <f t="shared" si="2856"/>
        <v>0</v>
      </c>
      <c r="DW1311">
        <f t="shared" si="2857"/>
        <v>0</v>
      </c>
      <c r="DX1311">
        <f t="shared" si="2858"/>
        <v>0</v>
      </c>
      <c r="DY1311">
        <f t="shared" si="2859"/>
        <v>0</v>
      </c>
      <c r="DZ1311">
        <f t="shared" si="2860"/>
        <v>0</v>
      </c>
      <c r="EA1311">
        <f t="shared" ref="EA1311:EF1311" si="2863">IF($C1311&lt;&gt;"",IF(BL1311&gt;0,1,0),0)</f>
        <v>0</v>
      </c>
      <c r="EB1311">
        <f t="shared" si="2863"/>
        <v>0</v>
      </c>
      <c r="EC1311">
        <f t="shared" si="2863"/>
        <v>0</v>
      </c>
      <c r="ED1311">
        <f t="shared" si="2863"/>
        <v>0</v>
      </c>
      <c r="EE1311">
        <f t="shared" si="2863"/>
        <v>0</v>
      </c>
      <c r="EF1311">
        <f t="shared" si="2863"/>
        <v>0</v>
      </c>
    </row>
    <row r="1312" spans="1:136" ht="15.5">
      <c r="A1312" s="90"/>
      <c r="B1312" s="53" t="s">
        <v>21</v>
      </c>
      <c r="C1312" s="88"/>
      <c r="D1312" s="34"/>
      <c r="E1312" s="34"/>
      <c r="F1312" s="34"/>
      <c r="G1312" s="34"/>
      <c r="H1312" s="34"/>
      <c r="I1312" s="34">
        <v>0</v>
      </c>
      <c r="J1312" s="34">
        <v>0</v>
      </c>
      <c r="K1312" s="34">
        <v>0</v>
      </c>
      <c r="L1312" s="34">
        <v>0</v>
      </c>
      <c r="M1312" s="34">
        <v>0</v>
      </c>
      <c r="N1312" s="34">
        <v>0</v>
      </c>
      <c r="O1312" s="34">
        <v>0</v>
      </c>
      <c r="P1312" s="34">
        <v>0</v>
      </c>
      <c r="Q1312" s="34">
        <v>0</v>
      </c>
      <c r="R1312" s="34">
        <v>0</v>
      </c>
      <c r="S1312" s="34">
        <v>0</v>
      </c>
      <c r="T1312" s="34">
        <v>0</v>
      </c>
      <c r="U1312" s="34">
        <v>0</v>
      </c>
      <c r="V1312" s="34">
        <v>0</v>
      </c>
      <c r="W1312" s="34">
        <v>0</v>
      </c>
      <c r="X1312" s="34">
        <v>0</v>
      </c>
      <c r="Y1312" s="34">
        <v>0</v>
      </c>
      <c r="Z1312" s="83">
        <v>0</v>
      </c>
      <c r="AA1312" s="83">
        <v>0</v>
      </c>
      <c r="AB1312" s="83">
        <v>0</v>
      </c>
      <c r="AC1312" s="83">
        <v>0</v>
      </c>
      <c r="AD1312" s="83">
        <v>0</v>
      </c>
      <c r="AE1312" s="83">
        <v>0</v>
      </c>
      <c r="AF1312" s="83">
        <v>0</v>
      </c>
      <c r="AG1312" s="83">
        <v>0</v>
      </c>
      <c r="AH1312" s="83">
        <v>0</v>
      </c>
      <c r="AI1312" s="83">
        <v>0</v>
      </c>
      <c r="AJ1312" s="83">
        <v>0</v>
      </c>
      <c r="AK1312" s="83">
        <v>0</v>
      </c>
      <c r="AL1312" s="83">
        <v>0</v>
      </c>
      <c r="AM1312" s="83">
        <v>0</v>
      </c>
      <c r="AN1312" s="83">
        <v>0</v>
      </c>
      <c r="AO1312" s="83">
        <v>0</v>
      </c>
      <c r="AP1312" s="83">
        <v>0</v>
      </c>
      <c r="AQ1312" s="83">
        <v>0</v>
      </c>
      <c r="AR1312" s="83">
        <f>440/50</f>
        <v>8.8000000000000007</v>
      </c>
      <c r="AS1312" s="83">
        <v>1712</v>
      </c>
      <c r="AT1312" s="83">
        <v>0</v>
      </c>
      <c r="AU1312" s="83">
        <v>0</v>
      </c>
      <c r="AV1312" s="83">
        <v>0</v>
      </c>
      <c r="AW1312" s="83">
        <v>0</v>
      </c>
      <c r="AX1312" s="83">
        <v>287</v>
      </c>
      <c r="AY1312" s="83">
        <v>7</v>
      </c>
      <c r="AZ1312" s="83">
        <v>0</v>
      </c>
      <c r="BA1312" s="83">
        <v>0</v>
      </c>
      <c r="BB1312" s="34">
        <v>0</v>
      </c>
      <c r="BC1312" s="34">
        <v>0</v>
      </c>
      <c r="BD1312" s="83">
        <v>0</v>
      </c>
      <c r="BE1312" s="83">
        <v>0</v>
      </c>
      <c r="BF1312" s="181">
        <v>0</v>
      </c>
      <c r="BG1312" s="83">
        <v>0</v>
      </c>
      <c r="BH1312" s="181">
        <v>0</v>
      </c>
      <c r="BI1312" s="154">
        <v>0</v>
      </c>
      <c r="BJ1312" s="154">
        <v>0</v>
      </c>
      <c r="BK1312" s="154">
        <v>0</v>
      </c>
      <c r="BL1312" s="154">
        <v>0</v>
      </c>
      <c r="BM1312" s="154">
        <v>0</v>
      </c>
      <c r="BN1312" s="154">
        <v>0</v>
      </c>
      <c r="BO1312" s="154">
        <v>0</v>
      </c>
      <c r="BP1312" s="154">
        <v>0</v>
      </c>
      <c r="BQ1312" s="113">
        <v>425</v>
      </c>
      <c r="BR1312" s="88"/>
      <c r="BS1312">
        <f t="shared" si="2801"/>
        <v>0</v>
      </c>
      <c r="BT1312">
        <f t="shared" si="2802"/>
        <v>0</v>
      </c>
      <c r="BU1312">
        <f t="shared" si="2803"/>
        <v>0</v>
      </c>
      <c r="BV1312">
        <f t="shared" si="2804"/>
        <v>0</v>
      </c>
      <c r="BW1312">
        <f t="shared" si="2805"/>
        <v>0</v>
      </c>
      <c r="BX1312">
        <f t="shared" si="2806"/>
        <v>0</v>
      </c>
      <c r="BY1312">
        <f t="shared" si="2807"/>
        <v>0</v>
      </c>
      <c r="BZ1312">
        <f t="shared" si="2808"/>
        <v>0</v>
      </c>
      <c r="CA1312">
        <f t="shared" si="2809"/>
        <v>0</v>
      </c>
      <c r="CB1312">
        <f t="shared" si="2810"/>
        <v>0</v>
      </c>
      <c r="CC1312">
        <f t="shared" si="2811"/>
        <v>0</v>
      </c>
      <c r="CD1312">
        <f t="shared" si="2812"/>
        <v>0</v>
      </c>
      <c r="CE1312">
        <f t="shared" si="2813"/>
        <v>0</v>
      </c>
      <c r="CF1312">
        <f t="shared" si="2814"/>
        <v>0</v>
      </c>
      <c r="CG1312">
        <f t="shared" si="2815"/>
        <v>0</v>
      </c>
      <c r="CH1312">
        <f t="shared" si="2816"/>
        <v>0</v>
      </c>
      <c r="CI1312">
        <f t="shared" si="2817"/>
        <v>0</v>
      </c>
      <c r="CJ1312">
        <f t="shared" si="2818"/>
        <v>0</v>
      </c>
      <c r="CK1312">
        <f t="shared" si="2819"/>
        <v>0</v>
      </c>
      <c r="CL1312">
        <f t="shared" si="2820"/>
        <v>0</v>
      </c>
      <c r="CM1312">
        <f t="shared" si="2821"/>
        <v>0</v>
      </c>
      <c r="CN1312">
        <f t="shared" si="2822"/>
        <v>0</v>
      </c>
      <c r="CO1312">
        <f t="shared" si="2823"/>
        <v>0</v>
      </c>
      <c r="CP1312">
        <f t="shared" si="2824"/>
        <v>0</v>
      </c>
      <c r="CQ1312">
        <f t="shared" si="2825"/>
        <v>0</v>
      </c>
      <c r="CR1312">
        <f t="shared" si="2826"/>
        <v>0</v>
      </c>
      <c r="CS1312">
        <f t="shared" si="2827"/>
        <v>0</v>
      </c>
      <c r="CT1312">
        <f t="shared" si="2828"/>
        <v>0</v>
      </c>
      <c r="CU1312">
        <f t="shared" si="2829"/>
        <v>0</v>
      </c>
      <c r="CV1312">
        <f t="shared" si="2830"/>
        <v>0</v>
      </c>
      <c r="CW1312">
        <f t="shared" si="2831"/>
        <v>0</v>
      </c>
      <c r="CX1312">
        <f t="shared" si="2832"/>
        <v>0</v>
      </c>
      <c r="CY1312">
        <f t="shared" si="2833"/>
        <v>0</v>
      </c>
      <c r="CZ1312">
        <f t="shared" si="2834"/>
        <v>0</v>
      </c>
      <c r="DA1312">
        <f t="shared" si="2835"/>
        <v>0</v>
      </c>
      <c r="DB1312">
        <f t="shared" si="2836"/>
        <v>0</v>
      </c>
      <c r="DC1312">
        <f t="shared" si="2837"/>
        <v>0</v>
      </c>
      <c r="DD1312">
        <f t="shared" si="2838"/>
        <v>0</v>
      </c>
      <c r="DE1312">
        <f t="shared" si="2839"/>
        <v>0</v>
      </c>
      <c r="DF1312">
        <f t="shared" si="2840"/>
        <v>0</v>
      </c>
      <c r="DG1312">
        <f t="shared" si="2798"/>
        <v>0</v>
      </c>
      <c r="DH1312">
        <f t="shared" si="2842"/>
        <v>0</v>
      </c>
      <c r="DI1312">
        <f t="shared" si="2843"/>
        <v>0</v>
      </c>
      <c r="DJ1312">
        <f t="shared" si="2844"/>
        <v>0</v>
      </c>
      <c r="DK1312">
        <f t="shared" si="2845"/>
        <v>0</v>
      </c>
      <c r="DL1312">
        <f t="shared" si="2846"/>
        <v>0</v>
      </c>
      <c r="DM1312">
        <f t="shared" si="2847"/>
        <v>0</v>
      </c>
      <c r="DN1312">
        <f t="shared" si="2848"/>
        <v>0</v>
      </c>
      <c r="DO1312">
        <f t="shared" si="2849"/>
        <v>0</v>
      </c>
      <c r="DP1312">
        <f t="shared" si="2850"/>
        <v>0</v>
      </c>
      <c r="DQ1312">
        <f t="shared" si="2851"/>
        <v>0</v>
      </c>
      <c r="DR1312">
        <f t="shared" si="2852"/>
        <v>0</v>
      </c>
      <c r="DS1312">
        <f t="shared" si="2853"/>
        <v>0</v>
      </c>
      <c r="DT1312">
        <f t="shared" si="2854"/>
        <v>0</v>
      </c>
      <c r="DU1312">
        <f t="shared" si="2855"/>
        <v>0</v>
      </c>
      <c r="DV1312">
        <f t="shared" si="2856"/>
        <v>0</v>
      </c>
      <c r="DW1312">
        <f t="shared" si="2857"/>
        <v>0</v>
      </c>
      <c r="DX1312">
        <f t="shared" si="2858"/>
        <v>0</v>
      </c>
      <c r="DY1312">
        <f t="shared" si="2859"/>
        <v>0</v>
      </c>
      <c r="DZ1312">
        <f t="shared" si="2860"/>
        <v>0</v>
      </c>
      <c r="EA1312">
        <f t="shared" ref="EA1312:EF1312" si="2864">IF($C1312&lt;&gt;"",IF(BL1311&gt;0,1,0),0)</f>
        <v>0</v>
      </c>
      <c r="EB1312">
        <f t="shared" si="2864"/>
        <v>0</v>
      </c>
      <c r="EC1312">
        <f t="shared" si="2864"/>
        <v>0</v>
      </c>
      <c r="ED1312">
        <f t="shared" si="2864"/>
        <v>0</v>
      </c>
      <c r="EE1312">
        <f t="shared" si="2864"/>
        <v>0</v>
      </c>
      <c r="EF1312">
        <f t="shared" si="2864"/>
        <v>0</v>
      </c>
    </row>
    <row r="1313" spans="1:136" ht="15.5">
      <c r="A1313" s="90"/>
      <c r="B1313" s="53" t="s">
        <v>212</v>
      </c>
      <c r="C1313" s="88"/>
      <c r="D1313" s="34"/>
      <c r="E1313" s="34"/>
      <c r="F1313" s="34"/>
      <c r="G1313" s="34"/>
      <c r="H1313" s="34"/>
      <c r="I1313" s="34"/>
      <c r="J1313" s="34"/>
      <c r="K1313" s="34"/>
      <c r="L1313" s="34"/>
      <c r="M1313" s="34"/>
      <c r="N1313" s="34"/>
      <c r="O1313" s="34"/>
      <c r="P1313" s="34"/>
      <c r="Q1313" s="34"/>
      <c r="R1313" s="34"/>
      <c r="S1313" s="34"/>
      <c r="T1313" s="34"/>
      <c r="U1313" s="34"/>
      <c r="V1313" s="34"/>
      <c r="W1313" s="34"/>
      <c r="X1313" s="34"/>
      <c r="Y1313" s="34"/>
      <c r="Z1313" s="34"/>
      <c r="AA1313" s="34"/>
      <c r="AB1313" s="34"/>
      <c r="AC1313" s="34">
        <v>0</v>
      </c>
      <c r="AD1313" s="34">
        <v>0</v>
      </c>
      <c r="AE1313" s="34">
        <v>0</v>
      </c>
      <c r="AF1313" s="34">
        <v>0</v>
      </c>
      <c r="AG1313" s="34">
        <v>0</v>
      </c>
      <c r="AH1313" s="34">
        <v>0</v>
      </c>
      <c r="AI1313" s="34">
        <v>0</v>
      </c>
      <c r="AJ1313" s="34">
        <v>0</v>
      </c>
      <c r="AK1313" s="34">
        <v>0</v>
      </c>
      <c r="AL1313" s="34">
        <v>0</v>
      </c>
      <c r="AM1313" s="34">
        <v>0</v>
      </c>
      <c r="AN1313" s="34">
        <v>0</v>
      </c>
      <c r="AO1313" s="34">
        <v>0</v>
      </c>
      <c r="AP1313" s="34">
        <v>0</v>
      </c>
      <c r="AQ1313" s="34">
        <v>0</v>
      </c>
      <c r="AR1313" s="34">
        <v>0</v>
      </c>
      <c r="AS1313" s="34">
        <v>0</v>
      </c>
      <c r="AT1313" s="34">
        <v>0</v>
      </c>
      <c r="AU1313" s="34">
        <v>0</v>
      </c>
      <c r="AV1313" s="34">
        <v>0</v>
      </c>
      <c r="AW1313" s="34">
        <v>0</v>
      </c>
      <c r="AX1313" s="34">
        <v>0</v>
      </c>
      <c r="AY1313" s="34">
        <v>123</v>
      </c>
      <c r="AZ1313" s="34">
        <v>123</v>
      </c>
      <c r="BA1313" s="149">
        <v>75</v>
      </c>
      <c r="BB1313" s="34">
        <v>75</v>
      </c>
      <c r="BC1313" s="34">
        <v>207</v>
      </c>
      <c r="BD1313" s="34">
        <v>213</v>
      </c>
      <c r="BE1313" s="34">
        <v>158</v>
      </c>
      <c r="BF1313" s="149">
        <v>717</v>
      </c>
      <c r="BG1313" s="34">
        <v>664</v>
      </c>
      <c r="BH1313" s="149">
        <v>704</v>
      </c>
      <c r="BI1313" s="149">
        <v>498.46153846153845</v>
      </c>
      <c r="BJ1313" s="149">
        <v>43.095238095238095</v>
      </c>
      <c r="BK1313" s="149">
        <v>37.738095238095234</v>
      </c>
      <c r="BL1313" s="149">
        <v>19.559902200488999</v>
      </c>
      <c r="BM1313" s="154">
        <v>36.271028037383175</v>
      </c>
      <c r="BN1313" s="154">
        <v>6.3011049723756907</v>
      </c>
      <c r="BO1313" s="154">
        <v>1077</v>
      </c>
      <c r="BP1313" s="154">
        <v>1091</v>
      </c>
      <c r="BQ1313" s="113">
        <v>1113</v>
      </c>
      <c r="BR1313" s="88"/>
      <c r="BS1313">
        <f t="shared" si="2801"/>
        <v>0</v>
      </c>
      <c r="BT1313">
        <f t="shared" si="2802"/>
        <v>0</v>
      </c>
      <c r="BU1313">
        <f t="shared" si="2803"/>
        <v>0</v>
      </c>
      <c r="BV1313">
        <f t="shared" si="2804"/>
        <v>0</v>
      </c>
      <c r="BW1313">
        <f t="shared" si="2805"/>
        <v>0</v>
      </c>
      <c r="BX1313">
        <f t="shared" si="2806"/>
        <v>0</v>
      </c>
      <c r="BY1313">
        <f t="shared" si="2807"/>
        <v>0</v>
      </c>
      <c r="BZ1313">
        <f t="shared" si="2808"/>
        <v>0</v>
      </c>
      <c r="CA1313">
        <f t="shared" si="2809"/>
        <v>0</v>
      </c>
      <c r="CB1313">
        <f t="shared" si="2810"/>
        <v>0</v>
      </c>
      <c r="CC1313">
        <f t="shared" si="2811"/>
        <v>0</v>
      </c>
      <c r="CD1313">
        <f t="shared" si="2812"/>
        <v>0</v>
      </c>
      <c r="CE1313">
        <f t="shared" si="2813"/>
        <v>0</v>
      </c>
      <c r="CF1313">
        <f t="shared" si="2814"/>
        <v>0</v>
      </c>
      <c r="CG1313">
        <f t="shared" si="2815"/>
        <v>0</v>
      </c>
      <c r="CH1313">
        <f t="shared" si="2816"/>
        <v>0</v>
      </c>
      <c r="CI1313">
        <f t="shared" si="2817"/>
        <v>0</v>
      </c>
      <c r="CJ1313">
        <f t="shared" si="2818"/>
        <v>0</v>
      </c>
      <c r="CK1313">
        <f t="shared" si="2819"/>
        <v>0</v>
      </c>
      <c r="CL1313">
        <f t="shared" si="2820"/>
        <v>0</v>
      </c>
      <c r="CM1313">
        <f t="shared" si="2821"/>
        <v>0</v>
      </c>
      <c r="CN1313">
        <f t="shared" si="2822"/>
        <v>0</v>
      </c>
      <c r="CO1313">
        <f t="shared" si="2823"/>
        <v>0</v>
      </c>
      <c r="CP1313">
        <f t="shared" si="2824"/>
        <v>0</v>
      </c>
      <c r="CQ1313">
        <f t="shared" si="2825"/>
        <v>0</v>
      </c>
      <c r="CR1313">
        <f t="shared" si="2826"/>
        <v>0</v>
      </c>
      <c r="CS1313">
        <f t="shared" si="2827"/>
        <v>0</v>
      </c>
      <c r="CT1313">
        <f t="shared" si="2828"/>
        <v>0</v>
      </c>
      <c r="CU1313">
        <f t="shared" si="2829"/>
        <v>0</v>
      </c>
      <c r="CV1313">
        <f t="shared" si="2830"/>
        <v>0</v>
      </c>
      <c r="CW1313">
        <f t="shared" si="2831"/>
        <v>0</v>
      </c>
      <c r="CX1313">
        <f t="shared" si="2832"/>
        <v>0</v>
      </c>
      <c r="CY1313">
        <f t="shared" si="2833"/>
        <v>0</v>
      </c>
      <c r="CZ1313">
        <f t="shared" si="2834"/>
        <v>0</v>
      </c>
      <c r="DA1313">
        <f t="shared" si="2835"/>
        <v>0</v>
      </c>
      <c r="DB1313">
        <f t="shared" si="2836"/>
        <v>0</v>
      </c>
      <c r="DC1313">
        <f t="shared" si="2837"/>
        <v>0</v>
      </c>
      <c r="DD1313">
        <f t="shared" si="2838"/>
        <v>0</v>
      </c>
      <c r="DE1313">
        <f t="shared" si="2839"/>
        <v>0</v>
      </c>
      <c r="DF1313">
        <f t="shared" si="2840"/>
        <v>0</v>
      </c>
      <c r="DG1313">
        <f t="shared" si="2798"/>
        <v>0</v>
      </c>
      <c r="DH1313">
        <f t="shared" si="2842"/>
        <v>0</v>
      </c>
      <c r="DI1313">
        <f t="shared" si="2843"/>
        <v>0</v>
      </c>
      <c r="DJ1313">
        <f t="shared" si="2844"/>
        <v>0</v>
      </c>
      <c r="DK1313">
        <f t="shared" si="2845"/>
        <v>0</v>
      </c>
      <c r="DL1313">
        <f t="shared" si="2846"/>
        <v>0</v>
      </c>
      <c r="DM1313">
        <f t="shared" si="2847"/>
        <v>0</v>
      </c>
      <c r="DN1313">
        <f t="shared" si="2848"/>
        <v>0</v>
      </c>
      <c r="DO1313">
        <f t="shared" si="2849"/>
        <v>0</v>
      </c>
      <c r="DP1313">
        <f t="shared" si="2850"/>
        <v>0</v>
      </c>
      <c r="DQ1313">
        <f t="shared" si="2851"/>
        <v>0</v>
      </c>
      <c r="DR1313">
        <f t="shared" si="2852"/>
        <v>0</v>
      </c>
      <c r="DS1313">
        <f t="shared" si="2853"/>
        <v>0</v>
      </c>
      <c r="DT1313">
        <f t="shared" si="2854"/>
        <v>0</v>
      </c>
      <c r="DU1313">
        <f t="shared" si="2855"/>
        <v>0</v>
      </c>
      <c r="DV1313">
        <f t="shared" si="2856"/>
        <v>0</v>
      </c>
      <c r="DW1313">
        <f t="shared" si="2857"/>
        <v>0</v>
      </c>
      <c r="DX1313">
        <f t="shared" si="2858"/>
        <v>0</v>
      </c>
      <c r="DY1313">
        <f t="shared" si="2859"/>
        <v>0</v>
      </c>
      <c r="DZ1313">
        <f t="shared" si="2860"/>
        <v>0</v>
      </c>
      <c r="EA1313">
        <f t="shared" ref="EA1313:EF1313" si="2865">IF($C1313&lt;&gt;"",IF(BL1313&gt;0,1,0),0)</f>
        <v>0</v>
      </c>
      <c r="EB1313">
        <f t="shared" si="2865"/>
        <v>0</v>
      </c>
      <c r="EC1313">
        <f t="shared" si="2865"/>
        <v>0</v>
      </c>
      <c r="ED1313">
        <f t="shared" si="2865"/>
        <v>0</v>
      </c>
      <c r="EE1313">
        <f t="shared" si="2865"/>
        <v>0</v>
      </c>
      <c r="EF1313">
        <f t="shared" si="2865"/>
        <v>0</v>
      </c>
    </row>
    <row r="1314" spans="1:136" ht="15.5">
      <c r="A1314" s="90"/>
      <c r="B1314" s="53"/>
      <c r="C1314" s="88"/>
      <c r="D1314" s="88"/>
      <c r="E1314" s="88"/>
      <c r="F1314" s="88"/>
      <c r="G1314" s="88"/>
      <c r="H1314" s="88"/>
      <c r="I1314" s="88"/>
      <c r="J1314" s="88"/>
      <c r="K1314" s="88"/>
      <c r="L1314" s="88"/>
      <c r="M1314" s="88"/>
      <c r="N1314" s="88"/>
      <c r="O1314" s="88"/>
      <c r="P1314" s="88"/>
      <c r="Q1314" s="88"/>
      <c r="R1314" s="88"/>
      <c r="S1314" s="88"/>
      <c r="T1314" s="88"/>
      <c r="U1314" s="88"/>
      <c r="V1314" s="88"/>
      <c r="W1314" s="88"/>
      <c r="X1314" s="88"/>
      <c r="Y1314" s="88"/>
      <c r="Z1314" s="88"/>
      <c r="AA1314" s="88"/>
      <c r="AB1314" s="88"/>
      <c r="AC1314" s="88"/>
      <c r="AD1314" s="88"/>
      <c r="AE1314" s="88"/>
      <c r="AF1314" s="88"/>
      <c r="AG1314" s="88"/>
      <c r="AH1314" s="88"/>
      <c r="AI1314" s="88"/>
      <c r="AJ1314" s="88"/>
      <c r="AK1314" s="88"/>
      <c r="AL1314" s="88"/>
      <c r="AM1314" s="88"/>
      <c r="AN1314" s="88"/>
      <c r="AO1314" s="88"/>
      <c r="AP1314" s="88"/>
      <c r="AQ1314" s="88"/>
      <c r="AR1314" s="88"/>
      <c r="AS1314" s="88"/>
      <c r="AT1314" s="88"/>
      <c r="AU1314" s="88"/>
      <c r="AV1314" s="88"/>
      <c r="AW1314" s="88"/>
      <c r="AX1314" s="88"/>
      <c r="AY1314" s="88"/>
      <c r="AZ1314" s="88"/>
      <c r="BA1314" s="88"/>
      <c r="BB1314" s="88"/>
      <c r="BC1314" s="88"/>
      <c r="BD1314" s="88"/>
      <c r="BE1314" s="88"/>
      <c r="BF1314" s="88"/>
      <c r="BG1314" s="88"/>
      <c r="BH1314" s="88"/>
      <c r="BI1314" s="88"/>
      <c r="BJ1314" s="88"/>
      <c r="BK1314" s="88"/>
      <c r="BL1314" s="88"/>
      <c r="BM1314" s="88"/>
      <c r="BN1314" s="88"/>
      <c r="BO1314" s="88"/>
      <c r="BP1314" s="88"/>
      <c r="BQ1314" s="88"/>
      <c r="BR1314" s="88"/>
    </row>
    <row r="1315" spans="1:136" ht="15.5">
      <c r="A1315" s="90"/>
      <c r="B1315" s="53"/>
      <c r="C1315" s="88"/>
      <c r="D1315" s="88"/>
      <c r="E1315" s="88"/>
      <c r="F1315" s="88"/>
      <c r="G1315" s="88"/>
      <c r="H1315" s="88"/>
      <c r="I1315" s="88"/>
      <c r="J1315" s="88"/>
      <c r="K1315" s="88"/>
      <c r="L1315" s="88"/>
      <c r="M1315" s="88"/>
      <c r="N1315" s="88"/>
      <c r="O1315" s="88"/>
      <c r="P1315" s="88"/>
      <c r="Q1315" s="88"/>
      <c r="R1315" s="88"/>
      <c r="S1315" s="88"/>
      <c r="T1315" s="88"/>
      <c r="U1315" s="88"/>
      <c r="V1315" s="88"/>
      <c r="W1315" s="88"/>
      <c r="X1315" s="88"/>
      <c r="Y1315" s="88"/>
      <c r="Z1315" s="88"/>
      <c r="AA1315" s="88"/>
      <c r="AB1315" s="88"/>
      <c r="AC1315" s="88"/>
      <c r="AD1315" s="88"/>
      <c r="AE1315" s="88"/>
      <c r="AF1315" s="88"/>
      <c r="AG1315" s="88"/>
      <c r="AH1315" s="88"/>
      <c r="AI1315" s="88"/>
      <c r="AJ1315" s="88"/>
      <c r="AK1315" s="88"/>
      <c r="AL1315" s="88"/>
      <c r="AM1315" s="88"/>
      <c r="AN1315" s="88"/>
      <c r="AO1315" s="88"/>
      <c r="AP1315" s="88"/>
      <c r="AQ1315" s="88"/>
      <c r="AR1315" s="88"/>
      <c r="AS1315" s="88"/>
      <c r="AT1315" s="88"/>
      <c r="AU1315" s="88"/>
      <c r="AV1315" s="88"/>
      <c r="AW1315" s="88"/>
      <c r="AX1315" s="88"/>
      <c r="AY1315" s="88"/>
      <c r="AZ1315" s="88"/>
      <c r="BA1315" s="88"/>
      <c r="BB1315" s="121"/>
      <c r="BC1315" s="88"/>
      <c r="BD1315" s="88"/>
      <c r="BE1315" s="88"/>
      <c r="BF1315" s="88"/>
      <c r="BG1315" s="88"/>
      <c r="BH1315" s="88"/>
      <c r="BI1315" s="88"/>
      <c r="BJ1315" s="88"/>
      <c r="BK1315" s="88"/>
      <c r="BL1315" s="88"/>
      <c r="BM1315" s="88"/>
      <c r="BN1315" s="88"/>
      <c r="BO1315" s="88"/>
      <c r="BP1315" s="88"/>
      <c r="BQ1315" s="88"/>
      <c r="BR1315" s="88"/>
    </row>
    <row r="1316" spans="1:136" ht="15.5">
      <c r="A1316" s="90"/>
      <c r="B1316" s="84" t="s">
        <v>162</v>
      </c>
      <c r="C1316" s="88"/>
      <c r="D1316" s="88"/>
      <c r="E1316" s="88"/>
      <c r="F1316" s="88"/>
      <c r="G1316" s="88"/>
      <c r="H1316" s="88"/>
      <c r="I1316" s="88"/>
      <c r="J1316" s="88"/>
      <c r="K1316" s="88"/>
      <c r="L1316" s="88"/>
      <c r="M1316" s="88"/>
      <c r="N1316" s="88"/>
      <c r="O1316" s="88"/>
      <c r="P1316" s="88"/>
      <c r="Q1316" s="88"/>
      <c r="R1316" s="88"/>
      <c r="S1316" s="88"/>
      <c r="T1316" s="88"/>
      <c r="U1316" s="88"/>
      <c r="V1316" s="88"/>
      <c r="W1316" s="88"/>
      <c r="X1316" s="88"/>
      <c r="Y1316" s="88"/>
      <c r="Z1316" s="88"/>
      <c r="AA1316" s="88"/>
      <c r="AB1316" s="88"/>
      <c r="AC1316" s="88"/>
      <c r="AD1316" s="88"/>
      <c r="AE1316" s="88"/>
      <c r="AF1316" s="88"/>
      <c r="AG1316" s="88"/>
      <c r="AH1316" s="88"/>
      <c r="AI1316" s="88"/>
      <c r="AJ1316" s="88"/>
      <c r="AK1316" s="88"/>
      <c r="AL1316" s="88"/>
      <c r="AM1316" s="88"/>
      <c r="AN1316" s="88"/>
      <c r="AO1316" s="88"/>
      <c r="AP1316" s="88"/>
      <c r="AQ1316" s="88"/>
      <c r="AR1316" s="88"/>
      <c r="AS1316" s="88"/>
      <c r="AT1316" s="88"/>
      <c r="AU1316" s="88"/>
      <c r="AV1316" s="88"/>
      <c r="AW1316" s="88"/>
      <c r="AX1316" s="88"/>
      <c r="AY1316" s="88"/>
      <c r="AZ1316" s="88"/>
      <c r="BA1316" s="88"/>
      <c r="BB1316" s="121"/>
      <c r="BC1316" s="88"/>
      <c r="BD1316" s="88"/>
      <c r="BE1316" s="88"/>
      <c r="BF1316" s="88"/>
      <c r="BG1316" s="88"/>
      <c r="BH1316" s="88"/>
      <c r="BI1316" s="88"/>
      <c r="BJ1316" s="88"/>
      <c r="BK1316" s="88"/>
      <c r="BL1316" s="88"/>
      <c r="BM1316" s="88"/>
      <c r="BN1316" s="88"/>
      <c r="BO1316" s="88"/>
      <c r="BP1316" s="88"/>
      <c r="BQ1316" s="88"/>
      <c r="BR1316" s="88"/>
    </row>
    <row r="1317" spans="1:136" ht="15.5">
      <c r="A1317" s="90"/>
      <c r="B1317" s="84" t="s">
        <v>163</v>
      </c>
      <c r="C1317" s="88"/>
      <c r="D1317" s="88"/>
      <c r="E1317" s="88"/>
      <c r="F1317" s="88"/>
      <c r="G1317" s="88"/>
      <c r="H1317" s="88"/>
      <c r="I1317" s="88"/>
      <c r="J1317" s="88"/>
      <c r="K1317" s="88"/>
      <c r="L1317" s="88"/>
      <c r="M1317" s="88"/>
      <c r="N1317" s="88"/>
      <c r="O1317" s="88"/>
      <c r="P1317" s="88"/>
      <c r="Q1317" s="88"/>
      <c r="R1317" s="88"/>
      <c r="S1317" s="88"/>
      <c r="T1317" s="88"/>
      <c r="U1317" s="88"/>
      <c r="V1317" s="88"/>
      <c r="W1317" s="88"/>
      <c r="X1317" s="88"/>
      <c r="Y1317" s="88"/>
      <c r="Z1317" s="88"/>
      <c r="AA1317" s="88"/>
      <c r="AB1317" s="88"/>
      <c r="AC1317" s="88"/>
      <c r="AD1317" s="88"/>
      <c r="AE1317" s="88"/>
      <c r="AF1317" s="88"/>
      <c r="AG1317" s="88"/>
      <c r="AH1317" s="88"/>
      <c r="AI1317" s="88"/>
      <c r="AJ1317" s="88"/>
      <c r="AK1317" s="88"/>
      <c r="AL1317" s="88"/>
      <c r="AM1317" s="88"/>
      <c r="AN1317" s="88"/>
      <c r="AO1317" s="88"/>
      <c r="AP1317" s="88"/>
      <c r="AQ1317" s="88"/>
      <c r="AR1317" s="88"/>
      <c r="AS1317" s="88"/>
      <c r="AT1317" s="88"/>
      <c r="AU1317" s="88"/>
      <c r="AV1317" s="88"/>
      <c r="AW1317" s="88"/>
      <c r="AX1317" s="88"/>
      <c r="AY1317" s="88"/>
      <c r="AZ1317" s="88"/>
      <c r="BA1317" s="88" t="s">
        <v>24</v>
      </c>
      <c r="BB1317" s="121"/>
      <c r="BC1317" s="88"/>
      <c r="BD1317" s="88"/>
      <c r="BE1317" s="88"/>
      <c r="BF1317" s="88"/>
      <c r="BG1317" s="88"/>
      <c r="BH1317" s="88"/>
      <c r="BI1317" s="88"/>
      <c r="BJ1317" s="88"/>
      <c r="BK1317" s="88"/>
      <c r="BL1317" s="88"/>
      <c r="BM1317" s="88"/>
      <c r="BN1317" s="88"/>
      <c r="BO1317" s="88"/>
      <c r="BP1317" s="88"/>
      <c r="BQ1317" s="88"/>
      <c r="BR1317" s="88"/>
    </row>
    <row r="1318" spans="1:136" ht="15.5">
      <c r="A1318" s="90"/>
      <c r="B1318" s="84" t="s">
        <v>164</v>
      </c>
      <c r="C1318" s="88"/>
      <c r="D1318" s="88"/>
      <c r="E1318" s="88"/>
      <c r="F1318" s="88"/>
      <c r="G1318" s="88"/>
      <c r="H1318" s="88"/>
      <c r="I1318" s="88"/>
      <c r="J1318" s="88"/>
      <c r="K1318" s="88"/>
      <c r="L1318" s="88"/>
      <c r="M1318" s="88"/>
      <c r="N1318" s="88"/>
      <c r="O1318" s="88"/>
      <c r="P1318" s="88"/>
      <c r="Q1318" s="88"/>
      <c r="R1318" s="88"/>
      <c r="S1318" s="88"/>
      <c r="T1318" s="88"/>
      <c r="U1318" s="88"/>
      <c r="V1318" s="88"/>
      <c r="W1318" s="88"/>
      <c r="X1318" s="88"/>
      <c r="Y1318" s="88"/>
      <c r="Z1318" s="88"/>
      <c r="AA1318" s="88"/>
      <c r="AB1318" s="88"/>
      <c r="AC1318" s="88"/>
      <c r="AD1318" s="88"/>
      <c r="AE1318" s="88"/>
      <c r="AF1318" s="88"/>
      <c r="AG1318" s="88"/>
      <c r="AH1318" s="88"/>
      <c r="AI1318" s="88"/>
      <c r="AJ1318" s="88"/>
      <c r="AK1318" s="88"/>
      <c r="AL1318" s="88"/>
      <c r="AM1318" s="88"/>
      <c r="AN1318" s="88"/>
      <c r="AO1318" s="88"/>
      <c r="AP1318" s="88"/>
      <c r="AQ1318" s="88"/>
      <c r="AR1318" s="88"/>
      <c r="AS1318" s="88"/>
      <c r="AT1318" s="88"/>
      <c r="AU1318" s="88"/>
      <c r="AV1318" s="88"/>
      <c r="AW1318" s="88"/>
      <c r="AX1318" s="88"/>
      <c r="AY1318" s="88"/>
      <c r="AZ1318" s="88"/>
      <c r="BA1318" s="88"/>
      <c r="BB1318" s="121"/>
      <c r="BC1318" s="88"/>
      <c r="BD1318" s="88"/>
      <c r="BE1318" s="88"/>
      <c r="BF1318" s="88"/>
      <c r="BG1318" s="88"/>
      <c r="BH1318" s="88"/>
      <c r="BI1318" s="88"/>
      <c r="BJ1318" s="88"/>
      <c r="BK1318" s="88"/>
      <c r="BL1318" s="88"/>
      <c r="BM1318" s="88"/>
      <c r="BN1318" s="88"/>
      <c r="BO1318" s="88"/>
      <c r="BP1318" s="88"/>
      <c r="BQ1318" s="88"/>
      <c r="BR1318" s="88"/>
    </row>
    <row r="1319" spans="1:136" ht="15.5">
      <c r="A1319" s="90"/>
      <c r="B1319" s="84" t="s">
        <v>165</v>
      </c>
      <c r="C1319" s="88"/>
      <c r="D1319" s="88"/>
      <c r="E1319" s="88"/>
      <c r="F1319" s="88"/>
      <c r="G1319" s="88"/>
      <c r="H1319" s="88"/>
      <c r="I1319" s="88"/>
      <c r="J1319" s="88"/>
      <c r="K1319" s="88"/>
      <c r="L1319" s="88"/>
      <c r="M1319" s="88"/>
      <c r="N1319" s="88"/>
      <c r="O1319" s="88"/>
      <c r="P1319" s="88"/>
      <c r="Q1319" s="88"/>
      <c r="R1319" s="88"/>
      <c r="S1319" s="88"/>
      <c r="T1319" s="88"/>
      <c r="U1319" s="88"/>
      <c r="V1319" s="88"/>
      <c r="W1319" s="88"/>
      <c r="X1319" s="88"/>
      <c r="Y1319" s="88"/>
      <c r="Z1319" s="88"/>
      <c r="AA1319" s="88"/>
      <c r="AB1319" s="88"/>
      <c r="AC1319" s="88"/>
      <c r="AD1319" s="88"/>
      <c r="AE1319" s="88"/>
      <c r="AF1319" s="88"/>
      <c r="AG1319" s="88"/>
      <c r="AH1319" s="88"/>
      <c r="AI1319" s="88"/>
      <c r="AJ1319" s="88"/>
      <c r="AK1319" s="88"/>
      <c r="AL1319" s="88"/>
      <c r="AM1319" s="88"/>
      <c r="AN1319" s="88"/>
      <c r="AO1319" s="88"/>
      <c r="AP1319" s="88"/>
      <c r="AQ1319" s="88"/>
      <c r="AR1319" s="88"/>
      <c r="AS1319" s="88"/>
      <c r="AT1319" s="88"/>
      <c r="AU1319" s="88"/>
      <c r="AV1319" s="88"/>
      <c r="AW1319" s="88"/>
      <c r="AX1319" s="88"/>
      <c r="AY1319" s="88"/>
      <c r="AZ1319" s="88"/>
      <c r="BA1319" s="88"/>
      <c r="BB1319" s="121"/>
      <c r="BC1319" s="88"/>
      <c r="BD1319" s="88"/>
      <c r="BE1319" s="88"/>
      <c r="BF1319" s="88"/>
      <c r="BG1319" s="88"/>
      <c r="BH1319" s="88"/>
      <c r="BI1319" s="88"/>
      <c r="BJ1319" s="88"/>
      <c r="BK1319" s="88"/>
      <c r="BL1319" s="88"/>
      <c r="BM1319" s="88"/>
      <c r="BN1319" s="88"/>
      <c r="BO1319" s="88"/>
      <c r="BP1319" s="88"/>
      <c r="BQ1319" s="88"/>
      <c r="BR1319" s="88"/>
    </row>
    <row r="1320" spans="1:136" ht="15.5">
      <c r="A1320" s="90"/>
      <c r="B1320" s="84" t="s">
        <v>166</v>
      </c>
      <c r="C1320" s="88"/>
      <c r="D1320" s="88"/>
      <c r="E1320" s="88"/>
      <c r="F1320" s="88"/>
      <c r="G1320" s="88"/>
      <c r="H1320" s="88"/>
      <c r="I1320" s="88"/>
      <c r="J1320" s="88"/>
      <c r="K1320" s="88"/>
      <c r="L1320" s="88"/>
      <c r="M1320" s="88"/>
      <c r="N1320" s="88"/>
      <c r="O1320" s="88"/>
      <c r="P1320" s="88"/>
      <c r="Q1320" s="88"/>
      <c r="R1320" s="88"/>
      <c r="S1320" s="88"/>
      <c r="T1320" s="88"/>
      <c r="U1320" s="88"/>
      <c r="V1320" s="88"/>
      <c r="W1320" s="88"/>
      <c r="X1320" s="88"/>
      <c r="Y1320" s="88"/>
      <c r="Z1320" s="88"/>
      <c r="AA1320" s="88"/>
      <c r="AB1320" s="88"/>
      <c r="AC1320" s="88"/>
      <c r="AD1320" s="88"/>
      <c r="AE1320" s="88"/>
      <c r="AF1320" s="88"/>
      <c r="AG1320" s="88"/>
      <c r="AH1320" s="88"/>
      <c r="AI1320" s="88"/>
      <c r="AJ1320" s="88"/>
      <c r="AK1320" s="88"/>
      <c r="AL1320" s="88"/>
      <c r="AM1320" s="88"/>
      <c r="AN1320" s="88"/>
      <c r="AO1320" s="88"/>
      <c r="AP1320" s="88"/>
      <c r="AQ1320" s="88"/>
      <c r="AR1320" s="88"/>
      <c r="AS1320" s="88"/>
      <c r="AT1320" s="88"/>
      <c r="AU1320" s="88"/>
      <c r="AV1320" s="88"/>
      <c r="AW1320" s="88"/>
      <c r="AX1320" s="88"/>
      <c r="AY1320" s="88"/>
      <c r="AZ1320" s="88"/>
      <c r="BA1320" s="88"/>
      <c r="BB1320" s="121"/>
      <c r="BC1320" s="88"/>
      <c r="BD1320" s="88"/>
      <c r="BE1320" s="88"/>
      <c r="BF1320" s="88"/>
      <c r="BG1320" s="88"/>
      <c r="BH1320" s="88"/>
      <c r="BI1320" s="88"/>
      <c r="BJ1320" s="88"/>
      <c r="BK1320" s="88"/>
      <c r="BL1320" s="88"/>
      <c r="BM1320" s="88"/>
      <c r="BN1320" s="88"/>
      <c r="BO1320" s="88"/>
      <c r="BP1320" s="88"/>
      <c r="BQ1320" s="88"/>
      <c r="BR1320" s="88"/>
    </row>
    <row r="1321" spans="1:136" ht="15.5">
      <c r="A1321" s="90"/>
      <c r="B1321" s="84" t="s">
        <v>167</v>
      </c>
      <c r="C1321" s="88"/>
      <c r="D1321" s="88"/>
      <c r="E1321" s="88"/>
      <c r="F1321" s="88"/>
      <c r="G1321" s="88"/>
      <c r="H1321" s="88"/>
      <c r="I1321" s="88"/>
      <c r="J1321" s="88"/>
      <c r="K1321" s="88"/>
      <c r="L1321" s="88"/>
      <c r="M1321" s="88"/>
      <c r="N1321" s="88"/>
      <c r="O1321" s="88"/>
      <c r="P1321" s="88"/>
      <c r="Q1321" s="88"/>
      <c r="R1321" s="88"/>
      <c r="S1321" s="88"/>
      <c r="T1321" s="88"/>
      <c r="U1321" s="88"/>
      <c r="V1321" s="88"/>
      <c r="W1321" s="88"/>
      <c r="X1321" s="88"/>
      <c r="Y1321" s="88"/>
      <c r="Z1321" s="88"/>
      <c r="AA1321" s="88"/>
      <c r="AB1321" s="88"/>
      <c r="AC1321" s="88"/>
      <c r="AD1321" s="88"/>
      <c r="AE1321" s="88"/>
      <c r="AF1321" s="88"/>
      <c r="AG1321" s="88"/>
      <c r="AH1321" s="88"/>
      <c r="AI1321" s="88"/>
      <c r="AJ1321" s="88"/>
      <c r="AK1321" s="88"/>
      <c r="AL1321" s="88"/>
      <c r="AM1321" s="88"/>
      <c r="AN1321" s="88"/>
      <c r="AO1321" s="88"/>
      <c r="AP1321" s="88"/>
      <c r="AQ1321" s="88"/>
      <c r="AR1321" s="88"/>
      <c r="AS1321" s="88"/>
      <c r="AT1321" s="88"/>
      <c r="AU1321" s="88"/>
      <c r="AV1321" s="88"/>
      <c r="AW1321" s="88"/>
      <c r="AX1321" s="88"/>
      <c r="AY1321" s="88"/>
      <c r="AZ1321" s="88"/>
      <c r="BA1321" s="88"/>
      <c r="BB1321" s="121"/>
      <c r="BC1321" s="88"/>
      <c r="BD1321" s="88"/>
      <c r="BE1321" s="88"/>
      <c r="BF1321" s="88"/>
      <c r="BG1321" s="88"/>
      <c r="BH1321" s="88"/>
      <c r="BI1321" s="88"/>
      <c r="BJ1321" s="88"/>
      <c r="BK1321" s="88"/>
      <c r="BL1321" s="88"/>
      <c r="BM1321" s="88"/>
      <c r="BN1321" s="88"/>
      <c r="BO1321" s="88"/>
      <c r="BP1321" s="88"/>
      <c r="BQ1321" s="88"/>
      <c r="BR1321" s="88"/>
    </row>
    <row r="1322" spans="1:136" ht="15.5">
      <c r="A1322" s="90"/>
      <c r="B1322" s="84" t="s">
        <v>168</v>
      </c>
      <c r="C1322" s="88"/>
      <c r="D1322" s="88"/>
      <c r="E1322" s="88"/>
      <c r="F1322" s="88"/>
      <c r="G1322" s="88"/>
      <c r="H1322" s="88"/>
      <c r="I1322" s="88"/>
      <c r="J1322" s="88"/>
      <c r="K1322" s="88"/>
      <c r="L1322" s="88"/>
      <c r="M1322" s="88"/>
      <c r="N1322" s="88"/>
      <c r="O1322" s="88"/>
      <c r="P1322" s="88"/>
      <c r="Q1322" s="88"/>
      <c r="R1322" s="88"/>
      <c r="S1322" s="88"/>
      <c r="T1322" s="88"/>
      <c r="U1322" s="88"/>
      <c r="V1322" s="88"/>
      <c r="W1322" s="88"/>
      <c r="X1322" s="88"/>
      <c r="Y1322" s="88"/>
      <c r="Z1322" s="88"/>
      <c r="AA1322" s="88"/>
      <c r="AB1322" s="88"/>
      <c r="AC1322" s="88"/>
      <c r="AD1322" s="88"/>
      <c r="AE1322" s="88"/>
      <c r="AF1322" s="88"/>
      <c r="AG1322" s="88"/>
      <c r="AH1322" s="88"/>
      <c r="AI1322" s="88"/>
      <c r="AJ1322" s="88"/>
      <c r="AK1322" s="88"/>
      <c r="AL1322" s="88"/>
      <c r="AM1322" s="88"/>
      <c r="AN1322" s="88"/>
      <c r="AO1322" s="88"/>
      <c r="AP1322" s="88"/>
      <c r="AQ1322" s="88"/>
      <c r="AR1322" s="88"/>
      <c r="AS1322" s="88"/>
      <c r="AT1322" s="88"/>
      <c r="AU1322" s="88"/>
      <c r="AV1322" s="88"/>
      <c r="AW1322" s="88"/>
      <c r="AX1322" s="88"/>
      <c r="AY1322" s="88"/>
      <c r="AZ1322" s="88"/>
      <c r="BA1322" s="88"/>
      <c r="BB1322" s="88"/>
      <c r="BC1322" s="88"/>
      <c r="BD1322" s="88"/>
      <c r="BE1322" s="88"/>
      <c r="BF1322" s="88"/>
      <c r="BG1322" s="88"/>
      <c r="BH1322" s="88"/>
      <c r="BI1322" s="88"/>
      <c r="BJ1322" s="88"/>
      <c r="BK1322" s="88"/>
      <c r="BL1322" s="88"/>
      <c r="BM1322" s="88"/>
      <c r="BN1322" s="88"/>
      <c r="BO1322" s="88"/>
      <c r="BP1322" s="88"/>
      <c r="BQ1322" s="88"/>
      <c r="BR1322" s="88"/>
    </row>
    <row r="1326" spans="1:136">
      <c r="X1326">
        <v>8385.5792415572105</v>
      </c>
      <c r="Y1326">
        <v>8510.5802005839305</v>
      </c>
      <c r="Z1326">
        <v>8451.6601258650808</v>
      </c>
      <c r="AA1326">
        <v>8793.8648108156704</v>
      </c>
      <c r="AB1326">
        <v>9198.5515375937593</v>
      </c>
      <c r="AC1326">
        <v>9700.7652989626604</v>
      </c>
      <c r="AD1326">
        <v>11835.8938443523</v>
      </c>
      <c r="AE1326">
        <v>13741.776973222801</v>
      </c>
      <c r="AF1326">
        <v>15511.635553416099</v>
      </c>
      <c r="AG1326">
        <v>16200.1448132323</v>
      </c>
      <c r="AH1326">
        <v>18193.140935453601</v>
      </c>
      <c r="AI1326">
        <v>19424.101372087698</v>
      </c>
      <c r="AJ1326">
        <v>20908.8251825015</v>
      </c>
      <c r="AK1326">
        <v>21106.363793690103</v>
      </c>
      <c r="AL1326">
        <v>22639.886359604301</v>
      </c>
      <c r="AM1326">
        <v>25015.209607649802</v>
      </c>
      <c r="AN1326">
        <v>25182.8397007032</v>
      </c>
      <c r="AO1326">
        <v>24742.320459415299</v>
      </c>
      <c r="AP1326">
        <v>24810.089818427801</v>
      </c>
      <c r="AQ1326">
        <v>26103.864918712999</v>
      </c>
      <c r="AR1326">
        <v>26554.723043586499</v>
      </c>
      <c r="AS1326">
        <v>26305.471291272799</v>
      </c>
      <c r="AT1326">
        <v>27475.9930650772</v>
      </c>
      <c r="AU1326">
        <v>30831.6366000991</v>
      </c>
      <c r="AV1326">
        <v>34207.025025657298</v>
      </c>
      <c r="AW1326">
        <v>35986.466080876402</v>
      </c>
      <c r="AX1326">
        <v>37837.672869817899</v>
      </c>
      <c r="AY1326">
        <v>41342.924482837901</v>
      </c>
      <c r="AZ1326">
        <v>43550.599401647203</v>
      </c>
      <c r="BA1326">
        <v>41105.093466772705</v>
      </c>
      <c r="BB1326">
        <v>42940.559064685003</v>
      </c>
      <c r="BC1326">
        <v>46070.479630532202</v>
      </c>
      <c r="BD1326">
        <v>45894.184795338901</v>
      </c>
      <c r="BE1326">
        <v>46192.742431763101</v>
      </c>
      <c r="BG1326">
        <v>44387.800505072999</v>
      </c>
      <c r="BL1326" s="6"/>
    </row>
    <row r="1327" spans="1:136">
      <c r="X1327" s="6">
        <v>11098.6752657133</v>
      </c>
      <c r="Y1327" s="6">
        <v>11318.864521404699</v>
      </c>
      <c r="Z1327" s="6">
        <v>11106.2328167292</v>
      </c>
      <c r="AA1327" s="6">
        <v>11399.4707545244</v>
      </c>
      <c r="AB1327" s="6">
        <v>11833.009163397699</v>
      </c>
      <c r="AC1327" s="6">
        <v>12382.757066288001</v>
      </c>
      <c r="AD1327" s="6">
        <v>14586.6699683521</v>
      </c>
      <c r="AE1327" s="6">
        <v>16778.391685543098</v>
      </c>
      <c r="AF1327" s="6">
        <v>18863.272176016199</v>
      </c>
      <c r="AG1327" s="6">
        <v>19868.362696235799</v>
      </c>
      <c r="AH1327" s="6">
        <v>23298.015258053398</v>
      </c>
      <c r="AI1327" s="6">
        <v>24677.8764253915</v>
      </c>
      <c r="AJ1327" s="6">
        <v>25031.9783679186</v>
      </c>
      <c r="AK1327" s="6">
        <v>25760.651440874801</v>
      </c>
      <c r="AL1327" s="6">
        <v>27655.053648871399</v>
      </c>
      <c r="AM1327" s="6">
        <v>30766.135923684</v>
      </c>
      <c r="AN1327" s="6">
        <v>31625.146973470801</v>
      </c>
      <c r="AO1327" s="6">
        <v>31574.890848117699</v>
      </c>
      <c r="AP1327" s="6">
        <v>31367.759144522999</v>
      </c>
      <c r="AQ1327" s="6">
        <v>32335.1075003839</v>
      </c>
      <c r="AR1327" s="6">
        <v>33304.269725587605</v>
      </c>
      <c r="AS1327" s="6">
        <v>33128.635239414099</v>
      </c>
      <c r="AT1327" s="6">
        <v>34442.110108531997</v>
      </c>
      <c r="AU1327" s="6">
        <v>38728.559332776502</v>
      </c>
      <c r="AV1327" s="6">
        <v>43607.4026334765</v>
      </c>
      <c r="AW1327" s="6">
        <v>47225.244841756401</v>
      </c>
      <c r="AX1327" s="6">
        <v>51153.972997866797</v>
      </c>
      <c r="AY1327" s="6">
        <v>57755.763111866603</v>
      </c>
      <c r="AZ1327" s="6">
        <v>63267.924052518705</v>
      </c>
      <c r="BA1327" s="6">
        <v>59920.9132560906</v>
      </c>
      <c r="BB1327" s="6">
        <v>65571.213891539504</v>
      </c>
      <c r="BC1327" s="6">
        <v>72681.060855726493</v>
      </c>
      <c r="BD1327" s="6">
        <v>74185.9920545184</v>
      </c>
      <c r="BE1327" s="6">
        <v>75905.1437875876</v>
      </c>
      <c r="BF1327">
        <v>47135.066768494398</v>
      </c>
      <c r="BG1327" s="6">
        <v>73170.986375636596</v>
      </c>
      <c r="BH1327" s="6"/>
      <c r="BI1327" s="6"/>
      <c r="BJ1327" s="6"/>
      <c r="BK1327" s="6"/>
      <c r="BM1327" s="6"/>
      <c r="BN1327" s="6"/>
      <c r="BO1327" s="6"/>
      <c r="BP1327" s="6"/>
      <c r="BQ1327" s="6"/>
    </row>
    <row r="1328" spans="1:136">
      <c r="BF1328" s="6">
        <v>77825.283556260198</v>
      </c>
    </row>
    <row r="1331" spans="2:69">
      <c r="D1331" s="100">
        <v>1960</v>
      </c>
      <c r="E1331" s="100">
        <v>1961</v>
      </c>
      <c r="F1331" s="100">
        <v>1962</v>
      </c>
      <c r="G1331" s="100">
        <v>1963</v>
      </c>
      <c r="H1331" s="100">
        <v>1964</v>
      </c>
      <c r="I1331" s="100">
        <v>1965</v>
      </c>
      <c r="J1331" s="100">
        <v>1966</v>
      </c>
      <c r="K1331" s="100">
        <v>1967</v>
      </c>
      <c r="L1331" s="100">
        <v>1968</v>
      </c>
      <c r="M1331" s="100">
        <v>1969</v>
      </c>
      <c r="N1331" s="100">
        <v>1970</v>
      </c>
      <c r="O1331" s="100">
        <v>1971</v>
      </c>
      <c r="P1331" s="100">
        <v>1972</v>
      </c>
      <c r="Q1331" s="100">
        <v>1973</v>
      </c>
      <c r="R1331" s="100">
        <v>1974</v>
      </c>
      <c r="S1331" s="100">
        <v>1975</v>
      </c>
      <c r="T1331" s="100">
        <v>1976</v>
      </c>
      <c r="U1331" s="100">
        <v>1977</v>
      </c>
      <c r="V1331" s="100">
        <v>1978</v>
      </c>
      <c r="W1331" s="100">
        <v>1979</v>
      </c>
      <c r="X1331" s="100">
        <v>1980</v>
      </c>
      <c r="Y1331" s="100">
        <v>1981</v>
      </c>
      <c r="Z1331" s="100">
        <v>1982</v>
      </c>
      <c r="AA1331" s="100">
        <v>1983</v>
      </c>
      <c r="AB1331" s="100">
        <v>1984</v>
      </c>
      <c r="AC1331" s="100">
        <v>1985</v>
      </c>
      <c r="AD1331" s="100">
        <v>1986</v>
      </c>
      <c r="AE1331" s="100">
        <v>1987</v>
      </c>
      <c r="AF1331" s="100">
        <v>1988</v>
      </c>
      <c r="AG1331" s="100">
        <v>1989</v>
      </c>
      <c r="AH1331" s="100">
        <v>1990</v>
      </c>
      <c r="AI1331" s="100">
        <v>1991</v>
      </c>
      <c r="AJ1331" s="100">
        <v>1992</v>
      </c>
      <c r="AK1331" s="100">
        <v>1993</v>
      </c>
      <c r="AL1331" s="100">
        <v>1994</v>
      </c>
      <c r="AM1331" s="100">
        <v>1995</v>
      </c>
      <c r="AN1331" s="100">
        <v>1996</v>
      </c>
      <c r="AO1331" s="100">
        <v>1997</v>
      </c>
      <c r="AP1331" s="100">
        <v>1998</v>
      </c>
      <c r="AQ1331" s="100">
        <v>1999</v>
      </c>
      <c r="AR1331" s="100">
        <v>2000</v>
      </c>
      <c r="AS1331" s="100">
        <v>2001</v>
      </c>
      <c r="AT1331" s="100">
        <v>2002</v>
      </c>
      <c r="AU1331" s="100">
        <v>2003</v>
      </c>
      <c r="AV1331" s="100">
        <v>2004</v>
      </c>
      <c r="AW1331" s="100">
        <v>2005</v>
      </c>
      <c r="AX1331" s="100">
        <v>2006</v>
      </c>
      <c r="AY1331" s="100">
        <v>2007</v>
      </c>
      <c r="AZ1331" s="100">
        <v>2008</v>
      </c>
      <c r="BA1331" s="100">
        <v>2009</v>
      </c>
      <c r="BB1331" s="100">
        <v>2010</v>
      </c>
      <c r="BC1331" s="100">
        <v>2011</v>
      </c>
      <c r="BD1331" s="100">
        <v>2012</v>
      </c>
      <c r="BE1331" s="100">
        <v>2013</v>
      </c>
      <c r="BF1331" s="100">
        <v>2014</v>
      </c>
      <c r="BG1331" s="100">
        <v>2015</v>
      </c>
      <c r="BH1331" s="100">
        <v>2016</v>
      </c>
      <c r="BI1331" s="100">
        <v>2017</v>
      </c>
      <c r="BJ1331" s="100">
        <v>2018</v>
      </c>
      <c r="BK1331" s="100">
        <v>2019</v>
      </c>
      <c r="BL1331" s="100">
        <v>2020</v>
      </c>
      <c r="BM1331" s="100">
        <v>2021</v>
      </c>
      <c r="BN1331" s="100">
        <v>2022</v>
      </c>
      <c r="BO1331" s="100">
        <v>2023</v>
      </c>
      <c r="BP1331" s="100">
        <v>2024</v>
      </c>
      <c r="BQ1331" s="100">
        <v>2025</v>
      </c>
    </row>
    <row r="1332" spans="2:69">
      <c r="B1332" t="s">
        <v>180</v>
      </c>
      <c r="D1332">
        <v>1</v>
      </c>
      <c r="E1332">
        <v>3</v>
      </c>
      <c r="F1332">
        <v>1</v>
      </c>
      <c r="G1332">
        <v>2</v>
      </c>
      <c r="H1332">
        <v>2</v>
      </c>
      <c r="I1332">
        <v>2</v>
      </c>
      <c r="J1332">
        <v>1</v>
      </c>
      <c r="K1332">
        <v>1</v>
      </c>
      <c r="L1332">
        <v>3</v>
      </c>
      <c r="M1332">
        <v>1</v>
      </c>
      <c r="N1332">
        <v>3</v>
      </c>
      <c r="O1332">
        <v>0</v>
      </c>
      <c r="P1332">
        <v>1</v>
      </c>
      <c r="Q1332">
        <v>1</v>
      </c>
      <c r="R1332">
        <v>0</v>
      </c>
      <c r="S1332" s="170">
        <v>3</v>
      </c>
      <c r="T1332" s="170">
        <v>7</v>
      </c>
      <c r="U1332" s="170">
        <v>5</v>
      </c>
      <c r="V1332" s="170">
        <v>8</v>
      </c>
      <c r="W1332" s="170">
        <v>10</v>
      </c>
      <c r="X1332" s="170">
        <v>13</v>
      </c>
      <c r="Y1332" s="170">
        <v>18</v>
      </c>
      <c r="Z1332" s="170">
        <v>26</v>
      </c>
      <c r="AA1332" s="170">
        <v>33</v>
      </c>
      <c r="AB1332" s="170">
        <v>36</v>
      </c>
      <c r="AC1332" s="170">
        <v>38</v>
      </c>
      <c r="AD1332" s="170">
        <v>42</v>
      </c>
      <c r="AE1332" s="170">
        <v>44</v>
      </c>
      <c r="AF1332" s="170">
        <v>45</v>
      </c>
      <c r="AG1332" s="170">
        <v>45</v>
      </c>
      <c r="AH1332" s="170">
        <v>48</v>
      </c>
      <c r="AI1332" s="170">
        <v>43</v>
      </c>
      <c r="AJ1332" s="170">
        <v>47</v>
      </c>
      <c r="AK1332" s="170">
        <v>46</v>
      </c>
      <c r="AL1332" s="170">
        <v>40</v>
      </c>
      <c r="AM1332" s="170">
        <v>33</v>
      </c>
      <c r="AN1332" s="170">
        <v>31</v>
      </c>
      <c r="AO1332" s="170">
        <v>27</v>
      </c>
      <c r="AP1332" s="170">
        <v>27</v>
      </c>
      <c r="AQ1332" s="170">
        <v>24</v>
      </c>
      <c r="AR1332" s="170">
        <v>20</v>
      </c>
      <c r="AS1332" s="170">
        <v>21</v>
      </c>
      <c r="AT1332" s="170">
        <v>22</v>
      </c>
      <c r="AU1332" s="170">
        <v>19</v>
      </c>
      <c r="AV1332" s="170">
        <v>19</v>
      </c>
      <c r="AW1332" s="170">
        <v>15</v>
      </c>
      <c r="AX1332" s="170">
        <v>14</v>
      </c>
      <c r="AY1332" s="170">
        <v>13</v>
      </c>
      <c r="AZ1332" s="170">
        <v>10</v>
      </c>
      <c r="BA1332" s="170">
        <v>10</v>
      </c>
      <c r="BB1332" s="170">
        <v>10</v>
      </c>
      <c r="BC1332" s="170">
        <v>10</v>
      </c>
      <c r="BD1332" s="170">
        <v>10</v>
      </c>
      <c r="BE1332" s="170">
        <v>10</v>
      </c>
      <c r="BF1332" s="170">
        <v>10</v>
      </c>
      <c r="BG1332" s="170">
        <v>10</v>
      </c>
      <c r="BH1332" s="170">
        <v>11</v>
      </c>
      <c r="BI1332" s="170">
        <v>9</v>
      </c>
      <c r="BJ1332" s="170">
        <v>9</v>
      </c>
      <c r="BK1332" s="170">
        <v>9</v>
      </c>
      <c r="BL1332" s="170">
        <v>7</v>
      </c>
      <c r="BM1332" s="170">
        <v>7</v>
      </c>
      <c r="BN1332" s="170">
        <v>9</v>
      </c>
      <c r="BO1332" s="170">
        <v>10</v>
      </c>
      <c r="BP1332" s="170"/>
      <c r="BQ1332" s="170"/>
    </row>
    <row r="1333" spans="2:69">
      <c r="B1333" t="s">
        <v>181</v>
      </c>
      <c r="D1333">
        <v>1</v>
      </c>
      <c r="E1333">
        <v>2</v>
      </c>
      <c r="F1333">
        <v>1</v>
      </c>
      <c r="G1333">
        <v>1</v>
      </c>
      <c r="H1333">
        <v>2</v>
      </c>
      <c r="I1333">
        <v>1</v>
      </c>
      <c r="J1333">
        <v>0</v>
      </c>
      <c r="K1333">
        <v>1</v>
      </c>
      <c r="L1333">
        <v>0</v>
      </c>
      <c r="M1333">
        <v>0</v>
      </c>
      <c r="N1333">
        <v>1</v>
      </c>
      <c r="O1333">
        <v>0</v>
      </c>
      <c r="P1333">
        <v>0</v>
      </c>
      <c r="Q1333">
        <v>0</v>
      </c>
      <c r="R1333">
        <v>0</v>
      </c>
      <c r="S1333" s="37">
        <v>8</v>
      </c>
      <c r="T1333" s="37">
        <v>7</v>
      </c>
      <c r="U1333" s="37">
        <v>5</v>
      </c>
      <c r="V1333" s="37">
        <v>5</v>
      </c>
      <c r="W1333" s="37">
        <v>5</v>
      </c>
      <c r="X1333" s="37">
        <v>5</v>
      </c>
      <c r="Y1333" s="37">
        <v>6</v>
      </c>
      <c r="Z1333" s="37">
        <v>5</v>
      </c>
      <c r="AA1333" s="37">
        <v>5</v>
      </c>
      <c r="AB1333" s="37">
        <v>6</v>
      </c>
      <c r="AC1333" s="37">
        <v>6</v>
      </c>
      <c r="AD1333" s="37">
        <v>5</v>
      </c>
      <c r="AE1333" s="37">
        <v>6</v>
      </c>
      <c r="AF1333" s="37">
        <v>4</v>
      </c>
      <c r="AG1333" s="37">
        <v>6</v>
      </c>
      <c r="AH1333" s="37">
        <v>4</v>
      </c>
      <c r="AI1333" s="37">
        <v>5</v>
      </c>
      <c r="AJ1333" s="37">
        <v>7</v>
      </c>
      <c r="AK1333" s="37">
        <v>5</v>
      </c>
      <c r="AL1333" s="37">
        <v>6</v>
      </c>
      <c r="AM1333" s="37">
        <v>4</v>
      </c>
      <c r="AN1333" s="37">
        <v>4</v>
      </c>
      <c r="AO1333" s="37">
        <v>4</v>
      </c>
      <c r="AP1333" s="37">
        <v>6</v>
      </c>
      <c r="AQ1333" s="37">
        <v>7</v>
      </c>
      <c r="AR1333" s="37">
        <v>8</v>
      </c>
      <c r="AS1333" s="37">
        <v>8</v>
      </c>
      <c r="AT1333" s="37">
        <v>9</v>
      </c>
      <c r="AU1333" s="37">
        <v>10</v>
      </c>
      <c r="AV1333" s="37">
        <v>13</v>
      </c>
      <c r="AW1333" s="37">
        <v>9</v>
      </c>
      <c r="AX1333" s="37">
        <v>5</v>
      </c>
      <c r="AY1333" s="37">
        <v>5</v>
      </c>
      <c r="AZ1333" s="37">
        <v>8</v>
      </c>
      <c r="BA1333" s="37">
        <v>7</v>
      </c>
      <c r="BB1333" s="37">
        <v>8</v>
      </c>
      <c r="BC1333" s="37">
        <v>7</v>
      </c>
      <c r="BD1333" s="37">
        <v>8</v>
      </c>
      <c r="BE1333" s="37">
        <v>9</v>
      </c>
      <c r="BF1333" s="37">
        <v>5</v>
      </c>
      <c r="BG1333" s="37">
        <v>8</v>
      </c>
      <c r="BH1333" s="37">
        <v>11</v>
      </c>
      <c r="BI1333" s="37">
        <v>11</v>
      </c>
      <c r="BJ1333" s="37">
        <v>9</v>
      </c>
      <c r="BK1333" s="37">
        <v>9</v>
      </c>
      <c r="BL1333" s="37">
        <v>10</v>
      </c>
      <c r="BM1333" s="37">
        <v>11</v>
      </c>
      <c r="BN1333" s="37">
        <v>17</v>
      </c>
      <c r="BO1333" s="37">
        <v>17</v>
      </c>
      <c r="BP1333" s="37"/>
      <c r="BQ1333" s="37"/>
    </row>
    <row r="1334" spans="2:69">
      <c r="B1334" t="s">
        <v>182</v>
      </c>
      <c r="D1334" s="4">
        <v>9</v>
      </c>
      <c r="E1334" s="4">
        <v>10</v>
      </c>
      <c r="F1334" s="4">
        <v>9</v>
      </c>
      <c r="G1334" s="4">
        <v>9</v>
      </c>
      <c r="H1334" s="4">
        <v>9</v>
      </c>
      <c r="I1334" s="4">
        <v>10</v>
      </c>
      <c r="J1334" s="4">
        <v>8</v>
      </c>
      <c r="K1334" s="4">
        <v>8</v>
      </c>
      <c r="L1334" s="4">
        <v>7</v>
      </c>
      <c r="M1334" s="4">
        <v>7</v>
      </c>
      <c r="N1334" s="4">
        <v>6</v>
      </c>
      <c r="O1334" s="4">
        <v>6</v>
      </c>
      <c r="P1334" s="4">
        <v>6</v>
      </c>
      <c r="Q1334" s="4">
        <v>6</v>
      </c>
      <c r="R1334" s="4">
        <v>6</v>
      </c>
      <c r="S1334" s="171">
        <v>3</v>
      </c>
      <c r="T1334" s="171">
        <v>2</v>
      </c>
      <c r="U1334" s="171">
        <v>1</v>
      </c>
      <c r="V1334" s="171">
        <v>2</v>
      </c>
      <c r="W1334" s="171">
        <v>3</v>
      </c>
      <c r="X1334" s="171">
        <v>3</v>
      </c>
      <c r="Y1334" s="171">
        <v>2</v>
      </c>
      <c r="Z1334" s="171">
        <v>5</v>
      </c>
      <c r="AA1334" s="171">
        <v>3</v>
      </c>
      <c r="AB1334" s="171">
        <v>5</v>
      </c>
      <c r="AC1334" s="171">
        <v>3</v>
      </c>
      <c r="AD1334" s="171">
        <v>3</v>
      </c>
      <c r="AE1334" s="171">
        <v>4</v>
      </c>
      <c r="AF1334" s="171">
        <v>3</v>
      </c>
      <c r="AG1334" s="171">
        <v>5</v>
      </c>
      <c r="AH1334" s="171">
        <v>8</v>
      </c>
      <c r="AI1334" s="171">
        <v>7</v>
      </c>
      <c r="AJ1334" s="171">
        <v>6</v>
      </c>
      <c r="AK1334" s="171">
        <v>7</v>
      </c>
      <c r="AL1334" s="171">
        <v>6</v>
      </c>
      <c r="AM1334" s="171">
        <v>7</v>
      </c>
      <c r="AN1334" s="171">
        <v>10</v>
      </c>
      <c r="AO1334" s="171">
        <v>8</v>
      </c>
      <c r="AP1334" s="171">
        <v>13</v>
      </c>
      <c r="AQ1334" s="171">
        <v>15</v>
      </c>
      <c r="AR1334" s="171">
        <v>11</v>
      </c>
      <c r="AS1334" s="171">
        <v>10</v>
      </c>
      <c r="AT1334" s="171">
        <v>14</v>
      </c>
      <c r="AU1334" s="171">
        <v>10</v>
      </c>
      <c r="AV1334" s="171">
        <v>7</v>
      </c>
      <c r="AW1334" s="171">
        <v>9</v>
      </c>
      <c r="AX1334" s="171">
        <v>6</v>
      </c>
      <c r="AY1334" s="171">
        <v>5</v>
      </c>
      <c r="AZ1334" s="171">
        <v>4</v>
      </c>
      <c r="BA1334" s="171">
        <v>3</v>
      </c>
      <c r="BB1334" s="171">
        <v>4</v>
      </c>
      <c r="BC1334" s="171">
        <v>2</v>
      </c>
      <c r="BD1334" s="171">
        <v>2</v>
      </c>
      <c r="BE1334" s="171">
        <v>3</v>
      </c>
      <c r="BF1334" s="171">
        <v>2</v>
      </c>
      <c r="BG1334" s="171">
        <v>2</v>
      </c>
      <c r="BH1334" s="171">
        <v>4</v>
      </c>
      <c r="BI1334" s="171">
        <v>4</v>
      </c>
      <c r="BJ1334" s="171">
        <v>5</v>
      </c>
      <c r="BK1334" s="171">
        <v>4</v>
      </c>
      <c r="BL1334" s="171">
        <v>5</v>
      </c>
      <c r="BM1334" s="171">
        <v>5</v>
      </c>
      <c r="BN1334" s="172">
        <v>7</v>
      </c>
      <c r="BO1334" s="172">
        <v>5</v>
      </c>
      <c r="BP1334" s="172"/>
      <c r="BQ1334" s="172"/>
    </row>
    <row r="1345" spans="2:66">
      <c r="Y1345">
        <v>675</v>
      </c>
      <c r="Z1345">
        <v>675</v>
      </c>
      <c r="AA1345">
        <v>675</v>
      </c>
      <c r="AB1345">
        <v>675</v>
      </c>
      <c r="AC1345">
        <v>675</v>
      </c>
      <c r="AD1345" s="6">
        <f t="shared" ref="AD1345:AI1345" si="2866">AD1346+AD1347</f>
        <v>675.1079682122147</v>
      </c>
      <c r="AE1345" s="6">
        <f t="shared" si="2866"/>
        <v>761.98689853221913</v>
      </c>
      <c r="AF1345" s="6">
        <f t="shared" si="2866"/>
        <v>848.93950070005565</v>
      </c>
      <c r="AG1345" s="6">
        <f t="shared" si="2866"/>
        <v>935.96688716062647</v>
      </c>
      <c r="AH1345" s="6">
        <f t="shared" si="2866"/>
        <v>1023.0701871567519</v>
      </c>
      <c r="AI1345" s="6">
        <f t="shared" si="2866"/>
        <v>1111.2505469828188</v>
      </c>
      <c r="AZ1345">
        <f t="shared" ref="AZ1345:BE1345" si="2867">AZ1346+AZ1347</f>
        <v>1949.305649526596</v>
      </c>
      <c r="BA1345">
        <f t="shared" si="2867"/>
        <v>1956.0901648344477</v>
      </c>
      <c r="BB1345">
        <f t="shared" si="2867"/>
        <v>1962.9771263234477</v>
      </c>
      <c r="BC1345">
        <f t="shared" si="2867"/>
        <v>1969.9680809309318</v>
      </c>
      <c r="BD1345">
        <f t="shared" si="2867"/>
        <v>1977.0645989529887</v>
      </c>
      <c r="BE1345">
        <f t="shared" si="2867"/>
        <v>1984.2682743971789</v>
      </c>
      <c r="BG1345">
        <f>BG1346+BG1347</f>
        <v>1999.0035942932188</v>
      </c>
      <c r="BH1345">
        <f>BH1346+BH1347</f>
        <v>2006.5385485670463</v>
      </c>
      <c r="BI1345">
        <f>BI1346+BI1347</f>
        <v>2014.1872806504089</v>
      </c>
    </row>
    <row r="1346" spans="2:66">
      <c r="AD1346">
        <v>352</v>
      </c>
      <c r="AE1346">
        <v>434</v>
      </c>
      <c r="AF1346">
        <v>516</v>
      </c>
      <c r="AG1346">
        <v>598</v>
      </c>
      <c r="AH1346">
        <v>680</v>
      </c>
      <c r="AI1346">
        <v>763</v>
      </c>
      <c r="AZ1346">
        <v>1500</v>
      </c>
      <c r="BA1346">
        <v>1500</v>
      </c>
      <c r="BB1346">
        <v>1500</v>
      </c>
      <c r="BC1346">
        <v>1500</v>
      </c>
      <c r="BD1346">
        <v>1500</v>
      </c>
      <c r="BE1346">
        <v>1500</v>
      </c>
      <c r="BF1346">
        <f>BF1347+BF1348</f>
        <v>1991.5807253405762</v>
      </c>
      <c r="BG1346">
        <v>1500</v>
      </c>
      <c r="BH1346">
        <v>1500</v>
      </c>
      <c r="BI1346">
        <v>1500</v>
      </c>
    </row>
    <row r="1347" spans="2:66">
      <c r="M1347" t="s">
        <v>185</v>
      </c>
      <c r="S1347">
        <v>274</v>
      </c>
      <c r="T1347">
        <f t="shared" ref="T1347:BE1347" si="2868">S1347*1.0151</f>
        <v>278.13739999999996</v>
      </c>
      <c r="U1347">
        <f t="shared" si="2868"/>
        <v>282.33727473999994</v>
      </c>
      <c r="V1347">
        <f t="shared" si="2868"/>
        <v>286.60056758857394</v>
      </c>
      <c r="W1347">
        <f t="shared" si="2868"/>
        <v>290.92823615916137</v>
      </c>
      <c r="X1347">
        <f t="shared" si="2868"/>
        <v>295.32125252516465</v>
      </c>
      <c r="Y1347">
        <f t="shared" si="2868"/>
        <v>299.78060343829463</v>
      </c>
      <c r="Z1347">
        <f t="shared" si="2868"/>
        <v>304.30729055021283</v>
      </c>
      <c r="AA1347">
        <f t="shared" si="2868"/>
        <v>308.902330637521</v>
      </c>
      <c r="AB1347">
        <f t="shared" si="2868"/>
        <v>313.56675583014754</v>
      </c>
      <c r="AC1347">
        <f t="shared" si="2868"/>
        <v>318.30161384318274</v>
      </c>
      <c r="AD1347">
        <f t="shared" si="2868"/>
        <v>323.10796821221476</v>
      </c>
      <c r="AE1347">
        <f t="shared" si="2868"/>
        <v>327.98689853221919</v>
      </c>
      <c r="AF1347">
        <f t="shared" si="2868"/>
        <v>332.93950070005565</v>
      </c>
      <c r="AG1347">
        <f t="shared" si="2868"/>
        <v>337.96688716062647</v>
      </c>
      <c r="AH1347">
        <f t="shared" si="2868"/>
        <v>343.0701871567519</v>
      </c>
      <c r="AI1347">
        <f t="shared" si="2868"/>
        <v>348.25054698281883</v>
      </c>
      <c r="AJ1347">
        <f t="shared" si="2868"/>
        <v>353.50913024225935</v>
      </c>
      <c r="AK1347">
        <f t="shared" si="2868"/>
        <v>358.84711810891741</v>
      </c>
      <c r="AL1347">
        <f t="shared" si="2868"/>
        <v>364.26570959236204</v>
      </c>
      <c r="AM1347">
        <f t="shared" si="2868"/>
        <v>369.76612180720667</v>
      </c>
      <c r="AN1347">
        <f t="shared" si="2868"/>
        <v>375.34959024649544</v>
      </c>
      <c r="AO1347">
        <f t="shared" si="2868"/>
        <v>381.01736905921746</v>
      </c>
      <c r="AP1347">
        <f t="shared" si="2868"/>
        <v>386.77073133201162</v>
      </c>
      <c r="AQ1347">
        <f t="shared" si="2868"/>
        <v>392.61096937512497</v>
      </c>
      <c r="AR1347">
        <f t="shared" si="2868"/>
        <v>398.53939501268928</v>
      </c>
      <c r="AS1347">
        <f t="shared" si="2868"/>
        <v>404.55733987738085</v>
      </c>
      <c r="AT1347">
        <f t="shared" si="2868"/>
        <v>410.66615570952928</v>
      </c>
      <c r="AU1347">
        <f t="shared" si="2868"/>
        <v>416.86721466074312</v>
      </c>
      <c r="AV1347">
        <f t="shared" si="2868"/>
        <v>423.16190960212032</v>
      </c>
      <c r="AW1347">
        <f t="shared" si="2868"/>
        <v>429.55165443711229</v>
      </c>
      <c r="AX1347">
        <f t="shared" si="2868"/>
        <v>436.03788441911263</v>
      </c>
      <c r="AY1347">
        <f t="shared" si="2868"/>
        <v>442.62205647384116</v>
      </c>
      <c r="AZ1347">
        <f t="shared" si="2868"/>
        <v>449.30564952659608</v>
      </c>
      <c r="BA1347">
        <f t="shared" si="2868"/>
        <v>456.09016483444765</v>
      </c>
      <c r="BB1347">
        <f t="shared" si="2868"/>
        <v>462.97712632344775</v>
      </c>
      <c r="BC1347">
        <f t="shared" si="2868"/>
        <v>469.96808093093176</v>
      </c>
      <c r="BD1347">
        <f t="shared" si="2868"/>
        <v>477.06459895298877</v>
      </c>
      <c r="BE1347">
        <f t="shared" si="2868"/>
        <v>484.26827439717886</v>
      </c>
      <c r="BF1347">
        <v>1500</v>
      </c>
      <c r="BG1347">
        <f>BF1348*1.0151</f>
        <v>499.00359429321884</v>
      </c>
      <c r="BH1347">
        <f>BG1347*1.0151</f>
        <v>506.5385485670464</v>
      </c>
      <c r="BI1347">
        <f>BH1347*1.0151</f>
        <v>514.18728065040875</v>
      </c>
      <c r="BJ1347">
        <f>BI1347*1.0151</f>
        <v>521.9515085882299</v>
      </c>
    </row>
    <row r="1348" spans="2:66">
      <c r="BF1348">
        <f>BE1347*1.0151</f>
        <v>491.58072534057618</v>
      </c>
    </row>
    <row r="1349" spans="2:66">
      <c r="S1349" s="119">
        <v>275</v>
      </c>
    </row>
    <row r="1350" spans="2:66">
      <c r="S1350">
        <v>4</v>
      </c>
    </row>
    <row r="1352" spans="2:66">
      <c r="B1352" t="s">
        <v>242</v>
      </c>
    </row>
    <row r="1354" spans="2:66">
      <c r="B1354" t="s">
        <v>156</v>
      </c>
      <c r="BN1354">
        <v>87684</v>
      </c>
    </row>
    <row r="1355" spans="2:66">
      <c r="B1355" t="s">
        <v>120</v>
      </c>
      <c r="BN1355">
        <v>61226</v>
      </c>
    </row>
    <row r="1356" spans="2:66">
      <c r="B1356" t="s">
        <v>137</v>
      </c>
      <c r="BN1356">
        <v>48333</v>
      </c>
    </row>
    <row r="1357" spans="2:66">
      <c r="B1357" t="s">
        <v>70</v>
      </c>
      <c r="BN1357">
        <v>45209</v>
      </c>
    </row>
    <row r="1358" spans="2:66">
      <c r="B1358" t="s">
        <v>83</v>
      </c>
      <c r="BN1358">
        <v>44800</v>
      </c>
    </row>
    <row r="1359" spans="2:66">
      <c r="B1359" t="s">
        <v>243</v>
      </c>
      <c r="BN1359">
        <v>41067</v>
      </c>
    </row>
    <row r="1360" spans="2:66">
      <c r="BN1360">
        <v>36829</v>
      </c>
    </row>
    <row r="1361" spans="39:70">
      <c r="BN1361">
        <v>36481</v>
      </c>
    </row>
    <row r="1362" spans="39:70">
      <c r="BN1362">
        <v>17494</v>
      </c>
    </row>
    <row r="1363" spans="39:70">
      <c r="BN1363">
        <v>13074</v>
      </c>
    </row>
    <row r="1364" spans="39:70">
      <c r="BN1364">
        <f>SUM(BN1354:BN1363)</f>
        <v>432197</v>
      </c>
      <c r="BR1364">
        <f>(BN1364/BN1367)*100</f>
        <v>77.443063948363516</v>
      </c>
    </row>
    <row r="1365" spans="39:70">
      <c r="BN1365">
        <f>SUM(BN1354:BN1356)</f>
        <v>197243</v>
      </c>
      <c r="BR1365">
        <f>(BN1365/BN1367)*100</f>
        <v>35.342915990548448</v>
      </c>
    </row>
    <row r="1367" spans="39:70">
      <c r="BN1367" s="6">
        <v>558083.54933913087</v>
      </c>
      <c r="BO1367" s="6"/>
      <c r="BP1367" s="6"/>
      <c r="BQ1367" s="6"/>
    </row>
    <row r="1376" spans="39:70">
      <c r="AM1376" t="s">
        <v>189</v>
      </c>
    </row>
    <row r="1378" spans="38:46">
      <c r="AN1378" t="s">
        <v>186</v>
      </c>
      <c r="AP1378" t="s">
        <v>187</v>
      </c>
      <c r="AS1378" t="s">
        <v>188</v>
      </c>
    </row>
    <row r="1379" spans="38:46">
      <c r="AL1379">
        <v>1995</v>
      </c>
      <c r="AM1379">
        <v>7125</v>
      </c>
      <c r="AN1379">
        <v>463</v>
      </c>
      <c r="AP1379">
        <v>7125</v>
      </c>
      <c r="AS1379" s="6">
        <f t="shared" ref="AS1379:AS1401" si="2869">AP1379/AT1379</f>
        <v>75.826186161002667</v>
      </c>
      <c r="AT1379">
        <v>93.9649</v>
      </c>
    </row>
    <row r="1380" spans="38:46">
      <c r="AL1380">
        <v>1996</v>
      </c>
      <c r="AM1380" s="6">
        <f>AM1379*0.065</f>
        <v>463.125</v>
      </c>
      <c r="AP1380" s="6">
        <f t="shared" ref="AP1380:AP1401" si="2870">AP1379+AM1380</f>
        <v>7588.125</v>
      </c>
      <c r="AS1380" s="6">
        <f t="shared" si="2869"/>
        <v>69.756618863761716</v>
      </c>
      <c r="AT1380">
        <v>108.78</v>
      </c>
    </row>
    <row r="1381" spans="38:46">
      <c r="AL1381">
        <v>1997</v>
      </c>
      <c r="AM1381" s="6">
        <v>463.125</v>
      </c>
      <c r="AP1381" s="6">
        <f t="shared" si="2870"/>
        <v>8051.25</v>
      </c>
      <c r="AS1381" s="6">
        <f t="shared" si="2869"/>
        <v>66.507321690989698</v>
      </c>
      <c r="AT1381">
        <v>121.0581</v>
      </c>
    </row>
    <row r="1382" spans="38:46">
      <c r="AL1382">
        <v>1998</v>
      </c>
      <c r="AM1382" s="6">
        <v>463.125</v>
      </c>
      <c r="AP1382" s="6">
        <f t="shared" si="2870"/>
        <v>8514.375</v>
      </c>
      <c r="AS1382" s="6">
        <f t="shared" si="2869"/>
        <v>65.000587834722253</v>
      </c>
      <c r="AT1382">
        <v>130.98920000000001</v>
      </c>
    </row>
    <row r="1383" spans="38:46">
      <c r="AL1383">
        <v>1999</v>
      </c>
      <c r="AM1383" s="6">
        <v>463.125</v>
      </c>
      <c r="AP1383" s="6">
        <f t="shared" si="2870"/>
        <v>8977.5</v>
      </c>
      <c r="AS1383" s="6">
        <f t="shared" si="2869"/>
        <v>78.93404094810532</v>
      </c>
      <c r="AT1383">
        <v>113.7342</v>
      </c>
    </row>
    <row r="1384" spans="38:46">
      <c r="AL1384">
        <v>2000</v>
      </c>
      <c r="AM1384" s="6">
        <v>463.125</v>
      </c>
      <c r="AP1384" s="6">
        <f t="shared" si="2870"/>
        <v>9440.625</v>
      </c>
      <c r="AS1384" s="6">
        <f t="shared" si="2869"/>
        <v>87.572121628139953</v>
      </c>
      <c r="AT1384">
        <v>107.804</v>
      </c>
    </row>
    <row r="1385" spans="38:46">
      <c r="AL1385">
        <v>2001</v>
      </c>
      <c r="AM1385" s="6">
        <v>463.125</v>
      </c>
      <c r="AP1385" s="6">
        <f t="shared" si="2870"/>
        <v>9903.75</v>
      </c>
      <c r="AS1385" s="6">
        <f t="shared" si="2869"/>
        <v>81.46675111871545</v>
      </c>
      <c r="AT1385">
        <v>121.568</v>
      </c>
    </row>
    <row r="1386" spans="38:46">
      <c r="AL1386">
        <v>2002</v>
      </c>
      <c r="AM1386" s="6">
        <v>463.125</v>
      </c>
      <c r="AP1386" s="6">
        <f t="shared" si="2870"/>
        <v>10366.875</v>
      </c>
      <c r="AS1386" s="6">
        <f t="shared" si="2869"/>
        <v>82.789026388671502</v>
      </c>
      <c r="AT1386">
        <v>125.2204</v>
      </c>
    </row>
    <row r="1387" spans="38:46">
      <c r="AL1387">
        <v>2003</v>
      </c>
      <c r="AM1387" s="6">
        <v>463.125</v>
      </c>
      <c r="AP1387" s="6">
        <f t="shared" si="2870"/>
        <v>10830</v>
      </c>
      <c r="AS1387" s="6">
        <f t="shared" si="2869"/>
        <v>93.411432075743477</v>
      </c>
      <c r="AT1387">
        <v>115.9387</v>
      </c>
    </row>
    <row r="1388" spans="38:46">
      <c r="AL1388">
        <v>2004</v>
      </c>
      <c r="AM1388" s="6">
        <v>463.125</v>
      </c>
      <c r="AP1388" s="6">
        <f t="shared" si="2870"/>
        <v>11293.125</v>
      </c>
      <c r="AS1388" s="6">
        <f t="shared" si="2869"/>
        <v>104.42017072458086</v>
      </c>
      <c r="AT1388">
        <v>108.1508</v>
      </c>
    </row>
    <row r="1389" spans="38:46">
      <c r="AL1389">
        <v>2005</v>
      </c>
      <c r="AM1389" s="6">
        <v>463.125</v>
      </c>
      <c r="AP1389" s="6">
        <f t="shared" si="2870"/>
        <v>11756.25</v>
      </c>
      <c r="AS1389" s="6">
        <f t="shared" si="2869"/>
        <v>106.77123776984004</v>
      </c>
      <c r="AT1389">
        <v>110.1069</v>
      </c>
    </row>
    <row r="1390" spans="38:46">
      <c r="AL1390">
        <v>2006</v>
      </c>
      <c r="AM1390" s="6">
        <v>463.125</v>
      </c>
      <c r="AP1390" s="6">
        <f t="shared" si="2870"/>
        <v>12219.375</v>
      </c>
      <c r="AS1390" s="6">
        <f t="shared" si="2869"/>
        <v>105.05678257034307</v>
      </c>
      <c r="AT1390">
        <v>116.3121</v>
      </c>
    </row>
    <row r="1391" spans="38:46">
      <c r="AL1391">
        <v>2007</v>
      </c>
      <c r="AM1391" s="6">
        <v>463.125</v>
      </c>
      <c r="AP1391" s="6">
        <f t="shared" si="2870"/>
        <v>12682.5</v>
      </c>
      <c r="AS1391" s="6">
        <f t="shared" si="2869"/>
        <v>107.69575662160132</v>
      </c>
      <c r="AT1391">
        <v>117.7623</v>
      </c>
    </row>
    <row r="1392" spans="38:46">
      <c r="AL1392">
        <v>2008</v>
      </c>
      <c r="AM1392" s="6">
        <v>463.125</v>
      </c>
      <c r="AP1392" s="6">
        <f t="shared" si="2870"/>
        <v>13145.625</v>
      </c>
      <c r="AS1392" s="6">
        <f t="shared" si="2869"/>
        <v>127.14526272214302</v>
      </c>
      <c r="AT1392">
        <v>103.39060000000001</v>
      </c>
    </row>
    <row r="1393" spans="38:46">
      <c r="AL1393">
        <v>2009</v>
      </c>
      <c r="AM1393" s="6">
        <v>463.125</v>
      </c>
      <c r="AP1393" s="6">
        <f t="shared" si="2870"/>
        <v>13608.75</v>
      </c>
      <c r="AS1393" s="6">
        <f t="shared" si="2869"/>
        <v>145.26428038474555</v>
      </c>
      <c r="AT1393">
        <v>93.682699999999997</v>
      </c>
    </row>
    <row r="1394" spans="38:46">
      <c r="AL1394">
        <v>2010</v>
      </c>
      <c r="AM1394" s="6">
        <v>463.125</v>
      </c>
      <c r="AP1394" s="6">
        <f t="shared" si="2870"/>
        <v>14071.875</v>
      </c>
      <c r="AS1394" s="6">
        <f t="shared" si="2869"/>
        <v>160.30533698937251</v>
      </c>
      <c r="AT1394">
        <v>87.781700000000001</v>
      </c>
    </row>
    <row r="1395" spans="38:46">
      <c r="AL1395">
        <v>2011</v>
      </c>
      <c r="AM1395" s="6">
        <v>463.125</v>
      </c>
      <c r="AP1395" s="6">
        <f t="shared" si="2870"/>
        <v>14535</v>
      </c>
      <c r="AS1395" s="6">
        <f t="shared" si="2869"/>
        <v>182.37894417209242</v>
      </c>
      <c r="AT1395">
        <v>79.696700000000007</v>
      </c>
    </row>
    <row r="1396" spans="38:46">
      <c r="AL1396">
        <v>2012</v>
      </c>
      <c r="AM1396" s="6">
        <v>463.125</v>
      </c>
      <c r="AP1396" s="6">
        <f t="shared" si="2870"/>
        <v>14998.125</v>
      </c>
      <c r="AS1396" s="6">
        <f t="shared" si="2869"/>
        <v>187.90404420055626</v>
      </c>
      <c r="AT1396">
        <v>79.817999999999998</v>
      </c>
    </row>
    <row r="1397" spans="38:46">
      <c r="AL1397">
        <v>2013</v>
      </c>
      <c r="AM1397" s="6">
        <v>463.125</v>
      </c>
      <c r="AP1397" s="6">
        <f t="shared" si="2870"/>
        <v>15461.25</v>
      </c>
      <c r="AS1397" s="6">
        <f t="shared" si="2869"/>
        <v>158.41915384780901</v>
      </c>
      <c r="AT1397">
        <v>97.597099999999998</v>
      </c>
    </row>
    <row r="1398" spans="38:46">
      <c r="AL1398">
        <v>2014</v>
      </c>
      <c r="AM1398" s="6">
        <v>463.125</v>
      </c>
      <c r="AP1398" s="6">
        <f t="shared" si="2870"/>
        <v>15924.375</v>
      </c>
      <c r="AS1398" s="6">
        <f t="shared" si="2869"/>
        <v>150.5996323049599</v>
      </c>
      <c r="AT1398">
        <v>105.7398</v>
      </c>
    </row>
    <row r="1399" spans="38:46">
      <c r="AL1399">
        <v>2015</v>
      </c>
      <c r="AM1399" s="6">
        <v>463.125</v>
      </c>
      <c r="AP1399" s="6">
        <f t="shared" si="2870"/>
        <v>16387.5</v>
      </c>
      <c r="AS1399" s="6">
        <f t="shared" si="2869"/>
        <v>135.37894953370161</v>
      </c>
      <c r="AT1399">
        <v>121.0491</v>
      </c>
    </row>
    <row r="1400" spans="38:46">
      <c r="AL1400">
        <v>2016</v>
      </c>
      <c r="AM1400" s="6">
        <v>463.125</v>
      </c>
      <c r="AP1400" s="6">
        <f t="shared" si="2870"/>
        <v>16850.625</v>
      </c>
      <c r="AS1400" s="6">
        <f t="shared" si="2869"/>
        <v>155.08103949219978</v>
      </c>
      <c r="AT1400">
        <v>108.65689999999999</v>
      </c>
    </row>
    <row r="1401" spans="38:46">
      <c r="AL1401">
        <v>2017</v>
      </c>
      <c r="AM1401" s="6">
        <v>463.125</v>
      </c>
      <c r="AP1401" s="6">
        <f t="shared" si="2870"/>
        <v>17313.75</v>
      </c>
      <c r="AS1401" s="6">
        <f t="shared" si="2869"/>
        <v>154.45108145864444</v>
      </c>
      <c r="AT1401">
        <v>112.0986</v>
      </c>
    </row>
  </sheetData>
  <sortState xmlns:xlrd2="http://schemas.microsoft.com/office/spreadsheetml/2017/richdata2" ref="AH68:BO136">
    <sortCondition ref="BO136"/>
  </sortState>
  <conditionalFormatting sqref="D91:M109 D289:BI290 BP289:BP290 D416:BN416 BO416:BO417 D654:BI663 D666:BI669 D773:R792 S781:BE792 BF781:BF802 BG783:BG795 BF804:BF817 BG809:BG817 S812:BE817 D812:R821 D1107:R1119 BL1111:BL1119 BB1312:BF1313">
    <cfRule type="expression" dxfId="884" priority="3065">
      <formula>AND(D91&gt;0,D91&lt;0.5)</formula>
    </cfRule>
  </conditionalFormatting>
  <conditionalFormatting sqref="D150:M158">
    <cfRule type="expression" dxfId="883" priority="3064">
      <formula>AND(D150&gt;0,D150&lt;0.5)</formula>
    </cfRule>
  </conditionalFormatting>
  <conditionalFormatting sqref="D244:M248">
    <cfRule type="expression" dxfId="882" priority="2400">
      <formula>AND(D244&gt;0,D244&lt;0.5)</formula>
    </cfRule>
  </conditionalFormatting>
  <conditionalFormatting sqref="D317:M320">
    <cfRule type="expression" dxfId="881" priority="3046">
      <formula>AND(D317&gt;0,D317&lt;0.5)</formula>
    </cfRule>
  </conditionalFormatting>
  <conditionalFormatting sqref="D366:M376">
    <cfRule type="expression" dxfId="880" priority="3060">
      <formula>AND(D366&gt;0,D366&lt;0.5)</formula>
    </cfRule>
  </conditionalFormatting>
  <conditionalFormatting sqref="D394:M399">
    <cfRule type="expression" dxfId="879" priority="3058">
      <formula>AND(D394&gt;0,D394&lt;0.5)</formula>
    </cfRule>
  </conditionalFormatting>
  <conditionalFormatting sqref="D454:M458">
    <cfRule type="expression" dxfId="878" priority="843">
      <formula>AND(D454&gt;0,D454&lt;0.5)</formula>
    </cfRule>
  </conditionalFormatting>
  <conditionalFormatting sqref="D509:M511">
    <cfRule type="expression" dxfId="877" priority="3052">
      <formula>AND(D509&gt;0,D509&lt;0.5)</formula>
    </cfRule>
  </conditionalFormatting>
  <conditionalFormatting sqref="D547:M568">
    <cfRule type="expression" dxfId="876" priority="1298">
      <formula>AND(D547&gt;0,D547&lt;0.5)</formula>
    </cfRule>
  </conditionalFormatting>
  <conditionalFormatting sqref="D677:M684">
    <cfRule type="expression" dxfId="875" priority="3051">
      <formula>AND(D677&gt;0,D677&lt;0.5)</formula>
    </cfRule>
  </conditionalFormatting>
  <conditionalFormatting sqref="D1304:M1312">
    <cfRule type="expression" dxfId="874" priority="2358">
      <formula>AND(D1304&gt;0,D1304&lt;0.5)</formula>
    </cfRule>
  </conditionalFormatting>
  <conditionalFormatting sqref="D179:R190">
    <cfRule type="expression" dxfId="873" priority="2370">
      <formula>AND(D179&gt;0,D179&lt;0.5)</formula>
    </cfRule>
  </conditionalFormatting>
  <conditionalFormatting sqref="D465:R466">
    <cfRule type="expression" dxfId="872" priority="821">
      <formula>AND(D465&gt;0,D465&lt;0.5)</formula>
    </cfRule>
  </conditionalFormatting>
  <conditionalFormatting sqref="D570:R571">
    <cfRule type="expression" dxfId="871" priority="3057">
      <formula>AND(D570&gt;0,D570&lt;0.5)</formula>
    </cfRule>
  </conditionalFormatting>
  <conditionalFormatting sqref="D577:R579">
    <cfRule type="expression" dxfId="870" priority="2316">
      <formula>AND(D577&gt;0,D577&lt;0.5)</formula>
    </cfRule>
  </conditionalFormatting>
  <conditionalFormatting sqref="D637:R653">
    <cfRule type="expression" dxfId="869" priority="1663">
      <formula>AND(D637&gt;0,D637&lt;0.5)</formula>
    </cfRule>
  </conditionalFormatting>
  <conditionalFormatting sqref="D739:R749">
    <cfRule type="expression" dxfId="868" priority="2334">
      <formula>AND(D739&gt;0,D739&lt;0.5)</formula>
    </cfRule>
  </conditionalFormatting>
  <conditionalFormatting sqref="D854:S855">
    <cfRule type="expression" dxfId="867" priority="2295">
      <formula>AND(D854&gt;0,D854&lt;0.5)</formula>
    </cfRule>
  </conditionalFormatting>
  <conditionalFormatting sqref="D323:X328">
    <cfRule type="expression" dxfId="866" priority="1646">
      <formula>AND(D323&gt;0,D323&lt;0.5)</formula>
    </cfRule>
  </conditionalFormatting>
  <conditionalFormatting sqref="D712:X713">
    <cfRule type="expression" dxfId="865" priority="3725">
      <formula>AND(D712&gt;0,D712&lt;0.5)</formula>
    </cfRule>
  </conditionalFormatting>
  <conditionalFormatting sqref="D1135:AH1136">
    <cfRule type="expression" dxfId="864" priority="809">
      <formula>AND(D1135&gt;0,D1135&lt;0.5)</formula>
    </cfRule>
  </conditionalFormatting>
  <conditionalFormatting sqref="D544:AI546">
    <cfRule type="expression" dxfId="863" priority="1928">
      <formula>AND(D544&gt;0,D544&lt;0.5)</formula>
    </cfRule>
  </conditionalFormatting>
  <conditionalFormatting sqref="D824:AJ828">
    <cfRule type="expression" dxfId="862" priority="588">
      <formula>AND(D824&gt;0,D824&lt;0.5)</formula>
    </cfRule>
  </conditionalFormatting>
  <conditionalFormatting sqref="D178:AQ178">
    <cfRule type="expression" dxfId="861" priority="226">
      <formula>AND(D178&gt;0,D178&lt;0.5)</formula>
    </cfRule>
  </conditionalFormatting>
  <conditionalFormatting sqref="D114:AR119">
    <cfRule type="expression" dxfId="860" priority="229">
      <formula>AND(D114&gt;0,D114&lt;0.5)</formula>
    </cfRule>
  </conditionalFormatting>
  <conditionalFormatting sqref="D433:AX433">
    <cfRule type="expression" dxfId="859" priority="194">
      <formula>AND(D433&gt;0,D433&lt;0.5)</formula>
    </cfRule>
  </conditionalFormatting>
  <conditionalFormatting sqref="D1313:BA1313">
    <cfRule type="expression" dxfId="858" priority="1145">
      <formula>AND(D1313&gt;0,D1313&lt;0.5)</formula>
    </cfRule>
  </conditionalFormatting>
  <conditionalFormatting sqref="D344:BC345">
    <cfRule type="expression" dxfId="857" priority="275">
      <formula>AND(D344&gt;0,D344&lt;0.5)</formula>
    </cfRule>
  </conditionalFormatting>
  <conditionalFormatting sqref="D734:BE738">
    <cfRule type="expression" dxfId="856" priority="1659">
      <formula>AND(D734&gt;0,D734&lt;0.5)</formula>
    </cfRule>
  </conditionalFormatting>
  <conditionalFormatting sqref="D750:BE750">
    <cfRule type="expression" dxfId="855" priority="1658">
      <formula>AND(D750&gt;0,D750&lt;0.5)</formula>
    </cfRule>
  </conditionalFormatting>
  <conditionalFormatting sqref="D793:BE802 D803:BI803 D804:BE806">
    <cfRule type="expression" dxfId="854" priority="155">
      <formula>AND(D793&gt;0,D793&lt;0.5)</formula>
    </cfRule>
  </conditionalFormatting>
  <conditionalFormatting sqref="D830:BE838">
    <cfRule type="expression" dxfId="853" priority="1657">
      <formula>AND(D830&gt;0,D830&lt;0.5)</formula>
    </cfRule>
  </conditionalFormatting>
  <conditionalFormatting sqref="D846:BE850">
    <cfRule type="expression" dxfId="852" priority="184">
      <formula>AND(D846&gt;0,D846&lt;0.5)</formula>
    </cfRule>
  </conditionalFormatting>
  <conditionalFormatting sqref="D859:BE871">
    <cfRule type="expression" dxfId="851" priority="2412">
      <formula>AND(D859&gt;0,D859&lt;0.5)</formula>
    </cfRule>
  </conditionalFormatting>
  <conditionalFormatting sqref="D873:BE895">
    <cfRule type="expression" dxfId="850" priority="636">
      <formula>AND(D873&gt;0,D873&lt;0.5)</formula>
    </cfRule>
  </conditionalFormatting>
  <conditionalFormatting sqref="D942:BE965">
    <cfRule type="expression" dxfId="849" priority="2369">
      <formula>AND(D942&gt;0,D942&lt;0.5)</formula>
    </cfRule>
  </conditionalFormatting>
  <conditionalFormatting sqref="D1007:BE1012">
    <cfRule type="expression" dxfId="848" priority="570">
      <formula>AND(D1007&gt;0,D1007&lt;0.5)</formula>
    </cfRule>
  </conditionalFormatting>
  <conditionalFormatting sqref="D1014:BE1045">
    <cfRule type="expression" dxfId="847" priority="312">
      <formula>AND(D1014&gt;0,D1014&lt;0.5)</formula>
    </cfRule>
  </conditionalFormatting>
  <conditionalFormatting sqref="D1084:BE1090">
    <cfRule type="expression" dxfId="846" priority="2681">
      <formula>AND(D1084&gt;0,D1084&lt;0.5)</formula>
    </cfRule>
  </conditionalFormatting>
  <conditionalFormatting sqref="D1126:BE1134">
    <cfRule type="expression" dxfId="845" priority="147">
      <formula>AND(D1126&gt;0,D1126&lt;0.5)</formula>
    </cfRule>
  </conditionalFormatting>
  <conditionalFormatting sqref="D1180:BE1190">
    <cfRule type="expression" dxfId="844" priority="2443">
      <formula>AND(D1180&gt;0,D1180&lt;0.5)</formula>
    </cfRule>
  </conditionalFormatting>
  <conditionalFormatting sqref="D1201:BE1218">
    <cfRule type="expression" dxfId="843" priority="3054">
      <formula>AND(D1201&gt;0,D1201&lt;0.5)</formula>
    </cfRule>
  </conditionalFormatting>
  <conditionalFormatting sqref="D1221:BE1231">
    <cfRule type="expression" dxfId="842" priority="2310">
      <formula>AND(D1221&gt;0,D1221&lt;0.5)</formula>
    </cfRule>
  </conditionalFormatting>
  <conditionalFormatting sqref="D1261:BE1263">
    <cfRule type="expression" dxfId="841" priority="2254">
      <formula>AND(D1261&gt;0,D1261&lt;0.5)</formula>
    </cfRule>
  </conditionalFormatting>
  <conditionalFormatting sqref="D75:BF75 D122:M143 D144:J146 D580:AQ581 D582:BF582 D966:E967 D993:M999 D1001:M1006 D1055:BF1065 D1091:BM1091 E1254:BE1258 E1259:M1259 D1260:M1260">
    <cfRule type="expression" dxfId="840" priority="3079">
      <formula>AND(D75&gt;0,D75&lt;0.5)</formula>
    </cfRule>
  </conditionalFormatting>
  <conditionalFormatting sqref="D346:BF349">
    <cfRule type="expression" dxfId="839" priority="1240">
      <formula>AND(D346&gt;0,D346&lt;0.5)</formula>
    </cfRule>
  </conditionalFormatting>
  <conditionalFormatting sqref="D598:BF598">
    <cfRule type="expression" dxfId="838" priority="181">
      <formula>AND(D598&gt;0,D598&lt;0.5)</formula>
    </cfRule>
  </conditionalFormatting>
  <conditionalFormatting sqref="D636:BF636">
    <cfRule type="expression" dxfId="837" priority="1662">
      <formula>AND(D636&gt;0,D636&lt;0.5)</formula>
    </cfRule>
  </conditionalFormatting>
  <conditionalFormatting sqref="D676:BF676">
    <cfRule type="expression" dxfId="836" priority="3423">
      <formula>AND(D676&gt;0,D676&lt;0.5)</formula>
    </cfRule>
  </conditionalFormatting>
  <conditionalFormatting sqref="D685:BF687">
    <cfRule type="expression" dxfId="835" priority="242">
      <formula>AND(D685&gt;0,D685&lt;0.5)</formula>
    </cfRule>
  </conditionalFormatting>
  <conditionalFormatting sqref="D714:BF716">
    <cfRule type="expression" dxfId="834" priority="1565">
      <formula>AND(D714&gt;0,D714&lt;0.5)</formula>
    </cfRule>
  </conditionalFormatting>
  <conditionalFormatting sqref="D908:BF914">
    <cfRule type="expression" dxfId="833" priority="850">
      <formula>AND(D908&gt;0,D908&lt;0.5)</formula>
    </cfRule>
  </conditionalFormatting>
  <conditionalFormatting sqref="D934:BF940">
    <cfRule type="expression" dxfId="832" priority="125">
      <formula>AND(D934&gt;0,D934&lt;0.5)</formula>
    </cfRule>
  </conditionalFormatting>
  <conditionalFormatting sqref="D968:BF988">
    <cfRule type="expression" dxfId="831" priority="2257">
      <formula>AND(D968&gt;0,D968&lt;0.5)</formula>
    </cfRule>
  </conditionalFormatting>
  <conditionalFormatting sqref="D1067:BF1070 D1071:AQ1071 D1072:BF1078">
    <cfRule type="expression" dxfId="830" priority="932">
      <formula>AND(D1067&gt;0,D1067&lt;0.5)</formula>
    </cfRule>
  </conditionalFormatting>
  <conditionalFormatting sqref="D68:BG69 D70:Y70 D176:M177 D360:M363 D392:BG392 D421:D422 D434:R436 D569:BQ569 D622:M628 D731:BQ731 D751:R753 D759:BE772 D822:K823 D839:M845 D872:BQ872 D915:BE915 D916:M921 D927:BF928 D1092:BE1096 D1097:R1102 D1120:BQ1120 D1121:K1124 D1125:M1125 D1142:BQ1142 D1147:BE1154 D1156:BF1162 D1177:BE1177 D1191:R1200 D1301:BE1303">
    <cfRule type="expression" dxfId="829" priority="3078">
      <formula>AND(D68&gt;0,D68&lt;0.5)</formula>
    </cfRule>
  </conditionalFormatting>
  <conditionalFormatting sqref="D166:BG174">
    <cfRule type="expression" dxfId="828" priority="1365">
      <formula>AND(D166&gt;0,D166&lt;0.5)</formula>
    </cfRule>
  </conditionalFormatting>
  <conditionalFormatting sqref="D216:BG216">
    <cfRule type="expression" dxfId="827" priority="2927">
      <formula>AND(D216&gt;0,D216&lt;0.5)</formula>
    </cfRule>
  </conditionalFormatting>
  <conditionalFormatting sqref="D241:BG243">
    <cfRule type="expression" dxfId="826" priority="211">
      <formula>AND(D241&gt;0,D241&lt;0.5)</formula>
    </cfRule>
  </conditionalFormatting>
  <conditionalFormatting sqref="D250:BG255">
    <cfRule type="expression" dxfId="825" priority="210">
      <formula>AND(D250&gt;0,D250&lt;0.5)</formula>
    </cfRule>
  </conditionalFormatting>
  <conditionalFormatting sqref="D306:BG315">
    <cfRule type="expression" dxfId="824" priority="2248">
      <formula>AND(D306&gt;0,D306&lt;0.5)</formula>
    </cfRule>
  </conditionalFormatting>
  <conditionalFormatting sqref="D321:BG322">
    <cfRule type="expression" dxfId="823" priority="1242">
      <formula>AND(D321&gt;0,D321&lt;0.5)</formula>
    </cfRule>
  </conditionalFormatting>
  <conditionalFormatting sqref="D358:BG359">
    <cfRule type="expression" dxfId="822" priority="3015">
      <formula>AND(D358&gt;0,D358&lt;0.5)</formula>
    </cfRule>
  </conditionalFormatting>
  <conditionalFormatting sqref="D400:BG402">
    <cfRule type="expression" dxfId="821" priority="561">
      <formula>AND(D400&gt;0,D400&lt;0.5)</formula>
    </cfRule>
  </conditionalFormatting>
  <conditionalFormatting sqref="D417:BG420 D486:I489 D596:BI597">
    <cfRule type="expression" dxfId="820" priority="2312">
      <formula>AND(D417&gt;0,D417&lt;0.5)</formula>
    </cfRule>
  </conditionalFormatting>
  <conditionalFormatting sqref="D429:BG432">
    <cfRule type="expression" dxfId="819" priority="2245">
      <formula>AND(D429&gt;0,D429&lt;0.5)</formula>
    </cfRule>
  </conditionalFormatting>
  <conditionalFormatting sqref="D452:BG452">
    <cfRule type="expression" dxfId="818" priority="1329">
      <formula>AND(D452&gt;0,D452&lt;0.5)</formula>
    </cfRule>
  </conditionalFormatting>
  <conditionalFormatting sqref="D469:BG473">
    <cfRule type="expression" dxfId="817" priority="1955">
      <formula>AND(D469&gt;0,D469&lt;0.5)</formula>
    </cfRule>
  </conditionalFormatting>
  <conditionalFormatting sqref="D508:BG508">
    <cfRule type="expression" dxfId="816" priority="638">
      <formula>AND(D508&gt;0,D508&lt;0.5)</formula>
    </cfRule>
  </conditionalFormatting>
  <conditionalFormatting sqref="D584:BG594">
    <cfRule type="expression" dxfId="815" priority="567">
      <formula>AND(D584&gt;0,D584&lt;0.5)</formula>
    </cfRule>
  </conditionalFormatting>
  <conditionalFormatting sqref="D664:BG664 D673:BG673">
    <cfRule type="expression" dxfId="814" priority="3285">
      <formula>AND(D664&gt;0,D664&lt;0.5)</formula>
    </cfRule>
  </conditionalFormatting>
  <conditionalFormatting sqref="D758:BG758">
    <cfRule type="expression" dxfId="813" priority="268">
      <formula>AND(D758&gt;0,D758&lt;0.5)</formula>
    </cfRule>
  </conditionalFormatting>
  <conditionalFormatting sqref="D851:BG851">
    <cfRule type="expression" dxfId="812" priority="2374">
      <formula>AND(D851&gt;0,D851&lt;0.5)</formula>
    </cfRule>
  </conditionalFormatting>
  <conditionalFormatting sqref="D1137:BG1141">
    <cfRule type="expression" dxfId="811" priority="2719">
      <formula>AND(D1137&gt;0,D1137&lt;0.5)</formula>
    </cfRule>
  </conditionalFormatting>
  <conditionalFormatting sqref="D83:BH83">
    <cfRule type="expression" dxfId="810" priority="1648">
      <formula>AND(D83&gt;0,D83&lt;0.5)</formula>
    </cfRule>
  </conditionalFormatting>
  <conditionalFormatting sqref="D112:BH113">
    <cfRule type="expression" dxfId="809" priority="396">
      <formula>AND(D112&gt;0,D112&lt;0.5)</formula>
    </cfRule>
  </conditionalFormatting>
  <conditionalFormatting sqref="D259:BH259">
    <cfRule type="expression" dxfId="808" priority="2707">
      <formula>AND(D259&gt;0,D259&lt;0.5)</formula>
    </cfRule>
  </conditionalFormatting>
  <conditionalFormatting sqref="D329:BH331">
    <cfRule type="expression" dxfId="807" priority="209">
      <formula>AND(D329&gt;0,D329&lt;0.5)</formula>
    </cfRule>
  </conditionalFormatting>
  <conditionalFormatting sqref="D364:BH365">
    <cfRule type="expression" dxfId="806" priority="2405">
      <formula>AND(D364&gt;0,D364&lt;0.5)</formula>
    </cfRule>
  </conditionalFormatting>
  <conditionalFormatting sqref="D393:BH393">
    <cfRule type="expression" dxfId="805" priority="2269">
      <formula>AND(D393&gt;0,D393&lt;0.5)</formula>
    </cfRule>
  </conditionalFormatting>
  <conditionalFormatting sqref="D404:BH409">
    <cfRule type="expression" dxfId="804" priority="289">
      <formula>AND(D404&gt;0,D404&lt;0.5)</formula>
    </cfRule>
  </conditionalFormatting>
  <conditionalFormatting sqref="D474:BH476">
    <cfRule type="expression" dxfId="803" priority="99">
      <formula>AND(D474&gt;0,D474&lt;0.5)</formula>
    </cfRule>
  </conditionalFormatting>
  <conditionalFormatting sqref="D507:BH507">
    <cfRule type="expression" dxfId="802" priority="450">
      <formula>AND(D507&gt;0,D507&lt;0.5)</formula>
    </cfRule>
  </conditionalFormatting>
  <conditionalFormatting sqref="D519:BH527">
    <cfRule type="expression" dxfId="801" priority="1641">
      <formula>AND(D519&gt;0,D519&lt;0.5)</formula>
    </cfRule>
  </conditionalFormatting>
  <conditionalFormatting sqref="D725:BH730">
    <cfRule type="expression" dxfId="800" priority="573">
      <formula>AND(D725&gt;0,D725&lt;0.5)</formula>
    </cfRule>
  </conditionalFormatting>
  <conditionalFormatting sqref="D1275:BH1275 D1276:BF1298">
    <cfRule type="expression" dxfId="799" priority="236">
      <formula>AND(D1275&gt;0,D1275&lt;0.5)</formula>
    </cfRule>
  </conditionalFormatting>
  <conditionalFormatting sqref="D147:BI149">
    <cfRule type="expression" dxfId="798" priority="1638">
      <formula>AND(D147&gt;0,D147&lt;0.5)</formula>
    </cfRule>
  </conditionalFormatting>
  <conditionalFormatting sqref="D161:BI161">
    <cfRule type="expression" dxfId="797" priority="1715">
      <formula>AND(D161&gt;0,D161&lt;0.5)</formula>
    </cfRule>
  </conditionalFormatting>
  <conditionalFormatting sqref="D163:BI163">
    <cfRule type="expression" dxfId="796" priority="1373">
      <formula>AND(D163&gt;0,D163&lt;0.5)</formula>
    </cfRule>
  </conditionalFormatting>
  <conditionalFormatting sqref="D196:BI196">
    <cfRule type="expression" dxfId="795" priority="256">
      <formula>AND(D196&gt;0,D196&lt;0.5)</formula>
    </cfRule>
  </conditionalFormatting>
  <conditionalFormatting sqref="D200:BI208">
    <cfRule type="expression" dxfId="794" priority="2204">
      <formula>AND(D200&gt;0,D200&lt;0.5)</formula>
    </cfRule>
  </conditionalFormatting>
  <conditionalFormatting sqref="D210:BI215">
    <cfRule type="expression" dxfId="793" priority="500">
      <formula>AND(D210&gt;0,D210&lt;0.5)</formula>
    </cfRule>
  </conditionalFormatting>
  <conditionalFormatting sqref="D269:BI269">
    <cfRule type="expression" dxfId="792" priority="2018">
      <formula>AND(D269&gt;0,D269&lt;0.5)</formula>
    </cfRule>
  </conditionalFormatting>
  <conditionalFormatting sqref="D279:BI284">
    <cfRule type="expression" dxfId="791" priority="2337">
      <formula>AND(D279&gt;0,D279&lt;0.5)</formula>
    </cfRule>
  </conditionalFormatting>
  <conditionalFormatting sqref="D335:BI339">
    <cfRule type="expression" dxfId="790" priority="1531">
      <formula>AND(D335&gt;0,D335&lt;0.5)</formula>
    </cfRule>
  </conditionalFormatting>
  <conditionalFormatting sqref="D411:BI411">
    <cfRule type="expression" dxfId="789" priority="195">
      <formula>AND(D411&gt;0,D411&lt;0.5)</formula>
    </cfRule>
  </conditionalFormatting>
  <conditionalFormatting sqref="D413:BI415">
    <cfRule type="expression" dxfId="788" priority="2319">
      <formula>AND(D413&gt;0,D413&lt;0.5)</formula>
    </cfRule>
  </conditionalFormatting>
  <conditionalFormatting sqref="D447:BI449">
    <cfRule type="expression" dxfId="787" priority="192">
      <formula>AND(D447&gt;0,D447&lt;0.5)</formula>
    </cfRule>
  </conditionalFormatting>
  <conditionalFormatting sqref="D460:BI464">
    <cfRule type="expression" dxfId="786" priority="477">
      <formula>AND(D460&gt;0,D460&lt;0.5)</formula>
    </cfRule>
  </conditionalFormatting>
  <conditionalFormatting sqref="D572:BI574">
    <cfRule type="expression" dxfId="785" priority="2280">
      <formula>AND(D572&gt;0,D572&lt;0.5)</formula>
    </cfRule>
  </conditionalFormatting>
  <conditionalFormatting sqref="D615:BI621">
    <cfRule type="expression" dxfId="784" priority="443">
      <formula>AND(D615&gt;0,D615&lt;0.5)</formula>
    </cfRule>
  </conditionalFormatting>
  <conditionalFormatting sqref="D671:BI671">
    <cfRule type="expression" dxfId="783" priority="2175">
      <formula>AND(D671&gt;0,D671&lt;0.5)</formula>
    </cfRule>
  </conditionalFormatting>
  <conditionalFormatting sqref="D721:BI721 D722:G722 D723:BI724">
    <cfRule type="expression" dxfId="782" priority="161">
      <formula>AND(D721&gt;0,D721&lt;0.5)</formula>
    </cfRule>
  </conditionalFormatting>
  <conditionalFormatting sqref="D990:BI990">
    <cfRule type="expression" dxfId="781" priority="262">
      <formula>AND(D990&gt;0,D990&lt;0.5)</formula>
    </cfRule>
  </conditionalFormatting>
  <conditionalFormatting sqref="D1265:BI1268 D1269:BQ1269 D1270:BF1274">
    <cfRule type="expression" dxfId="780" priority="173">
      <formula>AND(D1265&gt;0,D1265&lt;0.5)</formula>
    </cfRule>
  </conditionalFormatting>
  <conditionalFormatting sqref="D270:BJ270">
    <cfRule type="expression" dxfId="779" priority="1643">
      <formula>AND(D270&gt;0,D270&lt;0.5)</formula>
    </cfRule>
  </conditionalFormatting>
  <conditionalFormatting sqref="D674:BJ674">
    <cfRule type="expression" dxfId="778" priority="1451">
      <formula>AND(D674&gt;0,D674&lt;0.5)</formula>
    </cfRule>
  </conditionalFormatting>
  <conditionalFormatting sqref="D160:BK160">
    <cfRule type="expression" dxfId="777" priority="1117">
      <formula>AND(D160&gt;0,D160&lt;0.5)</formula>
    </cfRule>
  </conditionalFormatting>
  <conditionalFormatting sqref="D175:BK175">
    <cfRule type="expression" dxfId="776" priority="1369">
      <formula>AND(D175&gt;0,D175&lt;0.5)</formula>
    </cfRule>
  </conditionalFormatting>
  <conditionalFormatting sqref="D195:BK195">
    <cfRule type="expression" dxfId="775" priority="1171">
      <formula>AND(D195&gt;0,D195&lt;0.5)</formula>
    </cfRule>
  </conditionalFormatting>
  <conditionalFormatting sqref="D240:BK240">
    <cfRule type="expression" dxfId="774" priority="1238">
      <formula>AND(D240&gt;0,D240&lt;0.5)</formula>
    </cfRule>
  </conditionalFormatting>
  <conditionalFormatting sqref="D260:BK261">
    <cfRule type="expression" dxfId="773" priority="1161">
      <formula>AND(D260&gt;0,D260&lt;0.5)</formula>
    </cfRule>
  </conditionalFormatting>
  <conditionalFormatting sqref="D732:BK733">
    <cfRule type="expression" dxfId="772" priority="270">
      <formula>AND(D732&gt;0,D732&lt;0.5)</formula>
    </cfRule>
  </conditionalFormatting>
  <conditionalFormatting sqref="D672:BL672">
    <cfRule type="expression" dxfId="771" priority="1094">
      <formula>AND(D672&gt;0,D672&lt;0.5)</formula>
    </cfRule>
  </conditionalFormatting>
  <conditionalFormatting sqref="D450:BO451">
    <cfRule type="expression" dxfId="770" priority="193">
      <formula>AND(D450&gt;0,D450&lt;0.5)</formula>
    </cfRule>
  </conditionalFormatting>
  <conditionalFormatting sqref="D495:BO497">
    <cfRule type="expression" dxfId="769" priority="237">
      <formula>AND(D495&gt;0,D495&lt;0.5)</formula>
    </cfRule>
  </conditionalFormatting>
  <conditionalFormatting sqref="D595:BO595">
    <cfRule type="expression" dxfId="768" priority="967">
      <formula>AND(D595&gt;0,D595&lt;0.5)</formula>
    </cfRule>
  </conditionalFormatting>
  <conditionalFormatting sqref="D84:BP89 BQ84:BQ90 BM90:BP90">
    <cfRule type="expression" dxfId="767" priority="109">
      <formula>AND(D84&gt;0,D84&lt;0.5)</formula>
    </cfRule>
  </conditionalFormatting>
  <conditionalFormatting sqref="D853:BP853">
    <cfRule type="expression" dxfId="766" priority="70">
      <formula>AND(D853&gt;0,D853&lt;0.5)</formula>
    </cfRule>
  </conditionalFormatting>
  <conditionalFormatting sqref="D904:BP907">
    <cfRule type="expression" dxfId="765" priority="102">
      <formula>AND(D904&gt;0,D904&lt;0.5)</formula>
    </cfRule>
  </conditionalFormatting>
  <conditionalFormatting sqref="D67:BQ67">
    <cfRule type="expression" dxfId="764" priority="1677">
      <formula>AND(D67&gt;0,D67&lt;0.5)</formula>
    </cfRule>
  </conditionalFormatting>
  <conditionalFormatting sqref="D71:BQ71 N91:R95 N134:P137 N272:R272 N350:Q350 N362:R363 N366:R370 D412:AZ412 N509:BD509 N547:AI547 D608:R613 N622:R627 N810:BE810 N843:R845 N916:BE916 N1122:BE1125 N1307:R1309 N1311:BF1311">
    <cfRule type="expression" dxfId="763" priority="3704">
      <formula>AND(D71&gt;0,D71&lt;0.5)</formula>
    </cfRule>
  </conditionalFormatting>
  <conditionalFormatting sqref="D76:BQ76">
    <cfRule type="expression" dxfId="762" priority="652">
      <formula>AND(D76&gt;0,D76&lt;0.5)</formula>
    </cfRule>
  </conditionalFormatting>
  <conditionalFormatting sqref="D111:BQ111">
    <cfRule type="expression" dxfId="761" priority="399">
      <formula>AND(D111&gt;0,D111&lt;0.5)</formula>
    </cfRule>
  </conditionalFormatting>
  <conditionalFormatting sqref="D165:BQ165">
    <cfRule type="expression" dxfId="760" priority="674">
      <formula>AND(D165&gt;0,D165&lt;0.5)</formula>
    </cfRule>
  </conditionalFormatting>
  <conditionalFormatting sqref="D209:BQ209">
    <cfRule type="expression" dxfId="759" priority="421">
      <formula>AND(D209&gt;0,D209&lt;0.5)</formula>
    </cfRule>
  </conditionalFormatting>
  <conditionalFormatting sqref="D217:BQ217">
    <cfRule type="expression" dxfId="758" priority="485">
      <formula>AND(D217&gt;0,D217&lt;0.5)</formula>
    </cfRule>
  </conditionalFormatting>
  <conditionalFormatting sqref="D249:BQ249">
    <cfRule type="expression" dxfId="757" priority="794">
      <formula>AND(D249&gt;0,D249&lt;0.5)</formula>
    </cfRule>
  </conditionalFormatting>
  <conditionalFormatting sqref="D258:BQ258">
    <cfRule type="expression" dxfId="756" priority="1669">
      <formula>AND(D258&gt;0,D258&lt;0.5)</formula>
    </cfRule>
  </conditionalFormatting>
  <conditionalFormatting sqref="D268:BQ268">
    <cfRule type="expression" dxfId="755" priority="1005">
      <formula>AND(D268&gt;0,D268&lt;0.5)</formula>
    </cfRule>
  </conditionalFormatting>
  <conditionalFormatting sqref="D278:BQ278">
    <cfRule type="expression" dxfId="754" priority="658">
      <formula>AND(D278&gt;0,D278&lt;0.5)</formula>
    </cfRule>
  </conditionalFormatting>
  <conditionalFormatting sqref="D305:BQ305">
    <cfRule type="expression" dxfId="753" priority="786">
      <formula>AND(D305&gt;0,D305&lt;0.5)</formula>
    </cfRule>
  </conditionalFormatting>
  <conditionalFormatting sqref="D316:BQ316">
    <cfRule type="expression" dxfId="752" priority="1667">
      <formula>AND(D316&gt;0,D316&lt;0.5)</formula>
    </cfRule>
  </conditionalFormatting>
  <conditionalFormatting sqref="D445:BQ445">
    <cfRule type="expression" dxfId="751" priority="772">
      <formula>AND(D445&gt;0,D445&lt;0.5)</formula>
    </cfRule>
  </conditionalFormatting>
  <conditionalFormatting sqref="D459:BQ459">
    <cfRule type="expression" dxfId="750" priority="769">
      <formula>AND(D459&gt;0,D459&lt;0.5)</formula>
    </cfRule>
  </conditionalFormatting>
  <conditionalFormatting sqref="D485:BQ485">
    <cfRule type="expression" dxfId="749" priority="766">
      <formula>AND(D485&gt;0,D485&lt;0.5)</formula>
    </cfRule>
  </conditionalFormatting>
  <conditionalFormatting sqref="D576:BQ576">
    <cfRule type="expression" dxfId="748" priority="754">
      <formula>AND(D576&gt;0,D576&lt;0.5)</formula>
    </cfRule>
  </conditionalFormatting>
  <conditionalFormatting sqref="D583:BQ583">
    <cfRule type="expression" dxfId="747" priority="876">
      <formula>AND(D583&gt;0,D583&lt;0.5)</formula>
    </cfRule>
  </conditionalFormatting>
  <conditionalFormatting sqref="D614:BQ614">
    <cfRule type="expression" dxfId="746" priority="964">
      <formula>AND(D614&gt;0,D614&lt;0.5)</formula>
    </cfRule>
  </conditionalFormatting>
  <conditionalFormatting sqref="D662:BQ663">
    <cfRule type="expression" dxfId="745" priority="33">
      <formula>AND(D662&gt;0,D662&lt;0.5)</formula>
    </cfRule>
  </conditionalFormatting>
  <conditionalFormatting sqref="D665:BQ665">
    <cfRule type="expression" dxfId="744" priority="867">
      <formula>AND(D665&gt;0,D665&lt;0.5)</formula>
    </cfRule>
  </conditionalFormatting>
  <conditionalFormatting sqref="D711:BQ711">
    <cfRule type="expression" dxfId="743" priority="750">
      <formula>AND(D711&gt;0,D711&lt;0.5)</formula>
    </cfRule>
  </conditionalFormatting>
  <conditionalFormatting sqref="D720:BQ720">
    <cfRule type="expression" dxfId="742" priority="948">
      <formula>AND(D720&gt;0,D720&lt;0.5)</formula>
    </cfRule>
  </conditionalFormatting>
  <conditionalFormatting sqref="D852:BQ852">
    <cfRule type="expression" dxfId="741" priority="1">
      <formula>AND(D852&gt;0,D852&lt;0.5)</formula>
    </cfRule>
  </conditionalFormatting>
  <conditionalFormatting sqref="D929:BQ929">
    <cfRule type="expression" dxfId="740" priority="240">
      <formula>AND(D929&gt;0,D929&lt;0.5)</formula>
    </cfRule>
  </conditionalFormatting>
  <conditionalFormatting sqref="D941:BQ941">
    <cfRule type="expression" dxfId="739" priority="428">
      <formula>AND(D941&gt;0,D941&lt;0.5)</formula>
    </cfRule>
  </conditionalFormatting>
  <conditionalFormatting sqref="D1046:BQ1047">
    <cfRule type="expression" dxfId="738" priority="44">
      <formula>AND(D1046&gt;0,D1046&lt;0.5)</formula>
    </cfRule>
  </conditionalFormatting>
  <conditionalFormatting sqref="D1053:BQ1054">
    <cfRule type="expression" dxfId="737" priority="23">
      <formula>AND(D1053&gt;0,D1053&lt;0.5)</formula>
    </cfRule>
  </conditionalFormatting>
  <conditionalFormatting sqref="E1253:BG1253">
    <cfRule type="expression" dxfId="736" priority="303">
      <formula>AND(E1253&gt;0,E1253&lt;0.5)</formula>
    </cfRule>
  </conditionalFormatting>
  <conditionalFormatting sqref="E333:BI333 D334:BQ334">
    <cfRule type="expression" dxfId="735" priority="2453">
      <formula>AND(D333&gt;0,D333&lt;0.5)</formula>
    </cfRule>
  </conditionalFormatting>
  <conditionalFormatting sqref="E422:BI422">
    <cfRule type="expression" dxfId="734" priority="2235">
      <formula>AND(E422&gt;0,E422&lt;0.5)</formula>
    </cfRule>
  </conditionalFormatting>
  <conditionalFormatting sqref="E1251:BI1251">
    <cfRule type="expression" dxfId="733" priority="1731">
      <formula>AND(E1251&gt;0,E1251&lt;0.5)</formula>
    </cfRule>
  </conditionalFormatting>
  <conditionalFormatting sqref="E332:BQ332">
    <cfRule type="expression" dxfId="732" priority="1057">
      <formula>AND(E332&gt;0,E332&lt;0.5)</formula>
    </cfRule>
  </conditionalFormatting>
  <conditionalFormatting sqref="E421:BQ421">
    <cfRule type="expression" dxfId="731" priority="776">
      <formula>AND(E421&gt;0,E421&lt;0.5)</formula>
    </cfRule>
  </conditionalFormatting>
  <conditionalFormatting sqref="F966:BE966">
    <cfRule type="expression" dxfId="730" priority="635">
      <formula>AND(F966&gt;0,F966&lt;0.5)</formula>
    </cfRule>
  </conditionalFormatting>
  <conditionalFormatting sqref="F967:BG967">
    <cfRule type="expression" dxfId="729" priority="634">
      <formula>AND(F967&gt;0,F967&lt;0.5)</formula>
    </cfRule>
  </conditionalFormatting>
  <conditionalFormatting sqref="J487:AM489">
    <cfRule type="expression" dxfId="728" priority="1946">
      <formula>AND(J487&gt;0,J487&lt;0.5)</formula>
    </cfRule>
  </conditionalFormatting>
  <conditionalFormatting sqref="J486:BH486">
    <cfRule type="expression" dxfId="727" priority="2054">
      <formula>AND(J486&gt;0,J486&lt;0.5)</formula>
    </cfRule>
  </conditionalFormatting>
  <conditionalFormatting sqref="K145:BI146">
    <cfRule type="expression" dxfId="726" priority="1651">
      <formula>AND(K145&gt;0,K145&lt;0.5)</formula>
    </cfRule>
  </conditionalFormatting>
  <conditionalFormatting sqref="K144:BN144">
    <cfRule type="expression" dxfId="725" priority="700">
      <formula>AND(K144&gt;0,K144&lt;0.5)</formula>
    </cfRule>
  </conditionalFormatting>
  <conditionalFormatting sqref="L1122:M1124">
    <cfRule type="expression" dxfId="724" priority="1655">
      <formula>AND(L1122&gt;0,L1122&lt;0.5)</formula>
    </cfRule>
  </conditionalFormatting>
  <conditionalFormatting sqref="L822:BE822">
    <cfRule type="expression" dxfId="723" priority="3043">
      <formula>AND(L822&gt;0,L822&lt;0.5)</formula>
    </cfRule>
  </conditionalFormatting>
  <conditionalFormatting sqref="L823:BQ823 BQ825:BQ827">
    <cfRule type="expression" dxfId="722" priority="26">
      <formula>AND(L823&gt;0,L823&lt;0.5)</formula>
    </cfRule>
  </conditionalFormatting>
  <conditionalFormatting sqref="L1121:BQ1121">
    <cfRule type="expression" dxfId="721" priority="250">
      <formula>AND(L1121&gt;0,L1121&lt;0.5)</formula>
    </cfRule>
  </conditionalFormatting>
  <conditionalFormatting sqref="N97:R109">
    <cfRule type="expression" dxfId="720" priority="3702">
      <formula>AND(N97&gt;0,N97&lt;0.5)</formula>
    </cfRule>
  </conditionalFormatting>
  <conditionalFormatting sqref="N246:R248">
    <cfRule type="expression" dxfId="719" priority="2402">
      <formula>AND(N246&gt;0,N246&lt;0.5)</formula>
    </cfRule>
  </conditionalFormatting>
  <conditionalFormatting sqref="N456:R458">
    <cfRule type="expression" dxfId="718" priority="846">
      <formula>AND(N456&gt;0,N456&lt;0.5)</formula>
    </cfRule>
  </conditionalFormatting>
  <conditionalFormatting sqref="N151:V154">
    <cfRule type="expression" dxfId="717" priority="3033">
      <formula>AND(N151&gt;0,N151&lt;0.5)</formula>
    </cfRule>
  </conditionalFormatting>
  <conditionalFormatting sqref="N917:AD918">
    <cfRule type="expression" dxfId="716" priority="3118">
      <formula>AND(N917&gt;0,N917&lt;0.5)</formula>
    </cfRule>
  </conditionalFormatting>
  <conditionalFormatting sqref="N156:AH158 AK157:BF157">
    <cfRule type="expression" dxfId="715" priority="3550">
      <formula>AND(N156&gt;0,N156&lt;0.5)</formula>
    </cfRule>
  </conditionalFormatting>
  <conditionalFormatting sqref="N559:AH561">
    <cfRule type="expression" dxfId="714" priority="3128">
      <formula>AND(N559&gt;0,N559&lt;0.5)</formula>
    </cfRule>
  </conditionalFormatting>
  <conditionalFormatting sqref="N177:AQ177">
    <cfRule type="expression" dxfId="713" priority="2066">
      <formula>AND(N177&gt;0,N177&lt;0.5)</formula>
    </cfRule>
  </conditionalFormatting>
  <conditionalFormatting sqref="N139:AZ139">
    <cfRule type="expression" dxfId="712" priority="3484">
      <formula>AND(N139&gt;0,N139&lt;0.5)</formula>
    </cfRule>
  </conditionalFormatting>
  <conditionalFormatting sqref="N1312:BA1312">
    <cfRule type="expression" dxfId="711" priority="2360">
      <formula>AND(N1312&gt;0,N1312&lt;0.5)</formula>
    </cfRule>
  </conditionalFormatting>
  <conditionalFormatting sqref="N343:BC343">
    <cfRule type="expression" dxfId="710" priority="217">
      <formula>AND(N343&gt;0,N343&lt;0.5)</formula>
    </cfRule>
  </conditionalFormatting>
  <conditionalFormatting sqref="N839:BE842">
    <cfRule type="expression" dxfId="709" priority="3121">
      <formula>AND(N839&gt;0,N839&lt;0.5)</formula>
    </cfRule>
  </conditionalFormatting>
  <conditionalFormatting sqref="N1003:BE1006">
    <cfRule type="expression" dxfId="708" priority="3399">
      <formula>AND(N1003&gt;0,N1003&lt;0.5)</formula>
    </cfRule>
  </conditionalFormatting>
  <conditionalFormatting sqref="N1304:BE1306">
    <cfRule type="expression" dxfId="707" priority="3106">
      <formula>AND(N1304&gt;0,N1304&lt;0.5)</formula>
    </cfRule>
  </conditionalFormatting>
  <conditionalFormatting sqref="N96:BF96">
    <cfRule type="expression" dxfId="706" priority="233">
      <formula>AND(N96&gt;0,N96&lt;0.5)</formula>
    </cfRule>
  </conditionalFormatting>
  <conditionalFormatting sqref="N131:BF133">
    <cfRule type="expression" dxfId="705" priority="348">
      <formula>AND(N131&gt;0,N131&lt;0.5)</formula>
    </cfRule>
  </conditionalFormatting>
  <conditionalFormatting sqref="N140:BF143">
    <cfRule type="expression" dxfId="704" priority="3082">
      <formula>AND(N140&gt;0,N140&lt;0.5)</formula>
    </cfRule>
  </conditionalFormatting>
  <conditionalFormatting sqref="N176:BF176">
    <cfRule type="expression" dxfId="703" priority="3481">
      <formula>AND(N176&gt;0,N176&lt;0.5)</formula>
    </cfRule>
  </conditionalFormatting>
  <conditionalFormatting sqref="N224:BF225">
    <cfRule type="expression" dxfId="702" priority="3476">
      <formula>AND(N224&gt;0,N224&lt;0.5)</formula>
    </cfRule>
  </conditionalFormatting>
  <conditionalFormatting sqref="N263:BF266">
    <cfRule type="expression" dxfId="701" priority="1589">
      <formula>AND(N263&gt;0,N263&lt;0.5)</formula>
    </cfRule>
  </conditionalFormatting>
  <conditionalFormatting sqref="N341:BF342">
    <cfRule type="expression" dxfId="700" priority="3135">
      <formula>AND(N341&gt;0,N341&lt;0.5)</formula>
    </cfRule>
  </conditionalFormatting>
  <conditionalFormatting sqref="N599:BF603">
    <cfRule type="expression" dxfId="699" priority="3430">
      <formula>AND(N599&gt;0,N599&lt;0.5)</formula>
    </cfRule>
  </conditionalFormatting>
  <conditionalFormatting sqref="N628:BF628">
    <cfRule type="expression" dxfId="698" priority="1283">
      <formula>AND(N628&gt;0,N628&lt;0.5)</formula>
    </cfRule>
  </conditionalFormatting>
  <conditionalFormatting sqref="N677:BF680">
    <cfRule type="expression" dxfId="697" priority="581">
      <formula>AND(N677&gt;0,N677&lt;0.5)</formula>
    </cfRule>
  </conditionalFormatting>
  <conditionalFormatting sqref="N682:BF684">
    <cfRule type="expression" dxfId="696" priority="3124">
      <formula>AND(N682&gt;0,N682&lt;0.5)</formula>
    </cfRule>
  </conditionalFormatting>
  <conditionalFormatting sqref="N1166:BF1171">
    <cfRule type="expression" dxfId="695" priority="898">
      <formula>AND(N1166&gt;0,N1166&lt;0.5)</formula>
    </cfRule>
  </conditionalFormatting>
  <conditionalFormatting sqref="N271:BG271">
    <cfRule type="expression" dxfId="694" priority="223">
      <formula>AND(N271&gt;0,N271&lt;0.5)</formula>
    </cfRule>
  </conditionalFormatting>
  <conditionalFormatting sqref="N360:BG361">
    <cfRule type="expression" dxfId="693" priority="274">
      <formula>AND(N360&gt;0,N360&lt;0.5)</formula>
    </cfRule>
  </conditionalFormatting>
  <conditionalFormatting sqref="N371:BG374">
    <cfRule type="expression" dxfId="692" priority="3461">
      <formula>AND(N371&gt;0,N371&lt;0.5)</formula>
    </cfRule>
  </conditionalFormatting>
  <conditionalFormatting sqref="N532:BG532">
    <cfRule type="expression" dxfId="691" priority="145">
      <formula>AND(N532&gt;0,N532&lt;0.5)</formula>
    </cfRule>
  </conditionalFormatting>
  <conditionalFormatting sqref="N548:BG558">
    <cfRule type="expression" dxfId="690" priority="255">
      <formula>AND(N548&gt;0,N548&lt;0.5)</formula>
    </cfRule>
  </conditionalFormatting>
  <conditionalFormatting sqref="N562:BG568">
    <cfRule type="expression" dxfId="689" priority="437">
      <formula>AND(N562&gt;0,N562&lt;0.5)</formula>
    </cfRule>
  </conditionalFormatting>
  <conditionalFormatting sqref="N993:BG995">
    <cfRule type="expression" dxfId="688" priority="3224">
      <formula>AND(N993&gt;0,N993&lt;0.5)</formula>
    </cfRule>
  </conditionalFormatting>
  <conditionalFormatting sqref="N1310:BG1310">
    <cfRule type="expression" dxfId="687" priority="3361">
      <formula>AND(N1310&gt;0,N1310&lt;0.5)</formula>
    </cfRule>
  </conditionalFormatting>
  <conditionalFormatting sqref="N244:BH245">
    <cfRule type="expression" dxfId="686" priority="607">
      <formula>AND(N244&gt;0,N244&lt;0.5)</formula>
    </cfRule>
  </conditionalFormatting>
  <conditionalFormatting sqref="N394:BH394">
    <cfRule type="expression" dxfId="685" priority="2876">
      <formula>AND(N394&gt;0,N394&lt;0.5)</formula>
    </cfRule>
  </conditionalFormatting>
  <conditionalFormatting sqref="N317:BI319">
    <cfRule type="expression" dxfId="684" priority="1995">
      <formula>AND(N317&gt;0,N317&lt;0.5)</formula>
    </cfRule>
  </conditionalFormatting>
  <conditionalFormatting sqref="N395:BI399 BH400:BI401">
    <cfRule type="expression" dxfId="683" priority="2192">
      <formula>AND(N395&gt;0,N395&lt;0.5)</formula>
    </cfRule>
  </conditionalFormatting>
  <conditionalFormatting sqref="N511:BI511">
    <cfRule type="expression" dxfId="682" priority="2183">
      <formula>AND(N511&gt;0,N511&lt;0.5)</formula>
    </cfRule>
  </conditionalFormatting>
  <conditionalFormatting sqref="N898:BI903">
    <cfRule type="expression" dxfId="681" priority="558">
      <formula>AND(N898&gt;0,N898&lt;0.5)</formula>
    </cfRule>
  </conditionalFormatting>
  <conditionalFormatting sqref="N155:BJ155">
    <cfRule type="expression" dxfId="680" priority="1486">
      <formula>AND(N155&gt;0,N155&lt;0.5)</formula>
    </cfRule>
  </conditionalFormatting>
  <conditionalFormatting sqref="N138:BK138">
    <cfRule type="expression" dxfId="679" priority="1192">
      <formula>AND(N138&gt;0,N138&lt;0.5)</formula>
    </cfRule>
  </conditionalFormatting>
  <conditionalFormatting sqref="N455:BK455">
    <cfRule type="expression" dxfId="678" priority="423">
      <formula>AND(N455&gt;0,N455&lt;0.5)</formula>
    </cfRule>
  </conditionalFormatting>
  <conditionalFormatting sqref="N320:BN320">
    <cfRule type="expression" dxfId="677" priority="1003">
      <formula>AND(N320&gt;0,N320&lt;0.5)</formula>
    </cfRule>
  </conditionalFormatting>
  <conditionalFormatting sqref="N375:BO376">
    <cfRule type="expression" dxfId="676" priority="3459">
      <formula>AND(N375&gt;0,N375&lt;0.5)</formula>
    </cfRule>
  </conditionalFormatting>
  <conditionalFormatting sqref="N291:BQ291">
    <cfRule type="expression" dxfId="675" priority="308">
      <formula>AND(N291&gt;0,N291&lt;0.5)</formula>
    </cfRule>
  </conditionalFormatting>
  <conditionalFormatting sqref="N351:BQ352">
    <cfRule type="expression" dxfId="674" priority="46">
      <formula>AND(N351&gt;0,N351&lt;0.5)</formula>
    </cfRule>
  </conditionalFormatting>
  <conditionalFormatting sqref="N510:BQ510">
    <cfRule type="expression" dxfId="673" priority="763">
      <formula>AND(N510&gt;0,N510&lt;0.5)</formula>
    </cfRule>
  </conditionalFormatting>
  <conditionalFormatting sqref="N538:BQ538">
    <cfRule type="expression" dxfId="672" priority="755">
      <formula>AND(N538&gt;0,N538&lt;0.5)</formula>
    </cfRule>
  </conditionalFormatting>
  <conditionalFormatting sqref="N681:BQ681">
    <cfRule type="expression" dxfId="671" priority="1269">
      <formula>AND(N681&gt;0,N681&lt;0.5)</formula>
    </cfRule>
  </conditionalFormatting>
  <conditionalFormatting sqref="N897:BQ897">
    <cfRule type="expression" dxfId="670" priority="741">
      <formula>AND(N897&gt;0,N897&lt;0.5)</formula>
    </cfRule>
  </conditionalFormatting>
  <conditionalFormatting sqref="N1172:BQ1172">
    <cfRule type="expression" dxfId="669" priority="680">
      <formula>AND(N1172&gt;0,N1172&lt;0.5)</formula>
    </cfRule>
  </conditionalFormatting>
  <conditionalFormatting sqref="O375:AD375">
    <cfRule type="expression" dxfId="668" priority="3522">
      <formula>AND(O375&gt;0,O375&lt;0.5)</formula>
    </cfRule>
  </conditionalFormatting>
  <conditionalFormatting sqref="P125:AK129">
    <cfRule type="expression" dxfId="667" priority="358">
      <formula>AND(P125&gt;0,P125&lt;0.5)</formula>
    </cfRule>
  </conditionalFormatting>
  <conditionalFormatting sqref="P130:BF130">
    <cfRule type="expression" dxfId="666" priority="3026">
      <formula>AND(P130&gt;0,P130&lt;0.5)</formula>
    </cfRule>
  </conditionalFormatting>
  <conditionalFormatting sqref="Q134:BF134 Q136:BH136 Q137:BG137">
    <cfRule type="expression" dxfId="665" priority="3032">
      <formula>AND(Q134&gt;0,Q134&lt;0.5)</formula>
    </cfRule>
  </conditionalFormatting>
  <conditionalFormatting sqref="Q135:BI135">
    <cfRule type="expression" dxfId="664" priority="1034">
      <formula>AND(Q135&gt;0,Q135&lt;0.5)</formula>
    </cfRule>
  </conditionalFormatting>
  <conditionalFormatting sqref="S103:W104">
    <cfRule type="expression" dxfId="663" priority="3812">
      <formula>AND(S103&gt;0,S103&lt;0.5)</formula>
    </cfRule>
  </conditionalFormatting>
  <conditionalFormatting sqref="S106:X106 S107:W109">
    <cfRule type="expression" dxfId="662" priority="858">
      <formula>AND(S106&gt;0,S106&lt;0.5)</formula>
    </cfRule>
  </conditionalFormatting>
  <conditionalFormatting sqref="S237:AQ238">
    <cfRule type="expression" dxfId="661" priority="2409">
      <formula>AND(S237&gt;0,S237&lt;0.5)</formula>
    </cfRule>
  </conditionalFormatting>
  <conditionalFormatting sqref="S579:AQ579">
    <cfRule type="expression" dxfId="660" priority="172">
      <formula>AND(S579&gt;0,S579&lt;0.5)</formula>
    </cfRule>
  </conditionalFormatting>
  <conditionalFormatting sqref="S487:AU488">
    <cfRule type="expression" dxfId="659" priority="3773">
      <formula>AND(S487&gt;0,S487&lt;0.5)</formula>
    </cfRule>
  </conditionalFormatting>
  <conditionalFormatting sqref="S543:AV543">
    <cfRule type="expression" dxfId="658" priority="449">
      <formula>AND(S543&gt;0,S543&lt;0.5)</formula>
    </cfRule>
  </conditionalFormatting>
  <conditionalFormatting sqref="S648:AV649">
    <cfRule type="expression" dxfId="657" priority="3752">
      <formula>AND(S648&gt;0,S648&lt;0.5)</formula>
    </cfRule>
  </conditionalFormatting>
  <conditionalFormatting sqref="S541:AW542">
    <cfRule type="expression" dxfId="656" priority="2240">
      <formula>AND(S541&gt;0,S541&lt;0.5)</formula>
    </cfRule>
  </conditionalFormatting>
  <conditionalFormatting sqref="S493:AZ494">
    <cfRule type="expression" dxfId="655" priority="179">
      <formula>AND(S493&gt;0,S493&lt;0.5)</formula>
    </cfRule>
  </conditionalFormatting>
  <conditionalFormatting sqref="S531:BC531">
    <cfRule type="expression" dxfId="654" priority="146">
      <formula>AND(S531&gt;0,S531&lt;0.5)</formula>
    </cfRule>
  </conditionalFormatting>
  <conditionalFormatting sqref="S739:BD739">
    <cfRule type="expression" dxfId="653" priority="159">
      <formula>AND(S739&gt;0,S739&lt;0.5)</formula>
    </cfRule>
  </conditionalFormatting>
  <conditionalFormatting sqref="S740:BE749">
    <cfRule type="expression" dxfId="652" priority="1089">
      <formula>AND(S740&gt;0,S740&lt;0.5)</formula>
    </cfRule>
  </conditionalFormatting>
  <conditionalFormatting sqref="S752:BE753">
    <cfRule type="expression" dxfId="651" priority="156">
      <formula>AND(S752&gt;0,S752&lt;0.5)</formula>
    </cfRule>
  </conditionalFormatting>
  <conditionalFormatting sqref="S807:BE808">
    <cfRule type="expression" dxfId="650" priority="183">
      <formula>AND(S807&gt;0,S807&lt;0.5)</formula>
    </cfRule>
  </conditionalFormatting>
  <conditionalFormatting sqref="S1097:BE1101">
    <cfRule type="expression" dxfId="649" priority="610">
      <formula>AND(S1097&gt;0,S1097&lt;0.5)</formula>
    </cfRule>
  </conditionalFormatting>
  <conditionalFormatting sqref="S1145:BE1146">
    <cfRule type="expression" dxfId="648" priority="3747">
      <formula>AND(S1145&gt;0,S1145&lt;0.5)</formula>
    </cfRule>
  </conditionalFormatting>
  <conditionalFormatting sqref="S1236:BE1243">
    <cfRule type="expression" dxfId="647" priority="175">
      <formula>AND(S1236&gt;0,S1236&lt;0.5)</formula>
    </cfRule>
  </conditionalFormatting>
  <conditionalFormatting sqref="S95:BF95">
    <cfRule type="expression" dxfId="646" priority="1178">
      <formula>AND(S95&gt;0,S95&lt;0.5)</formula>
    </cfRule>
  </conditionalFormatting>
  <conditionalFormatting sqref="S97:BF101">
    <cfRule type="expression" dxfId="645" priority="232">
      <formula>AND(S97&gt;0,S97&lt;0.5)</formula>
    </cfRule>
  </conditionalFormatting>
  <conditionalFormatting sqref="S179:BF180">
    <cfRule type="expression" dxfId="644" priority="2065">
      <formula>AND(S179&gt;0,S179&lt;0.5)</formula>
    </cfRule>
  </conditionalFormatting>
  <conditionalFormatting sqref="S227:BF230">
    <cfRule type="expression" dxfId="643" priority="599">
      <formula>AND(S227&gt;0,S227&lt;0.5)</formula>
    </cfRule>
  </conditionalFormatting>
  <conditionalFormatting sqref="S436:BF436">
    <cfRule type="expression" dxfId="642" priority="606">
      <formula>AND(S436&gt;0,S436&lt;0.5)</formula>
    </cfRule>
  </conditionalFormatting>
  <conditionalFormatting sqref="S465:BF465">
    <cfRule type="expression" dxfId="641" priority="824">
      <formula>AND(S465&gt;0,S465&lt;0.5)</formula>
    </cfRule>
  </conditionalFormatting>
  <conditionalFormatting sqref="S604:BF606">
    <cfRule type="expression" dxfId="640" priority="185">
      <formula>AND(S604&gt;0,S604&lt;0.5)</formula>
    </cfRule>
  </conditionalFormatting>
  <conditionalFormatting sqref="S625:BF627">
    <cfRule type="expression" dxfId="639" priority="433">
      <formula>AND(S625&gt;0,S625&lt;0.5)</formula>
    </cfRule>
  </conditionalFormatting>
  <conditionalFormatting sqref="S637:BF641">
    <cfRule type="expression" dxfId="638" priority="342">
      <formula>AND(S637&gt;0,S637&lt;0.5)</formula>
    </cfRule>
  </conditionalFormatting>
  <conditionalFormatting sqref="S650:BF650">
    <cfRule type="expression" dxfId="637" priority="452">
      <formula>AND(S650&gt;0,S650&lt;0.5)</formula>
    </cfRule>
  </conditionalFormatting>
  <conditionalFormatting sqref="S777:BF780">
    <cfRule type="expression" dxfId="636" priority="436">
      <formula>AND(S777&gt;0,S777&lt;0.5)</formula>
    </cfRule>
  </conditionalFormatting>
  <conditionalFormatting sqref="S102:BG102">
    <cfRule type="expression" dxfId="635" priority="2952">
      <formula>AND(S102&gt;0,S102&lt;0.5)</formula>
    </cfRule>
  </conditionalFormatting>
  <conditionalFormatting sqref="S223:BG223">
    <cfRule type="expression" dxfId="634" priority="603">
      <formula>AND(S223&gt;0,S223&lt;0.5)</formula>
    </cfRule>
  </conditionalFormatting>
  <conditionalFormatting sqref="S248:BG248">
    <cfRule type="expression" dxfId="633" priority="2227">
      <formula>AND(S248&gt;0,S248&lt;0.5)</formula>
    </cfRule>
  </conditionalFormatting>
  <conditionalFormatting sqref="S292:BG295">
    <cfRule type="expression" dxfId="632" priority="478">
      <formula>AND(S292&gt;0,S292&lt;0.5)</formula>
    </cfRule>
  </conditionalFormatting>
  <conditionalFormatting sqref="S381:BG382">
    <cfRule type="expression" dxfId="631" priority="3519">
      <formula>AND(S381&gt;0,S381&lt;0.5)</formula>
    </cfRule>
  </conditionalFormatting>
  <conditionalFormatting sqref="S458:BG458">
    <cfRule type="expression" dxfId="630" priority="845">
      <formula>AND(S458&gt;0,S458&lt;0.5)</formula>
    </cfRule>
  </conditionalFormatting>
  <conditionalFormatting sqref="S492:BG492">
    <cfRule type="expression" dxfId="629" priority="3083">
      <formula>AND(S492&gt;0,S492&lt;0.5)</formula>
    </cfRule>
  </conditionalFormatting>
  <conditionalFormatting sqref="S498:BG501">
    <cfRule type="expression" dxfId="628" priority="3681">
      <formula>AND(S498&gt;0,S498&lt;0.5)</formula>
    </cfRule>
  </conditionalFormatting>
  <conditionalFormatting sqref="S503:BG504">
    <cfRule type="expression" dxfId="627" priority="1383">
      <formula>AND(S503&gt;0,S503&lt;0.5)</formula>
    </cfRule>
  </conditionalFormatting>
  <conditionalFormatting sqref="S537:BG537">
    <cfRule type="expression" dxfId="626" priority="2825">
      <formula>AND(S537&gt;0,S537&lt;0.5)</formula>
    </cfRule>
  </conditionalFormatting>
  <conditionalFormatting sqref="S539:BG539">
    <cfRule type="expression" dxfId="625" priority="3335">
      <formula>AND(S539&gt;0,S539&lt;0.5)</formula>
    </cfRule>
  </conditionalFormatting>
  <conditionalFormatting sqref="S571:BG571">
    <cfRule type="expression" dxfId="624" priority="3323">
      <formula>AND(S571&gt;0,S571&lt;0.5)</formula>
    </cfRule>
  </conditionalFormatting>
  <conditionalFormatting sqref="S607:BG613">
    <cfRule type="expression" dxfId="623" priority="559">
      <formula>AND(S607&gt;0,S607&lt;0.5)</formula>
    </cfRule>
  </conditionalFormatting>
  <conditionalFormatting sqref="S630:BG630">
    <cfRule type="expression" dxfId="622" priority="3291">
      <formula>AND(S630&gt;0,S630&lt;0.5)</formula>
    </cfRule>
  </conditionalFormatting>
  <conditionalFormatting sqref="S1119:BG1119 BG1122:BG1126 BG1128:BG1134">
    <cfRule type="expression" dxfId="621" priority="3213">
      <formula>AND(S1119&gt;0,S1119&lt;0.5)</formula>
    </cfRule>
  </conditionalFormatting>
  <conditionalFormatting sqref="S1245:BG1249">
    <cfRule type="expression" dxfId="620" priority="257">
      <formula>AND(S1245&gt;0,S1245&lt;0.5)</formula>
    </cfRule>
  </conditionalFormatting>
  <conditionalFormatting sqref="S91:BH91">
    <cfRule type="expression" dxfId="619" priority="2079">
      <formula>AND(S91&gt;0,S91&lt;0.5)</formula>
    </cfRule>
  </conditionalFormatting>
  <conditionalFormatting sqref="S105:BH105">
    <cfRule type="expression" dxfId="618" priority="298">
      <formula>AND(S105&gt;0,S105&lt;0.5)</formula>
    </cfRule>
  </conditionalFormatting>
  <conditionalFormatting sqref="S246:BH247">
    <cfRule type="expression" dxfId="617" priority="2410">
      <formula>AND(S246&gt;0,S246&lt;0.5)</formula>
    </cfRule>
  </conditionalFormatting>
  <conditionalFormatting sqref="S297:BH303">
    <cfRule type="expression" dxfId="616" priority="2249">
      <formula>AND(S297&gt;0,S297&lt;0.5)</formula>
    </cfRule>
  </conditionalFormatting>
  <conditionalFormatting sqref="S478:BH483">
    <cfRule type="expression" dxfId="615" priority="1950">
      <formula>AND(S478&gt;0,S478&lt;0.5)</formula>
    </cfRule>
  </conditionalFormatting>
  <conditionalFormatting sqref="S540:BH540">
    <cfRule type="expression" dxfId="614" priority="2802">
      <formula>AND(S540&gt;0,S540&lt;0.5)</formula>
    </cfRule>
  </conditionalFormatting>
  <conditionalFormatting sqref="S701:BH701">
    <cfRule type="expression" dxfId="613" priority="2748">
      <formula>AND(S701&gt;0,S701&lt;0.5)</formula>
    </cfRule>
  </conditionalFormatting>
  <conditionalFormatting sqref="S1143:BH1143">
    <cfRule type="expression" dxfId="612" priority="2518">
      <formula>AND(S1143&gt;0,S1143&lt;0.5)</formula>
    </cfRule>
  </conditionalFormatting>
  <conditionalFormatting sqref="S218:BI218 S219:BH219 S220:BI222">
    <cfRule type="expression" dxfId="611" priority="2032">
      <formula>AND(S218&gt;0,S218&lt;0.5)</formula>
    </cfRule>
  </conditionalFormatting>
  <conditionalFormatting sqref="S234:BI236">
    <cfRule type="expression" dxfId="610" priority="2028">
      <formula>AND(S234&gt;0,S234&lt;0.5)</formula>
    </cfRule>
  </conditionalFormatting>
  <conditionalFormatting sqref="S362:BI362">
    <cfRule type="expression" dxfId="609" priority="1523">
      <formula>AND(S362&gt;0,S362&lt;0.5)</formula>
    </cfRule>
  </conditionalFormatting>
  <conditionalFormatting sqref="S387:BI387">
    <cfRule type="expression" dxfId="608" priority="1978">
      <formula>AND(S387&gt;0,S387&lt;0.5)</formula>
    </cfRule>
  </conditionalFormatting>
  <conditionalFormatting sqref="S434:BI435">
    <cfRule type="expression" dxfId="607" priority="1515">
      <formula>AND(S434&gt;0,S434&lt;0.5)</formula>
    </cfRule>
  </conditionalFormatting>
  <conditionalFormatting sqref="S456:BI457">
    <cfRule type="expression" dxfId="606" priority="834">
      <formula>AND(S456&gt;0,S456&lt;0.5)</formula>
    </cfRule>
  </conditionalFormatting>
  <conditionalFormatting sqref="S466:BI466">
    <cfRule type="expression" dxfId="605" priority="640">
      <formula>AND(S466&gt;0,S466&lt;0.5)</formula>
    </cfRule>
  </conditionalFormatting>
  <conditionalFormatting sqref="S491:BI491">
    <cfRule type="expression" dxfId="604" priority="1939">
      <formula>AND(S491&gt;0,S491&lt;0.5)</formula>
    </cfRule>
  </conditionalFormatting>
  <conditionalFormatting sqref="S530:BI530">
    <cfRule type="expression" dxfId="603" priority="2048">
      <formula>AND(S530&gt;0,S530&lt;0.5)</formula>
    </cfRule>
  </conditionalFormatting>
  <conditionalFormatting sqref="S533:BI536">
    <cfRule type="expression" dxfId="602" priority="1929">
      <formula>AND(S533&gt;0,S533&lt;0.5)</formula>
    </cfRule>
  </conditionalFormatting>
  <conditionalFormatting sqref="S570:BI570">
    <cfRule type="expression" dxfId="601" priority="3513">
      <formula>AND(S570&gt;0,S570&lt;0.5)</formula>
    </cfRule>
  </conditionalFormatting>
  <conditionalFormatting sqref="S577:BI577">
    <cfRule type="expression" dxfId="600" priority="166">
      <formula>AND(S577&gt;0,S577&lt;0.5)</formula>
    </cfRule>
  </conditionalFormatting>
  <conditionalFormatting sqref="S631:BI631">
    <cfRule type="expression" dxfId="599" priority="454">
      <formula>AND(S631&gt;0,S631&lt;0.5)</formula>
    </cfRule>
  </conditionalFormatting>
  <conditionalFormatting sqref="S634:BI635">
    <cfRule type="expression" dxfId="598" priority="592">
      <formula>AND(S634&gt;0,S634&lt;0.5)</formula>
    </cfRule>
  </conditionalFormatting>
  <conditionalFormatting sqref="S703:BI706">
    <cfRule type="expression" dxfId="597" priority="2743">
      <formula>AND(S703&gt;0,S703&lt;0.5)</formula>
    </cfRule>
  </conditionalFormatting>
  <conditionalFormatting sqref="S186:BK186">
    <cfRule type="expression" dxfId="596" priority="1024">
      <formula>AND(S186&gt;0,S186&lt;0.5)</formula>
    </cfRule>
  </conditionalFormatting>
  <conditionalFormatting sqref="S233:BK233">
    <cfRule type="expression" dxfId="595" priority="253">
      <formula>AND(S233&gt;0,S233&lt;0.5)</formula>
    </cfRule>
  </conditionalFormatting>
  <conditionalFormatting sqref="S385:BK386">
    <cfRule type="expression" dxfId="594" priority="1108">
      <formula>AND(S385&gt;0,S385&lt;0.5)</formula>
    </cfRule>
  </conditionalFormatting>
  <conditionalFormatting sqref="S629:BK629">
    <cfRule type="expression" dxfId="593" priority="188">
      <formula>AND(S629&gt;0,S629&lt;0.5)</formula>
    </cfRule>
  </conditionalFormatting>
  <conditionalFormatting sqref="S1111:BK1118">
    <cfRule type="expression" dxfId="592" priority="154">
      <formula>AND(S1111&gt;0,S1111&lt;0.5)</formula>
    </cfRule>
  </conditionalFormatting>
  <conditionalFormatting sqref="S632:BN633">
    <cfRule type="expression" dxfId="591" priority="138">
      <formula>AND(S632&gt;0,S632&lt;0.5)</formula>
    </cfRule>
  </conditionalFormatting>
  <conditionalFormatting sqref="S1309:BO1309">
    <cfRule type="expression" dxfId="590" priority="61">
      <formula>AND(S1309&gt;0,S1309&lt;0.5)</formula>
    </cfRule>
  </conditionalFormatting>
  <conditionalFormatting sqref="S296:BQ296">
    <cfRule type="expression" dxfId="589" priority="787">
      <formula>AND(S296&gt;0,S296&lt;0.5)</formula>
    </cfRule>
  </conditionalFormatting>
  <conditionalFormatting sqref="S502:BQ502">
    <cfRule type="expression" dxfId="588" priority="764">
      <formula>AND(S502&gt;0,S502&lt;0.5)</formula>
    </cfRule>
  </conditionalFormatting>
  <conditionalFormatting sqref="S529:BQ529">
    <cfRule type="expression" dxfId="587" priority="757">
      <formula>AND(S529&gt;0,S529&lt;0.5)</formula>
    </cfRule>
  </conditionalFormatting>
  <conditionalFormatting sqref="S622:BQ624">
    <cfRule type="expression" dxfId="586" priority="34">
      <formula>AND(S622&gt;0,S622&lt;0.5)</formula>
    </cfRule>
  </conditionalFormatting>
  <conditionalFormatting sqref="S702:BQ702">
    <cfRule type="expression" dxfId="585" priority="751">
      <formula>AND(S702&gt;0,S702&lt;0.5)</formula>
    </cfRule>
  </conditionalFormatting>
  <conditionalFormatting sqref="S1144:BQ1144">
    <cfRule type="expression" dxfId="584" priority="202">
      <formula>AND(S1144&gt;0,S1144&lt;0.5)</formula>
    </cfRule>
  </conditionalFormatting>
  <conditionalFormatting sqref="T855:BE855">
    <cfRule type="expression" dxfId="583" priority="427">
      <formula>AND(T855&gt;0,T855&lt;0.5)</formula>
    </cfRule>
  </conditionalFormatting>
  <conditionalFormatting sqref="T438:BH438">
    <cfRule type="expression" dxfId="582" priority="1642">
      <formula>AND(T438&gt;0,T438&lt;0.5)</formula>
    </cfRule>
  </conditionalFormatting>
  <conditionalFormatting sqref="T231:BO232">
    <cfRule type="expression" dxfId="581" priority="435">
      <formula>AND(T231&gt;0,T231&lt;0.5)</formula>
    </cfRule>
  </conditionalFormatting>
  <conditionalFormatting sqref="W154:BJ154">
    <cfRule type="expression" dxfId="580" priority="1484">
      <formula>AND(W154&gt;0,W154&lt;0.5)</formula>
    </cfRule>
  </conditionalFormatting>
  <conditionalFormatting sqref="W153:BN153">
    <cfRule type="expression" dxfId="579" priority="227">
      <formula>AND(W153&gt;0,W153&lt;0.5)</formula>
    </cfRule>
  </conditionalFormatting>
  <conditionalFormatting sqref="W151:BO152 BM154:BN154">
    <cfRule type="expression" dxfId="578" priority="697">
      <formula>AND(W151&gt;0,W151&lt;0.5)</formula>
    </cfRule>
  </conditionalFormatting>
  <conditionalFormatting sqref="X107:X108">
    <cfRule type="expression" dxfId="577" priority="123">
      <formula>AND(X107&gt;0,X107&lt;0.5)</formula>
    </cfRule>
  </conditionalFormatting>
  <conditionalFormatting sqref="X109:AQ109">
    <cfRule type="expression" dxfId="576" priority="121">
      <formula>AND(X109&gt;0,X109&lt;0.5)</formula>
    </cfRule>
  </conditionalFormatting>
  <conditionalFormatting sqref="X104:BA104">
    <cfRule type="expression" dxfId="575" priority="375">
      <formula>AND(X104&gt;0,X104&lt;0.5)</formula>
    </cfRule>
  </conditionalFormatting>
  <conditionalFormatting sqref="X103:BQ103">
    <cfRule type="expression" dxfId="574" priority="367">
      <formula>AND(X103&gt;0,X103&lt;0.5)</formula>
    </cfRule>
  </conditionalFormatting>
  <conditionalFormatting sqref="Y72">
    <cfRule type="expression" dxfId="573" priority="2243">
      <formula>AND(Y72&gt;0,Y72&lt;0.5)</formula>
    </cfRule>
  </conditionalFormatting>
  <conditionalFormatting sqref="Y323:Y324">
    <cfRule type="expression" dxfId="572" priority="3723">
      <formula>AND(Y323&gt;0,Y323&lt;0.5)</formula>
    </cfRule>
  </conditionalFormatting>
  <conditionalFormatting sqref="Y106:BF108">
    <cfRule type="expression" dxfId="571" priority="376">
      <formula>AND(Y106&gt;0,Y106&lt;0.5)</formula>
    </cfRule>
  </conditionalFormatting>
  <conditionalFormatting sqref="Y325:BH328">
    <cfRule type="expression" dxfId="570" priority="593">
      <formula>AND(Y325&gt;0,Y325&lt;0.5)</formula>
    </cfRule>
  </conditionalFormatting>
  <conditionalFormatting sqref="Z419:AA419">
    <cfRule type="expression" dxfId="569" priority="196">
      <formula>AND(Z419&gt;0,Z419&lt;0.5)</formula>
    </cfRule>
  </conditionalFormatting>
  <conditionalFormatting sqref="Z323:BG323">
    <cfRule type="expression" dxfId="568" priority="2408">
      <formula>AND(Z323&gt;0,Z323&lt;0.5)</formula>
    </cfRule>
  </conditionalFormatting>
  <conditionalFormatting sqref="Z324:BH324">
    <cfRule type="expression" dxfId="567" priority="3044">
      <formula>AND(Z324&gt;0,Z324&lt;0.5)</formula>
    </cfRule>
  </conditionalFormatting>
  <conditionalFormatting sqref="AA72:AB72">
    <cfRule type="expression" dxfId="566" priority="2242">
      <formula>AND(AA72&gt;0,AA72&lt;0.5)</formula>
    </cfRule>
  </conditionalFormatting>
  <conditionalFormatting sqref="AB70:BL70">
    <cfRule type="expression" dxfId="565" priority="504">
      <formula>AND(AB70&gt;0,AB70&lt;0.5)</formula>
    </cfRule>
  </conditionalFormatting>
  <conditionalFormatting sqref="AE918:BQ918">
    <cfRule type="expression" dxfId="564" priority="434">
      <formula>AND(AE918&gt;0,AE918&lt;0.5)</formula>
    </cfRule>
  </conditionalFormatting>
  <conditionalFormatting sqref="AH93:BF93">
    <cfRule type="expression" dxfId="563" priority="205">
      <formula>AND(AH93&gt;0,AH93&lt;0.5)</formula>
    </cfRule>
  </conditionalFormatting>
  <conditionalFormatting sqref="AI157:AJ158">
    <cfRule type="expression" dxfId="562" priority="3371">
      <formula>AND(AI157&gt;0,AI157&lt;0.5)</formula>
    </cfRule>
  </conditionalFormatting>
  <conditionalFormatting sqref="AI559:BG560 AI561:BN561">
    <cfRule type="expression" dxfId="561" priority="3127">
      <formula>AND(AI559&gt;0,AI559&lt;0.5)</formula>
    </cfRule>
  </conditionalFormatting>
  <conditionalFormatting sqref="AI123:BI124">
    <cfRule type="expression" dxfId="560" priority="356">
      <formula>AND(AI123&gt;0,AI123&lt;0.5)</formula>
    </cfRule>
  </conditionalFormatting>
  <conditionalFormatting sqref="AI1136:BK1136">
    <cfRule type="expression" dxfId="559" priority="204">
      <formula>AND(AI1136&gt;0,AI1136&lt;0.5)</formula>
    </cfRule>
  </conditionalFormatting>
  <conditionalFormatting sqref="AI122:BQ122">
    <cfRule type="expression" dxfId="558" priority="362">
      <formula>AND(AI122&gt;0,AI122&lt;0.5)</formula>
    </cfRule>
  </conditionalFormatting>
  <conditionalFormatting sqref="AI1135:BQ1135 BL1136:BM1137">
    <cfRule type="expression" dxfId="557" priority="719">
      <formula>AND(AI1135&gt;0,AI1135&lt;0.5)</formula>
    </cfRule>
  </conditionalFormatting>
  <conditionalFormatting sqref="AJ544:AJ547">
    <cfRule type="expression" dxfId="556" priority="1927">
      <formula>AND(AJ544&gt;0,AJ544&lt;0.5)</formula>
    </cfRule>
  </conditionalFormatting>
  <conditionalFormatting sqref="AJ188:AM188">
    <cfRule type="expression" dxfId="555" priority="3142">
      <formula>AND(AJ188&gt;0,AJ188&lt;0.5)</formula>
    </cfRule>
  </conditionalFormatting>
  <conditionalFormatting sqref="AJ189:BF189">
    <cfRule type="expression" dxfId="554" priority="431">
      <formula>AND(AJ189&gt;0,AJ189&lt;0.5)</formula>
    </cfRule>
  </conditionalFormatting>
  <conditionalFormatting sqref="AJ190:BK190">
    <cfRule type="expression" dxfId="553" priority="430">
      <formula>AND(AJ190&gt;0,AJ190&lt;0.5)</formula>
    </cfRule>
  </conditionalFormatting>
  <conditionalFormatting sqref="AJ1106:BM1106">
    <cfRule type="expression" dxfId="552" priority="314">
      <formula>AND(AJ1106&gt;0,AJ1106&lt;0.5)</formula>
    </cfRule>
  </conditionalFormatting>
  <conditionalFormatting sqref="AK193:AM193">
    <cfRule type="expression" dxfId="551" priority="313">
      <formula>AND(AK193&gt;0,AK193&lt;0.5)</formula>
    </cfRule>
  </conditionalFormatting>
  <conditionalFormatting sqref="AK158:AP158">
    <cfRule type="expression" dxfId="550" priority="605">
      <formula>AND(AK158&gt;0,AK158&lt;0.5)</formula>
    </cfRule>
  </conditionalFormatting>
  <conditionalFormatting sqref="AK544:AQ546">
    <cfRule type="expression" dxfId="549" priority="1926">
      <formula>AND(AK544&gt;0,AK544&lt;0.5)</formula>
    </cfRule>
  </conditionalFormatting>
  <conditionalFormatting sqref="AK547:BG547">
    <cfRule type="expression" dxfId="548" priority="2821">
      <formula>AND(AK547&gt;0,AK547&lt;0.5)</formula>
    </cfRule>
  </conditionalFormatting>
  <conditionalFormatting sqref="AK827:BI828">
    <cfRule type="expression" dxfId="547" priority="853">
      <formula>AND(AK827&gt;0,AK827&lt;0.5)</formula>
    </cfRule>
  </conditionalFormatting>
  <conditionalFormatting sqref="AL126:AO129 AT126:BI129">
    <cfRule type="expression" dxfId="546" priority="353">
      <formula>AND(AL126&gt;0,AL126&lt;0.5)</formula>
    </cfRule>
  </conditionalFormatting>
  <conditionalFormatting sqref="AL125:BI125">
    <cfRule type="expression" dxfId="545" priority="357">
      <formula>AND(AL125&gt;0,AL125&lt;0.5)</formula>
    </cfRule>
  </conditionalFormatting>
  <conditionalFormatting sqref="AN489:AU489">
    <cfRule type="expression" dxfId="544" priority="1944">
      <formula>AND(AN489&gt;0,AN489&lt;0.5)</formula>
    </cfRule>
  </conditionalFormatting>
  <conditionalFormatting sqref="AN285:BQ286">
    <cfRule type="expression" dxfId="543" priority="47">
      <formula>AND(AN285&gt;0,AN285&lt;0.5)</formula>
    </cfRule>
  </conditionalFormatting>
  <conditionalFormatting sqref="AP127:AS129">
    <cfRule type="expression" dxfId="542" priority="352">
      <formula>AND(AP127&gt;0,AP127&lt;0.5)</formula>
    </cfRule>
  </conditionalFormatting>
  <conditionalFormatting sqref="AQ158:BF159">
    <cfRule type="expression" dxfId="541" priority="578">
      <formula>AND(AQ158&gt;0,AQ158&lt;0.5)</formula>
    </cfRule>
  </conditionalFormatting>
  <conditionalFormatting sqref="AR544:AV544">
    <cfRule type="expression" dxfId="540" priority="3820">
      <formula>AND(AR544&gt;0,AR544&lt;0.5)</formula>
    </cfRule>
  </conditionalFormatting>
  <conditionalFormatting sqref="AR177:BF178">
    <cfRule type="expression" dxfId="539" priority="276">
      <formula>AND(AR177&gt;0,AR177&lt;0.5)</formula>
    </cfRule>
  </conditionalFormatting>
  <conditionalFormatting sqref="AR579:BF581">
    <cfRule type="expression" dxfId="538" priority="164">
      <formula>AND(AR579&gt;0,AR579&lt;0.5)</formula>
    </cfRule>
  </conditionalFormatting>
  <conditionalFormatting sqref="AR238:BM238">
    <cfRule type="expression" dxfId="537" priority="318">
      <formula>AND(AR238&gt;0,AR238&lt;0.5)</formula>
    </cfRule>
  </conditionalFormatting>
  <conditionalFormatting sqref="AS74:BF74">
    <cfRule type="expression" dxfId="536" priority="565">
      <formula>AND(AS74&gt;0,AS74&lt;0.5)</formula>
    </cfRule>
  </conditionalFormatting>
  <conditionalFormatting sqref="AS109:BF109">
    <cfRule type="expression" dxfId="535" priority="363">
      <formula>AND(AS109&gt;0,AS109&lt;0.5)</formula>
    </cfRule>
  </conditionalFormatting>
  <conditionalFormatting sqref="AT115:AY115">
    <cfRule type="expression" dxfId="534" priority="322">
      <formula>AND(AT115&gt;0,AT115&lt;0.5)</formula>
    </cfRule>
  </conditionalFormatting>
  <conditionalFormatting sqref="AV487:BH489">
    <cfRule type="expression" dxfId="533" priority="451">
      <formula>AND(AV487&gt;0,AV487&lt;0.5)</formula>
    </cfRule>
  </conditionalFormatting>
  <conditionalFormatting sqref="AW648:BK648">
    <cfRule type="expression" dxfId="532" priority="1155">
      <formula>AND(AW648&gt;0,AW648&lt;0.5)</formula>
    </cfRule>
  </conditionalFormatting>
  <conditionalFormatting sqref="AW1238:BQ1238">
    <cfRule type="expression" dxfId="531" priority="64">
      <formula>AND(AW1238&gt;0,AW1238&lt;0.5)</formula>
    </cfRule>
  </conditionalFormatting>
  <conditionalFormatting sqref="AX72:BA73">
    <cfRule type="expression" dxfId="530" priority="1637">
      <formula>AND(AX72&gt;0,AX72&lt;0.5)</formula>
    </cfRule>
  </conditionalFormatting>
  <conditionalFormatting sqref="AX114:BH114">
    <cfRule type="expression" dxfId="529" priority="394">
      <formula>AND(AX114&gt;0,AX114&lt;0.5)</formula>
    </cfRule>
  </conditionalFormatting>
  <conditionalFormatting sqref="AX119:BH119">
    <cfRule type="expression" dxfId="528" priority="378">
      <formula>AND(AX119&gt;0,AX119&lt;0.5)</formula>
    </cfRule>
  </conditionalFormatting>
  <conditionalFormatting sqref="AX541:BK541">
    <cfRule type="expression" dxfId="527" priority="1160">
      <formula>AND(AX541&gt;0,AX541&lt;0.5)</formula>
    </cfRule>
  </conditionalFormatting>
  <conditionalFormatting sqref="AY694:BF695">
    <cfRule type="expression" dxfId="526" priority="307">
      <formula>AND(AY694&gt;0,AY694&lt;0.5)</formula>
    </cfRule>
  </conditionalFormatting>
  <conditionalFormatting sqref="AY693:BK693">
    <cfRule type="expression" dxfId="525" priority="1205">
      <formula>AND(AY693&gt;0,AY693&lt;0.5)</formula>
    </cfRule>
  </conditionalFormatting>
  <conditionalFormatting sqref="AY1264:BP1264">
    <cfRule type="expression" dxfId="524" priority="245">
      <formula>AND(AY1264&gt;0,AY1264&lt;0.5)</formula>
    </cfRule>
  </conditionalFormatting>
  <conditionalFormatting sqref="AZ433:BO433">
    <cfRule type="expression" dxfId="523" priority="212">
      <formula>AND(AZ433&gt;0,AZ433&lt;0.5)</formula>
    </cfRule>
  </conditionalFormatting>
  <conditionalFormatting sqref="BA925:BQ925">
    <cfRule type="expression" dxfId="522" priority="311">
      <formula>AND(BA925&gt;0,BA925&lt;0.5)</formula>
    </cfRule>
  </conditionalFormatting>
  <conditionalFormatting sqref="BB1179">
    <cfRule type="expression" dxfId="521" priority="259">
      <formula>AND(BB1179&gt;0,BB1179&lt;0.5)</formula>
    </cfRule>
  </conditionalFormatting>
  <conditionalFormatting sqref="BB115:BF115">
    <cfRule type="expression" dxfId="520" priority="320">
      <formula>AND(BB115&gt;0,BB115&lt;0.5)</formula>
    </cfRule>
  </conditionalFormatting>
  <conditionalFormatting sqref="BB72:BG72">
    <cfRule type="expression" dxfId="519" priority="1636">
      <formula>AND(BB72&gt;0,BB72&lt;0.5)</formula>
    </cfRule>
  </conditionalFormatting>
  <conditionalFormatting sqref="BB493:BG493">
    <cfRule type="expression" dxfId="518" priority="589">
      <formula>AND(BB493&gt;0,BB493&lt;0.5)</formula>
    </cfRule>
  </conditionalFormatting>
  <conditionalFormatting sqref="BB73:BH73">
    <cfRule type="expression" dxfId="517" priority="2389">
      <formula>AND(BB73&gt;0,BB73&lt;0.5)</formula>
    </cfRule>
  </conditionalFormatting>
  <conditionalFormatting sqref="BC104:BH104">
    <cfRule type="expression" dxfId="516" priority="370">
      <formula>AND(BC104&gt;0,BC104&lt;0.5)</formula>
    </cfRule>
  </conditionalFormatting>
  <conditionalFormatting sqref="BD343:BF345">
    <cfRule type="expression" dxfId="515" priority="1985">
      <formula>AND(BD343&gt;0,BD343&lt;0.5)</formula>
    </cfRule>
  </conditionalFormatting>
  <conditionalFormatting sqref="BD1079:BF1080">
    <cfRule type="expression" dxfId="514" priority="811">
      <formula>AND(BD1079&gt;0,BD1079&lt;0.5)</formula>
    </cfRule>
  </conditionalFormatting>
  <conditionalFormatting sqref="BE1071:BI1071">
    <cfRule type="expression" dxfId="513" priority="60">
      <formula>AND(BE1071&gt;0,BE1071&lt;0.5)</formula>
    </cfRule>
  </conditionalFormatting>
  <conditionalFormatting sqref="BF861:BF871">
    <cfRule type="expression" dxfId="512" priority="852">
      <formula>AND(BF861&gt;0,BF861&lt;0.5)</formula>
    </cfRule>
  </conditionalFormatting>
  <conditionalFormatting sqref="BF1004:BF1012">
    <cfRule type="expression" dxfId="511" priority="922">
      <formula>AND(BF1004&gt;0,BF1004&lt;0.5)</formula>
    </cfRule>
  </conditionalFormatting>
  <conditionalFormatting sqref="BF1193:BF1217">
    <cfRule type="expression" dxfId="510" priority="871">
      <formula>AND(BF1193&gt;0,BF1193&lt;0.5)</formula>
    </cfRule>
  </conditionalFormatting>
  <conditionalFormatting sqref="BF1252:BF1263">
    <cfRule type="expression" dxfId="509" priority="891">
      <formula>AND(BF1252&gt;0,BF1252&lt;0.5)</formula>
    </cfRule>
  </conditionalFormatting>
  <conditionalFormatting sqref="BF1300:BF1308">
    <cfRule type="expression" dxfId="508" priority="887">
      <formula>AND(BF1300&gt;0,BF1300&lt;0.5)</formula>
    </cfRule>
  </conditionalFormatting>
  <conditionalFormatting sqref="BF1310:BF1312">
    <cfRule type="expression" dxfId="507" priority="886">
      <formula>AND(BF1310&gt;0,BF1310&lt;0.5)</formula>
    </cfRule>
  </conditionalFormatting>
  <conditionalFormatting sqref="BF775:BG775">
    <cfRule type="expression" dxfId="506" priority="943">
      <formula>AND(BF775&gt;0,BF775&lt;0.5)</formula>
    </cfRule>
  </conditionalFormatting>
  <conditionalFormatting sqref="BF831:BG842">
    <cfRule type="expression" dxfId="505" priority="906">
      <formula>AND(BF831&gt;0,BF831&lt;0.5)</formula>
    </cfRule>
  </conditionalFormatting>
  <conditionalFormatting sqref="BF1023:BG1023">
    <cfRule type="expression" dxfId="504" priority="534">
      <formula>AND(BF1023&gt;0,BF1023&lt;0.5)</formula>
    </cfRule>
  </conditionalFormatting>
  <conditionalFormatting sqref="BF1044:BG1045">
    <cfRule type="expression" dxfId="503" priority="571">
      <formula>AND(BF1044&gt;0,BF1044&lt;0.5)</formula>
    </cfRule>
  </conditionalFormatting>
  <conditionalFormatting sqref="BF1145:BG1154">
    <cfRule type="expression" dxfId="502" priority="900">
      <formula>AND(BF1145&gt;0,BF1145&lt;0.5)</formula>
    </cfRule>
  </conditionalFormatting>
  <conditionalFormatting sqref="BF1222:BH1227">
    <cfRule type="expression" dxfId="501" priority="2434">
      <formula>AND(BF1222&gt;0,BF1222&lt;0.5)</formula>
    </cfRule>
  </conditionalFormatting>
  <conditionalFormatting sqref="BF855:BI857">
    <cfRule type="expression" dxfId="500" priority="1745">
      <formula>AND(BF855&gt;0,BF855&lt;0.5)</formula>
    </cfRule>
  </conditionalFormatting>
  <conditionalFormatting sqref="BF919:BI923">
    <cfRule type="expression" dxfId="499" priority="1557">
      <formula>AND(BF919&gt;0,BF919&lt;0.5)</formula>
    </cfRule>
  </conditionalFormatting>
  <conditionalFormatting sqref="BF774:BQ774">
    <cfRule type="expression" dxfId="498" priority="874">
      <formula>AND(BF774&gt;0,BF774&lt;0.5)</formula>
    </cfRule>
  </conditionalFormatting>
  <conditionalFormatting sqref="BF830:BQ830">
    <cfRule type="expression" dxfId="497" priority="614">
      <formula>AND(BF830&gt;0,BF830&lt;0.5)</formula>
    </cfRule>
  </conditionalFormatting>
  <conditionalFormatting sqref="BG74:BG75 D77:BI80 D81:BQ81 D82:BI82 D90:BK90 AH92:BQ92 S92:AG93 S94:BA94 BC94:BF94 BA121 N122:AH124 N125:O130 BB139:BF139 BF149:BG150 N150:BE150 BG157:BG159 D159:AP159 D162:BH162 D164:BG164 BG176:BK180 S187:BF187 AR188:BF188 S188:AI190 D191:BK192 D197:BG199 BL216 N218:R223 D218:M225 D226:BF226 D227:R239 S231:S233 AU237:BK237 S239:W239 BL248 D256:AQ256 AS256:BG256 D257:O257 BL257 D262:BF262 BG262:BG266 D263:M267 D271:M272 S272:BG273 D273:R273 D274:BH277 D285:AM288 AN287:BI287 AN288:BH288 D291:M304 N292:R304 BL295 S304:T304 BL304 BI313:BI315 D332:D333 D340:BQ340 D341:M343 D350:M357 N353:BG357 S363:BG363 S366:BG366 BL366:BL368 S367:BK367 BH368:BK368 S368:BG370 S377:BG378 D377:R387 S379:BH379 S380:BJ380 S383:AE383 AG383:BI383 S384:AA384 D388:BH391 D403:BQ403 D410:BN410 D423:AC423 AG423:BI423 D424:BI424 D426:BH426 D427:BI428 T439:BF440 S441:BF443 D441:R444 S444:AZ444 BL444 D446:AO446 AS446:AT446 AV446 D453:W453 D467:W467 BL467 D468:BO468 BH469:BI471 S477:T477 D477:R484 S484:BM484 D490:BM490 D491:R494 BH492:BI493 BL494 D498:R504 BJ499 BI500:BK500 D505:BG506 D512:BI517 D518:BJ518 S528:AZ528 N528:R531 D528:M543 N533:R537 N539:R543 AX542:BF542 AW543:BF544 AR545:BF546 D575:BG575 S578:BN578 D599:M607 N604:R607 D629:R635 S642:BG642 S643:BQ643 S644:AY644 S645:BG646 S647:BQ647 AW649:BF649 S651:BG653 D675:BK675 D688:BG688 D689:BI692 D693:AX695 D696:BF697 D698:BQ698 D701:R706 D707:BI708 D709:BH709 BK709:BN709 D710:BI710 Y712:BO712 Y713:BF713 BG713:BG716 D717:BG719 BF734:BF757 S751:AT751 D754:BE757 BG754:BI757 BF759:BF773 BG767:BI768 BG769:BP769 BG770:BI772 BG773 S773:BE775 S776:BO776 BG782:BJ782 BG796:BI797 BG798:BH798 BG799:BG800 BG801:BH802 BG807:BH808 N807:R809 D807:M810 S809:AI809 AM809:BE809 D811:BE811 S818:BM818 AN819:BM819 S819:AM820 AN820:BE820 S821:BE821 BG824:BG825 AK824:BF826 BG826:BI826 BL828 D829:BQ829 S843:BK844 S845:BA845 BF846:BF848 T854:BO854 D856:BE857 BF859:BI860 BL861 BF873:BF896 BG892:BI895 N896:BE896 BG896 BL896 D896:M903 BF915:BF917 AE917:BE917 N919:BE921 D922:BE923 BB924:BN924 D924:AZ926 BB926:BN926 D933:BQ933 BI934:BI939 BG940:BI940 BF942:BF966 BG966:BH966 BG968:BG971 BG972:BI974 BG975:BG976 BG977:BI978 BI985:BI987 BG985:BG988 D989:BQ989 D991:BK992 N996:BQ996 BG997:BK997 N997:BE999 BF997:BF1001 D1000:BE1000 BG1000:BH1001 N1001:BE1001 N1002:BQ1002 BF1003:BH1003 BG1009:BI1011 BG1012 D1013:BQ1013 BF1014:BF1022 BG1020:BG1022 BF1024:BF1043 D1048:BG1052 BG1055:BG1058 BG1059:BI1059 D1066:BQ1066 BG1073:BH1073 BG1075:BH1078 BL1078 BG1079:BG1081 D1079:BC1083 BD1081:BE1083 BF1081:BF1090 BF1092:BF1105 BG1099:BH1099 S1102:BQ1102 D1103:BE1105 BG1105:BP1105 D1106:AG1106 BG1107 S1107:BF1109 S1110:BQ1110 BF1122:BF1134 BG1127:BI1127 D1143:R1146 D1155:BQ1155 BG1156 D1163:BH1165 BG1166 BL1166 D1166:M1176 N1173:BE1176 BF1173:BG1177 BG1180:BG1184 BF1180:BF1191 S1191:BE1191 S1192:BQ1192 S1193:BE1200 D1219:BQ1219 D1220:V1220 BG1221 BF1229:BF1233 D1231:D1233 E1232:BE1233 D1234:BN1234 E1235:BE1235 BF1235:BF1243 D1235:D1259 E1236:R1249 S1244:BQ1244 E1250:BQ1250 E1252:BE1252 N1259:BE1260 D1299:BK1299 D1300:AW1300 AY1300:BF1300 S1307:BE1308 BG1307:BI1308 BL1312:BN1312">
    <cfRule type="expression" dxfId="496" priority="3825">
      <formula>AND(D74&gt;0,D74&lt;0.5)</formula>
    </cfRule>
  </conditionalFormatting>
  <conditionalFormatting sqref="BG93:BG100 S181:BG185">
    <cfRule type="expression" dxfId="495" priority="3690">
      <formula>AND(S93&gt;0,S93&lt;0.5)</formula>
    </cfRule>
  </conditionalFormatting>
  <conditionalFormatting sqref="BG106:BG109">
    <cfRule type="expression" dxfId="494" priority="346">
      <formula>AND(BG106&gt;0,BG106&lt;0.5)</formula>
    </cfRule>
  </conditionalFormatting>
  <conditionalFormatting sqref="BG116 BC116:BF117 BC118:BG118">
    <cfRule type="expression" dxfId="493" priority="403">
      <formula>AND(BC116&gt;0,BC116&lt;0.5)</formula>
    </cfRule>
  </conditionalFormatting>
  <conditionalFormatting sqref="BG130:BG134">
    <cfRule type="expression" dxfId="492" priority="351">
      <formula>AND(BG130&gt;0,BG130&lt;0.5)</formula>
    </cfRule>
  </conditionalFormatting>
  <conditionalFormatting sqref="BG139:BG143">
    <cfRule type="expression" dxfId="491" priority="2949">
      <formula>AND(BG139&gt;0,BG139&lt;0.5)</formula>
    </cfRule>
  </conditionalFormatting>
  <conditionalFormatting sqref="BG224:BG230">
    <cfRule type="expression" dxfId="490" priority="2819">
      <formula>AND(BG224&gt;0,BG224&lt;0.5)</formula>
    </cfRule>
  </conditionalFormatting>
  <conditionalFormatting sqref="BG598:BG606">
    <cfRule type="expression" dxfId="489" priority="2689">
      <formula>AND(BG598&gt;0,BG598&lt;0.5)</formula>
    </cfRule>
  </conditionalFormatting>
  <conditionalFormatting sqref="BG625:BG628">
    <cfRule type="expression" dxfId="488" priority="1282">
      <formula>AND(BG625&gt;0,BG625&lt;0.5)</formula>
    </cfRule>
  </conditionalFormatting>
  <conditionalFormatting sqref="BG649:BG650">
    <cfRule type="expression" dxfId="487" priority="3279">
      <formula>AND(BG649&gt;0,BG649&lt;0.5)</formula>
    </cfRule>
  </conditionalFormatting>
  <conditionalFormatting sqref="BG676:BG680">
    <cfRule type="expression" dxfId="486" priority="3282">
      <formula>AND(BG676&gt;0,BG676&lt;0.5)</formula>
    </cfRule>
  </conditionalFormatting>
  <conditionalFormatting sqref="BG734:BG738">
    <cfRule type="expression" dxfId="485" priority="2738">
      <formula>AND(BG734&gt;0,BG734&lt;0.5)</formula>
    </cfRule>
  </conditionalFormatting>
  <conditionalFormatting sqref="BG740:BG750">
    <cfRule type="expression" dxfId="484" priority="2737">
      <formula>AND(BG740&gt;0,BG740&lt;0.5)</formula>
    </cfRule>
  </conditionalFormatting>
  <conditionalFormatting sqref="BG752:BG753 BG777:BG781 BG804:BG806 BF820:BG822">
    <cfRule type="expression" dxfId="483" priority="3273">
      <formula>AND(BF752&gt;0,BF752&lt;0.5)</formula>
    </cfRule>
  </conditionalFormatting>
  <conditionalFormatting sqref="BG759:BG766">
    <cfRule type="expression" dxfId="482" priority="3266">
      <formula>AND(BG759&gt;0,BG759&lt;0.5)</formula>
    </cfRule>
  </conditionalFormatting>
  <conditionalFormatting sqref="BG861:BG867 BG870:BG871">
    <cfRule type="expression" dxfId="481" priority="3249">
      <formula>AND(BG861&gt;0,BG861&lt;0.5)</formula>
    </cfRule>
  </conditionalFormatting>
  <conditionalFormatting sqref="BG873:BG891">
    <cfRule type="expression" dxfId="480" priority="3242">
      <formula>AND(BG873&gt;0,BG873&lt;0.5)</formula>
    </cfRule>
  </conditionalFormatting>
  <conditionalFormatting sqref="BG908:BG917">
    <cfRule type="expression" dxfId="479" priority="3248">
      <formula>AND(BG908&gt;0,BG908&lt;0.5)</formula>
    </cfRule>
  </conditionalFormatting>
  <conditionalFormatting sqref="BG934:BG937">
    <cfRule type="expression" dxfId="478" priority="3493">
      <formula>AND(BG934&gt;0,BG934&lt;0.5)</formula>
    </cfRule>
  </conditionalFormatting>
  <conditionalFormatting sqref="BG942:BG965">
    <cfRule type="expression" dxfId="477" priority="3232">
      <formula>AND(BG942&gt;0,BG942&lt;0.5)</formula>
    </cfRule>
  </conditionalFormatting>
  <conditionalFormatting sqref="BG979:BG982">
    <cfRule type="expression" dxfId="476" priority="3226">
      <formula>AND(BG979&gt;0,BG979&lt;0.5)</formula>
    </cfRule>
  </conditionalFormatting>
  <conditionalFormatting sqref="BG998:BG999">
    <cfRule type="expression" dxfId="475" priority="3230">
      <formula>AND(BG998&gt;0,BG998&lt;0.5)</formula>
    </cfRule>
  </conditionalFormatting>
  <conditionalFormatting sqref="BG1004:BG1008">
    <cfRule type="expression" dxfId="474" priority="3223">
      <formula>AND(BG1004&gt;0,BG1004&lt;0.5)</formula>
    </cfRule>
  </conditionalFormatting>
  <conditionalFormatting sqref="BG1024:BG1041">
    <cfRule type="expression" dxfId="473" priority="2697">
      <formula>AND(BG1024&gt;0,BG1024&lt;0.5)</formula>
    </cfRule>
  </conditionalFormatting>
  <conditionalFormatting sqref="BG1060:BG1065">
    <cfRule type="expression" dxfId="472" priority="3394">
      <formula>AND(BG1060&gt;0,BG1060&lt;0.5)</formula>
    </cfRule>
  </conditionalFormatting>
  <conditionalFormatting sqref="BG1067">
    <cfRule type="expression" dxfId="471" priority="3104">
      <formula>AND(BG1067&gt;0,BG1067&lt;0.5)</formula>
    </cfRule>
  </conditionalFormatting>
  <conditionalFormatting sqref="BG1092:BG1098">
    <cfRule type="expression" dxfId="470" priority="3103">
      <formula>AND(BG1092&gt;0,BG1092&lt;0.5)</formula>
    </cfRule>
  </conditionalFormatting>
  <conditionalFormatting sqref="BG1101">
    <cfRule type="expression" dxfId="469" priority="279">
      <formula>AND(BG1101&gt;0,BG1101&lt;0.5)</formula>
    </cfRule>
  </conditionalFormatting>
  <conditionalFormatting sqref="BG1103:BG1104">
    <cfRule type="expression" dxfId="468" priority="2664">
      <formula>AND(BG1103&gt;0,BG1103&lt;0.5)</formula>
    </cfRule>
  </conditionalFormatting>
  <conditionalFormatting sqref="BG1160:BG1162">
    <cfRule type="expression" dxfId="467" priority="3204">
      <formula>AND(BG1160&gt;0,BG1160&lt;0.5)</formula>
    </cfRule>
  </conditionalFormatting>
  <conditionalFormatting sqref="BG1168:BG1171">
    <cfRule type="expression" dxfId="466" priority="260">
      <formula>AND(BG1168&gt;0,BG1168&lt;0.5)</formula>
    </cfRule>
  </conditionalFormatting>
  <conditionalFormatting sqref="BG1191">
    <cfRule type="expression" dxfId="465" priority="3194">
      <formula>AND(BG1191&gt;0,BG1191&lt;0.5)</formula>
    </cfRule>
  </conditionalFormatting>
  <conditionalFormatting sqref="BG1193:BG1200">
    <cfRule type="expression" dxfId="464" priority="2717">
      <formula>AND(BG1193&gt;0,BG1193&lt;0.5)</formula>
    </cfRule>
  </conditionalFormatting>
  <conditionalFormatting sqref="BG1202:BG1218">
    <cfRule type="expression" dxfId="463" priority="3185">
      <formula>AND(BG1202&gt;0,BG1202&lt;0.5)</formula>
    </cfRule>
  </conditionalFormatting>
  <conditionalFormatting sqref="BG1228:BG1231">
    <cfRule type="expression" dxfId="462" priority="2433">
      <formula>AND(BG1228&gt;0,BG1228&lt;0.5)</formula>
    </cfRule>
  </conditionalFormatting>
  <conditionalFormatting sqref="BG1235:BG1237 BG1258:BG1263">
    <cfRule type="expression" dxfId="461" priority="3491">
      <formula>AND(BG1235&gt;0,BG1235&lt;0.5)</formula>
    </cfRule>
  </conditionalFormatting>
  <conditionalFormatting sqref="BG1240:BG1243">
    <cfRule type="expression" dxfId="460" priority="3184">
      <formula>AND(BG1240&gt;0,BG1240&lt;0.5)</formula>
    </cfRule>
  </conditionalFormatting>
  <conditionalFormatting sqref="BG1273:BG1274 BG1276:BG1279">
    <cfRule type="expression" dxfId="459" priority="2712">
      <formula>AND(BG1273&gt;0,BG1273&lt;0.5)</formula>
    </cfRule>
  </conditionalFormatting>
  <conditionalFormatting sqref="BG1281:BG1298">
    <cfRule type="expression" dxfId="458" priority="1250">
      <formula>AND(BG1281&gt;0,BG1281&lt;0.5)</formula>
    </cfRule>
  </conditionalFormatting>
  <conditionalFormatting sqref="BG1300:BG1306">
    <cfRule type="expression" dxfId="457" priority="2673">
      <formula>AND(BG1300&gt;0,BG1300&lt;0.5)</formula>
    </cfRule>
  </conditionalFormatting>
  <conditionalFormatting sqref="BG1311:BG1312">
    <cfRule type="expression" dxfId="456" priority="3170">
      <formula>AND(BG1311&gt;0,BG1311&lt;0.5)</formula>
    </cfRule>
  </conditionalFormatting>
  <conditionalFormatting sqref="BG439:BH443">
    <cfRule type="expression" dxfId="455" priority="529">
      <formula>AND(BG439&gt;0,BG439&lt;0.5)</formula>
    </cfRule>
  </conditionalFormatting>
  <conditionalFormatting sqref="BG542:BH546">
    <cfRule type="expression" dxfId="454" priority="310">
      <formula>AND(BG542&gt;0,BG542&lt;0.5)</formula>
    </cfRule>
  </conditionalFormatting>
  <conditionalFormatting sqref="BG636:BH641">
    <cfRule type="expression" dxfId="453" priority="1749">
      <formula>AND(BG636&gt;0,BG636&lt;0.5)</formula>
    </cfRule>
  </conditionalFormatting>
  <conditionalFormatting sqref="BG846:BH850">
    <cfRule type="expression" dxfId="452" priority="2595">
      <formula>AND(BG846&gt;0,BG846&lt;0.5)</formula>
    </cfRule>
  </conditionalFormatting>
  <conditionalFormatting sqref="BG938:BH939">
    <cfRule type="expression" dxfId="451" priority="2573">
      <formula>AND(BG938&gt;0,BG938&lt;0.5)</formula>
    </cfRule>
  </conditionalFormatting>
  <conditionalFormatting sqref="BG1042:BH1043">
    <cfRule type="expression" dxfId="450" priority="2546">
      <formula>AND(BG1042&gt;0,BG1042&lt;0.5)</formula>
    </cfRule>
  </conditionalFormatting>
  <conditionalFormatting sqref="BG1252:BH1257">
    <cfRule type="expression" dxfId="449" priority="278">
      <formula>AND(BG1252&gt;0,BG1252&lt;0.5)</formula>
    </cfRule>
  </conditionalFormatting>
  <conditionalFormatting sqref="BG341:BI349">
    <cfRule type="expression" dxfId="448" priority="1714">
      <formula>AND(BG341&gt;0,BG341&lt;0.5)</formula>
    </cfRule>
  </conditionalFormatting>
  <conditionalFormatting sqref="BG579:BI582">
    <cfRule type="expression" dxfId="447" priority="2285">
      <formula>AND(BG579&gt;0,BG579&lt;0.5)</formula>
    </cfRule>
  </conditionalFormatting>
  <conditionalFormatting sqref="BG682:BI687">
    <cfRule type="expression" dxfId="446" priority="241">
      <formula>AND(BG682&gt;0,BG682&lt;0.5)</formula>
    </cfRule>
  </conditionalFormatting>
  <conditionalFormatting sqref="BG868:BI869">
    <cfRule type="expression" dxfId="445" priority="2148">
      <formula>AND(BG868&gt;0,BG868&lt;0.5)</formula>
    </cfRule>
  </conditionalFormatting>
  <conditionalFormatting sqref="BG928:BI928 D930:BI932">
    <cfRule type="expression" dxfId="444" priority="2221">
      <formula>AND(D928&gt;0,D928&lt;0.5)</formula>
    </cfRule>
  </conditionalFormatting>
  <conditionalFormatting sqref="BG1014:BI1019">
    <cfRule type="expression" dxfId="443" priority="1802">
      <formula>AND(BG1014&gt;0,BG1014&lt;0.5)</formula>
    </cfRule>
  </conditionalFormatting>
  <conditionalFormatting sqref="BG1068:BI1070 BG1072:BI1072">
    <cfRule type="expression" dxfId="442" priority="2538">
      <formula>AND(BG1068&gt;0,BG1068&lt;0.5)</formula>
    </cfRule>
  </conditionalFormatting>
  <conditionalFormatting sqref="BG1083:BI1090">
    <cfRule type="expression" dxfId="441" priority="1547">
      <formula>AND(BG1083&gt;0,BG1083&lt;0.5)</formula>
    </cfRule>
  </conditionalFormatting>
  <conditionalFormatting sqref="BG1157:BI1159">
    <cfRule type="expression" dxfId="440" priority="1760">
      <formula>AND(BG1157&gt;0,BG1157&lt;0.5)</formula>
    </cfRule>
  </conditionalFormatting>
  <conditionalFormatting sqref="BG1186:BI1190">
    <cfRule type="expression" dxfId="439" priority="2116">
      <formula>AND(BG1186&gt;0,BG1186&lt;0.5)</formula>
    </cfRule>
  </conditionalFormatting>
  <conditionalFormatting sqref="BG1232:BI1233">
    <cfRule type="expression" dxfId="438" priority="2106">
      <formula>AND(BG1232&gt;0,BG1232&lt;0.5)</formula>
    </cfRule>
  </conditionalFormatting>
  <conditionalFormatting sqref="BG1270:BI1272">
    <cfRule type="expression" dxfId="437" priority="2099">
      <formula>AND(BG1270&gt;0,BG1270&lt;0.5)</formula>
    </cfRule>
  </conditionalFormatting>
  <conditionalFormatting sqref="BG187:BK189">
    <cfRule type="expression" dxfId="436" priority="784">
      <formula>AND(BG187&gt;0,BG187&lt;0.5)</formula>
    </cfRule>
  </conditionalFormatting>
  <conditionalFormatting sqref="BG694:BK697 D699:BK700">
    <cfRule type="expression" dxfId="435" priority="1206">
      <formula>AND(D694&gt;0,D694&lt;0.5)</formula>
    </cfRule>
  </conditionalFormatting>
  <conditionalFormatting sqref="BG1108:BK1109">
    <cfRule type="expression" dxfId="434" priority="1400">
      <formula>AND(BG1108&gt;0,BG1108&lt;0.5)</formula>
    </cfRule>
  </conditionalFormatting>
  <conditionalFormatting sqref="BG1280:BL1280">
    <cfRule type="expression" dxfId="433" priority="235">
      <formula>AND(BG1280&gt;0,BG1280&lt;0.5)</formula>
    </cfRule>
  </conditionalFormatting>
  <conditionalFormatting sqref="BG1313:BL1313">
    <cfRule type="expression" dxfId="432" priority="486">
      <formula>AND(BG1313&gt;0,BG1313&lt;0.5)</formula>
    </cfRule>
  </conditionalFormatting>
  <conditionalFormatting sqref="BG1238:BO1239">
    <cfRule type="expression" dxfId="431" priority="710">
      <formula>AND(BG1238&gt;0,BG1238&lt;0.5)</formula>
    </cfRule>
  </conditionalFormatting>
  <conditionalFormatting sqref="BG927:BQ927">
    <cfRule type="expression" dxfId="430" priority="682">
      <formula>AND(BG927&gt;0,BG927&lt;0.5)</formula>
    </cfRule>
  </conditionalFormatting>
  <conditionalFormatting sqref="BG983:BQ984">
    <cfRule type="expression" dxfId="429" priority="651">
      <formula>AND(BG983&gt;0,BG983&lt;0.5)</formula>
    </cfRule>
  </conditionalFormatting>
  <conditionalFormatting sqref="BG1167:BQ1167">
    <cfRule type="expression" dxfId="428" priority="715">
      <formula>AND(BG1167&gt;0,BG1167&lt;0.5)</formula>
    </cfRule>
  </conditionalFormatting>
  <conditionalFormatting sqref="BG1185:BQ1185">
    <cfRule type="expression" dxfId="427" priority="2115">
      <formula>AND(BG1185&gt;0,BG1185&lt;0.5)</formula>
    </cfRule>
  </conditionalFormatting>
  <conditionalFormatting sqref="BG1201:BQ1201">
    <cfRule type="expression" dxfId="426" priority="712">
      <formula>AND(BG1201&gt;0,BG1201&lt;0.5)</formula>
    </cfRule>
  </conditionalFormatting>
  <conditionalFormatting sqref="BH106">
    <cfRule type="expression" dxfId="425" priority="369">
      <formula>AND(BH106&gt;0,BH106&lt;0.5)</formula>
    </cfRule>
  </conditionalFormatting>
  <conditionalFormatting sqref="BH116:BH117">
    <cfRule type="expression" dxfId="424" priority="390">
      <formula>AND(BH116&gt;0,BH116&lt;0.5)</formula>
    </cfRule>
  </conditionalFormatting>
  <conditionalFormatting sqref="BH224:BH227">
    <cfRule type="expression" dxfId="423" priority="2035">
      <formula>AND(BH224&gt;0,BH224&lt;0.5)</formula>
    </cfRule>
  </conditionalFormatting>
  <conditionalFormatting sqref="BH252:BH254">
    <cfRule type="expression" dxfId="422" priority="2907">
      <formula>AND(BH252&gt;0,BH252&lt;0.5)</formula>
    </cfRule>
  </conditionalFormatting>
  <conditionalFormatting sqref="BH308:BH311">
    <cfRule type="expression" dxfId="421" priority="2011">
      <formula>AND(BH308&gt;0,BH308&lt;0.5)</formula>
    </cfRule>
  </conditionalFormatting>
  <conditionalFormatting sqref="BH322:BH323">
    <cfRule type="expression" dxfId="420" priority="2894">
      <formula>AND(BH322&gt;0,BH322&lt;0.5)</formula>
    </cfRule>
  </conditionalFormatting>
  <conditionalFormatting sqref="BH358:BH360">
    <cfRule type="expression" dxfId="419" priority="2004">
      <formula>AND(BH358&gt;0,BH358&lt;0.5)</formula>
    </cfRule>
  </conditionalFormatting>
  <conditionalFormatting sqref="BH369">
    <cfRule type="expression" dxfId="418" priority="557">
      <formula>AND(BH369&gt;0,BH369&lt;0.5)</formula>
    </cfRule>
  </conditionalFormatting>
  <conditionalFormatting sqref="BH378">
    <cfRule type="expression" dxfId="417" priority="1984">
      <formula>AND(BH378&gt;0,BH378&lt;0.5)</formula>
    </cfRule>
  </conditionalFormatting>
  <conditionalFormatting sqref="BH381">
    <cfRule type="expression" dxfId="416" priority="2814">
      <formula>AND(BH381&gt;0,BH381&lt;0.5)</formula>
    </cfRule>
  </conditionalFormatting>
  <conditionalFormatting sqref="BH472:BH473">
    <cfRule type="expression" dxfId="415" priority="2855">
      <formula>AND(BH472&gt;0,BH472&lt;0.5)</formula>
    </cfRule>
  </conditionalFormatting>
  <conditionalFormatting sqref="BH503:BH505">
    <cfRule type="expression" dxfId="414" priority="2836">
      <formula>AND(BH503&gt;0,BH503&lt;0.5)</formula>
    </cfRule>
  </conditionalFormatting>
  <conditionalFormatting sqref="BH584:BH588">
    <cfRule type="expression" dxfId="413" priority="566">
      <formula>AND(BH584&gt;0,BH584&lt;0.5)</formula>
    </cfRule>
  </conditionalFormatting>
  <conditionalFormatting sqref="BH603:BH612">
    <cfRule type="expression" dxfId="412" priority="460">
      <formula>AND(BH603&gt;0,BH603&lt;0.5)</formula>
    </cfRule>
  </conditionalFormatting>
  <conditionalFormatting sqref="BH734:BH736">
    <cfRule type="expression" dxfId="411" priority="2622">
      <formula>AND(BH734&gt;0,BH734&lt;0.5)</formula>
    </cfRule>
  </conditionalFormatting>
  <conditionalFormatting sqref="BH741:BH748">
    <cfRule type="expression" dxfId="410" priority="2619">
      <formula>AND(BH741&gt;0,BH741&lt;0.5)</formula>
    </cfRule>
  </conditionalFormatting>
  <conditionalFormatting sqref="BH758:BH761">
    <cfRule type="expression" dxfId="409" priority="1835">
      <formula>AND(BH758&gt;0,BH758&lt;0.5)</formula>
    </cfRule>
  </conditionalFormatting>
  <conditionalFormatting sqref="BH778:BH780">
    <cfRule type="expression" dxfId="408" priority="2347">
      <formula>AND(BH778&gt;0,BH778&lt;0.5)</formula>
    </cfRule>
  </conditionalFormatting>
  <conditionalFormatting sqref="BH793:BH795">
    <cfRule type="expression" dxfId="407" priority="2607">
      <formula>AND(BH793&gt;0,BH793&lt;0.5)</formula>
    </cfRule>
  </conditionalFormatting>
  <conditionalFormatting sqref="BH838:BH842">
    <cfRule type="expression" dxfId="406" priority="1821">
      <formula>AND(BH838&gt;0,BH838&lt;0.5)</formula>
    </cfRule>
  </conditionalFormatting>
  <conditionalFormatting sqref="BH935:BH937">
    <cfRule type="expression" dxfId="405" priority="2571">
      <formula>AND(BH935&gt;0,BH935&lt;0.5)</formula>
    </cfRule>
  </conditionalFormatting>
  <conditionalFormatting sqref="BH943:BH945">
    <cfRule type="expression" dxfId="404" priority="2570">
      <formula>AND(BH943&gt;0,BH943&lt;0.5)</formula>
    </cfRule>
  </conditionalFormatting>
  <conditionalFormatting sqref="BH947:BH948">
    <cfRule type="expression" dxfId="403" priority="2442">
      <formula>AND(BH947&gt;0,BH947&lt;0.5)</formula>
    </cfRule>
  </conditionalFormatting>
  <conditionalFormatting sqref="BH964:BH965">
    <cfRule type="expression" dxfId="402" priority="2563">
      <formula>AND(BH964&gt;0,BH964&lt;0.5)</formula>
    </cfRule>
  </conditionalFormatting>
  <conditionalFormatting sqref="BH1035:BH1041">
    <cfRule type="expression" dxfId="401" priority="1799">
      <formula>AND(BH1035&gt;0,BH1035&lt;0.5)</formula>
    </cfRule>
  </conditionalFormatting>
  <conditionalFormatting sqref="BH1096:BH1097">
    <cfRule type="expression" dxfId="400" priority="1779">
      <formula>AND(BH1096&gt;0,BH1096&lt;0.5)</formula>
    </cfRule>
  </conditionalFormatting>
  <conditionalFormatting sqref="BH1169:BH1170">
    <cfRule type="expression" dxfId="399" priority="2509">
      <formula>AND(BH1169&gt;0,BH1169&lt;0.5)</formula>
    </cfRule>
  </conditionalFormatting>
  <conditionalFormatting sqref="BH1177">
    <cfRule type="expression" dxfId="398" priority="808">
      <formula>AND(BH1177&gt;0,BH1177&lt;0.5)</formula>
    </cfRule>
  </conditionalFormatting>
  <conditionalFormatting sqref="BH1193:BH1196">
    <cfRule type="expression" dxfId="397" priority="1737">
      <formula>AND(BH1193&gt;0,BH1193&lt;0.5)</formula>
    </cfRule>
  </conditionalFormatting>
  <conditionalFormatting sqref="BH1202:BH1207">
    <cfRule type="expression" dxfId="396" priority="2498">
      <formula>AND(BH1202&gt;0,BH1202&lt;0.5)</formula>
    </cfRule>
  </conditionalFormatting>
  <conditionalFormatting sqref="BH1209:BH1217">
    <cfRule type="expression" dxfId="395" priority="297">
      <formula>AND(BH1209&gt;0,BH1209&lt;0.5)</formula>
    </cfRule>
  </conditionalFormatting>
  <conditionalFormatting sqref="BH1245:BH1248">
    <cfRule type="expression" dxfId="394" priority="2493">
      <formula>AND(BH1245&gt;0,BH1245&lt;0.5)</formula>
    </cfRule>
  </conditionalFormatting>
  <conditionalFormatting sqref="BH1291:BH1295">
    <cfRule type="expression" dxfId="393" priority="243">
      <formula>AND(BH1291&gt;0,BH1291&lt;0.5)</formula>
    </cfRule>
  </conditionalFormatting>
  <conditionalFormatting sqref="BH1297:BH1298">
    <cfRule type="expression" dxfId="392" priority="2476">
      <formula>AND(BH1297&gt;0,BH1297&lt;0.5)</formula>
    </cfRule>
  </conditionalFormatting>
  <conditionalFormatting sqref="BH1300:BH1303">
    <cfRule type="expression" dxfId="391" priority="1718">
      <formula>AND(BH1300&gt;0,BH1300&lt;0.5)</formula>
    </cfRule>
  </conditionalFormatting>
  <conditionalFormatting sqref="BH1310:BH1312">
    <cfRule type="expression" dxfId="390" priority="2357">
      <formula>AND(BH1310&gt;0,BH1310&lt;0.5)</formula>
    </cfRule>
  </conditionalFormatting>
  <conditionalFormatting sqref="BH95:BI100">
    <cfRule type="expression" dxfId="389" priority="2087">
      <formula>AND(BH95&gt;0,BH95&lt;0.5)</formula>
    </cfRule>
  </conditionalFormatting>
  <conditionalFormatting sqref="BH131:BI133">
    <cfRule type="expression" dxfId="388" priority="349">
      <formula>AND(BH131&gt;0,BH131&lt;0.5)</formula>
    </cfRule>
  </conditionalFormatting>
  <conditionalFormatting sqref="BH166:BI170">
    <cfRule type="expression" dxfId="387" priority="2055">
      <formula>AND(BH166&gt;0,BH166&lt;0.5)</formula>
    </cfRule>
  </conditionalFormatting>
  <conditionalFormatting sqref="BH197:BI198">
    <cfRule type="expression" dxfId="386" priority="2208">
      <formula>AND(BH197&gt;0,BH197&lt;0.5)</formula>
    </cfRule>
  </conditionalFormatting>
  <conditionalFormatting sqref="BH250:BI251">
    <cfRule type="expression" dxfId="385" priority="2014">
      <formula>AND(BH250&gt;0,BH250&lt;0.5)</formula>
    </cfRule>
  </conditionalFormatting>
  <conditionalFormatting sqref="BH263:BI266">
    <cfRule type="expression" dxfId="384" priority="2021">
      <formula>AND(BH263&gt;0,BH263&lt;0.5)</formula>
    </cfRule>
  </conditionalFormatting>
  <conditionalFormatting sqref="BH271:BI273">
    <cfRule type="expression" dxfId="383" priority="1140">
      <formula>AND(BH271&gt;0,BH271&lt;0.5)</formula>
    </cfRule>
  </conditionalFormatting>
  <conditionalFormatting sqref="BH292:BI294">
    <cfRule type="expression" dxfId="382" priority="563">
      <formula>AND(BH292&gt;0,BH292&lt;0.5)</formula>
    </cfRule>
  </conditionalFormatting>
  <conditionalFormatting sqref="BH321:BI321">
    <cfRule type="expression" dxfId="381" priority="2895">
      <formula>AND(BH321&gt;0,BH321&lt;0.5)</formula>
    </cfRule>
  </conditionalFormatting>
  <conditionalFormatting sqref="BH353:BI356">
    <cfRule type="expression" dxfId="380" priority="2197">
      <formula>AND(BH353&gt;0,BH353&lt;0.5)</formula>
    </cfRule>
  </conditionalFormatting>
  <conditionalFormatting sqref="BH417:BI419">
    <cfRule type="expression" dxfId="379" priority="2320">
      <formula>AND(BH417&gt;0,BH417&lt;0.5)</formula>
    </cfRule>
  </conditionalFormatting>
  <conditionalFormatting sqref="BH430:BI432">
    <cfRule type="expression" dxfId="378" priority="1693">
      <formula>AND(BH430&gt;0,BH430&lt;0.5)</formula>
    </cfRule>
  </conditionalFormatting>
  <conditionalFormatting sqref="BH436:BI436">
    <cfRule type="expression" dxfId="377" priority="2247">
      <formula>AND(BH436&gt;0,BH436&lt;0.5)</formula>
    </cfRule>
  </conditionalFormatting>
  <conditionalFormatting sqref="BH498:BI500">
    <cfRule type="expression" dxfId="376" priority="2186">
      <formula>AND(BH498&gt;0,BH498&lt;0.5)</formula>
    </cfRule>
  </conditionalFormatting>
  <conditionalFormatting sqref="BH548:BI551">
    <cfRule type="expression" dxfId="375" priority="1915">
      <formula>AND(BH548&gt;0,BH548&lt;0.5)</formula>
    </cfRule>
  </conditionalFormatting>
  <conditionalFormatting sqref="BH553:BI555">
    <cfRule type="expression" dxfId="374" priority="1916">
      <formula>AND(BH553&gt;0,BH553&lt;0.5)</formula>
    </cfRule>
  </conditionalFormatting>
  <conditionalFormatting sqref="BH557:BI560">
    <cfRule type="expression" dxfId="373" priority="1288">
      <formula>AND(BH557&gt;0,BH557&lt;0.5)</formula>
    </cfRule>
  </conditionalFormatting>
  <conditionalFormatting sqref="BH562:BI566">
    <cfRule type="expression" dxfId="372" priority="1295">
      <formula>AND(BH562&gt;0,BH562&lt;0.5)</formula>
    </cfRule>
  </conditionalFormatting>
  <conditionalFormatting sqref="BH590:BI594">
    <cfRule type="expression" dxfId="371" priority="1692">
      <formula>AND(BH590&gt;0,BH590&lt;0.5)</formula>
    </cfRule>
  </conditionalFormatting>
  <conditionalFormatting sqref="BH600:BI601">
    <cfRule type="expression" dxfId="370" priority="2178">
      <formula>AND(BH600&gt;0,BH600&lt;0.5)</formula>
    </cfRule>
  </conditionalFormatting>
  <conditionalFormatting sqref="BH625:BI626">
    <cfRule type="expression" dxfId="369" priority="2177">
      <formula>AND(BH625&gt;0,BH625&lt;0.5)</formula>
    </cfRule>
  </conditionalFormatting>
  <conditionalFormatting sqref="BH650:BI652">
    <cfRule type="expression" dxfId="368" priority="1863">
      <formula>AND(BH650&gt;0,BH650&lt;0.5)</formula>
    </cfRule>
  </conditionalFormatting>
  <conditionalFormatting sqref="BH676:BI679">
    <cfRule type="expression" dxfId="367" priority="2166">
      <formula>AND(BH676&gt;0,BH676&lt;0.5)</formula>
    </cfRule>
  </conditionalFormatting>
  <conditionalFormatting sqref="BH715:BI718">
    <cfRule type="expression" dxfId="366" priority="1851">
      <formula>AND(BH715&gt;0,BH715&lt;0.5)</formula>
    </cfRule>
  </conditionalFormatting>
  <conditionalFormatting sqref="BH753:BI753">
    <cfRule type="expression" dxfId="365" priority="1837">
      <formula>AND(BH753&gt;0,BH753&lt;0.5)</formula>
    </cfRule>
  </conditionalFormatting>
  <conditionalFormatting sqref="BH763:BI766">
    <cfRule type="expression" dxfId="364" priority="2164">
      <formula>AND(BH763&gt;0,BH763&lt;0.5)</formula>
    </cfRule>
  </conditionalFormatting>
  <conditionalFormatting sqref="BH783:BI784">
    <cfRule type="expression" dxfId="363" priority="1826">
      <formula>AND(BH783&gt;0,BH783&lt;0.5)</formula>
    </cfRule>
  </conditionalFormatting>
  <conditionalFormatting sqref="BH786:BI787">
    <cfRule type="expression" dxfId="362" priority="1827">
      <formula>AND(BH786&gt;0,BH786&lt;0.5)</formula>
    </cfRule>
  </conditionalFormatting>
  <conditionalFormatting sqref="BH789:BI791">
    <cfRule type="expression" dxfId="361" priority="2162">
      <formula>AND(BH789&gt;0,BH789&lt;0.5)</formula>
    </cfRule>
  </conditionalFormatting>
  <conditionalFormatting sqref="BH800:BI800">
    <cfRule type="expression" dxfId="360" priority="1706">
      <formula>AND(BH800&gt;0,BH800&lt;0.5)</formula>
    </cfRule>
  </conditionalFormatting>
  <conditionalFormatting sqref="BH812:BI815">
    <cfRule type="expression" dxfId="359" priority="1746">
      <formula>AND(BH812&gt;0,BH812&lt;0.5)</formula>
    </cfRule>
  </conditionalFormatting>
  <conditionalFormatting sqref="BH831:BI836">
    <cfRule type="expression" dxfId="358" priority="2159">
      <formula>AND(BH831&gt;0,BH831&lt;0.5)</formula>
    </cfRule>
  </conditionalFormatting>
  <conditionalFormatting sqref="BH862:BI867">
    <cfRule type="expression" dxfId="357" priority="2152">
      <formula>AND(BH862&gt;0,BH862&lt;0.5)</formula>
    </cfRule>
  </conditionalFormatting>
  <conditionalFormatting sqref="BH873:BI878">
    <cfRule type="expression" dxfId="356" priority="2156">
      <formula>AND(BH873&gt;0,BH873&lt;0.5)</formula>
    </cfRule>
  </conditionalFormatting>
  <conditionalFormatting sqref="BH886:BI891">
    <cfRule type="expression" dxfId="355" priority="2149">
      <formula>AND(BH886&gt;0,BH886&lt;0.5)</formula>
    </cfRule>
  </conditionalFormatting>
  <conditionalFormatting sqref="BH908:BI913">
    <cfRule type="expression" dxfId="354" priority="2145">
      <formula>AND(BH908&gt;0,BH908&lt;0.5)</formula>
    </cfRule>
  </conditionalFormatting>
  <conditionalFormatting sqref="BH916:BI917">
    <cfRule type="expression" dxfId="353" priority="2288">
      <formula>AND(BH916&gt;0,BH916&lt;0.5)</formula>
    </cfRule>
  </conditionalFormatting>
  <conditionalFormatting sqref="BH950:BI958">
    <cfRule type="expression" dxfId="352" priority="1541">
      <formula>AND(BH950&gt;0,BH950&lt;0.5)</formula>
    </cfRule>
  </conditionalFormatting>
  <conditionalFormatting sqref="BH960:BI961">
    <cfRule type="expression" dxfId="351" priority="1811">
      <formula>AND(BH960&gt;0,BH960&lt;0.5)</formula>
    </cfRule>
  </conditionalFormatting>
  <conditionalFormatting sqref="BH969:BI971">
    <cfRule type="expression" dxfId="350" priority="2138">
      <formula>AND(BH969&gt;0,BH969&lt;0.5)</formula>
    </cfRule>
  </conditionalFormatting>
  <conditionalFormatting sqref="BH979:BI981">
    <cfRule type="expression" dxfId="349" priority="1781">
      <formula>AND(BH979&gt;0,BH979&lt;0.5)</formula>
    </cfRule>
  </conditionalFormatting>
  <conditionalFormatting sqref="BH993:BI994">
    <cfRule type="expression" dxfId="348" priority="2135">
      <formula>AND(BH993&gt;0,BH993&lt;0.5)</formula>
    </cfRule>
  </conditionalFormatting>
  <conditionalFormatting sqref="BH999:BI999">
    <cfRule type="expression" dxfId="347" priority="1805">
      <formula>AND(BH999&gt;0,BH999&lt;0.5)</formula>
    </cfRule>
  </conditionalFormatting>
  <conditionalFormatting sqref="BH1005:BI1008">
    <cfRule type="expression" dxfId="346" priority="736">
      <formula>AND(BH1005&gt;0,BH1005&lt;0.5)</formula>
    </cfRule>
  </conditionalFormatting>
  <conditionalFormatting sqref="BH1020:BI1023">
    <cfRule type="expression" dxfId="345" priority="535">
      <formula>AND(BH1020&gt;0,BH1020&lt;0.5)</formula>
    </cfRule>
  </conditionalFormatting>
  <conditionalFormatting sqref="BH1055:BI1057">
    <cfRule type="expression" dxfId="344" priority="2131">
      <formula>AND(BH1055&gt;0,BH1055&lt;0.5)</formula>
    </cfRule>
  </conditionalFormatting>
  <conditionalFormatting sqref="BH1060:BI1064">
    <cfRule type="expression" dxfId="343" priority="2128">
      <formula>AND(BH1060&gt;0,BH1060&lt;0.5)</formula>
    </cfRule>
  </conditionalFormatting>
  <conditionalFormatting sqref="BH1100:BI1101">
    <cfRule type="expression" dxfId="342" priority="1703">
      <formula>AND(BH1100&gt;0,BH1100&lt;0.5)</formula>
    </cfRule>
  </conditionalFormatting>
  <conditionalFormatting sqref="BH1104:BI1104">
    <cfRule type="expression" dxfId="341" priority="1777">
      <formula>AND(BH1104&gt;0,BH1104&lt;0.5)</formula>
    </cfRule>
  </conditionalFormatting>
  <conditionalFormatting sqref="BH1122:BI1124">
    <cfRule type="expression" dxfId="340" priority="1775">
      <formula>AND(BH1122&gt;0,BH1122&lt;0.5)</formula>
    </cfRule>
  </conditionalFormatting>
  <conditionalFormatting sqref="BH1126:BI1126">
    <cfRule type="expression" dxfId="339" priority="1773">
      <formula>AND(BH1126&gt;0,BH1126&lt;0.5)</formula>
    </cfRule>
  </conditionalFormatting>
  <conditionalFormatting sqref="BH1128:BI1133">
    <cfRule type="expression" dxfId="338" priority="1770">
      <formula>AND(BH1128&gt;0,BH1128&lt;0.5)</formula>
    </cfRule>
  </conditionalFormatting>
  <conditionalFormatting sqref="BH1137:BI1140">
    <cfRule type="expression" dxfId="337" priority="2123">
      <formula>AND(BH1137&gt;0,BH1137&lt;0.5)</formula>
    </cfRule>
  </conditionalFormatting>
  <conditionalFormatting sqref="BH1146:BI1150">
    <cfRule type="expression" dxfId="336" priority="1764">
      <formula>AND(BH1146&gt;0,BH1146&lt;0.5)</formula>
    </cfRule>
  </conditionalFormatting>
  <conditionalFormatting sqref="BH1152:BI1154">
    <cfRule type="expression" dxfId="335" priority="2121">
      <formula>AND(BH1152&gt;0,BH1152&lt;0.5)</formula>
    </cfRule>
  </conditionalFormatting>
  <conditionalFormatting sqref="BH1162:BI1162">
    <cfRule type="expression" dxfId="334" priority="1761">
      <formula>AND(BH1162&gt;0,BH1162&lt;0.5)</formula>
    </cfRule>
  </conditionalFormatting>
  <conditionalFormatting sqref="BH1173:BI1175">
    <cfRule type="expression" dxfId="333" priority="2120">
      <formula>AND(BH1173&gt;0,BH1173&lt;0.5)</formula>
    </cfRule>
  </conditionalFormatting>
  <conditionalFormatting sqref="BH1229:BI1231 BH1235:BI1236">
    <cfRule type="expression" dxfId="332" priority="2107">
      <formula>AND(BH1229&gt;0,BH1229&lt;0.5)</formula>
    </cfRule>
  </conditionalFormatting>
  <conditionalFormatting sqref="BH1258:BI1258">
    <cfRule type="expression" dxfId="331" priority="2251">
      <formula>AND(BH1258&gt;0,BH1258&lt;0.5)</formula>
    </cfRule>
  </conditionalFormatting>
  <conditionalFormatting sqref="BH1261:BI1263">
    <cfRule type="expression" dxfId="330" priority="2100">
      <formula>AND(BH1261&gt;0,BH1261&lt;0.5)</formula>
    </cfRule>
  </conditionalFormatting>
  <conditionalFormatting sqref="BH1277:BI1279">
    <cfRule type="expression" dxfId="329" priority="208">
      <formula>AND(BH1277&gt;0,BH1277&lt;0.5)</formula>
    </cfRule>
  </conditionalFormatting>
  <conditionalFormatting sqref="BH157:BJ158">
    <cfRule type="expression" dxfId="328" priority="1622">
      <formula>AND(BH157&gt;0,BH157&lt;0.5)</formula>
    </cfRule>
  </conditionalFormatting>
  <conditionalFormatting sqref="BH962:BJ962">
    <cfRule type="expression" dxfId="327" priority="1511">
      <formula>AND(BH962&gt;0,BH962&lt;0.5)</formula>
    </cfRule>
  </conditionalFormatting>
  <conditionalFormatting sqref="BH93:BK93">
    <cfRule type="expression" dxfId="326" priority="1181">
      <formula>AND(BH93&gt;0,BH93&lt;0.5)</formula>
    </cfRule>
  </conditionalFormatting>
  <conditionalFormatting sqref="BH139:BK142">
    <cfRule type="expression" dxfId="325" priority="1377">
      <formula>AND(BH139&gt;0,BH139&lt;0.5)</formula>
    </cfRule>
  </conditionalFormatting>
  <conditionalFormatting sqref="BH172:BK173">
    <cfRule type="expression" dxfId="324" priority="1399">
      <formula>AND(BH172&gt;0,BH172&lt;0.5)</formula>
    </cfRule>
  </conditionalFormatting>
  <conditionalFormatting sqref="BH181:BK184">
    <cfRule type="expression" dxfId="323" priority="1397">
      <formula>AND(BH181&gt;0,BH181&lt;0.5)</formula>
    </cfRule>
  </conditionalFormatting>
  <conditionalFormatting sqref="BH229:BK229">
    <cfRule type="expression" dxfId="322" priority="597">
      <formula>AND(BH229&gt;0,BH229&lt;0.5)</formula>
    </cfRule>
  </conditionalFormatting>
  <conditionalFormatting sqref="BH1081:BK1081">
    <cfRule type="expression" dxfId="321" priority="1380">
      <formula>AND(BH1081&gt;0,BH1081&lt;0.5)</formula>
    </cfRule>
  </conditionalFormatting>
  <conditionalFormatting sqref="BH714:BN714">
    <cfRule type="expression" dxfId="320" priority="2627">
      <formula>AND(BH714&gt;0,BH714&lt;0.5)</formula>
    </cfRule>
  </conditionalFormatting>
  <conditionalFormatting sqref="BH806:BN806">
    <cfRule type="expression" dxfId="319" priority="748">
      <formula>AND(BH806&gt;0,BH806&lt;0.5)</formula>
    </cfRule>
  </conditionalFormatting>
  <conditionalFormatting sqref="BH1079:BO1080">
    <cfRule type="expression" dxfId="318" priority="326">
      <formula>AND(BH1079&gt;0,BH1079&lt;0.5)</formula>
    </cfRule>
  </conditionalFormatting>
  <conditionalFormatting sqref="BH371:BQ373">
    <cfRule type="expression" dxfId="317" priority="43">
      <formula>AND(BH371&gt;0,BH371&lt;0.5)</formula>
    </cfRule>
  </conditionalFormatting>
  <conditionalFormatting sqref="BH628:BQ628">
    <cfRule type="expression" dxfId="316" priority="961">
      <formula>AND(BH628&gt;0,BH628&lt;0.5)</formula>
    </cfRule>
  </conditionalFormatting>
  <conditionalFormatting sqref="BH738:BQ738">
    <cfRule type="expression" dxfId="315" priority="946">
      <formula>AND(BH738&gt;0,BH738&lt;0.5)</formula>
    </cfRule>
  </conditionalFormatting>
  <conditionalFormatting sqref="BH750:BQ750">
    <cfRule type="expression" dxfId="314" priority="945">
      <formula>AND(BH750&gt;0,BH750&lt;0.5)</formula>
    </cfRule>
  </conditionalFormatting>
  <conditionalFormatting sqref="BH810:BQ810">
    <cfRule type="expression" dxfId="313" priority="747">
      <formula>AND(BH810&gt;0,BH810&lt;0.5)</formula>
    </cfRule>
  </conditionalFormatting>
  <conditionalFormatting sqref="BH822:BQ822">
    <cfRule type="expression" dxfId="312" priority="508">
      <formula>AND(BH822&gt;0,BH822&lt;0.5)</formula>
    </cfRule>
  </conditionalFormatting>
  <conditionalFormatting sqref="BH915:BQ915">
    <cfRule type="expression" dxfId="311" priority="1684">
      <formula>AND(BH915&gt;0,BH915&lt;0.5)</formula>
    </cfRule>
  </conditionalFormatting>
  <conditionalFormatting sqref="BH1025:BQ1025">
    <cfRule type="expression" dxfId="310" priority="261">
      <formula>AND(BH1025&gt;0,BH1025&lt;0.5)</formula>
    </cfRule>
  </conditionalFormatting>
  <conditionalFormatting sqref="BH1274:BQ1274">
    <cfRule type="expression" dxfId="309" priority="708">
      <formula>AND(BH1274&gt;0,BH1274&lt;0.5)</formula>
    </cfRule>
  </conditionalFormatting>
  <conditionalFormatting sqref="BI104:BI105">
    <cfRule type="expression" dxfId="308" priority="368">
      <formula>AND(BI104&gt;0,BI104&lt;0.5)</formula>
    </cfRule>
  </conditionalFormatting>
  <conditionalFormatting sqref="BI116">
    <cfRule type="expression" dxfId="307" priority="383">
      <formula>AND(BI116&gt;0,BI116&lt;0.5)</formula>
    </cfRule>
  </conditionalFormatting>
  <conditionalFormatting sqref="BI118:BI120">
    <cfRule type="expression" dxfId="306" priority="347">
      <formula>AND(BI118&gt;0,BI118&lt;0.5)</formula>
    </cfRule>
  </conditionalFormatting>
  <conditionalFormatting sqref="BI224:BI228">
    <cfRule type="expression" dxfId="305" priority="1593">
      <formula>AND(BI224&gt;0,BI224&lt;0.5)</formula>
    </cfRule>
  </conditionalFormatting>
  <conditionalFormatting sqref="BI245:BI247">
    <cfRule type="expression" dxfId="304" priority="2225">
      <formula>AND(BI245&gt;0,BI245&lt;0.5)</formula>
    </cfRule>
  </conditionalFormatting>
  <conditionalFormatting sqref="BI252">
    <cfRule type="expression" dxfId="303" priority="2025">
      <formula>AND(BI252&gt;0,BI252&lt;0.5)</formula>
    </cfRule>
  </conditionalFormatting>
  <conditionalFormatting sqref="BI275:BI277">
    <cfRule type="expression" dxfId="302" priority="2016">
      <formula>AND(BI275&gt;0,BI275&lt;0.5)</formula>
    </cfRule>
  </conditionalFormatting>
  <conditionalFormatting sqref="BI301:BI303">
    <cfRule type="expression" dxfId="301" priority="2005">
      <formula>AND(BI301&gt;0,BI301&lt;0.5)</formula>
    </cfRule>
  </conditionalFormatting>
  <conditionalFormatting sqref="BI308:BI309">
    <cfRule type="expression" dxfId="300" priority="2010">
      <formula>AND(BI308&gt;0,BI308&lt;0.5)</formula>
    </cfRule>
  </conditionalFormatting>
  <conditionalFormatting sqref="BI322:BI331">
    <cfRule type="expression" dxfId="299" priority="1992">
      <formula>AND(BI322&gt;0,BI322&lt;0.5)</formula>
    </cfRule>
  </conditionalFormatting>
  <conditionalFormatting sqref="BI358:BI359">
    <cfRule type="expression" dxfId="298" priority="2002">
      <formula>AND(BI358&gt;0,BI358&lt;0.5)</formula>
    </cfRule>
  </conditionalFormatting>
  <conditionalFormatting sqref="BI378:BI379">
    <cfRule type="expression" dxfId="297" priority="1576">
      <formula>AND(BI378&gt;0,BI378&lt;0.5)</formula>
    </cfRule>
  </conditionalFormatting>
  <conditionalFormatting sqref="BI381:BI382">
    <cfRule type="expression" dxfId="296" priority="1981">
      <formula>AND(BI381&gt;0,BI381&lt;0.5)</formula>
    </cfRule>
  </conditionalFormatting>
  <conditionalFormatting sqref="BI390:BI391">
    <cfRule type="expression" dxfId="295" priority="1979">
      <formula>AND(BI390&gt;0,BI390&lt;0.5)</formula>
    </cfRule>
  </conditionalFormatting>
  <conditionalFormatting sqref="BI393:BI394">
    <cfRule type="expression" dxfId="294" priority="2190">
      <formula>AND(BI393&gt;0,BI393&lt;0.5)</formula>
    </cfRule>
  </conditionalFormatting>
  <conditionalFormatting sqref="BI404:BI406">
    <cfRule type="expression" dxfId="293" priority="1974">
      <formula>AND(BI404&gt;0,BI404&lt;0.5)</formula>
    </cfRule>
  </conditionalFormatting>
  <conditionalFormatting sqref="BI409">
    <cfRule type="expression" dxfId="292" priority="288">
      <formula>AND(BI409&gt;0,BI409&lt;0.5)</formula>
    </cfRule>
  </conditionalFormatting>
  <conditionalFormatting sqref="BI438:BI443">
    <cfRule type="expression" dxfId="291" priority="528">
      <formula>AND(BI438&gt;0,BI438&lt;0.5)</formula>
    </cfRule>
  </conditionalFormatting>
  <conditionalFormatting sqref="BI472">
    <cfRule type="expression" dxfId="290" priority="1951">
      <formula>AND(BI472&gt;0,BI472&lt;0.5)</formula>
    </cfRule>
  </conditionalFormatting>
  <conditionalFormatting sqref="BI477:BI478">
    <cfRule type="expression" dxfId="289" priority="1949">
      <formula>AND(BI477&gt;0,BI477&lt;0.5)</formula>
    </cfRule>
  </conditionalFormatting>
  <conditionalFormatting sqref="BI481">
    <cfRule type="expression" dxfId="288" priority="1948">
      <formula>AND(BI481&gt;0,BI481&lt;0.5)</formula>
    </cfRule>
  </conditionalFormatting>
  <conditionalFormatting sqref="BI486:BI489">
    <cfRule type="expression" dxfId="287" priority="1940">
      <formula>AND(BI486&gt;0,BI486&lt;0.5)</formula>
    </cfRule>
  </conditionalFormatting>
  <conditionalFormatting sqref="BI504:BI505">
    <cfRule type="expression" dxfId="286" priority="2050">
      <formula>AND(BI504&gt;0,BI504&lt;0.5)</formula>
    </cfRule>
  </conditionalFormatting>
  <conditionalFormatting sqref="BI507:BI508">
    <cfRule type="expression" dxfId="285" priority="475">
      <formula>AND(BI507&gt;0,BI507&lt;0.5)</formula>
    </cfRule>
  </conditionalFormatting>
  <conditionalFormatting sqref="BI520:BI527">
    <cfRule type="expression" dxfId="284" priority="1315">
      <formula>AND(BI520&gt;0,BI520&lt;0.5)</formula>
    </cfRule>
  </conditionalFormatting>
  <conditionalFormatting sqref="BI539:BI540">
    <cfRule type="expression" dxfId="283" priority="2046">
      <formula>AND(BI539&gt;0,BI539&lt;0.5)</formula>
    </cfRule>
  </conditionalFormatting>
  <conditionalFormatting sqref="BI543:BI546">
    <cfRule type="expression" dxfId="282" priority="1922">
      <formula>AND(BI543&gt;0,BI543&lt;0.5)</formula>
    </cfRule>
  </conditionalFormatting>
  <conditionalFormatting sqref="BI568">
    <cfRule type="expression" dxfId="281" priority="1909">
      <formula>AND(BI568&gt;0,BI568&lt;0.5)</formula>
    </cfRule>
  </conditionalFormatting>
  <conditionalFormatting sqref="BI584:BI587">
    <cfRule type="expression" dxfId="280" priority="2283">
      <formula>AND(BI584&gt;0,BI584&lt;0.5)</formula>
    </cfRule>
  </conditionalFormatting>
  <conditionalFormatting sqref="BI603:BI604">
    <cfRule type="expression" dxfId="279" priority="1893">
      <formula>AND(BI603&gt;0,BI603&lt;0.5)</formula>
    </cfRule>
  </conditionalFormatting>
  <conditionalFormatting sqref="BI607:BI612">
    <cfRule type="expression" dxfId="278" priority="1891">
      <formula>AND(BI607&gt;0,BI607&lt;0.5)</formula>
    </cfRule>
  </conditionalFormatting>
  <conditionalFormatting sqref="BI636:BI638">
    <cfRule type="expression" dxfId="277" priority="1867">
      <formula>AND(BI636&gt;0,BI636&lt;0.5)</formula>
    </cfRule>
  </conditionalFormatting>
  <conditionalFormatting sqref="BI725 BI730">
    <cfRule type="expression" dxfId="276" priority="1261">
      <formula>AND(BI725&gt;0,BI725&lt;0.5)</formula>
    </cfRule>
  </conditionalFormatting>
  <conditionalFormatting sqref="BI734">
    <cfRule type="expression" dxfId="275" priority="1842">
      <formula>AND(BI734&gt;0,BI734&lt;0.5)</formula>
    </cfRule>
  </conditionalFormatting>
  <conditionalFormatting sqref="BI741:BI743">
    <cfRule type="expression" dxfId="274" priority="1839">
      <formula>AND(BI741&gt;0,BI741&lt;0.5)</formula>
    </cfRule>
  </conditionalFormatting>
  <conditionalFormatting sqref="BI759:BI761">
    <cfRule type="expression" dxfId="273" priority="1834">
      <formula>AND(BI759&gt;0,BI759&lt;0.5)</formula>
    </cfRule>
  </conditionalFormatting>
  <conditionalFormatting sqref="BI779:BI780">
    <cfRule type="expression" dxfId="272" priority="1832">
      <formula>AND(BI779&gt;0,BI779&lt;0.5)</formula>
    </cfRule>
  </conditionalFormatting>
  <conditionalFormatting sqref="BI793:BI794">
    <cfRule type="expression" dxfId="271" priority="2160">
      <formula>AND(BI793&gt;0,BI793&lt;0.5)</formula>
    </cfRule>
  </conditionalFormatting>
  <conditionalFormatting sqref="BI942:BI948">
    <cfRule type="expression" dxfId="270" priority="1539">
      <formula>AND(BI942&gt;0,BI942&lt;0.5)</formula>
    </cfRule>
  </conditionalFormatting>
  <conditionalFormatting sqref="BI964:BI966">
    <cfRule type="expression" dxfId="269" priority="1808">
      <formula>AND(BI964&gt;0,BI964&lt;0.5)</formula>
    </cfRule>
  </conditionalFormatting>
  <conditionalFormatting sqref="BI1035:BI1043">
    <cfRule type="expression" dxfId="268" priority="1793">
      <formula>AND(BI1035&gt;0,BI1035&lt;0.5)</formula>
    </cfRule>
  </conditionalFormatting>
  <conditionalFormatting sqref="BI1075:BI1077">
    <cfRule type="expression" dxfId="267" priority="2127">
      <formula>AND(BI1075&gt;0,BI1075&lt;0.5)</formula>
    </cfRule>
  </conditionalFormatting>
  <conditionalFormatting sqref="BI1092:BI1094">
    <cfRule type="expression" dxfId="266" priority="1785">
      <formula>AND(BI1092&gt;0,BI1092&lt;0.5)</formula>
    </cfRule>
  </conditionalFormatting>
  <conditionalFormatting sqref="BI1164:BI1165">
    <cfRule type="expression" dxfId="265" priority="1759">
      <formula>AND(BI1164&gt;0,BI1164&lt;0.5)</formula>
    </cfRule>
  </conditionalFormatting>
  <conditionalFormatting sqref="BI1168:BI1170">
    <cfRule type="expression" dxfId="264" priority="1738">
      <formula>AND(BI1168&gt;0,BI1168&lt;0.5)</formula>
    </cfRule>
  </conditionalFormatting>
  <conditionalFormatting sqref="BI1204">
    <cfRule type="expression" dxfId="263" priority="1732">
      <formula>AND(BI1204&gt;0,BI1204&lt;0.5)</formula>
    </cfRule>
  </conditionalFormatting>
  <conditionalFormatting sqref="BI1209:BI1211">
    <cfRule type="expression" dxfId="262" priority="2112">
      <formula>AND(BI1209&gt;0,BI1209&lt;0.5)</formula>
    </cfRule>
  </conditionalFormatting>
  <conditionalFormatting sqref="BI1213:BI1218 BI1221:BI1227">
    <cfRule type="expression" dxfId="261" priority="1424">
      <formula>AND(BI1213&gt;0,BI1213&lt;0.5)</formula>
    </cfRule>
  </conditionalFormatting>
  <conditionalFormatting sqref="BI1243">
    <cfRule type="expression" dxfId="260" priority="2323">
      <formula>AND(BI1243&gt;0,BI1243&lt;0.5)</formula>
    </cfRule>
  </conditionalFormatting>
  <conditionalFormatting sqref="BI1245:BI1249">
    <cfRule type="expression" dxfId="259" priority="2042">
      <formula>AND(BI1245&gt;0,BI1245&lt;0.5)</formula>
    </cfRule>
  </conditionalFormatting>
  <conditionalFormatting sqref="BI1253:BI1256">
    <cfRule type="expression" dxfId="258" priority="1729">
      <formula>AND(BI1253&gt;0,BI1253&lt;0.5)</formula>
    </cfRule>
  </conditionalFormatting>
  <conditionalFormatting sqref="BI1291:BI1294">
    <cfRule type="expression" dxfId="257" priority="1719">
      <formula>AND(BI1291&gt;0,BI1291&lt;0.5)</formula>
    </cfRule>
  </conditionalFormatting>
  <conditionalFormatting sqref="BI1297 BI1300:BI1301">
    <cfRule type="expression" dxfId="256" priority="1720">
      <formula>AND(BI1297&gt;0,BI1297&lt;0.5)</formula>
    </cfRule>
  </conditionalFormatting>
  <conditionalFormatting sqref="BI1311">
    <cfRule type="expression" dxfId="255" priority="1700">
      <formula>AND(BI1311&gt;0,BI1311&lt;0.5)</formula>
    </cfRule>
  </conditionalFormatting>
  <conditionalFormatting sqref="BI72:BJ73">
    <cfRule type="expression" dxfId="254" priority="1631">
      <formula>AND(BI72&gt;0,BI72&lt;0.5)</formula>
    </cfRule>
  </conditionalFormatting>
  <conditionalFormatting sqref="BI94:BK94">
    <cfRule type="expression" dxfId="253" priority="1126">
      <formula>AND(BI94&gt;0,BI94&lt;0.5)</formula>
    </cfRule>
  </conditionalFormatting>
  <conditionalFormatting sqref="BI1257:BK1257">
    <cfRule type="expression" dxfId="252" priority="882">
      <formula>AND(BI1257&gt;0,BI1257&lt;0.5)</formula>
    </cfRule>
  </conditionalFormatting>
  <conditionalFormatting sqref="BI1260:BK1260">
    <cfRule type="expression" dxfId="251" priority="881">
      <formula>AND(BI1260&gt;0,BI1260&lt;0.5)</formula>
    </cfRule>
  </conditionalFormatting>
  <conditionalFormatting sqref="BI605:BM606">
    <cfRule type="expression" dxfId="250" priority="459">
      <formula>AND(BI605&gt;0,BI605&lt;0.5)</formula>
    </cfRule>
  </conditionalFormatting>
  <conditionalFormatting sqref="BI532:BO532">
    <cfRule type="expression" dxfId="249" priority="249">
      <formula>AND(BI532&gt;0,BI532&lt;0.5)</formula>
    </cfRule>
  </conditionalFormatting>
  <conditionalFormatting sqref="BI542:BP542">
    <cfRule type="expression" dxfId="248" priority="309">
      <formula>AND(BI542&gt;0,BI542&lt;0.5)</formula>
    </cfRule>
  </conditionalFormatting>
  <conditionalFormatting sqref="BI641:BP641">
    <cfRule type="expression" dxfId="247" priority="959">
      <formula>AND(BI641&gt;0,BI641&lt;0.5)</formula>
    </cfRule>
  </conditionalFormatting>
  <conditionalFormatting sqref="BI758:BQ758">
    <cfRule type="expression" dxfId="246" priority="269">
      <formula>AND(BI758&gt;0,BI758&lt;0.5)</formula>
    </cfRule>
  </conditionalFormatting>
  <conditionalFormatting sqref="BI838:BQ838">
    <cfRule type="expression" dxfId="245" priority="744">
      <formula>AND(BI838&gt;0,BI838&lt;0.5)</formula>
    </cfRule>
  </conditionalFormatting>
  <conditionalFormatting sqref="BI1096:BQ1096">
    <cfRule type="expression" dxfId="244" priority="726">
      <formula>AND(BI1096&gt;0,BI1096&lt;0.5)</formula>
    </cfRule>
  </conditionalFormatting>
  <conditionalFormatting sqref="BI1193:BQ1194">
    <cfRule type="expression" dxfId="243" priority="15">
      <formula>AND(BI1193&gt;0,BI1193&lt;0.5)</formula>
    </cfRule>
  </conditionalFormatting>
  <conditionalFormatting sqref="BI1259:BQ1259">
    <cfRule type="expression" dxfId="242" priority="10">
      <formula>AND(BI1259&gt;0,BI1259&lt;0.5)</formula>
    </cfRule>
  </conditionalFormatting>
  <conditionalFormatting sqref="BI1303:BQ1303">
    <cfRule type="expression" dxfId="241" priority="704">
      <formula>AND(BI1303&gt;0,BI1303&lt;0.5)</formula>
    </cfRule>
  </conditionalFormatting>
  <conditionalFormatting sqref="BJ95">
    <cfRule type="expression" dxfId="240" priority="1499">
      <formula>AND(BJ95&gt;0,BJ95&lt;0.5)</formula>
    </cfRule>
  </conditionalFormatting>
  <conditionalFormatting sqref="BJ161:BJ163">
    <cfRule type="expression" dxfId="239" priority="1372">
      <formula>AND(BJ161&gt;0,BJ161&lt;0.5)</formula>
    </cfRule>
  </conditionalFormatting>
  <conditionalFormatting sqref="BJ168:BJ170">
    <cfRule type="expression" dxfId="238" priority="1610">
      <formula>AND(BJ168&gt;0,BJ168&lt;0.5)</formula>
    </cfRule>
  </conditionalFormatting>
  <conditionalFormatting sqref="BJ271:BJ272">
    <cfRule type="expression" dxfId="237" priority="1564">
      <formula>AND(BJ271&gt;0,BJ271&lt;0.5)</formula>
    </cfRule>
  </conditionalFormatting>
  <conditionalFormatting sqref="BJ405">
    <cfRule type="expression" dxfId="236" priority="280">
      <formula>AND(BJ405&gt;0,BJ405&lt;0.5)</formula>
    </cfRule>
  </conditionalFormatting>
  <conditionalFormatting sqref="BJ783">
    <cfRule type="expression" dxfId="235" priority="1443">
      <formula>AND(BJ783&gt;0,BJ783&lt;0.5)</formula>
    </cfRule>
  </conditionalFormatting>
  <conditionalFormatting sqref="BJ1099">
    <cfRule type="expression" dxfId="234" priority="32">
      <formula>AND(BJ1099&gt;0,BJ1099&lt;0.5)</formula>
    </cfRule>
  </conditionalFormatting>
  <conditionalFormatting sqref="BJ1122">
    <cfRule type="expression" dxfId="233" priority="1555">
      <formula>AND(BJ1122&gt;0,BJ1122&lt;0.5)</formula>
    </cfRule>
  </conditionalFormatting>
  <conditionalFormatting sqref="BJ1133">
    <cfRule type="expression" dxfId="232" priority="1553">
      <formula>AND(BJ1133&gt;0,BJ1133&lt;0.5)</formula>
    </cfRule>
  </conditionalFormatting>
  <conditionalFormatting sqref="BJ1137">
    <cfRule type="expression" dxfId="231" priority="910">
      <formula>AND(BJ1137&gt;0,BJ1137&lt;0.5)</formula>
    </cfRule>
  </conditionalFormatting>
  <conditionalFormatting sqref="BJ1139:BJ1140">
    <cfRule type="expression" dxfId="230" priority="1552">
      <formula>AND(BJ1139&gt;0,BJ1139&lt;0.5)</formula>
    </cfRule>
  </conditionalFormatting>
  <conditionalFormatting sqref="BJ1279">
    <cfRule type="expression" dxfId="229" priority="284">
      <formula>AND(BJ1279&gt;0,BJ1279&lt;0.5)</formula>
    </cfRule>
  </conditionalFormatting>
  <conditionalFormatting sqref="BJ145:BK145">
    <cfRule type="expression" dxfId="228" priority="1483">
      <formula>AND(BJ145&gt;0,BJ145&lt;0.5)</formula>
    </cfRule>
  </conditionalFormatting>
  <conditionalFormatting sqref="BJ200:BK200">
    <cfRule type="expression" dxfId="227" priority="1391">
      <formula>AND(BJ200&gt;0,BJ200&lt;0.5)</formula>
    </cfRule>
  </conditionalFormatting>
  <conditionalFormatting sqref="BJ557:BK559">
    <cfRule type="expression" dxfId="226" priority="1227">
      <formula>AND(BJ557&gt;0,BJ557&lt;0.5)</formula>
    </cfRule>
  </conditionalFormatting>
  <conditionalFormatting sqref="BJ898:BK899">
    <cfRule type="expression" dxfId="225" priority="1083">
      <formula>AND(BJ898&gt;0,BJ898&lt;0.5)</formula>
    </cfRule>
  </conditionalFormatting>
  <conditionalFormatting sqref="BJ977:BK977">
    <cfRule type="expression" dxfId="224" priority="1213">
      <formula>AND(BJ977&gt;0,BJ977&lt;0.5)</formula>
    </cfRule>
  </conditionalFormatting>
  <conditionalFormatting sqref="BJ1126:BK1128">
    <cfRule type="expression" dxfId="223" priority="1081">
      <formula>AND(BJ1126&gt;0,BJ1126&lt;0.5)</formula>
    </cfRule>
  </conditionalFormatting>
  <conditionalFormatting sqref="BJ1209:BK1209">
    <cfRule type="expression" dxfId="222" priority="1207">
      <formula>AND(BJ1209&gt;0,BJ1209&lt;0.5)</formula>
    </cfRule>
  </conditionalFormatting>
  <conditionalFormatting sqref="BJ1277:BK1277">
    <cfRule type="expression" dxfId="221" priority="206">
      <formula>AND(BJ1277&gt;0,BJ1277&lt;0.5)</formula>
    </cfRule>
  </conditionalFormatting>
  <conditionalFormatting sqref="BJ442:BN442">
    <cfRule type="expression" dxfId="220" priority="523">
      <formula>AND(BJ442&gt;0,BJ442&lt;0.5)</formula>
    </cfRule>
  </conditionalFormatting>
  <conditionalFormatting sqref="BJ475:BO475">
    <cfRule type="expression" dxfId="219" priority="316">
      <formula>AND(BJ475&gt;0,BJ475&lt;0.5)</formula>
    </cfRule>
  </conditionalFormatting>
  <conditionalFormatting sqref="BJ264:BP264">
    <cfRule type="expression" dxfId="218" priority="491">
      <formula>AND(BJ264&gt;0,BJ264&lt;0.5)</formula>
    </cfRule>
  </conditionalFormatting>
  <conditionalFormatting sqref="BJ759:BP759">
    <cfRule type="expression" dxfId="217" priority="944">
      <formula>AND(BJ759&gt;0,BJ759&lt;0.5)</formula>
    </cfRule>
  </conditionalFormatting>
  <conditionalFormatting sqref="BJ224:BQ226">
    <cfRule type="expression" dxfId="216" priority="50">
      <formula>AND(BJ224&gt;0,BJ224&lt;0.5)</formula>
    </cfRule>
  </conditionalFormatting>
  <conditionalFormatting sqref="BJ329:BQ329">
    <cfRule type="expression" dxfId="215" priority="785">
      <formula>AND(BJ329&gt;0,BJ329&lt;0.5)</formula>
    </cfRule>
  </conditionalFormatting>
  <conditionalFormatting sqref="BJ378:BQ378">
    <cfRule type="expression" dxfId="214" priority="779">
      <formula>AND(BJ378&gt;0,BJ378&lt;0.5)</formula>
    </cfRule>
  </conditionalFormatting>
  <conditionalFormatting sqref="BJ393:BQ393">
    <cfRule type="expression" dxfId="213" priority="778">
      <formula>AND(BJ393&gt;0,BJ393&lt;0.5)</formula>
    </cfRule>
  </conditionalFormatting>
  <conditionalFormatting sqref="BJ430:BQ430">
    <cfRule type="expression" dxfId="212" priority="775">
      <formula>AND(BJ430&gt;0,BJ430&lt;0.5)</formula>
    </cfRule>
  </conditionalFormatting>
  <conditionalFormatting sqref="BJ438:BQ438">
    <cfRule type="expression" dxfId="211" priority="771">
      <formula>AND(BJ438&gt;0,BJ438&lt;0.5)</formula>
    </cfRule>
  </conditionalFormatting>
  <conditionalFormatting sqref="BJ478:BQ478">
    <cfRule type="expression" dxfId="210" priority="767">
      <formula>AND(BJ478&gt;0,BJ478&lt;0.5)</formula>
    </cfRule>
  </conditionalFormatting>
  <conditionalFormatting sqref="BJ520:BQ520">
    <cfRule type="expression" dxfId="209" priority="980">
      <formula>AND(BJ520&gt;0,BJ520&lt;0.5)</formula>
    </cfRule>
  </conditionalFormatting>
  <conditionalFormatting sqref="BJ548:BQ548">
    <cfRule type="expression" dxfId="208" priority="973">
      <formula>AND(BJ548&gt;0,BJ548&lt;0.5)</formula>
    </cfRule>
  </conditionalFormatting>
  <conditionalFormatting sqref="BJ603:BQ603">
    <cfRule type="expression" dxfId="207" priority="965">
      <formula>AND(BJ603&gt;0,BJ603&lt;0.5)</formula>
    </cfRule>
  </conditionalFormatting>
  <conditionalFormatting sqref="BJ636:BQ636">
    <cfRule type="expression" dxfId="206" priority="960">
      <formula>AND(BJ636&gt;0,BJ636&lt;0.5)</formula>
    </cfRule>
  </conditionalFormatting>
  <conditionalFormatting sqref="BJ862:BQ862">
    <cfRule type="expression" dxfId="205" priority="743">
      <formula>AND(BJ862&gt;0,BJ862&lt;0.5)</formula>
    </cfRule>
  </conditionalFormatting>
  <conditionalFormatting sqref="BJ960:BQ960">
    <cfRule type="expression" dxfId="204" priority="739">
      <formula>AND(BJ960&gt;0,BJ960&lt;0.5)</formula>
    </cfRule>
  </conditionalFormatting>
  <conditionalFormatting sqref="BJ1005:BQ1005">
    <cfRule type="expression" dxfId="203" priority="733">
      <formula>AND(BJ1005&gt;0,BJ1005&lt;0.5)</formula>
    </cfRule>
  </conditionalFormatting>
  <conditionalFormatting sqref="BJ1035:BQ1035">
    <cfRule type="expression" dxfId="202" priority="731">
      <formula>AND(BJ1035&gt;0,BJ1035&lt;0.5)</formula>
    </cfRule>
  </conditionalFormatting>
  <conditionalFormatting sqref="BJ1086:BQ1086">
    <cfRule type="expression" dxfId="201" priority="728">
      <formula>AND(BJ1086&gt;0,BJ1086&lt;0.5)</formula>
    </cfRule>
  </conditionalFormatting>
  <conditionalFormatting sqref="BJ1157:BQ1157">
    <cfRule type="expression" dxfId="200" priority="716">
      <formula>AND(BJ1157&gt;0,BJ1157&lt;0.5)</formula>
    </cfRule>
  </conditionalFormatting>
  <conditionalFormatting sqref="BJ1291:BQ1291">
    <cfRule type="expression" dxfId="199" priority="707">
      <formula>AND(BJ1291&gt;0,BJ1291&lt;0.5)</formula>
    </cfRule>
  </conditionalFormatting>
  <conditionalFormatting sqref="BK72">
    <cfRule type="expression" dxfId="198" priority="1246">
      <formula>AND(BK72&gt;0,BK72&lt;0.5)</formula>
    </cfRule>
  </conditionalFormatting>
  <conditionalFormatting sqref="BK148:BK149">
    <cfRule type="expression" dxfId="197" priority="1495">
      <formula>AND(BK148&gt;0,BK148&lt;0.5)</formula>
    </cfRule>
  </conditionalFormatting>
  <conditionalFormatting sqref="BK162">
    <cfRule type="expression" dxfId="196" priority="1163">
      <formula>AND(BK162&gt;0,BK162&lt;0.5)</formula>
    </cfRule>
  </conditionalFormatting>
  <conditionalFormatting sqref="BK169">
    <cfRule type="expression" dxfId="195" priority="1162">
      <formula>AND(BK169&gt;0,BK169&lt;0.5)</formula>
    </cfRule>
  </conditionalFormatting>
  <conditionalFormatting sqref="BK270:BK271">
    <cfRule type="expression" dxfId="194" priority="1235">
      <formula>AND(BK270&gt;0,BK270&lt;0.5)</formula>
    </cfRule>
  </conditionalFormatting>
  <conditionalFormatting sqref="BK301">
    <cfRule type="expression" dxfId="193" priority="1389">
      <formula>AND(BK301&gt;0,BK301&lt;0.5)</formula>
    </cfRule>
  </conditionalFormatting>
  <conditionalFormatting sqref="BK413:BK415">
    <cfRule type="expression" dxfId="192" priority="1408">
      <formula>AND(BK413&gt;0,BK413&lt;0.5)</formula>
    </cfRule>
  </conditionalFormatting>
  <conditionalFormatting sqref="BK417:BK419">
    <cfRule type="expression" dxfId="191" priority="1409">
      <formula>AND(BK417&gt;0,BK417&lt;0.5)</formula>
    </cfRule>
  </conditionalFormatting>
  <conditionalFormatting sqref="BK447">
    <cfRule type="expression" dxfId="190" priority="1189">
      <formula>AND(BK447&gt;0,BK447&lt;0.5)</formula>
    </cfRule>
  </conditionalFormatting>
  <conditionalFormatting sqref="BK677">
    <cfRule type="expression" dxfId="189" priority="1225">
      <formula>AND(BK677&gt;0,BK677&lt;0.5)</formula>
    </cfRule>
  </conditionalFormatting>
  <conditionalFormatting sqref="BK793:BK797">
    <cfRule type="expression" dxfId="188" priority="1215">
      <formula>AND(BK793&gt;0,BK793&lt;0.5)</formula>
    </cfRule>
  </conditionalFormatting>
  <conditionalFormatting sqref="BK801">
    <cfRule type="expression" dxfId="187" priority="1152">
      <formula>AND(BK801&gt;0,BK801&lt;0.5)</formula>
    </cfRule>
  </conditionalFormatting>
  <conditionalFormatting sqref="BK1123:BK1124">
    <cfRule type="expression" dxfId="186" priority="1151">
      <formula>AND(BK1123&gt;0,BK1123&lt;0.5)</formula>
    </cfRule>
  </conditionalFormatting>
  <conditionalFormatting sqref="BK1137:BK1140">
    <cfRule type="expression" dxfId="185" priority="911">
      <formula>AND(BK1137&gt;0,BK1137&lt;0.5)</formula>
    </cfRule>
  </conditionalFormatting>
  <conditionalFormatting sqref="BK154:BL155 BL157:BL160">
    <cfRule type="expression" dxfId="184" priority="762">
      <formula>AND(BK154&gt;0,BK154&lt;0.5)</formula>
    </cfRule>
  </conditionalFormatting>
  <conditionalFormatting sqref="BK360:BL360">
    <cfRule type="expression" dxfId="183" priority="782">
      <formula>AND(BK360&gt;0,BK360&lt;0.5)</formula>
    </cfRule>
  </conditionalFormatting>
  <conditionalFormatting sqref="BK782:BL783">
    <cfRule type="expression" dxfId="182" priority="939">
      <formula>AND(BK782&gt;0,BK782&lt;0.5)</formula>
    </cfRule>
  </conditionalFormatting>
  <conditionalFormatting sqref="BK791:BL791">
    <cfRule type="expression" dxfId="181" priority="136">
      <formula>AND(BK791&gt;0,BK791&lt;0.5)</formula>
    </cfRule>
  </conditionalFormatting>
  <conditionalFormatting sqref="BK498:BO499">
    <cfRule type="expression" dxfId="180" priority="539">
      <formula>AND(BK498&gt;0,BK498&lt;0.5)</formula>
    </cfRule>
  </conditionalFormatting>
  <conditionalFormatting sqref="BK572:BQ574">
    <cfRule type="expression" dxfId="179" priority="38">
      <formula>AND(BK572&gt;0,BK572&lt;0.5)</formula>
    </cfRule>
  </conditionalFormatting>
  <conditionalFormatting sqref="BL90:BL91">
    <cfRule type="expression" dxfId="178" priority="807">
      <formula>AND(BL90&gt;0,BL90&lt;0.5)</formula>
    </cfRule>
  </conditionalFormatting>
  <conditionalFormatting sqref="BL145:BL149">
    <cfRule type="expression" dxfId="177" priority="1148">
      <formula>AND(BL145&gt;0,BL145&lt;0.5)</formula>
    </cfRule>
  </conditionalFormatting>
  <conditionalFormatting sqref="BL162:BL163">
    <cfRule type="expression" dxfId="176" priority="806">
      <formula>AND(BL162&gt;0,BL162&lt;0.5)</formula>
    </cfRule>
  </conditionalFormatting>
  <conditionalFormatting sqref="BL174:BL184">
    <cfRule type="expression" dxfId="175" priority="626">
      <formula>AND(BL174&gt;0,BL174&lt;0.5)</formula>
    </cfRule>
  </conditionalFormatting>
  <conditionalFormatting sqref="BL186:BL195">
    <cfRule type="expression" dxfId="174" priority="761">
      <formula>AND(BL186&gt;0,BL186&lt;0.5)</formula>
    </cfRule>
  </conditionalFormatting>
  <conditionalFormatting sqref="BL199:BL200">
    <cfRule type="expression" dxfId="173" priority="802">
      <formula>AND(BL199&gt;0,BL199&lt;0.5)</formula>
    </cfRule>
  </conditionalFormatting>
  <conditionalFormatting sqref="BL223">
    <cfRule type="expression" dxfId="172" priority="1019">
      <formula>AND(BL223&gt;0,BL223&lt;0.5)</formula>
    </cfRule>
  </conditionalFormatting>
  <conditionalFormatting sqref="BL236:BL237">
    <cfRule type="expression" dxfId="171" priority="797">
      <formula>AND(BL236&gt;0,BL236&lt;0.5)</formula>
    </cfRule>
  </conditionalFormatting>
  <conditionalFormatting sqref="BL239:BL240">
    <cfRule type="expression" dxfId="170" priority="795">
      <formula>AND(BL239&gt;0,BL239&lt;0.5)</formula>
    </cfRule>
  </conditionalFormatting>
  <conditionalFormatting sqref="BL267">
    <cfRule type="expression" dxfId="169" priority="907">
      <formula>AND(BL267&gt;0,BL267&lt;0.5)</formula>
    </cfRule>
  </conditionalFormatting>
  <conditionalFormatting sqref="BL269:BL271">
    <cfRule type="expression" dxfId="168" priority="789">
      <formula>AND(BL269&gt;0,BL269&lt;0.5)</formula>
    </cfRule>
  </conditionalFormatting>
  <conditionalFormatting sqref="BL350">
    <cfRule type="expression" dxfId="167" priority="1056">
      <formula>AND(BL350&gt;0,BL350&lt;0.5)</formula>
    </cfRule>
  </conditionalFormatting>
  <conditionalFormatting sqref="BL370">
    <cfRule type="expression" dxfId="166" priority="998">
      <formula>AND(BL370&gt;0,BL370&lt;0.5)</formula>
    </cfRule>
  </conditionalFormatting>
  <conditionalFormatting sqref="BL377">
    <cfRule type="expression" dxfId="165" priority="996">
      <formula>AND(BL377&gt;0,BL377&lt;0.5)</formula>
    </cfRule>
  </conditionalFormatting>
  <conditionalFormatting sqref="BL384:BL386">
    <cfRule type="expression" dxfId="164" priority="1035">
      <formula>AND(BL384&gt;0,BL384&lt;0.5)</formula>
    </cfRule>
  </conditionalFormatting>
  <conditionalFormatting sqref="BL392">
    <cfRule type="expression" dxfId="163" priority="995">
      <formula>AND(BL392&gt;0,BL392&lt;0.5)</formula>
    </cfRule>
  </conditionalFormatting>
  <conditionalFormatting sqref="BL402">
    <cfRule type="expression" dxfId="162" priority="994">
      <formula>AND(BL402&gt;0,BL402&lt;0.5)</formula>
    </cfRule>
  </conditionalFormatting>
  <conditionalFormatting sqref="BL409">
    <cfRule type="expression" dxfId="161" priority="287">
      <formula>AND(BL409&gt;0,BL409&lt;0.5)</formula>
    </cfRule>
  </conditionalFormatting>
  <conditionalFormatting sqref="BL412:BL415 BL417:BL420">
    <cfRule type="expression" dxfId="160" priority="993">
      <formula>AND(BL412&gt;0,BL412&lt;0.5)</formula>
    </cfRule>
  </conditionalFormatting>
  <conditionalFormatting sqref="BL429">
    <cfRule type="expression" dxfId="159" priority="878">
      <formula>AND(BL429&gt;0,BL429&lt;0.5)</formula>
    </cfRule>
  </conditionalFormatting>
  <conditionalFormatting sqref="BL437">
    <cfRule type="expression" dxfId="158" priority="992">
      <formula>AND(BL437&gt;0,BL437&lt;0.5)</formula>
    </cfRule>
  </conditionalFormatting>
  <conditionalFormatting sqref="BL452">
    <cfRule type="expression" dxfId="157" priority="770">
      <formula>AND(BL452&gt;0,BL452&lt;0.5)</formula>
    </cfRule>
  </conditionalFormatting>
  <conditionalFormatting sqref="BL458">
    <cfRule type="expression" dxfId="156" priority="815">
      <formula>AND(BL458&gt;0,BL458&lt;0.5)</formula>
    </cfRule>
  </conditionalFormatting>
  <conditionalFormatting sqref="BL477">
    <cfRule type="expression" dxfId="155" priority="986">
      <formula>AND(BL477&gt;0,BL477&lt;0.5)</formula>
    </cfRule>
  </conditionalFormatting>
  <conditionalFormatting sqref="BL501">
    <cfRule type="expression" dxfId="154" priority="982">
      <formula>AND(BL501&gt;0,BL501&lt;0.5)</formula>
    </cfRule>
  </conditionalFormatting>
  <conditionalFormatting sqref="BL509">
    <cfRule type="expression" dxfId="153" priority="981">
      <formula>AND(BL509&gt;0,BL509&lt;0.5)</formula>
    </cfRule>
  </conditionalFormatting>
  <conditionalFormatting sqref="BL528">
    <cfRule type="expression" dxfId="152" priority="979">
      <formula>AND(BL528&gt;0,BL528&lt;0.5)</formula>
    </cfRule>
  </conditionalFormatting>
  <conditionalFormatting sqref="BL537">
    <cfRule type="expression" dxfId="151" priority="976">
      <formula>AND(BL537&gt;0,BL537&lt;0.5)</formula>
    </cfRule>
  </conditionalFormatting>
  <conditionalFormatting sqref="BL692:BL697">
    <cfRule type="expression" dxfId="150" priority="752">
      <formula>AND(BL692&gt;0,BL692&lt;0.5)</formula>
    </cfRule>
  </conditionalFormatting>
  <conditionalFormatting sqref="BL699:BL701">
    <cfRule type="expression" dxfId="149" priority="753">
      <formula>AND(BL699&gt;0,BL699&lt;0.5)</formula>
    </cfRule>
  </conditionalFormatting>
  <conditionalFormatting sqref="BL710">
    <cfRule type="expression" dxfId="148" priority="949">
      <formula>AND(BL710&gt;0,BL710&lt;0.5)</formula>
    </cfRule>
  </conditionalFormatting>
  <conditionalFormatting sqref="BL792:BL797">
    <cfRule type="expression" dxfId="147" priority="936">
      <formula>AND(BL792&gt;0,BL792&lt;0.5)</formula>
    </cfRule>
  </conditionalFormatting>
  <conditionalFormatting sqref="BL805">
    <cfRule type="expression" dxfId="146" priority="934">
      <formula>AND(BL805&gt;0,BL805&lt;0.5)</formula>
    </cfRule>
  </conditionalFormatting>
  <conditionalFormatting sqref="BL809">
    <cfRule type="expression" dxfId="145" priority="931">
      <formula>AND(BL809&gt;0,BL809&lt;0.5)</formula>
    </cfRule>
  </conditionalFormatting>
  <conditionalFormatting sqref="BL837">
    <cfRule type="expression" dxfId="144" priority="872">
      <formula>AND(BL837&gt;0,BL837&lt;0.5)</formula>
    </cfRule>
  </conditionalFormatting>
  <conditionalFormatting sqref="BL870:BL871">
    <cfRule type="expression" dxfId="143" priority="927">
      <formula>AND(BL870&gt;0,BL870&lt;0.5)</formula>
    </cfRule>
  </conditionalFormatting>
  <conditionalFormatting sqref="BL959">
    <cfRule type="expression" dxfId="142" priority="1067">
      <formula>AND(BL959&gt;0,BL959&lt;0.5)</formula>
    </cfRule>
  </conditionalFormatting>
  <conditionalFormatting sqref="BL976:BL977">
    <cfRule type="expression" dxfId="141" priority="738">
      <formula>AND(BL976&gt;0,BL976&lt;0.5)</formula>
    </cfRule>
  </conditionalFormatting>
  <conditionalFormatting sqref="BL982">
    <cfRule type="expression" dxfId="140" priority="1036">
      <formula>AND(BL982&gt;0,BL982&lt;0.5)</formula>
    </cfRule>
  </conditionalFormatting>
  <conditionalFormatting sqref="BL995">
    <cfRule type="expression" dxfId="139" priority="923">
      <formula>AND(BL995&gt;0,BL995&lt;0.5)</formula>
    </cfRule>
  </conditionalFormatting>
  <conditionalFormatting sqref="BL1034">
    <cfRule type="expression" dxfId="138" priority="921">
      <formula>AND(BL1034&gt;0,BL1034&lt;0.5)</formula>
    </cfRule>
  </conditionalFormatting>
  <conditionalFormatting sqref="BL1065">
    <cfRule type="expression" dxfId="137" priority="1146">
      <formula>AND(BL1065&gt;0,BL1065&lt;0.5)</formula>
    </cfRule>
  </conditionalFormatting>
  <conditionalFormatting sqref="BL1085">
    <cfRule type="expression" dxfId="136" priority="920">
      <formula>AND(BL1085&gt;0,BL1085&lt;0.5)</formula>
    </cfRule>
  </conditionalFormatting>
  <conditionalFormatting sqref="BL1095">
    <cfRule type="expression" dxfId="135" priority="970">
      <formula>AND(BL1095&gt;0,BL1095&lt;0.5)</formula>
    </cfRule>
  </conditionalFormatting>
  <conditionalFormatting sqref="BL1107:BL1109">
    <cfRule type="expression" dxfId="134" priority="917">
      <formula>AND(BL1107&gt;0,BL1107&lt;0.5)</formula>
    </cfRule>
  </conditionalFormatting>
  <conditionalFormatting sqref="BL1125:BL1128">
    <cfRule type="expression" dxfId="133" priority="915">
      <formula>AND(BL1125&gt;0,BL1125&lt;0.5)</formula>
    </cfRule>
  </conditionalFormatting>
  <conditionalFormatting sqref="BL1134">
    <cfRule type="expression" dxfId="132" priority="909">
      <formula>AND(BL1134&gt;0,BL1134&lt;0.5)</formula>
    </cfRule>
  </conditionalFormatting>
  <conditionalFormatting sqref="BL1138">
    <cfRule type="expression" dxfId="131" priority="901">
      <formula>AND(BL1138&gt;0,BL1138&lt;0.5)</formula>
    </cfRule>
  </conditionalFormatting>
  <conditionalFormatting sqref="BL1141">
    <cfRule type="expression" dxfId="130" priority="899">
      <formula>AND(BL1141&gt;0,BL1141&lt;0.5)</formula>
    </cfRule>
  </conditionalFormatting>
  <conditionalFormatting sqref="BL1156">
    <cfRule type="expression" dxfId="129" priority="897">
      <formula>AND(BL1156&gt;0,BL1156&lt;0.5)</formula>
    </cfRule>
  </conditionalFormatting>
  <conditionalFormatting sqref="BL1191">
    <cfRule type="expression" dxfId="128" priority="894">
      <formula>AND(BL1191&gt;0,BL1191&lt;0.5)</formula>
    </cfRule>
  </conditionalFormatting>
  <conditionalFormatting sqref="BL1200">
    <cfRule type="expression" dxfId="127" priority="893">
      <formula>AND(BL1200&gt;0,BL1200&lt;0.5)</formula>
    </cfRule>
  </conditionalFormatting>
  <conditionalFormatting sqref="BL1208:BL1209">
    <cfRule type="expression" dxfId="126" priority="711">
      <formula>AND(BL1208&gt;0,BL1208&lt;0.5)</formula>
    </cfRule>
  </conditionalFormatting>
  <conditionalFormatting sqref="BL1237">
    <cfRule type="expression" dxfId="125" priority="884">
      <formula>AND(BL1237&gt;0,BL1237&lt;0.5)</formula>
    </cfRule>
  </conditionalFormatting>
  <conditionalFormatting sqref="BL1243">
    <cfRule type="expression" dxfId="124" priority="865">
      <formula>AND(BL1243&gt;0,BL1243&lt;0.5)</formula>
    </cfRule>
  </conditionalFormatting>
  <conditionalFormatting sqref="BL1272:BL1273">
    <cfRule type="expression" dxfId="123" priority="880">
      <formula>AND(BL1272&gt;0,BL1272&lt;0.5)</formula>
    </cfRule>
  </conditionalFormatting>
  <conditionalFormatting sqref="BL1290">
    <cfRule type="expression" dxfId="122" priority="870">
      <formula>AND(BL1290&gt;0,BL1290&lt;0.5)</formula>
    </cfRule>
  </conditionalFormatting>
  <conditionalFormatting sqref="BL1302">
    <cfRule type="expression" dxfId="121" priority="868">
      <formula>AND(BL1302&gt;0,BL1302&lt;0.5)</formula>
    </cfRule>
  </conditionalFormatting>
  <conditionalFormatting sqref="BL1308">
    <cfRule type="expression" dxfId="120" priority="869">
      <formula>AND(BL1308&gt;0,BL1308&lt;0.5)</formula>
    </cfRule>
  </conditionalFormatting>
  <conditionalFormatting sqref="BL229:BM230">
    <cfRule type="expression" dxfId="119" priority="601">
      <formula>AND(BL229&gt;0,BL229&lt;0.5)</formula>
    </cfRule>
  </conditionalFormatting>
  <conditionalFormatting sqref="BL259:BM261">
    <cfRule type="expression" dxfId="118" priority="791">
      <formula>AND(BL259&gt;0,BL259&lt;0.5)</formula>
    </cfRule>
  </conditionalFormatting>
  <conditionalFormatting sqref="BL359:BM359">
    <cfRule type="expression" dxfId="117" priority="1000">
      <formula>AND(BL359&gt;0,BL359&lt;0.5)</formula>
    </cfRule>
  </conditionalFormatting>
  <conditionalFormatting sqref="BL476:BM476">
    <cfRule type="expression" dxfId="116" priority="98">
      <formula>AND(BL476&gt;0,BL476&lt;0.5)</formula>
    </cfRule>
  </conditionalFormatting>
  <conditionalFormatting sqref="BL558:BM560 BL562:BM563">
    <cfRule type="expression" dxfId="115" priority="627">
      <formula>AND(BL558&gt;0,BL558&lt;0.5)</formula>
    </cfRule>
  </conditionalFormatting>
  <conditionalFormatting sqref="BL736:BM736">
    <cfRule type="expression" dxfId="114" priority="576">
      <formula>AND(BL736&gt;0,BL736&lt;0.5)</formula>
    </cfRule>
  </conditionalFormatting>
  <conditionalFormatting sqref="BL841:BM844">
    <cfRule type="expression" dxfId="113" priority="745">
      <formula>AND(BL841&gt;0,BL841&lt;0.5)</formula>
    </cfRule>
  </conditionalFormatting>
  <conditionalFormatting sqref="BL1011:BM1012">
    <cfRule type="expression" dxfId="112" priority="582">
      <formula>AND(BL1011&gt;0,BL1011&lt;0.5)</formula>
    </cfRule>
  </conditionalFormatting>
  <conditionalFormatting sqref="BL1139:BM1140">
    <cfRule type="expression" dxfId="111" priority="718">
      <formula>AND(BL1139&gt;0,BL1139&lt;0.5)</formula>
    </cfRule>
  </conditionalFormatting>
  <conditionalFormatting sqref="BL138:BO142">
    <cfRule type="expression" dxfId="110" priority="675">
      <formula>AND(BL138&gt;0,BL138&lt;0.5)</formula>
    </cfRule>
  </conditionalFormatting>
  <conditionalFormatting sqref="BL540:BO541">
    <cfRule type="expression" dxfId="109" priority="756">
      <formula>AND(BL540&gt;0,BL540&lt;0.5)</formula>
    </cfRule>
  </conditionalFormatting>
  <conditionalFormatting sqref="BL545:BO546">
    <cfRule type="expression" dxfId="108" priority="498">
      <formula>AND(BL545&gt;0,BL545&lt;0.5)</formula>
    </cfRule>
  </conditionalFormatting>
  <conditionalFormatting sqref="BL565:BP565">
    <cfRule type="expression" dxfId="107" priority="336">
      <formula>AND(BL565&gt;0,BL565&lt;0.5)</formula>
    </cfRule>
  </conditionalFormatting>
  <conditionalFormatting sqref="BL1104:BP1105">
    <cfRule type="expression" dxfId="106" priority="65">
      <formula>AND(BL1104&gt;0,BL1104&lt;0.5)</formula>
    </cfRule>
  </conditionalFormatting>
  <conditionalFormatting sqref="BL172:BQ172">
    <cfRule type="expression" dxfId="105" priority="695">
      <formula>AND(BL172&gt;0,BL172&lt;0.5)</formula>
    </cfRule>
  </conditionalFormatting>
  <conditionalFormatting sqref="BL557:BQ557">
    <cfRule type="expression" dxfId="104" priority="968">
      <formula>AND(BL557&gt;0,BL557&lt;0.5)</formula>
    </cfRule>
  </conditionalFormatting>
  <conditionalFormatting sqref="BL793:BQ793">
    <cfRule type="expression" dxfId="103" priority="615">
      <formula>AND(BL793&gt;0,BL793&lt;0.5)</formula>
    </cfRule>
  </conditionalFormatting>
  <conditionalFormatting sqref="BL1108:BQ1108">
    <cfRule type="expression" dxfId="102" priority="723">
      <formula>AND(BL1108&gt;0,BL1108&lt;0.5)</formula>
    </cfRule>
  </conditionalFormatting>
  <conditionalFormatting sqref="BL1126:BQ1126">
    <cfRule type="expression" dxfId="101" priority="507">
      <formula>AND(BL1126&gt;0,BL1126&lt;0.5)</formula>
    </cfRule>
  </conditionalFormatting>
  <conditionalFormatting sqref="BM179:BM184">
    <cfRule type="expression" dxfId="100" priority="691">
      <formula>AND(BM179&gt;0,BM179&lt;0.5)</formula>
    </cfRule>
  </conditionalFormatting>
  <conditionalFormatting sqref="BM187:BM189">
    <cfRule type="expression" dxfId="99" priority="671">
      <formula>AND(BM187&gt;0,BM187&lt;0.5)</formula>
    </cfRule>
  </conditionalFormatting>
  <conditionalFormatting sqref="BM191:BM192">
    <cfRule type="expression" dxfId="98" priority="670">
      <formula>AND(BM191&gt;0,BM191&lt;0.5)</formula>
    </cfRule>
  </conditionalFormatting>
  <conditionalFormatting sqref="BM218">
    <cfRule type="expression" dxfId="97" priority="86">
      <formula>AND(BM218&gt;0,BM218&lt;0.5)</formula>
    </cfRule>
  </conditionalFormatting>
  <conditionalFormatting sqref="BM235:BM237">
    <cfRule type="expression" dxfId="96" priority="630">
      <formula>AND(BM235&gt;0,BM235&lt;0.5)</formula>
    </cfRule>
  </conditionalFormatting>
  <conditionalFormatting sqref="BM256">
    <cfRule type="expression" dxfId="95" priority="493">
      <formula>AND(BM256&gt;0,BM256&lt;0.5)</formula>
    </cfRule>
  </conditionalFormatting>
  <conditionalFormatting sqref="BM367:BM368">
    <cfRule type="expression" dxfId="94" priority="625">
      <formula>AND(BM367&gt;0,BM367&lt;0.5)</formula>
    </cfRule>
  </conditionalFormatting>
  <conditionalFormatting sqref="BM631">
    <cfRule type="expression" dxfId="93" priority="246">
      <formula>AND(BM631&gt;0,BM631&lt;0.5)</formula>
    </cfRule>
  </conditionalFormatting>
  <conditionalFormatting sqref="BM677">
    <cfRule type="expression" dxfId="92" priority="621">
      <formula>AND(BM677&gt;0,BM677&lt;0.5)</formula>
    </cfRule>
  </conditionalFormatting>
  <conditionalFormatting sqref="BM693:BM694">
    <cfRule type="expression" dxfId="91" priority="187">
      <formula>AND(BM693&gt;0,BM693&lt;0.5)</formula>
    </cfRule>
  </conditionalFormatting>
  <conditionalFormatting sqref="BM846:BM850">
    <cfRule type="expression" dxfId="90" priority="613">
      <formula>AND(BM846&gt;0,BM846&lt;0.5)</formula>
    </cfRule>
  </conditionalFormatting>
  <conditionalFormatting sqref="BM1111:BM1112">
    <cfRule type="expression" dxfId="89" priority="612">
      <formula>AND(BM1111&gt;0,BM1111&lt;0.5)</formula>
    </cfRule>
  </conditionalFormatting>
  <conditionalFormatting sqref="BM1126:BM1128">
    <cfRule type="expression" dxfId="88" priority="611">
      <formula>AND(BM1126&gt;0,BM1126&lt;0.5)</formula>
    </cfRule>
  </conditionalFormatting>
  <conditionalFormatting sqref="BM148:BN148">
    <cfRule type="expression" dxfId="87" priority="701">
      <formula>AND(BM148&gt;0,BM148&lt;0.5)</formula>
    </cfRule>
  </conditionalFormatting>
  <conditionalFormatting sqref="BM1209:BN1209">
    <cfRule type="expression" dxfId="86" priority="679">
      <formula>AND(BM1209&gt;0,BM1209&lt;0.5)</formula>
    </cfRule>
  </conditionalFormatting>
  <conditionalFormatting sqref="BM155:BO155 AI156:BM156 BM157:BM158">
    <cfRule type="expression" dxfId="85" priority="696">
      <formula>AND(AI155&gt;0,AI155&lt;0.5)</formula>
    </cfRule>
  </conditionalFormatting>
  <conditionalFormatting sqref="BM269:BO270">
    <cfRule type="expression" dxfId="84" priority="660">
      <formula>AND(BM269&gt;0,BM269&lt;0.5)</formula>
    </cfRule>
  </conditionalFormatting>
  <conditionalFormatting sqref="BM413:BO415 BM417:BO419">
    <cfRule type="expression" dxfId="83" priority="339">
      <formula>AND(BM413&gt;0,BM413&lt;0.5)</formula>
    </cfRule>
  </conditionalFormatting>
  <conditionalFormatting sqref="BM763:BO768 BM770:BO772">
    <cfRule type="expression" dxfId="82" priority="328">
      <formula>AND(BM763&gt;0,BM763&lt;0.5)</formula>
    </cfRule>
  </conditionalFormatting>
  <conditionalFormatting sqref="BM794:BO797">
    <cfRule type="expression" dxfId="81" priority="281">
      <formula>AND(BM794&gt;0,BM794&lt;0.5)</formula>
    </cfRule>
  </conditionalFormatting>
  <conditionalFormatting sqref="BM1108:BP1109">
    <cfRule type="expression" dxfId="80" priority="104">
      <formula>AND(BM1108&gt;0,BM1108&lt;0.5)</formula>
    </cfRule>
  </conditionalFormatting>
  <conditionalFormatting sqref="BM160:BQ160">
    <cfRule type="expression" dxfId="79" priority="663">
      <formula>AND(BM160&gt;0,BM160&lt;0.5)</formula>
    </cfRule>
  </conditionalFormatting>
  <conditionalFormatting sqref="BM175:BQ177">
    <cfRule type="expression" dxfId="78" priority="54">
      <formula>AND(BM175&gt;0,BM175&lt;0.5)</formula>
    </cfRule>
  </conditionalFormatting>
  <conditionalFormatting sqref="BM186:BQ186">
    <cfRule type="expression" dxfId="77" priority="672">
      <formula>AND(BM186&gt;0,BM186&lt;0.5)</formula>
    </cfRule>
  </conditionalFormatting>
  <conditionalFormatting sqref="BM195:BQ195">
    <cfRule type="expression" dxfId="76" priority="667">
      <formula>AND(BM195&gt;0,BM195&lt;0.5)</formula>
    </cfRule>
  </conditionalFormatting>
  <conditionalFormatting sqref="BM197:BQ198">
    <cfRule type="expression" dxfId="75" priority="51">
      <formula>AND(BM197&gt;0,BM197&lt;0.5)</formula>
    </cfRule>
  </conditionalFormatting>
  <conditionalFormatting sqref="BM200:BQ200">
    <cfRule type="expression" dxfId="74" priority="690">
      <formula>AND(BM200&gt;0,BM200&lt;0.5)</formula>
    </cfRule>
  </conditionalFormatting>
  <conditionalFormatting sqref="BM240:BQ240">
    <cfRule type="expression" dxfId="73" priority="666">
      <formula>AND(BM240&gt;0,BM240&lt;0.5)</formula>
    </cfRule>
  </conditionalFormatting>
  <conditionalFormatting sqref="BM385:BQ385">
    <cfRule type="expression" dxfId="72" priority="628">
      <formula>AND(BM385&gt;0,BM385&lt;0.5)</formula>
    </cfRule>
  </conditionalFormatting>
  <conditionalFormatting sqref="BM782:BQ782">
    <cfRule type="expression" dxfId="71" priority="657">
      <formula>AND(BM782&gt;0,BM782&lt;0.5)</formula>
    </cfRule>
  </conditionalFormatting>
  <conditionalFormatting sqref="BM977:BQ977">
    <cfRule type="expression" dxfId="70" priority="656">
      <formula>AND(BM977&gt;0,BM977&lt;0.5)</formula>
    </cfRule>
  </conditionalFormatting>
  <conditionalFormatting sqref="BN136">
    <cfRule type="expression" dxfId="69" priority="555">
      <formula>AND(BN136&gt;0,BN136&lt;0.5)</formula>
    </cfRule>
  </conditionalFormatting>
  <conditionalFormatting sqref="BN369">
    <cfRule type="expression" dxfId="68" priority="532">
      <formula>AND(BN369&gt;0,BN369&lt;0.5)</formula>
    </cfRule>
  </conditionalFormatting>
  <conditionalFormatting sqref="BN391">
    <cfRule type="expression" dxfId="67" priority="317">
      <formula>AND(BN391&gt;0,BN391&lt;0.5)</formula>
    </cfRule>
  </conditionalFormatting>
  <conditionalFormatting sqref="BN489">
    <cfRule type="expression" dxfId="66" priority="74">
      <formula>AND(BN489&gt;0,BN489&lt;0.5)</formula>
    </cfRule>
  </conditionalFormatting>
  <conditionalFormatting sqref="BN547">
    <cfRule type="expression" dxfId="65" priority="497">
      <formula>AND(BN547&gt;0,BN547&lt;0.5)</formula>
    </cfRule>
  </conditionalFormatting>
  <conditionalFormatting sqref="BN558 BN560">
    <cfRule type="expression" dxfId="64" priority="499">
      <formula>AND(BN558&gt;0,BN558&lt;0.5)</formula>
    </cfRule>
  </conditionalFormatting>
  <conditionalFormatting sqref="BN629:BN630">
    <cfRule type="expression" dxfId="63" priority="511">
      <formula>AND(BN629&gt;0,BN629&lt;0.5)</formula>
    </cfRule>
  </conditionalFormatting>
  <conditionalFormatting sqref="BN694 BM695:BN697 BM699:BN700">
    <cfRule type="expression" dxfId="62" priority="685">
      <formula>AND(BM694&gt;0,BM694&lt;0.5)</formula>
    </cfRule>
  </conditionalFormatting>
  <conditionalFormatting sqref="BN732:BN735">
    <cfRule type="expression" dxfId="61" priority="483">
      <formula>AND(BN732&gt;0,BN732&lt;0.5)</formula>
    </cfRule>
  </conditionalFormatting>
  <conditionalFormatting sqref="BN801:BN802">
    <cfRule type="expression" dxfId="60" priority="484">
      <formula>AND(BN801&gt;0,BN801&lt;0.5)</formula>
    </cfRule>
  </conditionalFormatting>
  <conditionalFormatting sqref="BN1117">
    <cfRule type="expression" dxfId="59" priority="550">
      <formula>AND(BN1117&gt;0,BN1117&lt;0.5)</formula>
    </cfRule>
  </conditionalFormatting>
  <conditionalFormatting sqref="BN97:BO97">
    <cfRule type="expression" dxfId="58" priority="505">
      <formula>AND(BN97&gt;0,BN97&lt;0.5)</formula>
    </cfRule>
  </conditionalFormatting>
  <conditionalFormatting sqref="BN233:BO237">
    <cfRule type="expression" dxfId="57" priority="412">
      <formula>AND(BN233&gt;0,BN233&lt;0.5)</formula>
    </cfRule>
  </conditionalFormatting>
  <conditionalFormatting sqref="BN259:BO262">
    <cfRule type="expression" dxfId="56" priority="341">
      <formula>AND(BN259&gt;0,BN259&lt;0.5)</formula>
    </cfRule>
  </conditionalFormatting>
  <conditionalFormatting sqref="BN275:BO275">
    <cfRule type="expression" dxfId="55" priority="488">
      <formula>AND(BN275&gt;0,BN275&lt;0.5)</formula>
    </cfRule>
  </conditionalFormatting>
  <conditionalFormatting sqref="BN1071:BO1071">
    <cfRule type="expression" dxfId="54" priority="254">
      <formula>AND(BN1071&gt;0,BN1071&lt;0.5)</formula>
    </cfRule>
  </conditionalFormatting>
  <conditionalFormatting sqref="BN1140:BP1140">
    <cfRule type="expression" dxfId="53" priority="482">
      <formula>AND(BN1140&gt;0,BN1140&lt;0.5)</formula>
    </cfRule>
  </conditionalFormatting>
  <conditionalFormatting sqref="BN1280:BP1280">
    <cfRule type="expression" dxfId="52" priority="234">
      <formula>AND(BN1280&gt;0,BN1280&lt;0.5)</formula>
    </cfRule>
  </conditionalFormatting>
  <conditionalFormatting sqref="BN93:BQ94">
    <cfRule type="expression" dxfId="51" priority="57">
      <formula>AND(BN93&gt;0,BN93&lt;0.5)</formula>
    </cfRule>
  </conditionalFormatting>
  <conditionalFormatting sqref="BN179:BQ182">
    <cfRule type="expression" dxfId="50" priority="53">
      <formula>AND(BN179&gt;0,BN179&lt;0.5)</formula>
    </cfRule>
  </conditionalFormatting>
  <conditionalFormatting sqref="BN187:BQ192">
    <cfRule type="expression" dxfId="49" priority="52">
      <formula>AND(BN187&gt;0,BN187&lt;0.5)</formula>
    </cfRule>
  </conditionalFormatting>
  <conditionalFormatting sqref="BN228:BQ228">
    <cfRule type="expression" dxfId="48" priority="543">
      <formula>AND(BN228&gt;0,BN228&lt;0.5)</formula>
    </cfRule>
  </conditionalFormatting>
  <conditionalFormatting sqref="BN367:BQ367">
    <cfRule type="expression" dxfId="47" priority="531">
      <formula>AND(BN367&gt;0,BN367&lt;0.5)</formula>
    </cfRule>
  </conditionalFormatting>
  <conditionalFormatting sqref="BN693:BQ693">
    <cfRule type="expression" dxfId="46" priority="684">
      <formula>AND(BN693&gt;0,BN693&lt;0.5)</formula>
    </cfRule>
  </conditionalFormatting>
  <conditionalFormatting sqref="BN818:BQ819">
    <cfRule type="expression" dxfId="45" priority="27">
      <formula>AND(BN818&gt;0,BN818&lt;0.5)</formula>
    </cfRule>
  </conditionalFormatting>
  <conditionalFormatting sqref="BN1010:BQ1010">
    <cfRule type="expression" dxfId="44" priority="537">
      <formula>AND(BN1010&gt;0,BN1010&lt;0.5)</formula>
    </cfRule>
  </conditionalFormatting>
  <conditionalFormatting sqref="BN1127:BQ1128">
    <cfRule type="expression" dxfId="43" priority="16">
      <formula>AND(BN1127&gt;0,BN1127&lt;0.5)</formula>
    </cfRule>
  </conditionalFormatting>
  <conditionalFormatting sqref="BN1236:BQ1236">
    <cfRule type="expression" dxfId="42" priority="63">
      <formula>AND(BN1236&gt;0,BN1236&lt;0.5)</formula>
    </cfRule>
  </conditionalFormatting>
  <conditionalFormatting sqref="BO567">
    <cfRule type="expression" dxfId="41" priority="338">
      <formula>AND(BO567&gt;0,BO567&lt;0.5)</formula>
    </cfRule>
  </conditionalFormatting>
  <conditionalFormatting sqref="BO801:BO803">
    <cfRule type="expression" dxfId="40" priority="327">
      <formula>AND(BO801&gt;0,BO801&lt;0.5)</formula>
    </cfRule>
  </conditionalFormatting>
  <conditionalFormatting sqref="BO857:BO859">
    <cfRule type="expression" dxfId="39" priority="344">
      <formula>AND(BO857&gt;0,BO857&lt;0.5)</formula>
    </cfRule>
  </conditionalFormatting>
  <conditionalFormatting sqref="BO999">
    <cfRule type="expression" dxfId="38" priority="343">
      <formula>AND(BO999&gt;0,BO999&lt;0.5)</formula>
    </cfRule>
  </conditionalFormatting>
  <conditionalFormatting sqref="BO558:BP563">
    <cfRule type="expression" dxfId="37" priority="73">
      <formula>AND(BO558&gt;0,BO558&lt;0.5)</formula>
    </cfRule>
  </conditionalFormatting>
  <conditionalFormatting sqref="BO1313:BP1313">
    <cfRule type="expression" dxfId="36" priority="404">
      <formula>AND(BO1313&gt;0,BO1313&lt;0.5)</formula>
    </cfRule>
  </conditionalFormatting>
  <conditionalFormatting sqref="BO368:BQ368">
    <cfRule type="expression" dxfId="35" priority="340">
      <formula>AND(BO368&gt;0,BO368&lt;0.5)</formula>
    </cfRule>
  </conditionalFormatting>
  <conditionalFormatting sqref="BO577:BQ581">
    <cfRule type="expression" dxfId="34" priority="37">
      <formula>AND(BO577&gt;0,BO577&lt;0.5)</formula>
    </cfRule>
  </conditionalFormatting>
  <conditionalFormatting sqref="BO629:BQ633">
    <cfRule type="expression" dxfId="33" priority="2">
      <formula>AND(BO629&gt;0,BO629&lt;0.5)</formula>
    </cfRule>
  </conditionalFormatting>
  <conditionalFormatting sqref="BO732:BQ733">
    <cfRule type="expression" dxfId="32" priority="9">
      <formula>AND(BO732&gt;0,BO732&lt;0.5)</formula>
    </cfRule>
  </conditionalFormatting>
  <conditionalFormatting sqref="BO735:BQ735">
    <cfRule type="expression" dxfId="31" priority="330">
      <formula>AND(BO735&gt;0,BO735&lt;0.5)</formula>
    </cfRule>
  </conditionalFormatting>
  <conditionalFormatting sqref="BO1011:BQ1011">
    <cfRule type="expression" dxfId="30" priority="69">
      <formula>AND(BO1011&gt;0,BO1011&lt;0.5)</formula>
    </cfRule>
  </conditionalFormatting>
  <conditionalFormatting sqref="BP259:BP261">
    <cfRule type="expression" dxfId="29" priority="78">
      <formula>AND(BP259&gt;0,BP259&lt;0.5)</formula>
    </cfRule>
  </conditionalFormatting>
  <conditionalFormatting sqref="BP418:BP420">
    <cfRule type="expression" dxfId="28" priority="117">
      <formula>AND(BP418&gt;0,BP418&lt;0.5)</formula>
    </cfRule>
  </conditionalFormatting>
  <conditionalFormatting sqref="BP763:BP767">
    <cfRule type="expression" dxfId="27" priority="103">
      <formula>AND(BP763&gt;0,BP763&lt;0.5)</formula>
    </cfRule>
  </conditionalFormatting>
  <conditionalFormatting sqref="BP794:BP798">
    <cfRule type="expression" dxfId="26" priority="95">
      <formula>AND(BP794&gt;0,BP794&lt;0.5)</formula>
    </cfRule>
  </conditionalFormatting>
  <conditionalFormatting sqref="BP1113:BP1118">
    <cfRule type="expression" dxfId="25" priority="105">
      <formula>AND(BP1113&gt;0,BP1113&lt;0.5)</formula>
    </cfRule>
  </conditionalFormatting>
  <conditionalFormatting sqref="BP138:BQ141">
    <cfRule type="expression" dxfId="24" priority="55">
      <formula>AND(BP138&gt;0,BP138&lt;0.5)</formula>
    </cfRule>
  </conditionalFormatting>
  <conditionalFormatting sqref="BP151:BQ151">
    <cfRule type="expression" dxfId="23" priority="82">
      <formula>AND(BP151&gt;0,BP151&lt;0.5)</formula>
    </cfRule>
  </conditionalFormatting>
  <conditionalFormatting sqref="BP229:BQ229">
    <cfRule type="expression" dxfId="22" priority="76">
      <formula>AND(BP229&gt;0,BP229&lt;0.5)</formula>
    </cfRule>
  </conditionalFormatting>
  <conditionalFormatting sqref="BP231:BQ237">
    <cfRule type="expression" dxfId="21" priority="49">
      <formula>AND(BP231&gt;0,BP231&lt;0.5)</formula>
    </cfRule>
  </conditionalFormatting>
  <conditionalFormatting sqref="BP269:BQ275">
    <cfRule type="expression" dxfId="20" priority="48">
      <formula>AND(BP269&gt;0,BP269&lt;0.5)</formula>
    </cfRule>
  </conditionalFormatting>
  <conditionalFormatting sqref="BP413:BQ416">
    <cfRule type="expression" dxfId="19" priority="41">
      <formula>AND(BP413&gt;0,BP413&lt;0.5)</formula>
    </cfRule>
  </conditionalFormatting>
  <conditionalFormatting sqref="BP495:BQ499">
    <cfRule type="expression" dxfId="18" priority="40">
      <formula>AND(BP495&gt;0,BP495&lt;0.5)</formula>
    </cfRule>
  </conditionalFormatting>
  <conditionalFormatting sqref="BP772:BQ772">
    <cfRule type="expression" dxfId="17" priority="71">
      <formula>AND(BP772&gt;0,BP772&lt;0.5)</formula>
    </cfRule>
  </conditionalFormatting>
  <conditionalFormatting sqref="BP1079:BQ1083">
    <cfRule type="expression" dxfId="16" priority="8">
      <formula>AND(BP1079&gt;0,BP1079&lt;0.5)</formula>
    </cfRule>
  </conditionalFormatting>
  <conditionalFormatting sqref="BP1123:BQ1123">
    <cfRule type="expression" dxfId="15" priority="110">
      <formula>AND(BP1123&gt;0,BP1123&lt;0.5)</formula>
    </cfRule>
  </conditionalFormatting>
  <conditionalFormatting sqref="BP1242:BQ1242">
    <cfRule type="expression" dxfId="14" priority="3">
      <formula>AND(BP1242&gt;0,BP1242&lt;0.5)</formula>
    </cfRule>
  </conditionalFormatting>
  <conditionalFormatting sqref="BQ68:BQ69">
    <cfRule type="expression" dxfId="13" priority="59">
      <formula>AND(BQ68&gt;0,BQ68&lt;0.5)</formula>
    </cfRule>
  </conditionalFormatting>
  <conditionalFormatting sqref="BQ73">
    <cfRule type="expression" dxfId="12" priority="58">
      <formula>AND(BQ73&gt;0,BQ73&lt;0.5)</formula>
    </cfRule>
  </conditionalFormatting>
  <conditionalFormatting sqref="BQ418:BQ419">
    <cfRule type="expression" dxfId="11" priority="42">
      <formula>AND(BQ418&gt;0,BQ418&lt;0.5)</formula>
    </cfRule>
  </conditionalFormatting>
  <conditionalFormatting sqref="BQ558:BQ566">
    <cfRule type="expression" dxfId="10" priority="39">
      <formula>AND(BQ558&gt;0,BQ558&lt;0.5)</formula>
    </cfRule>
  </conditionalFormatting>
  <conditionalFormatting sqref="BQ626">
    <cfRule type="expression" dxfId="9" priority="35">
      <formula>AND(BQ626&gt;0,BQ626&lt;0.5)</formula>
    </cfRule>
  </conditionalFormatting>
  <conditionalFormatting sqref="BQ759:BQ761">
    <cfRule type="expression" dxfId="8" priority="31">
      <formula>AND(BQ759&gt;0,BQ759&lt;0.5)</formula>
    </cfRule>
  </conditionalFormatting>
  <conditionalFormatting sqref="BQ763:BQ769">
    <cfRule type="expression" dxfId="7" priority="29">
      <formula>AND(BQ763&gt;0,BQ763&lt;0.5)</formula>
    </cfRule>
  </conditionalFormatting>
  <conditionalFormatting sqref="BQ794:BQ797">
    <cfRule type="expression" dxfId="6" priority="28">
      <formula>AND(BQ794&gt;0,BQ794&lt;0.5)</formula>
    </cfRule>
  </conditionalFormatting>
  <conditionalFormatting sqref="BQ904">
    <cfRule type="expression" dxfId="5" priority="24">
      <formula>AND(BQ904&gt;0,BQ904&lt;0.5)</formula>
    </cfRule>
  </conditionalFormatting>
  <conditionalFormatting sqref="BQ1101">
    <cfRule type="expression" dxfId="4" priority="20">
      <formula>AND(BQ1101&gt;0,BQ1101&lt;0.5)</formula>
    </cfRule>
  </conditionalFormatting>
  <conditionalFormatting sqref="BQ1103:BQ1106">
    <cfRule type="expression" dxfId="3" priority="4">
      <formula>AND(BQ1103&gt;0,BQ1103&lt;0.5)</formula>
    </cfRule>
  </conditionalFormatting>
  <conditionalFormatting sqref="BQ1108:BQ1115">
    <cfRule type="expression" dxfId="2" priority="18">
      <formula>AND(BQ1108&gt;0,BQ1108&lt;0.5)</formula>
    </cfRule>
  </conditionalFormatting>
  <conditionalFormatting sqref="BQ1117">
    <cfRule type="expression" dxfId="1" priority="17">
      <formula>AND(BQ1117&gt;0,BQ1117&lt;0.5)</formula>
    </cfRule>
  </conditionalFormatting>
  <conditionalFormatting sqref="BQ1272">
    <cfRule type="expression" dxfId="0" priority="14">
      <formula>AND(BQ1272&gt;0,BQ1272&lt;0.5)</formula>
    </cfRule>
  </conditionalFormatting>
  <hyperlinks>
    <hyperlink ref="B1142" r:id="rId1" display="\\" xr:uid="{00000000-0004-0000-0000-000000000000}"/>
  </hyperlinks>
  <pageMargins left="0.7" right="0.7" top="0.75" bottom="0.75" header="0.3" footer="0.3"/>
  <pageSetup scale="95" orientation="portrait" horizontalDpi="300" verticalDpi="300" r:id="rId2"/>
  <headerFooter>
    <oddHeader>&amp;R&amp;"Aptos"&amp;10&amp;K000000 Category/Catégorie: Non-Sensitive/Non-Délicat&amp;1#_x000D_</oddHeader>
  </headerFooter>
  <ignoredErrors>
    <ignoredError sqref="BJ186:BP186 BC217:BM217 AW249:AX249 AZ249:BA249 BB249:BJ249 BK249:BP249 BA258:BK258 AS268:AX268 BA269 AJ296:AX296 BA296:BQ296 BC305:BI305 BD316:BQ316 BH378:BK378 BH385:BK385 AZ459:BH459 BI459:BK459 AY485:BJ485 BK485:BN485 BG502:BO502 BD520:BQ520 BE340:BQ340 BD529:BQ529 BI614:BM614 BK665:BL665 AX774:BQ774 BC800:BH800 BJ800:BM800 BI822:BQ822 BF862:BJ862 BK862:BL862 BJ897:BL897 BL927:BQ927 AF1086:BM1086 BJ1108:BK1108 BA1157:BB1157 BD1157:BJ1157 AZ1291:BK1291 BK548:BQ548 BH583:BQ583 BK674:BN674 BD681:BG681 AW738:BC738 BE738:BQ738 BG750:BQ750 BA1035:BE1035 BG1035:BK1035 AW1201:AX1201 AY1201:BL1201 BL305 BD557:BK557 AY720:BQ720 AU385:BG385 AP393 AN459:AO459 AV459 AQ186:BI186 BM378:BQ378 BG478:BQ478 BL459:BQ459 BL557:BQ557 BL1005:BN1005 BK1079:BN1079 AO165:AW165 AX165:BQ165 AH378:AR378 AZ378:BB378 AQ340:AR340 AM774:AP774 AL1209:AO1209 AI478:AQ478 AI151 AR217 BL495:BQ495 AU529:AZ529 BA224:BF224 AV224:AY224 AQ231 AR231:AS231 BH231:BL231 BC231:BG231 AT231:BA231 AR258:AW258 AZ305 AZ430:BL430 AR438:AT438 AV438:AY438 AQ520 AS520:AW520 AZ590:BK590 AR459:AT459 AY800:BB800 BB711:BQ711 AV711 AP720:AW720 BI681:BQ681 AR738 AR750:AS750 AX750:BE750 AT738 AR614 AV614 AX614 AZ614:BA614 AO485:AQ485 AS628:AT628 AP628 AS478 AV478 AX478:BF478 AV590:AX590 AR960 BJ996:BL996 AW1005 AR1005:AT1005 AQ583:BD583 AV1059 AW1059:BI1059 BG793:BQ793 AT1035:AW1035 BD1066:BQ1066 AS1108:BB1108 AN1108:AR1108 BJ1229:BN1229 AW1229:BG1229 BH1209:BM1209 AH665:AS665 AT665:AU665 AV665:BJ665 AN1177:AX1177 AY1177:BH1177 BC548:BG548 AZ548 AY628:BM628 AV654:BP654 AP1059:AQ1059 AW886:BF886 AO886:AU886 BC502:BD502 AY502:BB502 BK393:BN393 BD393:BJ393 AV393:BC393 AP838:AR838 AW838:BQ838 AY557:BC557 BH603:BQ603 BE603:BG603 AL603:BD603 BF614 BG969:BH969 BD969:BE969 AQ897:BE897 AZ520:BA520 AO186:AP186 AS557 AQ774:AU774 AX1005:BK1005 AQ502:AV502 AF430:AG430 BG224:BI224 BJ224:BL224 BG510:BQ510 BA510:BF510 AQ510:AZ510 BN703:BN704 AS960:AX960 AY960:BN960 BM403:BQ403 AR403:AT403 AV403:BA403 BM231:BP231 AS702:BQ702 BM996:BN996 BN430:BO430 BM862:BQ862 BF950:BQ950 AL385:AT385 BL385:BQ385 BI969 AR969:BB969 BM1291 BM305:BQ305 AT935:BH935 AW950:BE950 BL1035:BO1035 AQ209:AT209 AV209:AZ209 BB209 BD209:BN209 AN1152:AO1152 AQ1152:BI1152 BF538:BQ538 BM224:BP224 AV1274:BH1274 AS1274:AT1274 BK1157:BQ1157 AL935:AS935 AY240:BQ240 AU240:AX240 AQ240:AT240 AY421:BQ421 AR421:AX421 BC1025:BQ1025 AH1025:AW1025 AN291:BB291 AL258:AN258 AP258:AQ258 BH548:BJ548 AK231:AO231 AE224:AR224 AT224 AH258:AJ258 AO217:AQ217 AT217 AY217:BB217 AN548:AU548 AW548 AP1303:AQ1303 AK268:AM268 AN268:AQ268 BM897:BQ897 AR654:AU654 AO529:AQ529 AS485:AT485 BB996:BH996 AX1157 AW782:AY782 BE782:BO782 AT782 AH996:AQ996 AS996:AV996 AN1035:AQ1035 AL165:AM165 X249:AB249 Z268:AJ268 AB459:AF459 Y305:AA305 X165:AF165 AH165:AK165 Y529:AK529 AM529 AA738:AD738 AG738:AH738 AK738:AM738 AO738:AP738 AK1005:AL1005 Z1005:AG1005 Y217:AH217 AJ217:AN217 AL1201:AN1201 AP1201 AR1201 AS1201:AV1201 BM1201:BO1201 AU1209:BE1209 BK1274:BO1274 AK793:BE793 BF794 T231:AA231 X76:AH76 AN750:AQ750 AU750:AW750 Z750:AB750 AD750:AI750 AW175:BQ175 AJ175 AH175 AF175 BD1108 AH1108:AM1108 AN403:AO403 AI628:AK628 AM628:AO628 AF628:AG628 AH485:AM485 AH720:AO720 AL1291:AN1291 AR1291:AS1291 AU1291:AV1291 AX1291:AY1291 AC1303:AO1303 AK291:AM291 AG291:AJ291 AG385:AK385 AF421:AG421 AI421:AQ421 AE502:AP502 AH510:AI510 AK510:AP510 AE520:AF520 AI774:AL774 AE793 AH897:AP897 BF897:BI897 AC950:AV950 AG960:AM960 AV1142:BL1142 BM1142:BN1142 AR904:AS904 AU904:BQ904 AK904:AQ904 AO702:AP702 AO1157:AW1157 AH1177:AM1177 AL1059:AO1059 AR1172:BO1172 AY862:BE862 AC231:AJ231 AI240:AP240 AR495:BC495 BE495:BK495 BN1365 AU647 AX647:BE647 BF647:BQ647 AI647:AP647 AH654:AQ654 AY711:BA711 W1157 Y1157 AA1157:AK1157 BO1005:BO1006 BN1108 BO1135:BO1136 AH67:BL67 BM67:BQ67 AI76:AS76 AT76:BH76 BI76:BP76 BC92:BD92 BE92:BQ92 AG92:BB92 AL111:BB111 AH103:AP103 AV103:BE103 BG103:BQ103 BN111 BJ111 BN1291:BO1291 BO674:BO675 E1177 D1177 F1177:AG1177 BO393:BO395 BN614:BQ614 BN628:BQ628 BO1079:BO1080 BO1096 AO200:BQ200 BN217:BQ217 AR822:AS822 L822:AQ822 AU822:BH822 BO144:BQ144 AI904 AK862:AL862 BO1209 AA468 AF468 AH468:AU468 BA468:BD468 BE468:BI468 BJ468:BO468 AV468:AX468 AJ782:AO782 AH793 AI800 AO614 AM614 AL1172:AQ1172 AM186 AH495:AQ495 AG548:AJ548 AH583:AP583 AH969:AQ969 AH1152:AL1152 AH1172:AK1172 AH1244:AJ1244 AL1244:AN1244 AV1244:BQ1244 AH1274 BL590:BQ590 BO800:BQ800 AM209 AO209:AP209 X340:AA340 AD305 BJ84:BO84 AZ84:BH84 AV84:AY84 AN84:AP84 AJ84:AK84 AF84:AH84 BK138:BQ138 BB138:BJ138 AN138:AZ138 AJ138:AL138 AU800:AW800 AR800 AM800:AP800 AE1035:AF1035 AC1035 D217:X217 AX538:BE538 AH1059:AJ1059 BF1108:BI1108 BO763:BQ763 BI763:BN763 BC291:BM291 BN291:BP291 AM200 BJ915:BQ915 U693 AQ693:AS693 V693:AP693 AW693 AT693:AU693 AM838 X897:AF897 AF378 V378:Y378 AK927:BK927 AP1244:AS1244 BM151 BJ151:BK151 AS151:BI151 AQ151 AJ151:AL151 AU872:BQ872 AR872 Y872:AP872 AK1053:BQ1053 BG1013:BQ1013 BB1013:BF1013 BM258:BQ258 AY258 BJ403:BK403 BN707 AY1013:BA1013 BO397:BO401 BM622:BQ622 BK622 AV622:BJ622 AI622:AT622 AZ1120:BP1120 AH1120:AX1120 BN731:BQ731 BO1008:BO1010 BO1138:BO1139 AI1192:AN1192 AQ1192:BQ1192 BE378:BG378 BG268:BQ268 AY268:BE268 BL731:BM731 BO1083 AY1035 BH1250 AQ1250:AT1250 AV1250 AA1066 AI1135 AY1135:BC1135 BI413:BQ413 AS413:AX413 AZ413:BH413 X886:AA886 AB886:AD886 AM413:AN413 L430:X430 AP590:AT590 D590:N590 S800:Z800 AI1250:AL1250 AC67:AG67 Z67 X67 X84:AB84 AC84:AE84 X103:Z103 AA103:AG103 X138 Y138:AG138 BP674:BQ674 BP393:BQ393 BP1086:BQ1086 BP1108:BQ1108 BO1142:BQ1142 AI1238 AP1238 AX1238:BG1238 AQ1238:AV1238 AJ1238:AN1238 BP996:BQ996 BP1135:BQ1135 BP111:BQ111 BP485:BQ485 BP782:BP787 BO810 BP852:BQ852 BN852 BH852:BJ852 BP960:BQ960 BP1079:BQ1079 BP1172:BP1174 BP1238 BP1005:BQ1005 BP1177:BQ1177 BQ76:BQ81 BP84:BQ84 BQ186:BQ192 BQ224:BQ228 BQ231:BQ238 BQ291:BQ294 BQ430 BQ502 BQ782 BQ1172 BQ1201 BQ1274 BQ1303 W1261:Z1261 AX1261:BC1261 BO1261:BQ1261 V852:AC852 BQ285 BQ1291" formulaRange="1"/>
    <ignoredError sqref="BF1096 BF983 AR702 AG681 AT822 EA372:ED372 EA1299:ED1299 EA1311:ED1311 EA1300:ED1300 EA1312 EB1312:ED1312 BM1311 EA1055:ED1055 EC633:ED633 EA405:ED405 AV693 EA404:ED404 AW478 EA990:ED990 EA928:ED928 BL273 BN273 BP983" formula="1"/>
    <ignoredError sqref="BH681 BF750 BF1035" formula="1" formulaRange="1"/>
    <ignoredError sqref="BN33" evalError="1"/>
  </ignoredErrors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H722"/>
  <sheetViews>
    <sheetView tabSelected="1" topLeftCell="A49" workbookViewId="0">
      <selection activeCell="A2" sqref="A2"/>
    </sheetView>
  </sheetViews>
  <sheetFormatPr defaultRowHeight="14.5"/>
  <sheetData>
    <row r="1" spans="1:60">
      <c r="A1" t="s">
        <v>199</v>
      </c>
      <c r="B1" t="s">
        <v>200</v>
      </c>
      <c r="C1">
        <v>1960</v>
      </c>
      <c r="D1">
        <v>1961</v>
      </c>
      <c r="E1">
        <v>1962</v>
      </c>
      <c r="F1">
        <v>1963</v>
      </c>
      <c r="G1">
        <v>1964</v>
      </c>
      <c r="H1">
        <v>1965</v>
      </c>
      <c r="I1">
        <v>1966</v>
      </c>
      <c r="J1">
        <v>1967</v>
      </c>
      <c r="K1">
        <v>1968</v>
      </c>
      <c r="L1">
        <v>1969</v>
      </c>
      <c r="M1">
        <v>1970</v>
      </c>
      <c r="N1">
        <v>1971</v>
      </c>
      <c r="O1">
        <v>1972</v>
      </c>
      <c r="P1">
        <v>1973</v>
      </c>
      <c r="Q1">
        <v>1974</v>
      </c>
      <c r="R1">
        <v>1975</v>
      </c>
      <c r="S1">
        <v>1976</v>
      </c>
      <c r="T1">
        <v>1977</v>
      </c>
      <c r="U1">
        <v>1978</v>
      </c>
      <c r="V1">
        <v>1979</v>
      </c>
      <c r="W1">
        <v>1980</v>
      </c>
      <c r="X1">
        <v>1981</v>
      </c>
      <c r="Y1">
        <v>1982</v>
      </c>
      <c r="Z1">
        <v>1983</v>
      </c>
      <c r="AA1">
        <v>1984</v>
      </c>
      <c r="AB1">
        <v>1985</v>
      </c>
      <c r="AC1">
        <v>1986</v>
      </c>
      <c r="AD1">
        <v>1987</v>
      </c>
      <c r="AE1">
        <v>1988</v>
      </c>
      <c r="AF1">
        <v>1989</v>
      </c>
      <c r="AG1">
        <v>1990</v>
      </c>
      <c r="AH1">
        <v>1991</v>
      </c>
      <c r="AI1">
        <v>1992</v>
      </c>
      <c r="AJ1">
        <v>1993</v>
      </c>
      <c r="AK1">
        <v>1994</v>
      </c>
      <c r="AL1">
        <v>1995</v>
      </c>
      <c r="AM1">
        <v>1996</v>
      </c>
      <c r="AN1">
        <v>1997</v>
      </c>
      <c r="AO1">
        <v>1998</v>
      </c>
      <c r="AP1">
        <v>1999</v>
      </c>
      <c r="AQ1">
        <v>2000</v>
      </c>
      <c r="AR1">
        <v>2001</v>
      </c>
      <c r="AS1">
        <v>2002</v>
      </c>
      <c r="AT1">
        <v>2003</v>
      </c>
      <c r="AU1">
        <v>2004</v>
      </c>
      <c r="AV1">
        <v>2005</v>
      </c>
      <c r="AW1">
        <v>2006</v>
      </c>
      <c r="AX1">
        <v>2007</v>
      </c>
      <c r="AY1">
        <v>2008</v>
      </c>
      <c r="AZ1">
        <v>2009</v>
      </c>
      <c r="BA1">
        <v>2010</v>
      </c>
      <c r="BB1">
        <v>2011</v>
      </c>
      <c r="BC1">
        <v>2012</v>
      </c>
      <c r="BD1">
        <v>2013</v>
      </c>
      <c r="BE1">
        <v>2014</v>
      </c>
      <c r="BF1">
        <v>2015</v>
      </c>
      <c r="BG1">
        <v>2016</v>
      </c>
      <c r="BH1">
        <v>2017</v>
      </c>
    </row>
    <row r="2" spans="1:60">
      <c r="A2" t="s">
        <v>14</v>
      </c>
      <c r="B2" t="s">
        <v>198</v>
      </c>
      <c r="C2">
        <v>0</v>
      </c>
      <c r="D2">
        <v>0</v>
      </c>
      <c r="E2">
        <v>0</v>
      </c>
      <c r="F2">
        <v>0</v>
      </c>
      <c r="G2">
        <v>267</v>
      </c>
      <c r="H2">
        <v>267</v>
      </c>
      <c r="I2">
        <v>267</v>
      </c>
      <c r="J2">
        <v>2.7</v>
      </c>
      <c r="K2">
        <v>0</v>
      </c>
      <c r="L2">
        <v>0</v>
      </c>
      <c r="M2">
        <v>0</v>
      </c>
      <c r="N2">
        <v>0</v>
      </c>
      <c r="O2">
        <v>37</v>
      </c>
      <c r="P2">
        <v>0</v>
      </c>
      <c r="Q2">
        <v>0</v>
      </c>
      <c r="R2">
        <v>0</v>
      </c>
      <c r="S2">
        <v>437</v>
      </c>
      <c r="T2">
        <v>0</v>
      </c>
      <c r="U2">
        <v>0</v>
      </c>
      <c r="V2">
        <v>0</v>
      </c>
      <c r="W2">
        <v>15</v>
      </c>
      <c r="X2">
        <v>0</v>
      </c>
      <c r="Y2">
        <v>3</v>
      </c>
      <c r="Z2">
        <v>0</v>
      </c>
      <c r="AA2">
        <v>0</v>
      </c>
      <c r="AB2">
        <v>10</v>
      </c>
      <c r="AC2">
        <v>10</v>
      </c>
      <c r="AD2">
        <v>0</v>
      </c>
      <c r="AE2">
        <v>0</v>
      </c>
      <c r="AF2">
        <v>0</v>
      </c>
      <c r="AG2">
        <v>0</v>
      </c>
      <c r="AH2">
        <v>0</v>
      </c>
      <c r="AI2">
        <v>4</v>
      </c>
      <c r="AJ2">
        <v>6</v>
      </c>
      <c r="AK2">
        <v>19</v>
      </c>
      <c r="AL2">
        <v>19.600000000000001</v>
      </c>
      <c r="AM2">
        <v>19.5</v>
      </c>
      <c r="AN2">
        <v>21.6743271775</v>
      </c>
      <c r="AO2">
        <v>23.687986676373573</v>
      </c>
      <c r="AP2">
        <v>25.192287665509628</v>
      </c>
      <c r="AQ2">
        <v>284.26501815615717</v>
      </c>
      <c r="AR2">
        <v>264.79069941102472</v>
      </c>
      <c r="AS2">
        <v>11367.048015634271</v>
      </c>
      <c r="AT2">
        <v>11302</v>
      </c>
      <c r="AU2">
        <v>11306</v>
      </c>
      <c r="AV2">
        <v>11305</v>
      </c>
      <c r="AW2">
        <v>11284.421</v>
      </c>
      <c r="AX2">
        <v>169.95499999999998</v>
      </c>
      <c r="AY2">
        <v>129.35599999999999</v>
      </c>
      <c r="AZ2">
        <v>78.163000000000011</v>
      </c>
      <c r="BA2">
        <v>1351.357</v>
      </c>
      <c r="BB2">
        <v>264.988</v>
      </c>
      <c r="BC2">
        <v>280.47800000000001</v>
      </c>
      <c r="BD2">
        <v>141.18199999999999</v>
      </c>
      <c r="BE2">
        <v>279.71199999999999</v>
      </c>
      <c r="BF2">
        <v>198.874</v>
      </c>
      <c r="BG2">
        <v>197.09899999999999</v>
      </c>
      <c r="BH2" t="s">
        <v>16</v>
      </c>
    </row>
    <row r="3" spans="1:60">
      <c r="A3" t="s">
        <v>14</v>
      </c>
      <c r="B3" t="s">
        <v>190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2.7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0.3</v>
      </c>
      <c r="AM3">
        <v>0.3</v>
      </c>
      <c r="AN3">
        <v>2.9743271775000002</v>
      </c>
      <c r="AO3">
        <v>4.9879866763735743</v>
      </c>
      <c r="AP3">
        <v>6.3922876655096283</v>
      </c>
      <c r="AQ3">
        <v>7.9650181561571705</v>
      </c>
      <c r="AR3">
        <v>9.2906994110247059</v>
      </c>
      <c r="AS3">
        <v>11.048015634271053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</row>
    <row r="4" spans="1:60">
      <c r="A4" t="s">
        <v>14</v>
      </c>
      <c r="B4" t="s">
        <v>191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21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</row>
    <row r="5" spans="1:60">
      <c r="A5" t="s">
        <v>14</v>
      </c>
      <c r="B5" t="s">
        <v>192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Q5" t="s">
        <v>16</v>
      </c>
      <c r="AR5" t="s">
        <v>16</v>
      </c>
      <c r="AS5" t="s">
        <v>16</v>
      </c>
      <c r="AT5" t="s">
        <v>16</v>
      </c>
      <c r="AU5" t="s">
        <v>16</v>
      </c>
      <c r="AV5" t="s">
        <v>16</v>
      </c>
      <c r="AW5">
        <v>11284</v>
      </c>
      <c r="AX5">
        <v>22</v>
      </c>
      <c r="AY5">
        <v>0</v>
      </c>
      <c r="AZ5">
        <v>0</v>
      </c>
      <c r="BA5">
        <v>1027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</row>
    <row r="6" spans="1:60">
      <c r="A6" t="s">
        <v>14</v>
      </c>
      <c r="B6" t="s">
        <v>193</v>
      </c>
      <c r="C6">
        <v>0</v>
      </c>
      <c r="D6">
        <v>0</v>
      </c>
      <c r="E6">
        <v>0</v>
      </c>
      <c r="F6">
        <v>0</v>
      </c>
      <c r="G6">
        <v>267</v>
      </c>
      <c r="H6">
        <v>267</v>
      </c>
      <c r="I6">
        <v>267</v>
      </c>
      <c r="J6">
        <v>0</v>
      </c>
      <c r="K6">
        <v>0</v>
      </c>
      <c r="L6">
        <v>0</v>
      </c>
      <c r="M6">
        <v>0</v>
      </c>
      <c r="N6">
        <v>0</v>
      </c>
      <c r="O6">
        <v>37</v>
      </c>
      <c r="P6">
        <v>0</v>
      </c>
      <c r="Q6">
        <v>0</v>
      </c>
      <c r="R6">
        <v>0</v>
      </c>
      <c r="S6">
        <v>437</v>
      </c>
      <c r="T6">
        <v>0</v>
      </c>
      <c r="U6">
        <v>0</v>
      </c>
      <c r="V6">
        <v>0</v>
      </c>
      <c r="W6">
        <v>15</v>
      </c>
      <c r="X6" t="s">
        <v>16</v>
      </c>
      <c r="Y6">
        <v>3</v>
      </c>
      <c r="Z6" t="s">
        <v>16</v>
      </c>
      <c r="AA6" t="s">
        <v>16</v>
      </c>
      <c r="AB6">
        <v>10</v>
      </c>
      <c r="AC6">
        <v>10</v>
      </c>
      <c r="AD6">
        <v>0</v>
      </c>
      <c r="AE6">
        <v>0</v>
      </c>
      <c r="AF6">
        <v>0</v>
      </c>
      <c r="AG6">
        <v>0</v>
      </c>
      <c r="AH6">
        <v>0</v>
      </c>
      <c r="AI6">
        <v>4</v>
      </c>
      <c r="AJ6">
        <v>6</v>
      </c>
      <c r="AK6">
        <v>19</v>
      </c>
      <c r="AL6">
        <v>19.3</v>
      </c>
      <c r="AM6">
        <v>19.2</v>
      </c>
      <c r="AN6">
        <v>18.7</v>
      </c>
      <c r="AO6">
        <v>18.7</v>
      </c>
      <c r="AP6">
        <v>18.8</v>
      </c>
      <c r="AQ6">
        <v>255.3</v>
      </c>
      <c r="AR6">
        <v>255.5</v>
      </c>
      <c r="AS6">
        <v>11356</v>
      </c>
      <c r="AT6">
        <v>11302</v>
      </c>
      <c r="AU6">
        <v>11306</v>
      </c>
      <c r="AV6">
        <v>11305</v>
      </c>
      <c r="AW6" t="s">
        <v>16</v>
      </c>
      <c r="AX6">
        <v>147.52199999999999</v>
      </c>
      <c r="AY6">
        <v>128.923</v>
      </c>
      <c r="AZ6">
        <v>77.73</v>
      </c>
      <c r="BA6">
        <v>324.35699999999997</v>
      </c>
      <c r="BB6">
        <v>264.988</v>
      </c>
      <c r="BC6">
        <v>280.47800000000001</v>
      </c>
      <c r="BD6">
        <v>141.18199999999999</v>
      </c>
      <c r="BE6">
        <v>279.71199999999999</v>
      </c>
      <c r="BF6">
        <v>198.874</v>
      </c>
      <c r="BG6">
        <v>197.09899999999999</v>
      </c>
      <c r="BH6" t="s">
        <v>16</v>
      </c>
    </row>
    <row r="7" spans="1:60">
      <c r="A7" t="s">
        <v>14</v>
      </c>
      <c r="B7" t="s">
        <v>194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0.42100000000000004</v>
      </c>
      <c r="AX7">
        <v>0.433</v>
      </c>
      <c r="AY7">
        <v>0.433</v>
      </c>
      <c r="AZ7">
        <v>0.433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</row>
    <row r="8" spans="1:60">
      <c r="A8" t="s">
        <v>17</v>
      </c>
      <c r="B8" t="s">
        <v>198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425</v>
      </c>
      <c r="AI8">
        <v>446.02300000000002</v>
      </c>
      <c r="AJ8">
        <v>571.79300000000001</v>
      </c>
      <c r="AK8">
        <v>511.84800000000001</v>
      </c>
      <c r="AL8">
        <v>745.26199999999994</v>
      </c>
      <c r="AM8">
        <v>34.957999999999998</v>
      </c>
      <c r="AN8">
        <v>34.402000000000001</v>
      </c>
      <c r="AO8">
        <v>109.435</v>
      </c>
      <c r="AP8">
        <v>34.533999999999999</v>
      </c>
      <c r="AQ8">
        <v>383.26800000000003</v>
      </c>
      <c r="AR8">
        <v>271.27300000000002</v>
      </c>
      <c r="AS8">
        <v>91.072000000000003</v>
      </c>
      <c r="AT8">
        <v>15.981999999999999</v>
      </c>
      <c r="AU8">
        <v>19.619</v>
      </c>
      <c r="AV8">
        <v>15.773999999999999</v>
      </c>
      <c r="AW8">
        <v>17.651</v>
      </c>
      <c r="AX8">
        <v>16.834</v>
      </c>
      <c r="AY8">
        <v>8.6999999999999993</v>
      </c>
      <c r="AZ8">
        <v>0.30499999999999999</v>
      </c>
      <c r="BA8">
        <v>0</v>
      </c>
      <c r="BB8">
        <v>0</v>
      </c>
      <c r="BC8">
        <v>0</v>
      </c>
      <c r="BD8">
        <v>1.232</v>
      </c>
      <c r="BE8">
        <v>0</v>
      </c>
      <c r="BF8">
        <v>0</v>
      </c>
      <c r="BG8">
        <v>0</v>
      </c>
      <c r="BH8">
        <v>0</v>
      </c>
    </row>
    <row r="9" spans="1:60">
      <c r="A9" t="s">
        <v>17</v>
      </c>
      <c r="B9" t="s">
        <v>192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109</v>
      </c>
      <c r="AK9">
        <v>0</v>
      </c>
      <c r="AL9">
        <v>0</v>
      </c>
      <c r="AM9">
        <v>0</v>
      </c>
      <c r="AN9">
        <v>0</v>
      </c>
      <c r="AO9">
        <v>75</v>
      </c>
      <c r="AP9">
        <v>0</v>
      </c>
      <c r="AQ9">
        <v>89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</row>
    <row r="10" spans="1:60">
      <c r="A10" t="s">
        <v>17</v>
      </c>
      <c r="B10" t="s">
        <v>193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4.0229999999999997</v>
      </c>
      <c r="AJ10">
        <v>5.7930000000000001</v>
      </c>
      <c r="AK10">
        <v>27.347999999999999</v>
      </c>
      <c r="AL10">
        <v>244.262</v>
      </c>
      <c r="AM10">
        <v>19.183999999999997</v>
      </c>
      <c r="AN10">
        <v>18.628</v>
      </c>
      <c r="AO10">
        <v>18.660999999999998</v>
      </c>
      <c r="AP10">
        <v>18.759999999999998</v>
      </c>
      <c r="AQ10">
        <v>278.35500000000002</v>
      </c>
      <c r="AR10">
        <v>255.49900000000002</v>
      </c>
      <c r="AS10">
        <v>75.298000000000002</v>
      </c>
      <c r="AT10">
        <v>0.20799999999999999</v>
      </c>
      <c r="AU10">
        <v>3.8450000000000002</v>
      </c>
      <c r="AV10">
        <v>0</v>
      </c>
      <c r="AW10">
        <v>1.877</v>
      </c>
      <c r="AX10">
        <v>1.0599999999999998</v>
      </c>
      <c r="AY10">
        <v>8.6999999999999993</v>
      </c>
      <c r="AZ10">
        <v>0.30499999999999999</v>
      </c>
      <c r="BA10">
        <v>0</v>
      </c>
      <c r="BB10">
        <v>0</v>
      </c>
      <c r="BC10">
        <v>0</v>
      </c>
      <c r="BD10">
        <v>1.232</v>
      </c>
      <c r="BE10">
        <v>0</v>
      </c>
      <c r="BF10">
        <v>0</v>
      </c>
      <c r="BG10">
        <v>0</v>
      </c>
      <c r="BH10">
        <v>0</v>
      </c>
    </row>
    <row r="11" spans="1:60">
      <c r="A11" t="s">
        <v>17</v>
      </c>
      <c r="B11" t="s">
        <v>194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 t="s">
        <v>16</v>
      </c>
      <c r="AI11" t="s">
        <v>16</v>
      </c>
      <c r="AJ11" t="s">
        <v>16</v>
      </c>
      <c r="AK11" t="s">
        <v>16</v>
      </c>
      <c r="AL11" t="s">
        <v>16</v>
      </c>
      <c r="AM11">
        <v>15.773999999999999</v>
      </c>
      <c r="AN11">
        <v>15.773999999999999</v>
      </c>
      <c r="AO11">
        <v>15.773999999999999</v>
      </c>
      <c r="AP11">
        <v>15.773999999999999</v>
      </c>
      <c r="AQ11">
        <v>15.913</v>
      </c>
      <c r="AR11">
        <v>15.773999999999999</v>
      </c>
      <c r="AS11">
        <v>15.773999999999999</v>
      </c>
      <c r="AT11">
        <v>15.773999999999999</v>
      </c>
      <c r="AU11">
        <v>15.773999999999999</v>
      </c>
      <c r="AV11">
        <v>15.773999999999999</v>
      </c>
      <c r="AW11">
        <v>15.773999999999999</v>
      </c>
      <c r="AX11">
        <v>15.773999999999999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</row>
    <row r="12" spans="1:60">
      <c r="A12" t="s">
        <v>17</v>
      </c>
      <c r="B12" t="s">
        <v>195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425</v>
      </c>
      <c r="AI12">
        <v>442</v>
      </c>
      <c r="AJ12">
        <v>457</v>
      </c>
      <c r="AK12">
        <v>484.5</v>
      </c>
      <c r="AL12">
        <v>501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</row>
    <row r="13" spans="1:60">
      <c r="A13" t="s">
        <v>19</v>
      </c>
      <c r="B13" t="s">
        <v>198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6.423</v>
      </c>
      <c r="T13">
        <v>13.012</v>
      </c>
      <c r="U13">
        <v>0.95899999999999996</v>
      </c>
      <c r="V13">
        <v>3.4860000000000002</v>
      </c>
      <c r="W13">
        <v>1.7</v>
      </c>
      <c r="X13">
        <v>1.7</v>
      </c>
      <c r="Y13">
        <v>1.7</v>
      </c>
      <c r="Z13">
        <v>1.7</v>
      </c>
      <c r="AA13">
        <v>0</v>
      </c>
      <c r="AB13">
        <v>0</v>
      </c>
      <c r="AC13">
        <v>0</v>
      </c>
      <c r="AD13">
        <v>1.6E-2</v>
      </c>
      <c r="AE13">
        <v>1.6E-2</v>
      </c>
      <c r="AF13">
        <v>0</v>
      </c>
      <c r="AG13">
        <v>0.76400000000000001</v>
      </c>
      <c r="AH13">
        <v>1260.3589999999999</v>
      </c>
      <c r="AI13">
        <v>1464.5940000000001</v>
      </c>
      <c r="AJ13">
        <v>910.67499999999995</v>
      </c>
      <c r="AK13">
        <v>9540.0290000000005</v>
      </c>
      <c r="AL13">
        <v>12108.181</v>
      </c>
      <c r="AM13">
        <v>3537.518</v>
      </c>
      <c r="AN13">
        <v>2212.9569999999999</v>
      </c>
      <c r="AO13">
        <v>542.53200000000004</v>
      </c>
      <c r="AP13">
        <v>0</v>
      </c>
      <c r="AQ13">
        <v>0</v>
      </c>
      <c r="AR13">
        <v>0</v>
      </c>
      <c r="AS13">
        <v>3.4000000000000002E-2</v>
      </c>
      <c r="AT13">
        <v>0.01</v>
      </c>
      <c r="AU13">
        <v>1.0999999999999999E-2</v>
      </c>
      <c r="AV13">
        <v>0.01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76.7</v>
      </c>
      <c r="BD13">
        <v>0</v>
      </c>
      <c r="BE13">
        <v>0</v>
      </c>
      <c r="BF13">
        <v>0</v>
      </c>
      <c r="BG13">
        <v>0</v>
      </c>
      <c r="BH13">
        <v>0</v>
      </c>
    </row>
    <row r="14" spans="1:60">
      <c r="A14" t="s">
        <v>19</v>
      </c>
      <c r="B14" t="s">
        <v>192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5344</v>
      </c>
      <c r="AL14">
        <v>7320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</row>
    <row r="15" spans="1:60">
      <c r="A15" t="s">
        <v>19</v>
      </c>
      <c r="B15" t="s">
        <v>193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6.423</v>
      </c>
      <c r="T15">
        <v>13.012</v>
      </c>
      <c r="U15">
        <v>0.95899999999999996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0.44500000000000001</v>
      </c>
      <c r="AH15">
        <v>0.04</v>
      </c>
      <c r="AI15">
        <v>1.014</v>
      </c>
      <c r="AJ15">
        <v>3.2300000000000004</v>
      </c>
      <c r="AK15">
        <v>618.029</v>
      </c>
      <c r="AL15">
        <v>597.18100000000004</v>
      </c>
      <c r="AM15">
        <v>406.9</v>
      </c>
      <c r="AN15">
        <v>248.678</v>
      </c>
      <c r="AO15">
        <v>81.078000000000003</v>
      </c>
      <c r="AP15">
        <v>0</v>
      </c>
      <c r="AQ15">
        <v>0</v>
      </c>
      <c r="AR15">
        <v>0</v>
      </c>
      <c r="AS15">
        <v>3.4000000000000002E-2</v>
      </c>
      <c r="AT15">
        <v>0.01</v>
      </c>
      <c r="AU15">
        <v>1.0999999999999999E-2</v>
      </c>
      <c r="AV15">
        <v>0.01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76.7</v>
      </c>
      <c r="BD15">
        <v>0</v>
      </c>
      <c r="BE15">
        <v>0</v>
      </c>
      <c r="BF15">
        <v>0</v>
      </c>
      <c r="BG15">
        <v>0</v>
      </c>
      <c r="BH15">
        <v>0</v>
      </c>
    </row>
    <row r="16" spans="1:60">
      <c r="A16" t="s">
        <v>19</v>
      </c>
      <c r="B16" t="s">
        <v>194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3.4860000000000002</v>
      </c>
      <c r="W16">
        <v>1.7</v>
      </c>
      <c r="X16">
        <v>1.7</v>
      </c>
      <c r="Y16">
        <v>1.7</v>
      </c>
      <c r="Z16">
        <v>1.7</v>
      </c>
      <c r="AA16">
        <v>0</v>
      </c>
      <c r="AB16">
        <v>0</v>
      </c>
      <c r="AC16">
        <v>0</v>
      </c>
      <c r="AD16">
        <v>1.6E-2</v>
      </c>
      <c r="AE16">
        <v>1.6E-2</v>
      </c>
      <c r="AF16">
        <v>0</v>
      </c>
      <c r="AG16">
        <v>0.31900000000000001</v>
      </c>
      <c r="AH16">
        <v>0.31900000000000001</v>
      </c>
      <c r="AI16">
        <v>6.58</v>
      </c>
      <c r="AJ16">
        <v>7.4450000000000003</v>
      </c>
      <c r="AK16">
        <v>2978</v>
      </c>
      <c r="AL16">
        <v>991</v>
      </c>
      <c r="AM16">
        <v>3130.6179999999999</v>
      </c>
      <c r="AN16">
        <v>1964.279</v>
      </c>
      <c r="AO16">
        <v>461.45400000000001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</row>
    <row r="17" spans="1:60">
      <c r="A17" t="s">
        <v>19</v>
      </c>
      <c r="B17" t="s">
        <v>195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1260</v>
      </c>
      <c r="AI17">
        <v>1457</v>
      </c>
      <c r="AJ17">
        <v>900</v>
      </c>
      <c r="AK17">
        <v>600</v>
      </c>
      <c r="AL17">
        <v>3200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</row>
    <row r="18" spans="1:60">
      <c r="A18" t="s">
        <v>20</v>
      </c>
      <c r="B18" t="s">
        <v>198</v>
      </c>
      <c r="AF18">
        <v>1082.192</v>
      </c>
      <c r="AG18">
        <v>1820.509</v>
      </c>
      <c r="AH18">
        <v>1538.2259999999999</v>
      </c>
      <c r="AI18">
        <v>2561.4430000000002</v>
      </c>
      <c r="AJ18">
        <v>4052.212</v>
      </c>
      <c r="AK18">
        <v>5152.3959999999997</v>
      </c>
      <c r="AL18">
        <v>5854.6819999999998</v>
      </c>
      <c r="AM18">
        <v>7318.7039999999997</v>
      </c>
      <c r="AN18">
        <v>2295.31</v>
      </c>
      <c r="AO18">
        <v>3213.7269999999999</v>
      </c>
      <c r="AP18">
        <v>3577.2049999999999</v>
      </c>
      <c r="AQ18">
        <v>3727.48</v>
      </c>
      <c r="AR18">
        <v>4359.143</v>
      </c>
      <c r="AS18">
        <v>4382.34</v>
      </c>
      <c r="AT18">
        <v>4561.0609999999997</v>
      </c>
      <c r="AU18">
        <v>4062.3190000000004</v>
      </c>
      <c r="AV18">
        <v>2575.8379999999997</v>
      </c>
      <c r="AW18">
        <v>1263.0639999999999</v>
      </c>
      <c r="AX18">
        <v>507.99100000000004</v>
      </c>
      <c r="AY18">
        <v>371.69200000000001</v>
      </c>
      <c r="AZ18">
        <v>408.43900000000002</v>
      </c>
      <c r="BA18">
        <v>360.13799999999998</v>
      </c>
      <c r="BB18">
        <v>322.40600000000001</v>
      </c>
      <c r="BC18">
        <v>310.30399999999997</v>
      </c>
      <c r="BD18">
        <v>333.34399999999999</v>
      </c>
      <c r="BE18">
        <v>315.88200000000001</v>
      </c>
      <c r="BF18">
        <v>284.149</v>
      </c>
      <c r="BG18">
        <v>292.92699999999996</v>
      </c>
      <c r="BH18" t="s">
        <v>16</v>
      </c>
    </row>
    <row r="19" spans="1:60">
      <c r="A19" t="s">
        <v>20</v>
      </c>
      <c r="B19" t="s">
        <v>192</v>
      </c>
      <c r="AF19">
        <v>446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</row>
    <row r="20" spans="1:60">
      <c r="A20" t="s">
        <v>20</v>
      </c>
      <c r="B20" t="s">
        <v>193</v>
      </c>
      <c r="AF20" t="s">
        <v>16</v>
      </c>
      <c r="AG20">
        <v>214.46600000000001</v>
      </c>
      <c r="AH20">
        <v>431.43299999999999</v>
      </c>
      <c r="AI20">
        <v>705.56200000000001</v>
      </c>
      <c r="AJ20">
        <v>1016.801</v>
      </c>
      <c r="AK20">
        <v>1168.769</v>
      </c>
      <c r="AL20">
        <v>1373.575</v>
      </c>
      <c r="AM20">
        <v>4605.8010000000004</v>
      </c>
      <c r="AN20">
        <v>601.83100000000002</v>
      </c>
      <c r="AO20">
        <v>827.85899999999992</v>
      </c>
      <c r="AP20">
        <v>965.91399999999999</v>
      </c>
      <c r="AQ20">
        <v>987.649</v>
      </c>
      <c r="AR20">
        <v>1131.634</v>
      </c>
      <c r="AS20">
        <v>1236.4079999999999</v>
      </c>
      <c r="AT20">
        <v>1469.5010000000002</v>
      </c>
      <c r="AU20">
        <v>2602.3180000000002</v>
      </c>
      <c r="AV20">
        <v>1416.4069999999999</v>
      </c>
      <c r="AW20">
        <v>731.56299999999999</v>
      </c>
      <c r="AX20">
        <v>125.509</v>
      </c>
      <c r="AY20">
        <v>82.932000000000002</v>
      </c>
      <c r="AZ20">
        <v>47.132000000000005</v>
      </c>
      <c r="BA20">
        <v>37.707000000000001</v>
      </c>
      <c r="BB20">
        <v>12.922000000000001</v>
      </c>
      <c r="BC20">
        <v>13.151999999999999</v>
      </c>
      <c r="BD20">
        <v>25.411999999999999</v>
      </c>
      <c r="BE20">
        <v>11.687999999999999</v>
      </c>
      <c r="BF20">
        <v>12.077999999999999</v>
      </c>
      <c r="BG20">
        <v>26.170999999999999</v>
      </c>
      <c r="BH20" t="s">
        <v>16</v>
      </c>
    </row>
    <row r="21" spans="1:60">
      <c r="A21" t="s">
        <v>20</v>
      </c>
      <c r="B21" t="s">
        <v>194</v>
      </c>
      <c r="C21" t="s">
        <v>169</v>
      </c>
      <c r="D21" t="s">
        <v>169</v>
      </c>
      <c r="E21" t="s">
        <v>169</v>
      </c>
      <c r="F21" t="s">
        <v>169</v>
      </c>
      <c r="G21" t="s">
        <v>169</v>
      </c>
      <c r="H21" t="s">
        <v>169</v>
      </c>
      <c r="I21" t="s">
        <v>169</v>
      </c>
      <c r="J21" t="s">
        <v>169</v>
      </c>
      <c r="K21" t="s">
        <v>169</v>
      </c>
      <c r="L21" t="s">
        <v>169</v>
      </c>
      <c r="M21" t="s">
        <v>169</v>
      </c>
      <c r="N21" t="s">
        <v>169</v>
      </c>
      <c r="O21" t="s">
        <v>169</v>
      </c>
      <c r="P21" t="s">
        <v>169</v>
      </c>
      <c r="Q21" t="s">
        <v>169</v>
      </c>
      <c r="R21" t="s">
        <v>169</v>
      </c>
      <c r="S21" t="s">
        <v>169</v>
      </c>
      <c r="T21" t="s">
        <v>169</v>
      </c>
      <c r="U21" t="s">
        <v>169</v>
      </c>
      <c r="V21" t="s">
        <v>169</v>
      </c>
      <c r="W21" t="s">
        <v>169</v>
      </c>
      <c r="X21" t="s">
        <v>169</v>
      </c>
      <c r="Y21" t="s">
        <v>169</v>
      </c>
      <c r="Z21" t="s">
        <v>169</v>
      </c>
      <c r="AA21" t="s">
        <v>169</v>
      </c>
      <c r="AB21" t="s">
        <v>169</v>
      </c>
      <c r="AC21" t="s">
        <v>169</v>
      </c>
      <c r="AF21">
        <v>636.19200000000001</v>
      </c>
      <c r="AG21">
        <v>739.04300000000001</v>
      </c>
      <c r="AH21">
        <v>1106.7929999999999</v>
      </c>
      <c r="AI21">
        <v>1855.8810000000001</v>
      </c>
      <c r="AJ21">
        <v>3035.4110000000001</v>
      </c>
      <c r="AK21">
        <v>3983.627</v>
      </c>
      <c r="AL21">
        <v>4481.107</v>
      </c>
      <c r="AM21">
        <v>2712.9029999999998</v>
      </c>
      <c r="AN21">
        <v>1693.479</v>
      </c>
      <c r="AO21">
        <v>2385.8679999999999</v>
      </c>
      <c r="AP21">
        <v>2611.2910000000002</v>
      </c>
      <c r="AQ21">
        <v>2739.8310000000001</v>
      </c>
      <c r="AR21">
        <v>3227.509</v>
      </c>
      <c r="AS21">
        <v>3145.9319999999998</v>
      </c>
      <c r="AT21">
        <v>3091.56</v>
      </c>
      <c r="AU21">
        <v>1460.001</v>
      </c>
      <c r="AV21">
        <v>1159.431</v>
      </c>
      <c r="AW21">
        <v>531.50099999999998</v>
      </c>
      <c r="AX21">
        <v>382.48200000000003</v>
      </c>
      <c r="AY21">
        <v>288.76</v>
      </c>
      <c r="AZ21">
        <v>361.30700000000002</v>
      </c>
      <c r="BA21">
        <v>322.43099999999998</v>
      </c>
      <c r="BB21">
        <v>309.48399999999998</v>
      </c>
      <c r="BC21">
        <v>297.15199999999999</v>
      </c>
      <c r="BD21">
        <v>307.93200000000002</v>
      </c>
      <c r="BE21">
        <v>304.19400000000002</v>
      </c>
      <c r="BF21">
        <v>272.07100000000003</v>
      </c>
      <c r="BG21">
        <v>266.75599999999997</v>
      </c>
      <c r="BH21" t="s">
        <v>16</v>
      </c>
    </row>
    <row r="22" spans="1:60">
      <c r="A22" t="s">
        <v>20</v>
      </c>
      <c r="B22" t="s">
        <v>196</v>
      </c>
      <c r="AF22">
        <v>0</v>
      </c>
      <c r="AG22">
        <v>867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</row>
    <row r="23" spans="1:60">
      <c r="A23" t="s">
        <v>23</v>
      </c>
      <c r="B23" t="s">
        <v>198</v>
      </c>
      <c r="X23">
        <v>0</v>
      </c>
      <c r="Y23">
        <v>0</v>
      </c>
      <c r="Z23">
        <v>0</v>
      </c>
      <c r="AA23">
        <v>0</v>
      </c>
      <c r="AB23">
        <v>24</v>
      </c>
      <c r="AC23">
        <v>32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161</v>
      </c>
      <c r="AN23">
        <v>175</v>
      </c>
      <c r="AO23">
        <v>391</v>
      </c>
      <c r="AP23">
        <v>702.11400000000003</v>
      </c>
      <c r="AQ23">
        <v>739.90140999999994</v>
      </c>
      <c r="AR23">
        <v>598</v>
      </c>
      <c r="AS23">
        <v>649</v>
      </c>
      <c r="AT23">
        <v>794</v>
      </c>
      <c r="AU23">
        <v>838</v>
      </c>
      <c r="AV23">
        <v>764</v>
      </c>
      <c r="AW23">
        <v>762</v>
      </c>
      <c r="AX23">
        <v>612</v>
      </c>
      <c r="AY23">
        <v>631</v>
      </c>
      <c r="AZ23">
        <v>707</v>
      </c>
      <c r="BA23">
        <v>684</v>
      </c>
      <c r="BB23">
        <v>515</v>
      </c>
      <c r="BC23">
        <v>0.4</v>
      </c>
      <c r="BD23">
        <v>2.9</v>
      </c>
      <c r="BE23">
        <v>18.600000000000001</v>
      </c>
      <c r="BF23">
        <v>20</v>
      </c>
      <c r="BG23">
        <v>64</v>
      </c>
      <c r="BH23" t="s">
        <v>16</v>
      </c>
    </row>
    <row r="24" spans="1:60">
      <c r="A24" t="s">
        <v>23</v>
      </c>
      <c r="B24" t="s">
        <v>192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110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</row>
    <row r="25" spans="1:60">
      <c r="A25" t="s">
        <v>23</v>
      </c>
      <c r="B25" t="s">
        <v>193</v>
      </c>
      <c r="X25">
        <v>0</v>
      </c>
      <c r="Y25">
        <v>0</v>
      </c>
      <c r="Z25">
        <v>0</v>
      </c>
      <c r="AA25">
        <v>0</v>
      </c>
      <c r="AB25">
        <v>24</v>
      </c>
      <c r="AC25">
        <v>32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290</v>
      </c>
      <c r="AQ25">
        <v>301</v>
      </c>
      <c r="AR25">
        <v>318</v>
      </c>
      <c r="AS25">
        <v>346</v>
      </c>
      <c r="AT25">
        <v>348</v>
      </c>
      <c r="AU25">
        <v>357</v>
      </c>
      <c r="AV25">
        <v>323</v>
      </c>
      <c r="AW25">
        <v>332</v>
      </c>
      <c r="AX25">
        <v>270</v>
      </c>
      <c r="AY25">
        <v>297</v>
      </c>
      <c r="AZ25">
        <v>316</v>
      </c>
      <c r="BA25">
        <v>287</v>
      </c>
      <c r="BB25">
        <v>278</v>
      </c>
      <c r="BC25">
        <v>0.4</v>
      </c>
      <c r="BD25">
        <v>2.9</v>
      </c>
      <c r="BE25">
        <v>18.600000000000001</v>
      </c>
      <c r="BF25">
        <v>20</v>
      </c>
      <c r="BG25">
        <v>64</v>
      </c>
      <c r="BH25">
        <v>154</v>
      </c>
    </row>
    <row r="26" spans="1:60">
      <c r="A26" t="s">
        <v>23</v>
      </c>
      <c r="B26" t="s">
        <v>195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161</v>
      </c>
      <c r="AN26">
        <v>175</v>
      </c>
      <c r="AO26">
        <v>391</v>
      </c>
      <c r="AP26">
        <v>412.11400000000003</v>
      </c>
      <c r="AQ26">
        <v>438.90141</v>
      </c>
      <c r="AR26">
        <v>280</v>
      </c>
      <c r="AS26">
        <v>303</v>
      </c>
      <c r="AT26">
        <v>446</v>
      </c>
      <c r="AU26">
        <v>481</v>
      </c>
      <c r="AV26">
        <v>356</v>
      </c>
      <c r="AW26">
        <v>325</v>
      </c>
      <c r="AX26">
        <v>295</v>
      </c>
      <c r="AY26">
        <v>291</v>
      </c>
      <c r="AZ26">
        <v>358</v>
      </c>
      <c r="BA26">
        <v>244</v>
      </c>
      <c r="BB26">
        <v>193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</row>
    <row r="27" spans="1:60">
      <c r="A27" t="s">
        <v>23</v>
      </c>
      <c r="B27" t="s">
        <v>197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85</v>
      </c>
      <c r="AW27">
        <v>105</v>
      </c>
      <c r="AX27">
        <v>47</v>
      </c>
      <c r="AY27">
        <v>43</v>
      </c>
      <c r="AZ27">
        <v>33</v>
      </c>
      <c r="BA27">
        <v>43</v>
      </c>
      <c r="BB27">
        <v>44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</row>
    <row r="28" spans="1:60">
      <c r="A28" t="s">
        <v>26</v>
      </c>
      <c r="B28" t="s">
        <v>198</v>
      </c>
      <c r="C28">
        <v>100</v>
      </c>
      <c r="D28">
        <v>462</v>
      </c>
      <c r="E28">
        <v>362</v>
      </c>
      <c r="F28">
        <v>15</v>
      </c>
      <c r="G28">
        <v>0</v>
      </c>
      <c r="H28">
        <v>472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970</v>
      </c>
      <c r="T28">
        <v>0</v>
      </c>
      <c r="U28">
        <v>0</v>
      </c>
      <c r="V28">
        <v>0</v>
      </c>
      <c r="W28">
        <v>0</v>
      </c>
      <c r="X28">
        <v>0</v>
      </c>
      <c r="Y28">
        <v>3870</v>
      </c>
      <c r="Z28">
        <v>3507.1</v>
      </c>
      <c r="AA28">
        <v>4469.5229999999992</v>
      </c>
      <c r="AB28">
        <v>11649.7</v>
      </c>
      <c r="AC28">
        <v>4655.5230000000001</v>
      </c>
      <c r="AD28">
        <v>31736.400000000001</v>
      </c>
      <c r="AE28">
        <v>23529.3</v>
      </c>
      <c r="AF28">
        <v>35530.300000000003</v>
      </c>
      <c r="AG28">
        <v>31834.9</v>
      </c>
      <c r="AH28">
        <v>34415.300000000003</v>
      </c>
      <c r="AI28">
        <v>32232.3</v>
      </c>
      <c r="AJ28">
        <v>28476</v>
      </c>
      <c r="AK28">
        <v>10.551</v>
      </c>
      <c r="AL28">
        <v>69.224999999999994</v>
      </c>
      <c r="AM28">
        <v>0.17299999999999999</v>
      </c>
      <c r="AN28">
        <v>0</v>
      </c>
      <c r="AO28">
        <v>0</v>
      </c>
      <c r="AP28">
        <v>0</v>
      </c>
      <c r="AQ28">
        <v>10.316000000000001</v>
      </c>
      <c r="AR28">
        <v>41000</v>
      </c>
      <c r="AS28">
        <v>103289</v>
      </c>
      <c r="AT28">
        <v>116644</v>
      </c>
      <c r="AU28">
        <v>115873</v>
      </c>
      <c r="AV28">
        <v>109529.7</v>
      </c>
      <c r="AW28">
        <v>34249</v>
      </c>
      <c r="AX28">
        <v>35984</v>
      </c>
      <c r="AY28">
        <v>36220</v>
      </c>
      <c r="AZ28">
        <v>36732</v>
      </c>
      <c r="BA28">
        <v>18068</v>
      </c>
      <c r="BB28">
        <v>17696</v>
      </c>
      <c r="BC28">
        <v>17750</v>
      </c>
      <c r="BD28">
        <v>17839</v>
      </c>
      <c r="BE28">
        <v>55844</v>
      </c>
      <c r="BF28">
        <v>44521</v>
      </c>
      <c r="BG28">
        <v>47286</v>
      </c>
      <c r="BH28">
        <v>106</v>
      </c>
    </row>
    <row r="29" spans="1:60">
      <c r="A29" t="s">
        <v>26</v>
      </c>
      <c r="B29" t="s">
        <v>190</v>
      </c>
      <c r="C29">
        <v>100</v>
      </c>
      <c r="D29">
        <v>28</v>
      </c>
      <c r="E29">
        <v>0</v>
      </c>
      <c r="F29">
        <v>0</v>
      </c>
      <c r="G29">
        <v>0</v>
      </c>
      <c r="H29">
        <v>170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2980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</row>
    <row r="30" spans="1:60">
      <c r="A30" t="s">
        <v>26</v>
      </c>
      <c r="B30" t="s">
        <v>191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774</v>
      </c>
      <c r="AT30">
        <v>797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</row>
    <row r="31" spans="1:60">
      <c r="A31" t="s">
        <v>26</v>
      </c>
      <c r="B31" t="s">
        <v>192</v>
      </c>
      <c r="C31">
        <v>0</v>
      </c>
      <c r="D31">
        <v>284</v>
      </c>
      <c r="E31">
        <v>270</v>
      </c>
      <c r="F31">
        <v>0</v>
      </c>
      <c r="G31">
        <v>0</v>
      </c>
      <c r="H31">
        <v>274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1726</v>
      </c>
      <c r="AC31">
        <v>0</v>
      </c>
      <c r="AD31">
        <v>2156</v>
      </c>
      <c r="AE31">
        <v>0</v>
      </c>
      <c r="AF31">
        <v>2402</v>
      </c>
      <c r="AG31">
        <v>0</v>
      </c>
      <c r="AH31">
        <v>1732</v>
      </c>
      <c r="AI31">
        <v>2700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1796</v>
      </c>
      <c r="AT31">
        <v>1811</v>
      </c>
      <c r="AU31">
        <v>1635</v>
      </c>
      <c r="AV31">
        <v>1175</v>
      </c>
      <c r="AW31">
        <v>2807</v>
      </c>
      <c r="AX31">
        <v>3073</v>
      </c>
      <c r="AY31">
        <v>3133</v>
      </c>
      <c r="AZ31">
        <v>3156</v>
      </c>
      <c r="BA31">
        <v>3165</v>
      </c>
      <c r="BB31">
        <v>3150</v>
      </c>
      <c r="BC31">
        <v>3113</v>
      </c>
      <c r="BD31">
        <v>3074</v>
      </c>
      <c r="BE31">
        <v>9690</v>
      </c>
      <c r="BF31">
        <v>0</v>
      </c>
      <c r="BG31">
        <v>0</v>
      </c>
      <c r="BH31">
        <v>0</v>
      </c>
    </row>
    <row r="32" spans="1:60">
      <c r="A32" t="s">
        <v>26</v>
      </c>
      <c r="B32" t="s">
        <v>193</v>
      </c>
      <c r="C32">
        <v>0</v>
      </c>
      <c r="D32">
        <v>0</v>
      </c>
      <c r="E32">
        <v>92</v>
      </c>
      <c r="F32">
        <v>15</v>
      </c>
      <c r="G32">
        <v>0</v>
      </c>
      <c r="H32">
        <v>28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157.1</v>
      </c>
      <c r="AA32">
        <v>326.89999999999998</v>
      </c>
      <c r="AB32">
        <v>23.700000000000003</v>
      </c>
      <c r="AC32">
        <v>914</v>
      </c>
      <c r="AD32">
        <v>65.400000000000006</v>
      </c>
      <c r="AE32">
        <v>453.29999999999995</v>
      </c>
      <c r="AF32">
        <v>486.29999999999995</v>
      </c>
      <c r="AG32">
        <v>356.9</v>
      </c>
      <c r="AH32">
        <v>589.29999999999995</v>
      </c>
      <c r="AI32">
        <v>1056.3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648</v>
      </c>
      <c r="AT32">
        <v>1540</v>
      </c>
      <c r="AU32">
        <v>2910</v>
      </c>
      <c r="AV32">
        <v>3488.7</v>
      </c>
      <c r="AW32">
        <v>3127</v>
      </c>
      <c r="AX32">
        <v>2288</v>
      </c>
      <c r="AY32">
        <v>2463</v>
      </c>
      <c r="AZ32">
        <v>2411</v>
      </c>
      <c r="BA32">
        <v>2521</v>
      </c>
      <c r="BB32">
        <v>2369</v>
      </c>
      <c r="BC32">
        <v>2266</v>
      </c>
      <c r="BD32">
        <v>2182</v>
      </c>
      <c r="BE32">
        <v>0</v>
      </c>
      <c r="BF32">
        <v>0</v>
      </c>
      <c r="BG32">
        <v>0</v>
      </c>
      <c r="BH32">
        <v>0</v>
      </c>
    </row>
    <row r="33" spans="1:60">
      <c r="A33" t="s">
        <v>26</v>
      </c>
      <c r="B33" t="s">
        <v>194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 t="s">
        <v>16</v>
      </c>
      <c r="AA33">
        <v>1375.9563333333331</v>
      </c>
      <c r="AB33" t="s">
        <v>16</v>
      </c>
      <c r="AC33">
        <v>1141.5230000000001</v>
      </c>
      <c r="AD33" t="s">
        <v>16</v>
      </c>
      <c r="AE33" t="s">
        <v>16</v>
      </c>
      <c r="AF33" t="s">
        <v>16</v>
      </c>
      <c r="AG33" t="s">
        <v>16</v>
      </c>
      <c r="AH33" t="s">
        <v>16</v>
      </c>
      <c r="AI33" t="s">
        <v>16</v>
      </c>
      <c r="AJ33" t="s">
        <v>16</v>
      </c>
      <c r="AK33">
        <v>10.551</v>
      </c>
      <c r="AL33">
        <v>69.224999999999994</v>
      </c>
      <c r="AM33">
        <v>0.17299999999999999</v>
      </c>
      <c r="AN33">
        <v>0</v>
      </c>
      <c r="AO33">
        <v>0</v>
      </c>
      <c r="AP33">
        <v>0</v>
      </c>
      <c r="AQ33">
        <v>10.316000000000001</v>
      </c>
      <c r="AR33">
        <v>0</v>
      </c>
      <c r="AS33">
        <v>258</v>
      </c>
      <c r="AT33">
        <v>494</v>
      </c>
      <c r="AU33">
        <v>409</v>
      </c>
      <c r="AV33">
        <v>260</v>
      </c>
      <c r="AW33">
        <v>373</v>
      </c>
      <c r="AX33">
        <v>345</v>
      </c>
      <c r="AY33">
        <v>301</v>
      </c>
      <c r="AZ33">
        <v>260</v>
      </c>
      <c r="BA33">
        <v>169</v>
      </c>
      <c r="BB33">
        <v>187</v>
      </c>
      <c r="BC33">
        <v>82</v>
      </c>
      <c r="BD33">
        <v>13</v>
      </c>
      <c r="BE33">
        <v>11</v>
      </c>
      <c r="BF33">
        <v>10</v>
      </c>
      <c r="BG33">
        <v>11</v>
      </c>
      <c r="BH33">
        <v>11</v>
      </c>
    </row>
    <row r="34" spans="1:60">
      <c r="A34" t="s">
        <v>26</v>
      </c>
      <c r="B34" t="s">
        <v>195</v>
      </c>
      <c r="C34">
        <v>0</v>
      </c>
      <c r="D34">
        <v>150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970</v>
      </c>
      <c r="T34">
        <v>0</v>
      </c>
      <c r="U34">
        <v>0</v>
      </c>
      <c r="V34">
        <v>0</v>
      </c>
      <c r="W34">
        <v>0</v>
      </c>
      <c r="X34">
        <v>0</v>
      </c>
      <c r="Y34">
        <v>3610</v>
      </c>
      <c r="Z34">
        <v>3350</v>
      </c>
      <c r="AA34">
        <v>2766.6666666666665</v>
      </c>
      <c r="AB34">
        <v>9900</v>
      </c>
      <c r="AC34">
        <v>2600</v>
      </c>
      <c r="AD34">
        <v>29515</v>
      </c>
      <c r="AE34">
        <v>23076</v>
      </c>
      <c r="AF34">
        <v>28342</v>
      </c>
      <c r="AG34">
        <v>30218</v>
      </c>
      <c r="AH34">
        <v>32094</v>
      </c>
      <c r="AI34">
        <v>28476</v>
      </c>
      <c r="AJ34">
        <v>28476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1233</v>
      </c>
      <c r="AT34">
        <v>1286</v>
      </c>
      <c r="AU34">
        <v>1055</v>
      </c>
      <c r="AV34">
        <v>825</v>
      </c>
      <c r="AW34">
        <v>1404</v>
      </c>
      <c r="AX34">
        <v>1046</v>
      </c>
      <c r="AY34">
        <v>1005</v>
      </c>
      <c r="AZ34">
        <v>894</v>
      </c>
      <c r="BA34">
        <v>851</v>
      </c>
      <c r="BB34">
        <v>701</v>
      </c>
      <c r="BC34">
        <v>708</v>
      </c>
      <c r="BD34">
        <v>727</v>
      </c>
      <c r="BE34">
        <v>98</v>
      </c>
      <c r="BF34">
        <v>94</v>
      </c>
      <c r="BG34">
        <v>92</v>
      </c>
      <c r="BH34">
        <v>92</v>
      </c>
    </row>
    <row r="35" spans="1:60">
      <c r="A35" t="s">
        <v>26</v>
      </c>
      <c r="B35" t="s">
        <v>197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1200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41000</v>
      </c>
      <c r="AS35">
        <v>95000</v>
      </c>
      <c r="AT35">
        <v>97281</v>
      </c>
      <c r="AU35">
        <v>99405</v>
      </c>
      <c r="AV35">
        <v>102600</v>
      </c>
      <c r="AW35">
        <v>26076</v>
      </c>
      <c r="AX35">
        <v>28857</v>
      </c>
      <c r="AY35">
        <v>28984</v>
      </c>
      <c r="AZ35">
        <v>29808</v>
      </c>
      <c r="BA35">
        <v>11218</v>
      </c>
      <c r="BB35">
        <v>11177</v>
      </c>
      <c r="BC35">
        <v>11482</v>
      </c>
      <c r="BD35">
        <v>11838</v>
      </c>
      <c r="BE35">
        <v>46041</v>
      </c>
      <c r="BF35">
        <v>44414</v>
      </c>
      <c r="BG35">
        <v>47180</v>
      </c>
      <c r="BH35">
        <v>0</v>
      </c>
    </row>
    <row r="36" spans="1:60">
      <c r="A36" t="s">
        <v>26</v>
      </c>
      <c r="B36" t="s">
        <v>196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260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3100</v>
      </c>
      <c r="AG36">
        <v>1260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3580</v>
      </c>
      <c r="AT36">
        <v>10455</v>
      </c>
      <c r="AU36">
        <v>10459</v>
      </c>
      <c r="AV36">
        <v>1181</v>
      </c>
      <c r="AW36">
        <v>462</v>
      </c>
      <c r="AX36">
        <v>375</v>
      </c>
      <c r="AY36">
        <v>334</v>
      </c>
      <c r="AZ36">
        <v>203</v>
      </c>
      <c r="BA36">
        <v>144</v>
      </c>
      <c r="BB36">
        <v>112</v>
      </c>
      <c r="BC36">
        <v>99</v>
      </c>
      <c r="BD36">
        <v>5</v>
      </c>
      <c r="BE36">
        <v>4</v>
      </c>
      <c r="BF36">
        <v>3</v>
      </c>
      <c r="BG36">
        <v>3</v>
      </c>
      <c r="BH36">
        <v>3</v>
      </c>
    </row>
    <row r="37" spans="1:60">
      <c r="A37" t="s">
        <v>27</v>
      </c>
      <c r="B37" t="s">
        <v>198</v>
      </c>
      <c r="AH37">
        <v>0</v>
      </c>
      <c r="AI37">
        <v>0</v>
      </c>
      <c r="AJ37">
        <v>30.8</v>
      </c>
      <c r="AK37">
        <v>32.228999999999999</v>
      </c>
      <c r="AL37">
        <v>76.576999999999998</v>
      </c>
      <c r="AM37">
        <v>64.034000000000006</v>
      </c>
      <c r="AN37">
        <v>126.88500000000001</v>
      </c>
      <c r="AO37">
        <v>31.314</v>
      </c>
      <c r="AP37">
        <v>0</v>
      </c>
      <c r="AQ37">
        <v>24.914999999999999</v>
      </c>
      <c r="AR37">
        <v>17.547999999999998</v>
      </c>
      <c r="AS37">
        <v>14.141999999999999</v>
      </c>
      <c r="AT37">
        <v>46.06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</row>
    <row r="38" spans="1:60">
      <c r="A38" t="s">
        <v>27</v>
      </c>
      <c r="B38" t="s">
        <v>193</v>
      </c>
      <c r="AH38">
        <v>0</v>
      </c>
      <c r="AI38">
        <v>0</v>
      </c>
      <c r="AJ38">
        <v>0</v>
      </c>
      <c r="AK38">
        <v>32.228999999999999</v>
      </c>
      <c r="AL38">
        <v>76.576999999999998</v>
      </c>
      <c r="AM38">
        <v>64.034000000000006</v>
      </c>
      <c r="AN38">
        <v>126.88500000000001</v>
      </c>
      <c r="AO38">
        <v>31.314</v>
      </c>
      <c r="AP38">
        <v>0</v>
      </c>
      <c r="AQ38">
        <v>24.914999999999999</v>
      </c>
      <c r="AR38">
        <v>17.547999999999998</v>
      </c>
      <c r="AS38">
        <v>14.141999999999999</v>
      </c>
      <c r="AT38">
        <v>46.06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</row>
    <row r="39" spans="1:60">
      <c r="A39" t="s">
        <v>27</v>
      </c>
      <c r="B39" t="s">
        <v>194</v>
      </c>
      <c r="AH39">
        <v>0</v>
      </c>
      <c r="AI39">
        <v>0</v>
      </c>
      <c r="AJ39">
        <v>30.8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</row>
    <row r="40" spans="1:60">
      <c r="A40" t="s">
        <v>28</v>
      </c>
      <c r="B40" t="s">
        <v>198</v>
      </c>
      <c r="AH40">
        <v>0</v>
      </c>
      <c r="AI40">
        <v>0</v>
      </c>
      <c r="AJ40">
        <v>0</v>
      </c>
      <c r="AK40">
        <v>23.899000000000001</v>
      </c>
      <c r="AL40">
        <v>41.531999999999996</v>
      </c>
      <c r="AM40">
        <v>37.981000000000002</v>
      </c>
      <c r="AN40">
        <v>37.981000000000002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74.816999999999993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</row>
    <row r="41" spans="1:60">
      <c r="A41" t="s">
        <v>28</v>
      </c>
      <c r="B41" t="s">
        <v>193</v>
      </c>
      <c r="AH41">
        <v>0</v>
      </c>
      <c r="AI41">
        <v>0</v>
      </c>
      <c r="AJ41">
        <v>0</v>
      </c>
      <c r="AK41">
        <v>23.899000000000001</v>
      </c>
      <c r="AL41">
        <v>41.531999999999996</v>
      </c>
      <c r="AM41">
        <v>37.981000000000002</v>
      </c>
      <c r="AN41">
        <v>37.981000000000002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74.816999999999993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</row>
    <row r="42" spans="1:60">
      <c r="A42" t="s">
        <v>29</v>
      </c>
      <c r="B42" t="s">
        <v>198</v>
      </c>
      <c r="N42">
        <v>0</v>
      </c>
      <c r="O42">
        <v>0</v>
      </c>
      <c r="P42">
        <v>0.53</v>
      </c>
      <c r="Q42">
        <v>1.0329999999999999</v>
      </c>
      <c r="R42">
        <v>2.0270000000000001</v>
      </c>
      <c r="S42">
        <v>3.2249999999999996</v>
      </c>
      <c r="T42">
        <v>4.0460000000000003</v>
      </c>
      <c r="U42">
        <v>5.4590000000000005</v>
      </c>
      <c r="V42">
        <v>1.2749999999999999</v>
      </c>
      <c r="W42">
        <v>0.24299999999999999</v>
      </c>
      <c r="X42">
        <v>0.25800000000000001</v>
      </c>
      <c r="Y42">
        <v>0.27</v>
      </c>
      <c r="Z42">
        <v>0.28899999999999998</v>
      </c>
      <c r="AA42">
        <v>0.26700000000000002</v>
      </c>
      <c r="AB42">
        <v>1.1989999999999998</v>
      </c>
      <c r="AC42">
        <v>2.5669999999999997</v>
      </c>
      <c r="AD42">
        <v>8.1890000000000001</v>
      </c>
      <c r="AE42">
        <v>8.897000000000002</v>
      </c>
      <c r="AF42">
        <v>10.410000000000002</v>
      </c>
      <c r="AG42">
        <v>12.52</v>
      </c>
      <c r="AH42">
        <v>309.21999999999997</v>
      </c>
      <c r="AI42">
        <v>14.076000000000001</v>
      </c>
      <c r="AJ42">
        <v>17.5</v>
      </c>
      <c r="AK42">
        <v>27.657</v>
      </c>
      <c r="AL42">
        <v>28.227</v>
      </c>
      <c r="AM42">
        <v>3.3940000000000001</v>
      </c>
      <c r="AN42">
        <v>3.214</v>
      </c>
      <c r="AO42">
        <v>3.532</v>
      </c>
      <c r="AP42">
        <v>4.4009999999999998</v>
      </c>
      <c r="AQ42">
        <v>4.4009999999999998</v>
      </c>
      <c r="AR42">
        <v>78.253</v>
      </c>
      <c r="AS42">
        <v>102.08000000000001</v>
      </c>
      <c r="AT42">
        <v>117.80499999999999</v>
      </c>
      <c r="AU42">
        <v>161.54300000000001</v>
      </c>
      <c r="AV42">
        <v>17.245000000000001</v>
      </c>
      <c r="AW42">
        <v>86.393000000000001</v>
      </c>
      <c r="AX42">
        <v>211.43099999999998</v>
      </c>
      <c r="AY42">
        <v>536.70500000000004</v>
      </c>
      <c r="AZ42">
        <v>8.1950000000000003</v>
      </c>
      <c r="BA42">
        <v>25.757000000000001</v>
      </c>
      <c r="BB42">
        <v>24.729000000000003</v>
      </c>
      <c r="BC42">
        <v>24.965</v>
      </c>
      <c r="BD42">
        <v>25.41</v>
      </c>
      <c r="BE42">
        <v>25.308</v>
      </c>
      <c r="BF42">
        <v>15.513999999999999</v>
      </c>
      <c r="BG42">
        <v>14.547000000000001</v>
      </c>
      <c r="BH42" t="s">
        <v>16</v>
      </c>
    </row>
    <row r="43" spans="1:60">
      <c r="A43" t="s">
        <v>29</v>
      </c>
      <c r="B43" t="s">
        <v>193</v>
      </c>
      <c r="N43">
        <v>0</v>
      </c>
      <c r="O43">
        <v>0</v>
      </c>
      <c r="P43">
        <v>0.53</v>
      </c>
      <c r="Q43">
        <v>1.0329999999999999</v>
      </c>
      <c r="R43">
        <v>2.0230000000000001</v>
      </c>
      <c r="S43">
        <v>3.2109999999999999</v>
      </c>
      <c r="T43">
        <v>4.0460000000000003</v>
      </c>
      <c r="U43">
        <v>5.2950000000000008</v>
      </c>
      <c r="V43">
        <v>1.2749999999999999</v>
      </c>
      <c r="W43">
        <v>0.24299999999999999</v>
      </c>
      <c r="X43">
        <v>0.25800000000000001</v>
      </c>
      <c r="Y43">
        <v>0.27</v>
      </c>
      <c r="Z43">
        <v>0.28899999999999998</v>
      </c>
      <c r="AA43">
        <v>0.26700000000000002</v>
      </c>
      <c r="AB43">
        <v>1.1989999999999998</v>
      </c>
      <c r="AC43">
        <v>2.5669999999999997</v>
      </c>
      <c r="AD43">
        <v>8.1359999999999992</v>
      </c>
      <c r="AE43">
        <v>8.8210000000000015</v>
      </c>
      <c r="AF43">
        <v>10.405000000000001</v>
      </c>
      <c r="AG43">
        <v>12.036</v>
      </c>
      <c r="AH43">
        <v>307.46899999999999</v>
      </c>
      <c r="AI43">
        <v>13.775</v>
      </c>
      <c r="AJ43">
        <v>17.488</v>
      </c>
      <c r="AK43">
        <v>23.722000000000001</v>
      </c>
      <c r="AL43">
        <v>28.222999999999999</v>
      </c>
      <c r="AM43">
        <v>3.3940000000000001</v>
      </c>
      <c r="AN43">
        <v>3.214</v>
      </c>
      <c r="AO43">
        <v>3.532</v>
      </c>
      <c r="AP43">
        <v>4.4009999999999998</v>
      </c>
      <c r="AQ43">
        <v>4.4009999999999998</v>
      </c>
      <c r="AR43">
        <v>78.253</v>
      </c>
      <c r="AS43">
        <v>102.08000000000001</v>
      </c>
      <c r="AT43">
        <v>117.80499999999999</v>
      </c>
      <c r="AU43">
        <v>161.54300000000001</v>
      </c>
      <c r="AV43">
        <v>17.245000000000001</v>
      </c>
      <c r="AW43">
        <v>86.393000000000001</v>
      </c>
      <c r="AX43">
        <v>163.22</v>
      </c>
      <c r="AY43">
        <v>536.70500000000004</v>
      </c>
      <c r="AZ43">
        <v>8.1950000000000003</v>
      </c>
      <c r="BA43">
        <v>25.757000000000001</v>
      </c>
      <c r="BB43">
        <v>24.729000000000003</v>
      </c>
      <c r="BC43">
        <v>24.965</v>
      </c>
      <c r="BD43">
        <v>25.41</v>
      </c>
      <c r="BE43">
        <v>25.308</v>
      </c>
      <c r="BF43">
        <v>15.513999999999999</v>
      </c>
      <c r="BG43">
        <v>14.547000000000001</v>
      </c>
      <c r="BH43" t="s">
        <v>16</v>
      </c>
    </row>
    <row r="44" spans="1:60">
      <c r="A44" t="s">
        <v>29</v>
      </c>
      <c r="B44" t="s">
        <v>194</v>
      </c>
      <c r="N44">
        <v>0</v>
      </c>
      <c r="O44">
        <v>0</v>
      </c>
      <c r="P44">
        <v>0</v>
      </c>
      <c r="Q44">
        <v>0</v>
      </c>
      <c r="R44">
        <v>4.0000000000000001E-3</v>
      </c>
      <c r="S44">
        <v>1.3999999999999999E-2</v>
      </c>
      <c r="T44">
        <v>0</v>
      </c>
      <c r="U44">
        <v>0.16400000000000001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5.2999999999999999E-2</v>
      </c>
      <c r="AE44">
        <v>7.5999999999999998E-2</v>
      </c>
      <c r="AF44">
        <v>5.0000000000000001E-3</v>
      </c>
      <c r="AG44">
        <v>0.48399999999999999</v>
      </c>
      <c r="AH44">
        <v>1.7509999999999999</v>
      </c>
      <c r="AI44">
        <v>0.30100000000000005</v>
      </c>
      <c r="AJ44">
        <v>1.2E-2</v>
      </c>
      <c r="AK44">
        <v>3.9350000000000001</v>
      </c>
      <c r="AL44">
        <v>4.0000000000000001E-3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48.210999999999999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</row>
    <row r="45" spans="1:60">
      <c r="A45" t="s">
        <v>30</v>
      </c>
      <c r="B45" t="s">
        <v>198</v>
      </c>
      <c r="AH45">
        <v>0</v>
      </c>
      <c r="AI45">
        <v>0</v>
      </c>
      <c r="AJ45">
        <v>6.9329999999999998</v>
      </c>
      <c r="AK45">
        <v>149.75800000000001</v>
      </c>
      <c r="AL45">
        <v>158.50299999999999</v>
      </c>
      <c r="AM45">
        <v>588.88400000000001</v>
      </c>
      <c r="AN45">
        <v>4.1359999999999992</v>
      </c>
      <c r="AO45">
        <v>15.751000000000001</v>
      </c>
      <c r="AP45">
        <v>32.846000000000004</v>
      </c>
      <c r="AQ45">
        <v>91.649000000000001</v>
      </c>
      <c r="AR45">
        <v>42.210999999999999</v>
      </c>
      <c r="AS45">
        <v>4.5570000000000004</v>
      </c>
      <c r="AT45">
        <v>20.93</v>
      </c>
      <c r="AU45">
        <v>0.51100000000000001</v>
      </c>
      <c r="AV45">
        <v>37.637</v>
      </c>
      <c r="AW45">
        <v>26.318000000000001</v>
      </c>
      <c r="AX45">
        <v>11.896000000000001</v>
      </c>
      <c r="AY45">
        <v>5.4770000000000003</v>
      </c>
      <c r="AZ45">
        <v>37.103000000000002</v>
      </c>
      <c r="BA45">
        <v>10.641999999999999</v>
      </c>
      <c r="BB45">
        <v>16.100000000000001</v>
      </c>
      <c r="BC45">
        <v>12.227</v>
      </c>
      <c r="BD45">
        <v>12.462</v>
      </c>
      <c r="BE45">
        <v>15.215999999999999</v>
      </c>
      <c r="BF45">
        <v>14.519</v>
      </c>
      <c r="BG45">
        <v>11.621</v>
      </c>
      <c r="BH45" t="s">
        <v>16</v>
      </c>
    </row>
    <row r="46" spans="1:60">
      <c r="A46" t="s">
        <v>30</v>
      </c>
      <c r="B46" t="s">
        <v>193</v>
      </c>
      <c r="AH46">
        <v>0</v>
      </c>
      <c r="AI46">
        <v>0</v>
      </c>
      <c r="AJ46">
        <v>0.23400000000000001</v>
      </c>
      <c r="AK46">
        <v>0</v>
      </c>
      <c r="AL46">
        <v>0</v>
      </c>
      <c r="AM46">
        <v>570.13599999999997</v>
      </c>
      <c r="AN46">
        <v>2.0339999999999998</v>
      </c>
      <c r="AO46">
        <v>9.6780000000000008</v>
      </c>
      <c r="AP46">
        <v>17.882000000000001</v>
      </c>
      <c r="AQ46">
        <v>89.241</v>
      </c>
      <c r="AR46">
        <v>38.26</v>
      </c>
      <c r="AS46">
        <v>2.6520000000000001</v>
      </c>
      <c r="AT46">
        <v>20.398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15.342000000000001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</row>
    <row r="47" spans="1:60">
      <c r="A47" t="s">
        <v>30</v>
      </c>
      <c r="B47" t="s">
        <v>194</v>
      </c>
      <c r="C47" t="s">
        <v>169</v>
      </c>
      <c r="D47" t="s">
        <v>169</v>
      </c>
      <c r="E47" t="s">
        <v>169</v>
      </c>
      <c r="F47" t="s">
        <v>169</v>
      </c>
      <c r="G47" t="s">
        <v>169</v>
      </c>
      <c r="H47" t="s">
        <v>169</v>
      </c>
      <c r="I47" t="s">
        <v>169</v>
      </c>
      <c r="J47" t="s">
        <v>169</v>
      </c>
      <c r="K47" t="s">
        <v>169</v>
      </c>
      <c r="L47" t="s">
        <v>169</v>
      </c>
      <c r="M47" t="s">
        <v>169</v>
      </c>
      <c r="N47" t="s">
        <v>169</v>
      </c>
      <c r="O47" t="s">
        <v>169</v>
      </c>
      <c r="P47" t="s">
        <v>169</v>
      </c>
      <c r="Q47" t="s">
        <v>169</v>
      </c>
      <c r="R47" t="s">
        <v>169</v>
      </c>
      <c r="S47" t="s">
        <v>169</v>
      </c>
      <c r="T47" t="s">
        <v>169</v>
      </c>
      <c r="U47" t="s">
        <v>169</v>
      </c>
      <c r="V47" t="s">
        <v>169</v>
      </c>
      <c r="W47" t="s">
        <v>169</v>
      </c>
      <c r="X47" t="s">
        <v>169</v>
      </c>
      <c r="Y47" t="s">
        <v>169</v>
      </c>
      <c r="Z47" t="s">
        <v>169</v>
      </c>
      <c r="AA47" t="s">
        <v>169</v>
      </c>
      <c r="AB47" t="s">
        <v>169</v>
      </c>
      <c r="AC47" t="s">
        <v>169</v>
      </c>
      <c r="AD47" t="s">
        <v>169</v>
      </c>
      <c r="AE47" t="s">
        <v>169</v>
      </c>
      <c r="AF47" t="s">
        <v>169</v>
      </c>
      <c r="AG47" t="s">
        <v>169</v>
      </c>
      <c r="AH47">
        <v>0</v>
      </c>
      <c r="AI47">
        <v>0</v>
      </c>
      <c r="AJ47">
        <v>6.6989999999999998</v>
      </c>
      <c r="AK47">
        <v>149.75800000000001</v>
      </c>
      <c r="AL47">
        <v>158.50299999999999</v>
      </c>
      <c r="AM47">
        <v>18.748000000000001</v>
      </c>
      <c r="AN47">
        <v>2.1019999999999999</v>
      </c>
      <c r="AO47">
        <v>6.0730000000000004</v>
      </c>
      <c r="AP47">
        <v>14.964</v>
      </c>
      <c r="AQ47">
        <v>2.4079999999999999</v>
      </c>
      <c r="AR47">
        <v>3.9510000000000001</v>
      </c>
      <c r="AS47">
        <v>1.905</v>
      </c>
      <c r="AT47">
        <v>0.53200000000000003</v>
      </c>
      <c r="AU47">
        <v>0.51100000000000001</v>
      </c>
      <c r="AV47">
        <v>37.637</v>
      </c>
      <c r="AW47">
        <v>26.318000000000001</v>
      </c>
      <c r="AX47">
        <v>11.896000000000001</v>
      </c>
      <c r="AY47">
        <v>5.4770000000000003</v>
      </c>
      <c r="AZ47">
        <v>21.760999999999999</v>
      </c>
      <c r="BA47">
        <v>10.641999999999999</v>
      </c>
      <c r="BB47">
        <v>16.100000000000001</v>
      </c>
      <c r="BC47">
        <v>12.227</v>
      </c>
      <c r="BD47">
        <v>12.462</v>
      </c>
      <c r="BE47">
        <v>15.215999999999999</v>
      </c>
      <c r="BF47">
        <v>14.519</v>
      </c>
      <c r="BG47">
        <v>11.621</v>
      </c>
      <c r="BH47" t="s">
        <v>16</v>
      </c>
    </row>
    <row r="48" spans="1:60">
      <c r="A48" t="s">
        <v>31</v>
      </c>
      <c r="B48" t="s">
        <v>198</v>
      </c>
      <c r="X48">
        <v>0.19800000000000001</v>
      </c>
      <c r="Y48">
        <v>0.47299999999999998</v>
      </c>
      <c r="Z48">
        <v>3.2050000000000001</v>
      </c>
      <c r="AA48">
        <v>5.7919999999999998</v>
      </c>
      <c r="AB48">
        <v>0.47199999999999998</v>
      </c>
      <c r="AC48">
        <v>2.407</v>
      </c>
      <c r="AD48">
        <v>2.0640000000000001</v>
      </c>
      <c r="AE48">
        <v>2.9610000000000003</v>
      </c>
      <c r="AF48">
        <v>2.319</v>
      </c>
      <c r="AG48">
        <v>11.556000000000001</v>
      </c>
      <c r="AH48">
        <v>1.7639999999999998</v>
      </c>
      <c r="AI48">
        <v>10.33</v>
      </c>
      <c r="AJ48">
        <v>12.010000000000002</v>
      </c>
      <c r="AK48">
        <v>7.25</v>
      </c>
      <c r="AL48">
        <v>1.2470000000000001</v>
      </c>
      <c r="AM48">
        <v>1.1779999999999999</v>
      </c>
      <c r="AN48">
        <v>1.4E-2</v>
      </c>
      <c r="AO48">
        <v>23.52</v>
      </c>
      <c r="AP48">
        <v>0</v>
      </c>
      <c r="AQ48">
        <v>0</v>
      </c>
      <c r="AR48">
        <v>1.2E-2</v>
      </c>
      <c r="AS48">
        <v>4.0350000000000001</v>
      </c>
      <c r="AT48">
        <v>3.2639999999999998</v>
      </c>
      <c r="AU48">
        <v>3.9220000000000002</v>
      </c>
      <c r="AV48">
        <v>9.0150000000000006</v>
      </c>
      <c r="AW48">
        <v>555.49800000000005</v>
      </c>
      <c r="AX48">
        <v>558.33900000000006</v>
      </c>
      <c r="AY48">
        <v>13.758999999999999</v>
      </c>
      <c r="AZ48">
        <v>9.7270000000000003</v>
      </c>
      <c r="BA48">
        <v>6.7249999999999996</v>
      </c>
      <c r="BB48">
        <v>7.4139999999999997</v>
      </c>
      <c r="BC48">
        <v>549.30700000000002</v>
      </c>
      <c r="BD48">
        <v>1107.982</v>
      </c>
      <c r="BE48">
        <v>6.0339999999999998</v>
      </c>
      <c r="BF48">
        <v>7.3140000000000001</v>
      </c>
      <c r="BG48">
        <v>6.0739999999999998</v>
      </c>
      <c r="BH48" t="s">
        <v>16</v>
      </c>
    </row>
    <row r="49" spans="1:60">
      <c r="A49" t="s">
        <v>31</v>
      </c>
      <c r="B49" t="s">
        <v>193</v>
      </c>
      <c r="X49">
        <v>0.19800000000000001</v>
      </c>
      <c r="Y49">
        <v>0.47299999999999998</v>
      </c>
      <c r="Z49">
        <v>3.2050000000000001</v>
      </c>
      <c r="AA49">
        <v>4.7699999999999996</v>
      </c>
      <c r="AB49">
        <v>0.47199999999999998</v>
      </c>
      <c r="AC49">
        <v>1.9119999999999999</v>
      </c>
      <c r="AD49">
        <v>1.167</v>
      </c>
      <c r="AE49">
        <v>1.901</v>
      </c>
      <c r="AF49">
        <v>1.357</v>
      </c>
      <c r="AG49">
        <v>10.333</v>
      </c>
      <c r="AH49">
        <v>1.7629999999999999</v>
      </c>
      <c r="AI49">
        <v>10.276</v>
      </c>
      <c r="AJ49">
        <v>11.55</v>
      </c>
      <c r="AK49">
        <v>5.1109999999999998</v>
      </c>
      <c r="AL49">
        <v>1.2470000000000001</v>
      </c>
      <c r="AM49">
        <v>1.1779999999999999</v>
      </c>
      <c r="AN49">
        <v>1.4E-2</v>
      </c>
      <c r="AO49">
        <v>23.52</v>
      </c>
      <c r="AP49">
        <v>0</v>
      </c>
      <c r="AQ49">
        <v>0</v>
      </c>
      <c r="AR49">
        <v>1.2E-2</v>
      </c>
      <c r="AS49">
        <v>3.0350000000000001</v>
      </c>
      <c r="AT49">
        <v>3.2639999999999998</v>
      </c>
      <c r="AU49">
        <v>3.9220000000000002</v>
      </c>
      <c r="AV49">
        <v>7.4909999999999997</v>
      </c>
      <c r="AW49">
        <v>8.4979999999999993</v>
      </c>
      <c r="AX49">
        <v>8.3010000000000002</v>
      </c>
      <c r="AY49">
        <v>13.680999999999999</v>
      </c>
      <c r="AZ49">
        <v>9.7119999999999997</v>
      </c>
      <c r="BA49">
        <v>6.7249999999999996</v>
      </c>
      <c r="BB49">
        <v>7.4139999999999997</v>
      </c>
      <c r="BC49">
        <v>5.3070000000000004</v>
      </c>
      <c r="BD49">
        <v>548.61599999999999</v>
      </c>
      <c r="BE49">
        <v>6.0339999999999998</v>
      </c>
      <c r="BF49">
        <v>7.3140000000000001</v>
      </c>
      <c r="BG49">
        <v>6.0739999999999998</v>
      </c>
      <c r="BH49" t="s">
        <v>16</v>
      </c>
    </row>
    <row r="50" spans="1:60">
      <c r="A50" t="s">
        <v>31</v>
      </c>
      <c r="B50" t="s">
        <v>194</v>
      </c>
      <c r="X50">
        <v>0</v>
      </c>
      <c r="Y50">
        <v>0</v>
      </c>
      <c r="Z50">
        <v>0</v>
      </c>
      <c r="AA50">
        <v>1.022</v>
      </c>
      <c r="AB50">
        <v>0</v>
      </c>
      <c r="AC50">
        <v>0.495</v>
      </c>
      <c r="AD50">
        <v>0.89700000000000002</v>
      </c>
      <c r="AE50">
        <v>1.06</v>
      </c>
      <c r="AF50">
        <v>0.96199999999999997</v>
      </c>
      <c r="AG50">
        <v>1.2230000000000001</v>
      </c>
      <c r="AH50">
        <v>1E-3</v>
      </c>
      <c r="AI50">
        <v>5.3999999999999999E-2</v>
      </c>
      <c r="AJ50">
        <v>0.46</v>
      </c>
      <c r="AK50">
        <v>2.1389999999999998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1</v>
      </c>
      <c r="AT50">
        <v>0</v>
      </c>
      <c r="AU50">
        <v>0</v>
      </c>
      <c r="AV50">
        <v>1.524</v>
      </c>
      <c r="AW50">
        <v>0</v>
      </c>
      <c r="AX50">
        <v>3.7999999999999999E-2</v>
      </c>
      <c r="AY50">
        <v>7.8E-2</v>
      </c>
      <c r="AZ50">
        <v>1.4999999999999999E-2</v>
      </c>
      <c r="BA50">
        <v>0</v>
      </c>
      <c r="BB50">
        <v>0</v>
      </c>
      <c r="BC50">
        <v>0</v>
      </c>
      <c r="BD50">
        <v>4.3659999999999997</v>
      </c>
      <c r="BE50">
        <v>0</v>
      </c>
      <c r="BF50">
        <v>0</v>
      </c>
      <c r="BG50">
        <v>0</v>
      </c>
      <c r="BH50">
        <v>0</v>
      </c>
    </row>
    <row r="51" spans="1:60">
      <c r="A51" t="s">
        <v>31</v>
      </c>
      <c r="B51" t="s">
        <v>197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547</v>
      </c>
      <c r="AX51">
        <v>550</v>
      </c>
      <c r="AY51">
        <v>0</v>
      </c>
      <c r="AZ51">
        <v>0</v>
      </c>
      <c r="BA51">
        <v>0</v>
      </c>
      <c r="BB51">
        <v>0</v>
      </c>
      <c r="BC51">
        <v>544</v>
      </c>
      <c r="BD51">
        <v>555</v>
      </c>
      <c r="BE51">
        <v>0</v>
      </c>
      <c r="BF51">
        <v>0</v>
      </c>
      <c r="BG51">
        <v>0</v>
      </c>
      <c r="BH51">
        <v>526</v>
      </c>
    </row>
    <row r="52" spans="1:60">
      <c r="A52" t="s">
        <v>32</v>
      </c>
      <c r="B52" t="s">
        <v>198</v>
      </c>
      <c r="C52">
        <v>0.8</v>
      </c>
      <c r="D52">
        <v>0.8</v>
      </c>
      <c r="E52">
        <v>0.8</v>
      </c>
      <c r="F52">
        <v>0.8</v>
      </c>
      <c r="G52">
        <v>0.8</v>
      </c>
      <c r="H52">
        <v>4.3</v>
      </c>
      <c r="I52">
        <v>4.3</v>
      </c>
      <c r="J52">
        <v>14</v>
      </c>
      <c r="K52">
        <v>14</v>
      </c>
      <c r="L52">
        <v>14</v>
      </c>
      <c r="M52">
        <v>4.3390000000000004</v>
      </c>
      <c r="N52">
        <v>5.9969999999999999</v>
      </c>
      <c r="O52">
        <v>9.3149999999999995</v>
      </c>
      <c r="P52">
        <v>12.619</v>
      </c>
      <c r="Q52">
        <v>14.757999999999999</v>
      </c>
      <c r="R52">
        <v>16.719000000000001</v>
      </c>
      <c r="S52">
        <v>15.441000000000001</v>
      </c>
      <c r="T52">
        <v>16.831</v>
      </c>
      <c r="U52">
        <v>19.096999999999998</v>
      </c>
      <c r="V52">
        <v>20.003</v>
      </c>
      <c r="W52">
        <v>18.906000000000002</v>
      </c>
      <c r="X52">
        <v>15.504000000000001</v>
      </c>
      <c r="Y52">
        <v>4.9960000000000004</v>
      </c>
      <c r="Z52">
        <v>44.907000000000004</v>
      </c>
      <c r="AA52">
        <v>87.570000000000007</v>
      </c>
      <c r="AB52">
        <v>166.745</v>
      </c>
      <c r="AC52">
        <v>265.923</v>
      </c>
      <c r="AD52">
        <v>394.34899999999999</v>
      </c>
      <c r="AE52">
        <v>440.11099999999999</v>
      </c>
      <c r="AF52">
        <v>486.92599999999999</v>
      </c>
      <c r="AG52">
        <v>230.322</v>
      </c>
      <c r="AH52">
        <v>399.108</v>
      </c>
      <c r="AI52">
        <v>146.91400000000002</v>
      </c>
      <c r="AJ52">
        <v>121.18300000000001</v>
      </c>
      <c r="AK52">
        <v>98.117999999999995</v>
      </c>
      <c r="AL52">
        <v>228.17500000000001</v>
      </c>
      <c r="AM52">
        <v>504.28099999999995</v>
      </c>
      <c r="AN52">
        <v>96.015999999999991</v>
      </c>
      <c r="AO52">
        <v>91.897000000000006</v>
      </c>
      <c r="AP52">
        <v>93.736999999999995</v>
      </c>
      <c r="AQ52">
        <v>92.474999999999994</v>
      </c>
      <c r="AR52">
        <v>47.712000000000003</v>
      </c>
      <c r="AS52">
        <v>49.843000000000004</v>
      </c>
      <c r="AT52">
        <v>364</v>
      </c>
      <c r="AU52">
        <v>117.485</v>
      </c>
      <c r="AV52">
        <v>50.567999999999998</v>
      </c>
      <c r="AW52">
        <v>2266.6350000000002</v>
      </c>
      <c r="AX52">
        <v>24.963999999999999</v>
      </c>
      <c r="AY52">
        <v>32.706000000000003</v>
      </c>
      <c r="AZ52">
        <v>76.022000000000006</v>
      </c>
      <c r="BA52">
        <v>75.356999999999999</v>
      </c>
      <c r="BB52">
        <v>78.039000000000001</v>
      </c>
      <c r="BC52">
        <v>110.63200000000001</v>
      </c>
      <c r="BD52">
        <v>115.221</v>
      </c>
      <c r="BE52">
        <v>62.712000000000003</v>
      </c>
      <c r="BF52">
        <v>114.371</v>
      </c>
      <c r="BG52">
        <v>106.494</v>
      </c>
      <c r="BH52" t="s">
        <v>16</v>
      </c>
    </row>
    <row r="53" spans="1:60">
      <c r="A53" t="s">
        <v>32</v>
      </c>
      <c r="B53" t="s">
        <v>192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193</v>
      </c>
      <c r="AG53">
        <v>0</v>
      </c>
      <c r="AH53">
        <v>152</v>
      </c>
      <c r="AI53">
        <v>0</v>
      </c>
      <c r="AJ53">
        <v>24</v>
      </c>
      <c r="AK53">
        <v>0</v>
      </c>
      <c r="AL53">
        <v>0</v>
      </c>
      <c r="AM53">
        <v>208</v>
      </c>
      <c r="AN53">
        <v>0</v>
      </c>
      <c r="AO53">
        <v>0</v>
      </c>
      <c r="AP53">
        <v>0</v>
      </c>
      <c r="AQ53">
        <v>5</v>
      </c>
      <c r="AR53">
        <v>0</v>
      </c>
      <c r="AS53">
        <v>0</v>
      </c>
      <c r="AT53">
        <v>65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</row>
    <row r="54" spans="1:60">
      <c r="A54" t="s">
        <v>32</v>
      </c>
      <c r="B54" t="s">
        <v>193</v>
      </c>
      <c r="C54">
        <v>0.8</v>
      </c>
      <c r="D54">
        <v>0.8</v>
      </c>
      <c r="E54">
        <v>0.8</v>
      </c>
      <c r="F54">
        <v>0.8</v>
      </c>
      <c r="G54">
        <v>0.8</v>
      </c>
      <c r="H54">
        <v>4.3</v>
      </c>
      <c r="I54">
        <v>4.3</v>
      </c>
      <c r="J54">
        <v>14</v>
      </c>
      <c r="K54">
        <v>14</v>
      </c>
      <c r="L54">
        <v>14</v>
      </c>
      <c r="M54">
        <v>1.5640000000000001</v>
      </c>
      <c r="N54">
        <v>2.085</v>
      </c>
      <c r="O54">
        <v>2.714</v>
      </c>
      <c r="P54">
        <v>2.9049999999999998</v>
      </c>
      <c r="Q54">
        <v>2.13</v>
      </c>
      <c r="R54">
        <v>1.2769999999999999</v>
      </c>
      <c r="S54">
        <v>0.92600000000000005</v>
      </c>
      <c r="T54">
        <v>0.79600000000000004</v>
      </c>
      <c r="U54">
        <v>0.79900000000000004</v>
      </c>
      <c r="V54">
        <v>0.67800000000000005</v>
      </c>
      <c r="W54">
        <v>0.79200000000000004</v>
      </c>
      <c r="X54">
        <v>0.749</v>
      </c>
      <c r="Y54">
        <v>1.5860000000000001</v>
      </c>
      <c r="Z54">
        <v>8.5419999999999998</v>
      </c>
      <c r="AA54">
        <v>18.84</v>
      </c>
      <c r="AB54">
        <v>29.271999999999998</v>
      </c>
      <c r="AC54">
        <v>43.046999999999997</v>
      </c>
      <c r="AD54">
        <v>62.997</v>
      </c>
      <c r="AE54">
        <v>77.644000000000005</v>
      </c>
      <c r="AF54">
        <v>126.664</v>
      </c>
      <c r="AG54">
        <v>213.42</v>
      </c>
      <c r="AH54">
        <v>237.14500000000001</v>
      </c>
      <c r="AI54">
        <v>140.727</v>
      </c>
      <c r="AJ54">
        <v>92.179000000000002</v>
      </c>
      <c r="AK54">
        <v>93.22</v>
      </c>
      <c r="AL54">
        <v>222.94200000000001</v>
      </c>
      <c r="AM54">
        <v>291.41199999999998</v>
      </c>
      <c r="AN54">
        <v>91.757999999999996</v>
      </c>
      <c r="AO54">
        <v>87.361000000000004</v>
      </c>
      <c r="AP54">
        <v>89.831999999999994</v>
      </c>
      <c r="AQ54">
        <v>87.474999999999994</v>
      </c>
      <c r="AR54">
        <v>47.712000000000003</v>
      </c>
      <c r="AS54">
        <v>49.843000000000004</v>
      </c>
      <c r="AT54">
        <v>299</v>
      </c>
      <c r="AU54">
        <v>117.485</v>
      </c>
      <c r="AV54">
        <v>50.567999999999998</v>
      </c>
      <c r="AW54">
        <v>2266.6350000000002</v>
      </c>
      <c r="AX54">
        <v>24.963999999999999</v>
      </c>
      <c r="AY54">
        <v>32.706000000000003</v>
      </c>
      <c r="AZ54">
        <v>76.022000000000006</v>
      </c>
      <c r="BA54">
        <v>75.356999999999999</v>
      </c>
      <c r="BB54">
        <v>78.039000000000001</v>
      </c>
      <c r="BC54">
        <v>110.63200000000001</v>
      </c>
      <c r="BD54">
        <v>115.221</v>
      </c>
      <c r="BE54">
        <v>62.712000000000003</v>
      </c>
      <c r="BF54">
        <v>114.371</v>
      </c>
      <c r="BG54">
        <v>106.494</v>
      </c>
      <c r="BH54" t="s">
        <v>16</v>
      </c>
    </row>
    <row r="55" spans="1:60">
      <c r="A55" t="s">
        <v>32</v>
      </c>
      <c r="B55" t="s">
        <v>194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2.7749999999999999</v>
      </c>
      <c r="N55">
        <v>3.9119999999999999</v>
      </c>
      <c r="O55">
        <v>6.601</v>
      </c>
      <c r="P55">
        <v>9.7140000000000004</v>
      </c>
      <c r="Q55">
        <v>12.628</v>
      </c>
      <c r="R55">
        <v>15.442</v>
      </c>
      <c r="S55">
        <v>14.515000000000001</v>
      </c>
      <c r="T55">
        <v>16.035</v>
      </c>
      <c r="U55">
        <v>18.297999999999998</v>
      </c>
      <c r="V55">
        <v>19.324999999999999</v>
      </c>
      <c r="W55">
        <v>18.114000000000001</v>
      </c>
      <c r="X55">
        <v>14.755000000000001</v>
      </c>
      <c r="Y55">
        <v>3.41</v>
      </c>
      <c r="Z55">
        <v>36.365000000000002</v>
      </c>
      <c r="AA55">
        <v>68.73</v>
      </c>
      <c r="AB55">
        <v>137.47300000000001</v>
      </c>
      <c r="AC55">
        <v>222.876</v>
      </c>
      <c r="AD55">
        <v>331.35199999999998</v>
      </c>
      <c r="AE55">
        <v>362.46699999999998</v>
      </c>
      <c r="AF55">
        <v>167.262</v>
      </c>
      <c r="AG55">
        <v>16.902000000000001</v>
      </c>
      <c r="AH55">
        <v>9.9629999999999992</v>
      </c>
      <c r="AI55">
        <v>6.1870000000000003</v>
      </c>
      <c r="AJ55">
        <v>5.0039999999999996</v>
      </c>
      <c r="AK55">
        <v>4.8979999999999997</v>
      </c>
      <c r="AL55">
        <v>5.2329999999999997</v>
      </c>
      <c r="AM55">
        <v>4.8689999999999998</v>
      </c>
      <c r="AN55">
        <v>4.258</v>
      </c>
      <c r="AO55">
        <v>4.5359999999999996</v>
      </c>
      <c r="AP55">
        <v>3.9049999999999998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</row>
    <row r="56" spans="1:60">
      <c r="A56" t="s">
        <v>33</v>
      </c>
      <c r="B56" t="s">
        <v>198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1.72</v>
      </c>
      <c r="AH56">
        <v>3.5409999999999999</v>
      </c>
      <c r="AI56">
        <v>3.488</v>
      </c>
      <c r="AJ56">
        <v>2.8420000000000001</v>
      </c>
      <c r="AK56">
        <v>2.0339999999999998</v>
      </c>
      <c r="AL56">
        <v>0.81399999999999995</v>
      </c>
      <c r="AM56">
        <v>0.27700000000000002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8.6180000000000003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</row>
    <row r="57" spans="1:60">
      <c r="A57" t="s">
        <v>33</v>
      </c>
      <c r="B57" t="s">
        <v>193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1.72</v>
      </c>
      <c r="AH57">
        <v>3.5409999999999999</v>
      </c>
      <c r="AI57">
        <v>3.488</v>
      </c>
      <c r="AJ57">
        <v>2.8420000000000001</v>
      </c>
      <c r="AK57">
        <v>2.0339999999999998</v>
      </c>
      <c r="AL57">
        <v>0.81399999999999995</v>
      </c>
      <c r="AM57">
        <v>0.27700000000000002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8.6180000000000003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</row>
    <row r="58" spans="1:60">
      <c r="A58" t="s">
        <v>34</v>
      </c>
      <c r="B58" t="s">
        <v>198</v>
      </c>
      <c r="C58">
        <v>116.547</v>
      </c>
      <c r="D58">
        <v>121.19</v>
      </c>
      <c r="E58">
        <v>97.832999999999998</v>
      </c>
      <c r="F58">
        <v>102.776</v>
      </c>
      <c r="G58">
        <v>106.119</v>
      </c>
      <c r="H58">
        <v>109.762</v>
      </c>
      <c r="I58">
        <v>112.405</v>
      </c>
      <c r="J58">
        <v>72.048000000000002</v>
      </c>
      <c r="K58">
        <v>74.691000000000003</v>
      </c>
      <c r="L58">
        <v>77.334000000000003</v>
      </c>
      <c r="M58">
        <v>2.9990000000000001</v>
      </c>
      <c r="N58">
        <v>5.298</v>
      </c>
      <c r="O58">
        <v>4.1340000000000003</v>
      </c>
      <c r="P58">
        <v>6.3780000000000001</v>
      </c>
      <c r="Q58">
        <v>5.4180000000000001</v>
      </c>
      <c r="R58">
        <v>5.2249999999999996</v>
      </c>
      <c r="S58">
        <v>5.2249999999999996</v>
      </c>
      <c r="T58">
        <v>5.2249999999999996</v>
      </c>
      <c r="U58">
        <v>6.6630000000000003</v>
      </c>
      <c r="V58">
        <v>26.69</v>
      </c>
      <c r="W58">
        <v>196.202</v>
      </c>
      <c r="X58">
        <v>558.16300000000001</v>
      </c>
      <c r="Y58">
        <v>310.08</v>
      </c>
      <c r="Z58">
        <v>735.14599999999996</v>
      </c>
      <c r="AA58">
        <v>586.73099999999999</v>
      </c>
      <c r="AB58">
        <v>891.35899999999992</v>
      </c>
      <c r="AC58">
        <v>2580.7062500000002</v>
      </c>
      <c r="AD58">
        <v>2157.8289999999997</v>
      </c>
      <c r="AE58">
        <v>958.55624999999998</v>
      </c>
      <c r="AF58">
        <v>1476.788</v>
      </c>
      <c r="AG58">
        <v>644.49849999999992</v>
      </c>
      <c r="AH58">
        <v>1252.4914050000002</v>
      </c>
      <c r="AI58">
        <v>499.22472715000004</v>
      </c>
      <c r="AJ58">
        <v>766.625</v>
      </c>
      <c r="AK58">
        <v>177.19800000000001</v>
      </c>
      <c r="AL58">
        <v>1402.920323533438</v>
      </c>
      <c r="AM58">
        <v>834.77344323944124</v>
      </c>
      <c r="AN58">
        <v>542.84544323944124</v>
      </c>
      <c r="AO58">
        <v>749.11099999999999</v>
      </c>
      <c r="AP58">
        <v>744.78600000000006</v>
      </c>
      <c r="AQ58">
        <v>109.51</v>
      </c>
      <c r="AR58">
        <v>1325.1610000000001</v>
      </c>
      <c r="AS58">
        <v>532.62199999999996</v>
      </c>
      <c r="AT58">
        <v>172.768</v>
      </c>
      <c r="AU58">
        <v>596.06399999999996</v>
      </c>
      <c r="AV58">
        <v>102.667</v>
      </c>
      <c r="AW58">
        <v>3607.4290000000001</v>
      </c>
      <c r="AX58">
        <v>2356.319</v>
      </c>
      <c r="AY58">
        <v>19.829999999999998</v>
      </c>
      <c r="AZ58">
        <v>87.459000000000003</v>
      </c>
      <c r="BA58">
        <v>83.68</v>
      </c>
      <c r="BB58">
        <v>0</v>
      </c>
      <c r="BC58">
        <v>0.16</v>
      </c>
      <c r="BD58">
        <v>0</v>
      </c>
      <c r="BE58">
        <v>0.442</v>
      </c>
      <c r="BF58">
        <v>0</v>
      </c>
      <c r="BG58">
        <v>0</v>
      </c>
      <c r="BH58">
        <v>0</v>
      </c>
    </row>
    <row r="59" spans="1:60">
      <c r="A59" t="s">
        <v>34</v>
      </c>
      <c r="B59" t="s">
        <v>190</v>
      </c>
      <c r="C59">
        <v>0</v>
      </c>
      <c r="D59">
        <v>0</v>
      </c>
      <c r="E59">
        <v>0</v>
      </c>
      <c r="F59">
        <v>0.3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</row>
    <row r="60" spans="1:60">
      <c r="A60" t="s">
        <v>34</v>
      </c>
      <c r="B60" t="s">
        <v>192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AB60" t="s">
        <v>16</v>
      </c>
      <c r="AC60">
        <v>642</v>
      </c>
      <c r="AD60" t="s">
        <v>16</v>
      </c>
      <c r="AE60">
        <v>228</v>
      </c>
      <c r="AF60" t="s">
        <v>16</v>
      </c>
      <c r="AG60">
        <v>276</v>
      </c>
      <c r="AH60" t="s">
        <v>16</v>
      </c>
      <c r="AI60">
        <v>65</v>
      </c>
      <c r="AJ60" t="s">
        <v>16</v>
      </c>
      <c r="AK60" t="s">
        <v>16</v>
      </c>
      <c r="AL60">
        <v>1363</v>
      </c>
      <c r="AM60" t="s">
        <v>16</v>
      </c>
      <c r="AN60" t="s">
        <v>16</v>
      </c>
      <c r="AO60">
        <v>561</v>
      </c>
      <c r="AP60" t="s">
        <v>16</v>
      </c>
      <c r="AQ60" t="s">
        <v>16</v>
      </c>
      <c r="AR60">
        <v>685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</row>
    <row r="61" spans="1:60">
      <c r="A61" t="s">
        <v>34</v>
      </c>
      <c r="B61" t="s">
        <v>193</v>
      </c>
      <c r="C61">
        <v>63</v>
      </c>
      <c r="D61">
        <v>65</v>
      </c>
      <c r="E61">
        <v>39</v>
      </c>
      <c r="F61">
        <v>41</v>
      </c>
      <c r="G61">
        <v>42</v>
      </c>
      <c r="H61">
        <v>43</v>
      </c>
      <c r="I61">
        <v>43</v>
      </c>
      <c r="J61">
        <v>0</v>
      </c>
      <c r="K61">
        <v>0</v>
      </c>
      <c r="L61">
        <v>0</v>
      </c>
      <c r="M61">
        <v>2.9990000000000001</v>
      </c>
      <c r="N61">
        <v>5.0679999999999996</v>
      </c>
      <c r="O61">
        <v>3.8759999999999999</v>
      </c>
      <c r="P61">
        <v>6.12</v>
      </c>
      <c r="Q61">
        <v>5.16</v>
      </c>
      <c r="R61">
        <v>4.9669999999999996</v>
      </c>
      <c r="S61">
        <v>4.9669999999999996</v>
      </c>
      <c r="T61">
        <v>4.9669999999999996</v>
      </c>
      <c r="U61">
        <v>5.0949999999999998</v>
      </c>
      <c r="V61">
        <v>15.217000000000001</v>
      </c>
      <c r="W61">
        <v>16.95</v>
      </c>
      <c r="X61">
        <v>36.979999999999997</v>
      </c>
      <c r="Y61">
        <v>90.265000000000001</v>
      </c>
      <c r="Z61">
        <v>107.583</v>
      </c>
      <c r="AA61">
        <v>145.23500000000001</v>
      </c>
      <c r="AB61">
        <v>242.429</v>
      </c>
      <c r="AC61">
        <v>312.3</v>
      </c>
      <c r="AD61">
        <v>286.83199999999999</v>
      </c>
      <c r="AE61">
        <v>185.05199999999999</v>
      </c>
      <c r="AF61">
        <v>1181.6320000000001</v>
      </c>
      <c r="AG61">
        <v>98.98399999999998</v>
      </c>
      <c r="AH61">
        <v>993.36300000000006</v>
      </c>
      <c r="AI61">
        <v>199.79399999999998</v>
      </c>
      <c r="AJ61">
        <v>398.72500000000002</v>
      </c>
      <c r="AK61">
        <v>129.238</v>
      </c>
      <c r="AL61" t="s">
        <v>16</v>
      </c>
      <c r="AM61">
        <v>794.83900000000006</v>
      </c>
      <c r="AN61">
        <v>517.90700000000004</v>
      </c>
      <c r="AO61">
        <v>178.726</v>
      </c>
      <c r="AP61">
        <v>744.72500000000002</v>
      </c>
      <c r="AQ61">
        <v>109.45</v>
      </c>
      <c r="AR61">
        <v>640.16100000000006</v>
      </c>
      <c r="AS61">
        <v>532.62199999999996</v>
      </c>
      <c r="AT61">
        <v>172.768</v>
      </c>
      <c r="AU61">
        <v>596.06399999999996</v>
      </c>
      <c r="AV61">
        <v>102.667</v>
      </c>
      <c r="AW61">
        <v>3607.4290000000001</v>
      </c>
      <c r="AX61">
        <v>2356.319</v>
      </c>
      <c r="AY61">
        <v>19.829999999999998</v>
      </c>
      <c r="AZ61">
        <v>87.459000000000003</v>
      </c>
      <c r="BA61">
        <v>83.68</v>
      </c>
      <c r="BB61">
        <v>0</v>
      </c>
      <c r="BC61">
        <v>0.16</v>
      </c>
      <c r="BD61">
        <v>0</v>
      </c>
      <c r="BE61">
        <v>0.442</v>
      </c>
      <c r="BF61">
        <v>0</v>
      </c>
      <c r="BG61">
        <v>0</v>
      </c>
      <c r="BH61">
        <v>0</v>
      </c>
    </row>
    <row r="62" spans="1:60">
      <c r="A62" t="s">
        <v>34</v>
      </c>
      <c r="B62" t="s">
        <v>194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0.23</v>
      </c>
      <c r="O62">
        <v>0.25800000000000001</v>
      </c>
      <c r="P62">
        <v>0.25800000000000001</v>
      </c>
      <c r="Q62">
        <v>0.25800000000000001</v>
      </c>
      <c r="R62">
        <v>0.25800000000000001</v>
      </c>
      <c r="S62">
        <v>0.25800000000000001</v>
      </c>
      <c r="T62">
        <v>0.25800000000000001</v>
      </c>
      <c r="U62">
        <v>1.5680000000000001</v>
      </c>
      <c r="V62">
        <v>11.473000000000001</v>
      </c>
      <c r="W62">
        <v>7.2519999999999998</v>
      </c>
      <c r="X62">
        <v>50.183</v>
      </c>
      <c r="Y62">
        <v>96.814999999999998</v>
      </c>
      <c r="Z62">
        <v>147.81299999999999</v>
      </c>
      <c r="AA62">
        <v>419.74599999999998</v>
      </c>
      <c r="AB62">
        <v>648.92999999999995</v>
      </c>
      <c r="AC62">
        <v>662.71500000000003</v>
      </c>
      <c r="AD62">
        <v>950.99699999999996</v>
      </c>
      <c r="AE62">
        <v>57.28</v>
      </c>
      <c r="AF62">
        <v>46.706000000000003</v>
      </c>
      <c r="AG62">
        <v>42.051000000000002</v>
      </c>
      <c r="AH62">
        <v>34.651000000000003</v>
      </c>
      <c r="AI62">
        <v>28.939</v>
      </c>
      <c r="AJ62">
        <v>31.9</v>
      </c>
      <c r="AK62">
        <v>32.96</v>
      </c>
      <c r="AL62">
        <v>24.382999999999999</v>
      </c>
      <c r="AM62">
        <v>24.381</v>
      </c>
      <c r="AN62">
        <v>9.3849999999999998</v>
      </c>
      <c r="AO62">
        <v>9.3849999999999998</v>
      </c>
      <c r="AP62">
        <v>6.0999999999999999E-2</v>
      </c>
      <c r="AQ62">
        <v>0.06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</row>
    <row r="63" spans="1:60">
      <c r="A63" t="s">
        <v>34</v>
      </c>
      <c r="B63" t="s">
        <v>195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172</v>
      </c>
      <c r="X63">
        <v>471</v>
      </c>
      <c r="Y63">
        <v>123</v>
      </c>
      <c r="Z63">
        <v>479.75</v>
      </c>
      <c r="AA63">
        <v>21.75</v>
      </c>
      <c r="AB63">
        <v>0</v>
      </c>
      <c r="AC63">
        <v>963.69125000000008</v>
      </c>
      <c r="AD63">
        <v>920</v>
      </c>
      <c r="AE63">
        <v>478.22424999999998</v>
      </c>
      <c r="AF63">
        <v>234.45</v>
      </c>
      <c r="AG63">
        <v>213.46350000000001</v>
      </c>
      <c r="AH63">
        <v>210.477405</v>
      </c>
      <c r="AI63">
        <v>190.49172715</v>
      </c>
      <c r="AJ63">
        <v>321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</row>
    <row r="64" spans="1:60">
      <c r="A64" t="s">
        <v>34</v>
      </c>
      <c r="B64" t="s">
        <v>197</v>
      </c>
      <c r="C64">
        <v>53.546999999999997</v>
      </c>
      <c r="D64">
        <v>56.19</v>
      </c>
      <c r="E64">
        <v>58.832999999999998</v>
      </c>
      <c r="F64">
        <v>61.475999999999999</v>
      </c>
      <c r="G64">
        <v>64.119</v>
      </c>
      <c r="H64">
        <v>66.762</v>
      </c>
      <c r="I64">
        <v>69.405000000000001</v>
      </c>
      <c r="J64">
        <v>72.048000000000002</v>
      </c>
      <c r="K64">
        <v>74.691000000000003</v>
      </c>
      <c r="L64">
        <v>77.334000000000003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14</v>
      </c>
      <c r="AG64">
        <v>14</v>
      </c>
      <c r="AH64">
        <v>14</v>
      </c>
      <c r="AI64">
        <v>15</v>
      </c>
      <c r="AJ64">
        <v>15</v>
      </c>
      <c r="AK64">
        <v>15</v>
      </c>
      <c r="AL64">
        <v>15.53732353343805</v>
      </c>
      <c r="AM64">
        <v>15.553443239441192</v>
      </c>
      <c r="AN64">
        <v>15.553443239441192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</row>
    <row r="65" spans="1:60">
      <c r="A65" t="s">
        <v>35</v>
      </c>
      <c r="B65" t="s">
        <v>198</v>
      </c>
      <c r="AI65">
        <v>972.17759766643246</v>
      </c>
      <c r="AJ65">
        <v>1110.1312229993937</v>
      </c>
      <c r="AK65">
        <v>1181.3565701545413</v>
      </c>
      <c r="AL65">
        <v>1268.060629164665</v>
      </c>
      <c r="AM65">
        <v>1852</v>
      </c>
      <c r="AN65">
        <v>1879</v>
      </c>
      <c r="AO65">
        <v>1145</v>
      </c>
      <c r="AP65">
        <v>1349.1181999999999</v>
      </c>
      <c r="AQ65">
        <v>709.14400000000001</v>
      </c>
      <c r="AR65">
        <v>4.25</v>
      </c>
      <c r="AS65">
        <v>5.2809999999999997</v>
      </c>
      <c r="AT65">
        <v>24.02</v>
      </c>
      <c r="AU65">
        <v>3.59</v>
      </c>
      <c r="AV65">
        <v>3.79</v>
      </c>
      <c r="AW65">
        <v>4.6100000000000003</v>
      </c>
      <c r="AX65">
        <v>5.99</v>
      </c>
      <c r="AY65">
        <v>6.83</v>
      </c>
      <c r="AZ65">
        <v>30.210999999999999</v>
      </c>
      <c r="BA65">
        <v>1.69</v>
      </c>
      <c r="BB65">
        <v>2.39</v>
      </c>
      <c r="BC65">
        <v>0</v>
      </c>
      <c r="BD65">
        <v>0.98</v>
      </c>
      <c r="BE65">
        <v>0.71</v>
      </c>
      <c r="BF65">
        <v>25.81</v>
      </c>
      <c r="BG65">
        <v>0.59899999999999998</v>
      </c>
      <c r="BH65">
        <v>1</v>
      </c>
    </row>
    <row r="66" spans="1:60">
      <c r="A66" t="s">
        <v>35</v>
      </c>
      <c r="B66" t="s">
        <v>190</v>
      </c>
      <c r="AI66">
        <v>0</v>
      </c>
      <c r="AJ66">
        <v>95.596813746659478</v>
      </c>
      <c r="AK66">
        <v>106.92245921704152</v>
      </c>
      <c r="AL66">
        <v>114.30587916466523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</row>
    <row r="67" spans="1:60">
      <c r="A67" t="s">
        <v>35</v>
      </c>
      <c r="B67" t="s">
        <v>191</v>
      </c>
      <c r="AI67" t="s">
        <v>16</v>
      </c>
      <c r="AJ67" t="s">
        <v>16</v>
      </c>
      <c r="AK67" t="s">
        <v>16</v>
      </c>
      <c r="AL67" t="s">
        <v>16</v>
      </c>
      <c r="AM67">
        <v>621</v>
      </c>
      <c r="AN67">
        <v>579</v>
      </c>
      <c r="AO67">
        <v>557</v>
      </c>
      <c r="AP67">
        <v>579</v>
      </c>
      <c r="AQ67">
        <v>569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</row>
    <row r="68" spans="1:60">
      <c r="A68" t="s">
        <v>35</v>
      </c>
      <c r="B68" t="s">
        <v>192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588</v>
      </c>
      <c r="AP68">
        <v>0</v>
      </c>
      <c r="AQ68">
        <v>9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</row>
    <row r="69" spans="1:60">
      <c r="A69" t="s">
        <v>35</v>
      </c>
      <c r="B69" t="s">
        <v>193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178.6182</v>
      </c>
      <c r="AQ69">
        <v>127.84399999999999</v>
      </c>
      <c r="AR69">
        <v>4.25</v>
      </c>
      <c r="AS69">
        <v>5.2809999999999997</v>
      </c>
      <c r="AT69">
        <v>24.02</v>
      </c>
      <c r="AU69">
        <v>3.59</v>
      </c>
      <c r="AV69">
        <v>3.79</v>
      </c>
      <c r="AW69">
        <v>4.6100000000000003</v>
      </c>
      <c r="AX69">
        <v>5.99</v>
      </c>
      <c r="AY69">
        <v>6.83</v>
      </c>
      <c r="AZ69">
        <v>30.210999999999999</v>
      </c>
      <c r="BA69">
        <v>1.69</v>
      </c>
      <c r="BB69">
        <v>2.39</v>
      </c>
      <c r="BC69">
        <v>0</v>
      </c>
      <c r="BD69">
        <v>0.98</v>
      </c>
      <c r="BE69">
        <v>0.71</v>
      </c>
      <c r="BF69">
        <v>25.81</v>
      </c>
      <c r="BG69">
        <v>0.59899999999999998</v>
      </c>
      <c r="BH69">
        <v>1</v>
      </c>
    </row>
    <row r="70" spans="1:60">
      <c r="A70" t="s">
        <v>35</v>
      </c>
      <c r="B70" t="s">
        <v>194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591.5</v>
      </c>
      <c r="AQ70">
        <v>3.3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</row>
    <row r="71" spans="1:60">
      <c r="A71" t="s">
        <v>35</v>
      </c>
      <c r="B71" t="s">
        <v>195</v>
      </c>
      <c r="AI71">
        <v>972.17759766643246</v>
      </c>
      <c r="AJ71">
        <v>1014.5344092527341</v>
      </c>
      <c r="AK71">
        <v>1074.4341109374998</v>
      </c>
      <c r="AL71">
        <v>1153.7547499999998</v>
      </c>
      <c r="AM71">
        <v>1231</v>
      </c>
      <c r="AN71">
        <v>1300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</row>
    <row r="72" spans="1:60">
      <c r="A72" t="s">
        <v>36</v>
      </c>
      <c r="B72" t="s">
        <v>198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0.27300000000000002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0.112</v>
      </c>
      <c r="AD72">
        <v>1.8069999999999999</v>
      </c>
      <c r="AE72">
        <v>0.98299999999999998</v>
      </c>
      <c r="AF72">
        <v>2.6459999999999999</v>
      </c>
      <c r="AG72">
        <v>7.266</v>
      </c>
      <c r="AH72">
        <v>9.1210000000000004</v>
      </c>
      <c r="AI72">
        <v>12.696</v>
      </c>
      <c r="AJ72">
        <v>13.59</v>
      </c>
      <c r="AK72">
        <v>22.055999999999997</v>
      </c>
      <c r="AL72">
        <v>16.858000000000001</v>
      </c>
      <c r="AM72">
        <v>1.633</v>
      </c>
      <c r="AN72">
        <v>2.0550000000000002</v>
      </c>
      <c r="AO72">
        <v>4.1859999999999999</v>
      </c>
      <c r="AP72">
        <v>4.1980000000000004</v>
      </c>
      <c r="AQ72">
        <v>4.8579999999999997</v>
      </c>
      <c r="AR72">
        <v>3.827</v>
      </c>
      <c r="AS72">
        <v>1.44</v>
      </c>
      <c r="AT72">
        <v>2.84</v>
      </c>
      <c r="AU72">
        <v>1.006</v>
      </c>
      <c r="AV72">
        <v>5.49</v>
      </c>
      <c r="AW72">
        <v>32.033000000000001</v>
      </c>
      <c r="AX72">
        <v>2.6</v>
      </c>
      <c r="AY72">
        <v>457.64</v>
      </c>
      <c r="AZ72">
        <v>0.52500000000000002</v>
      </c>
      <c r="BA72">
        <v>0.28999999999999998</v>
      </c>
      <c r="BB72">
        <v>0.28999999999999998</v>
      </c>
      <c r="BC72">
        <v>0.27</v>
      </c>
      <c r="BD72">
        <v>0.27</v>
      </c>
      <c r="BE72">
        <v>0.24</v>
      </c>
      <c r="BF72">
        <v>0.19</v>
      </c>
      <c r="BG72">
        <v>0</v>
      </c>
      <c r="BH72">
        <v>0</v>
      </c>
    </row>
    <row r="73" spans="1:60">
      <c r="A73" t="s">
        <v>36</v>
      </c>
      <c r="B73" t="s">
        <v>193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0.27300000000000002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0.112</v>
      </c>
      <c r="AD73">
        <v>1.8069999999999999</v>
      </c>
      <c r="AE73">
        <v>0.70799999999999996</v>
      </c>
      <c r="AF73">
        <v>2.4020000000000001</v>
      </c>
      <c r="AG73">
        <v>4.1689999999999996</v>
      </c>
      <c r="AH73">
        <v>6.2370000000000001</v>
      </c>
      <c r="AI73">
        <v>9.4659999999999993</v>
      </c>
      <c r="AJ73">
        <v>9.4009999999999998</v>
      </c>
      <c r="AK73">
        <v>10.629</v>
      </c>
      <c r="AL73">
        <v>4.8579999999999997</v>
      </c>
      <c r="AM73">
        <v>1.633</v>
      </c>
      <c r="AN73">
        <v>2.0550000000000002</v>
      </c>
      <c r="AO73">
        <v>4.1859999999999999</v>
      </c>
      <c r="AP73">
        <v>4.1980000000000004</v>
      </c>
      <c r="AQ73">
        <v>4.8579999999999997</v>
      </c>
      <c r="AR73">
        <v>3.827</v>
      </c>
      <c r="AS73">
        <v>1.44</v>
      </c>
      <c r="AT73">
        <v>2.84</v>
      </c>
      <c r="AU73">
        <v>1.006</v>
      </c>
      <c r="AV73">
        <v>5.49</v>
      </c>
      <c r="AW73">
        <v>32.033000000000001</v>
      </c>
      <c r="AX73">
        <v>2.6</v>
      </c>
      <c r="AY73">
        <v>457.64</v>
      </c>
      <c r="AZ73">
        <v>0.52500000000000002</v>
      </c>
      <c r="BA73">
        <v>0.28999999999999998</v>
      </c>
      <c r="BB73">
        <v>0.28999999999999998</v>
      </c>
      <c r="BC73">
        <v>0.27</v>
      </c>
      <c r="BD73">
        <v>0.27</v>
      </c>
      <c r="BE73">
        <v>0.24</v>
      </c>
      <c r="BF73">
        <v>0.19</v>
      </c>
      <c r="BG73">
        <v>0</v>
      </c>
      <c r="BH73">
        <v>0</v>
      </c>
    </row>
    <row r="74" spans="1:60">
      <c r="A74" t="s">
        <v>36</v>
      </c>
      <c r="B74" t="s">
        <v>194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0.27500000000000002</v>
      </c>
      <c r="AF74">
        <v>0.24399999999999999</v>
      </c>
      <c r="AG74">
        <v>3.097</v>
      </c>
      <c r="AH74">
        <v>2.8839999999999999</v>
      </c>
      <c r="AI74">
        <v>3.23</v>
      </c>
      <c r="AJ74">
        <v>4.1890000000000001</v>
      </c>
      <c r="AK74">
        <v>11.427</v>
      </c>
      <c r="AL74">
        <v>12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</row>
    <row r="75" spans="1:60">
      <c r="A75" t="s">
        <v>37</v>
      </c>
      <c r="B75" t="s">
        <v>198</v>
      </c>
      <c r="C75">
        <v>48</v>
      </c>
      <c r="D75">
        <v>811.6</v>
      </c>
      <c r="E75">
        <v>43.5</v>
      </c>
      <c r="F75">
        <v>112</v>
      </c>
      <c r="G75">
        <v>416</v>
      </c>
      <c r="H75">
        <v>43</v>
      </c>
      <c r="I75">
        <v>0</v>
      </c>
      <c r="J75">
        <v>0</v>
      </c>
      <c r="K75">
        <v>0</v>
      </c>
      <c r="L75">
        <v>0</v>
      </c>
      <c r="M75">
        <v>0</v>
      </c>
      <c r="N75">
        <v>20.8</v>
      </c>
      <c r="O75">
        <v>35</v>
      </c>
      <c r="P75">
        <v>40.800000000000004</v>
      </c>
      <c r="Q75">
        <v>39.800000000000004</v>
      </c>
      <c r="R75">
        <v>47.371000000000002</v>
      </c>
      <c r="S75">
        <v>62.83</v>
      </c>
      <c r="T75">
        <v>137.893</v>
      </c>
      <c r="U75">
        <v>286.37700000000001</v>
      </c>
      <c r="V75">
        <v>352.69</v>
      </c>
      <c r="W75">
        <v>411.435</v>
      </c>
      <c r="X75">
        <v>439.47799999999995</v>
      </c>
      <c r="Y75">
        <v>441.29599999999999</v>
      </c>
      <c r="Z75">
        <v>28266.532999999999</v>
      </c>
      <c r="AA75">
        <v>26641.555</v>
      </c>
      <c r="AB75">
        <v>17329.883000000002</v>
      </c>
      <c r="AC75">
        <v>54301.686000000002</v>
      </c>
      <c r="AD75">
        <v>98751.7</v>
      </c>
      <c r="AE75">
        <v>68315.100000000006</v>
      </c>
      <c r="AF75">
        <v>85564.52</v>
      </c>
      <c r="AG75">
        <v>147531.89500000002</v>
      </c>
      <c r="AH75">
        <v>28411.036</v>
      </c>
      <c r="AI75">
        <v>31888.5</v>
      </c>
      <c r="AJ75">
        <v>63096.476000000002</v>
      </c>
      <c r="AK75">
        <v>92622.260000000009</v>
      </c>
      <c r="AL75">
        <v>5450.4580000000005</v>
      </c>
      <c r="AM75">
        <v>4901.7530000000006</v>
      </c>
      <c r="AN75">
        <v>10851.409</v>
      </c>
      <c r="AO75">
        <v>3561.1050000000005</v>
      </c>
      <c r="AP75">
        <v>10647.549000000001</v>
      </c>
      <c r="AQ75">
        <v>14955.630000000001</v>
      </c>
      <c r="AR75">
        <v>0</v>
      </c>
      <c r="AS75">
        <v>0</v>
      </c>
      <c r="AT75">
        <v>0.2</v>
      </c>
      <c r="AU75">
        <v>1.9E-2</v>
      </c>
      <c r="AV75">
        <v>4274.2129999999997</v>
      </c>
      <c r="AW75">
        <v>104.84399999999999</v>
      </c>
      <c r="AX75">
        <v>24.1</v>
      </c>
      <c r="AY75">
        <v>112.634</v>
      </c>
      <c r="AZ75">
        <v>47.895000000000003</v>
      </c>
      <c r="BA75">
        <v>83.765000000000001</v>
      </c>
      <c r="BB75">
        <v>1.867</v>
      </c>
      <c r="BC75">
        <v>1.4580000000000002</v>
      </c>
      <c r="BD75">
        <v>102.702</v>
      </c>
      <c r="BE75">
        <v>1229.6180000000002</v>
      </c>
      <c r="BF75">
        <v>40.774999999999999</v>
      </c>
      <c r="BG75">
        <v>6.0170000000000003</v>
      </c>
      <c r="BH75">
        <v>5</v>
      </c>
    </row>
    <row r="76" spans="1:60">
      <c r="A76" t="s">
        <v>37</v>
      </c>
      <c r="B76" t="s">
        <v>190</v>
      </c>
      <c r="C76">
        <v>48</v>
      </c>
      <c r="D76">
        <v>0</v>
      </c>
      <c r="E76">
        <v>29</v>
      </c>
      <c r="F76">
        <v>0</v>
      </c>
      <c r="G76">
        <v>107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48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</row>
    <row r="77" spans="1:60">
      <c r="A77" t="s">
        <v>37</v>
      </c>
      <c r="B77" t="s">
        <v>192</v>
      </c>
      <c r="C77">
        <v>0</v>
      </c>
      <c r="D77">
        <v>300</v>
      </c>
      <c r="E77" t="s">
        <v>22</v>
      </c>
      <c r="F77" t="s">
        <v>22</v>
      </c>
      <c r="G77">
        <v>270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 t="s">
        <v>16</v>
      </c>
      <c r="Z77">
        <v>3100</v>
      </c>
      <c r="AA77">
        <v>0</v>
      </c>
      <c r="AB77">
        <v>0</v>
      </c>
      <c r="AC77">
        <v>0</v>
      </c>
      <c r="AD77">
        <v>3100</v>
      </c>
      <c r="AE77">
        <v>5600</v>
      </c>
      <c r="AF77" t="s">
        <v>22</v>
      </c>
      <c r="AG77" t="s">
        <v>22</v>
      </c>
      <c r="AH77" t="s">
        <v>22</v>
      </c>
      <c r="AI77">
        <v>10384</v>
      </c>
      <c r="AJ77" t="s">
        <v>22</v>
      </c>
      <c r="AK77" t="s">
        <v>22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</row>
    <row r="78" spans="1:60">
      <c r="A78" t="s">
        <v>37</v>
      </c>
      <c r="B78" t="s">
        <v>193</v>
      </c>
      <c r="C78">
        <v>0</v>
      </c>
      <c r="D78">
        <v>241.6</v>
      </c>
      <c r="E78">
        <v>14.5</v>
      </c>
      <c r="F78">
        <v>19</v>
      </c>
      <c r="G78">
        <v>39</v>
      </c>
      <c r="H78">
        <v>6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0.77100000000000002</v>
      </c>
      <c r="S78">
        <v>1.03</v>
      </c>
      <c r="T78">
        <v>1.2929999999999999</v>
      </c>
      <c r="U78">
        <v>1.877</v>
      </c>
      <c r="V78">
        <v>2.69</v>
      </c>
      <c r="W78">
        <v>3.1349999999999998</v>
      </c>
      <c r="X78">
        <v>9.0779999999999994</v>
      </c>
      <c r="Y78">
        <v>20.795999999999999</v>
      </c>
      <c r="Z78">
        <v>27.832999999999998</v>
      </c>
      <c r="AA78">
        <v>101.05500000000001</v>
      </c>
      <c r="AB78">
        <v>113.883</v>
      </c>
      <c r="AC78">
        <v>157.286</v>
      </c>
      <c r="AD78" t="s">
        <v>22</v>
      </c>
      <c r="AE78" t="s">
        <v>22</v>
      </c>
      <c r="AF78">
        <v>15814.62</v>
      </c>
      <c r="AG78">
        <v>3920.1950000000002</v>
      </c>
      <c r="AH78">
        <v>3933.4360000000001</v>
      </c>
      <c r="AI78" t="s">
        <v>22</v>
      </c>
      <c r="AJ78">
        <v>4075.9760000000001</v>
      </c>
      <c r="AK78">
        <v>46484.26</v>
      </c>
      <c r="AL78">
        <v>2064.4580000000001</v>
      </c>
      <c r="AM78">
        <v>1723.8530000000001</v>
      </c>
      <c r="AN78">
        <v>8213.3089999999993</v>
      </c>
      <c r="AO78">
        <v>630.505</v>
      </c>
      <c r="AP78">
        <v>8708.8490000000002</v>
      </c>
      <c r="AQ78">
        <v>13663.93</v>
      </c>
      <c r="AR78" t="s">
        <v>24</v>
      </c>
      <c r="AS78">
        <v>0</v>
      </c>
      <c r="AT78">
        <v>0</v>
      </c>
      <c r="AU78">
        <v>1.9E-2</v>
      </c>
      <c r="AV78">
        <v>4274.2129999999997</v>
      </c>
      <c r="AW78">
        <v>56.844000000000001</v>
      </c>
      <c r="AX78">
        <v>24</v>
      </c>
      <c r="AY78">
        <v>112.434</v>
      </c>
      <c r="AZ78">
        <v>47.795000000000002</v>
      </c>
      <c r="BA78">
        <v>83.364999999999995</v>
      </c>
      <c r="BB78">
        <v>1.367</v>
      </c>
      <c r="BC78">
        <v>1.0580000000000001</v>
      </c>
      <c r="BD78">
        <v>67.302000000000007</v>
      </c>
      <c r="BE78">
        <v>1211.2180000000001</v>
      </c>
      <c r="BF78">
        <v>40.774999999999999</v>
      </c>
      <c r="BG78">
        <v>6.0170000000000003</v>
      </c>
      <c r="BH78">
        <v>5</v>
      </c>
    </row>
    <row r="79" spans="1:60">
      <c r="A79" t="s">
        <v>37</v>
      </c>
      <c r="B79" t="s">
        <v>194</v>
      </c>
      <c r="C79">
        <v>0</v>
      </c>
      <c r="D79">
        <v>70</v>
      </c>
      <c r="E79">
        <v>0</v>
      </c>
      <c r="F79">
        <v>93</v>
      </c>
      <c r="G79">
        <v>0</v>
      </c>
      <c r="H79">
        <v>37</v>
      </c>
      <c r="I79">
        <v>0</v>
      </c>
      <c r="J79">
        <v>0</v>
      </c>
      <c r="K79">
        <v>0</v>
      </c>
      <c r="L79">
        <v>0</v>
      </c>
      <c r="M79">
        <v>0</v>
      </c>
      <c r="N79">
        <v>20.8</v>
      </c>
      <c r="O79">
        <v>35</v>
      </c>
      <c r="P79">
        <v>40.800000000000004</v>
      </c>
      <c r="Q79">
        <v>39.800000000000004</v>
      </c>
      <c r="R79">
        <v>46.6</v>
      </c>
      <c r="S79">
        <v>61.8</v>
      </c>
      <c r="T79">
        <v>136.6</v>
      </c>
      <c r="U79">
        <v>284.5</v>
      </c>
      <c r="V79">
        <v>350</v>
      </c>
      <c r="W79">
        <v>408.3</v>
      </c>
      <c r="X79">
        <v>430.4</v>
      </c>
      <c r="Y79">
        <v>420.5</v>
      </c>
      <c r="Z79">
        <v>434.7</v>
      </c>
      <c r="AA79">
        <v>568.5</v>
      </c>
      <c r="AB79">
        <v>584</v>
      </c>
      <c r="AC79">
        <v>750.4</v>
      </c>
      <c r="AD79">
        <v>3948.7</v>
      </c>
      <c r="AE79">
        <v>615.09999999999991</v>
      </c>
      <c r="AF79">
        <v>3905.9</v>
      </c>
      <c r="AG79">
        <v>11271.699999999999</v>
      </c>
      <c r="AH79">
        <v>12792.6</v>
      </c>
      <c r="AI79">
        <v>7109.5</v>
      </c>
      <c r="AJ79">
        <v>10135.5</v>
      </c>
      <c r="AK79">
        <v>2881</v>
      </c>
      <c r="AL79">
        <v>3386</v>
      </c>
      <c r="AM79">
        <v>3177.9</v>
      </c>
      <c r="AN79">
        <v>2638.1</v>
      </c>
      <c r="AO79">
        <v>2930.6000000000004</v>
      </c>
      <c r="AP79">
        <v>1938.7</v>
      </c>
      <c r="AQ79">
        <v>1291.7</v>
      </c>
      <c r="AR79">
        <v>0</v>
      </c>
      <c r="AS79">
        <v>0</v>
      </c>
      <c r="AT79">
        <v>0.2</v>
      </c>
      <c r="AU79">
        <v>0</v>
      </c>
      <c r="AV79">
        <v>0</v>
      </c>
      <c r="AW79">
        <v>0</v>
      </c>
      <c r="AX79">
        <v>0.1</v>
      </c>
      <c r="AY79">
        <v>0.2</v>
      </c>
      <c r="AZ79">
        <v>0.1</v>
      </c>
      <c r="BA79">
        <v>0.4</v>
      </c>
      <c r="BB79">
        <v>0.5</v>
      </c>
      <c r="BC79">
        <v>0.4</v>
      </c>
      <c r="BD79">
        <v>35.4</v>
      </c>
      <c r="BE79">
        <v>18.399999999999999</v>
      </c>
      <c r="BF79">
        <v>0</v>
      </c>
      <c r="BG79">
        <v>0</v>
      </c>
      <c r="BH79">
        <v>0</v>
      </c>
    </row>
    <row r="80" spans="1:60">
      <c r="A80" t="s">
        <v>37</v>
      </c>
      <c r="B80" t="s">
        <v>195</v>
      </c>
      <c r="C80">
        <v>0</v>
      </c>
      <c r="D80">
        <v>200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20252</v>
      </c>
      <c r="AA80">
        <v>21126</v>
      </c>
      <c r="AB80">
        <v>16632</v>
      </c>
      <c r="AC80">
        <v>21504</v>
      </c>
      <c r="AD80">
        <v>37703</v>
      </c>
      <c r="AE80">
        <v>62100</v>
      </c>
      <c r="AF80">
        <v>65844</v>
      </c>
      <c r="AG80">
        <v>70140</v>
      </c>
      <c r="AH80">
        <v>11685</v>
      </c>
      <c r="AI80">
        <v>14395</v>
      </c>
      <c r="AJ80">
        <v>48885</v>
      </c>
      <c r="AK80">
        <v>43257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</row>
    <row r="81" spans="1:60">
      <c r="A81" t="s">
        <v>37</v>
      </c>
      <c r="B81" t="s">
        <v>196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4452</v>
      </c>
      <c r="AA81">
        <v>4846</v>
      </c>
      <c r="AB81">
        <v>0</v>
      </c>
      <c r="AC81">
        <v>31890</v>
      </c>
      <c r="AD81">
        <v>54000</v>
      </c>
      <c r="AE81">
        <v>0</v>
      </c>
      <c r="AF81">
        <v>0</v>
      </c>
      <c r="AG81">
        <v>62200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</row>
    <row r="82" spans="1:60">
      <c r="A82" t="s">
        <v>38</v>
      </c>
      <c r="B82" t="s">
        <v>198</v>
      </c>
      <c r="C82">
        <v>131.6891</v>
      </c>
      <c r="D82">
        <v>133.77590000000001</v>
      </c>
      <c r="E82">
        <v>135.86270000000002</v>
      </c>
      <c r="F82">
        <v>137.9495</v>
      </c>
      <c r="G82">
        <v>140.03630000000001</v>
      </c>
      <c r="H82">
        <v>142.12310000000002</v>
      </c>
      <c r="I82">
        <v>144.2099</v>
      </c>
      <c r="J82">
        <v>128.21710000000002</v>
      </c>
      <c r="K82">
        <v>130.07350000000002</v>
      </c>
      <c r="L82">
        <v>131.92990000000003</v>
      </c>
      <c r="M82">
        <v>133.31703000000005</v>
      </c>
      <c r="N82">
        <v>141.81809000000001</v>
      </c>
      <c r="O82">
        <v>134.61436</v>
      </c>
      <c r="P82">
        <v>135.46310000000003</v>
      </c>
      <c r="Q82">
        <v>137.76573000000002</v>
      </c>
      <c r="R82">
        <v>124.14164000000002</v>
      </c>
      <c r="S82">
        <v>108.64894000000001</v>
      </c>
      <c r="T82">
        <v>118.75365000000002</v>
      </c>
      <c r="U82">
        <v>127.50815000000003</v>
      </c>
      <c r="V82">
        <v>140.07170000000005</v>
      </c>
      <c r="W82">
        <v>123.81445000000004</v>
      </c>
      <c r="X82">
        <v>101.19970000000002</v>
      </c>
      <c r="Y82">
        <v>87.219180000000023</v>
      </c>
      <c r="Z82">
        <v>77.813450000000017</v>
      </c>
      <c r="AA82">
        <v>65.439290000000014</v>
      </c>
      <c r="AB82">
        <v>80.016480000000016</v>
      </c>
      <c r="AC82">
        <v>80.845920000000021</v>
      </c>
      <c r="AD82">
        <v>103.79577000000003</v>
      </c>
      <c r="AE82">
        <v>0</v>
      </c>
      <c r="AF82">
        <v>3.1</v>
      </c>
      <c r="AG82">
        <v>6484.8</v>
      </c>
      <c r="AH82">
        <v>7651</v>
      </c>
      <c r="AI82">
        <v>7984</v>
      </c>
      <c r="AJ82">
        <v>8222.06</v>
      </c>
      <c r="AK82">
        <v>8110</v>
      </c>
      <c r="AL82">
        <v>342.4</v>
      </c>
      <c r="AM82">
        <v>231.87</v>
      </c>
      <c r="AN82">
        <v>514.76</v>
      </c>
      <c r="AO82">
        <v>267.48</v>
      </c>
      <c r="AP82">
        <v>350.39</v>
      </c>
      <c r="AQ82">
        <v>19.36</v>
      </c>
      <c r="AR82">
        <v>226.56</v>
      </c>
      <c r="AS82">
        <v>22.75</v>
      </c>
      <c r="AT82">
        <v>4.51</v>
      </c>
      <c r="AU82">
        <v>38.6</v>
      </c>
      <c r="AV82">
        <v>72.17</v>
      </c>
      <c r="AW82">
        <v>14.25</v>
      </c>
      <c r="AX82">
        <v>19.61</v>
      </c>
      <c r="AY82">
        <v>86.32</v>
      </c>
      <c r="AZ82">
        <v>122.89</v>
      </c>
      <c r="BA82">
        <v>0</v>
      </c>
      <c r="BB82">
        <v>0</v>
      </c>
      <c r="BC82">
        <v>0</v>
      </c>
      <c r="BD82">
        <v>0.96</v>
      </c>
      <c r="BE82">
        <v>0.02</v>
      </c>
      <c r="BF82">
        <v>0</v>
      </c>
      <c r="BG82">
        <v>0</v>
      </c>
      <c r="BH82">
        <v>0</v>
      </c>
    </row>
    <row r="83" spans="1:60">
      <c r="A83" t="s">
        <v>38</v>
      </c>
      <c r="B83" t="s">
        <v>192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6.4</v>
      </c>
      <c r="AH83">
        <v>642</v>
      </c>
      <c r="AI83">
        <v>251</v>
      </c>
      <c r="AJ83">
        <v>0</v>
      </c>
      <c r="AK83">
        <v>200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</row>
    <row r="84" spans="1:60">
      <c r="A84" t="s">
        <v>38</v>
      </c>
      <c r="B84" t="s">
        <v>193</v>
      </c>
      <c r="AF84">
        <v>0</v>
      </c>
      <c r="AG84">
        <v>6.4</v>
      </c>
      <c r="AH84" t="s">
        <v>22</v>
      </c>
      <c r="AI84">
        <v>187</v>
      </c>
      <c r="AJ84">
        <v>312.06</v>
      </c>
      <c r="AK84" t="s">
        <v>22</v>
      </c>
      <c r="AL84">
        <v>73</v>
      </c>
      <c r="AM84">
        <v>56.17</v>
      </c>
      <c r="AN84">
        <v>40.46</v>
      </c>
      <c r="AO84">
        <v>31.28</v>
      </c>
      <c r="AP84">
        <v>151.99</v>
      </c>
      <c r="AQ84">
        <v>11.56</v>
      </c>
      <c r="AR84">
        <v>201.96</v>
      </c>
      <c r="AS84">
        <v>6.95</v>
      </c>
      <c r="AT84">
        <v>4.51</v>
      </c>
      <c r="AU84">
        <v>0</v>
      </c>
      <c r="AV84">
        <v>72.17</v>
      </c>
      <c r="AW84">
        <v>14.25</v>
      </c>
      <c r="AX84">
        <v>19.61</v>
      </c>
      <c r="AY84">
        <v>86.32</v>
      </c>
      <c r="AZ84">
        <v>122.89</v>
      </c>
      <c r="BA84">
        <v>0</v>
      </c>
      <c r="BB84">
        <v>0</v>
      </c>
      <c r="BC84">
        <v>0</v>
      </c>
      <c r="BD84">
        <v>0.96</v>
      </c>
      <c r="BE84">
        <v>0.02</v>
      </c>
      <c r="BF84">
        <v>0</v>
      </c>
      <c r="BG84">
        <v>0</v>
      </c>
      <c r="BH84">
        <v>0</v>
      </c>
    </row>
    <row r="85" spans="1:60">
      <c r="A85" t="s">
        <v>38</v>
      </c>
      <c r="B85" t="s">
        <v>194</v>
      </c>
      <c r="AF85">
        <v>3.1</v>
      </c>
      <c r="AG85" t="s">
        <v>22</v>
      </c>
      <c r="AH85" t="s">
        <v>22</v>
      </c>
      <c r="AI85" t="s">
        <v>22</v>
      </c>
      <c r="AJ85" t="s">
        <v>22</v>
      </c>
      <c r="AK85" t="s">
        <v>22</v>
      </c>
      <c r="AL85">
        <v>269.39999999999998</v>
      </c>
      <c r="AM85">
        <v>175.7</v>
      </c>
      <c r="AN85">
        <v>474.3</v>
      </c>
      <c r="AO85">
        <v>236.2</v>
      </c>
      <c r="AP85">
        <v>198.4</v>
      </c>
      <c r="AQ85">
        <v>7.8000000000000007</v>
      </c>
      <c r="AR85">
        <v>24.6</v>
      </c>
      <c r="AS85">
        <v>15.799999999999999</v>
      </c>
      <c r="AT85">
        <v>0</v>
      </c>
      <c r="AU85">
        <v>38.6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</row>
    <row r="86" spans="1:60">
      <c r="A86" t="s">
        <v>38</v>
      </c>
      <c r="B86" t="s">
        <v>195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6472</v>
      </c>
      <c r="AH86">
        <v>7009</v>
      </c>
      <c r="AI86">
        <v>7546</v>
      </c>
      <c r="AJ86">
        <v>7910</v>
      </c>
      <c r="AK86">
        <v>7910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</row>
    <row r="87" spans="1:60">
      <c r="A87" t="s">
        <v>38</v>
      </c>
      <c r="B87" t="s">
        <v>197</v>
      </c>
      <c r="C87">
        <v>131.6891</v>
      </c>
      <c r="D87">
        <v>133.77590000000001</v>
      </c>
      <c r="E87">
        <v>135.86270000000002</v>
      </c>
      <c r="F87">
        <v>137.9495</v>
      </c>
      <c r="G87">
        <v>140.03630000000001</v>
      </c>
      <c r="H87">
        <v>142.12310000000002</v>
      </c>
      <c r="I87">
        <v>144.2099</v>
      </c>
      <c r="J87">
        <v>128.21710000000002</v>
      </c>
      <c r="K87">
        <v>130.07350000000002</v>
      </c>
      <c r="L87">
        <v>131.92990000000003</v>
      </c>
      <c r="M87">
        <v>133.31703000000005</v>
      </c>
      <c r="N87">
        <v>141.81809000000001</v>
      </c>
      <c r="O87">
        <v>134.61436</v>
      </c>
      <c r="P87">
        <v>135.46310000000003</v>
      </c>
      <c r="Q87">
        <v>137.76573000000002</v>
      </c>
      <c r="R87">
        <v>124.14164000000002</v>
      </c>
      <c r="S87">
        <v>108.64894000000001</v>
      </c>
      <c r="T87">
        <v>118.75365000000002</v>
      </c>
      <c r="U87">
        <v>127.50815000000003</v>
      </c>
      <c r="V87">
        <v>140.07170000000005</v>
      </c>
      <c r="W87">
        <v>123.81445000000004</v>
      </c>
      <c r="X87">
        <v>101.19970000000002</v>
      </c>
      <c r="Y87">
        <v>87.219180000000023</v>
      </c>
      <c r="Z87">
        <v>77.813450000000017</v>
      </c>
      <c r="AA87">
        <v>65.439290000000014</v>
      </c>
      <c r="AB87">
        <v>80.016480000000016</v>
      </c>
      <c r="AC87">
        <v>80.845920000000021</v>
      </c>
      <c r="AD87">
        <v>103.79577000000003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</row>
    <row r="88" spans="1:60">
      <c r="A88" t="s">
        <v>39</v>
      </c>
      <c r="B88" t="s">
        <v>198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0.01</v>
      </c>
      <c r="V88">
        <v>0.05</v>
      </c>
      <c r="W88">
        <v>0.25</v>
      </c>
      <c r="X88">
        <v>0.24</v>
      </c>
      <c r="Y88">
        <v>1.1299999999999999</v>
      </c>
      <c r="Z88">
        <v>0.99</v>
      </c>
      <c r="AA88">
        <v>7.2700000000000005</v>
      </c>
      <c r="AB88">
        <v>12.330000000000002</v>
      </c>
      <c r="AC88">
        <v>30.97</v>
      </c>
      <c r="AD88">
        <v>51.93</v>
      </c>
      <c r="AE88">
        <v>61.02000000000001</v>
      </c>
      <c r="AF88">
        <v>255.91</v>
      </c>
      <c r="AG88">
        <v>90.52</v>
      </c>
      <c r="AH88">
        <v>129.297</v>
      </c>
      <c r="AI88">
        <v>52.437999999999995</v>
      </c>
      <c r="AJ88">
        <v>91.593999999999994</v>
      </c>
      <c r="AK88">
        <v>166.33599999999998</v>
      </c>
      <c r="AL88">
        <v>63.938000000000002</v>
      </c>
      <c r="AM88">
        <v>111.1</v>
      </c>
      <c r="AN88">
        <v>40.836999999999996</v>
      </c>
      <c r="AO88">
        <v>47.256999999999998</v>
      </c>
      <c r="AP88">
        <v>44.012999999999998</v>
      </c>
      <c r="AQ88">
        <v>232.7</v>
      </c>
      <c r="AR88">
        <v>68.40100000000001</v>
      </c>
      <c r="AS88">
        <v>137.69999999999999</v>
      </c>
      <c r="AT88">
        <v>81.075000000000003</v>
      </c>
      <c r="AU88">
        <v>181.387</v>
      </c>
      <c r="AV88">
        <v>94.112000000000009</v>
      </c>
      <c r="AW88">
        <v>1329.3630000000003</v>
      </c>
      <c r="AX88">
        <v>39.273000000000003</v>
      </c>
      <c r="AY88">
        <v>40.847999999999999</v>
      </c>
      <c r="AZ88">
        <v>36.858000000000004</v>
      </c>
      <c r="BA88">
        <v>41.036999999999999</v>
      </c>
      <c r="BB88">
        <v>34.237000000000002</v>
      </c>
      <c r="BC88">
        <v>34.462000000000003</v>
      </c>
      <c r="BD88">
        <v>35.174999999999997</v>
      </c>
      <c r="BE88">
        <v>35.097000000000001</v>
      </c>
      <c r="BF88">
        <v>37.058</v>
      </c>
      <c r="BG88">
        <v>82.003</v>
      </c>
      <c r="BH88" t="s">
        <v>16</v>
      </c>
    </row>
    <row r="89" spans="1:60">
      <c r="A89" t="s">
        <v>39</v>
      </c>
      <c r="B89" t="s">
        <v>192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71</v>
      </c>
      <c r="AI89">
        <v>0</v>
      </c>
      <c r="AJ89">
        <v>36</v>
      </c>
      <c r="AK89">
        <v>0</v>
      </c>
      <c r="AL89">
        <v>0</v>
      </c>
      <c r="AM89">
        <v>64</v>
      </c>
      <c r="AN89">
        <v>0</v>
      </c>
      <c r="AO89">
        <v>0</v>
      </c>
      <c r="AP89">
        <v>0</v>
      </c>
      <c r="AQ89">
        <v>48</v>
      </c>
      <c r="AR89" t="s">
        <v>22</v>
      </c>
      <c r="AS89">
        <v>36</v>
      </c>
      <c r="AT89" t="s">
        <v>22</v>
      </c>
      <c r="AU89" t="s">
        <v>22</v>
      </c>
      <c r="AV89" t="s">
        <v>22</v>
      </c>
      <c r="AW89" t="s">
        <v>22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</row>
    <row r="90" spans="1:60">
      <c r="A90" t="s">
        <v>39</v>
      </c>
      <c r="B90" t="s">
        <v>193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0.01</v>
      </c>
      <c r="V90">
        <v>0.05</v>
      </c>
      <c r="W90">
        <v>0.25</v>
      </c>
      <c r="X90">
        <v>0.24</v>
      </c>
      <c r="Y90">
        <v>0.13</v>
      </c>
      <c r="Z90">
        <v>0.69</v>
      </c>
      <c r="AA90">
        <v>4.2700000000000005</v>
      </c>
      <c r="AB90">
        <v>2.13</v>
      </c>
      <c r="AC90">
        <v>13.469999999999999</v>
      </c>
      <c r="AD90">
        <v>25.93</v>
      </c>
      <c r="AE90">
        <v>34.120000000000005</v>
      </c>
      <c r="AF90">
        <v>225.41</v>
      </c>
      <c r="AG90">
        <v>53.62</v>
      </c>
      <c r="AH90">
        <v>51.497</v>
      </c>
      <c r="AI90">
        <v>49.537999999999997</v>
      </c>
      <c r="AJ90">
        <v>53.494</v>
      </c>
      <c r="AK90">
        <v>163.23599999999999</v>
      </c>
      <c r="AL90">
        <v>59.838000000000001</v>
      </c>
      <c r="AM90">
        <v>42</v>
      </c>
      <c r="AN90">
        <v>35.836999999999996</v>
      </c>
      <c r="AO90">
        <v>41.356999999999999</v>
      </c>
      <c r="AP90">
        <v>39.012999999999998</v>
      </c>
      <c r="AQ90">
        <v>180</v>
      </c>
      <c r="AR90">
        <v>67.001000000000005</v>
      </c>
      <c r="AS90">
        <v>100</v>
      </c>
      <c r="AT90">
        <v>81.075000000000003</v>
      </c>
      <c r="AU90">
        <v>181.387</v>
      </c>
      <c r="AV90">
        <v>94.112000000000009</v>
      </c>
      <c r="AW90">
        <v>1329.3630000000003</v>
      </c>
      <c r="AX90">
        <v>39.273000000000003</v>
      </c>
      <c r="AY90">
        <v>40.847999999999999</v>
      </c>
      <c r="AZ90">
        <v>36.858000000000004</v>
      </c>
      <c r="BA90">
        <v>41.036999999999999</v>
      </c>
      <c r="BB90">
        <v>34.237000000000002</v>
      </c>
      <c r="BC90">
        <v>34.462000000000003</v>
      </c>
      <c r="BD90">
        <v>35.174999999999997</v>
      </c>
      <c r="BE90">
        <v>35.097000000000001</v>
      </c>
      <c r="BF90">
        <v>37.058</v>
      </c>
      <c r="BG90">
        <v>82.003</v>
      </c>
      <c r="BH90" t="s">
        <v>16</v>
      </c>
    </row>
    <row r="91" spans="1:60">
      <c r="A91" t="s">
        <v>39</v>
      </c>
      <c r="B91" t="s">
        <v>194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1</v>
      </c>
      <c r="Z91">
        <v>0.3</v>
      </c>
      <c r="AA91">
        <v>3</v>
      </c>
      <c r="AB91">
        <v>10.200000000000001</v>
      </c>
      <c r="AC91">
        <v>17.5</v>
      </c>
      <c r="AD91">
        <v>26</v>
      </c>
      <c r="AE91">
        <v>26.900000000000002</v>
      </c>
      <c r="AF91">
        <v>30.5</v>
      </c>
      <c r="AG91">
        <v>36.9</v>
      </c>
      <c r="AH91">
        <v>6.8</v>
      </c>
      <c r="AI91">
        <v>2.9</v>
      </c>
      <c r="AJ91">
        <v>2.0999999999999996</v>
      </c>
      <c r="AK91">
        <v>3.1</v>
      </c>
      <c r="AL91">
        <v>4.0999999999999996</v>
      </c>
      <c r="AM91">
        <v>5.0999999999999996</v>
      </c>
      <c r="AN91">
        <v>5</v>
      </c>
      <c r="AO91">
        <v>5.9</v>
      </c>
      <c r="AP91">
        <v>5</v>
      </c>
      <c r="AQ91">
        <v>4.7</v>
      </c>
      <c r="AR91">
        <v>1.4</v>
      </c>
      <c r="AS91">
        <v>1.7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</row>
    <row r="92" spans="1:60">
      <c r="A92" t="s">
        <v>40</v>
      </c>
      <c r="B92" t="s">
        <v>198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0.05</v>
      </c>
      <c r="O92">
        <v>0.16</v>
      </c>
      <c r="P92">
        <v>0.31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6.5380000000000003</v>
      </c>
      <c r="X92">
        <v>0</v>
      </c>
      <c r="Y92">
        <v>2.6659999999999999</v>
      </c>
      <c r="Z92">
        <v>5</v>
      </c>
      <c r="AA92">
        <v>5.4</v>
      </c>
      <c r="AB92">
        <v>7.3999999999999995</v>
      </c>
      <c r="AC92">
        <v>9.9</v>
      </c>
      <c r="AD92">
        <v>10.9</v>
      </c>
      <c r="AE92">
        <v>2.2265090000000001</v>
      </c>
      <c r="AF92">
        <v>14.640868200000002</v>
      </c>
      <c r="AG92">
        <v>105.5795286</v>
      </c>
      <c r="AH92">
        <v>14.7521197</v>
      </c>
      <c r="AI92">
        <v>11.3686816</v>
      </c>
      <c r="AJ92">
        <v>13.406129199999999</v>
      </c>
      <c r="AK92">
        <v>12.6398429</v>
      </c>
      <c r="AL92">
        <v>21.623469399999998</v>
      </c>
      <c r="AM92">
        <v>20.1406721</v>
      </c>
      <c r="AN92">
        <v>35.5355706</v>
      </c>
      <c r="AO92">
        <v>56.1</v>
      </c>
      <c r="AP92">
        <v>78.399999999999991</v>
      </c>
      <c r="AQ92">
        <v>101.9</v>
      </c>
      <c r="AR92">
        <v>122.672</v>
      </c>
      <c r="AS92">
        <v>131.89999999999998</v>
      </c>
      <c r="AT92">
        <v>161</v>
      </c>
      <c r="AU92">
        <v>141.69999999999999</v>
      </c>
      <c r="AV92">
        <v>119.6</v>
      </c>
      <c r="AW92">
        <v>144.726</v>
      </c>
      <c r="AX92">
        <v>96.677000000000007</v>
      </c>
      <c r="AY92">
        <v>120.71299999999999</v>
      </c>
      <c r="AZ92">
        <v>1031.1999999999998</v>
      </c>
      <c r="BA92">
        <v>48.495999999999995</v>
      </c>
      <c r="BB92">
        <v>48.137</v>
      </c>
      <c r="BC92">
        <v>5.0809999999999995</v>
      </c>
      <c r="BD92">
        <v>6.7330000000000005</v>
      </c>
      <c r="BE92">
        <v>5.76</v>
      </c>
      <c r="BF92">
        <v>6.2</v>
      </c>
      <c r="BG92">
        <v>6.0511005999999998</v>
      </c>
      <c r="BH92" t="s">
        <v>16</v>
      </c>
    </row>
    <row r="93" spans="1:60">
      <c r="A93" t="s">
        <v>40</v>
      </c>
      <c r="B93" t="s">
        <v>192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 t="s">
        <v>22</v>
      </c>
      <c r="AU93">
        <v>85</v>
      </c>
      <c r="AV93">
        <v>85</v>
      </c>
      <c r="AW93">
        <v>0</v>
      </c>
      <c r="AX93">
        <v>0</v>
      </c>
      <c r="AY93" t="s">
        <v>22</v>
      </c>
      <c r="AZ93">
        <v>134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</row>
    <row r="94" spans="1:60">
      <c r="A94" t="s">
        <v>40</v>
      </c>
      <c r="B94" t="s">
        <v>193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0.05</v>
      </c>
      <c r="O94">
        <v>0.16</v>
      </c>
      <c r="P94">
        <v>0.31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6.5380000000000003</v>
      </c>
      <c r="X94">
        <v>0</v>
      </c>
      <c r="Y94">
        <v>2.6659999999999999</v>
      </c>
      <c r="Z94">
        <v>5</v>
      </c>
      <c r="AA94">
        <v>5.4</v>
      </c>
      <c r="AB94">
        <v>6.6</v>
      </c>
      <c r="AC94">
        <v>7.2</v>
      </c>
      <c r="AD94">
        <v>10</v>
      </c>
      <c r="AE94">
        <v>2</v>
      </c>
      <c r="AF94">
        <v>14.597000000000001</v>
      </c>
      <c r="AG94">
        <v>105.538</v>
      </c>
      <c r="AH94">
        <v>14.711</v>
      </c>
      <c r="AI94">
        <v>11.33</v>
      </c>
      <c r="AJ94">
        <v>13.37</v>
      </c>
      <c r="AK94">
        <v>12.6</v>
      </c>
      <c r="AL94">
        <v>21.58</v>
      </c>
      <c r="AM94">
        <v>20.100000000000001</v>
      </c>
      <c r="AN94">
        <v>35.5</v>
      </c>
      <c r="AO94">
        <v>55.9</v>
      </c>
      <c r="AP94">
        <v>77.8</v>
      </c>
      <c r="AQ94">
        <v>101</v>
      </c>
      <c r="AR94">
        <v>122.672</v>
      </c>
      <c r="AS94">
        <v>131.89999999999998</v>
      </c>
      <c r="AT94">
        <v>161</v>
      </c>
      <c r="AU94">
        <v>56</v>
      </c>
      <c r="AV94">
        <v>34</v>
      </c>
      <c r="AW94">
        <v>144.126</v>
      </c>
      <c r="AX94">
        <v>96.677000000000007</v>
      </c>
      <c r="AY94">
        <v>120.71299999999999</v>
      </c>
      <c r="AZ94">
        <v>897.19999999999993</v>
      </c>
      <c r="BA94">
        <v>46.995999999999995</v>
      </c>
      <c r="BB94">
        <v>45.337000000000003</v>
      </c>
      <c r="BC94">
        <v>1.681</v>
      </c>
      <c r="BD94">
        <v>2.0329999999999999</v>
      </c>
      <c r="BE94">
        <v>1.06</v>
      </c>
      <c r="BF94">
        <v>1.5</v>
      </c>
      <c r="BG94">
        <v>1.4111006000000001</v>
      </c>
      <c r="BH94" t="s">
        <v>16</v>
      </c>
    </row>
    <row r="95" spans="1:60">
      <c r="A95" t="s">
        <v>40</v>
      </c>
      <c r="B95" t="s">
        <v>194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0.8</v>
      </c>
      <c r="AC95">
        <v>2.7</v>
      </c>
      <c r="AD95">
        <v>0.9</v>
      </c>
      <c r="AE95">
        <v>0.22650900000000002</v>
      </c>
      <c r="AF95">
        <v>4.3868199999999996E-2</v>
      </c>
      <c r="AG95">
        <v>4.1528599999999999E-2</v>
      </c>
      <c r="AH95">
        <v>4.1119699999999995E-2</v>
      </c>
      <c r="AI95">
        <v>3.8681599999999997E-2</v>
      </c>
      <c r="AJ95">
        <v>3.61292E-2</v>
      </c>
      <c r="AK95">
        <v>3.9842900000000001E-2</v>
      </c>
      <c r="AL95">
        <v>4.3469399999999998E-2</v>
      </c>
      <c r="AM95">
        <v>4.0672099999999996E-2</v>
      </c>
      <c r="AN95">
        <v>3.5570600000000001E-2</v>
      </c>
      <c r="AO95">
        <v>0.2</v>
      </c>
      <c r="AP95">
        <v>0.6</v>
      </c>
      <c r="AQ95">
        <v>0.9</v>
      </c>
      <c r="AR95">
        <v>0</v>
      </c>
      <c r="AS95">
        <v>0</v>
      </c>
      <c r="AT95">
        <v>0</v>
      </c>
      <c r="AU95">
        <v>0.7</v>
      </c>
      <c r="AV95">
        <v>0.6</v>
      </c>
      <c r="AW95">
        <v>0.6</v>
      </c>
      <c r="AX95">
        <v>0</v>
      </c>
      <c r="AY95">
        <v>0</v>
      </c>
      <c r="AZ95">
        <v>0</v>
      </c>
      <c r="BA95">
        <v>1.5</v>
      </c>
      <c r="BB95">
        <v>2.8</v>
      </c>
      <c r="BC95">
        <v>3.4</v>
      </c>
      <c r="BD95">
        <v>4.7</v>
      </c>
      <c r="BE95">
        <v>4.7</v>
      </c>
      <c r="BF95">
        <v>4.7</v>
      </c>
      <c r="BG95">
        <v>4.6399999999999997</v>
      </c>
      <c r="BH95" t="s">
        <v>16</v>
      </c>
    </row>
    <row r="96" spans="1:60">
      <c r="A96" t="s">
        <v>179</v>
      </c>
      <c r="B96" t="s">
        <v>198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0.01</v>
      </c>
      <c r="Y96">
        <v>0.02</v>
      </c>
      <c r="Z96">
        <v>0.02</v>
      </c>
      <c r="AA96">
        <v>0.09</v>
      </c>
      <c r="AB96">
        <v>37.556997609631878</v>
      </c>
      <c r="AC96">
        <v>43.312688411231321</v>
      </c>
      <c r="AD96">
        <v>48.815279614597216</v>
      </c>
      <c r="AE96">
        <v>54.545455898369347</v>
      </c>
      <c r="AF96">
        <v>63.026014223596491</v>
      </c>
      <c r="AG96">
        <v>80.407897603285349</v>
      </c>
      <c r="AH96">
        <v>69.025897603285344</v>
      </c>
      <c r="AI96">
        <v>66.54789760328535</v>
      </c>
      <c r="AJ96">
        <v>68.765897603285353</v>
      </c>
      <c r="AK96">
        <v>68.781897603285344</v>
      </c>
      <c r="AL96">
        <v>70.716897603285346</v>
      </c>
      <c r="AM96">
        <v>27.930000000000003</v>
      </c>
      <c r="AN96">
        <v>24.3</v>
      </c>
      <c r="AO96">
        <v>16.04</v>
      </c>
      <c r="AP96">
        <v>88.94</v>
      </c>
      <c r="AQ96">
        <v>90.08</v>
      </c>
      <c r="AR96">
        <v>103.79999999999998</v>
      </c>
      <c r="AS96">
        <v>22.490000000000002</v>
      </c>
      <c r="AT96">
        <v>15.63</v>
      </c>
      <c r="AU96">
        <v>3.6100000000000003</v>
      </c>
      <c r="AV96">
        <v>3.41</v>
      </c>
      <c r="AW96">
        <v>2.6799999999999997</v>
      </c>
      <c r="AX96">
        <v>3.73</v>
      </c>
      <c r="AY96">
        <v>3.88</v>
      </c>
      <c r="AZ96">
        <v>3.94</v>
      </c>
      <c r="BA96">
        <v>3.94</v>
      </c>
      <c r="BB96">
        <v>3.94</v>
      </c>
      <c r="BC96">
        <v>3.94</v>
      </c>
      <c r="BD96">
        <v>3.94</v>
      </c>
      <c r="BE96">
        <v>3.94</v>
      </c>
      <c r="BF96">
        <v>3.94</v>
      </c>
      <c r="BG96">
        <v>3.9359999999999999</v>
      </c>
      <c r="BH96" t="s">
        <v>16</v>
      </c>
    </row>
    <row r="97" spans="1:60">
      <c r="A97" t="s">
        <v>179</v>
      </c>
      <c r="B97" t="s">
        <v>193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0.01</v>
      </c>
      <c r="Y97">
        <v>0.02</v>
      </c>
      <c r="Z97">
        <v>0.02</v>
      </c>
      <c r="AA97">
        <v>0.09</v>
      </c>
      <c r="AB97">
        <v>0.38</v>
      </c>
      <c r="AC97">
        <v>2.75</v>
      </c>
      <c r="AD97">
        <v>4.49</v>
      </c>
      <c r="AE97">
        <v>5.91</v>
      </c>
      <c r="AF97">
        <v>9.1199999999999992</v>
      </c>
      <c r="AG97">
        <v>21.27</v>
      </c>
      <c r="AH97">
        <v>11.83</v>
      </c>
      <c r="AI97">
        <v>11.309999999999999</v>
      </c>
      <c r="AJ97">
        <v>15.7</v>
      </c>
      <c r="AK97">
        <v>17.919999999999998</v>
      </c>
      <c r="AL97">
        <v>21.979999999999997</v>
      </c>
      <c r="AM97">
        <v>23.330000000000002</v>
      </c>
      <c r="AN97">
        <v>21.6</v>
      </c>
      <c r="AO97">
        <v>16.04</v>
      </c>
      <c r="AP97">
        <v>24.04</v>
      </c>
      <c r="AQ97">
        <v>34.879999999999995</v>
      </c>
      <c r="AR97">
        <v>48.899999999999991</v>
      </c>
      <c r="AS97">
        <v>22.19</v>
      </c>
      <c r="AT97">
        <v>15.63</v>
      </c>
      <c r="AU97">
        <v>3.6100000000000003</v>
      </c>
      <c r="AV97">
        <v>2.81</v>
      </c>
      <c r="AW97">
        <v>2.6799999999999997</v>
      </c>
      <c r="AX97">
        <v>3.73</v>
      </c>
      <c r="AY97">
        <v>3.88</v>
      </c>
      <c r="AZ97">
        <v>3.94</v>
      </c>
      <c r="BA97">
        <v>3.94</v>
      </c>
      <c r="BB97">
        <v>3.94</v>
      </c>
      <c r="BC97">
        <v>3.94</v>
      </c>
      <c r="BD97">
        <v>3.94</v>
      </c>
      <c r="BE97">
        <v>3.94</v>
      </c>
      <c r="BF97">
        <v>3.94</v>
      </c>
      <c r="BG97">
        <v>3.9359999999999999</v>
      </c>
      <c r="BH97" t="s">
        <v>16</v>
      </c>
    </row>
    <row r="98" spans="1:60">
      <c r="A98" t="s">
        <v>179</v>
      </c>
      <c r="B98" t="s">
        <v>194</v>
      </c>
      <c r="C98" t="s">
        <v>24</v>
      </c>
      <c r="D98" t="s">
        <v>24</v>
      </c>
      <c r="E98" t="s">
        <v>24</v>
      </c>
      <c r="F98" t="s">
        <v>24</v>
      </c>
      <c r="G98" t="s">
        <v>24</v>
      </c>
      <c r="H98" t="s">
        <v>24</v>
      </c>
      <c r="I98" t="s">
        <v>24</v>
      </c>
      <c r="J98" t="s">
        <v>24</v>
      </c>
      <c r="K98" t="s">
        <v>24</v>
      </c>
      <c r="L98" t="s">
        <v>24</v>
      </c>
      <c r="M98" t="s">
        <v>24</v>
      </c>
      <c r="N98" t="s">
        <v>24</v>
      </c>
      <c r="O98" t="s">
        <v>24</v>
      </c>
      <c r="P98" t="s">
        <v>24</v>
      </c>
      <c r="Q98" t="s">
        <v>24</v>
      </c>
      <c r="R98" t="s">
        <v>24</v>
      </c>
      <c r="X98">
        <v>0</v>
      </c>
      <c r="Y98">
        <v>0</v>
      </c>
      <c r="Z98">
        <v>0</v>
      </c>
      <c r="AA98">
        <v>0</v>
      </c>
      <c r="AB98">
        <v>0</v>
      </c>
      <c r="AC98">
        <v>0.30000000000000004</v>
      </c>
      <c r="AD98">
        <v>0.60000000000000009</v>
      </c>
      <c r="AE98">
        <v>0.8</v>
      </c>
      <c r="AF98">
        <v>1</v>
      </c>
      <c r="AG98">
        <v>1.1000000000000001</v>
      </c>
      <c r="AH98">
        <v>0.9</v>
      </c>
      <c r="AI98">
        <v>1.2000000000000002</v>
      </c>
      <c r="AJ98">
        <v>1.5</v>
      </c>
      <c r="AK98">
        <v>1.8</v>
      </c>
      <c r="AL98">
        <v>2.2999999999999998</v>
      </c>
      <c r="AM98">
        <v>2.6</v>
      </c>
      <c r="AN98">
        <v>2.7</v>
      </c>
      <c r="AO98">
        <v>0</v>
      </c>
      <c r="AP98">
        <v>1.9000000000000001</v>
      </c>
      <c r="AQ98">
        <v>1.2</v>
      </c>
      <c r="AR98">
        <v>0.89999999999999991</v>
      </c>
      <c r="AS98">
        <v>0.30000000000000004</v>
      </c>
      <c r="AT98">
        <v>0</v>
      </c>
      <c r="AU98">
        <v>0</v>
      </c>
      <c r="AV98">
        <v>0.6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</row>
    <row r="99" spans="1:60">
      <c r="A99" t="s">
        <v>179</v>
      </c>
      <c r="B99" t="s">
        <v>195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37.176997609631876</v>
      </c>
      <c r="AC99">
        <v>40.262688411231323</v>
      </c>
      <c r="AD99">
        <v>43.725279614597213</v>
      </c>
      <c r="AE99">
        <v>47.835455898369347</v>
      </c>
      <c r="AF99">
        <v>52.906014223596493</v>
      </c>
      <c r="AG99">
        <v>58.037897603285352</v>
      </c>
      <c r="AH99">
        <v>56.295897603285347</v>
      </c>
      <c r="AI99">
        <v>54.037897603285352</v>
      </c>
      <c r="AJ99">
        <v>51.56589760328535</v>
      </c>
      <c r="AK99">
        <v>49.061897603285345</v>
      </c>
      <c r="AL99">
        <v>46.436897603285352</v>
      </c>
      <c r="AM99">
        <v>2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</row>
    <row r="100" spans="1:60">
      <c r="A100" t="s">
        <v>179</v>
      </c>
      <c r="B100" t="s">
        <v>196</v>
      </c>
      <c r="AP100">
        <v>63</v>
      </c>
      <c r="AQ100">
        <v>54</v>
      </c>
      <c r="AR100">
        <v>54</v>
      </c>
    </row>
    <row r="101" spans="1:60">
      <c r="A101" t="s">
        <v>41</v>
      </c>
      <c r="B101" t="s">
        <v>198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10</v>
      </c>
      <c r="O101">
        <v>17</v>
      </c>
      <c r="P101">
        <v>11</v>
      </c>
      <c r="Q101">
        <v>16</v>
      </c>
      <c r="R101">
        <v>380</v>
      </c>
      <c r="S101">
        <v>294</v>
      </c>
      <c r="T101">
        <v>298</v>
      </c>
      <c r="U101">
        <v>304.49092079169247</v>
      </c>
      <c r="V101">
        <v>310.0260162570903</v>
      </c>
      <c r="W101">
        <v>314.96283306295118</v>
      </c>
      <c r="X101">
        <v>319.94089902369171</v>
      </c>
      <c r="Y101">
        <v>325.80869706466189</v>
      </c>
      <c r="Z101">
        <v>331.66107110672914</v>
      </c>
      <c r="AA101">
        <v>337.28793085532072</v>
      </c>
      <c r="AB101">
        <v>347.72479964195543</v>
      </c>
      <c r="AC101">
        <v>1033.5785505784575</v>
      </c>
      <c r="AD101">
        <v>1134.324242883439</v>
      </c>
      <c r="AE101">
        <v>1227.2958313097392</v>
      </c>
      <c r="AF101">
        <v>1322.2947024215712</v>
      </c>
      <c r="AG101">
        <v>1362.8037952079449</v>
      </c>
      <c r="AH101">
        <v>2006.8024887195331</v>
      </c>
      <c r="AI101">
        <v>752.08780097522799</v>
      </c>
      <c r="AJ101">
        <v>849.76771514625955</v>
      </c>
      <c r="AK101">
        <v>927.31999999999994</v>
      </c>
      <c r="AL101">
        <v>1225.7210000000002</v>
      </c>
      <c r="AM101">
        <v>883.89</v>
      </c>
      <c r="AN101">
        <v>1010.8699999999999</v>
      </c>
      <c r="AO101">
        <v>1140.3</v>
      </c>
      <c r="AP101">
        <v>1265.5999999999999</v>
      </c>
      <c r="AQ101">
        <v>1406.8</v>
      </c>
      <c r="AR101">
        <v>1462.1999999999998</v>
      </c>
      <c r="AS101">
        <v>1551.4</v>
      </c>
      <c r="AT101">
        <v>1608.49</v>
      </c>
      <c r="AU101">
        <v>1671.6</v>
      </c>
      <c r="AV101">
        <v>1728.8000000000002</v>
      </c>
      <c r="AW101">
        <v>1787.11</v>
      </c>
      <c r="AX101">
        <v>1774.06</v>
      </c>
      <c r="AY101">
        <v>1949.305649526596</v>
      </c>
      <c r="AZ101">
        <v>1956.0901648344477</v>
      </c>
      <c r="BA101">
        <v>1962.9771263234477</v>
      </c>
      <c r="BB101">
        <v>1969.9680809309318</v>
      </c>
      <c r="BC101">
        <v>1977.0645989529887</v>
      </c>
      <c r="BD101">
        <v>1984.2682743971789</v>
      </c>
      <c r="BE101">
        <v>1991.5807253405762</v>
      </c>
      <c r="BF101">
        <v>1999.0035942932188</v>
      </c>
      <c r="BG101">
        <v>2096.5385485670499</v>
      </c>
      <c r="BH101">
        <v>2014.1872806504089</v>
      </c>
    </row>
    <row r="102" spans="1:60">
      <c r="A102" t="s">
        <v>41</v>
      </c>
      <c r="B102" t="s">
        <v>190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15</v>
      </c>
      <c r="S102">
        <v>16</v>
      </c>
      <c r="T102">
        <v>16</v>
      </c>
      <c r="U102">
        <v>17.490920791692499</v>
      </c>
      <c r="V102">
        <v>19.026016257090312</v>
      </c>
      <c r="W102">
        <v>19.962833062951191</v>
      </c>
      <c r="X102">
        <v>20.160295585397055</v>
      </c>
      <c r="Y102">
        <v>21.501406514449044</v>
      </c>
      <c r="Z102">
        <v>22.758740469208139</v>
      </c>
      <c r="AA102">
        <v>23.721175025173178</v>
      </c>
      <c r="AB102">
        <v>29.423185798772714</v>
      </c>
      <c r="AC102">
        <v>35.578550578457524</v>
      </c>
      <c r="AD102">
        <v>44.324242883439005</v>
      </c>
      <c r="AE102">
        <v>45.295831309739135</v>
      </c>
      <c r="AF102">
        <v>47.794702421571266</v>
      </c>
      <c r="AG102">
        <v>56.203795207944857</v>
      </c>
      <c r="AH102">
        <v>61.462488719533148</v>
      </c>
      <c r="AI102">
        <v>54.907800975228064</v>
      </c>
      <c r="AJ102">
        <v>57.647715146259465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</row>
    <row r="103" spans="1:60">
      <c r="A103" t="s">
        <v>41</v>
      </c>
      <c r="B103" t="s">
        <v>192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 t="s">
        <v>16</v>
      </c>
      <c r="O103">
        <v>7</v>
      </c>
      <c r="P103">
        <v>3</v>
      </c>
      <c r="Q103">
        <v>4</v>
      </c>
      <c r="R103" t="s">
        <v>16</v>
      </c>
      <c r="S103" t="s">
        <v>16</v>
      </c>
      <c r="T103" t="s">
        <v>16</v>
      </c>
      <c r="U103" t="s">
        <v>16</v>
      </c>
      <c r="V103" t="s">
        <v>16</v>
      </c>
      <c r="W103" t="s">
        <v>16</v>
      </c>
      <c r="X103" t="s">
        <v>16</v>
      </c>
      <c r="Y103" t="s">
        <v>16</v>
      </c>
      <c r="Z103" t="s">
        <v>16</v>
      </c>
      <c r="AA103" t="s">
        <v>16</v>
      </c>
      <c r="AB103" t="s">
        <v>16</v>
      </c>
      <c r="AC103" t="s">
        <v>16</v>
      </c>
      <c r="AD103" t="s">
        <v>16</v>
      </c>
      <c r="AE103" t="s">
        <v>16</v>
      </c>
      <c r="AF103" t="s">
        <v>16</v>
      </c>
      <c r="AG103" t="s">
        <v>16</v>
      </c>
      <c r="AH103">
        <v>250</v>
      </c>
      <c r="AI103">
        <v>250</v>
      </c>
      <c r="AJ103">
        <v>250</v>
      </c>
      <c r="AK103">
        <v>250</v>
      </c>
      <c r="AL103">
        <v>258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</row>
    <row r="104" spans="1:60">
      <c r="A104" t="s">
        <v>41</v>
      </c>
      <c r="B104" t="s">
        <v>193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10</v>
      </c>
      <c r="O104">
        <v>10</v>
      </c>
      <c r="P104">
        <v>8</v>
      </c>
      <c r="Q104">
        <v>12</v>
      </c>
      <c r="R104">
        <v>274</v>
      </c>
      <c r="S104">
        <v>278</v>
      </c>
      <c r="T104">
        <v>282</v>
      </c>
      <c r="U104">
        <v>287</v>
      </c>
      <c r="V104">
        <v>291</v>
      </c>
      <c r="W104">
        <v>295</v>
      </c>
      <c r="X104">
        <v>299.78060343829463</v>
      </c>
      <c r="Y104">
        <v>304.30729055021283</v>
      </c>
      <c r="Z104">
        <v>308.902330637521</v>
      </c>
      <c r="AA104">
        <v>313.56675583014754</v>
      </c>
      <c r="AB104">
        <v>318.30161384318274</v>
      </c>
      <c r="AC104">
        <v>998</v>
      </c>
      <c r="AD104">
        <v>1090</v>
      </c>
      <c r="AE104">
        <v>1182</v>
      </c>
      <c r="AF104">
        <v>1274</v>
      </c>
      <c r="AG104">
        <v>1306</v>
      </c>
      <c r="AH104">
        <v>1694.74</v>
      </c>
      <c r="AI104">
        <v>446.78</v>
      </c>
      <c r="AJ104">
        <v>541.72</v>
      </c>
      <c r="AK104">
        <v>676.92</v>
      </c>
      <c r="AL104">
        <v>967.30000000000007</v>
      </c>
      <c r="AM104">
        <v>883.89</v>
      </c>
      <c r="AN104">
        <v>1010.8699999999999</v>
      </c>
      <c r="AO104">
        <v>1140.3</v>
      </c>
      <c r="AP104">
        <v>1265.5999999999999</v>
      </c>
      <c r="AQ104">
        <v>1406.8</v>
      </c>
      <c r="AR104">
        <v>1462.1999999999998</v>
      </c>
      <c r="AS104">
        <v>1551.4</v>
      </c>
      <c r="AT104">
        <v>1608.49</v>
      </c>
      <c r="AU104">
        <v>1671.6</v>
      </c>
      <c r="AV104">
        <v>1728.8000000000002</v>
      </c>
      <c r="AW104">
        <v>1787.11</v>
      </c>
      <c r="AX104">
        <v>1774.06</v>
      </c>
      <c r="AY104">
        <v>1949.305649526596</v>
      </c>
      <c r="AZ104">
        <v>1956.0901648344477</v>
      </c>
      <c r="BA104">
        <v>1962.9771263234477</v>
      </c>
      <c r="BB104">
        <v>1969.9680809309318</v>
      </c>
      <c r="BC104">
        <v>1977.0645989529887</v>
      </c>
      <c r="BD104">
        <v>1984.2682743971789</v>
      </c>
      <c r="BE104">
        <v>1991.5807253405762</v>
      </c>
      <c r="BF104">
        <v>1999.0035942932188</v>
      </c>
      <c r="BG104">
        <v>2096.5385485670499</v>
      </c>
      <c r="BH104">
        <v>2014.1872806504089</v>
      </c>
    </row>
    <row r="105" spans="1:60">
      <c r="A105" t="s">
        <v>41</v>
      </c>
      <c r="B105" t="s">
        <v>194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0.5</v>
      </c>
      <c r="AG105">
        <v>0.6</v>
      </c>
      <c r="AH105">
        <v>0.6</v>
      </c>
      <c r="AI105">
        <v>0.4</v>
      </c>
      <c r="AJ105">
        <v>0.4</v>
      </c>
      <c r="AK105">
        <v>0.4</v>
      </c>
      <c r="AL105">
        <v>0.42100000000000004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</row>
    <row r="106" spans="1:60">
      <c r="A106" t="s">
        <v>41</v>
      </c>
      <c r="B106" t="s">
        <v>196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91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</row>
    <row r="107" spans="1:60">
      <c r="A107" t="s">
        <v>42</v>
      </c>
      <c r="B107" t="s">
        <v>198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0.01</v>
      </c>
      <c r="P107">
        <v>0.05</v>
      </c>
      <c r="Q107">
        <v>2.96</v>
      </c>
      <c r="R107">
        <v>1.7</v>
      </c>
      <c r="S107">
        <v>0</v>
      </c>
      <c r="T107">
        <v>1.3</v>
      </c>
      <c r="U107">
        <v>0.88</v>
      </c>
      <c r="V107">
        <v>19.126999999999999</v>
      </c>
      <c r="W107">
        <v>16.11</v>
      </c>
      <c r="X107">
        <v>22.15</v>
      </c>
      <c r="Y107">
        <v>28.79</v>
      </c>
      <c r="Z107">
        <v>32.881</v>
      </c>
      <c r="AA107">
        <v>36.659999999999997</v>
      </c>
      <c r="AB107">
        <v>405.9</v>
      </c>
      <c r="AC107">
        <v>444</v>
      </c>
      <c r="AD107">
        <v>510.08519999999993</v>
      </c>
      <c r="AE107">
        <v>632.28798879999988</v>
      </c>
      <c r="AF107">
        <v>1104.2338556127997</v>
      </c>
      <c r="AG107">
        <v>833.89853960724122</v>
      </c>
      <c r="AH107">
        <v>1093.2153396072413</v>
      </c>
      <c r="AI107">
        <v>1604.4555396072412</v>
      </c>
      <c r="AJ107">
        <v>1256.6603396072412</v>
      </c>
      <c r="AK107">
        <v>2138.3119396072411</v>
      </c>
      <c r="AL107">
        <v>2016.6894396072412</v>
      </c>
      <c r="AM107">
        <v>1896.6522396072412</v>
      </c>
      <c r="AN107">
        <v>1941.0571396072412</v>
      </c>
      <c r="AO107">
        <v>1041.5363396072412</v>
      </c>
      <c r="AP107">
        <v>1064.1307396072414</v>
      </c>
      <c r="AQ107">
        <v>929.37333960724118</v>
      </c>
      <c r="AR107">
        <v>1993.2542396072413</v>
      </c>
      <c r="AS107">
        <v>1065.5040396072411</v>
      </c>
      <c r="AT107">
        <v>1290.4960000000001</v>
      </c>
      <c r="AU107">
        <v>1564.44</v>
      </c>
      <c r="AV107">
        <v>1610.8109999999999</v>
      </c>
      <c r="AW107">
        <v>5079.7730000000001</v>
      </c>
      <c r="AX107">
        <v>332.637</v>
      </c>
      <c r="AY107">
        <v>93.132000000000005</v>
      </c>
      <c r="AZ107">
        <v>80.777000000000001</v>
      </c>
      <c r="BA107">
        <v>141.56299999999999</v>
      </c>
      <c r="BB107">
        <v>0</v>
      </c>
      <c r="BC107">
        <v>64.305999999999997</v>
      </c>
      <c r="BD107">
        <v>179.14399999999998</v>
      </c>
      <c r="BE107">
        <v>27.130000000000003</v>
      </c>
      <c r="BF107">
        <v>2.9909999999999997</v>
      </c>
      <c r="BG107">
        <v>449.685</v>
      </c>
      <c r="BH107" t="s">
        <v>16</v>
      </c>
    </row>
    <row r="108" spans="1:60">
      <c r="A108" t="s">
        <v>42</v>
      </c>
      <c r="B108" t="s">
        <v>192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535</v>
      </c>
      <c r="AG108">
        <v>0</v>
      </c>
      <c r="AH108">
        <v>0</v>
      </c>
      <c r="AI108">
        <v>960</v>
      </c>
      <c r="AJ108" t="s">
        <v>16</v>
      </c>
      <c r="AK108">
        <v>1258</v>
      </c>
      <c r="AL108">
        <v>1348</v>
      </c>
      <c r="AM108" t="s">
        <v>16</v>
      </c>
      <c r="AN108">
        <v>1270</v>
      </c>
      <c r="AO108">
        <v>0</v>
      </c>
      <c r="AP108">
        <v>0</v>
      </c>
      <c r="AQ108" t="s">
        <v>16</v>
      </c>
      <c r="AR108">
        <v>1300</v>
      </c>
      <c r="AS108" t="s">
        <v>16</v>
      </c>
      <c r="AT108" t="s">
        <v>16</v>
      </c>
      <c r="AU108" t="s">
        <v>16</v>
      </c>
      <c r="AV108" t="s">
        <v>16</v>
      </c>
      <c r="AW108">
        <v>1829</v>
      </c>
      <c r="AX108" t="s">
        <v>22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 t="s">
        <v>16</v>
      </c>
      <c r="BH108" t="s">
        <v>16</v>
      </c>
    </row>
    <row r="109" spans="1:60">
      <c r="A109" t="s">
        <v>42</v>
      </c>
      <c r="B109" t="s">
        <v>193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0.01</v>
      </c>
      <c r="P109">
        <v>0.05</v>
      </c>
      <c r="Q109">
        <v>2.96</v>
      </c>
      <c r="R109">
        <v>1.7</v>
      </c>
      <c r="S109">
        <v>0</v>
      </c>
      <c r="T109">
        <v>1.3</v>
      </c>
      <c r="U109">
        <v>0.88</v>
      </c>
      <c r="V109">
        <v>1.0269999999999999</v>
      </c>
      <c r="W109">
        <v>5.01</v>
      </c>
      <c r="X109">
        <v>3.25</v>
      </c>
      <c r="Y109">
        <v>5.49</v>
      </c>
      <c r="Z109">
        <v>4.4000000000000004</v>
      </c>
      <c r="AA109">
        <v>4.76</v>
      </c>
      <c r="AB109">
        <v>5.9</v>
      </c>
      <c r="AC109">
        <v>10.8</v>
      </c>
      <c r="AD109">
        <v>39.630000000000003</v>
      </c>
      <c r="AE109">
        <v>117.60999999999999</v>
      </c>
      <c r="AF109" t="s">
        <v>16</v>
      </c>
      <c r="AG109">
        <v>209.44899999999998</v>
      </c>
      <c r="AH109">
        <v>455.48</v>
      </c>
      <c r="AI109" t="s">
        <v>16</v>
      </c>
      <c r="AJ109">
        <v>607.29999999999995</v>
      </c>
      <c r="AK109">
        <v>222.71000000000004</v>
      </c>
      <c r="AL109" t="s">
        <v>16</v>
      </c>
      <c r="AM109">
        <v>1218.999</v>
      </c>
      <c r="AN109" t="s">
        <v>16</v>
      </c>
      <c r="AO109">
        <v>365.01</v>
      </c>
      <c r="AP109">
        <v>383.2</v>
      </c>
      <c r="AQ109">
        <v>236.44800000000004</v>
      </c>
      <c r="AR109" t="s">
        <v>16</v>
      </c>
      <c r="AS109">
        <v>363.286</v>
      </c>
      <c r="AT109">
        <v>494.49600000000004</v>
      </c>
      <c r="AU109">
        <v>343.03999999999996</v>
      </c>
      <c r="AV109">
        <v>280.31099999999998</v>
      </c>
      <c r="AW109">
        <v>2768.973</v>
      </c>
      <c r="AX109">
        <v>294.03699999999998</v>
      </c>
      <c r="AY109">
        <v>34.231999999999999</v>
      </c>
      <c r="AZ109">
        <v>34.877000000000002</v>
      </c>
      <c r="BA109">
        <v>95.563000000000002</v>
      </c>
      <c r="BB109">
        <v>0</v>
      </c>
      <c r="BC109">
        <v>63.706000000000003</v>
      </c>
      <c r="BD109">
        <v>176.75299999999999</v>
      </c>
      <c r="BE109">
        <v>26.990000000000002</v>
      </c>
      <c r="BF109">
        <v>2.8519999999999999</v>
      </c>
      <c r="BG109">
        <v>449.54899999999998</v>
      </c>
      <c r="BH109" t="s">
        <v>16</v>
      </c>
    </row>
    <row r="110" spans="1:60">
      <c r="A110" t="s">
        <v>42</v>
      </c>
      <c r="B110" t="s">
        <v>194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18.099999999999998</v>
      </c>
      <c r="W110">
        <v>11.100000000000001</v>
      </c>
      <c r="X110">
        <v>18.899999999999999</v>
      </c>
      <c r="Y110">
        <v>23.299999999999997</v>
      </c>
      <c r="Z110">
        <v>28.481000000000002</v>
      </c>
      <c r="AA110">
        <v>31.9</v>
      </c>
      <c r="AB110" t="s">
        <v>16</v>
      </c>
      <c r="AC110" t="s">
        <v>16</v>
      </c>
      <c r="AD110" t="s">
        <v>16</v>
      </c>
      <c r="AE110" t="s">
        <v>16</v>
      </c>
      <c r="AF110" t="s">
        <v>16</v>
      </c>
      <c r="AG110" t="s">
        <v>16</v>
      </c>
      <c r="AH110" t="s">
        <v>16</v>
      </c>
      <c r="AI110" t="s">
        <v>16</v>
      </c>
      <c r="AJ110" t="s">
        <v>16</v>
      </c>
      <c r="AK110" t="s">
        <v>16</v>
      </c>
      <c r="AL110" t="s">
        <v>16</v>
      </c>
      <c r="AM110" t="s">
        <v>16</v>
      </c>
      <c r="AN110" t="s">
        <v>16</v>
      </c>
      <c r="AO110" t="s">
        <v>16</v>
      </c>
      <c r="AP110" t="s">
        <v>16</v>
      </c>
      <c r="AQ110" t="s">
        <v>16</v>
      </c>
      <c r="AR110" t="s">
        <v>16</v>
      </c>
      <c r="AS110" t="s">
        <v>16</v>
      </c>
      <c r="AT110" t="s">
        <v>16</v>
      </c>
      <c r="AU110">
        <v>221.4</v>
      </c>
      <c r="AV110">
        <v>330.5</v>
      </c>
      <c r="AW110">
        <v>481.8</v>
      </c>
      <c r="AX110">
        <v>38.6</v>
      </c>
      <c r="AY110">
        <v>58.9</v>
      </c>
      <c r="AZ110">
        <v>45.9</v>
      </c>
      <c r="BA110">
        <v>46</v>
      </c>
      <c r="BB110">
        <v>0</v>
      </c>
      <c r="BC110">
        <v>0.6</v>
      </c>
      <c r="BD110">
        <v>2.391</v>
      </c>
      <c r="BE110">
        <v>0.14000000000000001</v>
      </c>
      <c r="BF110">
        <v>0.13900000000000001</v>
      </c>
      <c r="BG110">
        <v>0.13600000000000001</v>
      </c>
      <c r="BH110">
        <v>0.13600000000000001</v>
      </c>
    </row>
    <row r="111" spans="1:60">
      <c r="A111" t="s">
        <v>42</v>
      </c>
      <c r="B111" t="s">
        <v>195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400</v>
      </c>
      <c r="AC111">
        <v>433.2</v>
      </c>
      <c r="AD111">
        <v>470.45519999999993</v>
      </c>
      <c r="AE111">
        <v>514.67798879999987</v>
      </c>
      <c r="AF111">
        <v>569.23385561279974</v>
      </c>
      <c r="AG111">
        <v>624.44953960724126</v>
      </c>
      <c r="AH111">
        <v>637.73533960724126</v>
      </c>
      <c r="AI111">
        <v>644.45553960724123</v>
      </c>
      <c r="AJ111">
        <v>649.36033960724126</v>
      </c>
      <c r="AK111">
        <v>657.60193960724121</v>
      </c>
      <c r="AL111">
        <v>668.68943960724118</v>
      </c>
      <c r="AM111">
        <v>677.65323960724118</v>
      </c>
      <c r="AN111">
        <v>671.0571396072412</v>
      </c>
      <c r="AO111">
        <v>676.5263396072412</v>
      </c>
      <c r="AP111">
        <v>680.93073960724132</v>
      </c>
      <c r="AQ111">
        <v>692.9253396072412</v>
      </c>
      <c r="AR111">
        <v>693.25423960724117</v>
      </c>
      <c r="AS111">
        <v>702.21803960724117</v>
      </c>
      <c r="AT111">
        <v>796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</row>
    <row r="112" spans="1:60">
      <c r="A112" t="s">
        <v>42</v>
      </c>
      <c r="B112" t="s">
        <v>197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 t="s">
        <v>16</v>
      </c>
      <c r="AU112">
        <v>1000</v>
      </c>
      <c r="AV112">
        <v>1000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</row>
    <row r="113" spans="1:60">
      <c r="A113" t="s">
        <v>43</v>
      </c>
      <c r="B113" t="s">
        <v>198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0.37907100000000005</v>
      </c>
      <c r="N113">
        <v>1.3868792000000001</v>
      </c>
      <c r="O113">
        <v>2.575285</v>
      </c>
      <c r="P113">
        <v>4.5484302000000003</v>
      </c>
      <c r="Q113">
        <v>6.9024290999999991</v>
      </c>
      <c r="R113">
        <v>11.787316800000001</v>
      </c>
      <c r="S113">
        <v>18.7257225</v>
      </c>
      <c r="T113">
        <v>24.791874700000001</v>
      </c>
      <c r="U113">
        <v>25.927197400000001</v>
      </c>
      <c r="V113">
        <v>31.246492199999999</v>
      </c>
      <c r="W113">
        <v>45.284903499999999</v>
      </c>
      <c r="X113">
        <v>35.302556500000001</v>
      </c>
      <c r="Y113">
        <v>31.024512600000001</v>
      </c>
      <c r="Z113">
        <v>32.831015700000002</v>
      </c>
      <c r="AA113">
        <v>6.4965174999999995</v>
      </c>
      <c r="AB113">
        <v>30.798628799999999</v>
      </c>
      <c r="AC113">
        <v>3.0310181000000003</v>
      </c>
      <c r="AD113">
        <v>13.613446</v>
      </c>
      <c r="AE113">
        <v>59.382624800000002</v>
      </c>
      <c r="AF113">
        <v>70.157636800000006</v>
      </c>
      <c r="AG113">
        <v>202.70223780000001</v>
      </c>
      <c r="AH113">
        <v>56.3686924</v>
      </c>
      <c r="AI113">
        <v>75.657468699999995</v>
      </c>
      <c r="AJ113">
        <v>108.2749297</v>
      </c>
      <c r="AK113">
        <v>170.30492150000001</v>
      </c>
      <c r="AL113">
        <v>114.4565463</v>
      </c>
      <c r="AM113">
        <v>130.3414903</v>
      </c>
      <c r="AN113">
        <v>141.49061800000001</v>
      </c>
      <c r="AO113">
        <v>155.6023227</v>
      </c>
      <c r="AP113">
        <v>138.39740090000001</v>
      </c>
      <c r="AQ113">
        <v>125.79396850000001</v>
      </c>
      <c r="AR113">
        <v>123.48849109999999</v>
      </c>
      <c r="AS113">
        <v>180.3287952</v>
      </c>
      <c r="AT113">
        <v>261.88987300000002</v>
      </c>
      <c r="AU113">
        <v>286.9268659</v>
      </c>
      <c r="AV113">
        <v>317.72278009999997</v>
      </c>
      <c r="AW113">
        <v>302.3187595</v>
      </c>
      <c r="AX113">
        <v>273.6685779</v>
      </c>
      <c r="AY113">
        <v>255.09797579999997</v>
      </c>
      <c r="AZ113">
        <v>759.39482199999998</v>
      </c>
      <c r="BA113">
        <v>243.19155800000001</v>
      </c>
      <c r="BB113">
        <v>166.4323019</v>
      </c>
      <c r="BC113">
        <v>156.8874663</v>
      </c>
      <c r="BD113">
        <v>171.95365870000001</v>
      </c>
      <c r="BE113">
        <v>175.00016840000001</v>
      </c>
      <c r="BF113">
        <v>191.38550290000001</v>
      </c>
      <c r="BG113">
        <v>207.4881384</v>
      </c>
      <c r="BH113" t="s">
        <v>16</v>
      </c>
    </row>
    <row r="114" spans="1:60">
      <c r="A114" t="s">
        <v>43</v>
      </c>
      <c r="B114" t="s">
        <v>190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2.2400000000000002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2</v>
      </c>
      <c r="AG114">
        <v>0</v>
      </c>
      <c r="AH114">
        <v>0</v>
      </c>
      <c r="AI114">
        <v>0.3</v>
      </c>
      <c r="AJ114">
        <v>2</v>
      </c>
      <c r="AK114">
        <v>2</v>
      </c>
      <c r="AL114">
        <v>2</v>
      </c>
      <c r="AM114">
        <v>1</v>
      </c>
      <c r="AN114">
        <v>3</v>
      </c>
      <c r="AO114">
        <v>3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</row>
    <row r="115" spans="1:60">
      <c r="A115" t="s">
        <v>43</v>
      </c>
      <c r="B115" t="s">
        <v>192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 t="s">
        <v>16</v>
      </c>
      <c r="W115" t="s">
        <v>16</v>
      </c>
      <c r="X115">
        <v>28</v>
      </c>
      <c r="Y115" t="s">
        <v>16</v>
      </c>
      <c r="Z115">
        <v>11</v>
      </c>
      <c r="AA115" t="s">
        <v>16</v>
      </c>
      <c r="AB115">
        <v>28</v>
      </c>
      <c r="AC115" t="s">
        <v>16</v>
      </c>
      <c r="AD115" t="s">
        <v>16</v>
      </c>
      <c r="AE115">
        <v>57</v>
      </c>
      <c r="AF115" t="s">
        <v>16</v>
      </c>
      <c r="AG115">
        <v>6</v>
      </c>
      <c r="AK115">
        <v>47</v>
      </c>
      <c r="AO115">
        <v>23</v>
      </c>
      <c r="AW115" t="s">
        <v>24</v>
      </c>
      <c r="AX115">
        <v>42</v>
      </c>
      <c r="AY115" t="s">
        <v>16</v>
      </c>
      <c r="AZ115">
        <v>49</v>
      </c>
    </row>
    <row r="116" spans="1:60">
      <c r="A116" t="s">
        <v>43</v>
      </c>
      <c r="B116" t="s">
        <v>193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0.24000000000000002</v>
      </c>
      <c r="N116">
        <v>0.99</v>
      </c>
      <c r="O116">
        <v>1.28</v>
      </c>
      <c r="P116">
        <v>1.48</v>
      </c>
      <c r="Q116">
        <v>1.65</v>
      </c>
      <c r="R116">
        <v>2.59</v>
      </c>
      <c r="S116">
        <v>5.22</v>
      </c>
      <c r="T116">
        <v>7.1</v>
      </c>
      <c r="U116">
        <v>4.71</v>
      </c>
      <c r="V116">
        <v>5.08</v>
      </c>
      <c r="W116">
        <v>18.61</v>
      </c>
      <c r="X116" t="s">
        <v>16</v>
      </c>
      <c r="Y116">
        <v>20.52</v>
      </c>
      <c r="Z116">
        <v>16.23</v>
      </c>
      <c r="AA116">
        <v>3.14</v>
      </c>
      <c r="AB116">
        <v>0.45</v>
      </c>
      <c r="AC116">
        <v>0.71</v>
      </c>
      <c r="AD116">
        <v>12.719999999999999</v>
      </c>
      <c r="AE116" t="s">
        <v>16</v>
      </c>
      <c r="AF116">
        <v>65.59</v>
      </c>
      <c r="AG116">
        <v>193.11</v>
      </c>
      <c r="AH116">
        <v>50.64</v>
      </c>
      <c r="AI116">
        <v>68.05</v>
      </c>
      <c r="AJ116">
        <v>95.56</v>
      </c>
      <c r="AK116">
        <v>106</v>
      </c>
      <c r="AL116">
        <v>98.87</v>
      </c>
      <c r="AM116">
        <v>115.19</v>
      </c>
      <c r="AN116">
        <v>124.89000000000001</v>
      </c>
      <c r="AO116">
        <v>119</v>
      </c>
      <c r="AP116">
        <v>125.80000000000001</v>
      </c>
      <c r="AQ116">
        <v>113.25</v>
      </c>
      <c r="AR116">
        <v>110.97999999999999</v>
      </c>
      <c r="AS116">
        <v>154.44999999999999</v>
      </c>
      <c r="AT116">
        <v>231.79000000000002</v>
      </c>
      <c r="AU116">
        <v>252.48000000000002</v>
      </c>
      <c r="AV116">
        <v>283.64</v>
      </c>
      <c r="AW116">
        <v>267.95999999999998</v>
      </c>
      <c r="AX116">
        <v>197</v>
      </c>
      <c r="AY116">
        <v>220.58999999999997</v>
      </c>
      <c r="AZ116">
        <v>676</v>
      </c>
      <c r="BA116">
        <v>208.99</v>
      </c>
      <c r="BB116">
        <v>140.1</v>
      </c>
      <c r="BC116">
        <v>130.12</v>
      </c>
      <c r="BD116">
        <v>145.80000000000001</v>
      </c>
      <c r="BE116">
        <v>151.30000000000001</v>
      </c>
      <c r="BF116">
        <v>161.85000000000002</v>
      </c>
      <c r="BG116">
        <v>175.9981468</v>
      </c>
      <c r="BH116" t="s">
        <v>16</v>
      </c>
    </row>
    <row r="117" spans="1:60">
      <c r="A117" t="s">
        <v>43</v>
      </c>
      <c r="B117" t="s">
        <v>194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0.139071</v>
      </c>
      <c r="N117">
        <v>0.39687919999999999</v>
      </c>
      <c r="O117">
        <v>1.295285</v>
      </c>
      <c r="P117">
        <v>3.0684302000000003</v>
      </c>
      <c r="Q117">
        <v>5.2524290999999996</v>
      </c>
      <c r="R117">
        <v>9.1973168000000012</v>
      </c>
      <c r="S117">
        <v>13.505722499999999</v>
      </c>
      <c r="T117">
        <v>17.6918747</v>
      </c>
      <c r="U117">
        <v>21.2171974</v>
      </c>
      <c r="V117">
        <v>23.926492199999998</v>
      </c>
      <c r="W117">
        <v>26.674903499999999</v>
      </c>
      <c r="X117">
        <v>7.3025564999999997</v>
      </c>
      <c r="Y117">
        <v>10.5045126</v>
      </c>
      <c r="Z117">
        <v>5.6010157000000005</v>
      </c>
      <c r="AA117">
        <v>3.3565174999999998</v>
      </c>
      <c r="AB117">
        <v>2.3486287999999997</v>
      </c>
      <c r="AC117">
        <v>2.3210181000000003</v>
      </c>
      <c r="AD117">
        <v>0.89344599999999996</v>
      </c>
      <c r="AE117">
        <v>2.3826247999999999</v>
      </c>
      <c r="AF117">
        <v>2.5676367999999998</v>
      </c>
      <c r="AG117">
        <v>3.5922377999999999</v>
      </c>
      <c r="AH117">
        <v>5.7286924000000008</v>
      </c>
      <c r="AI117">
        <v>7.3074687000000003</v>
      </c>
      <c r="AJ117">
        <v>10.714929699999999</v>
      </c>
      <c r="AK117">
        <v>15.304921500000001</v>
      </c>
      <c r="AL117">
        <v>13.5865463</v>
      </c>
      <c r="AM117">
        <v>14.151490300000001</v>
      </c>
      <c r="AN117">
        <v>13.600618000000001</v>
      </c>
      <c r="AO117">
        <v>10.602322699999998</v>
      </c>
      <c r="AP117">
        <v>12.5974009</v>
      </c>
      <c r="AQ117">
        <v>12.5439685</v>
      </c>
      <c r="AR117">
        <v>12.508491099999999</v>
      </c>
      <c r="AS117">
        <v>25.878795199999999</v>
      </c>
      <c r="AT117">
        <v>30.099872999999999</v>
      </c>
      <c r="AU117">
        <v>34.446865899999999</v>
      </c>
      <c r="AV117">
        <v>34.082780100000001</v>
      </c>
      <c r="AW117">
        <v>34.358759499999998</v>
      </c>
      <c r="AX117">
        <v>34.668577899999995</v>
      </c>
      <c r="AY117">
        <v>34.507975799999997</v>
      </c>
      <c r="AZ117">
        <v>34.394821999999998</v>
      </c>
      <c r="BA117">
        <v>34.201557999999999</v>
      </c>
      <c r="BB117">
        <v>26.332301899999997</v>
      </c>
      <c r="BC117">
        <v>26.767466300000002</v>
      </c>
      <c r="BD117">
        <v>26.153658699999998</v>
      </c>
      <c r="BE117">
        <v>23.700168399999999</v>
      </c>
      <c r="BF117">
        <v>29.535502899999997</v>
      </c>
      <c r="BG117">
        <v>31.4899916</v>
      </c>
      <c r="BH117" t="s">
        <v>16</v>
      </c>
    </row>
    <row r="118" spans="1:60">
      <c r="A118" t="s">
        <v>44</v>
      </c>
      <c r="B118" t="s">
        <v>198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1.835</v>
      </c>
      <c r="N118">
        <v>2.2000000000000002</v>
      </c>
      <c r="O118">
        <v>3.27</v>
      </c>
      <c r="P118">
        <v>5.62</v>
      </c>
      <c r="Q118">
        <v>7.53</v>
      </c>
      <c r="R118">
        <v>9.4</v>
      </c>
      <c r="S118">
        <v>12.039</v>
      </c>
      <c r="T118">
        <v>15.799999999999999</v>
      </c>
      <c r="U118">
        <v>22.573</v>
      </c>
      <c r="V118">
        <v>32.299999999999997</v>
      </c>
      <c r="W118">
        <v>37.700000000000003</v>
      </c>
      <c r="X118">
        <v>34.799999999999997</v>
      </c>
      <c r="Y118">
        <v>28.9</v>
      </c>
      <c r="Z118">
        <v>29.5</v>
      </c>
      <c r="AA118">
        <v>40.778406446230363</v>
      </c>
      <c r="AB118">
        <v>59.599999999999994</v>
      </c>
      <c r="AC118">
        <v>74.900000000000006</v>
      </c>
      <c r="AD118">
        <v>93.899999999999991</v>
      </c>
      <c r="AE118">
        <v>86.3</v>
      </c>
      <c r="AF118">
        <v>146.43</v>
      </c>
      <c r="AG118">
        <v>39.254000000000005</v>
      </c>
      <c r="AH118">
        <v>34.39</v>
      </c>
      <c r="AI118">
        <v>39.4</v>
      </c>
      <c r="AJ118">
        <v>43.6</v>
      </c>
      <c r="AK118">
        <v>52.1</v>
      </c>
      <c r="AL118">
        <v>115</v>
      </c>
      <c r="AM118">
        <v>60</v>
      </c>
      <c r="AN118">
        <v>49.07</v>
      </c>
      <c r="AO118">
        <v>54.550000000000004</v>
      </c>
      <c r="AP118">
        <v>55.179999999999993</v>
      </c>
      <c r="AQ118">
        <v>62.49</v>
      </c>
      <c r="AR118">
        <v>93.009999999999991</v>
      </c>
      <c r="AS118">
        <v>75.25</v>
      </c>
      <c r="AT118">
        <v>73.099000000000004</v>
      </c>
      <c r="AU118">
        <v>46.59</v>
      </c>
      <c r="AV118">
        <v>58.81</v>
      </c>
      <c r="AW118">
        <v>54.06</v>
      </c>
      <c r="AX118">
        <v>32.019999999999996</v>
      </c>
      <c r="AY118">
        <v>37.97</v>
      </c>
      <c r="AZ118">
        <v>39.658000000000001</v>
      </c>
      <c r="BA118">
        <v>53.300000000000004</v>
      </c>
      <c r="BB118">
        <v>50.730000000000004</v>
      </c>
      <c r="BC118">
        <v>53.14</v>
      </c>
      <c r="BD118">
        <v>52.99</v>
      </c>
      <c r="BE118">
        <v>1533.96</v>
      </c>
      <c r="BF118">
        <v>2359.1799999999998</v>
      </c>
      <c r="BG118">
        <v>45.966999999999999</v>
      </c>
      <c r="BH118" t="s">
        <v>16</v>
      </c>
    </row>
    <row r="119" spans="1:60">
      <c r="A119" t="s">
        <v>44</v>
      </c>
      <c r="B119" t="s">
        <v>190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13.378406446230365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</row>
    <row r="120" spans="1:60">
      <c r="A120" t="s">
        <v>44</v>
      </c>
      <c r="B120" t="s">
        <v>192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AF120">
        <v>33</v>
      </c>
      <c r="AL120">
        <v>24</v>
      </c>
      <c r="AM120">
        <v>12</v>
      </c>
      <c r="AQ120" t="s">
        <v>16</v>
      </c>
      <c r="AR120">
        <v>15</v>
      </c>
      <c r="BE120" t="s">
        <v>16</v>
      </c>
      <c r="BF120">
        <v>63</v>
      </c>
      <c r="BG120" t="s">
        <v>16</v>
      </c>
      <c r="BH120" t="s">
        <v>16</v>
      </c>
    </row>
    <row r="121" spans="1:60">
      <c r="A121" t="s">
        <v>44</v>
      </c>
      <c r="B121" t="s">
        <v>193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9.4E-2</v>
      </c>
      <c r="N121">
        <v>0</v>
      </c>
      <c r="O121">
        <v>0.37</v>
      </c>
      <c r="P121">
        <v>0.82</v>
      </c>
      <c r="Q121">
        <v>2.13</v>
      </c>
      <c r="R121">
        <v>3.1999999999999997</v>
      </c>
      <c r="S121">
        <v>3.5999999999999996</v>
      </c>
      <c r="T121">
        <v>5.1999999999999993</v>
      </c>
      <c r="U121">
        <v>9.1</v>
      </c>
      <c r="V121">
        <v>13.7</v>
      </c>
      <c r="W121">
        <v>16</v>
      </c>
      <c r="X121">
        <v>12.7</v>
      </c>
      <c r="Y121">
        <v>7.6</v>
      </c>
      <c r="Z121">
        <v>7.8000000000000007</v>
      </c>
      <c r="AA121">
        <v>6.4</v>
      </c>
      <c r="AB121">
        <v>31.3</v>
      </c>
      <c r="AC121">
        <v>35.4</v>
      </c>
      <c r="AD121">
        <v>41.599999999999994</v>
      </c>
      <c r="AE121">
        <v>39.700000000000003</v>
      </c>
      <c r="AF121">
        <v>81</v>
      </c>
      <c r="AG121">
        <v>34.040000000000006</v>
      </c>
      <c r="AH121">
        <v>29.49</v>
      </c>
      <c r="AI121">
        <v>34.299999999999997</v>
      </c>
      <c r="AJ121">
        <v>39.200000000000003</v>
      </c>
      <c r="AK121">
        <v>47</v>
      </c>
      <c r="AL121">
        <v>89</v>
      </c>
      <c r="AM121">
        <v>48</v>
      </c>
      <c r="AN121">
        <v>48.87</v>
      </c>
      <c r="AO121">
        <v>52.45</v>
      </c>
      <c r="AP121">
        <v>52.879999999999995</v>
      </c>
      <c r="AQ121">
        <v>59.39</v>
      </c>
      <c r="AR121">
        <v>74.91</v>
      </c>
      <c r="AS121">
        <v>71.650000000000006</v>
      </c>
      <c r="AT121">
        <v>69.499000000000009</v>
      </c>
      <c r="AU121">
        <v>40.89</v>
      </c>
      <c r="AV121">
        <v>53.11</v>
      </c>
      <c r="AW121">
        <v>45.06</v>
      </c>
      <c r="AX121">
        <v>19.82</v>
      </c>
      <c r="AY121">
        <v>22.97</v>
      </c>
      <c r="AZ121">
        <v>24.189999999999998</v>
      </c>
      <c r="BA121">
        <v>33.700000000000003</v>
      </c>
      <c r="BB121">
        <v>34.03</v>
      </c>
      <c r="BC121">
        <v>36.04</v>
      </c>
      <c r="BD121">
        <v>36.49</v>
      </c>
      <c r="BE121">
        <v>32.46</v>
      </c>
      <c r="BF121">
        <v>795.18</v>
      </c>
      <c r="BG121">
        <v>33.048000000000002</v>
      </c>
      <c r="BH121" t="s">
        <v>16</v>
      </c>
    </row>
    <row r="122" spans="1:60">
      <c r="A122" t="s">
        <v>44</v>
      </c>
      <c r="B122" t="s">
        <v>194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1.7409999999999999</v>
      </c>
      <c r="N122">
        <v>2.2000000000000002</v>
      </c>
      <c r="O122">
        <v>2.9</v>
      </c>
      <c r="P122">
        <v>4.8</v>
      </c>
      <c r="Q122">
        <v>5.4</v>
      </c>
      <c r="R122">
        <v>6.2</v>
      </c>
      <c r="S122">
        <v>8.4390000000000001</v>
      </c>
      <c r="T122">
        <v>10.6</v>
      </c>
      <c r="U122">
        <v>13.473000000000001</v>
      </c>
      <c r="V122">
        <v>18.600000000000001</v>
      </c>
      <c r="W122">
        <v>21.7</v>
      </c>
      <c r="X122">
        <v>22.099999999999998</v>
      </c>
      <c r="Y122">
        <v>21.3</v>
      </c>
      <c r="Z122">
        <v>21.7</v>
      </c>
      <c r="AA122">
        <v>21</v>
      </c>
      <c r="AB122">
        <v>28.299999999999997</v>
      </c>
      <c r="AC122">
        <v>39.5</v>
      </c>
      <c r="AD122">
        <v>52.3</v>
      </c>
      <c r="AE122">
        <v>46.599999999999994</v>
      </c>
      <c r="AF122">
        <v>32.43</v>
      </c>
      <c r="AG122">
        <v>5.2139999999999995</v>
      </c>
      <c r="AH122">
        <v>4.9000000000000004</v>
      </c>
      <c r="AI122">
        <v>5.0999999999999996</v>
      </c>
      <c r="AJ122">
        <v>4.4000000000000004</v>
      </c>
      <c r="AK122">
        <v>5.0999999999999996</v>
      </c>
      <c r="AL122">
        <v>2</v>
      </c>
      <c r="AM122">
        <v>0</v>
      </c>
      <c r="AN122">
        <v>0.2</v>
      </c>
      <c r="AO122">
        <v>2.1</v>
      </c>
      <c r="AP122">
        <v>2.2999999999999998</v>
      </c>
      <c r="AQ122">
        <v>3.1</v>
      </c>
      <c r="AR122">
        <v>3.1</v>
      </c>
      <c r="AS122">
        <v>3.6</v>
      </c>
      <c r="AT122">
        <v>3.6</v>
      </c>
      <c r="AU122">
        <v>5.7</v>
      </c>
      <c r="AV122">
        <v>5.7</v>
      </c>
      <c r="AW122">
        <v>9</v>
      </c>
      <c r="AX122">
        <v>12.2</v>
      </c>
      <c r="AY122">
        <v>15</v>
      </c>
      <c r="AZ122">
        <v>15.468</v>
      </c>
      <c r="BA122">
        <v>19.600000000000001</v>
      </c>
      <c r="BB122">
        <v>16.7</v>
      </c>
      <c r="BC122">
        <v>17.100000000000001</v>
      </c>
      <c r="BD122">
        <v>16.5</v>
      </c>
      <c r="BE122">
        <v>13.5</v>
      </c>
      <c r="BF122">
        <v>13</v>
      </c>
      <c r="BG122">
        <v>12.919</v>
      </c>
      <c r="BH122" t="s">
        <v>16</v>
      </c>
    </row>
    <row r="123" spans="1:60">
      <c r="A123" t="s">
        <v>44</v>
      </c>
      <c r="B123" t="s">
        <v>195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BE123">
        <v>1488</v>
      </c>
      <c r="BF123">
        <v>1488</v>
      </c>
      <c r="BG123">
        <v>0</v>
      </c>
      <c r="BH123">
        <v>0</v>
      </c>
    </row>
    <row r="124" spans="1:60">
      <c r="A124" t="s">
        <v>45</v>
      </c>
      <c r="B124" t="s">
        <v>198</v>
      </c>
      <c r="C124">
        <v>0</v>
      </c>
      <c r="D124">
        <v>17.8</v>
      </c>
      <c r="E124">
        <v>0</v>
      </c>
      <c r="F124">
        <v>15</v>
      </c>
      <c r="G124">
        <v>109</v>
      </c>
      <c r="H124">
        <v>90</v>
      </c>
      <c r="I124">
        <v>66</v>
      </c>
      <c r="J124">
        <v>0</v>
      </c>
      <c r="K124">
        <v>0</v>
      </c>
      <c r="L124">
        <v>0</v>
      </c>
      <c r="M124">
        <v>0</v>
      </c>
      <c r="N124">
        <v>53.5</v>
      </c>
      <c r="O124">
        <v>562.6</v>
      </c>
      <c r="P124">
        <v>399</v>
      </c>
      <c r="Q124">
        <v>560.29999999999995</v>
      </c>
      <c r="R124">
        <v>281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2850</v>
      </c>
      <c r="AA124">
        <v>4317</v>
      </c>
      <c r="AB124">
        <v>8764</v>
      </c>
      <c r="AC124">
        <v>7602</v>
      </c>
      <c r="AD124">
        <v>7767.2</v>
      </c>
      <c r="AE124">
        <v>7602</v>
      </c>
      <c r="AF124">
        <v>7303</v>
      </c>
      <c r="AG124">
        <v>6494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</row>
    <row r="125" spans="1:60">
      <c r="A125" t="s">
        <v>45</v>
      </c>
      <c r="B125" t="s">
        <v>190</v>
      </c>
      <c r="C125">
        <v>0</v>
      </c>
      <c r="D125">
        <v>0</v>
      </c>
      <c r="E125">
        <v>0</v>
      </c>
      <c r="F125">
        <v>0</v>
      </c>
      <c r="G125">
        <v>64</v>
      </c>
      <c r="H125">
        <v>0</v>
      </c>
      <c r="I125">
        <v>66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</row>
    <row r="126" spans="1:60">
      <c r="A126" t="s">
        <v>45</v>
      </c>
      <c r="B126" t="s">
        <v>192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90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258</v>
      </c>
      <c r="P126">
        <v>236</v>
      </c>
      <c r="Q126">
        <v>460</v>
      </c>
      <c r="R126">
        <v>230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179</v>
      </c>
      <c r="AC126">
        <v>0</v>
      </c>
      <c r="AD126">
        <v>165.2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</row>
    <row r="127" spans="1:60">
      <c r="A127" t="s">
        <v>45</v>
      </c>
      <c r="B127" t="s">
        <v>193</v>
      </c>
      <c r="C127">
        <v>0</v>
      </c>
      <c r="D127">
        <v>17.8</v>
      </c>
      <c r="E127">
        <v>0</v>
      </c>
      <c r="F127">
        <v>15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21</v>
      </c>
      <c r="O127">
        <v>128</v>
      </c>
      <c r="P127">
        <v>26</v>
      </c>
      <c r="Q127">
        <v>55</v>
      </c>
      <c r="R127">
        <v>9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</row>
    <row r="128" spans="1:60">
      <c r="A128" t="s">
        <v>45</v>
      </c>
      <c r="B128" t="s">
        <v>194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32.5</v>
      </c>
      <c r="O128">
        <v>16.600000000000001</v>
      </c>
      <c r="P128">
        <v>107</v>
      </c>
      <c r="Q128">
        <v>45.300000000000004</v>
      </c>
      <c r="R128">
        <v>42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</row>
    <row r="129" spans="1:60">
      <c r="A129" t="s">
        <v>45</v>
      </c>
      <c r="B129" t="s">
        <v>195</v>
      </c>
      <c r="C129">
        <v>0</v>
      </c>
      <c r="D129">
        <v>0</v>
      </c>
      <c r="E129">
        <v>0</v>
      </c>
      <c r="F129">
        <v>0</v>
      </c>
      <c r="G129">
        <v>45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160</v>
      </c>
      <c r="P129">
        <v>30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2850</v>
      </c>
      <c r="AA129">
        <v>4317</v>
      </c>
      <c r="AB129">
        <v>8585</v>
      </c>
      <c r="AC129">
        <v>7602</v>
      </c>
      <c r="AD129">
        <v>7602</v>
      </c>
      <c r="AE129">
        <v>7602</v>
      </c>
      <c r="AF129">
        <v>7303</v>
      </c>
      <c r="AG129">
        <v>6494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</row>
    <row r="130" spans="1:60">
      <c r="A130" t="s">
        <v>46</v>
      </c>
      <c r="B130" t="s">
        <v>198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0.17799999999999999</v>
      </c>
      <c r="X130">
        <v>0.17799999999999999</v>
      </c>
      <c r="Y130">
        <v>1.3069999999999999</v>
      </c>
      <c r="Z130">
        <v>4.6669999999999998</v>
      </c>
      <c r="AA130">
        <v>8.782</v>
      </c>
      <c r="AB130">
        <v>10.739000000000001</v>
      </c>
      <c r="AC130">
        <v>2.6160000000000001</v>
      </c>
      <c r="AD130">
        <v>6.843</v>
      </c>
      <c r="AE130">
        <v>436.11399999999998</v>
      </c>
      <c r="AF130">
        <v>335.08700000000005</v>
      </c>
      <c r="AG130">
        <v>411.33100000000002</v>
      </c>
      <c r="AH130">
        <v>253.608</v>
      </c>
      <c r="AI130">
        <v>145.411</v>
      </c>
      <c r="AJ130">
        <v>227.196</v>
      </c>
      <c r="AK130">
        <v>178.863</v>
      </c>
      <c r="AL130">
        <v>177.34300000000002</v>
      </c>
      <c r="AM130">
        <v>9.9599999999999991</v>
      </c>
      <c r="AN130">
        <v>8.7910000000000004</v>
      </c>
      <c r="AO130">
        <v>9.3469999999999995</v>
      </c>
      <c r="AP130">
        <v>7.9910000000000005</v>
      </c>
      <c r="AQ130">
        <v>7.5179999999999998</v>
      </c>
      <c r="AR130">
        <v>6.5960000000000001</v>
      </c>
      <c r="AS130">
        <v>0.19400000000000001</v>
      </c>
      <c r="AT130">
        <v>0.219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</row>
    <row r="131" spans="1:60">
      <c r="A131" t="s">
        <v>46</v>
      </c>
      <c r="B131" t="s">
        <v>193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0.85</v>
      </c>
      <c r="AA131">
        <v>0.67900000000000005</v>
      </c>
      <c r="AB131">
        <v>0</v>
      </c>
      <c r="AC131">
        <v>0</v>
      </c>
      <c r="AD131">
        <v>2.327</v>
      </c>
      <c r="AE131">
        <v>5.4450000000000003</v>
      </c>
      <c r="AF131">
        <v>1.1240000000000001</v>
      </c>
      <c r="AG131">
        <v>44.396000000000001</v>
      </c>
      <c r="AH131">
        <v>58.186999999999998</v>
      </c>
      <c r="AI131">
        <v>90.18</v>
      </c>
      <c r="AJ131">
        <v>155.613</v>
      </c>
      <c r="AK131">
        <v>88.212999999999994</v>
      </c>
      <c r="AL131">
        <v>85.14</v>
      </c>
      <c r="AM131">
        <v>1.4E-2</v>
      </c>
      <c r="AN131">
        <v>1.2E-2</v>
      </c>
      <c r="AO131">
        <v>1.2999999999999999E-2</v>
      </c>
      <c r="AP131">
        <v>1.0999999999999999E-2</v>
      </c>
      <c r="AQ131">
        <v>0.01</v>
      </c>
      <c r="AR131">
        <v>8.9999999999999993E-3</v>
      </c>
      <c r="AS131">
        <v>1.0999999999999999E-2</v>
      </c>
      <c r="AT131">
        <v>1.4E-2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</row>
    <row r="132" spans="1:60">
      <c r="A132" t="s">
        <v>46</v>
      </c>
      <c r="B132" t="s">
        <v>194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0.17799999999999999</v>
      </c>
      <c r="X132">
        <v>0.17799999999999999</v>
      </c>
      <c r="Y132">
        <v>1.3069999999999999</v>
      </c>
      <c r="Z132">
        <v>3.8170000000000002</v>
      </c>
      <c r="AA132">
        <v>8.1029999999999998</v>
      </c>
      <c r="AB132">
        <v>10.739000000000001</v>
      </c>
      <c r="AC132">
        <v>2.6160000000000001</v>
      </c>
      <c r="AD132">
        <v>4.516</v>
      </c>
      <c r="AE132">
        <v>430.66899999999998</v>
      </c>
      <c r="AF132">
        <v>333.96300000000002</v>
      </c>
      <c r="AG132">
        <v>366.935</v>
      </c>
      <c r="AH132">
        <v>195.42099999999999</v>
      </c>
      <c r="AI132">
        <v>55.231000000000002</v>
      </c>
      <c r="AJ132">
        <v>71.582999999999998</v>
      </c>
      <c r="AK132">
        <v>90.65</v>
      </c>
      <c r="AL132">
        <v>92.203000000000003</v>
      </c>
      <c r="AM132">
        <v>9.9459999999999997</v>
      </c>
      <c r="AN132">
        <v>8.7789999999999999</v>
      </c>
      <c r="AO132">
        <v>9.3339999999999996</v>
      </c>
      <c r="AP132">
        <v>7.98</v>
      </c>
      <c r="AQ132">
        <v>7.508</v>
      </c>
      <c r="AR132">
        <v>6.5869999999999997</v>
      </c>
      <c r="AS132">
        <v>0.183</v>
      </c>
      <c r="AT132">
        <v>0.20499999999999999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</row>
    <row r="133" spans="1:60">
      <c r="A133" t="s">
        <v>47</v>
      </c>
      <c r="B133" t="s">
        <v>198</v>
      </c>
      <c r="R133">
        <v>0</v>
      </c>
      <c r="S133">
        <v>3.5999999999999997E-2</v>
      </c>
      <c r="T133">
        <v>0.39100000000000001</v>
      </c>
      <c r="U133">
        <v>1.478</v>
      </c>
      <c r="V133">
        <v>2.5529999999999999</v>
      </c>
      <c r="W133">
        <v>2E-3</v>
      </c>
      <c r="X133">
        <v>5.3999999999999999E-2</v>
      </c>
      <c r="Y133">
        <v>0.28800000000000003</v>
      </c>
      <c r="Z133">
        <v>0.41199999999999998</v>
      </c>
      <c r="AA133">
        <v>1.8740000000000001</v>
      </c>
      <c r="AB133">
        <v>2.2890000000000001</v>
      </c>
      <c r="AC133">
        <v>7.1189999999999998</v>
      </c>
      <c r="AD133">
        <v>14.509999999999998</v>
      </c>
      <c r="AE133">
        <v>22.334</v>
      </c>
      <c r="AF133">
        <v>55.137999999999998</v>
      </c>
      <c r="AG133">
        <v>37.754999999999995</v>
      </c>
      <c r="AH133">
        <v>34.067</v>
      </c>
      <c r="AI133">
        <v>31.057000000000002</v>
      </c>
      <c r="AJ133">
        <v>48.975999999999999</v>
      </c>
      <c r="AK133">
        <v>43.21</v>
      </c>
      <c r="AL133">
        <v>36.970999999999997</v>
      </c>
      <c r="AM133">
        <v>44.281000000000006</v>
      </c>
      <c r="AN133">
        <v>45.734000000000002</v>
      </c>
      <c r="AO133">
        <v>51.945999999999998</v>
      </c>
      <c r="AP133">
        <v>56.932000000000002</v>
      </c>
      <c r="AQ133">
        <v>79.525000000000006</v>
      </c>
      <c r="AR133">
        <v>83.147000000000006</v>
      </c>
      <c r="AS133">
        <v>89.173000000000002</v>
      </c>
      <c r="AT133">
        <v>92.393000000000001</v>
      </c>
      <c r="AU133">
        <v>107.514</v>
      </c>
      <c r="AV133">
        <v>103.07299999999999</v>
      </c>
      <c r="AW133">
        <v>108.76900000000001</v>
      </c>
      <c r="AX133">
        <v>111.182</v>
      </c>
      <c r="AY133">
        <v>28.186999999999998</v>
      </c>
      <c r="AZ133">
        <v>38.908000000000001</v>
      </c>
      <c r="BA133">
        <v>64.753</v>
      </c>
      <c r="BB133">
        <v>24.085999999999999</v>
      </c>
      <c r="BC133">
        <v>50.977000000000004</v>
      </c>
      <c r="BD133">
        <v>158.333</v>
      </c>
      <c r="BE133">
        <v>5.9030000000000005</v>
      </c>
      <c r="BF133">
        <v>6.7050000000000001</v>
      </c>
      <c r="BG133">
        <v>7.7949999999999999</v>
      </c>
      <c r="BH133" t="s">
        <v>16</v>
      </c>
    </row>
    <row r="134" spans="1:60">
      <c r="A134" t="s">
        <v>47</v>
      </c>
      <c r="B134" t="s">
        <v>190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1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</row>
    <row r="135" spans="1:60">
      <c r="A135" t="s">
        <v>47</v>
      </c>
      <c r="B135" t="s">
        <v>191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1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</row>
    <row r="136" spans="1:60">
      <c r="A136" t="s">
        <v>47</v>
      </c>
      <c r="B136" t="s">
        <v>192</v>
      </c>
      <c r="R136">
        <v>0</v>
      </c>
      <c r="S136">
        <v>0</v>
      </c>
      <c r="T136">
        <v>0</v>
      </c>
      <c r="W136">
        <v>0</v>
      </c>
      <c r="X136">
        <v>0</v>
      </c>
      <c r="Y136">
        <v>0</v>
      </c>
      <c r="Z136">
        <v>0</v>
      </c>
      <c r="AA136" t="s">
        <v>16</v>
      </c>
      <c r="AB136" t="s">
        <v>16</v>
      </c>
      <c r="AC136" t="s">
        <v>16</v>
      </c>
      <c r="AD136" t="s">
        <v>16</v>
      </c>
      <c r="AE136" t="s">
        <v>16</v>
      </c>
      <c r="AF136" t="s">
        <v>16</v>
      </c>
      <c r="AG136" t="s">
        <v>16</v>
      </c>
      <c r="AH136" t="s">
        <v>16</v>
      </c>
      <c r="AI136" t="s">
        <v>16</v>
      </c>
      <c r="AJ136">
        <v>1</v>
      </c>
      <c r="AK136">
        <v>1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 t="s">
        <v>16</v>
      </c>
      <c r="AY136" t="s">
        <v>16</v>
      </c>
      <c r="AZ136">
        <v>13</v>
      </c>
      <c r="BA136">
        <v>13</v>
      </c>
      <c r="BB136">
        <v>0</v>
      </c>
      <c r="BC136">
        <v>0</v>
      </c>
      <c r="BD136">
        <v>12</v>
      </c>
      <c r="BE136">
        <v>0</v>
      </c>
      <c r="BF136">
        <v>0</v>
      </c>
      <c r="BG136">
        <v>0</v>
      </c>
      <c r="BH136">
        <v>0</v>
      </c>
    </row>
    <row r="137" spans="1:60">
      <c r="A137" t="s">
        <v>47</v>
      </c>
      <c r="B137" t="s">
        <v>193</v>
      </c>
      <c r="R137">
        <v>0</v>
      </c>
      <c r="S137">
        <v>3.5999999999999997E-2</v>
      </c>
      <c r="T137">
        <v>0.39100000000000001</v>
      </c>
      <c r="U137">
        <v>1.478</v>
      </c>
      <c r="V137">
        <v>2.5529999999999999</v>
      </c>
      <c r="W137">
        <v>2E-3</v>
      </c>
      <c r="X137">
        <v>5.3999999999999999E-2</v>
      </c>
      <c r="Y137">
        <v>9.6000000000000002E-2</v>
      </c>
      <c r="Z137">
        <v>0.23899999999999999</v>
      </c>
      <c r="AA137">
        <v>0.69700000000000006</v>
      </c>
      <c r="AB137">
        <v>2.0649999999999999</v>
      </c>
      <c r="AC137">
        <v>6.8569999999999993</v>
      </c>
      <c r="AD137">
        <v>14.192999999999998</v>
      </c>
      <c r="AE137">
        <v>22.055</v>
      </c>
      <c r="AF137">
        <v>55.137999999999998</v>
      </c>
      <c r="AG137">
        <v>37.754999999999995</v>
      </c>
      <c r="AH137">
        <v>34.067</v>
      </c>
      <c r="AI137">
        <v>31.057000000000002</v>
      </c>
      <c r="AJ137">
        <v>47.975999999999999</v>
      </c>
      <c r="AK137">
        <v>42.21</v>
      </c>
      <c r="AL137">
        <v>36.970999999999997</v>
      </c>
      <c r="AM137">
        <v>44.281000000000006</v>
      </c>
      <c r="AN137">
        <v>45.734000000000002</v>
      </c>
      <c r="AO137">
        <v>51.945999999999998</v>
      </c>
      <c r="AP137">
        <v>56.932000000000002</v>
      </c>
      <c r="AQ137">
        <v>78.525000000000006</v>
      </c>
      <c r="AR137">
        <v>83.147000000000006</v>
      </c>
      <c r="AS137">
        <v>89.173000000000002</v>
      </c>
      <c r="AT137">
        <v>92.393000000000001</v>
      </c>
      <c r="AU137">
        <v>107.514</v>
      </c>
      <c r="AV137">
        <v>103.07299999999999</v>
      </c>
      <c r="AW137">
        <v>108.76900000000001</v>
      </c>
      <c r="AX137">
        <v>111.182</v>
      </c>
      <c r="AY137">
        <v>28.186999999999998</v>
      </c>
      <c r="AZ137">
        <v>25.908000000000001</v>
      </c>
      <c r="BA137">
        <v>51.753</v>
      </c>
      <c r="BB137">
        <v>24.085999999999999</v>
      </c>
      <c r="BC137">
        <v>50.977000000000004</v>
      </c>
      <c r="BD137">
        <v>146.333</v>
      </c>
      <c r="BE137">
        <v>5.9030000000000005</v>
      </c>
      <c r="BF137">
        <v>6.7050000000000001</v>
      </c>
      <c r="BG137">
        <v>7.7949999999999999</v>
      </c>
      <c r="BH137" t="s">
        <v>16</v>
      </c>
    </row>
    <row r="138" spans="1:60">
      <c r="A138" t="s">
        <v>47</v>
      </c>
      <c r="B138" t="s">
        <v>194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0.192</v>
      </c>
      <c r="Z138">
        <v>0.17299999999999999</v>
      </c>
      <c r="AA138">
        <v>0.17699999999999999</v>
      </c>
      <c r="AB138">
        <v>0.224</v>
      </c>
      <c r="AC138">
        <v>0.26200000000000001</v>
      </c>
      <c r="AD138">
        <v>0.317</v>
      </c>
      <c r="AE138">
        <v>0.27900000000000003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</row>
    <row r="139" spans="1:60">
      <c r="A139" t="s">
        <v>48</v>
      </c>
      <c r="B139" t="s">
        <v>198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1.56</v>
      </c>
      <c r="N139">
        <v>3.9699999999999998</v>
      </c>
      <c r="O139">
        <v>7.61</v>
      </c>
      <c r="P139">
        <v>12.549999999999999</v>
      </c>
      <c r="Q139">
        <v>14.6</v>
      </c>
      <c r="R139">
        <v>17.57</v>
      </c>
      <c r="S139">
        <v>27.1</v>
      </c>
      <c r="T139">
        <v>40.81</v>
      </c>
      <c r="U139">
        <v>49.8</v>
      </c>
      <c r="V139">
        <v>25.51</v>
      </c>
      <c r="W139">
        <v>14.129999999999999</v>
      </c>
      <c r="X139">
        <v>12.95</v>
      </c>
      <c r="Y139">
        <v>34.44</v>
      </c>
      <c r="Z139">
        <v>53.55</v>
      </c>
      <c r="AA139">
        <v>78.91</v>
      </c>
      <c r="AB139">
        <v>171.31</v>
      </c>
      <c r="AC139">
        <v>610.6</v>
      </c>
      <c r="AD139">
        <v>371.27</v>
      </c>
      <c r="AE139">
        <v>662.04</v>
      </c>
      <c r="AF139">
        <v>1058.961</v>
      </c>
      <c r="AG139">
        <v>2002.066</v>
      </c>
      <c r="AH139">
        <v>1213.3530000000001</v>
      </c>
      <c r="AI139">
        <v>1538.7620000000002</v>
      </c>
      <c r="AJ139">
        <v>1920.4110000000001</v>
      </c>
      <c r="AK139">
        <v>2065.8109999999997</v>
      </c>
      <c r="AL139">
        <v>1512.3919999999998</v>
      </c>
      <c r="AM139">
        <v>2385.9449999999997</v>
      </c>
      <c r="AN139">
        <v>1636.06</v>
      </c>
      <c r="AO139">
        <v>2055.85</v>
      </c>
      <c r="AP139">
        <v>2250.91</v>
      </c>
      <c r="AQ139">
        <v>2491.19</v>
      </c>
      <c r="AR139">
        <v>2699.31</v>
      </c>
      <c r="AS139">
        <v>3123.5299999999997</v>
      </c>
      <c r="AT139">
        <v>3680.44</v>
      </c>
      <c r="AU139">
        <v>5947.1</v>
      </c>
      <c r="AV139">
        <v>3525.4430000000002</v>
      </c>
      <c r="AW139">
        <v>3610.06</v>
      </c>
      <c r="AX139">
        <v>5365.5110000000004</v>
      </c>
      <c r="AY139">
        <v>2373.13</v>
      </c>
      <c r="AZ139">
        <v>1250.4100000000001</v>
      </c>
      <c r="BA139">
        <v>3002.1</v>
      </c>
      <c r="BB139">
        <v>279.67</v>
      </c>
      <c r="BC139">
        <v>230.31</v>
      </c>
      <c r="BD139">
        <v>248.43299999999999</v>
      </c>
      <c r="BE139">
        <v>237.27</v>
      </c>
      <c r="BF139">
        <v>228.29000000000002</v>
      </c>
      <c r="BG139">
        <v>692.529</v>
      </c>
      <c r="BH139" t="s">
        <v>16</v>
      </c>
    </row>
    <row r="140" spans="1:60">
      <c r="A140" t="s">
        <v>48</v>
      </c>
      <c r="B140" t="s">
        <v>191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37</v>
      </c>
      <c r="AJ140">
        <v>65</v>
      </c>
      <c r="AK140">
        <v>0</v>
      </c>
      <c r="AL140">
        <v>0</v>
      </c>
      <c r="AM140">
        <v>0</v>
      </c>
      <c r="AN140" t="s">
        <v>16</v>
      </c>
      <c r="AO140">
        <v>21</v>
      </c>
      <c r="AP140">
        <v>39</v>
      </c>
      <c r="AQ140">
        <v>55</v>
      </c>
      <c r="AR140">
        <v>34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</row>
    <row r="141" spans="1:60">
      <c r="A141" t="s">
        <v>48</v>
      </c>
      <c r="B141" t="s">
        <v>192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AC141">
        <v>470</v>
      </c>
      <c r="AD141" t="s">
        <v>16</v>
      </c>
      <c r="AE141" t="s">
        <v>16</v>
      </c>
      <c r="AF141" t="s">
        <v>16</v>
      </c>
      <c r="AG141">
        <v>1052</v>
      </c>
      <c r="AH141" t="s">
        <v>16</v>
      </c>
      <c r="AI141" t="s">
        <v>16</v>
      </c>
      <c r="AJ141" t="s">
        <v>16</v>
      </c>
      <c r="AK141">
        <v>1175</v>
      </c>
      <c r="AL141" t="s">
        <v>16</v>
      </c>
      <c r="AM141">
        <v>1758</v>
      </c>
      <c r="AN141" t="s">
        <v>16</v>
      </c>
      <c r="AO141" t="s">
        <v>16</v>
      </c>
      <c r="AP141" t="s">
        <v>16</v>
      </c>
      <c r="AQ141" t="s">
        <v>16</v>
      </c>
      <c r="AR141" t="s">
        <v>16</v>
      </c>
      <c r="AS141" t="s">
        <v>16</v>
      </c>
      <c r="AT141" t="s">
        <v>16</v>
      </c>
      <c r="AU141">
        <v>3016</v>
      </c>
      <c r="AV141" t="s">
        <v>16</v>
      </c>
      <c r="AW141" t="s">
        <v>16</v>
      </c>
      <c r="AX141" t="s">
        <v>16</v>
      </c>
      <c r="AY141">
        <v>961</v>
      </c>
      <c r="AZ141" t="s">
        <v>16</v>
      </c>
      <c r="BA141">
        <v>2474</v>
      </c>
      <c r="BB141">
        <v>0</v>
      </c>
      <c r="BC141">
        <v>0</v>
      </c>
      <c r="BD141">
        <v>0</v>
      </c>
      <c r="BE141">
        <v>0</v>
      </c>
      <c r="BF141">
        <v>0</v>
      </c>
      <c r="BG141" t="s">
        <v>16</v>
      </c>
      <c r="BH141" t="s">
        <v>16</v>
      </c>
    </row>
    <row r="142" spans="1:60">
      <c r="A142" t="s">
        <v>48</v>
      </c>
      <c r="B142" t="s">
        <v>193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0.56000000000000005</v>
      </c>
      <c r="N142">
        <v>1.27</v>
      </c>
      <c r="O142">
        <v>2.71</v>
      </c>
      <c r="P142">
        <v>4.3499999999999996</v>
      </c>
      <c r="Q142">
        <v>6</v>
      </c>
      <c r="R142">
        <v>7.97</v>
      </c>
      <c r="S142">
        <v>14</v>
      </c>
      <c r="T142">
        <v>24.009999999999998</v>
      </c>
      <c r="U142">
        <v>28.9</v>
      </c>
      <c r="V142">
        <v>15.510000000000002</v>
      </c>
      <c r="W142">
        <v>7.53</v>
      </c>
      <c r="X142">
        <v>11.35</v>
      </c>
      <c r="Y142">
        <v>14.84</v>
      </c>
      <c r="Z142">
        <v>26.95</v>
      </c>
      <c r="AA142">
        <v>40.209999999999994</v>
      </c>
      <c r="AB142">
        <v>71.61</v>
      </c>
      <c r="AC142" t="s">
        <v>16</v>
      </c>
      <c r="AD142">
        <v>102.87</v>
      </c>
      <c r="AE142">
        <v>225.04000000000002</v>
      </c>
      <c r="AF142">
        <v>399.18</v>
      </c>
      <c r="AG142" t="s">
        <v>16</v>
      </c>
      <c r="AH142">
        <v>548.25</v>
      </c>
      <c r="AI142">
        <v>828.1</v>
      </c>
      <c r="AJ142">
        <v>1172.05</v>
      </c>
      <c r="AK142">
        <v>219</v>
      </c>
      <c r="AL142">
        <v>971.87</v>
      </c>
      <c r="AM142" t="s">
        <v>16</v>
      </c>
      <c r="AN142">
        <v>941.36</v>
      </c>
      <c r="AO142">
        <v>1195.75</v>
      </c>
      <c r="AP142">
        <v>1325.9099999999999</v>
      </c>
      <c r="AQ142">
        <v>1508.59</v>
      </c>
      <c r="AR142">
        <v>1690.51</v>
      </c>
      <c r="AS142">
        <v>2079.0299999999997</v>
      </c>
      <c r="AT142">
        <v>2550.54</v>
      </c>
      <c r="AU142" t="s">
        <v>16</v>
      </c>
      <c r="AV142">
        <v>741.96</v>
      </c>
      <c r="AW142">
        <v>777.86</v>
      </c>
      <c r="AX142">
        <v>2145.85</v>
      </c>
      <c r="AY142">
        <v>601.53</v>
      </c>
      <c r="AZ142">
        <v>1074.4100000000001</v>
      </c>
      <c r="BA142">
        <v>422</v>
      </c>
      <c r="BB142">
        <v>176.37</v>
      </c>
      <c r="BC142">
        <v>125.51</v>
      </c>
      <c r="BD142">
        <v>138.94999999999999</v>
      </c>
      <c r="BE142">
        <v>140.67000000000002</v>
      </c>
      <c r="BF142">
        <v>141.49</v>
      </c>
      <c r="BG142">
        <v>210.43700000000001</v>
      </c>
      <c r="BH142" t="s">
        <v>16</v>
      </c>
    </row>
    <row r="143" spans="1:60">
      <c r="A143" t="s">
        <v>48</v>
      </c>
      <c r="B143" t="s">
        <v>194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</v>
      </c>
      <c r="N143">
        <v>2.6999999999999997</v>
      </c>
      <c r="O143">
        <v>4.9000000000000004</v>
      </c>
      <c r="P143">
        <v>8.1999999999999993</v>
      </c>
      <c r="Q143">
        <v>8.6</v>
      </c>
      <c r="R143">
        <v>9.6000000000000014</v>
      </c>
      <c r="S143">
        <v>13.1</v>
      </c>
      <c r="T143">
        <v>16.8</v>
      </c>
      <c r="U143">
        <v>20.9</v>
      </c>
      <c r="V143">
        <v>10</v>
      </c>
      <c r="W143">
        <v>6.6</v>
      </c>
      <c r="X143">
        <v>1.6</v>
      </c>
      <c r="Y143">
        <v>19.599999999999998</v>
      </c>
      <c r="Z143">
        <v>26.599999999999998</v>
      </c>
      <c r="AA143">
        <v>38.700000000000003</v>
      </c>
      <c r="AB143">
        <v>99.7</v>
      </c>
      <c r="AC143">
        <v>140.6</v>
      </c>
      <c r="AD143">
        <v>268.39999999999998</v>
      </c>
      <c r="AE143">
        <v>220</v>
      </c>
      <c r="AF143">
        <v>659.78099999999995</v>
      </c>
      <c r="AG143">
        <v>950.06600000000003</v>
      </c>
      <c r="AH143">
        <v>665.10299999999995</v>
      </c>
      <c r="AI143">
        <v>673.66200000000003</v>
      </c>
      <c r="AJ143">
        <v>683.36099999999999</v>
      </c>
      <c r="AK143">
        <v>671.81099999999992</v>
      </c>
      <c r="AL143">
        <v>540.52199999999993</v>
      </c>
      <c r="AM143">
        <v>627.94499999999994</v>
      </c>
      <c r="AN143">
        <v>694.7</v>
      </c>
      <c r="AO143">
        <v>839.09999999999991</v>
      </c>
      <c r="AP143">
        <v>886</v>
      </c>
      <c r="AQ143">
        <v>927.6</v>
      </c>
      <c r="AR143">
        <v>974.8</v>
      </c>
      <c r="AS143">
        <v>1044.5</v>
      </c>
      <c r="AT143">
        <v>1129.9000000000001</v>
      </c>
      <c r="AU143">
        <v>2931.1</v>
      </c>
      <c r="AV143">
        <v>2783.4830000000002</v>
      </c>
      <c r="AW143">
        <v>2832.2</v>
      </c>
      <c r="AX143">
        <v>1119.6610000000001</v>
      </c>
      <c r="AY143">
        <v>810.6</v>
      </c>
      <c r="AZ143">
        <v>176</v>
      </c>
      <c r="BA143">
        <v>106.1</v>
      </c>
      <c r="BB143">
        <v>103.3</v>
      </c>
      <c r="BC143">
        <v>104.8</v>
      </c>
      <c r="BD143">
        <v>109.483</v>
      </c>
      <c r="BE143">
        <v>96.6</v>
      </c>
      <c r="BF143">
        <v>86.8</v>
      </c>
      <c r="BG143">
        <v>84.091999999999999</v>
      </c>
      <c r="BH143" t="s">
        <v>16</v>
      </c>
    </row>
    <row r="144" spans="1:60">
      <c r="A144" t="s">
        <v>48</v>
      </c>
      <c r="B144" t="s">
        <v>195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 t="s">
        <v>16</v>
      </c>
      <c r="T144" t="s">
        <v>16</v>
      </c>
      <c r="U144" t="s">
        <v>16</v>
      </c>
      <c r="V144" t="s">
        <v>16</v>
      </c>
      <c r="W144" t="s">
        <v>16</v>
      </c>
      <c r="X144">
        <v>0</v>
      </c>
      <c r="Y144">
        <v>0</v>
      </c>
      <c r="Z144">
        <v>0</v>
      </c>
      <c r="AA144" t="s">
        <v>16</v>
      </c>
      <c r="AB144" t="s">
        <v>16</v>
      </c>
      <c r="AC144" t="s">
        <v>16</v>
      </c>
      <c r="AD144" t="s">
        <v>16</v>
      </c>
      <c r="AE144">
        <v>217</v>
      </c>
      <c r="AF144" t="s">
        <v>16</v>
      </c>
      <c r="AG144" t="s">
        <v>16</v>
      </c>
      <c r="AH144" t="s">
        <v>16</v>
      </c>
      <c r="AI144" t="s">
        <v>16</v>
      </c>
      <c r="AJ144" t="s">
        <v>16</v>
      </c>
      <c r="AK144" t="s">
        <v>16</v>
      </c>
      <c r="AL144" t="s">
        <v>16</v>
      </c>
      <c r="AM144" t="s">
        <v>16</v>
      </c>
      <c r="AN144" t="s">
        <v>16</v>
      </c>
      <c r="AO144" t="s">
        <v>16</v>
      </c>
      <c r="AP144" t="s">
        <v>16</v>
      </c>
      <c r="AQ144" t="s">
        <v>16</v>
      </c>
      <c r="AR144" t="s">
        <v>16</v>
      </c>
      <c r="AS144" t="s">
        <v>16</v>
      </c>
      <c r="AT144" t="s">
        <v>16</v>
      </c>
      <c r="AU144" t="s">
        <v>16</v>
      </c>
      <c r="AV144" t="s">
        <v>16</v>
      </c>
      <c r="AW144" t="s">
        <v>16</v>
      </c>
      <c r="AX144">
        <v>2100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</row>
    <row r="145" spans="1:60">
      <c r="A145" t="s">
        <v>48</v>
      </c>
      <c r="B145" t="s">
        <v>197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398</v>
      </c>
      <c r="BH145">
        <v>492</v>
      </c>
    </row>
    <row r="146" spans="1:60">
      <c r="A146" t="s">
        <v>49</v>
      </c>
      <c r="B146" t="s">
        <v>198</v>
      </c>
      <c r="C146">
        <v>351</v>
      </c>
      <c r="D146">
        <v>369.59749999999997</v>
      </c>
      <c r="E146">
        <v>389.38499999999999</v>
      </c>
      <c r="F146">
        <v>408.17250000000001</v>
      </c>
      <c r="G146">
        <v>428.96</v>
      </c>
      <c r="H146">
        <v>450.7475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0.29000000000000004</v>
      </c>
      <c r="Q146">
        <v>6.6999999999999993</v>
      </c>
      <c r="R146">
        <v>94.320000000000007</v>
      </c>
      <c r="S146">
        <v>421.24</v>
      </c>
      <c r="T146">
        <v>605.99</v>
      </c>
      <c r="U146">
        <v>1795.5900000000001</v>
      </c>
      <c r="V146">
        <v>2208.56</v>
      </c>
      <c r="W146">
        <v>1073.5900000000001</v>
      </c>
      <c r="X146">
        <v>787.24</v>
      </c>
      <c r="Y146">
        <v>667.99</v>
      </c>
      <c r="Z146">
        <v>1727.3999999999999</v>
      </c>
      <c r="AA146">
        <v>333.74</v>
      </c>
      <c r="AB146">
        <v>697.44</v>
      </c>
      <c r="AC146">
        <v>861</v>
      </c>
      <c r="AD146">
        <v>1536.8400000000001</v>
      </c>
      <c r="AE146">
        <v>2070.8929116410991</v>
      </c>
      <c r="AF146">
        <v>3017.5714395134278</v>
      </c>
      <c r="AG146">
        <v>1729.83</v>
      </c>
      <c r="AH146">
        <v>2456.73</v>
      </c>
      <c r="AI146">
        <v>3826.8703739560624</v>
      </c>
      <c r="AJ146">
        <v>4752.1103064419158</v>
      </c>
      <c r="AK146">
        <v>6111.8664155067754</v>
      </c>
      <c r="AL146">
        <v>8161.7305214424523</v>
      </c>
      <c r="AM146">
        <v>8327.2359454543057</v>
      </c>
      <c r="AN146">
        <v>8244.0795411955442</v>
      </c>
      <c r="AO146">
        <v>9067.368958794068</v>
      </c>
      <c r="AP146">
        <v>8649.5944818359912</v>
      </c>
      <c r="AQ146">
        <v>8736.2212282092041</v>
      </c>
      <c r="AR146">
        <v>9214.9620232094258</v>
      </c>
      <c r="AS146">
        <v>10214.536662593091</v>
      </c>
      <c r="AT146">
        <v>1441.15</v>
      </c>
      <c r="AU146">
        <v>1487.8509999999999</v>
      </c>
      <c r="AV146">
        <v>1664.5500000000002</v>
      </c>
      <c r="AW146">
        <v>1671.78</v>
      </c>
      <c r="AX146">
        <v>1994.02</v>
      </c>
      <c r="AY146">
        <v>2289.3199999999997</v>
      </c>
      <c r="AZ146">
        <v>2753.84</v>
      </c>
      <c r="BA146">
        <v>9078.6200000000008</v>
      </c>
      <c r="BB146">
        <v>466.10999999999996</v>
      </c>
      <c r="BC146">
        <v>217.92000000000002</v>
      </c>
      <c r="BD146">
        <v>243.69</v>
      </c>
      <c r="BE146">
        <v>212.91</v>
      </c>
      <c r="BF146">
        <v>206.86</v>
      </c>
      <c r="BG146">
        <v>263.97800000000001</v>
      </c>
      <c r="BH146" t="s">
        <v>16</v>
      </c>
    </row>
    <row r="147" spans="1:60">
      <c r="A147" t="s">
        <v>49</v>
      </c>
      <c r="B147" t="s">
        <v>190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125</v>
      </c>
      <c r="W147">
        <v>31</v>
      </c>
      <c r="X147">
        <v>0</v>
      </c>
      <c r="Y147">
        <v>0</v>
      </c>
      <c r="Z147">
        <v>7.1</v>
      </c>
      <c r="AA147">
        <v>0</v>
      </c>
      <c r="AB147">
        <v>0</v>
      </c>
      <c r="AC147">
        <v>0</v>
      </c>
      <c r="AD147">
        <v>0</v>
      </c>
      <c r="AE147">
        <v>856.87291164109911</v>
      </c>
      <c r="AF147">
        <v>765.00143951342761</v>
      </c>
      <c r="AG147" t="s">
        <v>16</v>
      </c>
      <c r="AH147" t="s">
        <v>16</v>
      </c>
      <c r="AI147">
        <v>488.16037395606247</v>
      </c>
      <c r="AJ147">
        <v>517.62030644191566</v>
      </c>
      <c r="AK147">
        <v>574.50641550677528</v>
      </c>
      <c r="AL147">
        <v>612.84052144245186</v>
      </c>
      <c r="AM147">
        <v>583.77594545430429</v>
      </c>
      <c r="AN147">
        <v>572.60954119554413</v>
      </c>
      <c r="AO147">
        <v>623.46895879406759</v>
      </c>
      <c r="AP147">
        <v>632.67448183599151</v>
      </c>
      <c r="AQ147">
        <v>632.22122820920458</v>
      </c>
      <c r="AR147">
        <v>635.22202320942574</v>
      </c>
      <c r="AS147">
        <v>706.8366625930903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</row>
    <row r="148" spans="1:60">
      <c r="A148" t="s">
        <v>49</v>
      </c>
      <c r="B148" t="s">
        <v>191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 t="s">
        <v>16</v>
      </c>
      <c r="AK148">
        <v>24</v>
      </c>
      <c r="AL148">
        <v>43</v>
      </c>
      <c r="AM148">
        <v>59</v>
      </c>
      <c r="AN148">
        <v>72</v>
      </c>
      <c r="AO148">
        <v>86</v>
      </c>
      <c r="AP148">
        <v>100</v>
      </c>
      <c r="AQ148">
        <v>113</v>
      </c>
      <c r="AR148">
        <v>126</v>
      </c>
      <c r="AS148">
        <v>132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</row>
    <row r="149" spans="1:60">
      <c r="A149" t="s">
        <v>49</v>
      </c>
      <c r="B149" t="s">
        <v>192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 t="s">
        <v>16</v>
      </c>
      <c r="S149">
        <v>280</v>
      </c>
      <c r="T149">
        <v>210</v>
      </c>
      <c r="U149">
        <v>1147</v>
      </c>
      <c r="V149">
        <v>1200</v>
      </c>
      <c r="W149">
        <v>606</v>
      </c>
      <c r="X149">
        <v>600</v>
      </c>
      <c r="Y149" t="s">
        <v>16</v>
      </c>
      <c r="Z149">
        <v>1490</v>
      </c>
      <c r="AA149" t="s">
        <v>16</v>
      </c>
      <c r="AB149">
        <v>322</v>
      </c>
      <c r="AC149">
        <v>350</v>
      </c>
      <c r="AD149">
        <v>883</v>
      </c>
      <c r="AE149" t="s">
        <v>16</v>
      </c>
      <c r="AF149">
        <v>1530</v>
      </c>
      <c r="AG149" t="s">
        <v>16</v>
      </c>
      <c r="AH149" t="s">
        <v>16</v>
      </c>
      <c r="AI149" t="s">
        <v>16</v>
      </c>
      <c r="AJ149" t="s">
        <v>16</v>
      </c>
      <c r="AK149" t="s">
        <v>16</v>
      </c>
      <c r="AL149" t="s">
        <v>16</v>
      </c>
      <c r="AM149" t="s">
        <v>16</v>
      </c>
      <c r="AN149" t="s">
        <v>16</v>
      </c>
      <c r="AO149" t="s">
        <v>16</v>
      </c>
      <c r="AP149" t="s">
        <v>16</v>
      </c>
      <c r="AQ149" t="s">
        <v>16</v>
      </c>
      <c r="AR149" t="s">
        <v>16</v>
      </c>
      <c r="AS149">
        <v>8980</v>
      </c>
      <c r="AT149" t="s">
        <v>16</v>
      </c>
      <c r="AU149" t="s">
        <v>16</v>
      </c>
      <c r="AV149" t="s">
        <v>16</v>
      </c>
      <c r="AW149" t="s">
        <v>16</v>
      </c>
      <c r="AX149" t="s">
        <v>16</v>
      </c>
      <c r="AY149" t="s">
        <v>16</v>
      </c>
      <c r="AZ149" t="s">
        <v>16</v>
      </c>
      <c r="BA149">
        <v>2957</v>
      </c>
      <c r="BG149">
        <v>0</v>
      </c>
      <c r="BH149">
        <v>0</v>
      </c>
    </row>
    <row r="150" spans="1:60">
      <c r="A150" t="s">
        <v>49</v>
      </c>
      <c r="B150" t="s">
        <v>193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0.09</v>
      </c>
      <c r="Q150">
        <v>0</v>
      </c>
      <c r="R150">
        <v>5.92</v>
      </c>
      <c r="S150">
        <v>8.24</v>
      </c>
      <c r="T150">
        <v>51.39</v>
      </c>
      <c r="U150">
        <v>92.990000000000009</v>
      </c>
      <c r="V150">
        <v>126.06</v>
      </c>
      <c r="W150">
        <v>34.590000000000003</v>
      </c>
      <c r="X150">
        <v>130.14000000000001</v>
      </c>
      <c r="Y150">
        <v>380.39</v>
      </c>
      <c r="Z150" t="s">
        <v>16</v>
      </c>
      <c r="AA150">
        <v>118.24</v>
      </c>
      <c r="AB150">
        <v>84.54</v>
      </c>
      <c r="AC150">
        <v>112.1</v>
      </c>
      <c r="AD150">
        <v>134.34</v>
      </c>
      <c r="AE150">
        <v>664.92000000000007</v>
      </c>
      <c r="AF150" t="s">
        <v>16</v>
      </c>
      <c r="AG150">
        <v>947.63</v>
      </c>
      <c r="AH150">
        <v>1621.9299999999998</v>
      </c>
      <c r="AI150">
        <v>2414.11</v>
      </c>
      <c r="AJ150">
        <v>3217.39</v>
      </c>
      <c r="AK150">
        <v>4414.16</v>
      </c>
      <c r="AL150">
        <v>6363.1900000000005</v>
      </c>
      <c r="AM150">
        <v>6539.8600000000006</v>
      </c>
      <c r="AN150">
        <v>6470.4699999999993</v>
      </c>
      <c r="AO150">
        <v>7169.6</v>
      </c>
      <c r="AP150">
        <v>7243.72</v>
      </c>
      <c r="AQ150">
        <v>7324</v>
      </c>
      <c r="AR150">
        <v>7794.54</v>
      </c>
      <c r="AS150" t="s">
        <v>16</v>
      </c>
      <c r="AT150">
        <v>1238.3500000000001</v>
      </c>
      <c r="AU150">
        <v>1282.751</v>
      </c>
      <c r="AV150">
        <v>1458.0500000000002</v>
      </c>
      <c r="AW150">
        <v>1468.78</v>
      </c>
      <c r="AX150">
        <v>1724.92</v>
      </c>
      <c r="AY150">
        <v>1964.12</v>
      </c>
      <c r="AZ150">
        <v>2387.54</v>
      </c>
      <c r="BA150">
        <v>5952</v>
      </c>
      <c r="BB150">
        <v>466.00999999999993</v>
      </c>
      <c r="BC150">
        <v>217.92000000000002</v>
      </c>
      <c r="BD150">
        <v>243.69</v>
      </c>
      <c r="BE150">
        <v>212.91</v>
      </c>
      <c r="BF150">
        <v>206.86</v>
      </c>
      <c r="BG150">
        <v>263.97800000000001</v>
      </c>
      <c r="BH150" t="s">
        <v>16</v>
      </c>
    </row>
    <row r="151" spans="1:60">
      <c r="A151" t="s">
        <v>49</v>
      </c>
      <c r="B151" t="s">
        <v>194</v>
      </c>
      <c r="C151">
        <v>225</v>
      </c>
      <c r="D151">
        <v>236.81</v>
      </c>
      <c r="E151">
        <v>248.81</v>
      </c>
      <c r="F151">
        <v>260.81</v>
      </c>
      <c r="G151">
        <v>272.81</v>
      </c>
      <c r="H151">
        <v>284.81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0.2</v>
      </c>
      <c r="Q151">
        <v>6.6999999999999993</v>
      </c>
      <c r="R151">
        <v>88.4</v>
      </c>
      <c r="S151">
        <v>133</v>
      </c>
      <c r="T151">
        <v>344.6</v>
      </c>
      <c r="U151">
        <v>555.6</v>
      </c>
      <c r="V151">
        <v>470.5</v>
      </c>
      <c r="W151" t="s">
        <v>16</v>
      </c>
      <c r="X151">
        <v>52.1</v>
      </c>
      <c r="Y151">
        <v>225.60000000000002</v>
      </c>
      <c r="Z151">
        <v>172.3</v>
      </c>
      <c r="AA151">
        <v>151.5</v>
      </c>
      <c r="AB151">
        <v>229.9</v>
      </c>
      <c r="AC151">
        <v>333.9</v>
      </c>
      <c r="AD151">
        <v>458.5</v>
      </c>
      <c r="AE151">
        <v>549.1</v>
      </c>
      <c r="AF151">
        <v>661.57</v>
      </c>
      <c r="AG151">
        <v>782.2</v>
      </c>
      <c r="AH151">
        <v>834.80000000000007</v>
      </c>
      <c r="AI151">
        <v>924.6</v>
      </c>
      <c r="AJ151">
        <v>1017.1</v>
      </c>
      <c r="AK151">
        <v>1099.2</v>
      </c>
      <c r="AL151">
        <v>1142.7</v>
      </c>
      <c r="AM151">
        <v>1144.5999999999999</v>
      </c>
      <c r="AN151">
        <v>1129</v>
      </c>
      <c r="AO151">
        <v>1188.3</v>
      </c>
      <c r="AP151">
        <v>673.2</v>
      </c>
      <c r="AQ151">
        <v>667</v>
      </c>
      <c r="AR151">
        <v>659.2</v>
      </c>
      <c r="AS151">
        <v>395.7</v>
      </c>
      <c r="AT151">
        <v>202.8</v>
      </c>
      <c r="AU151">
        <v>205.1</v>
      </c>
      <c r="AV151">
        <v>206.5</v>
      </c>
      <c r="AW151">
        <v>203</v>
      </c>
      <c r="AX151">
        <v>269.10000000000002</v>
      </c>
      <c r="AY151">
        <v>325.20000000000005</v>
      </c>
      <c r="AZ151">
        <v>366.3</v>
      </c>
      <c r="BA151">
        <v>169.62</v>
      </c>
      <c r="BB151">
        <v>0.1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</row>
    <row r="152" spans="1:60">
      <c r="A152" t="s">
        <v>49</v>
      </c>
      <c r="B152" t="s">
        <v>195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 t="s">
        <v>16</v>
      </c>
      <c r="S152" t="s">
        <v>16</v>
      </c>
      <c r="T152" t="s">
        <v>16</v>
      </c>
      <c r="U152" t="s">
        <v>16</v>
      </c>
      <c r="V152">
        <v>287</v>
      </c>
      <c r="W152">
        <v>402</v>
      </c>
      <c r="X152">
        <v>5</v>
      </c>
      <c r="Y152">
        <v>62</v>
      </c>
      <c r="Z152">
        <v>58</v>
      </c>
      <c r="AA152">
        <v>64</v>
      </c>
      <c r="AB152">
        <v>61</v>
      </c>
      <c r="AC152">
        <v>65</v>
      </c>
      <c r="AD152">
        <v>61</v>
      </c>
      <c r="AF152">
        <v>61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</row>
    <row r="153" spans="1:60">
      <c r="A153" t="s">
        <v>49</v>
      </c>
      <c r="B153" t="s">
        <v>197</v>
      </c>
      <c r="C153">
        <v>15</v>
      </c>
      <c r="D153">
        <v>15.7875</v>
      </c>
      <c r="E153">
        <v>16.574999999999999</v>
      </c>
      <c r="F153">
        <v>17.362500000000001</v>
      </c>
      <c r="G153">
        <v>18.150000000000002</v>
      </c>
      <c r="H153">
        <v>18.937500000000004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</row>
    <row r="154" spans="1:60">
      <c r="A154" t="s">
        <v>49</v>
      </c>
      <c r="B154" t="s">
        <v>196</v>
      </c>
      <c r="C154">
        <v>111</v>
      </c>
      <c r="D154">
        <v>117</v>
      </c>
      <c r="E154">
        <v>124</v>
      </c>
      <c r="F154">
        <v>130</v>
      </c>
      <c r="G154">
        <v>138</v>
      </c>
      <c r="H154">
        <v>147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</row>
    <row r="155" spans="1:60">
      <c r="A155" t="s">
        <v>50</v>
      </c>
      <c r="B155" t="s">
        <v>198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46.357615894039739</v>
      </c>
      <c r="AM155">
        <v>49.195837275307476</v>
      </c>
      <c r="AN155">
        <v>52</v>
      </c>
      <c r="AO155">
        <v>54.963999999999999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</row>
    <row r="156" spans="1:60">
      <c r="A156" t="s">
        <v>50</v>
      </c>
      <c r="B156" t="s">
        <v>193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46.357615894039739</v>
      </c>
      <c r="AM156">
        <v>49.195837275307476</v>
      </c>
      <c r="AN156">
        <v>52</v>
      </c>
      <c r="AO156">
        <v>54.963999999999999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</row>
    <row r="157" spans="1:60">
      <c r="A157" t="s">
        <v>51</v>
      </c>
      <c r="B157" t="s">
        <v>198</v>
      </c>
      <c r="C157">
        <v>0</v>
      </c>
      <c r="D157">
        <v>0</v>
      </c>
      <c r="E157">
        <v>3</v>
      </c>
      <c r="F157">
        <v>0</v>
      </c>
      <c r="G157">
        <v>0</v>
      </c>
      <c r="H157">
        <v>3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8.0000000000000002E-3</v>
      </c>
      <c r="O157">
        <v>0</v>
      </c>
      <c r="P157">
        <v>0.20900000000000002</v>
      </c>
      <c r="Q157">
        <v>0</v>
      </c>
      <c r="R157">
        <v>0</v>
      </c>
      <c r="S157">
        <v>0</v>
      </c>
      <c r="T157">
        <v>0.61499999999999999</v>
      </c>
      <c r="U157">
        <v>0.90900000000000003</v>
      </c>
      <c r="V157">
        <v>1.7000000000000001E-2</v>
      </c>
      <c r="W157">
        <v>2.4159999999999999</v>
      </c>
      <c r="X157">
        <v>690.53</v>
      </c>
      <c r="Y157">
        <v>1557.146</v>
      </c>
      <c r="Z157">
        <v>751.93000000000006</v>
      </c>
      <c r="AA157">
        <v>371.96</v>
      </c>
      <c r="AB157">
        <v>684.07500000000005</v>
      </c>
      <c r="AC157">
        <v>1927.0139999999999</v>
      </c>
      <c r="AD157">
        <v>2818.5410000000002</v>
      </c>
      <c r="AE157">
        <v>3332.4380000000001</v>
      </c>
      <c r="AF157">
        <v>3082.828</v>
      </c>
      <c r="AG157">
        <v>2683.56</v>
      </c>
      <c r="AH157">
        <v>473.50599999999997</v>
      </c>
      <c r="AI157">
        <v>197.708</v>
      </c>
      <c r="AJ157">
        <v>192.94800000000001</v>
      </c>
      <c r="AK157">
        <v>206.22399999999999</v>
      </c>
      <c r="AL157">
        <v>184.32500000000002</v>
      </c>
      <c r="AM157">
        <v>137.47200000000001</v>
      </c>
      <c r="AN157">
        <v>120.26599999999999</v>
      </c>
      <c r="AO157">
        <v>110.64000000000001</v>
      </c>
      <c r="AP157">
        <v>98.550999999999988</v>
      </c>
      <c r="AQ157">
        <v>96.465999999999994</v>
      </c>
      <c r="AR157">
        <v>93.448999999999998</v>
      </c>
      <c r="AS157">
        <v>86.457000000000008</v>
      </c>
      <c r="AT157">
        <v>86.369</v>
      </c>
      <c r="AU157">
        <v>2.4430000000000001</v>
      </c>
      <c r="AV157">
        <v>1.8080000000000001</v>
      </c>
      <c r="AW157">
        <v>2.024</v>
      </c>
      <c r="AX157">
        <v>9.9000000000000005E-2</v>
      </c>
      <c r="AY157">
        <v>0.311</v>
      </c>
      <c r="AZ157">
        <v>0.30599999999999999</v>
      </c>
      <c r="BA157">
        <v>0.33700000000000002</v>
      </c>
      <c r="BB157">
        <v>0.33800000000000002</v>
      </c>
      <c r="BC157">
        <v>0.34100000000000003</v>
      </c>
      <c r="BD157">
        <v>0.34499999999999997</v>
      </c>
      <c r="BE157">
        <v>0.32100000000000001</v>
      </c>
      <c r="BF157">
        <v>0</v>
      </c>
      <c r="BG157">
        <v>0</v>
      </c>
      <c r="BH157">
        <v>0</v>
      </c>
    </row>
    <row r="158" spans="1:60">
      <c r="A158" t="s">
        <v>51</v>
      </c>
      <c r="B158" t="s">
        <v>192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Y158" t="s">
        <v>16</v>
      </c>
      <c r="Z158">
        <v>104</v>
      </c>
      <c r="AB158">
        <v>93</v>
      </c>
      <c r="AF158">
        <v>182</v>
      </c>
      <c r="AH158">
        <v>97</v>
      </c>
      <c r="AI158" t="s">
        <v>16</v>
      </c>
      <c r="AJ158">
        <v>57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</row>
    <row r="159" spans="1:60">
      <c r="A159" t="s">
        <v>51</v>
      </c>
      <c r="B159" t="s">
        <v>193</v>
      </c>
      <c r="C159">
        <v>0</v>
      </c>
      <c r="D159">
        <v>0</v>
      </c>
      <c r="E159">
        <v>3</v>
      </c>
      <c r="F159">
        <v>0</v>
      </c>
      <c r="G159">
        <v>0</v>
      </c>
      <c r="H159">
        <v>3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6.0000000000000001E-3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0.61499999999999999</v>
      </c>
      <c r="U159">
        <v>0.90300000000000002</v>
      </c>
      <c r="V159">
        <v>1.0999999999999999E-2</v>
      </c>
      <c r="W159">
        <v>0.75700000000000001</v>
      </c>
      <c r="X159">
        <v>24.886000000000003</v>
      </c>
      <c r="Y159">
        <v>58.161000000000001</v>
      </c>
      <c r="Z159" t="s">
        <v>16</v>
      </c>
      <c r="AA159">
        <v>80.849999999999994</v>
      </c>
      <c r="AB159" t="s">
        <v>16</v>
      </c>
      <c r="AC159">
        <v>33.783999999999999</v>
      </c>
      <c r="AD159">
        <v>178.13800000000001</v>
      </c>
      <c r="AE159">
        <v>227.822</v>
      </c>
      <c r="AF159">
        <v>143</v>
      </c>
      <c r="AG159">
        <v>1150.98</v>
      </c>
      <c r="AH159">
        <v>342</v>
      </c>
      <c r="AI159">
        <v>174.67099999999999</v>
      </c>
      <c r="AJ159">
        <v>124</v>
      </c>
      <c r="AK159">
        <v>199.96899999999999</v>
      </c>
      <c r="AL159">
        <v>178.55700000000002</v>
      </c>
      <c r="AM159">
        <v>132.99299999999999</v>
      </c>
      <c r="AN159">
        <v>116.815</v>
      </c>
      <c r="AO159">
        <v>107.20400000000001</v>
      </c>
      <c r="AP159">
        <v>95.426999999999992</v>
      </c>
      <c r="AQ159">
        <v>93.341999999999999</v>
      </c>
      <c r="AR159">
        <v>90.346999999999994</v>
      </c>
      <c r="AS159">
        <v>86.29</v>
      </c>
      <c r="AT159">
        <v>86.201999999999998</v>
      </c>
      <c r="AU159">
        <v>2.2760000000000002</v>
      </c>
      <c r="AV159">
        <v>1.8080000000000001</v>
      </c>
      <c r="AW159">
        <v>2.024</v>
      </c>
      <c r="AX159">
        <v>9.9000000000000005E-2</v>
      </c>
      <c r="AY159">
        <v>0.311</v>
      </c>
      <c r="AZ159">
        <v>0.30599999999999999</v>
      </c>
      <c r="BA159">
        <v>0.33700000000000002</v>
      </c>
      <c r="BB159">
        <v>0.33800000000000002</v>
      </c>
      <c r="BC159">
        <v>0.34100000000000003</v>
      </c>
      <c r="BD159">
        <v>0.34499999999999997</v>
      </c>
      <c r="BE159">
        <v>0.32100000000000001</v>
      </c>
      <c r="BF159">
        <v>0</v>
      </c>
      <c r="BG159">
        <v>0</v>
      </c>
      <c r="BH159">
        <v>0</v>
      </c>
    </row>
    <row r="160" spans="1:60">
      <c r="A160" t="s">
        <v>51</v>
      </c>
      <c r="B160" t="s">
        <v>194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2E-3</v>
      </c>
      <c r="O160">
        <v>0</v>
      </c>
      <c r="P160">
        <v>0.20900000000000002</v>
      </c>
      <c r="Q160">
        <v>0</v>
      </c>
      <c r="R160">
        <v>0</v>
      </c>
      <c r="S160">
        <v>0</v>
      </c>
      <c r="T160">
        <v>0</v>
      </c>
      <c r="U160">
        <v>6.0000000000000001E-3</v>
      </c>
      <c r="V160">
        <v>6.0000000000000001E-3</v>
      </c>
      <c r="W160">
        <v>1.6589999999999998</v>
      </c>
      <c r="X160">
        <v>404.64400000000001</v>
      </c>
      <c r="Y160">
        <v>633.98500000000001</v>
      </c>
      <c r="Z160">
        <v>38.93</v>
      </c>
      <c r="AA160">
        <v>63.11</v>
      </c>
      <c r="AB160">
        <v>39.075000000000003</v>
      </c>
      <c r="AC160">
        <v>140.22999999999999</v>
      </c>
      <c r="AD160">
        <v>582.40300000000002</v>
      </c>
      <c r="AE160">
        <v>804.61599999999999</v>
      </c>
      <c r="AF160">
        <v>1187.828</v>
      </c>
      <c r="AG160">
        <v>148.57999999999998</v>
      </c>
      <c r="AH160">
        <v>34.506</v>
      </c>
      <c r="AI160">
        <v>23.036999999999999</v>
      </c>
      <c r="AJ160">
        <v>11.948</v>
      </c>
      <c r="AK160">
        <v>6.2549999999999999</v>
      </c>
      <c r="AL160">
        <v>5.7680000000000007</v>
      </c>
      <c r="AM160">
        <v>4.4790000000000001</v>
      </c>
      <c r="AN160">
        <v>3.4510000000000001</v>
      </c>
      <c r="AO160">
        <v>3.4359999999999999</v>
      </c>
      <c r="AP160">
        <v>3.1240000000000001</v>
      </c>
      <c r="AQ160">
        <v>3.1240000000000001</v>
      </c>
      <c r="AR160">
        <v>3.1020000000000003</v>
      </c>
      <c r="AS160">
        <v>0.16700000000000001</v>
      </c>
      <c r="AT160">
        <v>0.16700000000000001</v>
      </c>
      <c r="AU160">
        <v>0.16700000000000001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</row>
    <row r="161" spans="1:60">
      <c r="A161" t="s">
        <v>51</v>
      </c>
      <c r="B161" t="s">
        <v>195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261</v>
      </c>
      <c r="Y161">
        <v>865</v>
      </c>
      <c r="Z161">
        <v>609</v>
      </c>
      <c r="AA161">
        <v>138</v>
      </c>
      <c r="AB161">
        <v>440</v>
      </c>
      <c r="AC161">
        <v>1753</v>
      </c>
      <c r="AD161">
        <v>2058</v>
      </c>
      <c r="AE161">
        <v>2300</v>
      </c>
      <c r="AF161">
        <v>1570</v>
      </c>
      <c r="AG161">
        <v>1384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</row>
    <row r="162" spans="1:60">
      <c r="A162" t="s">
        <v>51</v>
      </c>
      <c r="B162" t="s">
        <v>197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90</v>
      </c>
      <c r="AB162">
        <v>112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</row>
    <row r="163" spans="1:60">
      <c r="A163" t="s">
        <v>52</v>
      </c>
      <c r="B163" t="s">
        <v>198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0.123</v>
      </c>
      <c r="R163">
        <v>0.17799999999999999</v>
      </c>
      <c r="S163">
        <v>0.161</v>
      </c>
      <c r="T163">
        <v>0</v>
      </c>
      <c r="U163">
        <v>3.9E-2</v>
      </c>
      <c r="V163">
        <v>8.6999999999999994E-2</v>
      </c>
      <c r="W163">
        <v>0.51100000000000001</v>
      </c>
      <c r="X163">
        <v>8.177999999999999</v>
      </c>
      <c r="Y163">
        <v>4.1059999999999999</v>
      </c>
      <c r="Z163">
        <v>162.07299999999998</v>
      </c>
      <c r="AA163">
        <v>405.57499999999999</v>
      </c>
      <c r="AB163">
        <v>436</v>
      </c>
      <c r="AC163">
        <v>3933.9838100000006</v>
      </c>
      <c r="AD163">
        <v>4448.6446076871007</v>
      </c>
      <c r="AE163">
        <v>4282.2518889719349</v>
      </c>
      <c r="AF163">
        <v>5511.5950852960368</v>
      </c>
      <c r="AG163">
        <v>5861.4632697561883</v>
      </c>
      <c r="AH163">
        <v>6148.6456320245998</v>
      </c>
      <c r="AI163">
        <v>6212.4506955189481</v>
      </c>
      <c r="AJ163">
        <v>6656.6676467447051</v>
      </c>
      <c r="AK163">
        <v>8497.7530506344356</v>
      </c>
      <c r="AL163">
        <v>7457.5331125055591</v>
      </c>
      <c r="AM163">
        <v>7469.4353698408013</v>
      </c>
      <c r="AN163">
        <v>11991.888215806532</v>
      </c>
      <c r="AO163">
        <v>8602</v>
      </c>
      <c r="AP163">
        <v>140.20400000000001</v>
      </c>
      <c r="AQ163">
        <v>2688.3530000000001</v>
      </c>
      <c r="AR163">
        <v>3348.01</v>
      </c>
      <c r="AS163">
        <v>4604.6530000000002</v>
      </c>
      <c r="AT163">
        <v>3717.8850000000002</v>
      </c>
      <c r="AU163">
        <v>4620.2910000000002</v>
      </c>
      <c r="AV163">
        <v>5330.4870000000001</v>
      </c>
      <c r="AW163">
        <v>6367.3739999999998</v>
      </c>
      <c r="AX163">
        <v>7577.6270000000004</v>
      </c>
      <c r="AY163">
        <v>6983.3639999999996</v>
      </c>
      <c r="AZ163">
        <v>8296.4719999999998</v>
      </c>
      <c r="BA163">
        <v>5972.2729999999992</v>
      </c>
      <c r="BB163">
        <v>4656.8379999999997</v>
      </c>
      <c r="BC163">
        <v>8612.9079999999994</v>
      </c>
      <c r="BD163">
        <v>639.13400000000001</v>
      </c>
      <c r="BE163">
        <v>188.089</v>
      </c>
      <c r="BF163">
        <v>386.34100000000001</v>
      </c>
      <c r="BG163">
        <v>7.1390000000000002</v>
      </c>
      <c r="BH163" t="s">
        <v>16</v>
      </c>
    </row>
    <row r="164" spans="1:60">
      <c r="A164" t="s">
        <v>52</v>
      </c>
      <c r="B164" t="s">
        <v>191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50</v>
      </c>
      <c r="AS164">
        <v>0</v>
      </c>
      <c r="AT164">
        <v>0</v>
      </c>
      <c r="AU164">
        <v>0</v>
      </c>
      <c r="AV164">
        <v>137</v>
      </c>
      <c r="AW164">
        <v>241</v>
      </c>
      <c r="AX164">
        <v>347</v>
      </c>
      <c r="AY164">
        <v>90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</row>
    <row r="165" spans="1:60">
      <c r="A165" t="s">
        <v>52</v>
      </c>
      <c r="B165" t="s">
        <v>192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AA165">
        <v>224</v>
      </c>
      <c r="AB165">
        <v>215</v>
      </c>
      <c r="AC165">
        <v>380</v>
      </c>
      <c r="AD165">
        <v>600</v>
      </c>
      <c r="AF165">
        <v>881</v>
      </c>
      <c r="AH165">
        <v>724</v>
      </c>
      <c r="AK165">
        <v>1849</v>
      </c>
      <c r="AO165">
        <v>1402</v>
      </c>
      <c r="AR165" t="s">
        <v>16</v>
      </c>
      <c r="AS165">
        <v>1822</v>
      </c>
      <c r="AT165" t="s">
        <v>16</v>
      </c>
      <c r="AU165" t="s">
        <v>16</v>
      </c>
      <c r="AV165" t="s">
        <v>16</v>
      </c>
      <c r="AW165" t="s">
        <v>16</v>
      </c>
      <c r="AX165" t="s">
        <v>16</v>
      </c>
      <c r="AY165" t="s">
        <v>16</v>
      </c>
      <c r="AZ165">
        <v>4960</v>
      </c>
      <c r="BA165" t="s">
        <v>16</v>
      </c>
      <c r="BB165">
        <v>2321</v>
      </c>
      <c r="BC165" t="s">
        <v>16</v>
      </c>
      <c r="BD165">
        <v>0</v>
      </c>
      <c r="BE165">
        <v>0</v>
      </c>
      <c r="BF165">
        <v>0</v>
      </c>
      <c r="BG165">
        <v>0</v>
      </c>
      <c r="BH165">
        <v>0</v>
      </c>
    </row>
    <row r="166" spans="1:60">
      <c r="A166" t="s">
        <v>52</v>
      </c>
      <c r="B166" t="s">
        <v>193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0.123</v>
      </c>
      <c r="R166">
        <v>0.17799999999999999</v>
      </c>
      <c r="S166">
        <v>0.161</v>
      </c>
      <c r="T166">
        <v>0</v>
      </c>
      <c r="U166">
        <v>3.9E-2</v>
      </c>
      <c r="V166">
        <v>8.6999999999999994E-2</v>
      </c>
      <c r="W166">
        <v>0.51100000000000001</v>
      </c>
      <c r="X166">
        <v>0.84099999999999997</v>
      </c>
      <c r="Y166">
        <v>1.514</v>
      </c>
      <c r="Z166">
        <v>22.396000000000001</v>
      </c>
      <c r="AA166" t="s">
        <v>16</v>
      </c>
      <c r="AB166" t="s">
        <v>16</v>
      </c>
      <c r="AC166" t="s">
        <v>16</v>
      </c>
      <c r="AD166" t="s">
        <v>16</v>
      </c>
      <c r="AE166">
        <v>83.727000000000004</v>
      </c>
      <c r="AF166" t="s">
        <v>16</v>
      </c>
      <c r="AG166">
        <v>796.00900000000001</v>
      </c>
      <c r="AH166" t="s">
        <v>16</v>
      </c>
      <c r="AI166">
        <v>517.06099999999992</v>
      </c>
      <c r="AJ166">
        <v>705.49800000000005</v>
      </c>
      <c r="AK166">
        <v>347</v>
      </c>
      <c r="AL166">
        <v>702.62099999999998</v>
      </c>
      <c r="AM166">
        <v>269.30700000000002</v>
      </c>
      <c r="AN166">
        <v>4295.5990000000002</v>
      </c>
      <c r="AO166" t="s">
        <v>16</v>
      </c>
      <c r="AP166">
        <v>88.53</v>
      </c>
      <c r="AQ166">
        <v>292.601</v>
      </c>
      <c r="AR166">
        <v>644.27500000000009</v>
      </c>
      <c r="AS166" t="s">
        <v>16</v>
      </c>
      <c r="AT166">
        <v>797.74700000000007</v>
      </c>
      <c r="AU166">
        <v>1638.9850000000001</v>
      </c>
      <c r="AV166">
        <v>2088.9940000000001</v>
      </c>
      <c r="AW166">
        <v>2785.9639999999999</v>
      </c>
      <c r="AX166">
        <v>3658.8670000000002</v>
      </c>
      <c r="AY166">
        <v>3080.402</v>
      </c>
      <c r="AZ166" t="s">
        <v>16</v>
      </c>
      <c r="BA166">
        <v>1047.7939999999999</v>
      </c>
      <c r="BB166" t="s">
        <v>16</v>
      </c>
      <c r="BC166">
        <v>5901.5329999999994</v>
      </c>
      <c r="BD166">
        <v>639.13400000000001</v>
      </c>
      <c r="BE166">
        <v>188.089</v>
      </c>
      <c r="BF166">
        <v>386.34100000000001</v>
      </c>
      <c r="BG166">
        <v>7.1390000000000002</v>
      </c>
      <c r="BH166" t="s">
        <v>16</v>
      </c>
    </row>
    <row r="167" spans="1:60">
      <c r="A167" t="s">
        <v>52</v>
      </c>
      <c r="B167" t="s">
        <v>194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7.3369999999999997</v>
      </c>
      <c r="Y167">
        <v>2.5920000000000001</v>
      </c>
      <c r="Z167">
        <v>139.67699999999999</v>
      </c>
      <c r="AA167">
        <v>181.57499999999999</v>
      </c>
      <c r="AB167" t="s">
        <v>16</v>
      </c>
      <c r="AC167" t="s">
        <v>16</v>
      </c>
      <c r="AD167" t="s">
        <v>16</v>
      </c>
      <c r="AE167" t="s">
        <v>16</v>
      </c>
      <c r="AF167" t="s">
        <v>16</v>
      </c>
      <c r="AG167" t="s">
        <v>16</v>
      </c>
      <c r="AH167" t="s">
        <v>16</v>
      </c>
      <c r="AI167" t="s">
        <v>16</v>
      </c>
      <c r="AJ167" t="s">
        <v>16</v>
      </c>
      <c r="AK167" t="s">
        <v>16</v>
      </c>
      <c r="AL167" t="s">
        <v>16</v>
      </c>
      <c r="AM167" t="s">
        <v>16</v>
      </c>
      <c r="AN167" t="s">
        <v>16</v>
      </c>
      <c r="AO167" t="s">
        <v>16</v>
      </c>
      <c r="AP167">
        <v>51.673999999999999</v>
      </c>
      <c r="AQ167">
        <v>52.751999999999995</v>
      </c>
      <c r="AR167">
        <v>250.73500000000001</v>
      </c>
      <c r="AS167">
        <v>319.65300000000002</v>
      </c>
      <c r="AT167">
        <v>397.13800000000003</v>
      </c>
      <c r="AU167">
        <v>388.30600000000004</v>
      </c>
      <c r="AV167">
        <v>441.49299999999999</v>
      </c>
      <c r="AW167">
        <v>557.41</v>
      </c>
      <c r="AX167">
        <v>668.76</v>
      </c>
      <c r="AY167">
        <v>789.96199999999999</v>
      </c>
      <c r="AZ167">
        <v>293.47199999999998</v>
      </c>
      <c r="BA167">
        <v>1824.4789999999998</v>
      </c>
      <c r="BB167">
        <v>2.8380000000000001</v>
      </c>
      <c r="BC167">
        <v>0.375</v>
      </c>
      <c r="BD167">
        <v>0</v>
      </c>
      <c r="BE167">
        <v>0</v>
      </c>
      <c r="BF167">
        <v>0</v>
      </c>
      <c r="BG167">
        <v>0</v>
      </c>
      <c r="BH167">
        <v>0</v>
      </c>
    </row>
    <row r="168" spans="1:60">
      <c r="A168" t="s">
        <v>52</v>
      </c>
      <c r="B168" t="s">
        <v>195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221</v>
      </c>
      <c r="AC168">
        <v>3553.9838100000006</v>
      </c>
      <c r="AD168">
        <v>3848.6446076871007</v>
      </c>
      <c r="AE168">
        <v>4198.5248889719351</v>
      </c>
      <c r="AF168">
        <v>4630.5950852960368</v>
      </c>
      <c r="AG168">
        <v>5065.4542697561883</v>
      </c>
      <c r="AH168">
        <v>5424.6456320245998</v>
      </c>
      <c r="AI168">
        <v>5695.3896955189484</v>
      </c>
      <c r="AJ168">
        <v>5951.1696467447046</v>
      </c>
      <c r="AK168">
        <v>6301.7530506344356</v>
      </c>
      <c r="AL168">
        <v>6754.912112505559</v>
      </c>
      <c r="AM168">
        <v>7200.1283698408015</v>
      </c>
      <c r="AN168">
        <v>7696.2892158065315</v>
      </c>
      <c r="AO168">
        <v>7200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</row>
    <row r="169" spans="1:60">
      <c r="A169" t="s">
        <v>52</v>
      </c>
      <c r="B169" t="s">
        <v>197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2343</v>
      </c>
      <c r="AR169">
        <v>2403</v>
      </c>
      <c r="AS169">
        <v>2463</v>
      </c>
      <c r="AT169">
        <v>2523</v>
      </c>
      <c r="AU169">
        <v>2593</v>
      </c>
      <c r="AV169">
        <v>2663</v>
      </c>
      <c r="AW169">
        <v>2783</v>
      </c>
      <c r="AX169">
        <v>2903</v>
      </c>
      <c r="AY169">
        <v>3023</v>
      </c>
      <c r="AZ169">
        <v>3043</v>
      </c>
      <c r="BA169">
        <v>3100</v>
      </c>
      <c r="BB169">
        <v>2333</v>
      </c>
      <c r="BC169">
        <v>2711</v>
      </c>
      <c r="BD169">
        <v>0</v>
      </c>
      <c r="BE169">
        <v>0</v>
      </c>
      <c r="BF169">
        <v>0</v>
      </c>
      <c r="BG169">
        <v>0</v>
      </c>
      <c r="BH169">
        <v>0</v>
      </c>
    </row>
    <row r="170" spans="1:60">
      <c r="A170" t="s">
        <v>53</v>
      </c>
      <c r="B170" t="s">
        <v>198</v>
      </c>
      <c r="AI170">
        <v>1098</v>
      </c>
      <c r="AJ170">
        <v>1268</v>
      </c>
      <c r="AK170">
        <v>1453</v>
      </c>
      <c r="AL170">
        <v>2620</v>
      </c>
      <c r="AM170">
        <v>2110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</row>
    <row r="171" spans="1:60">
      <c r="A171" t="s">
        <v>53</v>
      </c>
      <c r="B171" t="s">
        <v>192</v>
      </c>
      <c r="AI171">
        <v>0</v>
      </c>
      <c r="AJ171">
        <v>0</v>
      </c>
      <c r="AK171">
        <v>0</v>
      </c>
      <c r="AL171">
        <v>861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</row>
    <row r="172" spans="1:60">
      <c r="A172" t="s">
        <v>53</v>
      </c>
      <c r="B172" t="s">
        <v>195</v>
      </c>
      <c r="AI172">
        <v>1098</v>
      </c>
      <c r="AJ172">
        <v>1268</v>
      </c>
      <c r="AK172">
        <v>1453</v>
      </c>
      <c r="AL172">
        <v>1759</v>
      </c>
      <c r="AM172">
        <v>2110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</row>
    <row r="173" spans="1:60">
      <c r="A173" t="s">
        <v>54</v>
      </c>
      <c r="B173" t="s">
        <v>198</v>
      </c>
      <c r="C173">
        <v>69</v>
      </c>
      <c r="D173">
        <v>288</v>
      </c>
      <c r="E173">
        <v>25</v>
      </c>
      <c r="F173">
        <v>25</v>
      </c>
      <c r="G173">
        <v>25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800</v>
      </c>
      <c r="Z173">
        <v>917.27034920000006</v>
      </c>
      <c r="AA173">
        <v>1104.8092648000002</v>
      </c>
      <c r="AB173">
        <v>1437.5944740266909</v>
      </c>
      <c r="AC173">
        <v>9420.3714654417145</v>
      </c>
      <c r="AD173">
        <v>9774.7195294062913</v>
      </c>
      <c r="AE173">
        <v>9895.5452199011961</v>
      </c>
      <c r="AF173">
        <v>10915.230442398122</v>
      </c>
      <c r="AG173">
        <v>10365.86696352459</v>
      </c>
      <c r="AH173">
        <v>10543.566970811436</v>
      </c>
      <c r="AI173">
        <v>10783.470147963872</v>
      </c>
      <c r="AJ173">
        <v>11063.370698670109</v>
      </c>
      <c r="AK173">
        <v>11531.279380310309</v>
      </c>
      <c r="AL173">
        <v>13225.630733395037</v>
      </c>
      <c r="AM173">
        <v>11840.512512341022</v>
      </c>
      <c r="AN173">
        <v>11748.240599807119</v>
      </c>
      <c r="AO173">
        <v>11859.067022544757</v>
      </c>
      <c r="AP173">
        <v>12134.343622880891</v>
      </c>
      <c r="AQ173">
        <v>12293.379847916922</v>
      </c>
      <c r="AR173">
        <v>12182.651746663045</v>
      </c>
      <c r="AS173">
        <v>12599.467324686293</v>
      </c>
      <c r="AT173">
        <v>14220.445305493262</v>
      </c>
      <c r="AU173">
        <v>16673.494594672906</v>
      </c>
      <c r="AV173">
        <v>14550.75788731554</v>
      </c>
      <c r="AW173">
        <v>14822.368396750555</v>
      </c>
      <c r="AX173">
        <v>15233.989194276583</v>
      </c>
      <c r="AY173">
        <v>15760.888216130988</v>
      </c>
      <c r="AZ173">
        <v>16370.869491755664</v>
      </c>
      <c r="BA173">
        <v>20827.446494433152</v>
      </c>
      <c r="BB173">
        <v>23174.536691717822</v>
      </c>
      <c r="BC173">
        <v>19177.785711160548</v>
      </c>
      <c r="BD173">
        <v>14788.593453119334</v>
      </c>
      <c r="BE173">
        <v>49247.208585987108</v>
      </c>
      <c r="BF173">
        <v>14003.656502379508</v>
      </c>
      <c r="BG173">
        <v>13551.087923979114</v>
      </c>
      <c r="BH173" t="s">
        <v>16</v>
      </c>
    </row>
    <row r="174" spans="1:60">
      <c r="A174" t="s">
        <v>54</v>
      </c>
      <c r="B174" t="s">
        <v>190</v>
      </c>
      <c r="C174">
        <v>25</v>
      </c>
      <c r="D174">
        <v>25</v>
      </c>
      <c r="E174">
        <v>25</v>
      </c>
      <c r="F174">
        <v>25</v>
      </c>
      <c r="G174">
        <v>25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</row>
    <row r="175" spans="1:60">
      <c r="A175" t="s">
        <v>54</v>
      </c>
      <c r="B175" t="s">
        <v>192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426</v>
      </c>
      <c r="AA175">
        <v>630</v>
      </c>
      <c r="AB175">
        <v>786</v>
      </c>
      <c r="AC175">
        <v>8490</v>
      </c>
      <c r="AD175">
        <v>8580</v>
      </c>
      <c r="AE175">
        <v>8670</v>
      </c>
      <c r="AF175">
        <v>8760</v>
      </c>
      <c r="AG175">
        <v>8850</v>
      </c>
      <c r="AH175">
        <v>8940</v>
      </c>
      <c r="AI175">
        <v>9030</v>
      </c>
      <c r="AJ175">
        <v>9120</v>
      </c>
      <c r="AK175">
        <v>9210</v>
      </c>
      <c r="AL175">
        <v>9300</v>
      </c>
      <c r="AM175">
        <v>9390</v>
      </c>
      <c r="AN175">
        <v>9480</v>
      </c>
      <c r="AO175">
        <v>9570</v>
      </c>
      <c r="AP175">
        <v>9660</v>
      </c>
      <c r="AQ175">
        <v>9750</v>
      </c>
      <c r="AR175">
        <v>9840</v>
      </c>
      <c r="AS175">
        <v>9930</v>
      </c>
      <c r="AT175">
        <v>10020</v>
      </c>
      <c r="AU175">
        <v>10110</v>
      </c>
      <c r="AV175">
        <v>10200</v>
      </c>
      <c r="AW175">
        <v>10290</v>
      </c>
      <c r="AX175">
        <v>10380</v>
      </c>
      <c r="AY175">
        <v>10470</v>
      </c>
      <c r="AZ175">
        <v>10560</v>
      </c>
      <c r="BA175">
        <v>10650</v>
      </c>
      <c r="BB175">
        <v>10740</v>
      </c>
      <c r="BC175">
        <v>10830</v>
      </c>
      <c r="BD175">
        <v>10920</v>
      </c>
      <c r="BE175">
        <v>11010</v>
      </c>
      <c r="BF175">
        <v>11100</v>
      </c>
      <c r="BG175">
        <v>10660</v>
      </c>
      <c r="BH175">
        <v>750</v>
      </c>
    </row>
    <row r="176" spans="1:60">
      <c r="A176" t="s">
        <v>54</v>
      </c>
      <c r="B176" t="s">
        <v>193</v>
      </c>
      <c r="AF176">
        <v>900</v>
      </c>
      <c r="AG176">
        <v>38</v>
      </c>
      <c r="AK176">
        <v>40</v>
      </c>
      <c r="AL176">
        <v>1280</v>
      </c>
      <c r="AP176">
        <v>109</v>
      </c>
      <c r="AQ176">
        <v>115</v>
      </c>
      <c r="AR176" t="s">
        <v>16</v>
      </c>
      <c r="AS176" t="s">
        <v>16</v>
      </c>
      <c r="AT176" t="s">
        <v>16</v>
      </c>
      <c r="AU176">
        <v>1967</v>
      </c>
      <c r="AV176" t="s">
        <v>16</v>
      </c>
      <c r="AW176" t="s">
        <v>16</v>
      </c>
      <c r="AX176" t="s">
        <v>16</v>
      </c>
      <c r="AY176" t="s">
        <v>16</v>
      </c>
      <c r="AZ176" t="s">
        <v>16</v>
      </c>
      <c r="BA176">
        <v>4106</v>
      </c>
      <c r="BB176">
        <v>6000</v>
      </c>
      <c r="BC176">
        <v>1750</v>
      </c>
      <c r="BD176">
        <v>487</v>
      </c>
      <c r="BE176">
        <v>35200</v>
      </c>
      <c r="BF176">
        <v>35</v>
      </c>
      <c r="BG176">
        <v>53</v>
      </c>
      <c r="BH176" t="s">
        <v>16</v>
      </c>
    </row>
    <row r="177" spans="1:60">
      <c r="A177" t="s">
        <v>54</v>
      </c>
      <c r="B177" t="s">
        <v>195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800</v>
      </c>
      <c r="Z177">
        <v>491.27034920000006</v>
      </c>
      <c r="AA177">
        <v>474.80926480000005</v>
      </c>
      <c r="AB177">
        <v>651.59447402669105</v>
      </c>
      <c r="AC177">
        <v>930.37146544171492</v>
      </c>
      <c r="AD177">
        <v>1194.7195294062919</v>
      </c>
      <c r="AE177">
        <v>1225.5452199011959</v>
      </c>
      <c r="AF177">
        <v>1255.2304423981222</v>
      </c>
      <c r="AG177">
        <v>1477.866963524589</v>
      </c>
      <c r="AH177">
        <v>1603.566970811436</v>
      </c>
      <c r="AI177">
        <v>1753.4701479638718</v>
      </c>
      <c r="AJ177">
        <v>1943.370698670109</v>
      </c>
      <c r="AK177">
        <v>2281.2793803103091</v>
      </c>
      <c r="AL177">
        <v>2645.6307333950376</v>
      </c>
      <c r="AM177">
        <v>2450.5125123410216</v>
      </c>
      <c r="AN177">
        <v>2268.2405998071199</v>
      </c>
      <c r="AO177">
        <v>2289.0670225447566</v>
      </c>
      <c r="AP177">
        <v>2365.3436228808914</v>
      </c>
      <c r="AQ177">
        <v>2428.3798479169218</v>
      </c>
      <c r="AR177">
        <v>2342.6517466630448</v>
      </c>
      <c r="AS177">
        <v>2669.4673246862935</v>
      </c>
      <c r="AT177">
        <v>4200.4453054932619</v>
      </c>
      <c r="AU177">
        <v>4596.4945946729058</v>
      </c>
      <c r="AV177">
        <v>4350.7578873155389</v>
      </c>
      <c r="AW177">
        <v>4532.3683967505549</v>
      </c>
      <c r="AX177">
        <v>4853.9891942765826</v>
      </c>
      <c r="AY177">
        <v>5290.8882161309884</v>
      </c>
      <c r="AZ177">
        <v>5810.8694917556641</v>
      </c>
      <c r="BA177">
        <v>6071.4464944331521</v>
      </c>
      <c r="BB177">
        <v>6434.5366917178226</v>
      </c>
      <c r="BC177">
        <v>6597.7857111605481</v>
      </c>
      <c r="BD177">
        <v>3381.5934531193343</v>
      </c>
      <c r="BE177">
        <v>3037.2085859871045</v>
      </c>
      <c r="BF177">
        <v>2868.6565023795088</v>
      </c>
      <c r="BG177">
        <v>2838.0879239791129</v>
      </c>
      <c r="BH177">
        <v>3067.990716872443</v>
      </c>
    </row>
    <row r="178" spans="1:60">
      <c r="A178" t="s">
        <v>54</v>
      </c>
      <c r="B178" t="s">
        <v>197</v>
      </c>
      <c r="C178">
        <v>44</v>
      </c>
      <c r="D178">
        <v>54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</row>
    <row r="179" spans="1:60">
      <c r="A179" t="s">
        <v>54</v>
      </c>
      <c r="B179" t="s">
        <v>196</v>
      </c>
      <c r="C179">
        <v>0</v>
      </c>
      <c r="D179">
        <v>209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</row>
    <row r="180" spans="1:60">
      <c r="A180" t="s">
        <v>55</v>
      </c>
      <c r="B180" t="s">
        <v>198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1698.2364467668192</v>
      </c>
      <c r="BE180">
        <v>0</v>
      </c>
      <c r="BF180">
        <v>0</v>
      </c>
      <c r="BG180">
        <v>0</v>
      </c>
      <c r="BH180">
        <v>0</v>
      </c>
    </row>
    <row r="181" spans="1:60">
      <c r="A181" t="s">
        <v>55</v>
      </c>
      <c r="B181" t="s">
        <v>197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1698.2364467668192</v>
      </c>
      <c r="BE181">
        <v>0</v>
      </c>
      <c r="BF181">
        <v>0</v>
      </c>
      <c r="BG181">
        <v>0</v>
      </c>
      <c r="BH181">
        <v>0</v>
      </c>
    </row>
    <row r="182" spans="1:60">
      <c r="A182" t="s">
        <v>56</v>
      </c>
      <c r="B182" t="s">
        <v>198</v>
      </c>
      <c r="C182">
        <v>3.7505000000000002</v>
      </c>
      <c r="D182">
        <v>3.9210000000000003</v>
      </c>
      <c r="E182">
        <v>4.0914999999999999</v>
      </c>
      <c r="F182">
        <v>4.2619999999999996</v>
      </c>
      <c r="G182">
        <v>4.4324999999999992</v>
      </c>
      <c r="H182">
        <v>4.6029999999999989</v>
      </c>
      <c r="I182">
        <v>4.7734999999999985</v>
      </c>
      <c r="J182">
        <v>4.9439999999999982</v>
      </c>
      <c r="K182">
        <v>5.1144999999999978</v>
      </c>
      <c r="L182">
        <v>5.2849999999999975</v>
      </c>
      <c r="M182">
        <v>5.4554999999999971</v>
      </c>
      <c r="N182">
        <v>5.6259999999999968</v>
      </c>
      <c r="O182">
        <v>5.7964999999999964</v>
      </c>
      <c r="P182">
        <v>5.9669999999999961</v>
      </c>
      <c r="Q182">
        <v>6.1374999999999957</v>
      </c>
      <c r="R182">
        <v>6.3079999999999954</v>
      </c>
      <c r="S182">
        <v>6.478499999999995</v>
      </c>
      <c r="T182">
        <v>6.6489999999999947</v>
      </c>
      <c r="U182">
        <v>6.8194999999999943</v>
      </c>
      <c r="V182">
        <v>6.989999999999994</v>
      </c>
      <c r="W182">
        <v>7.1604999999999936</v>
      </c>
      <c r="X182">
        <v>7.3309999999999933</v>
      </c>
      <c r="Y182">
        <v>7.501499999999993</v>
      </c>
      <c r="Z182">
        <v>7.6719999999999926</v>
      </c>
      <c r="AA182">
        <v>7.8424999999999923</v>
      </c>
      <c r="AB182">
        <v>8.0129999999999928</v>
      </c>
      <c r="AC182">
        <v>8.1834999999999933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60">
      <c r="A183" t="s">
        <v>56</v>
      </c>
      <c r="B183" t="s">
        <v>197</v>
      </c>
      <c r="C183">
        <v>3.7505000000000002</v>
      </c>
      <c r="D183">
        <v>3.9210000000000003</v>
      </c>
      <c r="E183">
        <v>4.0914999999999999</v>
      </c>
      <c r="F183">
        <v>4.2619999999999996</v>
      </c>
      <c r="G183">
        <v>4.4324999999999992</v>
      </c>
      <c r="H183">
        <v>4.6029999999999989</v>
      </c>
      <c r="I183">
        <v>4.7734999999999985</v>
      </c>
      <c r="J183">
        <v>4.9439999999999982</v>
      </c>
      <c r="K183">
        <v>5.1144999999999978</v>
      </c>
      <c r="L183">
        <v>5.2849999999999975</v>
      </c>
      <c r="M183">
        <v>5.4554999999999971</v>
      </c>
      <c r="N183">
        <v>5.6259999999999968</v>
      </c>
      <c r="O183">
        <v>5.7964999999999964</v>
      </c>
      <c r="P183">
        <v>5.9669999999999961</v>
      </c>
      <c r="Q183">
        <v>6.1374999999999957</v>
      </c>
      <c r="R183">
        <v>6.3079999999999954</v>
      </c>
      <c r="S183">
        <v>6.478499999999995</v>
      </c>
      <c r="T183">
        <v>6.6489999999999947</v>
      </c>
      <c r="U183">
        <v>6.8194999999999943</v>
      </c>
      <c r="V183">
        <v>6.989999999999994</v>
      </c>
      <c r="W183">
        <v>7.1604999999999936</v>
      </c>
      <c r="X183">
        <v>7.3309999999999933</v>
      </c>
      <c r="Y183">
        <v>7.501499999999993</v>
      </c>
      <c r="Z183">
        <v>7.6719999999999926</v>
      </c>
      <c r="AA183">
        <v>7.8424999999999923</v>
      </c>
      <c r="AB183">
        <v>8.0129999999999928</v>
      </c>
      <c r="AC183">
        <v>8.1834999999999933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60">
      <c r="A184" t="s">
        <v>57</v>
      </c>
      <c r="B184" t="s">
        <v>198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0.75499999999999989</v>
      </c>
      <c r="AB184">
        <v>0</v>
      </c>
      <c r="AC184">
        <v>5.6000000000000001E-2</v>
      </c>
      <c r="AD184">
        <v>0</v>
      </c>
      <c r="AE184">
        <v>4.9000000000000002E-2</v>
      </c>
      <c r="AF184">
        <v>25.846</v>
      </c>
      <c r="AG184">
        <v>1.3090000000000002</v>
      </c>
      <c r="AH184">
        <v>3.452</v>
      </c>
      <c r="AI184">
        <v>6.1050000000000004</v>
      </c>
      <c r="AJ184">
        <v>10.814</v>
      </c>
      <c r="AK184">
        <v>13.42</v>
      </c>
      <c r="AL184">
        <v>16.608999999999998</v>
      </c>
      <c r="AM184">
        <v>18.872999999999998</v>
      </c>
      <c r="AN184">
        <v>32.936</v>
      </c>
      <c r="AO184">
        <v>26.791</v>
      </c>
      <c r="AP184">
        <v>30.072000000000003</v>
      </c>
      <c r="AQ184">
        <v>31</v>
      </c>
      <c r="AR184">
        <v>32.316000000000003</v>
      </c>
      <c r="AS184">
        <v>14.899000000000001</v>
      </c>
      <c r="AT184">
        <v>25.027999999999999</v>
      </c>
      <c r="AU184">
        <v>29.448</v>
      </c>
      <c r="AV184">
        <v>32.018999999999998</v>
      </c>
      <c r="AW184">
        <v>39.021000000000001</v>
      </c>
      <c r="AX184">
        <v>46.296999999999997</v>
      </c>
      <c r="AY184">
        <v>86.778000000000006</v>
      </c>
      <c r="AZ184">
        <v>13.831999999999999</v>
      </c>
      <c r="BA184">
        <v>19.954999999999998</v>
      </c>
      <c r="BB184">
        <v>2.4959999999999996</v>
      </c>
      <c r="BC184">
        <v>8.5939999999999994</v>
      </c>
      <c r="BD184">
        <v>14.142999999999999</v>
      </c>
      <c r="BE184">
        <v>21.465</v>
      </c>
      <c r="BF184">
        <v>20.482999999999997</v>
      </c>
      <c r="BG184">
        <v>22.439</v>
      </c>
      <c r="BH184" t="s">
        <v>16</v>
      </c>
    </row>
    <row r="185" spans="1:60">
      <c r="A185" t="s">
        <v>57</v>
      </c>
      <c r="B185" t="s">
        <v>192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Q185">
        <v>16</v>
      </c>
      <c r="AR185" t="s">
        <v>16</v>
      </c>
      <c r="AS185" t="s">
        <v>16</v>
      </c>
      <c r="AT185" t="s">
        <v>16</v>
      </c>
      <c r="AU185" t="s">
        <v>16</v>
      </c>
      <c r="AV185" t="s">
        <v>16</v>
      </c>
      <c r="AW185" t="s">
        <v>16</v>
      </c>
      <c r="AX185" t="s">
        <v>16</v>
      </c>
      <c r="AY185">
        <v>76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</row>
    <row r="186" spans="1:60">
      <c r="A186" t="s">
        <v>57</v>
      </c>
      <c r="B186" t="s">
        <v>193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8.6999999999999994E-2</v>
      </c>
      <c r="AB186">
        <v>0</v>
      </c>
      <c r="AC186">
        <v>3.0000000000000001E-3</v>
      </c>
      <c r="AD186">
        <v>0</v>
      </c>
      <c r="AE186">
        <v>4.9000000000000002E-2</v>
      </c>
      <c r="AF186">
        <v>25.846</v>
      </c>
      <c r="AG186">
        <v>1.3090000000000002</v>
      </c>
      <c r="AH186">
        <v>3.452</v>
      </c>
      <c r="AI186">
        <v>6.1050000000000004</v>
      </c>
      <c r="AJ186">
        <v>10.814</v>
      </c>
      <c r="AK186">
        <v>13.42</v>
      </c>
      <c r="AL186">
        <v>16.608999999999998</v>
      </c>
      <c r="AM186">
        <v>18.872999999999998</v>
      </c>
      <c r="AN186">
        <v>32.936</v>
      </c>
      <c r="AO186">
        <v>26.791</v>
      </c>
      <c r="AP186">
        <v>30.072000000000003</v>
      </c>
      <c r="AQ186">
        <v>15</v>
      </c>
      <c r="AR186">
        <v>32.316000000000003</v>
      </c>
      <c r="AS186">
        <v>12.352</v>
      </c>
      <c r="AT186">
        <v>21.84</v>
      </c>
      <c r="AU186">
        <v>25.838000000000001</v>
      </c>
      <c r="AV186">
        <v>28.212</v>
      </c>
      <c r="AW186">
        <v>35.189</v>
      </c>
      <c r="AX186">
        <v>35.576999999999998</v>
      </c>
      <c r="AY186" t="s">
        <v>16</v>
      </c>
      <c r="AZ186">
        <v>9.8159999999999989</v>
      </c>
      <c r="BA186">
        <v>18.012999999999998</v>
      </c>
      <c r="BB186">
        <v>2.2239999999999998</v>
      </c>
      <c r="BC186">
        <v>8.3759999999999994</v>
      </c>
      <c r="BD186">
        <v>13.780999999999999</v>
      </c>
      <c r="BE186">
        <v>20.96</v>
      </c>
      <c r="BF186">
        <v>19.835999999999999</v>
      </c>
      <c r="BG186">
        <v>21.652000000000001</v>
      </c>
      <c r="BH186" t="s">
        <v>16</v>
      </c>
    </row>
    <row r="187" spans="1:60">
      <c r="A187" t="s">
        <v>57</v>
      </c>
      <c r="B187" t="s">
        <v>194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0.66799999999999993</v>
      </c>
      <c r="AB187">
        <v>0</v>
      </c>
      <c r="AC187">
        <v>5.2999999999999999E-2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2.5469999999999997</v>
      </c>
      <c r="AT187">
        <v>3.1880000000000002</v>
      </c>
      <c r="AU187">
        <v>3.6100000000000003</v>
      </c>
      <c r="AV187">
        <v>3.8069999999999999</v>
      </c>
      <c r="AW187">
        <v>3.8319999999999999</v>
      </c>
      <c r="AX187">
        <v>10.72</v>
      </c>
      <c r="AY187">
        <v>10.778</v>
      </c>
      <c r="AZ187">
        <v>4.016</v>
      </c>
      <c r="BA187">
        <v>1.9420000000000002</v>
      </c>
      <c r="BB187">
        <v>0.27200000000000002</v>
      </c>
      <c r="BC187">
        <v>0.218</v>
      </c>
      <c r="BD187">
        <v>0.36199999999999999</v>
      </c>
      <c r="BE187">
        <v>0.505</v>
      </c>
      <c r="BF187">
        <v>0.64699999999999991</v>
      </c>
      <c r="BG187">
        <v>0.78699999999999992</v>
      </c>
      <c r="BH187" t="s">
        <v>16</v>
      </c>
    </row>
    <row r="188" spans="1:60">
      <c r="A188" t="s">
        <v>58</v>
      </c>
      <c r="B188" t="s">
        <v>198</v>
      </c>
      <c r="U188">
        <v>0</v>
      </c>
      <c r="V188">
        <v>0</v>
      </c>
      <c r="W188">
        <v>0</v>
      </c>
      <c r="X188">
        <v>0.23899999999999999</v>
      </c>
      <c r="Y188">
        <v>0.36799999999999999</v>
      </c>
      <c r="Z188">
        <v>4.0000000000000001E-3</v>
      </c>
      <c r="AA188">
        <v>4.0000000000000001E-3</v>
      </c>
      <c r="AB188">
        <v>0</v>
      </c>
      <c r="AC188">
        <v>0</v>
      </c>
      <c r="AD188">
        <v>6.2E-2</v>
      </c>
      <c r="AE188">
        <v>2.7999999999999997E-2</v>
      </c>
      <c r="AF188">
        <v>1.9E-2</v>
      </c>
      <c r="AG188">
        <v>3.52</v>
      </c>
      <c r="AH188">
        <v>0.156</v>
      </c>
      <c r="AI188">
        <v>0.88500000000000001</v>
      </c>
      <c r="AJ188">
        <v>0.19600000000000001</v>
      </c>
      <c r="AK188">
        <v>0.22</v>
      </c>
      <c r="AL188">
        <v>2.2210000000000001</v>
      </c>
      <c r="AM188">
        <v>3.762</v>
      </c>
      <c r="AN188">
        <v>0.47399999999999998</v>
      </c>
      <c r="AO188">
        <v>0.46599999999999997</v>
      </c>
      <c r="AP188">
        <v>0.40300000000000002</v>
      </c>
      <c r="AQ188">
        <v>0.40500000000000003</v>
      </c>
      <c r="AR188">
        <v>0.315</v>
      </c>
      <c r="AS188">
        <v>96.650999999999996</v>
      </c>
      <c r="AT188">
        <v>150.029</v>
      </c>
      <c r="AU188">
        <v>150.99349999999998</v>
      </c>
      <c r="AV188">
        <v>67.293999999999997</v>
      </c>
      <c r="AW188">
        <v>67.597000000000008</v>
      </c>
      <c r="AX188">
        <v>60.44</v>
      </c>
      <c r="AY188">
        <v>63.018999999999998</v>
      </c>
      <c r="AZ188">
        <v>63.739000000000004</v>
      </c>
      <c r="BA188">
        <v>47.722999999999999</v>
      </c>
      <c r="BB188">
        <v>47.390999999999998</v>
      </c>
      <c r="BC188">
        <v>55.950600000000001</v>
      </c>
      <c r="BD188">
        <v>8.1180000000000003</v>
      </c>
      <c r="BE188">
        <v>8.2119999999999997</v>
      </c>
      <c r="BF188">
        <v>8.093</v>
      </c>
      <c r="BG188">
        <v>7.2749999999999995</v>
      </c>
      <c r="BH188" t="s">
        <v>16</v>
      </c>
    </row>
    <row r="189" spans="1:60">
      <c r="A189" t="s">
        <v>58</v>
      </c>
      <c r="B189" t="s">
        <v>193</v>
      </c>
      <c r="U189">
        <v>0</v>
      </c>
      <c r="V189">
        <v>0</v>
      </c>
      <c r="W189">
        <v>0</v>
      </c>
      <c r="X189">
        <v>0.23899999999999999</v>
      </c>
      <c r="Y189">
        <v>0.36799999999999999</v>
      </c>
      <c r="Z189">
        <v>4.0000000000000001E-3</v>
      </c>
      <c r="AA189">
        <v>4.0000000000000001E-3</v>
      </c>
      <c r="AB189">
        <v>0</v>
      </c>
      <c r="AC189">
        <v>0</v>
      </c>
      <c r="AD189">
        <v>6.2E-2</v>
      </c>
      <c r="AE189">
        <v>2.7999999999999997E-2</v>
      </c>
      <c r="AF189">
        <v>1.9E-2</v>
      </c>
      <c r="AG189">
        <v>3.4409999999999998</v>
      </c>
      <c r="AH189">
        <v>0.156</v>
      </c>
      <c r="AI189">
        <v>0.88500000000000001</v>
      </c>
      <c r="AJ189">
        <v>0.19600000000000001</v>
      </c>
      <c r="AK189">
        <v>0.22</v>
      </c>
      <c r="AL189">
        <v>2.2210000000000001</v>
      </c>
      <c r="AM189">
        <v>3.762</v>
      </c>
      <c r="AN189">
        <v>0.47399999999999998</v>
      </c>
      <c r="AO189">
        <v>0.46599999999999997</v>
      </c>
      <c r="AP189">
        <v>0.40300000000000002</v>
      </c>
      <c r="AQ189">
        <v>0.40500000000000003</v>
      </c>
      <c r="AR189">
        <v>0.315</v>
      </c>
      <c r="AS189">
        <v>0.41400000000000003</v>
      </c>
      <c r="AT189">
        <v>1.198</v>
      </c>
      <c r="AU189">
        <v>2.0055000000000001</v>
      </c>
      <c r="AV189">
        <v>4.9889999999999999</v>
      </c>
      <c r="AW189">
        <v>11.657</v>
      </c>
      <c r="AX189">
        <v>1.123</v>
      </c>
      <c r="AY189">
        <v>0.72</v>
      </c>
      <c r="AZ189">
        <v>0.29699999999999999</v>
      </c>
      <c r="BA189">
        <v>0.33200000000000002</v>
      </c>
      <c r="BB189">
        <v>0</v>
      </c>
      <c r="BC189">
        <v>8.5595999999999997</v>
      </c>
      <c r="BD189">
        <v>2.1999999999999999E-2</v>
      </c>
      <c r="BE189">
        <v>0.11599999999999999</v>
      </c>
      <c r="BF189">
        <v>0</v>
      </c>
      <c r="BG189">
        <v>0.41099999999999998</v>
      </c>
      <c r="BH189" t="s">
        <v>16</v>
      </c>
    </row>
    <row r="190" spans="1:60">
      <c r="A190" t="s">
        <v>58</v>
      </c>
      <c r="B190" t="s">
        <v>194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7.9000000000000001E-2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3.2370000000000001</v>
      </c>
      <c r="AT190">
        <v>4.8309999999999995</v>
      </c>
      <c r="AU190">
        <v>4.9880000000000004</v>
      </c>
      <c r="AV190">
        <v>19.305</v>
      </c>
      <c r="AW190">
        <v>12.940000000000001</v>
      </c>
      <c r="AX190">
        <v>16.317</v>
      </c>
      <c r="AY190">
        <v>19.298999999999999</v>
      </c>
      <c r="AZ190">
        <v>20.442</v>
      </c>
      <c r="BA190">
        <v>4.391</v>
      </c>
      <c r="BB190">
        <v>4.391</v>
      </c>
      <c r="BC190">
        <v>4.391</v>
      </c>
      <c r="BD190">
        <v>8.0960000000000001</v>
      </c>
      <c r="BE190">
        <v>8.0960000000000001</v>
      </c>
      <c r="BF190">
        <v>8.093</v>
      </c>
      <c r="BG190">
        <v>6.8639999999999999</v>
      </c>
      <c r="BH190" t="s">
        <v>16</v>
      </c>
    </row>
    <row r="191" spans="1:60">
      <c r="A191" t="s">
        <v>58</v>
      </c>
      <c r="B191" t="s">
        <v>195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93</v>
      </c>
      <c r="AT191">
        <v>97</v>
      </c>
      <c r="AU191">
        <v>97</v>
      </c>
      <c r="AV191">
        <v>43</v>
      </c>
      <c r="AW191">
        <v>43</v>
      </c>
      <c r="AX191">
        <v>43</v>
      </c>
      <c r="AY191">
        <v>43</v>
      </c>
      <c r="AZ191">
        <v>43</v>
      </c>
      <c r="BA191">
        <v>43</v>
      </c>
      <c r="BB191">
        <v>43</v>
      </c>
      <c r="BC191">
        <v>43</v>
      </c>
      <c r="BD191">
        <v>0</v>
      </c>
      <c r="BE191">
        <v>0</v>
      </c>
      <c r="BF191">
        <v>0</v>
      </c>
      <c r="BG191">
        <v>0</v>
      </c>
      <c r="BH191">
        <v>0</v>
      </c>
    </row>
    <row r="192" spans="1:60">
      <c r="A192" t="s">
        <v>58</v>
      </c>
      <c r="B192" t="s">
        <v>197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47</v>
      </c>
      <c r="AU192">
        <v>47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</row>
    <row r="193" spans="1:60">
      <c r="A193" t="s">
        <v>59</v>
      </c>
      <c r="B193" t="s">
        <v>198</v>
      </c>
      <c r="C193">
        <v>1</v>
      </c>
      <c r="D193">
        <v>13.5</v>
      </c>
      <c r="E193">
        <v>15</v>
      </c>
      <c r="F193">
        <v>34</v>
      </c>
      <c r="G193">
        <v>61</v>
      </c>
      <c r="H193">
        <v>4</v>
      </c>
      <c r="I193">
        <v>24</v>
      </c>
      <c r="J193">
        <v>47</v>
      </c>
      <c r="K193">
        <v>39</v>
      </c>
      <c r="L193">
        <v>19</v>
      </c>
      <c r="M193">
        <v>0.72899999999999998</v>
      </c>
      <c r="N193">
        <v>3.0209999999999999</v>
      </c>
      <c r="O193">
        <v>4.26</v>
      </c>
      <c r="P193">
        <v>1.734</v>
      </c>
      <c r="Q193">
        <v>2.2670000000000003</v>
      </c>
      <c r="R193">
        <v>4.1560000000000006</v>
      </c>
      <c r="S193">
        <v>9.2080000000000002</v>
      </c>
      <c r="T193">
        <v>17.372</v>
      </c>
      <c r="U193">
        <v>19.346</v>
      </c>
      <c r="V193">
        <v>11.42</v>
      </c>
      <c r="W193">
        <v>26.071999999999999</v>
      </c>
      <c r="X193">
        <v>34.036999999999999</v>
      </c>
      <c r="Y193">
        <v>564.34</v>
      </c>
      <c r="Z193">
        <v>572.86800000000005</v>
      </c>
      <c r="AA193">
        <v>235.31200000000001</v>
      </c>
      <c r="AB193">
        <v>1113.7180000000001</v>
      </c>
      <c r="AC193">
        <v>990.50650000000007</v>
      </c>
      <c r="AD193">
        <v>1207.4372655</v>
      </c>
      <c r="AE193">
        <v>1389.5081784745</v>
      </c>
      <c r="AF193">
        <v>1550.5428687156793</v>
      </c>
      <c r="AG193">
        <v>1958.464155950365</v>
      </c>
      <c r="AH193">
        <v>2917.8219811514364</v>
      </c>
      <c r="AI193">
        <v>1634.60277243519</v>
      </c>
      <c r="AJ193">
        <v>1740.9013339255523</v>
      </c>
      <c r="AK193">
        <v>2458.2169999999996</v>
      </c>
      <c r="AL193">
        <v>545.73</v>
      </c>
      <c r="AM193">
        <v>569.93000000000006</v>
      </c>
      <c r="AN193">
        <v>548.649</v>
      </c>
      <c r="AO193">
        <v>476.54899999999998</v>
      </c>
      <c r="AP193">
        <v>489.017</v>
      </c>
      <c r="AQ193">
        <v>98.069000000000003</v>
      </c>
      <c r="AR193">
        <v>85.971000000000004</v>
      </c>
      <c r="AS193">
        <v>113.929</v>
      </c>
      <c r="AT193">
        <v>173.44800000000001</v>
      </c>
      <c r="AU193">
        <v>312.452</v>
      </c>
      <c r="AV193">
        <v>2919.931</v>
      </c>
      <c r="AW193">
        <v>64.206000000000003</v>
      </c>
      <c r="AX193">
        <v>22.056999999999999</v>
      </c>
      <c r="AY193">
        <v>17.536000000000001</v>
      </c>
      <c r="AZ193">
        <v>9.2999999999999985E-2</v>
      </c>
      <c r="BA193">
        <v>0.20100000000000001</v>
      </c>
      <c r="BB193">
        <v>0.45399999999999996</v>
      </c>
      <c r="BC193">
        <v>0.45600000000000002</v>
      </c>
      <c r="BD193">
        <v>0.49399999999999999</v>
      </c>
      <c r="BE193">
        <v>2.58</v>
      </c>
      <c r="BF193">
        <v>2090.1909999999998</v>
      </c>
      <c r="BG193">
        <v>2.613</v>
      </c>
      <c r="BH193">
        <v>0</v>
      </c>
    </row>
    <row r="194" spans="1:60">
      <c r="A194" t="s">
        <v>59</v>
      </c>
      <c r="B194" t="s">
        <v>190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20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</row>
    <row r="195" spans="1:60">
      <c r="A195" t="s">
        <v>59</v>
      </c>
      <c r="B195" t="s">
        <v>192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AA195" t="s">
        <v>16</v>
      </c>
      <c r="AB195">
        <v>287</v>
      </c>
      <c r="AH195">
        <v>845</v>
      </c>
      <c r="AT195" t="s">
        <v>16</v>
      </c>
      <c r="AU195">
        <v>193</v>
      </c>
      <c r="AV195">
        <v>193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</row>
    <row r="196" spans="1:60">
      <c r="A196" t="s">
        <v>59</v>
      </c>
      <c r="B196" t="s">
        <v>193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0.20399999999999999</v>
      </c>
      <c r="N196">
        <v>2.496</v>
      </c>
      <c r="O196">
        <v>3.613</v>
      </c>
      <c r="P196">
        <v>0.89700000000000002</v>
      </c>
      <c r="Q196">
        <v>1.3780000000000001</v>
      </c>
      <c r="R196">
        <v>1.58</v>
      </c>
      <c r="S196">
        <v>1.6419999999999999</v>
      </c>
      <c r="T196">
        <v>1.72</v>
      </c>
      <c r="U196">
        <v>2.0259999999999998</v>
      </c>
      <c r="V196">
        <v>2.262</v>
      </c>
      <c r="W196">
        <v>7.3569999999999993</v>
      </c>
      <c r="X196">
        <v>10.859</v>
      </c>
      <c r="Y196">
        <v>15.798999999999999</v>
      </c>
      <c r="Z196">
        <v>42.649000000000001</v>
      </c>
      <c r="AA196">
        <v>131.31200000000001</v>
      </c>
      <c r="AB196">
        <v>31.718</v>
      </c>
      <c r="AC196">
        <v>121.876</v>
      </c>
      <c r="AD196">
        <v>272.48899999999998</v>
      </c>
      <c r="AE196">
        <v>378.09399999999999</v>
      </c>
      <c r="AF196">
        <v>441.45399999999995</v>
      </c>
      <c r="AG196">
        <v>757.83999999999992</v>
      </c>
      <c r="AH196">
        <v>798.53800000000001</v>
      </c>
      <c r="AI196">
        <v>309.01</v>
      </c>
      <c r="AJ196">
        <v>366.66300000000001</v>
      </c>
      <c r="AK196">
        <v>1350.2169999999999</v>
      </c>
      <c r="AL196">
        <v>418.52499999999998</v>
      </c>
      <c r="AM196">
        <v>444.62200000000001</v>
      </c>
      <c r="AN196">
        <v>434.036</v>
      </c>
      <c r="AO196">
        <v>344.63400000000001</v>
      </c>
      <c r="AP196">
        <v>344.79300000000001</v>
      </c>
      <c r="AQ196">
        <v>75.195999999999998</v>
      </c>
      <c r="AR196">
        <v>61.994999999999997</v>
      </c>
      <c r="AS196">
        <v>98.375</v>
      </c>
      <c r="AT196">
        <v>136.364</v>
      </c>
      <c r="AU196">
        <v>83</v>
      </c>
      <c r="AV196">
        <v>1383</v>
      </c>
      <c r="AW196">
        <v>35.629000000000005</v>
      </c>
      <c r="AX196">
        <v>9.11</v>
      </c>
      <c r="AY196">
        <v>17.469000000000001</v>
      </c>
      <c r="AZ196">
        <v>8.0999999999999989E-2</v>
      </c>
      <c r="BA196">
        <v>0.20100000000000001</v>
      </c>
      <c r="BB196">
        <v>0.45399999999999996</v>
      </c>
      <c r="BC196">
        <v>0.45600000000000002</v>
      </c>
      <c r="BD196">
        <v>0.49399999999999999</v>
      </c>
      <c r="BE196">
        <v>2.516</v>
      </c>
      <c r="BF196">
        <v>2090.127</v>
      </c>
      <c r="BG196">
        <v>2.5489999999999999</v>
      </c>
      <c r="BH196">
        <v>0</v>
      </c>
    </row>
    <row r="197" spans="1:60">
      <c r="A197" t="s">
        <v>59</v>
      </c>
      <c r="B197" t="s">
        <v>194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0.52500000000000002</v>
      </c>
      <c r="N197">
        <v>0.52500000000000002</v>
      </c>
      <c r="O197">
        <v>0.64700000000000002</v>
      </c>
      <c r="P197">
        <v>0.83699999999999997</v>
      </c>
      <c r="Q197">
        <v>0.88900000000000001</v>
      </c>
      <c r="R197">
        <v>1.5760000000000001</v>
      </c>
      <c r="S197">
        <v>6.5660000000000007</v>
      </c>
      <c r="T197">
        <v>13.652000000000001</v>
      </c>
      <c r="U197">
        <v>14.32</v>
      </c>
      <c r="V197">
        <v>4.1579999999999995</v>
      </c>
      <c r="W197">
        <v>12.715</v>
      </c>
      <c r="X197">
        <v>16.178000000000001</v>
      </c>
      <c r="Y197">
        <v>30.541</v>
      </c>
      <c r="Z197">
        <v>10.218999999999999</v>
      </c>
      <c r="AA197" t="s">
        <v>16</v>
      </c>
      <c r="AB197" t="s">
        <v>16</v>
      </c>
      <c r="AC197" t="s">
        <v>16</v>
      </c>
      <c r="AD197" t="s">
        <v>16</v>
      </c>
      <c r="AE197" t="s">
        <v>16</v>
      </c>
      <c r="AF197" t="s">
        <v>16</v>
      </c>
      <c r="AG197" t="s">
        <v>16</v>
      </c>
      <c r="AH197" t="s">
        <v>16</v>
      </c>
      <c r="AI197" t="s">
        <v>16</v>
      </c>
      <c r="AJ197" t="s">
        <v>16</v>
      </c>
      <c r="AK197" t="s">
        <v>16</v>
      </c>
      <c r="AL197">
        <v>117.20500000000001</v>
      </c>
      <c r="AM197">
        <v>115.30799999999999</v>
      </c>
      <c r="AN197">
        <v>104.613</v>
      </c>
      <c r="AO197">
        <v>121.91499999999999</v>
      </c>
      <c r="AP197">
        <v>134.22399999999999</v>
      </c>
      <c r="AQ197">
        <v>9.8729999999999993</v>
      </c>
      <c r="AR197">
        <v>10.976000000000001</v>
      </c>
      <c r="AS197">
        <v>15.553999999999998</v>
      </c>
      <c r="AT197">
        <v>37.084000000000003</v>
      </c>
      <c r="AU197">
        <v>36.451999999999998</v>
      </c>
      <c r="AV197">
        <v>63.930999999999997</v>
      </c>
      <c r="AW197">
        <v>28.576999999999998</v>
      </c>
      <c r="AX197">
        <v>12.946999999999999</v>
      </c>
      <c r="AY197">
        <v>6.7000000000000004E-2</v>
      </c>
      <c r="AZ197">
        <v>1.2E-2</v>
      </c>
      <c r="BA197">
        <v>0</v>
      </c>
      <c r="BB197">
        <v>0</v>
      </c>
      <c r="BC197">
        <v>0</v>
      </c>
      <c r="BD197">
        <v>0</v>
      </c>
      <c r="BE197">
        <v>6.4000000000000001E-2</v>
      </c>
      <c r="BF197">
        <v>6.4000000000000001E-2</v>
      </c>
      <c r="BG197">
        <v>6.4000000000000001E-2</v>
      </c>
      <c r="BH197">
        <v>0</v>
      </c>
    </row>
    <row r="198" spans="1:60">
      <c r="A198" t="s">
        <v>59</v>
      </c>
      <c r="B198" t="s">
        <v>195</v>
      </c>
      <c r="C198">
        <v>1</v>
      </c>
      <c r="D198">
        <v>13.5</v>
      </c>
      <c r="E198">
        <v>15</v>
      </c>
      <c r="F198">
        <v>34</v>
      </c>
      <c r="G198">
        <v>61</v>
      </c>
      <c r="H198">
        <v>4</v>
      </c>
      <c r="I198">
        <v>24</v>
      </c>
      <c r="J198">
        <v>27</v>
      </c>
      <c r="K198">
        <v>39</v>
      </c>
      <c r="L198">
        <v>19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509</v>
      </c>
      <c r="Z198">
        <v>510</v>
      </c>
      <c r="AA198">
        <v>92</v>
      </c>
      <c r="AB198">
        <v>791</v>
      </c>
      <c r="AC198">
        <v>863.6305000000001</v>
      </c>
      <c r="AD198">
        <v>929.94826550000005</v>
      </c>
      <c r="AE198">
        <v>1007.4141784745</v>
      </c>
      <c r="AF198">
        <v>1104.0888687156794</v>
      </c>
      <c r="AG198">
        <v>1197.6241559503651</v>
      </c>
      <c r="AH198">
        <v>1271.2839811514366</v>
      </c>
      <c r="AI198">
        <v>1322.59277243519</v>
      </c>
      <c r="AJ198">
        <v>1370.2383339255523</v>
      </c>
      <c r="AK198">
        <v>1104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180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</row>
    <row r="199" spans="1:60">
      <c r="A199" t="s">
        <v>59</v>
      </c>
      <c r="B199" t="s">
        <v>197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1100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</row>
    <row r="200" spans="1:60">
      <c r="A200" t="s">
        <v>59</v>
      </c>
      <c r="B200" t="s">
        <v>196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1</v>
      </c>
      <c r="S200">
        <v>1</v>
      </c>
      <c r="T200">
        <v>2</v>
      </c>
      <c r="U200">
        <v>3</v>
      </c>
      <c r="V200">
        <v>5</v>
      </c>
      <c r="W200">
        <v>6</v>
      </c>
      <c r="X200">
        <v>7</v>
      </c>
      <c r="Y200">
        <v>9</v>
      </c>
      <c r="Z200">
        <v>10</v>
      </c>
      <c r="AA200">
        <v>12</v>
      </c>
      <c r="AB200">
        <v>4</v>
      </c>
      <c r="AC200">
        <v>5</v>
      </c>
      <c r="AD200">
        <v>5</v>
      </c>
      <c r="AE200">
        <v>4</v>
      </c>
      <c r="AF200">
        <v>5</v>
      </c>
      <c r="AG200">
        <v>3</v>
      </c>
      <c r="AH200">
        <v>3</v>
      </c>
      <c r="AI200">
        <v>3</v>
      </c>
      <c r="AJ200">
        <v>4</v>
      </c>
      <c r="AK200">
        <v>4</v>
      </c>
      <c r="AL200">
        <v>10</v>
      </c>
      <c r="AM200">
        <v>10</v>
      </c>
      <c r="AN200">
        <v>10</v>
      </c>
      <c r="AO200">
        <v>10</v>
      </c>
      <c r="AP200">
        <v>10</v>
      </c>
      <c r="AQ200">
        <v>13</v>
      </c>
      <c r="AR200">
        <v>13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</row>
    <row r="201" spans="1:60">
      <c r="A201" t="s">
        <v>60</v>
      </c>
      <c r="B201" t="s">
        <v>198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0.47299999999999998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0.52900000000000003</v>
      </c>
      <c r="X201">
        <v>0.56799999999999995</v>
      </c>
      <c r="Y201">
        <v>2456.212</v>
      </c>
      <c r="Z201">
        <v>2942.607</v>
      </c>
      <c r="AA201">
        <v>3197.9620000000004</v>
      </c>
      <c r="AB201">
        <v>4617.6419999999998</v>
      </c>
      <c r="AC201">
        <v>723.36300000000006</v>
      </c>
      <c r="AD201">
        <v>5944.7034999999996</v>
      </c>
      <c r="AE201">
        <v>5955.7065000000002</v>
      </c>
      <c r="AF201">
        <v>6278.4671807499999</v>
      </c>
      <c r="AG201">
        <v>6555.989165234625</v>
      </c>
      <c r="AH201">
        <v>6796.1051093750739</v>
      </c>
      <c r="AI201">
        <v>7186.2838064453917</v>
      </c>
      <c r="AJ201">
        <v>7236.5636386708838</v>
      </c>
      <c r="AK201">
        <v>7023.3249999999998</v>
      </c>
      <c r="AL201">
        <v>11718.919</v>
      </c>
      <c r="AM201">
        <v>281.68899999999996</v>
      </c>
      <c r="AN201">
        <v>596.65099999999995</v>
      </c>
      <c r="AO201">
        <v>364.03999999999996</v>
      </c>
      <c r="AP201">
        <v>8611.7989999999991</v>
      </c>
      <c r="AQ201">
        <v>10592.722</v>
      </c>
      <c r="AR201">
        <v>21.972999999999999</v>
      </c>
      <c r="AS201">
        <v>6.827</v>
      </c>
      <c r="AT201">
        <v>85.819000000000003</v>
      </c>
      <c r="AU201">
        <v>5.8529999999999998</v>
      </c>
      <c r="AV201">
        <v>7.0780000000000003</v>
      </c>
      <c r="AW201">
        <v>1.196</v>
      </c>
      <c r="AX201">
        <v>4.4160000000000004</v>
      </c>
      <c r="AY201">
        <v>3223.8850000000002</v>
      </c>
      <c r="AZ201">
        <v>6280.8340000000007</v>
      </c>
      <c r="BA201">
        <v>43.234999999999999</v>
      </c>
      <c r="BB201">
        <v>61.32</v>
      </c>
      <c r="BC201">
        <v>69.414999999999992</v>
      </c>
      <c r="BD201">
        <v>68.822000000000003</v>
      </c>
      <c r="BE201">
        <v>47.816000000000003</v>
      </c>
      <c r="BF201">
        <v>48.754000000000005</v>
      </c>
      <c r="BG201">
        <v>47.088999999999999</v>
      </c>
      <c r="BH201" t="s">
        <v>16</v>
      </c>
    </row>
    <row r="202" spans="1:60">
      <c r="A202" t="s">
        <v>60</v>
      </c>
      <c r="B202" t="s">
        <v>192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169</v>
      </c>
      <c r="AA202">
        <v>0</v>
      </c>
      <c r="AB202">
        <v>330</v>
      </c>
      <c r="AC202">
        <v>0</v>
      </c>
      <c r="AD202" t="s">
        <v>16</v>
      </c>
      <c r="AE202">
        <v>277</v>
      </c>
      <c r="AF202">
        <v>393</v>
      </c>
      <c r="AG202">
        <v>0</v>
      </c>
      <c r="AH202" t="s">
        <v>16</v>
      </c>
      <c r="AI202">
        <v>339</v>
      </c>
      <c r="AJ202" t="s">
        <v>16</v>
      </c>
      <c r="AK202">
        <v>293</v>
      </c>
      <c r="AL202" t="s">
        <v>16</v>
      </c>
      <c r="AM202" t="s">
        <v>16</v>
      </c>
      <c r="AN202" t="s">
        <v>16</v>
      </c>
      <c r="AO202" t="s">
        <v>16</v>
      </c>
      <c r="AP202" t="s">
        <v>16</v>
      </c>
      <c r="AQ202">
        <v>880</v>
      </c>
      <c r="AR202">
        <v>0</v>
      </c>
      <c r="AS202">
        <v>0</v>
      </c>
      <c r="AT202">
        <v>81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</row>
    <row r="203" spans="1:60">
      <c r="A203" t="s">
        <v>60</v>
      </c>
      <c r="B203" t="s">
        <v>193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1.2849999999999999</v>
      </c>
      <c r="AB203">
        <v>34.671999999999997</v>
      </c>
      <c r="AC203">
        <v>8.8830000000000009</v>
      </c>
      <c r="AD203">
        <v>234.25799999999998</v>
      </c>
      <c r="AE203">
        <v>23.796999999999997</v>
      </c>
      <c r="AF203" t="s">
        <v>16</v>
      </c>
      <c r="AG203">
        <v>248.91800000000001</v>
      </c>
      <c r="AH203">
        <v>224.54299999999998</v>
      </c>
      <c r="AI203">
        <v>18</v>
      </c>
      <c r="AJ203">
        <v>146.40100000000001</v>
      </c>
      <c r="AK203">
        <v>116</v>
      </c>
      <c r="AL203">
        <v>4548.9189999999999</v>
      </c>
      <c r="AM203">
        <v>183.90299999999999</v>
      </c>
      <c r="AN203">
        <v>466.87899999999996</v>
      </c>
      <c r="AO203">
        <v>276.14599999999996</v>
      </c>
      <c r="AP203">
        <v>564.62099999999998</v>
      </c>
      <c r="AQ203">
        <v>2924</v>
      </c>
      <c r="AR203">
        <v>13.250999999999999</v>
      </c>
      <c r="AS203">
        <v>0.56100000000000005</v>
      </c>
      <c r="AT203" t="s">
        <v>16</v>
      </c>
      <c r="AU203">
        <v>1.0680000000000001</v>
      </c>
      <c r="AV203">
        <v>2.2930000000000001</v>
      </c>
      <c r="AW203">
        <v>1.159</v>
      </c>
      <c r="AX203">
        <v>4.4160000000000004</v>
      </c>
      <c r="AY203">
        <v>3.3970000000000002</v>
      </c>
      <c r="AZ203">
        <v>2993.1610000000005</v>
      </c>
      <c r="BA203">
        <v>6.5619999999999994</v>
      </c>
      <c r="BB203">
        <v>24.646999999999998</v>
      </c>
      <c r="BC203">
        <v>32.741999999999997</v>
      </c>
      <c r="BD203">
        <v>32.149000000000001</v>
      </c>
      <c r="BE203">
        <v>11.142999999999999</v>
      </c>
      <c r="BF203">
        <v>12.081000000000001</v>
      </c>
      <c r="BG203">
        <v>10.416</v>
      </c>
      <c r="BH203" t="s">
        <v>16</v>
      </c>
    </row>
    <row r="204" spans="1:60">
      <c r="A204" t="s">
        <v>60</v>
      </c>
      <c r="B204" t="s">
        <v>194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0.47299999999999998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0.52900000000000003</v>
      </c>
      <c r="X204">
        <v>0.56799999999999995</v>
      </c>
      <c r="Y204">
        <v>0.60699999999999998</v>
      </c>
      <c r="Z204">
        <v>3.6070000000000002</v>
      </c>
      <c r="AA204">
        <v>79.042000000000002</v>
      </c>
      <c r="AB204">
        <v>28.97</v>
      </c>
      <c r="AC204">
        <v>14.48</v>
      </c>
      <c r="AD204" t="s">
        <v>16</v>
      </c>
      <c r="AE204" t="s">
        <v>16</v>
      </c>
      <c r="AF204" t="s">
        <v>16</v>
      </c>
      <c r="AG204" t="s">
        <v>16</v>
      </c>
      <c r="AH204" t="s">
        <v>16</v>
      </c>
      <c r="AI204" t="s">
        <v>16</v>
      </c>
      <c r="AJ204" t="s">
        <v>16</v>
      </c>
      <c r="AK204" t="s">
        <v>16</v>
      </c>
      <c r="AL204" t="s">
        <v>16</v>
      </c>
      <c r="AM204">
        <v>97.786000000000001</v>
      </c>
      <c r="AN204">
        <v>129.77199999999999</v>
      </c>
      <c r="AO204">
        <v>87.894000000000005</v>
      </c>
      <c r="AP204">
        <v>87.177999999999997</v>
      </c>
      <c r="AQ204">
        <v>88.721999999999994</v>
      </c>
      <c r="AR204">
        <v>8.7220000000000013</v>
      </c>
      <c r="AS204">
        <v>6.266</v>
      </c>
      <c r="AT204">
        <v>4.819</v>
      </c>
      <c r="AU204">
        <v>4.7850000000000001</v>
      </c>
      <c r="AV204">
        <v>4.7850000000000001</v>
      </c>
      <c r="AW204">
        <v>3.6999999999999998E-2</v>
      </c>
      <c r="AX204">
        <v>0</v>
      </c>
      <c r="AY204">
        <v>30.488</v>
      </c>
      <c r="AZ204">
        <v>36.673000000000002</v>
      </c>
      <c r="BA204">
        <v>36.673000000000002</v>
      </c>
      <c r="BB204">
        <v>36.673000000000002</v>
      </c>
      <c r="BC204">
        <v>36.673000000000002</v>
      </c>
      <c r="BD204">
        <v>36.673000000000002</v>
      </c>
      <c r="BE204">
        <v>36.673000000000002</v>
      </c>
      <c r="BF204">
        <v>36.673000000000002</v>
      </c>
      <c r="BG204">
        <v>36.673000000000002</v>
      </c>
      <c r="BH204" t="s">
        <v>16</v>
      </c>
    </row>
    <row r="205" spans="1:60">
      <c r="A205" t="s">
        <v>60</v>
      </c>
      <c r="B205" t="s">
        <v>195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2455.605</v>
      </c>
      <c r="Z205">
        <v>2770</v>
      </c>
      <c r="AA205">
        <v>3117.6350000000007</v>
      </c>
      <c r="AB205">
        <v>4224</v>
      </c>
      <c r="AC205">
        <v>700</v>
      </c>
      <c r="AD205">
        <v>5710.4454999999998</v>
      </c>
      <c r="AE205">
        <v>5654.9094999999998</v>
      </c>
      <c r="AF205">
        <v>5885.4671807499999</v>
      </c>
      <c r="AG205">
        <v>6307.0711652346254</v>
      </c>
      <c r="AH205">
        <v>6571.5621093750742</v>
      </c>
      <c r="AI205">
        <v>6829.2838064453917</v>
      </c>
      <c r="AJ205">
        <v>7090.162638670884</v>
      </c>
      <c r="AK205">
        <v>6614.3249999999998</v>
      </c>
      <c r="AL205">
        <v>7170</v>
      </c>
      <c r="AM205">
        <v>0</v>
      </c>
      <c r="AN205">
        <v>0</v>
      </c>
      <c r="AO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</row>
    <row r="206" spans="1:60">
      <c r="A206" t="s">
        <v>60</v>
      </c>
      <c r="B206" t="s">
        <v>197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7960</v>
      </c>
      <c r="AQ206">
        <v>6700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3190</v>
      </c>
      <c r="AZ206">
        <v>3251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</row>
    <row r="207" spans="1:60">
      <c r="A207" t="s">
        <v>61</v>
      </c>
      <c r="B207" t="s">
        <v>198</v>
      </c>
      <c r="C207">
        <v>0</v>
      </c>
      <c r="D207">
        <v>0</v>
      </c>
      <c r="E207">
        <v>0</v>
      </c>
      <c r="F207">
        <v>0</v>
      </c>
      <c r="G207">
        <v>277</v>
      </c>
      <c r="H207">
        <v>560</v>
      </c>
      <c r="I207">
        <v>211.5</v>
      </c>
      <c r="J207">
        <v>62.2</v>
      </c>
      <c r="K207">
        <v>152.80000000000001</v>
      </c>
      <c r="L207">
        <v>211</v>
      </c>
      <c r="M207">
        <v>86.320999999999998</v>
      </c>
      <c r="N207">
        <v>70.141000000000005</v>
      </c>
      <c r="O207">
        <v>90.778999999999996</v>
      </c>
      <c r="P207">
        <v>25.604999999999997</v>
      </c>
      <c r="Q207">
        <v>39.661999999999999</v>
      </c>
      <c r="R207">
        <v>22.073</v>
      </c>
      <c r="S207">
        <v>124.98100000000001</v>
      </c>
      <c r="T207">
        <v>7105.5</v>
      </c>
      <c r="U207">
        <v>95.509999999999991</v>
      </c>
      <c r="V207">
        <v>345.53000000000003</v>
      </c>
      <c r="W207">
        <v>484.27000000000004</v>
      </c>
      <c r="X207">
        <v>641.92100000000005</v>
      </c>
      <c r="Y207">
        <v>977.56499999999994</v>
      </c>
      <c r="Z207">
        <v>1484.1279999999999</v>
      </c>
      <c r="AA207">
        <v>2721.9690000000001</v>
      </c>
      <c r="AB207">
        <v>4578.4380000000001</v>
      </c>
      <c r="AC207">
        <v>13706.771000000001</v>
      </c>
      <c r="AD207">
        <v>10882.291999999999</v>
      </c>
      <c r="AE207">
        <v>8345.5560000000005</v>
      </c>
      <c r="AF207">
        <v>11196.253000000001</v>
      </c>
      <c r="AG207">
        <v>18005.132999999998</v>
      </c>
      <c r="AH207">
        <v>23529.016</v>
      </c>
      <c r="AI207">
        <v>877.65100000000007</v>
      </c>
      <c r="AJ207">
        <v>724.42200000000003</v>
      </c>
      <c r="AK207">
        <v>543.1</v>
      </c>
      <c r="AL207">
        <v>516.029</v>
      </c>
      <c r="AM207">
        <v>366.74599999999998</v>
      </c>
      <c r="AN207">
        <v>180.87299999999999</v>
      </c>
      <c r="AO207">
        <v>103.104</v>
      </c>
      <c r="AP207">
        <v>113.559</v>
      </c>
      <c r="AQ207">
        <v>52.629999999999995</v>
      </c>
      <c r="AR207">
        <v>4.2869999999999999</v>
      </c>
      <c r="AS207">
        <v>2.3659999999999997</v>
      </c>
      <c r="AT207">
        <v>3.98</v>
      </c>
      <c r="AU207">
        <v>7.7510000000000003</v>
      </c>
      <c r="AV207">
        <v>10.956</v>
      </c>
      <c r="AW207">
        <v>3.1589999999999998</v>
      </c>
      <c r="AX207">
        <v>2.968</v>
      </c>
      <c r="AY207">
        <v>2.198</v>
      </c>
      <c r="AZ207">
        <v>2.6179999999999999</v>
      </c>
      <c r="BA207">
        <v>3.0000000000000001E-3</v>
      </c>
      <c r="BB207">
        <v>2E-3</v>
      </c>
      <c r="BC207">
        <v>2E-3</v>
      </c>
      <c r="BD207">
        <v>3.0000000000000001E-3</v>
      </c>
      <c r="BE207">
        <v>1E-3</v>
      </c>
      <c r="BF207">
        <v>1E-3</v>
      </c>
      <c r="BG207">
        <v>0</v>
      </c>
      <c r="BH207">
        <v>0</v>
      </c>
    </row>
    <row r="208" spans="1:60">
      <c r="A208" t="s">
        <v>61</v>
      </c>
      <c r="B208" t="s">
        <v>190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40</v>
      </c>
      <c r="J208">
        <v>14.2</v>
      </c>
      <c r="K208">
        <v>14.8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27.6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</row>
    <row r="209" spans="1:60">
      <c r="A209" t="s">
        <v>61</v>
      </c>
      <c r="B209" t="s">
        <v>192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 t="s">
        <v>16</v>
      </c>
      <c r="AB209" t="s">
        <v>16</v>
      </c>
      <c r="AC209" t="s">
        <v>16</v>
      </c>
      <c r="AD209">
        <v>7098</v>
      </c>
      <c r="AE209" t="s">
        <v>16</v>
      </c>
      <c r="AF209" t="s">
        <v>16</v>
      </c>
      <c r="AG209" t="s">
        <v>16</v>
      </c>
      <c r="AH209">
        <v>21164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</row>
    <row r="210" spans="1:60">
      <c r="A210" t="s">
        <v>61</v>
      </c>
      <c r="B210" t="s">
        <v>193</v>
      </c>
      <c r="C210">
        <v>0</v>
      </c>
      <c r="D210">
        <v>0</v>
      </c>
      <c r="E210">
        <v>0</v>
      </c>
      <c r="F210">
        <v>0</v>
      </c>
      <c r="G210">
        <v>277</v>
      </c>
      <c r="H210">
        <v>560</v>
      </c>
      <c r="I210">
        <v>171.5</v>
      </c>
      <c r="J210">
        <v>48</v>
      </c>
      <c r="K210">
        <v>138</v>
      </c>
      <c r="L210">
        <v>211</v>
      </c>
      <c r="M210">
        <v>73.84</v>
      </c>
      <c r="N210">
        <v>48.510000000000005</v>
      </c>
      <c r="O210">
        <v>54.339999999999996</v>
      </c>
      <c r="P210">
        <v>22.009999999999998</v>
      </c>
      <c r="Q210">
        <v>12.56</v>
      </c>
      <c r="R210">
        <v>13.149999999999999</v>
      </c>
      <c r="S210">
        <v>120.62</v>
      </c>
      <c r="T210">
        <v>7105.5</v>
      </c>
      <c r="U210">
        <v>95.509999999999991</v>
      </c>
      <c r="V210">
        <v>345.53000000000003</v>
      </c>
      <c r="W210">
        <v>456.67</v>
      </c>
      <c r="X210">
        <v>640.40000000000009</v>
      </c>
      <c r="Y210">
        <v>971.53</v>
      </c>
      <c r="Z210">
        <v>1473.23</v>
      </c>
      <c r="AA210">
        <v>2702.88</v>
      </c>
      <c r="AB210">
        <v>4531.84</v>
      </c>
      <c r="AC210">
        <v>12817.57</v>
      </c>
      <c r="AD210">
        <v>3000</v>
      </c>
      <c r="AE210">
        <v>7429.77</v>
      </c>
      <c r="AF210">
        <v>9418.61</v>
      </c>
      <c r="AG210">
        <v>15702.23</v>
      </c>
      <c r="AH210" t="s">
        <v>16</v>
      </c>
      <c r="AI210">
        <v>371.34199999999998</v>
      </c>
      <c r="AJ210">
        <v>322.86400000000003</v>
      </c>
      <c r="AK210">
        <v>224.78399999999999</v>
      </c>
      <c r="AL210">
        <v>244.154</v>
      </c>
      <c r="AM210">
        <v>223.10399999999998</v>
      </c>
      <c r="AN210">
        <v>71.670999999999992</v>
      </c>
      <c r="AO210">
        <v>49.420999999999999</v>
      </c>
      <c r="AP210">
        <v>20.686</v>
      </c>
      <c r="AQ210">
        <v>39.558999999999997</v>
      </c>
      <c r="AR210">
        <v>3.1440000000000001</v>
      </c>
      <c r="AS210">
        <v>1.3519999999999999</v>
      </c>
      <c r="AT210">
        <v>2.899</v>
      </c>
      <c r="AU210">
        <v>6.74</v>
      </c>
      <c r="AV210">
        <v>10.012</v>
      </c>
      <c r="AW210">
        <v>8.6000000000000007E-2</v>
      </c>
      <c r="AX210">
        <v>2.8000000000000001E-2</v>
      </c>
      <c r="AY210">
        <v>2.8000000000000001E-2</v>
      </c>
      <c r="AZ210">
        <v>2.8000000000000001E-2</v>
      </c>
      <c r="BA210">
        <v>3.0000000000000001E-3</v>
      </c>
      <c r="BB210">
        <v>2E-3</v>
      </c>
      <c r="BC210">
        <v>2E-3</v>
      </c>
      <c r="BD210">
        <v>3.0000000000000001E-3</v>
      </c>
      <c r="BE210">
        <v>1E-3</v>
      </c>
      <c r="BF210">
        <v>1E-3</v>
      </c>
      <c r="BG210">
        <v>0</v>
      </c>
      <c r="BH210">
        <v>0</v>
      </c>
    </row>
    <row r="211" spans="1:60">
      <c r="A211" t="s">
        <v>61</v>
      </c>
      <c r="B211" t="s">
        <v>194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12.481</v>
      </c>
      <c r="N211">
        <v>21.631</v>
      </c>
      <c r="O211">
        <v>36.439</v>
      </c>
      <c r="P211">
        <v>3.5949999999999998</v>
      </c>
      <c r="Q211">
        <v>27.102</v>
      </c>
      <c r="R211">
        <v>8.923</v>
      </c>
      <c r="S211">
        <v>4.3609999999999998</v>
      </c>
      <c r="T211">
        <v>0</v>
      </c>
      <c r="U211">
        <v>0</v>
      </c>
      <c r="V211">
        <v>0</v>
      </c>
      <c r="W211">
        <v>0</v>
      </c>
      <c r="X211">
        <v>1.5209999999999999</v>
      </c>
      <c r="Y211">
        <v>6.0350000000000001</v>
      </c>
      <c r="Z211">
        <v>10.898</v>
      </c>
      <c r="AA211">
        <v>19.089000000000002</v>
      </c>
      <c r="AB211">
        <v>46.597999999999999</v>
      </c>
      <c r="AC211">
        <v>889.20100000000002</v>
      </c>
      <c r="AD211">
        <v>784.29200000000003</v>
      </c>
      <c r="AE211">
        <v>915.78599999999994</v>
      </c>
      <c r="AF211">
        <v>1777.643</v>
      </c>
      <c r="AG211">
        <v>2302.9029999999998</v>
      </c>
      <c r="AH211">
        <v>2365.0160000000001</v>
      </c>
      <c r="AI211">
        <v>506.30900000000003</v>
      </c>
      <c r="AJ211">
        <v>401.55799999999999</v>
      </c>
      <c r="AK211">
        <v>318.31600000000003</v>
      </c>
      <c r="AL211">
        <v>271.875</v>
      </c>
      <c r="AM211">
        <v>143.642</v>
      </c>
      <c r="AN211">
        <v>109.202</v>
      </c>
      <c r="AO211">
        <v>53.683</v>
      </c>
      <c r="AP211">
        <v>92.873000000000005</v>
      </c>
      <c r="AQ211">
        <v>13.071000000000002</v>
      </c>
      <c r="AR211">
        <v>1.143</v>
      </c>
      <c r="AS211">
        <v>1.014</v>
      </c>
      <c r="AT211">
        <v>1.081</v>
      </c>
      <c r="AU211">
        <v>1.0109999999999999</v>
      </c>
      <c r="AV211">
        <v>0.94399999999999995</v>
      </c>
      <c r="AW211">
        <v>3.073</v>
      </c>
      <c r="AX211">
        <v>2.94</v>
      </c>
      <c r="AY211">
        <v>2.17</v>
      </c>
      <c r="AZ211">
        <v>2.59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</row>
    <row r="212" spans="1:60">
      <c r="A212" t="s">
        <v>62</v>
      </c>
      <c r="B212" t="s">
        <v>198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7.1999999999999995E-2</v>
      </c>
      <c r="W212">
        <v>0</v>
      </c>
      <c r="X212">
        <v>604.4</v>
      </c>
      <c r="Y212">
        <v>568.90899999999999</v>
      </c>
      <c r="Z212">
        <v>533.56700000000001</v>
      </c>
      <c r="AA212">
        <v>542.30799999999999</v>
      </c>
      <c r="AB212">
        <v>464.52199999999999</v>
      </c>
      <c r="AC212">
        <v>221.511</v>
      </c>
      <c r="AD212">
        <v>208.56400000000002</v>
      </c>
      <c r="AE212">
        <v>199.255</v>
      </c>
      <c r="AF212">
        <v>226.38600000000002</v>
      </c>
      <c r="AG212">
        <v>251.25</v>
      </c>
      <c r="AH212">
        <v>146.95732098765433</v>
      </c>
      <c r="AI212">
        <v>105.6953043478261</v>
      </c>
      <c r="AJ212">
        <v>740.01854022988516</v>
      </c>
      <c r="AK212">
        <v>59.585999999999991</v>
      </c>
      <c r="AL212">
        <v>51.431727272727265</v>
      </c>
      <c r="AM212">
        <v>54.149885057471266</v>
      </c>
      <c r="AN212">
        <v>15.243</v>
      </c>
      <c r="AO212">
        <v>5.7840000000000007</v>
      </c>
      <c r="AP212">
        <v>1.476</v>
      </c>
      <c r="AQ212">
        <v>16.999000000000002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2.57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6033</v>
      </c>
    </row>
    <row r="213" spans="1:60">
      <c r="A213" t="s">
        <v>62</v>
      </c>
      <c r="B213" t="s">
        <v>190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1.266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</row>
    <row r="214" spans="1:60">
      <c r="A214" t="s">
        <v>62</v>
      </c>
      <c r="B214" t="s">
        <v>192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G214">
        <v>143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</row>
    <row r="215" spans="1:60">
      <c r="A215" t="s">
        <v>62</v>
      </c>
      <c r="B215" t="s">
        <v>193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7.1999999999999995E-2</v>
      </c>
      <c r="W215">
        <v>0</v>
      </c>
      <c r="X215">
        <v>0</v>
      </c>
      <c r="Y215">
        <v>0</v>
      </c>
      <c r="Z215">
        <v>0.159</v>
      </c>
      <c r="AA215">
        <v>0.372</v>
      </c>
      <c r="AB215">
        <v>0.65700000000000003</v>
      </c>
      <c r="AC215">
        <v>6.2959999999999994</v>
      </c>
      <c r="AD215">
        <v>11.524000000000001</v>
      </c>
      <c r="AE215">
        <v>20.738</v>
      </c>
      <c r="AF215">
        <v>59.691000000000003</v>
      </c>
      <c r="AG215" t="s">
        <v>16</v>
      </c>
      <c r="AH215">
        <v>52.65</v>
      </c>
      <c r="AI215">
        <v>34.463000000000001</v>
      </c>
      <c r="AJ215">
        <v>676.22500000000002</v>
      </c>
      <c r="AK215">
        <v>4.9720000000000004</v>
      </c>
      <c r="AL215">
        <v>5.109</v>
      </c>
      <c r="AM215">
        <v>6.3949999999999996</v>
      </c>
      <c r="AN215">
        <v>14.122</v>
      </c>
      <c r="AO215">
        <v>5.3360000000000003</v>
      </c>
      <c r="AP215">
        <v>1.298</v>
      </c>
      <c r="AQ215">
        <v>16.984000000000002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2.57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</row>
    <row r="216" spans="1:60">
      <c r="A216" t="s">
        <v>62</v>
      </c>
      <c r="B216" t="s">
        <v>194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0.109</v>
      </c>
      <c r="Z216">
        <v>0.20799999999999999</v>
      </c>
      <c r="AA216">
        <v>44.335999999999999</v>
      </c>
      <c r="AB216">
        <v>1.865</v>
      </c>
      <c r="AC216">
        <v>2.0150000000000001</v>
      </c>
      <c r="AD216">
        <v>1.6400000000000001</v>
      </c>
      <c r="AE216">
        <v>0.91700000000000004</v>
      </c>
      <c r="AF216">
        <v>5.6289999999999996</v>
      </c>
      <c r="AG216">
        <v>8.25</v>
      </c>
      <c r="AH216">
        <v>6.6529999999999996</v>
      </c>
      <c r="AI216">
        <v>3.8410000000000002</v>
      </c>
      <c r="AJ216">
        <v>2.8739999999999997</v>
      </c>
      <c r="AK216">
        <v>4.6139999999999999</v>
      </c>
      <c r="AL216">
        <v>6.55</v>
      </c>
      <c r="AM216">
        <v>7.5250000000000004</v>
      </c>
      <c r="AN216">
        <v>1.121</v>
      </c>
      <c r="AO216">
        <v>0.44800000000000001</v>
      </c>
      <c r="AP216">
        <v>0.17799999999999999</v>
      </c>
      <c r="AQ216">
        <v>1.4999999999999999E-2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</row>
    <row r="217" spans="1:60">
      <c r="A217" t="s">
        <v>62</v>
      </c>
      <c r="B217" t="s">
        <v>197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604.4</v>
      </c>
      <c r="Y217">
        <v>568.79999999999995</v>
      </c>
      <c r="Z217">
        <v>533.20000000000005</v>
      </c>
      <c r="AA217">
        <v>497.6</v>
      </c>
      <c r="AB217">
        <v>462</v>
      </c>
      <c r="AC217">
        <v>213.2</v>
      </c>
      <c r="AD217">
        <v>195.4</v>
      </c>
      <c r="AE217">
        <v>177.6</v>
      </c>
      <c r="AF217">
        <v>159.80000000000001</v>
      </c>
      <c r="AG217">
        <v>100</v>
      </c>
      <c r="AH217">
        <v>87.65432098765433</v>
      </c>
      <c r="AI217">
        <v>67.391304347826093</v>
      </c>
      <c r="AJ217">
        <v>60.919540229885065</v>
      </c>
      <c r="AK217">
        <v>49.999999999999993</v>
      </c>
      <c r="AL217">
        <v>39.772727272727266</v>
      </c>
      <c r="AM217">
        <v>40.229885057471265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6033</v>
      </c>
    </row>
    <row r="218" spans="1:60">
      <c r="A218" t="s">
        <v>63</v>
      </c>
      <c r="B218" t="s">
        <v>198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2</v>
      </c>
      <c r="Y218">
        <v>9.26</v>
      </c>
      <c r="Z218">
        <v>16.11</v>
      </c>
      <c r="AA218">
        <v>36.33</v>
      </c>
      <c r="AB218">
        <v>38</v>
      </c>
      <c r="AC218">
        <v>5.8</v>
      </c>
      <c r="AD218">
        <v>13.4</v>
      </c>
      <c r="AE218">
        <v>23.1</v>
      </c>
      <c r="AF218">
        <v>40</v>
      </c>
      <c r="AG218">
        <v>16.7</v>
      </c>
      <c r="AH218">
        <v>21.200000000000003</v>
      </c>
      <c r="AI218">
        <v>5.8</v>
      </c>
      <c r="AJ218">
        <v>12</v>
      </c>
      <c r="AK218">
        <v>55.9</v>
      </c>
      <c r="AL218">
        <v>43</v>
      </c>
      <c r="AM218">
        <v>58.8</v>
      </c>
      <c r="AN218">
        <v>47.2</v>
      </c>
      <c r="AO218">
        <v>23.3</v>
      </c>
      <c r="AP218">
        <v>33.800000000000004</v>
      </c>
      <c r="AQ218">
        <v>36.1</v>
      </c>
      <c r="AR218">
        <v>35.5</v>
      </c>
      <c r="AS218">
        <v>39.5</v>
      </c>
      <c r="AT218">
        <v>20.9</v>
      </c>
      <c r="AU218">
        <v>4.0999999999999996</v>
      </c>
      <c r="AV218">
        <v>30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</row>
    <row r="219" spans="1:60">
      <c r="A219" t="s">
        <v>63</v>
      </c>
      <c r="B219" t="s">
        <v>190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0.26</v>
      </c>
      <c r="Z219">
        <v>1.1100000000000001</v>
      </c>
      <c r="AA219">
        <v>1.23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</row>
    <row r="220" spans="1:60">
      <c r="A220" t="s">
        <v>63</v>
      </c>
      <c r="B220" t="s">
        <v>192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32</v>
      </c>
      <c r="AC220">
        <v>0</v>
      </c>
      <c r="AD220">
        <v>0</v>
      </c>
      <c r="AE220">
        <v>0</v>
      </c>
      <c r="AF220">
        <v>13</v>
      </c>
      <c r="AG220">
        <v>13.4</v>
      </c>
      <c r="AH220">
        <v>16.8</v>
      </c>
      <c r="AI220">
        <v>1.2</v>
      </c>
      <c r="AJ220">
        <v>7.3</v>
      </c>
      <c r="AK220">
        <v>51</v>
      </c>
      <c r="AL220">
        <v>16</v>
      </c>
      <c r="AM220">
        <v>29</v>
      </c>
      <c r="AN220">
        <v>30.7</v>
      </c>
      <c r="AO220">
        <v>9.4</v>
      </c>
      <c r="AP220">
        <v>4.2</v>
      </c>
      <c r="AQ220">
        <v>27.7</v>
      </c>
      <c r="AR220">
        <v>25.6</v>
      </c>
      <c r="AS220">
        <v>36.6</v>
      </c>
      <c r="AT220">
        <v>20.9</v>
      </c>
      <c r="AU220">
        <v>4.0999999999999996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</row>
    <row r="221" spans="1:60">
      <c r="A221" t="s">
        <v>63</v>
      </c>
      <c r="B221" t="s">
        <v>193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2</v>
      </c>
      <c r="Y221">
        <v>9</v>
      </c>
      <c r="Z221">
        <v>15</v>
      </c>
      <c r="AA221">
        <v>35.1</v>
      </c>
      <c r="AB221">
        <v>6</v>
      </c>
      <c r="AC221">
        <v>5.8</v>
      </c>
      <c r="AD221">
        <v>13.4</v>
      </c>
      <c r="AE221">
        <v>23.1</v>
      </c>
      <c r="AF221">
        <v>27</v>
      </c>
      <c r="AG221">
        <v>3.3</v>
      </c>
      <c r="AH221">
        <v>4.4000000000000004</v>
      </c>
      <c r="AI221">
        <v>4.5999999999999996</v>
      </c>
      <c r="AJ221">
        <v>4.7</v>
      </c>
      <c r="AK221">
        <v>4.9000000000000004</v>
      </c>
      <c r="AL221">
        <v>26.2</v>
      </c>
      <c r="AM221">
        <v>24.9</v>
      </c>
      <c r="AN221">
        <v>11.5</v>
      </c>
      <c r="AO221">
        <v>10.9</v>
      </c>
      <c r="AP221">
        <v>29.6</v>
      </c>
      <c r="AQ221">
        <v>8.4</v>
      </c>
      <c r="AR221">
        <v>9.9</v>
      </c>
      <c r="AS221">
        <v>2.9</v>
      </c>
      <c r="AT221">
        <v>0</v>
      </c>
      <c r="AU221">
        <v>0</v>
      </c>
      <c r="AV221">
        <v>30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</row>
    <row r="222" spans="1:60">
      <c r="A222" t="s">
        <v>63</v>
      </c>
      <c r="B222" t="s">
        <v>194</v>
      </c>
      <c r="AL222">
        <v>0.8</v>
      </c>
      <c r="AM222">
        <v>4.9000000000000004</v>
      </c>
      <c r="AN222">
        <v>5</v>
      </c>
      <c r="AO222">
        <v>3</v>
      </c>
    </row>
    <row r="223" spans="1:60">
      <c r="A223" t="s">
        <v>64</v>
      </c>
      <c r="B223" t="s">
        <v>198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6.8150000000000004</v>
      </c>
      <c r="AR223">
        <v>4.1210000000000004</v>
      </c>
      <c r="AS223">
        <v>7.9430000000000005</v>
      </c>
      <c r="AT223">
        <v>16.294</v>
      </c>
      <c r="AU223">
        <v>29.750999999999998</v>
      </c>
      <c r="AV223">
        <v>15.462999999999999</v>
      </c>
      <c r="AW223">
        <v>24.925000000000001</v>
      </c>
      <c r="AX223">
        <v>44.975999999999992</v>
      </c>
      <c r="AY223">
        <v>33.742999999999995</v>
      </c>
      <c r="AZ223">
        <v>22.847000000000001</v>
      </c>
      <c r="BA223">
        <v>26.76</v>
      </c>
      <c r="BB223">
        <v>32.96</v>
      </c>
      <c r="BC223">
        <v>49.575000000000003</v>
      </c>
      <c r="BD223">
        <v>62.771000000000008</v>
      </c>
      <c r="BE223">
        <v>73.010999999999996</v>
      </c>
      <c r="BF223">
        <v>82.965000000000003</v>
      </c>
      <c r="BG223">
        <v>93.718000000000004</v>
      </c>
      <c r="BH223" t="s">
        <v>16</v>
      </c>
    </row>
    <row r="224" spans="1:60">
      <c r="A224" t="s">
        <v>64</v>
      </c>
      <c r="B224" t="s">
        <v>193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6.8150000000000004</v>
      </c>
      <c r="AR224">
        <v>4.1210000000000004</v>
      </c>
      <c r="AS224">
        <v>7.9430000000000005</v>
      </c>
      <c r="AT224">
        <v>16.294</v>
      </c>
      <c r="AU224">
        <v>29.750999999999998</v>
      </c>
      <c r="AV224">
        <v>15.299999999999999</v>
      </c>
      <c r="AW224">
        <v>24.925000000000001</v>
      </c>
      <c r="AX224">
        <v>44.492999999999995</v>
      </c>
      <c r="AY224">
        <v>33.055999999999997</v>
      </c>
      <c r="AZ224">
        <v>21.932000000000002</v>
      </c>
      <c r="BA224">
        <v>25.722000000000001</v>
      </c>
      <c r="BB224">
        <v>31.771000000000001</v>
      </c>
      <c r="BC224">
        <v>48.362000000000002</v>
      </c>
      <c r="BD224">
        <v>61.504000000000005</v>
      </c>
      <c r="BE224">
        <v>71.894999999999996</v>
      </c>
      <c r="BF224">
        <v>81.963999999999999</v>
      </c>
      <c r="BG224">
        <v>92.749000000000009</v>
      </c>
      <c r="BH224" t="s">
        <v>16</v>
      </c>
    </row>
    <row r="225" spans="1:60">
      <c r="A225" t="s">
        <v>64</v>
      </c>
      <c r="B225" t="s">
        <v>194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0.16300000000000001</v>
      </c>
      <c r="AW225">
        <v>0</v>
      </c>
      <c r="AX225">
        <v>0.48299999999999998</v>
      </c>
      <c r="AY225">
        <v>0.68700000000000006</v>
      </c>
      <c r="AZ225">
        <v>0.91500000000000004</v>
      </c>
      <c r="BA225">
        <v>1.038</v>
      </c>
      <c r="BB225">
        <v>1.1890000000000001</v>
      </c>
      <c r="BC225">
        <v>1.2130000000000001</v>
      </c>
      <c r="BD225">
        <v>1.2669999999999999</v>
      </c>
      <c r="BE225">
        <v>1.1160000000000001</v>
      </c>
      <c r="BF225">
        <v>1.0009999999999999</v>
      </c>
      <c r="BG225">
        <v>0.96899999999999997</v>
      </c>
      <c r="BH225" t="s">
        <v>16</v>
      </c>
    </row>
    <row r="226" spans="1:60">
      <c r="A226" t="s">
        <v>65</v>
      </c>
      <c r="B226" t="s">
        <v>198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0.45499999999999996</v>
      </c>
      <c r="N226">
        <v>0.42300000000000004</v>
      </c>
      <c r="O226">
        <v>0.77300000000000002</v>
      </c>
      <c r="P226">
        <v>6.8000000000000005E-2</v>
      </c>
      <c r="Q226">
        <v>0.126</v>
      </c>
      <c r="R226">
        <v>0.32000000000000006</v>
      </c>
      <c r="S226">
        <v>1.2010000000000001</v>
      </c>
      <c r="T226">
        <v>1.2610000000000001</v>
      </c>
      <c r="U226">
        <v>0.81100000000000005</v>
      </c>
      <c r="V226">
        <v>1.7110000000000001</v>
      </c>
      <c r="W226">
        <v>1.125</v>
      </c>
      <c r="X226">
        <v>1.284</v>
      </c>
      <c r="Y226">
        <v>1.3559999999999999</v>
      </c>
      <c r="Z226">
        <v>1.2210000000000001</v>
      </c>
      <c r="AA226">
        <v>1.2910000000000001</v>
      </c>
      <c r="AB226">
        <v>1.4159999999999999</v>
      </c>
      <c r="AC226">
        <v>1.137</v>
      </c>
      <c r="AD226">
        <v>54.113</v>
      </c>
      <c r="AE226">
        <v>15.694000000000003</v>
      </c>
      <c r="AF226">
        <v>68.521000000000001</v>
      </c>
      <c r="AG226">
        <v>345.37600000000003</v>
      </c>
      <c r="AH226">
        <v>1093.704</v>
      </c>
      <c r="AI226">
        <v>1976.739</v>
      </c>
      <c r="AJ226">
        <v>2530.9279999999999</v>
      </c>
      <c r="AK226">
        <v>3274.1000000000004</v>
      </c>
      <c r="AL226">
        <v>4106.99</v>
      </c>
      <c r="AM226">
        <v>4998.5389999999998</v>
      </c>
      <c r="AN226">
        <v>5431.9439999999995</v>
      </c>
      <c r="AO226">
        <v>5836.7269999999999</v>
      </c>
      <c r="AP226">
        <v>6515.8510000000006</v>
      </c>
      <c r="AQ226">
        <v>717.09099999999989</v>
      </c>
      <c r="AR226">
        <v>696.90300000000002</v>
      </c>
      <c r="AS226">
        <v>760.24400000000003</v>
      </c>
      <c r="AT226">
        <v>1091.4479999999999</v>
      </c>
      <c r="AU226">
        <v>1940.7180000000001</v>
      </c>
      <c r="AV226">
        <v>1163.17</v>
      </c>
      <c r="AW226">
        <v>4766.1719999999996</v>
      </c>
      <c r="AX226">
        <v>418.416</v>
      </c>
      <c r="AY226">
        <v>435.38799999999998</v>
      </c>
      <c r="AZ226">
        <v>404.726</v>
      </c>
      <c r="BA226">
        <v>404.78499999999997</v>
      </c>
      <c r="BB226">
        <v>393.43900000000008</v>
      </c>
      <c r="BC226">
        <v>384.38099999999997</v>
      </c>
      <c r="BD226">
        <v>382.96199999999999</v>
      </c>
      <c r="BE226">
        <v>382.88799999999998</v>
      </c>
      <c r="BF226">
        <v>394.15800000000002</v>
      </c>
      <c r="BG226">
        <v>382.596</v>
      </c>
      <c r="BH226" t="s">
        <v>16</v>
      </c>
    </row>
    <row r="227" spans="1:60">
      <c r="A227" t="s">
        <v>65</v>
      </c>
      <c r="B227" t="s">
        <v>192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 t="s">
        <v>16</v>
      </c>
      <c r="AH227" t="s">
        <v>16</v>
      </c>
      <c r="AI227">
        <v>441</v>
      </c>
      <c r="AJ227" t="s">
        <v>16</v>
      </c>
      <c r="AK227" t="s">
        <v>16</v>
      </c>
      <c r="AL227" t="s">
        <v>16</v>
      </c>
      <c r="AM227" t="s">
        <v>16</v>
      </c>
      <c r="AN227">
        <v>183</v>
      </c>
      <c r="AO227" t="s">
        <v>16</v>
      </c>
      <c r="AP227" t="s">
        <v>16</v>
      </c>
      <c r="AQ227" t="s">
        <v>16</v>
      </c>
      <c r="AR227">
        <v>432</v>
      </c>
      <c r="AS227">
        <v>7</v>
      </c>
      <c r="AT227" t="s">
        <v>16</v>
      </c>
      <c r="AU227">
        <v>1487</v>
      </c>
      <c r="AV227" t="s">
        <v>16</v>
      </c>
      <c r="AW227" t="s">
        <v>16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</row>
    <row r="228" spans="1:60">
      <c r="A228" t="s">
        <v>65</v>
      </c>
      <c r="B228" t="s">
        <v>193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0.45499999999999996</v>
      </c>
      <c r="N228">
        <v>0.1</v>
      </c>
      <c r="O228">
        <v>2.5999999999999999E-2</v>
      </c>
      <c r="P228">
        <v>2.8000000000000001E-2</v>
      </c>
      <c r="Q228">
        <v>3.3000000000000002E-2</v>
      </c>
      <c r="R228">
        <v>2.1999999999999999E-2</v>
      </c>
      <c r="S228">
        <v>0</v>
      </c>
      <c r="T228">
        <v>0</v>
      </c>
      <c r="U228">
        <v>0</v>
      </c>
      <c r="V228">
        <v>0.22900000000000001</v>
      </c>
      <c r="W228">
        <v>0.22500000000000001</v>
      </c>
      <c r="X228">
        <v>0.32700000000000001</v>
      </c>
      <c r="Y228">
        <v>0.60599999999999998</v>
      </c>
      <c r="Z228">
        <v>0.47699999999999998</v>
      </c>
      <c r="AA228">
        <v>0.45</v>
      </c>
      <c r="AB228">
        <v>0</v>
      </c>
      <c r="AC228">
        <v>0</v>
      </c>
      <c r="AD228">
        <v>42.959000000000003</v>
      </c>
      <c r="AE228">
        <v>9.0910000000000011</v>
      </c>
      <c r="AF228">
        <v>55.425000000000004</v>
      </c>
      <c r="AG228">
        <v>302.57800000000003</v>
      </c>
      <c r="AH228">
        <v>974.91300000000001</v>
      </c>
      <c r="AI228">
        <v>1343</v>
      </c>
      <c r="AJ228">
        <v>2347.866</v>
      </c>
      <c r="AK228">
        <v>3064.34</v>
      </c>
      <c r="AL228">
        <v>3896.5929999999998</v>
      </c>
      <c r="AM228">
        <v>4782.2309999999998</v>
      </c>
      <c r="AN228">
        <v>4982</v>
      </c>
      <c r="AO228">
        <v>5579.5940000000001</v>
      </c>
      <c r="AP228">
        <v>6451.8340000000007</v>
      </c>
      <c r="AQ228">
        <v>673.17199999999991</v>
      </c>
      <c r="AR228">
        <v>217</v>
      </c>
      <c r="AS228">
        <v>715</v>
      </c>
      <c r="AT228">
        <v>1052.2239999999999</v>
      </c>
      <c r="AU228">
        <v>437</v>
      </c>
      <c r="AV228">
        <v>1149.5</v>
      </c>
      <c r="AW228">
        <v>4756.951</v>
      </c>
      <c r="AX228">
        <v>408.952</v>
      </c>
      <c r="AY228">
        <v>426.31399999999996</v>
      </c>
      <c r="AZ228">
        <v>395.58100000000002</v>
      </c>
      <c r="BA228">
        <v>395.58699999999999</v>
      </c>
      <c r="BB228">
        <v>384.52900000000005</v>
      </c>
      <c r="BC228">
        <v>375.51</v>
      </c>
      <c r="BD228">
        <v>374.24799999999999</v>
      </c>
      <c r="BE228">
        <v>374.23499999999996</v>
      </c>
      <c r="BF228">
        <v>385.577</v>
      </c>
      <c r="BG228">
        <v>374.04899999999998</v>
      </c>
      <c r="BH228" t="s">
        <v>16</v>
      </c>
    </row>
    <row r="229" spans="1:60">
      <c r="A229" t="s">
        <v>65</v>
      </c>
      <c r="B229" t="s">
        <v>194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0.32300000000000001</v>
      </c>
      <c r="O229">
        <v>0.747</v>
      </c>
      <c r="P229">
        <v>0.04</v>
      </c>
      <c r="Q229">
        <v>9.2999999999999999E-2</v>
      </c>
      <c r="R229">
        <v>0.29800000000000004</v>
      </c>
      <c r="S229">
        <v>1.2010000000000001</v>
      </c>
      <c r="T229">
        <v>1.2610000000000001</v>
      </c>
      <c r="U229">
        <v>0.81100000000000005</v>
      </c>
      <c r="V229">
        <v>1.482</v>
      </c>
      <c r="W229">
        <v>0.89999999999999991</v>
      </c>
      <c r="X229">
        <v>0.95700000000000007</v>
      </c>
      <c r="Y229">
        <v>0.75</v>
      </c>
      <c r="Z229">
        <v>0.74399999999999999</v>
      </c>
      <c r="AA229">
        <v>0.84100000000000008</v>
      </c>
      <c r="AB229">
        <v>1.4159999999999999</v>
      </c>
      <c r="AC229">
        <v>1.137</v>
      </c>
      <c r="AD229">
        <v>11.154</v>
      </c>
      <c r="AE229">
        <v>6.6030000000000006</v>
      </c>
      <c r="AF229">
        <v>13.096</v>
      </c>
      <c r="AG229">
        <v>42.798000000000002</v>
      </c>
      <c r="AH229">
        <v>118.791</v>
      </c>
      <c r="AI229">
        <v>180.43899999999999</v>
      </c>
      <c r="AJ229">
        <v>175.982</v>
      </c>
      <c r="AK229">
        <v>204.26</v>
      </c>
      <c r="AL229">
        <v>207.17699999999999</v>
      </c>
      <c r="AM229">
        <v>216.30799999999999</v>
      </c>
      <c r="AN229">
        <v>261.62400000000002</v>
      </c>
      <c r="AO229">
        <v>255.46299999999999</v>
      </c>
      <c r="AP229">
        <v>63.366999999999997</v>
      </c>
      <c r="AQ229">
        <v>43.919000000000004</v>
      </c>
      <c r="AR229">
        <v>47.902999999999999</v>
      </c>
      <c r="AS229">
        <v>38.244</v>
      </c>
      <c r="AT229">
        <v>39.223999999999997</v>
      </c>
      <c r="AU229">
        <v>16.718</v>
      </c>
      <c r="AV229">
        <v>13.67</v>
      </c>
      <c r="AW229">
        <v>9.2210000000000001</v>
      </c>
      <c r="AX229">
        <v>9.4639999999999986</v>
      </c>
      <c r="AY229">
        <v>9.0739999999999998</v>
      </c>
      <c r="AZ229">
        <v>9.1449999999999996</v>
      </c>
      <c r="BA229">
        <v>9.1980000000000004</v>
      </c>
      <c r="BB229">
        <v>8.91</v>
      </c>
      <c r="BC229">
        <v>8.8710000000000004</v>
      </c>
      <c r="BD229">
        <v>8.7140000000000004</v>
      </c>
      <c r="BE229">
        <v>8.6530000000000005</v>
      </c>
      <c r="BF229">
        <v>8.5809999999999995</v>
      </c>
      <c r="BG229">
        <v>8.5470000000000006</v>
      </c>
      <c r="BH229" t="s">
        <v>16</v>
      </c>
    </row>
    <row r="230" spans="1:60">
      <c r="A230" t="s">
        <v>65</v>
      </c>
      <c r="B230" t="s">
        <v>195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AI230">
        <v>12.3</v>
      </c>
      <c r="AJ230">
        <v>7.08</v>
      </c>
      <c r="AK230">
        <v>5.5</v>
      </c>
      <c r="AL230">
        <v>3.22</v>
      </c>
      <c r="AN230">
        <v>5.32</v>
      </c>
      <c r="AO230">
        <v>1.67</v>
      </c>
      <c r="AP230">
        <v>0.65</v>
      </c>
    </row>
    <row r="231" spans="1:60">
      <c r="A231" t="s">
        <v>66</v>
      </c>
      <c r="B231" t="s">
        <v>198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0.03</v>
      </c>
      <c r="T231">
        <v>0.19400000000000001</v>
      </c>
      <c r="U231">
        <v>0</v>
      </c>
      <c r="V231">
        <v>0.7</v>
      </c>
      <c r="W231">
        <v>0.29799999999999999</v>
      </c>
      <c r="X231">
        <v>0</v>
      </c>
      <c r="Y231">
        <v>1E-3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1.9E-2</v>
      </c>
      <c r="AH231">
        <v>4.5999999999999999E-2</v>
      </c>
      <c r="AI231">
        <v>6.5000000000000002E-2</v>
      </c>
      <c r="AJ231">
        <v>8.1000000000000003E-2</v>
      </c>
      <c r="AK231">
        <v>0.111</v>
      </c>
      <c r="AL231">
        <v>0.13900000000000001</v>
      </c>
      <c r="AM231">
        <v>0.15</v>
      </c>
      <c r="AN231">
        <v>0.14799999999999999</v>
      </c>
      <c r="AO231">
        <v>0.20300000000000001</v>
      </c>
      <c r="AP231">
        <v>0.19500000000000001</v>
      </c>
      <c r="AQ231">
        <v>0.19900000000000001</v>
      </c>
      <c r="AR231">
        <v>0.214</v>
      </c>
      <c r="AS231">
        <v>0.55699999999999994</v>
      </c>
      <c r="AT231">
        <v>0.72299999999999998</v>
      </c>
      <c r="AU231">
        <v>0.4</v>
      </c>
      <c r="AV231">
        <v>0.37</v>
      </c>
      <c r="AW231">
        <v>2.992</v>
      </c>
      <c r="AX231">
        <v>4.0510000000000002</v>
      </c>
      <c r="AY231">
        <v>2.573</v>
      </c>
      <c r="AZ231">
        <v>4.4959999999999996</v>
      </c>
      <c r="BA231">
        <v>0.14699999999999999</v>
      </c>
      <c r="BB231">
        <v>0.47599999999999998</v>
      </c>
      <c r="BC231">
        <v>0.21100000000000002</v>
      </c>
      <c r="BD231">
        <v>0.62000000000000011</v>
      </c>
      <c r="BE231">
        <v>2.8000000000000001E-2</v>
      </c>
      <c r="BF231">
        <v>0</v>
      </c>
      <c r="BG231">
        <v>0</v>
      </c>
      <c r="BH231">
        <v>0</v>
      </c>
    </row>
    <row r="232" spans="1:60">
      <c r="A232" t="s">
        <v>66</v>
      </c>
      <c r="B232" t="s">
        <v>193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0.03</v>
      </c>
      <c r="T232">
        <v>0.19400000000000001</v>
      </c>
      <c r="U232">
        <v>0</v>
      </c>
      <c r="V232">
        <v>0.7</v>
      </c>
      <c r="W232">
        <v>0.29799999999999999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1.9E-2</v>
      </c>
      <c r="AH232">
        <v>4.5999999999999999E-2</v>
      </c>
      <c r="AI232">
        <v>6.5000000000000002E-2</v>
      </c>
      <c r="AJ232">
        <v>8.1000000000000003E-2</v>
      </c>
      <c r="AK232">
        <v>0.111</v>
      </c>
      <c r="AL232">
        <v>0.13900000000000001</v>
      </c>
      <c r="AM232">
        <v>0.15</v>
      </c>
      <c r="AN232">
        <v>0.14799999999999999</v>
      </c>
      <c r="AO232">
        <v>0.20300000000000001</v>
      </c>
      <c r="AP232">
        <v>0.19500000000000001</v>
      </c>
      <c r="AQ232">
        <v>0.19900000000000001</v>
      </c>
      <c r="AR232">
        <v>0.214</v>
      </c>
      <c r="AS232">
        <v>0.55699999999999994</v>
      </c>
      <c r="AT232">
        <v>0.72299999999999998</v>
      </c>
      <c r="AU232">
        <v>0.4</v>
      </c>
      <c r="AV232">
        <v>0.37</v>
      </c>
      <c r="AW232">
        <v>2.992</v>
      </c>
      <c r="AX232">
        <v>4.0090000000000003</v>
      </c>
      <c r="AY232">
        <v>2.5019999999999998</v>
      </c>
      <c r="AZ232">
        <v>4.3849999999999998</v>
      </c>
      <c r="BA232">
        <v>3.5999999999999997E-2</v>
      </c>
      <c r="BB232">
        <v>0.45599999999999996</v>
      </c>
      <c r="BC232">
        <v>0.129</v>
      </c>
      <c r="BD232">
        <v>0.55500000000000005</v>
      </c>
      <c r="BE232">
        <v>2.8000000000000001E-2</v>
      </c>
      <c r="BF232">
        <v>0</v>
      </c>
      <c r="BG232">
        <v>0</v>
      </c>
      <c r="BH232">
        <v>0</v>
      </c>
    </row>
    <row r="233" spans="1:60">
      <c r="A233" t="s">
        <v>66</v>
      </c>
      <c r="B233" t="s">
        <v>194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1E-3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4.2000000000000003E-2</v>
      </c>
      <c r="AY233">
        <v>7.0999999999999994E-2</v>
      </c>
      <c r="AZ233">
        <v>0.111</v>
      </c>
      <c r="BA233">
        <v>0.111</v>
      </c>
      <c r="BB233">
        <v>0.02</v>
      </c>
      <c r="BC233">
        <v>8.2000000000000003E-2</v>
      </c>
      <c r="BD233">
        <v>6.5000000000000002E-2</v>
      </c>
      <c r="BE233">
        <v>0</v>
      </c>
      <c r="BF233">
        <v>0</v>
      </c>
      <c r="BG233">
        <v>0</v>
      </c>
      <c r="BH233">
        <v>0</v>
      </c>
    </row>
    <row r="234" spans="1:60">
      <c r="A234" t="s">
        <v>67</v>
      </c>
      <c r="B234" t="s">
        <v>198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0.183</v>
      </c>
      <c r="S234">
        <v>4.9000000000000002E-2</v>
      </c>
      <c r="T234">
        <v>0</v>
      </c>
      <c r="U234">
        <v>60</v>
      </c>
      <c r="V234">
        <v>0</v>
      </c>
      <c r="W234">
        <v>2.8000000000000001E-2</v>
      </c>
      <c r="X234">
        <v>1.5270000000000001</v>
      </c>
      <c r="Y234">
        <v>5.077</v>
      </c>
      <c r="Z234">
        <v>0.40199999999999997</v>
      </c>
      <c r="AA234">
        <v>0.09</v>
      </c>
      <c r="AB234">
        <v>0.29099999999999998</v>
      </c>
      <c r="AC234">
        <v>92.337999999999994</v>
      </c>
      <c r="AD234">
        <v>370.58699999999999</v>
      </c>
      <c r="AE234">
        <v>462.35399999999993</v>
      </c>
      <c r="AF234">
        <v>777.57287199999996</v>
      </c>
      <c r="AG234">
        <v>478.05644058399992</v>
      </c>
      <c r="AH234">
        <v>767</v>
      </c>
      <c r="AI234">
        <v>731.303</v>
      </c>
      <c r="AJ234">
        <v>1130.932</v>
      </c>
      <c r="AK234">
        <v>1879</v>
      </c>
      <c r="AL234">
        <v>1061.2170000000001</v>
      </c>
      <c r="AM234">
        <v>333.70400000000001</v>
      </c>
      <c r="AN234">
        <v>237.86700000000002</v>
      </c>
      <c r="AO234">
        <v>266.346</v>
      </c>
      <c r="AP234">
        <v>269.596</v>
      </c>
      <c r="AQ234">
        <v>978.71900000000005</v>
      </c>
      <c r="AR234">
        <v>243.19900000000001</v>
      </c>
      <c r="AS234">
        <v>139.274</v>
      </c>
      <c r="AT234">
        <v>747.46600000000001</v>
      </c>
      <c r="AU234">
        <v>1122</v>
      </c>
      <c r="AV234">
        <v>835.87900000000002</v>
      </c>
      <c r="AW234">
        <v>1104.3029999999999</v>
      </c>
      <c r="AX234">
        <v>2355.9690000000001</v>
      </c>
      <c r="AY234">
        <v>2286.1860000000001</v>
      </c>
      <c r="AZ234">
        <v>54.575000000000003</v>
      </c>
      <c r="BA234">
        <v>8.5109999999999992</v>
      </c>
      <c r="BB234">
        <v>9.2349999999999994</v>
      </c>
      <c r="BC234">
        <v>10.968999999999999</v>
      </c>
      <c r="BD234">
        <v>24.802999999999997</v>
      </c>
      <c r="BE234">
        <v>0</v>
      </c>
      <c r="BF234">
        <v>11.898</v>
      </c>
      <c r="BG234">
        <v>88.592999999999989</v>
      </c>
      <c r="BH234" t="s">
        <v>16</v>
      </c>
    </row>
    <row r="235" spans="1:60">
      <c r="A235" t="s">
        <v>67</v>
      </c>
      <c r="B235" t="s">
        <v>192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 t="s">
        <v>16</v>
      </c>
      <c r="U235">
        <v>60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330</v>
      </c>
      <c r="AE235">
        <v>235</v>
      </c>
      <c r="AF235">
        <v>545</v>
      </c>
      <c r="AG235" t="s">
        <v>16</v>
      </c>
      <c r="AH235">
        <v>481</v>
      </c>
      <c r="AI235" t="s">
        <v>16</v>
      </c>
      <c r="AJ235" t="s">
        <v>16</v>
      </c>
      <c r="AK235">
        <v>1359</v>
      </c>
      <c r="AL235">
        <v>1031</v>
      </c>
      <c r="AO235" t="s">
        <v>16</v>
      </c>
      <c r="AP235" t="s">
        <v>16</v>
      </c>
      <c r="AQ235">
        <v>532</v>
      </c>
      <c r="AT235" t="s">
        <v>16</v>
      </c>
      <c r="AU235">
        <v>716</v>
      </c>
      <c r="AV235" t="s">
        <v>16</v>
      </c>
      <c r="AW235" t="s">
        <v>16</v>
      </c>
      <c r="AX235">
        <v>2337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</row>
    <row r="236" spans="1:60">
      <c r="A236" t="s">
        <v>67</v>
      </c>
      <c r="B236" t="s">
        <v>193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2.8000000000000001E-2</v>
      </c>
      <c r="X236">
        <v>1.5270000000000001</v>
      </c>
      <c r="Y236">
        <v>0.40799999999999997</v>
      </c>
      <c r="Z236">
        <v>0.3</v>
      </c>
      <c r="AA236">
        <v>0</v>
      </c>
      <c r="AB236">
        <v>0.182</v>
      </c>
      <c r="AC236">
        <v>24.692</v>
      </c>
      <c r="AD236">
        <v>1.2669999999999999</v>
      </c>
      <c r="AE236">
        <v>9.9320000000000004</v>
      </c>
      <c r="AF236" t="s">
        <v>16</v>
      </c>
      <c r="AG236">
        <v>186.60300000000001</v>
      </c>
      <c r="AH236" t="s">
        <v>16</v>
      </c>
      <c r="AI236">
        <v>354.303</v>
      </c>
      <c r="AJ236">
        <v>669.93200000000002</v>
      </c>
      <c r="AK236" t="s">
        <v>16</v>
      </c>
      <c r="AL236" t="s">
        <v>16</v>
      </c>
      <c r="AM236">
        <v>329.637</v>
      </c>
      <c r="AN236">
        <v>237.03100000000001</v>
      </c>
      <c r="AO236">
        <v>263.505</v>
      </c>
      <c r="AP236">
        <v>201.517</v>
      </c>
      <c r="AQ236">
        <v>384</v>
      </c>
      <c r="AR236">
        <v>180.82300000000001</v>
      </c>
      <c r="AS236">
        <v>53.376000000000005</v>
      </c>
      <c r="AT236">
        <v>678.46600000000001</v>
      </c>
      <c r="AU236">
        <v>351</v>
      </c>
      <c r="AV236">
        <v>797.87900000000002</v>
      </c>
      <c r="AW236">
        <v>1071.502</v>
      </c>
      <c r="AX236" t="s">
        <v>16</v>
      </c>
      <c r="AY236">
        <v>2282.4100000000003</v>
      </c>
      <c r="AZ236">
        <v>53.93</v>
      </c>
      <c r="BA236">
        <v>7.8849999999999998</v>
      </c>
      <c r="BB236">
        <v>8.0429999999999993</v>
      </c>
      <c r="BC236">
        <v>10.958</v>
      </c>
      <c r="BD236">
        <v>24.802999999999997</v>
      </c>
      <c r="BE236">
        <v>0</v>
      </c>
      <c r="BF236">
        <v>6.867</v>
      </c>
      <c r="BG236">
        <v>15.333</v>
      </c>
      <c r="BH236" t="s">
        <v>16</v>
      </c>
    </row>
    <row r="237" spans="1:60">
      <c r="A237" t="s">
        <v>67</v>
      </c>
      <c r="B237" t="s">
        <v>194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0.183</v>
      </c>
      <c r="S237">
        <v>4.9000000000000002E-2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4.6689999999999996</v>
      </c>
      <c r="Z237">
        <v>0.10199999999999999</v>
      </c>
      <c r="AA237">
        <v>0.09</v>
      </c>
      <c r="AB237">
        <v>0.109</v>
      </c>
      <c r="AC237">
        <v>32</v>
      </c>
      <c r="AD237">
        <v>0.32</v>
      </c>
      <c r="AE237">
        <v>0.80999999999999994</v>
      </c>
      <c r="AF237">
        <v>7</v>
      </c>
      <c r="AG237">
        <v>49</v>
      </c>
      <c r="AH237">
        <v>128</v>
      </c>
      <c r="AI237">
        <v>217</v>
      </c>
      <c r="AJ237">
        <v>300</v>
      </c>
      <c r="AK237">
        <v>333</v>
      </c>
      <c r="AL237">
        <v>30.216999999999999</v>
      </c>
      <c r="AM237">
        <v>4.0670000000000002</v>
      </c>
      <c r="AN237">
        <v>0.83600000000000008</v>
      </c>
      <c r="AO237">
        <v>2.8410000000000002</v>
      </c>
      <c r="AP237">
        <v>5.0790000000000006</v>
      </c>
      <c r="AQ237">
        <v>12.719000000000001</v>
      </c>
      <c r="AR237">
        <v>3.3760000000000003</v>
      </c>
      <c r="AS237">
        <v>10.898</v>
      </c>
      <c r="AT237">
        <v>21</v>
      </c>
      <c r="AU237">
        <v>34</v>
      </c>
      <c r="AV237">
        <v>17</v>
      </c>
      <c r="AW237">
        <v>32.801000000000002</v>
      </c>
      <c r="AX237">
        <v>18.968999999999998</v>
      </c>
      <c r="AY237">
        <v>3.7760000000000002</v>
      </c>
      <c r="AZ237">
        <v>0.64500000000000002</v>
      </c>
      <c r="BA237">
        <v>0.626</v>
      </c>
      <c r="BB237">
        <v>1.1919999999999999</v>
      </c>
      <c r="BC237">
        <v>1.0999999999999999E-2</v>
      </c>
      <c r="BD237">
        <v>0</v>
      </c>
      <c r="BE237">
        <v>0</v>
      </c>
      <c r="BF237">
        <v>5.0309999999999997</v>
      </c>
      <c r="BG237">
        <v>73.259999999999991</v>
      </c>
      <c r="BH237" t="s">
        <v>16</v>
      </c>
    </row>
    <row r="238" spans="1:60">
      <c r="A238" t="s">
        <v>67</v>
      </c>
      <c r="B238" t="s">
        <v>195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35.646000000000001</v>
      </c>
      <c r="AD238">
        <v>39</v>
      </c>
      <c r="AE238">
        <v>216.61199999999997</v>
      </c>
      <c r="AF238">
        <v>225.57287199999993</v>
      </c>
      <c r="AG238">
        <v>242.45344058399991</v>
      </c>
      <c r="AH238">
        <v>158</v>
      </c>
      <c r="AI238">
        <v>160</v>
      </c>
      <c r="AJ238">
        <v>161</v>
      </c>
      <c r="AK238">
        <v>187</v>
      </c>
      <c r="AL238">
        <v>0</v>
      </c>
      <c r="AM238">
        <v>0</v>
      </c>
      <c r="AN238">
        <v>0</v>
      </c>
      <c r="AO238">
        <v>0</v>
      </c>
      <c r="AP238">
        <v>63</v>
      </c>
      <c r="AQ238">
        <v>50</v>
      </c>
      <c r="AR238">
        <v>59</v>
      </c>
      <c r="AS238">
        <v>75</v>
      </c>
      <c r="AT238">
        <v>48</v>
      </c>
      <c r="AU238">
        <v>21</v>
      </c>
      <c r="AV238">
        <v>21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</row>
    <row r="239" spans="1:60">
      <c r="A239" t="s">
        <v>68</v>
      </c>
      <c r="B239" t="s">
        <v>198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1.4999999999999999E-2</v>
      </c>
      <c r="U239">
        <v>3.7999999999999999E-2</v>
      </c>
      <c r="V239">
        <v>0</v>
      </c>
      <c r="W239">
        <v>0.29400000000000004</v>
      </c>
      <c r="X239">
        <v>0.57400000000000007</v>
      </c>
      <c r="Y239">
        <v>2.4239999999999999</v>
      </c>
      <c r="Z239">
        <v>4.9480000000000004</v>
      </c>
      <c r="AA239">
        <v>11.381999999999998</v>
      </c>
      <c r="AB239">
        <v>56.858856025705236</v>
      </c>
      <c r="AC239">
        <v>67.601820200738132</v>
      </c>
      <c r="AD239">
        <v>11.625999999999999</v>
      </c>
      <c r="AE239">
        <v>28.834</v>
      </c>
      <c r="AF239">
        <v>11.361000000000001</v>
      </c>
      <c r="AG239">
        <v>1.482</v>
      </c>
      <c r="AH239">
        <v>2.1520000000000001</v>
      </c>
      <c r="AI239">
        <v>2.1989999999999998</v>
      </c>
      <c r="AJ239">
        <v>4.4649999999999999</v>
      </c>
      <c r="AK239">
        <v>6.3979999999999997</v>
      </c>
      <c r="AL239">
        <v>2.8850000000000002</v>
      </c>
      <c r="AM239">
        <v>2.0460000000000003</v>
      </c>
      <c r="AN239">
        <v>1.1480000000000001</v>
      </c>
      <c r="AO239">
        <v>0.871</v>
      </c>
      <c r="AP239">
        <v>1.4279999999999999</v>
      </c>
      <c r="AQ239">
        <v>2.1480000000000001</v>
      </c>
      <c r="AR239">
        <v>8.504999999999999</v>
      </c>
      <c r="AS239">
        <v>12.772</v>
      </c>
      <c r="AT239">
        <v>21.838000000000001</v>
      </c>
      <c r="AU239">
        <v>24.082000000000001</v>
      </c>
      <c r="AV239">
        <v>21.404999999999998</v>
      </c>
      <c r="AW239">
        <v>22.873999999999999</v>
      </c>
      <c r="AX239">
        <v>33.030999999999999</v>
      </c>
      <c r="AY239">
        <v>248.1</v>
      </c>
      <c r="AZ239">
        <v>23.881</v>
      </c>
      <c r="BA239">
        <v>45.686</v>
      </c>
      <c r="BB239">
        <v>20.193999999999999</v>
      </c>
      <c r="BC239">
        <v>28.369</v>
      </c>
      <c r="BD239">
        <v>25.215</v>
      </c>
      <c r="BE239">
        <v>17.759999999999998</v>
      </c>
      <c r="BF239">
        <v>9.6440000000000001</v>
      </c>
      <c r="BG239">
        <v>6.8100000000000005</v>
      </c>
      <c r="BH239" t="s">
        <v>16</v>
      </c>
    </row>
    <row r="240" spans="1:60">
      <c r="A240" t="s">
        <v>68</v>
      </c>
      <c r="B240" t="s">
        <v>190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1</v>
      </c>
      <c r="Z240">
        <v>0</v>
      </c>
      <c r="AA240">
        <v>0</v>
      </c>
      <c r="AB240">
        <v>37.298856025705234</v>
      </c>
      <c r="AC240">
        <v>45.101820200738132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</row>
    <row r="241" spans="1:60">
      <c r="A241" t="s">
        <v>68</v>
      </c>
      <c r="B241" t="s">
        <v>192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 t="s">
        <v>16</v>
      </c>
      <c r="AC241">
        <v>18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3</v>
      </c>
      <c r="AY241">
        <v>15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</row>
    <row r="242" spans="1:60">
      <c r="A242" t="s">
        <v>68</v>
      </c>
      <c r="B242" t="s">
        <v>193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1.4999999999999999E-2</v>
      </c>
      <c r="U242">
        <v>3.7999999999999999E-2</v>
      </c>
      <c r="V242">
        <v>0</v>
      </c>
      <c r="W242">
        <v>0.19400000000000001</v>
      </c>
      <c r="X242">
        <v>0.374</v>
      </c>
      <c r="Y242">
        <v>1.024</v>
      </c>
      <c r="Z242">
        <v>2.948</v>
      </c>
      <c r="AA242">
        <v>4.6819999999999995</v>
      </c>
      <c r="AB242">
        <v>9.76</v>
      </c>
      <c r="AC242" t="s">
        <v>16</v>
      </c>
      <c r="AD242">
        <v>9.0259999999999998</v>
      </c>
      <c r="AE242">
        <v>7.9340000000000002</v>
      </c>
      <c r="AF242">
        <v>4.7610000000000001</v>
      </c>
      <c r="AG242">
        <v>1.482</v>
      </c>
      <c r="AH242">
        <v>2.1520000000000001</v>
      </c>
      <c r="AI242">
        <v>2.1989999999999998</v>
      </c>
      <c r="AJ242">
        <v>4.4649999999999999</v>
      </c>
      <c r="AK242">
        <v>6.298</v>
      </c>
      <c r="AL242">
        <v>2.7850000000000001</v>
      </c>
      <c r="AM242">
        <v>2.0460000000000003</v>
      </c>
      <c r="AN242">
        <v>1.1480000000000001</v>
      </c>
      <c r="AO242">
        <v>0.871</v>
      </c>
      <c r="AP242">
        <v>1.4279999999999999</v>
      </c>
      <c r="AQ242">
        <v>2.1480000000000001</v>
      </c>
      <c r="AR242">
        <v>8.504999999999999</v>
      </c>
      <c r="AS242">
        <v>12.772</v>
      </c>
      <c r="AT242">
        <v>21.338000000000001</v>
      </c>
      <c r="AU242">
        <v>23.682000000000002</v>
      </c>
      <c r="AV242">
        <v>21.404999999999998</v>
      </c>
      <c r="AW242">
        <v>22.873999999999999</v>
      </c>
      <c r="AX242">
        <v>30.030999999999999</v>
      </c>
      <c r="AY242">
        <v>233</v>
      </c>
      <c r="AZ242">
        <v>22.381</v>
      </c>
      <c r="BA242">
        <v>45.286000000000001</v>
      </c>
      <c r="BB242">
        <v>20.193999999999999</v>
      </c>
      <c r="BC242">
        <v>28.369</v>
      </c>
      <c r="BD242">
        <v>25.215</v>
      </c>
      <c r="BE242">
        <v>17.759999999999998</v>
      </c>
      <c r="BF242">
        <v>9.6440000000000001</v>
      </c>
      <c r="BG242">
        <v>6.8100000000000005</v>
      </c>
      <c r="BH242" t="s">
        <v>16</v>
      </c>
    </row>
    <row r="243" spans="1:60">
      <c r="A243" t="s">
        <v>68</v>
      </c>
      <c r="B243" t="s">
        <v>194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0.1</v>
      </c>
      <c r="X243">
        <v>0.2</v>
      </c>
      <c r="Y243">
        <v>0.4</v>
      </c>
      <c r="Z243">
        <v>2</v>
      </c>
      <c r="AA243">
        <v>6.6999999999999993</v>
      </c>
      <c r="AB243">
        <v>9.8000000000000007</v>
      </c>
      <c r="AC243">
        <v>4.5</v>
      </c>
      <c r="AD243">
        <v>2.6</v>
      </c>
      <c r="AE243">
        <v>1.9000000000000001</v>
      </c>
      <c r="AF243">
        <v>6.6</v>
      </c>
      <c r="AG243">
        <v>0</v>
      </c>
      <c r="AH243">
        <v>0</v>
      </c>
      <c r="AI243">
        <v>0</v>
      </c>
      <c r="AJ243">
        <v>0</v>
      </c>
      <c r="AK243">
        <v>0.1</v>
      </c>
      <c r="AL243">
        <v>0.1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0.5</v>
      </c>
      <c r="AU243">
        <v>0.4</v>
      </c>
      <c r="AV243">
        <v>0</v>
      </c>
      <c r="AW243">
        <v>0</v>
      </c>
      <c r="AX243">
        <v>0</v>
      </c>
      <c r="AY243">
        <v>0.1</v>
      </c>
      <c r="AZ243">
        <v>1.5</v>
      </c>
      <c r="BA243">
        <v>0.4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</row>
    <row r="244" spans="1:60">
      <c r="A244" t="s">
        <v>68</v>
      </c>
      <c r="B244" t="s">
        <v>195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AA244" t="s">
        <v>16</v>
      </c>
      <c r="AB244" t="s">
        <v>16</v>
      </c>
      <c r="AC244" t="s">
        <v>16</v>
      </c>
      <c r="AD244" t="s">
        <v>16</v>
      </c>
      <c r="AE244">
        <v>19</v>
      </c>
      <c r="AF244" t="s">
        <v>16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</row>
    <row r="245" spans="1:60">
      <c r="A245" t="s">
        <v>69</v>
      </c>
      <c r="B245" t="s">
        <v>198</v>
      </c>
      <c r="AH245">
        <v>0</v>
      </c>
      <c r="AI245">
        <v>1.1000000000000001</v>
      </c>
      <c r="AJ245">
        <v>0.2</v>
      </c>
      <c r="AK245">
        <v>259.154</v>
      </c>
      <c r="AL245">
        <v>272.58799999999997</v>
      </c>
      <c r="AM245">
        <v>842.83399999999995</v>
      </c>
      <c r="AN245">
        <v>246.40699999999998</v>
      </c>
      <c r="AO245">
        <v>59.175999999999995</v>
      </c>
      <c r="AP245">
        <v>113.426</v>
      </c>
      <c r="AQ245">
        <v>180.66900000000001</v>
      </c>
      <c r="AR245">
        <v>299</v>
      </c>
      <c r="AS245">
        <v>350.15899999999999</v>
      </c>
      <c r="AT245">
        <v>320.613</v>
      </c>
      <c r="AU245">
        <v>260</v>
      </c>
      <c r="AV245">
        <v>218.83099999999999</v>
      </c>
      <c r="AW245">
        <v>228.79500000000002</v>
      </c>
      <c r="AX245">
        <v>41.870999999999995</v>
      </c>
      <c r="AY245">
        <v>35.365000000000002</v>
      </c>
      <c r="AZ245">
        <v>35.365000000000002</v>
      </c>
      <c r="BA245">
        <v>35.365000000000002</v>
      </c>
      <c r="BB245">
        <v>35.365000000000002</v>
      </c>
      <c r="BC245">
        <v>35.674999999999997</v>
      </c>
      <c r="BD245">
        <v>51.497</v>
      </c>
      <c r="BE245">
        <v>35.365000000000002</v>
      </c>
      <c r="BF245">
        <v>35.365000000000002</v>
      </c>
      <c r="BG245">
        <v>35.365000000000002</v>
      </c>
      <c r="BH245" t="s">
        <v>16</v>
      </c>
    </row>
    <row r="246" spans="1:60">
      <c r="A246" t="s">
        <v>69</v>
      </c>
      <c r="B246" t="s">
        <v>192</v>
      </c>
      <c r="AH246">
        <v>0</v>
      </c>
      <c r="AI246">
        <v>0</v>
      </c>
      <c r="AJ246">
        <v>0</v>
      </c>
      <c r="AQ246" t="s">
        <v>16</v>
      </c>
      <c r="AR246">
        <v>58</v>
      </c>
      <c r="AS246" t="s">
        <v>16</v>
      </c>
      <c r="AT246" t="s">
        <v>16</v>
      </c>
      <c r="AU246">
        <v>161</v>
      </c>
      <c r="AV246" t="s">
        <v>16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</row>
    <row r="247" spans="1:60">
      <c r="A247" t="s">
        <v>69</v>
      </c>
      <c r="B247" t="s">
        <v>193</v>
      </c>
      <c r="AH247">
        <v>0</v>
      </c>
      <c r="AI247">
        <v>0</v>
      </c>
      <c r="AJ247">
        <v>0</v>
      </c>
      <c r="AK247">
        <v>258.154</v>
      </c>
      <c r="AL247">
        <v>256.68799999999999</v>
      </c>
      <c r="AM247">
        <v>812.53399999999999</v>
      </c>
      <c r="AN247">
        <v>235.05599999999998</v>
      </c>
      <c r="AO247">
        <v>59.175999999999995</v>
      </c>
      <c r="AP247">
        <v>113.426</v>
      </c>
      <c r="AQ247">
        <v>180.66900000000001</v>
      </c>
      <c r="AR247">
        <v>241</v>
      </c>
      <c r="AS247">
        <v>350.15899999999999</v>
      </c>
      <c r="AT247">
        <v>320.613</v>
      </c>
      <c r="AU247">
        <v>99</v>
      </c>
      <c r="AV247">
        <v>218.83099999999999</v>
      </c>
      <c r="AW247">
        <v>228.79500000000002</v>
      </c>
      <c r="AX247">
        <v>41.870999999999995</v>
      </c>
      <c r="AY247">
        <v>35.365000000000002</v>
      </c>
      <c r="AZ247">
        <v>35.365000000000002</v>
      </c>
      <c r="BA247">
        <v>35.365000000000002</v>
      </c>
      <c r="BB247">
        <v>35.365000000000002</v>
      </c>
      <c r="BC247">
        <v>35.674999999999997</v>
      </c>
      <c r="BD247">
        <v>51.497</v>
      </c>
      <c r="BE247">
        <v>35.365000000000002</v>
      </c>
      <c r="BF247">
        <v>35.365000000000002</v>
      </c>
      <c r="BG247">
        <v>35.365000000000002</v>
      </c>
      <c r="BH247" t="s">
        <v>16</v>
      </c>
    </row>
    <row r="248" spans="1:60">
      <c r="A248" t="s">
        <v>69</v>
      </c>
      <c r="B248" t="s">
        <v>194</v>
      </c>
      <c r="AH248">
        <v>0</v>
      </c>
      <c r="AI248">
        <v>1.1000000000000001</v>
      </c>
      <c r="AJ248">
        <v>0.2</v>
      </c>
      <c r="AK248">
        <v>1</v>
      </c>
      <c r="AL248">
        <v>15.899999999999999</v>
      </c>
      <c r="AM248">
        <v>30.3</v>
      </c>
      <c r="AN248">
        <v>11.351000000000001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</row>
    <row r="249" spans="1:60">
      <c r="A249" t="s">
        <v>70</v>
      </c>
      <c r="B249" t="s">
        <v>198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116</v>
      </c>
      <c r="I249">
        <v>178.65</v>
      </c>
      <c r="J249">
        <v>57</v>
      </c>
      <c r="K249">
        <v>246</v>
      </c>
      <c r="L249">
        <v>50</v>
      </c>
      <c r="M249">
        <v>43.436</v>
      </c>
      <c r="N249">
        <v>34.722999999999999</v>
      </c>
      <c r="O249">
        <v>76.113</v>
      </c>
      <c r="P249">
        <v>112.694</v>
      </c>
      <c r="Q249">
        <v>221.261</v>
      </c>
      <c r="R249">
        <v>54.968999999999994</v>
      </c>
      <c r="S249">
        <v>34.113999999999997</v>
      </c>
      <c r="T249">
        <v>38.36</v>
      </c>
      <c r="U249">
        <v>28.600999999999999</v>
      </c>
      <c r="V249">
        <v>924.61599999999999</v>
      </c>
      <c r="W249">
        <v>9.2860000000000014</v>
      </c>
      <c r="X249">
        <v>18.320999999999998</v>
      </c>
      <c r="Y249">
        <v>2553.0540000000001</v>
      </c>
      <c r="Z249">
        <v>17.884999999999998</v>
      </c>
      <c r="AA249">
        <v>29.698999999999998</v>
      </c>
      <c r="AB249">
        <v>44.128999999999998</v>
      </c>
      <c r="AC249">
        <v>54.108999999999995</v>
      </c>
      <c r="AD249">
        <v>76.121000000000009</v>
      </c>
      <c r="AE249">
        <v>77.447000000000003</v>
      </c>
      <c r="AF249">
        <v>157.34800000000001</v>
      </c>
      <c r="AG249">
        <v>235.34100000000001</v>
      </c>
      <c r="AH249">
        <v>269.32099999999997</v>
      </c>
      <c r="AI249">
        <v>121.93600000000001</v>
      </c>
      <c r="AJ249">
        <v>158.63900000000001</v>
      </c>
      <c r="AK249">
        <v>162.84800000000001</v>
      </c>
      <c r="AL249">
        <v>117.946</v>
      </c>
      <c r="AM249">
        <v>134.78800000000001</v>
      </c>
      <c r="AN249">
        <v>34.28</v>
      </c>
      <c r="AO249">
        <v>91.454999999999998</v>
      </c>
      <c r="AP249">
        <v>107.98699999999999</v>
      </c>
      <c r="AQ249">
        <v>111.11199999999999</v>
      </c>
      <c r="AR249">
        <v>304.35599999999999</v>
      </c>
      <c r="AS249">
        <v>334.5</v>
      </c>
      <c r="AT249">
        <v>269.839</v>
      </c>
      <c r="AU249">
        <v>1640.8630000000001</v>
      </c>
      <c r="AV249">
        <v>150.63400000000001</v>
      </c>
      <c r="AW249">
        <v>4732.55</v>
      </c>
      <c r="AX249">
        <v>46.456000000000003</v>
      </c>
      <c r="AY249">
        <v>38.186999999999998</v>
      </c>
      <c r="AZ249">
        <v>77.367000000000004</v>
      </c>
      <c r="BA249">
        <v>81.935999999999993</v>
      </c>
      <c r="BB249">
        <v>203.50799999999998</v>
      </c>
      <c r="BC249">
        <v>310.375</v>
      </c>
      <c r="BD249">
        <v>468.60299999999995</v>
      </c>
      <c r="BE249">
        <v>347.82799999999997</v>
      </c>
      <c r="BF249">
        <v>568.03100000000006</v>
      </c>
      <c r="BG249">
        <v>595.05700000000002</v>
      </c>
      <c r="BH249" t="s">
        <v>16</v>
      </c>
    </row>
    <row r="250" spans="1:60">
      <c r="A250" t="s">
        <v>70</v>
      </c>
      <c r="B250" t="s">
        <v>190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8.65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</row>
    <row r="251" spans="1:60">
      <c r="A251" t="s">
        <v>70</v>
      </c>
      <c r="B251" t="s">
        <v>192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116</v>
      </c>
      <c r="I251">
        <v>170</v>
      </c>
      <c r="J251" t="s">
        <v>16</v>
      </c>
      <c r="K251">
        <v>184</v>
      </c>
      <c r="L251" t="s">
        <v>16</v>
      </c>
      <c r="M251">
        <v>22</v>
      </c>
      <c r="N251" t="s">
        <v>16</v>
      </c>
      <c r="O251" t="s">
        <v>16</v>
      </c>
      <c r="P251" t="s">
        <v>16</v>
      </c>
      <c r="Q251">
        <v>190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93</v>
      </c>
      <c r="AN251">
        <v>0</v>
      </c>
      <c r="AO251">
        <v>0</v>
      </c>
      <c r="AP251">
        <v>0</v>
      </c>
      <c r="AQ251" t="s">
        <v>16</v>
      </c>
      <c r="AR251">
        <v>199</v>
      </c>
      <c r="AS251">
        <v>163</v>
      </c>
      <c r="AT251" t="s">
        <v>16</v>
      </c>
      <c r="AU251">
        <v>1560</v>
      </c>
      <c r="AV251" t="s">
        <v>16</v>
      </c>
      <c r="AW251" t="s">
        <v>16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</row>
    <row r="252" spans="1:60">
      <c r="A252" t="s">
        <v>70</v>
      </c>
      <c r="B252" t="s">
        <v>193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57</v>
      </c>
      <c r="K252">
        <v>62</v>
      </c>
      <c r="L252">
        <v>50</v>
      </c>
      <c r="M252" t="s">
        <v>16</v>
      </c>
      <c r="N252">
        <v>11.391999999999999</v>
      </c>
      <c r="O252">
        <v>31.043999999999997</v>
      </c>
      <c r="P252">
        <v>48.454999999999998</v>
      </c>
      <c r="Q252" t="s">
        <v>16</v>
      </c>
      <c r="R252">
        <v>26.277999999999999</v>
      </c>
      <c r="S252">
        <v>18.613</v>
      </c>
      <c r="T252">
        <v>21.684999999999999</v>
      </c>
      <c r="U252">
        <v>18.821999999999999</v>
      </c>
      <c r="V252">
        <v>14.856999999999999</v>
      </c>
      <c r="W252">
        <v>6.4130000000000003</v>
      </c>
      <c r="X252">
        <v>13.623999999999999</v>
      </c>
      <c r="Y252">
        <v>18.995999999999999</v>
      </c>
      <c r="Z252">
        <v>15.433</v>
      </c>
      <c r="AA252">
        <v>23.962</v>
      </c>
      <c r="AB252">
        <v>38.442999999999998</v>
      </c>
      <c r="AC252">
        <v>46.281999999999996</v>
      </c>
      <c r="AD252">
        <v>60.972000000000008</v>
      </c>
      <c r="AE252">
        <v>59.423999999999999</v>
      </c>
      <c r="AF252">
        <v>119.672</v>
      </c>
      <c r="AG252">
        <v>197.39699999999999</v>
      </c>
      <c r="AH252">
        <v>213.88799999999998</v>
      </c>
      <c r="AI252">
        <v>62.006</v>
      </c>
      <c r="AJ252">
        <v>88.174999999999997</v>
      </c>
      <c r="AK252">
        <v>82.582999999999998</v>
      </c>
      <c r="AL252">
        <v>68.453999999999994</v>
      </c>
      <c r="AM252" t="s">
        <v>16</v>
      </c>
      <c r="AN252">
        <v>19.187999999999999</v>
      </c>
      <c r="AO252">
        <v>77.448999999999998</v>
      </c>
      <c r="AP252">
        <v>76.328999999999994</v>
      </c>
      <c r="AQ252">
        <v>79.890999999999991</v>
      </c>
      <c r="AR252" t="s">
        <v>16</v>
      </c>
      <c r="AS252">
        <v>107</v>
      </c>
      <c r="AT252">
        <v>122.86499999999999</v>
      </c>
      <c r="AU252" t="s">
        <v>16</v>
      </c>
      <c r="AV252">
        <v>109.97</v>
      </c>
      <c r="AW252">
        <v>4680.4319999999998</v>
      </c>
      <c r="AX252">
        <v>13.456</v>
      </c>
      <c r="AY252">
        <v>25.079000000000001</v>
      </c>
      <c r="AZ252">
        <v>15.294</v>
      </c>
      <c r="BA252">
        <v>25.452999999999999</v>
      </c>
      <c r="BB252">
        <v>63.01</v>
      </c>
      <c r="BC252">
        <v>143.084</v>
      </c>
      <c r="BD252">
        <v>396.95799999999997</v>
      </c>
      <c r="BE252">
        <v>222.05600000000001</v>
      </c>
      <c r="BF252">
        <v>404.43800000000005</v>
      </c>
      <c r="BG252">
        <v>413.71299999999997</v>
      </c>
      <c r="BH252" t="s">
        <v>16</v>
      </c>
    </row>
    <row r="253" spans="1:60">
      <c r="A253" t="s">
        <v>70</v>
      </c>
      <c r="B253" t="s">
        <v>194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21.436</v>
      </c>
      <c r="N253">
        <v>23.331</v>
      </c>
      <c r="O253">
        <v>45.068999999999996</v>
      </c>
      <c r="P253">
        <v>64.239000000000004</v>
      </c>
      <c r="Q253">
        <v>31.260999999999999</v>
      </c>
      <c r="R253">
        <v>28.690999999999999</v>
      </c>
      <c r="S253">
        <v>15.500999999999999</v>
      </c>
      <c r="T253">
        <v>16.675000000000001</v>
      </c>
      <c r="U253">
        <v>9.7790000000000017</v>
      </c>
      <c r="V253">
        <v>15.759</v>
      </c>
      <c r="W253">
        <v>2.8730000000000002</v>
      </c>
      <c r="X253">
        <v>4.6970000000000001</v>
      </c>
      <c r="Y253">
        <v>4.0579999999999998</v>
      </c>
      <c r="Z253">
        <v>2.452</v>
      </c>
      <c r="AA253">
        <v>5.7370000000000001</v>
      </c>
      <c r="AB253">
        <v>5.6859999999999999</v>
      </c>
      <c r="AC253">
        <v>7.827</v>
      </c>
      <c r="AD253">
        <v>15.149000000000001</v>
      </c>
      <c r="AE253">
        <v>18.023</v>
      </c>
      <c r="AF253">
        <v>37.676000000000002</v>
      </c>
      <c r="AG253">
        <v>37.944000000000003</v>
      </c>
      <c r="AH253">
        <v>55.432999999999993</v>
      </c>
      <c r="AI253">
        <v>59.930000000000007</v>
      </c>
      <c r="AJ253">
        <v>70.463999999999999</v>
      </c>
      <c r="AK253">
        <v>80.265000000000001</v>
      </c>
      <c r="AL253">
        <v>49.491999999999997</v>
      </c>
      <c r="AM253">
        <v>41.787999999999997</v>
      </c>
      <c r="AN253">
        <v>15.092000000000001</v>
      </c>
      <c r="AO253">
        <v>14.006</v>
      </c>
      <c r="AP253">
        <v>31.658000000000001</v>
      </c>
      <c r="AQ253">
        <v>31.221</v>
      </c>
      <c r="AR253">
        <v>105.35599999999999</v>
      </c>
      <c r="AS253">
        <v>64.5</v>
      </c>
      <c r="AT253">
        <v>146.97399999999999</v>
      </c>
      <c r="AU253">
        <v>80.863</v>
      </c>
      <c r="AV253">
        <v>40.664000000000001</v>
      </c>
      <c r="AW253">
        <v>52.117999999999995</v>
      </c>
      <c r="AX253">
        <v>33</v>
      </c>
      <c r="AY253">
        <v>13.108000000000001</v>
      </c>
      <c r="AZ253">
        <v>62.073</v>
      </c>
      <c r="BA253">
        <v>56.482999999999997</v>
      </c>
      <c r="BB253">
        <v>140.49799999999999</v>
      </c>
      <c r="BC253">
        <v>167.291</v>
      </c>
      <c r="BD253">
        <v>71.644999999999996</v>
      </c>
      <c r="BE253">
        <v>125.77199999999999</v>
      </c>
      <c r="BF253">
        <v>163.59300000000002</v>
      </c>
      <c r="BG253">
        <v>181.34399999999999</v>
      </c>
      <c r="BH253" t="s">
        <v>16</v>
      </c>
    </row>
    <row r="254" spans="1:60">
      <c r="A254" t="s">
        <v>70</v>
      </c>
      <c r="B254" t="s">
        <v>196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894</v>
      </c>
      <c r="W254">
        <v>0</v>
      </c>
      <c r="X254">
        <v>0</v>
      </c>
      <c r="Y254">
        <v>2530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</row>
    <row r="255" spans="1:60">
      <c r="A255" t="s">
        <v>71</v>
      </c>
      <c r="B255" t="s">
        <v>198</v>
      </c>
      <c r="C255">
        <v>368.60159999999996</v>
      </c>
      <c r="D255">
        <v>377.75479999999999</v>
      </c>
      <c r="E255">
        <v>386.90800000000002</v>
      </c>
      <c r="F255">
        <v>301.08119999999991</v>
      </c>
      <c r="G255">
        <v>307.64439999999991</v>
      </c>
      <c r="H255">
        <v>314.2075999999999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312420</v>
      </c>
      <c r="BD255">
        <v>212819</v>
      </c>
      <c r="BE255">
        <v>0</v>
      </c>
      <c r="BF255">
        <v>2222</v>
      </c>
      <c r="BG255">
        <v>0</v>
      </c>
      <c r="BH255">
        <v>0</v>
      </c>
    </row>
    <row r="256" spans="1:60">
      <c r="A256" t="s">
        <v>71</v>
      </c>
      <c r="B256" t="s">
        <v>190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2222</v>
      </c>
      <c r="BG256">
        <v>0</v>
      </c>
      <c r="BH256">
        <v>0</v>
      </c>
    </row>
    <row r="257" spans="1:60">
      <c r="A257" t="s">
        <v>71</v>
      </c>
      <c r="B257" t="s">
        <v>193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212819</v>
      </c>
      <c r="BE257">
        <v>0</v>
      </c>
      <c r="BF257">
        <v>0</v>
      </c>
      <c r="BG257">
        <v>0</v>
      </c>
      <c r="BH257">
        <v>0</v>
      </c>
    </row>
    <row r="258" spans="1:60">
      <c r="A258" t="s">
        <v>71</v>
      </c>
      <c r="B258" t="s">
        <v>197</v>
      </c>
      <c r="C258">
        <v>368.60159999999996</v>
      </c>
      <c r="D258">
        <v>377.75479999999999</v>
      </c>
      <c r="E258">
        <v>386.90800000000002</v>
      </c>
      <c r="F258">
        <v>301.08119999999991</v>
      </c>
      <c r="G258">
        <v>307.64439999999991</v>
      </c>
      <c r="H258">
        <v>314.2075999999999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312420</v>
      </c>
      <c r="BD258">
        <v>0</v>
      </c>
      <c r="BE258">
        <v>0</v>
      </c>
      <c r="BF258">
        <v>0</v>
      </c>
      <c r="BG258">
        <v>0</v>
      </c>
      <c r="BH258">
        <v>0</v>
      </c>
    </row>
    <row r="259" spans="1:60">
      <c r="A259" t="s">
        <v>72</v>
      </c>
      <c r="B259" t="s">
        <v>198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0.41499999999999998</v>
      </c>
      <c r="Y259">
        <v>0.41499999999999998</v>
      </c>
      <c r="Z259">
        <v>1.45</v>
      </c>
      <c r="AA259">
        <v>2.5449999999999999</v>
      </c>
      <c r="AB259">
        <v>5.1229999999999993</v>
      </c>
      <c r="AC259">
        <v>6.3719999999999999</v>
      </c>
      <c r="AD259">
        <v>9.7270000000000003</v>
      </c>
      <c r="AE259">
        <v>12.023999999999999</v>
      </c>
      <c r="AF259">
        <v>16.643000000000001</v>
      </c>
      <c r="AG259">
        <v>24.741</v>
      </c>
      <c r="AH259">
        <v>30.682000000000002</v>
      </c>
      <c r="AI259">
        <v>27.433</v>
      </c>
      <c r="AJ259">
        <v>27.015999999999998</v>
      </c>
      <c r="AK259">
        <v>28.203999999999997</v>
      </c>
      <c r="AL259">
        <v>28.930999999999997</v>
      </c>
      <c r="AM259">
        <v>30.042000000000002</v>
      </c>
      <c r="AN259">
        <v>17.071999999999999</v>
      </c>
      <c r="AO259">
        <v>10.488</v>
      </c>
      <c r="AP259">
        <v>13.493</v>
      </c>
      <c r="AQ259">
        <v>15.941000000000001</v>
      </c>
      <c r="AR259">
        <v>13.733000000000001</v>
      </c>
      <c r="AS259">
        <v>12.735999999999999</v>
      </c>
      <c r="AT259">
        <v>12.273</v>
      </c>
      <c r="AU259">
        <v>296.69299999999998</v>
      </c>
      <c r="AV259">
        <v>285.58799999999997</v>
      </c>
      <c r="AW259">
        <v>22.202999999999999</v>
      </c>
      <c r="AX259">
        <v>26.827999999999999</v>
      </c>
      <c r="AY259">
        <v>32.371000000000002</v>
      </c>
      <c r="AZ259">
        <v>39.733000000000004</v>
      </c>
      <c r="BA259">
        <v>41.650999999999996</v>
      </c>
      <c r="BB259">
        <v>45.221000000000004</v>
      </c>
      <c r="BC259">
        <v>81.647999999999996</v>
      </c>
      <c r="BD259">
        <v>352.43600000000004</v>
      </c>
      <c r="BE259">
        <v>379.61599999999999</v>
      </c>
      <c r="BF259">
        <v>401.11900000000003</v>
      </c>
      <c r="BG259">
        <v>193.792</v>
      </c>
      <c r="BH259" t="s">
        <v>16</v>
      </c>
    </row>
    <row r="260" spans="1:60">
      <c r="A260" t="s">
        <v>72</v>
      </c>
      <c r="B260" t="s">
        <v>192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AV260" t="s">
        <v>16</v>
      </c>
      <c r="AW260">
        <v>16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 t="s">
        <v>16</v>
      </c>
      <c r="BF260">
        <v>10</v>
      </c>
      <c r="BG260">
        <v>5</v>
      </c>
      <c r="BH260">
        <v>0</v>
      </c>
    </row>
    <row r="261" spans="1:60">
      <c r="A261" t="s">
        <v>72</v>
      </c>
      <c r="B261" t="s">
        <v>193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0.626</v>
      </c>
      <c r="AA261">
        <v>1.7210000000000001</v>
      </c>
      <c r="AB261">
        <v>4.2989999999999995</v>
      </c>
      <c r="AC261">
        <v>5.5329999999999995</v>
      </c>
      <c r="AD261">
        <v>8.6300000000000008</v>
      </c>
      <c r="AE261">
        <v>10.798999999999999</v>
      </c>
      <c r="AF261">
        <v>14.777000000000001</v>
      </c>
      <c r="AG261">
        <v>22.024999999999999</v>
      </c>
      <c r="AH261">
        <v>28.086000000000002</v>
      </c>
      <c r="AI261">
        <v>25.064999999999998</v>
      </c>
      <c r="AJ261">
        <v>24.738999999999997</v>
      </c>
      <c r="AK261">
        <v>25.733999999999998</v>
      </c>
      <c r="AL261">
        <v>26.776999999999997</v>
      </c>
      <c r="AM261">
        <v>28.009</v>
      </c>
      <c r="AN261">
        <v>15.811</v>
      </c>
      <c r="AO261">
        <v>9.1989999999999998</v>
      </c>
      <c r="AP261">
        <v>11.358000000000001</v>
      </c>
      <c r="AQ261">
        <v>8.947000000000001</v>
      </c>
      <c r="AR261">
        <v>10.250999999999999</v>
      </c>
      <c r="AS261">
        <v>9.85</v>
      </c>
      <c r="AT261">
        <v>9.3119999999999994</v>
      </c>
      <c r="AU261">
        <v>10.936</v>
      </c>
      <c r="AV261">
        <v>9.588000000000001</v>
      </c>
      <c r="AW261" t="s">
        <v>16</v>
      </c>
      <c r="AX261">
        <v>16.395</v>
      </c>
      <c r="AY261">
        <v>24.942</v>
      </c>
      <c r="AZ261">
        <v>30.103000000000002</v>
      </c>
      <c r="BA261">
        <v>32.460999999999999</v>
      </c>
      <c r="BB261">
        <v>34.058</v>
      </c>
      <c r="BC261">
        <v>44.314999999999998</v>
      </c>
      <c r="BD261">
        <v>46.439</v>
      </c>
      <c r="BE261">
        <v>48.783999999999999</v>
      </c>
      <c r="BF261">
        <v>43</v>
      </c>
      <c r="BG261">
        <v>42</v>
      </c>
      <c r="BH261" t="s">
        <v>16</v>
      </c>
    </row>
    <row r="262" spans="1:60">
      <c r="A262" t="s">
        <v>72</v>
      </c>
      <c r="B262" t="s">
        <v>194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0.41499999999999998</v>
      </c>
      <c r="Y262">
        <v>0.41499999999999998</v>
      </c>
      <c r="Z262">
        <v>0.82399999999999995</v>
      </c>
      <c r="AA262">
        <v>0.82399999999999995</v>
      </c>
      <c r="AB262">
        <v>0.82399999999999995</v>
      </c>
      <c r="AC262">
        <v>0.83899999999999997</v>
      </c>
      <c r="AD262">
        <v>1.097</v>
      </c>
      <c r="AE262">
        <v>1.2250000000000001</v>
      </c>
      <c r="AF262">
        <v>1.8660000000000001</v>
      </c>
      <c r="AG262">
        <v>2.7160000000000002</v>
      </c>
      <c r="AH262">
        <v>2.5959999999999996</v>
      </c>
      <c r="AI262">
        <v>2.3680000000000003</v>
      </c>
      <c r="AJ262">
        <v>2.2770000000000001</v>
      </c>
      <c r="AK262">
        <v>2.4699999999999998</v>
      </c>
      <c r="AL262">
        <v>2.1539999999999999</v>
      </c>
      <c r="AM262">
        <v>2.0329999999999999</v>
      </c>
      <c r="AN262">
        <v>1.2609999999999999</v>
      </c>
      <c r="AO262">
        <v>1.2889999999999999</v>
      </c>
      <c r="AP262">
        <v>2.1350000000000002</v>
      </c>
      <c r="AQ262">
        <v>6.9939999999999998</v>
      </c>
      <c r="AR262">
        <v>3.4820000000000002</v>
      </c>
      <c r="AS262">
        <v>2.8859999999999997</v>
      </c>
      <c r="AT262">
        <v>2.9609999999999999</v>
      </c>
      <c r="AU262">
        <v>9.7570000000000014</v>
      </c>
      <c r="AV262" t="s">
        <v>16</v>
      </c>
      <c r="AW262">
        <v>6.2029999999999994</v>
      </c>
      <c r="AX262">
        <v>10.433</v>
      </c>
      <c r="AY262">
        <v>7.4290000000000003</v>
      </c>
      <c r="AZ262">
        <v>9.629999999999999</v>
      </c>
      <c r="BA262">
        <v>9.19</v>
      </c>
      <c r="BB262">
        <v>11.163</v>
      </c>
      <c r="BC262">
        <v>37.332999999999998</v>
      </c>
      <c r="BD262">
        <v>44.997</v>
      </c>
      <c r="BE262">
        <v>54.171999999999997</v>
      </c>
      <c r="BF262">
        <v>51.119</v>
      </c>
      <c r="BG262">
        <v>19.792000000000002</v>
      </c>
      <c r="BH262" t="s">
        <v>16</v>
      </c>
    </row>
    <row r="263" spans="1:60">
      <c r="A263" t="s">
        <v>72</v>
      </c>
      <c r="B263" t="s">
        <v>195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176</v>
      </c>
      <c r="AV263">
        <v>176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</row>
    <row r="264" spans="1:60">
      <c r="A264" t="s">
        <v>72</v>
      </c>
      <c r="B264" t="s">
        <v>197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100</v>
      </c>
      <c r="AV264">
        <v>100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261</v>
      </c>
      <c r="BE264">
        <v>276.66000000000003</v>
      </c>
      <c r="BF264">
        <v>297</v>
      </c>
      <c r="BG264">
        <v>127</v>
      </c>
      <c r="BH264">
        <v>0</v>
      </c>
    </row>
    <row r="265" spans="1:60">
      <c r="A265" t="s">
        <v>73</v>
      </c>
      <c r="B265" t="s">
        <v>198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0.25</v>
      </c>
      <c r="AA265">
        <v>18.07</v>
      </c>
      <c r="AB265">
        <v>76.56</v>
      </c>
      <c r="AC265">
        <v>233.19</v>
      </c>
      <c r="AD265">
        <v>329.78</v>
      </c>
      <c r="AE265">
        <v>324.18</v>
      </c>
      <c r="AF265">
        <v>915.08</v>
      </c>
      <c r="AG265">
        <v>506.47</v>
      </c>
      <c r="AH265">
        <v>533.54</v>
      </c>
      <c r="AI265">
        <v>519.77</v>
      </c>
      <c r="AJ265">
        <v>907.98</v>
      </c>
      <c r="AK265">
        <v>447.82</v>
      </c>
      <c r="AL265">
        <v>477.85</v>
      </c>
      <c r="AM265">
        <v>488.26</v>
      </c>
      <c r="AN265">
        <v>474.94</v>
      </c>
      <c r="AO265">
        <v>461.32</v>
      </c>
      <c r="AP265">
        <v>492.23</v>
      </c>
      <c r="AQ265">
        <v>541.08999999999992</v>
      </c>
      <c r="AR265">
        <v>580.26</v>
      </c>
      <c r="AS265">
        <v>522.07999999999993</v>
      </c>
      <c r="AT265">
        <v>535</v>
      </c>
      <c r="AU265">
        <v>548.76</v>
      </c>
      <c r="AV265">
        <v>544.9</v>
      </c>
      <c r="AW265">
        <v>538</v>
      </c>
      <c r="AX265">
        <v>0.03</v>
      </c>
      <c r="AY265">
        <v>0</v>
      </c>
      <c r="AZ265">
        <v>0</v>
      </c>
      <c r="BA265">
        <v>0</v>
      </c>
      <c r="BB265">
        <v>0</v>
      </c>
      <c r="BC265">
        <v>4.0000000000000001E-3</v>
      </c>
      <c r="BD265">
        <v>0.38900000000000001</v>
      </c>
      <c r="BE265">
        <v>0</v>
      </c>
      <c r="BF265">
        <v>0</v>
      </c>
      <c r="BG265">
        <v>0</v>
      </c>
      <c r="BH265">
        <v>0</v>
      </c>
    </row>
    <row r="266" spans="1:60">
      <c r="A266" t="s">
        <v>73</v>
      </c>
      <c r="B266" t="s">
        <v>191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69</v>
      </c>
      <c r="AI266">
        <v>67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</row>
    <row r="267" spans="1:60">
      <c r="A267" t="s">
        <v>73</v>
      </c>
      <c r="B267" t="s">
        <v>192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I267" t="s">
        <v>16</v>
      </c>
      <c r="AJ267">
        <v>440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</row>
    <row r="268" spans="1:60">
      <c r="A268" t="s">
        <v>73</v>
      </c>
      <c r="B268" t="s">
        <v>193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0.25</v>
      </c>
      <c r="AA268">
        <v>3.07</v>
      </c>
      <c r="AB268">
        <v>13.559999999999999</v>
      </c>
      <c r="AC268">
        <v>31.990000000000002</v>
      </c>
      <c r="AD268">
        <v>129.47999999999999</v>
      </c>
      <c r="AE268">
        <v>96.98</v>
      </c>
      <c r="AF268">
        <v>185.48000000000002</v>
      </c>
      <c r="AG268">
        <v>180.67000000000002</v>
      </c>
      <c r="AH268">
        <v>125.14</v>
      </c>
      <c r="AI268">
        <v>87.27</v>
      </c>
      <c r="AJ268">
        <v>94.68</v>
      </c>
      <c r="AK268">
        <v>55.519999999999996</v>
      </c>
      <c r="AL268">
        <v>68.75</v>
      </c>
      <c r="AM268">
        <v>81.56</v>
      </c>
      <c r="AN268">
        <v>63.24</v>
      </c>
      <c r="AO268">
        <v>64.319999999999993</v>
      </c>
      <c r="AP268">
        <v>49.13</v>
      </c>
      <c r="AQ268">
        <v>41.69</v>
      </c>
      <c r="AR268">
        <v>68.259999999999991</v>
      </c>
      <c r="AS268">
        <v>0.68</v>
      </c>
      <c r="AT268">
        <v>0</v>
      </c>
      <c r="AU268">
        <v>3.86</v>
      </c>
      <c r="AV268">
        <v>0</v>
      </c>
      <c r="AW268">
        <v>538</v>
      </c>
      <c r="AX268">
        <v>0.03</v>
      </c>
      <c r="AY268">
        <v>0</v>
      </c>
      <c r="AZ268">
        <v>0</v>
      </c>
      <c r="BA268">
        <v>0</v>
      </c>
      <c r="BB268">
        <v>0</v>
      </c>
      <c r="BC268">
        <v>4.0000000000000001E-3</v>
      </c>
      <c r="BD268">
        <v>0.38900000000000001</v>
      </c>
      <c r="BE268">
        <v>0</v>
      </c>
      <c r="BF268">
        <v>0</v>
      </c>
      <c r="BG268">
        <v>0</v>
      </c>
      <c r="BH268">
        <v>0</v>
      </c>
    </row>
    <row r="269" spans="1:60">
      <c r="A269" t="s">
        <v>73</v>
      </c>
      <c r="B269" t="s">
        <v>194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15</v>
      </c>
      <c r="AB269">
        <v>63</v>
      </c>
      <c r="AC269">
        <v>136.19999999999999</v>
      </c>
      <c r="AD269">
        <v>200.3</v>
      </c>
      <c r="AE269">
        <v>227.2</v>
      </c>
      <c r="AF269">
        <v>229.60000000000002</v>
      </c>
      <c r="AG269">
        <v>325.8</v>
      </c>
      <c r="AH269">
        <v>339.4</v>
      </c>
      <c r="AI269">
        <v>365.5</v>
      </c>
      <c r="AJ269">
        <v>373.3</v>
      </c>
      <c r="AK269">
        <v>392.3</v>
      </c>
      <c r="AL269">
        <v>409.1</v>
      </c>
      <c r="AM269">
        <v>406.7</v>
      </c>
      <c r="AN269">
        <v>411.7</v>
      </c>
      <c r="AO269">
        <v>397</v>
      </c>
      <c r="AP269">
        <v>443.1</v>
      </c>
      <c r="AQ269">
        <v>499.4</v>
      </c>
      <c r="AR269">
        <v>512</v>
      </c>
      <c r="AS269">
        <v>521.4</v>
      </c>
      <c r="AT269">
        <v>535</v>
      </c>
      <c r="AU269">
        <v>544.9</v>
      </c>
      <c r="AV269">
        <v>544.9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</row>
    <row r="270" spans="1:60">
      <c r="A270" t="s">
        <v>73</v>
      </c>
      <c r="B270" t="s">
        <v>195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65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</row>
    <row r="271" spans="1:60">
      <c r="A271" t="s">
        <v>73</v>
      </c>
      <c r="B271" t="s">
        <v>197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500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</row>
    <row r="272" spans="1:60">
      <c r="A272" t="s">
        <v>74</v>
      </c>
      <c r="B272" t="s">
        <v>198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29</v>
      </c>
      <c r="I272">
        <v>0</v>
      </c>
      <c r="J272">
        <v>7</v>
      </c>
      <c r="K272">
        <v>9</v>
      </c>
      <c r="L272">
        <v>9</v>
      </c>
      <c r="M272">
        <v>21.640999999999998</v>
      </c>
      <c r="N272">
        <v>41.884999999999998</v>
      </c>
      <c r="O272">
        <v>62.850999999999999</v>
      </c>
      <c r="P272">
        <v>95.894000000000005</v>
      </c>
      <c r="Q272">
        <v>129.62200000000001</v>
      </c>
      <c r="R272">
        <v>157.779</v>
      </c>
      <c r="S272">
        <v>172.309</v>
      </c>
      <c r="T272">
        <v>200.73200000000003</v>
      </c>
      <c r="U272">
        <v>242.94400000000002</v>
      </c>
      <c r="V272">
        <v>249.01900000000001</v>
      </c>
      <c r="W272">
        <v>134.273</v>
      </c>
      <c r="X272">
        <v>160.13500000000002</v>
      </c>
      <c r="Y272">
        <v>191.14600000000002</v>
      </c>
      <c r="Z272">
        <v>207.31700000000001</v>
      </c>
      <c r="AA272">
        <v>201.52199999999999</v>
      </c>
      <c r="AB272">
        <v>261.202</v>
      </c>
      <c r="AC272">
        <v>225.893</v>
      </c>
      <c r="AD272">
        <v>211.67099999999999</v>
      </c>
      <c r="AE272">
        <v>304.22300000000001</v>
      </c>
      <c r="AF272">
        <v>654.90899999999999</v>
      </c>
      <c r="AG272">
        <v>319.27300000000002</v>
      </c>
      <c r="AH272">
        <v>344.63099999999997</v>
      </c>
      <c r="AI272">
        <v>486.89300000000003</v>
      </c>
      <c r="AJ272">
        <v>413.12400000000002</v>
      </c>
      <c r="AK272">
        <v>565.322</v>
      </c>
      <c r="AL272">
        <v>628.11599999999999</v>
      </c>
      <c r="AM272">
        <v>534.95299999999997</v>
      </c>
      <c r="AN272">
        <v>605.774</v>
      </c>
      <c r="AO272">
        <v>846.55799999999999</v>
      </c>
      <c r="AP272">
        <v>649.35</v>
      </c>
      <c r="AQ272">
        <v>491.98899999999998</v>
      </c>
      <c r="AR272">
        <v>428.80599999999998</v>
      </c>
      <c r="AS272">
        <v>425.262</v>
      </c>
      <c r="AT272">
        <v>429.55499999999995</v>
      </c>
      <c r="AU272">
        <v>406.74399999999997</v>
      </c>
      <c r="AV272">
        <v>404.73099999999999</v>
      </c>
      <c r="AW272">
        <v>417.43799999999999</v>
      </c>
      <c r="AX272">
        <v>430.81399999999996</v>
      </c>
      <c r="AY272">
        <v>436.24299999999999</v>
      </c>
      <c r="AZ272">
        <v>214.827</v>
      </c>
      <c r="BA272">
        <v>301.45699999999999</v>
      </c>
      <c r="BB272">
        <v>239.238</v>
      </c>
      <c r="BC272">
        <v>2165.6350000000002</v>
      </c>
      <c r="BD272">
        <v>167.505</v>
      </c>
      <c r="BE272">
        <v>166.66300000000001</v>
      </c>
      <c r="BF272">
        <v>163.911</v>
      </c>
      <c r="BG272">
        <v>155.15499999999997</v>
      </c>
      <c r="BH272" t="s">
        <v>16</v>
      </c>
    </row>
    <row r="273" spans="1:60">
      <c r="A273" t="s">
        <v>74</v>
      </c>
      <c r="B273" t="s">
        <v>192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AB273" t="s">
        <v>16</v>
      </c>
      <c r="AC273">
        <v>200</v>
      </c>
      <c r="AF273">
        <v>124</v>
      </c>
      <c r="AI273">
        <v>203</v>
      </c>
      <c r="AL273">
        <v>156</v>
      </c>
      <c r="AM273" t="s">
        <v>16</v>
      </c>
      <c r="AN273">
        <v>156</v>
      </c>
      <c r="AQ273" t="s">
        <v>16</v>
      </c>
      <c r="AR273">
        <v>151</v>
      </c>
      <c r="AW273" t="s">
        <v>16</v>
      </c>
      <c r="AX273" t="s">
        <v>16</v>
      </c>
      <c r="AY273">
        <v>298</v>
      </c>
      <c r="BA273" t="s">
        <v>16</v>
      </c>
      <c r="BB273" t="s">
        <v>16</v>
      </c>
      <c r="BC273">
        <v>1005</v>
      </c>
      <c r="BD273">
        <v>0</v>
      </c>
      <c r="BE273">
        <v>0</v>
      </c>
      <c r="BF273">
        <v>0</v>
      </c>
      <c r="BG273">
        <v>0</v>
      </c>
      <c r="BH273">
        <v>0</v>
      </c>
    </row>
    <row r="274" spans="1:60">
      <c r="A274" t="s">
        <v>74</v>
      </c>
      <c r="B274" t="s">
        <v>193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29</v>
      </c>
      <c r="I274">
        <v>0</v>
      </c>
      <c r="J274">
        <v>7</v>
      </c>
      <c r="K274">
        <v>9</v>
      </c>
      <c r="L274">
        <v>9</v>
      </c>
      <c r="M274">
        <v>11.173</v>
      </c>
      <c r="N274">
        <v>27.568999999999999</v>
      </c>
      <c r="O274">
        <v>45.027000000000001</v>
      </c>
      <c r="P274">
        <v>71.444000000000003</v>
      </c>
      <c r="Q274">
        <v>101.649</v>
      </c>
      <c r="R274">
        <v>128.71699999999998</v>
      </c>
      <c r="S274">
        <v>146.69200000000001</v>
      </c>
      <c r="T274">
        <v>170.47500000000002</v>
      </c>
      <c r="U274">
        <v>198.179</v>
      </c>
      <c r="V274">
        <v>193.60499999999999</v>
      </c>
      <c r="W274">
        <v>113.50699999999999</v>
      </c>
      <c r="X274">
        <v>116.50900000000001</v>
      </c>
      <c r="Y274">
        <v>125.34</v>
      </c>
      <c r="Z274">
        <v>129.22800000000001</v>
      </c>
      <c r="AA274">
        <v>119.84800000000001</v>
      </c>
      <c r="AB274">
        <v>118.069</v>
      </c>
      <c r="AC274" t="s">
        <v>16</v>
      </c>
      <c r="AD274">
        <v>163.67099999999999</v>
      </c>
      <c r="AE274">
        <v>259.22300000000001</v>
      </c>
      <c r="AF274">
        <v>469</v>
      </c>
      <c r="AG274">
        <v>288.21000000000004</v>
      </c>
      <c r="AH274">
        <v>300.04399999999998</v>
      </c>
      <c r="AI274">
        <v>233</v>
      </c>
      <c r="AJ274">
        <v>351.84300000000002</v>
      </c>
      <c r="AK274">
        <v>495.95499999999998</v>
      </c>
      <c r="AL274">
        <v>402</v>
      </c>
      <c r="AM274">
        <v>457.79599999999999</v>
      </c>
      <c r="AN274">
        <v>376</v>
      </c>
      <c r="AO274">
        <v>697.77599999999995</v>
      </c>
      <c r="AP274">
        <v>621.10699999999997</v>
      </c>
      <c r="AQ274">
        <v>367.18299999999999</v>
      </c>
      <c r="AR274">
        <v>245</v>
      </c>
      <c r="AS274">
        <v>392.45600000000002</v>
      </c>
      <c r="AT274">
        <v>396.74899999999997</v>
      </c>
      <c r="AU274">
        <v>373.03799999999995</v>
      </c>
      <c r="AV274">
        <v>370.36500000000001</v>
      </c>
      <c r="AW274">
        <v>381.99799999999999</v>
      </c>
      <c r="AX274">
        <v>391.2</v>
      </c>
      <c r="AY274">
        <v>99</v>
      </c>
      <c r="AZ274">
        <v>193.529</v>
      </c>
      <c r="BA274">
        <v>280.642</v>
      </c>
      <c r="BB274">
        <v>218.619</v>
      </c>
      <c r="BC274">
        <v>1146</v>
      </c>
      <c r="BD274">
        <v>152.87</v>
      </c>
      <c r="BE274">
        <v>152.02800000000002</v>
      </c>
      <c r="BF274">
        <v>149.27600000000001</v>
      </c>
      <c r="BG274">
        <v>140.51999999999998</v>
      </c>
      <c r="BH274" t="s">
        <v>16</v>
      </c>
    </row>
    <row r="275" spans="1:60">
      <c r="A275" t="s">
        <v>74</v>
      </c>
      <c r="B275" t="s">
        <v>194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10.468</v>
      </c>
      <c r="N275">
        <v>14.316000000000001</v>
      </c>
      <c r="O275">
        <v>17.823999999999998</v>
      </c>
      <c r="P275">
        <v>24.450000000000003</v>
      </c>
      <c r="Q275">
        <v>27.973000000000003</v>
      </c>
      <c r="R275">
        <v>29.061999999999998</v>
      </c>
      <c r="S275">
        <v>25.617000000000001</v>
      </c>
      <c r="T275">
        <v>30.256999999999998</v>
      </c>
      <c r="U275">
        <v>44.765000000000001</v>
      </c>
      <c r="V275">
        <v>55.414000000000001</v>
      </c>
      <c r="W275">
        <v>20.765999999999998</v>
      </c>
      <c r="X275">
        <v>43.626000000000005</v>
      </c>
      <c r="Y275">
        <v>65.805999999999997</v>
      </c>
      <c r="Z275">
        <v>78.088999999999999</v>
      </c>
      <c r="AA275">
        <v>81.673999999999992</v>
      </c>
      <c r="AB275">
        <v>143.13300000000001</v>
      </c>
      <c r="AC275">
        <v>25.893000000000001</v>
      </c>
      <c r="AD275">
        <v>23</v>
      </c>
      <c r="AE275">
        <v>2</v>
      </c>
      <c r="AF275">
        <v>61.908999999999999</v>
      </c>
      <c r="AG275">
        <v>31.063000000000002</v>
      </c>
      <c r="AH275">
        <v>44.586999999999996</v>
      </c>
      <c r="AI275">
        <v>50.893000000000001</v>
      </c>
      <c r="AJ275">
        <v>61.280999999999999</v>
      </c>
      <c r="AK275">
        <v>69.367000000000004</v>
      </c>
      <c r="AL275">
        <v>70.116</v>
      </c>
      <c r="AM275">
        <v>77.156999999999996</v>
      </c>
      <c r="AN275">
        <v>73.774000000000001</v>
      </c>
      <c r="AO275">
        <v>18.782</v>
      </c>
      <c r="AP275">
        <v>28.242999999999999</v>
      </c>
      <c r="AQ275">
        <v>32.805999999999997</v>
      </c>
      <c r="AR275">
        <v>32.805999999999997</v>
      </c>
      <c r="AS275">
        <v>32.805999999999997</v>
      </c>
      <c r="AT275">
        <v>32.805999999999997</v>
      </c>
      <c r="AU275">
        <v>33.706000000000003</v>
      </c>
      <c r="AV275">
        <v>34.366</v>
      </c>
      <c r="AW275">
        <v>35.44</v>
      </c>
      <c r="AX275">
        <v>39.613999999999997</v>
      </c>
      <c r="AY275">
        <v>39.243000000000002</v>
      </c>
      <c r="AZ275">
        <v>21.297999999999998</v>
      </c>
      <c r="BA275">
        <v>20.815000000000001</v>
      </c>
      <c r="BB275">
        <v>20.619</v>
      </c>
      <c r="BC275">
        <v>14.635</v>
      </c>
      <c r="BD275">
        <v>14.635</v>
      </c>
      <c r="BE275">
        <v>14.635</v>
      </c>
      <c r="BF275">
        <v>14.635</v>
      </c>
      <c r="BG275">
        <v>14.635</v>
      </c>
      <c r="BH275" t="s">
        <v>16</v>
      </c>
    </row>
    <row r="276" spans="1:60">
      <c r="A276" t="s">
        <v>74</v>
      </c>
      <c r="B276" t="s">
        <v>195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AD276">
        <v>25</v>
      </c>
      <c r="AE276">
        <v>43</v>
      </c>
      <c r="AF276" t="s">
        <v>16</v>
      </c>
      <c r="AG276" t="s">
        <v>16</v>
      </c>
      <c r="AH276" t="s">
        <v>16</v>
      </c>
      <c r="AI276" t="s">
        <v>16</v>
      </c>
      <c r="AJ276" t="s">
        <v>16</v>
      </c>
      <c r="AK276" t="s">
        <v>16</v>
      </c>
      <c r="AL276" t="s">
        <v>16</v>
      </c>
      <c r="AM276" t="s">
        <v>16</v>
      </c>
      <c r="AN276" t="s">
        <v>16</v>
      </c>
      <c r="AO276">
        <v>130</v>
      </c>
      <c r="AP276">
        <v>0</v>
      </c>
      <c r="AQ276">
        <v>92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</row>
    <row r="277" spans="1:60">
      <c r="A277" t="s">
        <v>75</v>
      </c>
      <c r="B277" t="s">
        <v>198</v>
      </c>
      <c r="Q277">
        <v>0</v>
      </c>
      <c r="R277">
        <v>0</v>
      </c>
      <c r="S277">
        <v>0.107</v>
      </c>
      <c r="T277">
        <v>0.217</v>
      </c>
      <c r="U277">
        <v>0.622</v>
      </c>
      <c r="V277">
        <v>2.3210000000000002</v>
      </c>
      <c r="W277">
        <v>5.4050000000000002</v>
      </c>
      <c r="X277">
        <v>15.544999999999998</v>
      </c>
      <c r="Y277">
        <v>28.115999999999996</v>
      </c>
      <c r="Z277">
        <v>32.692999999999998</v>
      </c>
      <c r="AA277">
        <v>26.784999999999997</v>
      </c>
      <c r="AB277">
        <v>37.531999999999996</v>
      </c>
      <c r="AC277">
        <v>48.344999999999999</v>
      </c>
      <c r="AD277">
        <v>50.997999999999998</v>
      </c>
      <c r="AE277">
        <v>49.995000000000005</v>
      </c>
      <c r="AF277">
        <v>117.392</v>
      </c>
      <c r="AG277">
        <v>163.173</v>
      </c>
      <c r="AH277">
        <v>180.67600000000002</v>
      </c>
      <c r="AI277">
        <v>224.90299999999999</v>
      </c>
      <c r="AJ277">
        <v>273.30500000000001</v>
      </c>
      <c r="AK277">
        <v>341.21699999999998</v>
      </c>
      <c r="AL277">
        <v>354.88400000000001</v>
      </c>
      <c r="AM277">
        <v>398.23099999999999</v>
      </c>
      <c r="AN277">
        <v>226.642</v>
      </c>
      <c r="AO277">
        <v>254.08600000000001</v>
      </c>
      <c r="AP277">
        <v>283.041</v>
      </c>
      <c r="AQ277">
        <v>307.17399999999998</v>
      </c>
      <c r="AR277">
        <v>323</v>
      </c>
      <c r="AS277">
        <v>354.24399999999997</v>
      </c>
      <c r="AT277">
        <v>398.26300000000003</v>
      </c>
      <c r="AU277">
        <v>559.04899999999998</v>
      </c>
      <c r="AV277">
        <v>384.41199999999998</v>
      </c>
      <c r="AW277">
        <v>384.142</v>
      </c>
      <c r="AX277">
        <v>393.69799999999998</v>
      </c>
      <c r="AY277">
        <v>424.42700000000002</v>
      </c>
      <c r="AZ277">
        <v>472.81600000000003</v>
      </c>
      <c r="BA277">
        <v>815.00199999999995</v>
      </c>
      <c r="BB277">
        <v>987.94400000000007</v>
      </c>
      <c r="BC277">
        <v>135.22499999999999</v>
      </c>
      <c r="BD277">
        <v>135.589</v>
      </c>
      <c r="BE277">
        <v>134.31100000000001</v>
      </c>
      <c r="BF277">
        <v>133.31299999999999</v>
      </c>
      <c r="BG277">
        <v>133.05099999999999</v>
      </c>
      <c r="BH277" t="s">
        <v>16</v>
      </c>
    </row>
    <row r="278" spans="1:60">
      <c r="A278" t="s">
        <v>75</v>
      </c>
      <c r="B278" t="s">
        <v>190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0.15</v>
      </c>
      <c r="Z278">
        <v>0.16</v>
      </c>
      <c r="AA278">
        <v>0</v>
      </c>
      <c r="AB278">
        <v>0.3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</row>
    <row r="279" spans="1:60">
      <c r="A279" t="s">
        <v>75</v>
      </c>
      <c r="B279" t="s">
        <v>192</v>
      </c>
      <c r="Q279">
        <v>0</v>
      </c>
      <c r="R279">
        <v>0</v>
      </c>
      <c r="S279">
        <v>0</v>
      </c>
      <c r="T279">
        <v>0</v>
      </c>
      <c r="AD279">
        <v>21</v>
      </c>
      <c r="AF279">
        <v>21</v>
      </c>
      <c r="AK279" t="s">
        <v>16</v>
      </c>
      <c r="AL279">
        <v>196</v>
      </c>
      <c r="AM279" t="s">
        <v>16</v>
      </c>
      <c r="AQ279" t="s">
        <v>16</v>
      </c>
      <c r="AR279">
        <v>141</v>
      </c>
      <c r="AS279" t="s">
        <v>16</v>
      </c>
      <c r="AZ279" t="s">
        <v>16</v>
      </c>
      <c r="BA279">
        <v>322</v>
      </c>
      <c r="BB279" t="s">
        <v>16</v>
      </c>
    </row>
    <row r="280" spans="1:60">
      <c r="A280" t="s">
        <v>75</v>
      </c>
      <c r="B280" t="s">
        <v>193</v>
      </c>
      <c r="Q280">
        <v>0</v>
      </c>
      <c r="R280">
        <v>0</v>
      </c>
      <c r="S280">
        <v>0.107</v>
      </c>
      <c r="T280">
        <v>0.217</v>
      </c>
      <c r="U280">
        <v>0.622</v>
      </c>
      <c r="V280">
        <v>1.5990000000000002</v>
      </c>
      <c r="W280">
        <v>3.6280000000000001</v>
      </c>
      <c r="X280">
        <v>9.8469999999999995</v>
      </c>
      <c r="Y280">
        <v>18.809999999999999</v>
      </c>
      <c r="Z280">
        <v>20.003999999999998</v>
      </c>
      <c r="AA280">
        <v>21.701999999999998</v>
      </c>
      <c r="AB280">
        <v>27.315999999999999</v>
      </c>
      <c r="AC280">
        <v>36.097000000000001</v>
      </c>
      <c r="AD280">
        <v>24</v>
      </c>
      <c r="AE280">
        <v>41.661000000000001</v>
      </c>
      <c r="AF280">
        <v>73</v>
      </c>
      <c r="AG280">
        <v>147.50200000000001</v>
      </c>
      <c r="AH280">
        <v>165.18</v>
      </c>
      <c r="AI280">
        <v>203.27199999999999</v>
      </c>
      <c r="AJ280">
        <v>243.49199999999999</v>
      </c>
      <c r="AK280">
        <v>308.85699999999997</v>
      </c>
      <c r="AL280">
        <v>122</v>
      </c>
      <c r="AM280">
        <v>364.02100000000002</v>
      </c>
      <c r="AN280">
        <v>226.642</v>
      </c>
      <c r="AO280">
        <v>254.08600000000001</v>
      </c>
      <c r="AP280">
        <v>283.041</v>
      </c>
      <c r="AQ280">
        <v>307.17399999999998</v>
      </c>
      <c r="AR280">
        <v>182</v>
      </c>
      <c r="AS280">
        <v>354.24399999999997</v>
      </c>
      <c r="AT280">
        <v>398.26300000000003</v>
      </c>
      <c r="AU280">
        <v>559.04899999999998</v>
      </c>
      <c r="AV280">
        <v>384.41199999999998</v>
      </c>
      <c r="AW280">
        <v>384.142</v>
      </c>
      <c r="AX280">
        <v>393.69799999999998</v>
      </c>
      <c r="AY280">
        <v>424.42700000000002</v>
      </c>
      <c r="AZ280">
        <v>472.81600000000003</v>
      </c>
      <c r="BA280">
        <v>493.00199999999995</v>
      </c>
      <c r="BB280">
        <v>987.94400000000007</v>
      </c>
      <c r="BC280">
        <v>135.22499999999999</v>
      </c>
      <c r="BD280">
        <v>135.589</v>
      </c>
      <c r="BE280">
        <v>134.31100000000001</v>
      </c>
      <c r="BF280">
        <v>133.31299999999999</v>
      </c>
      <c r="BG280">
        <v>133.05099999999999</v>
      </c>
      <c r="BH280" t="s">
        <v>16</v>
      </c>
    </row>
    <row r="281" spans="1:60">
      <c r="A281" t="s">
        <v>75</v>
      </c>
      <c r="B281" t="s">
        <v>194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0.72199999999999998</v>
      </c>
      <c r="W281">
        <v>1.7769999999999999</v>
      </c>
      <c r="X281">
        <v>5.6979999999999995</v>
      </c>
      <c r="Y281">
        <v>9.1559999999999988</v>
      </c>
      <c r="Z281">
        <v>12.529</v>
      </c>
      <c r="AA281">
        <v>5.0830000000000002</v>
      </c>
      <c r="AB281">
        <v>9.9160000000000004</v>
      </c>
      <c r="AC281">
        <v>12.248000000000001</v>
      </c>
      <c r="AD281">
        <v>5.9980000000000002</v>
      </c>
      <c r="AE281">
        <v>8.3339999999999996</v>
      </c>
      <c r="AF281">
        <v>23.391999999999999</v>
      </c>
      <c r="AG281">
        <v>15.670999999999999</v>
      </c>
      <c r="AH281">
        <v>15.495999999999999</v>
      </c>
      <c r="AI281">
        <v>21.631</v>
      </c>
      <c r="AJ281">
        <v>29.812999999999999</v>
      </c>
      <c r="AK281">
        <v>32.36</v>
      </c>
      <c r="AL281">
        <v>36.884</v>
      </c>
      <c r="AM281">
        <v>34.21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</row>
    <row r="282" spans="1:60">
      <c r="A282" t="s">
        <v>76</v>
      </c>
      <c r="B282" t="s">
        <v>198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0.53800000000000003</v>
      </c>
      <c r="P282">
        <v>0.76800000000000002</v>
      </c>
      <c r="Q282">
        <v>2.157</v>
      </c>
      <c r="R282">
        <v>3.46</v>
      </c>
      <c r="S282">
        <v>17.023</v>
      </c>
      <c r="T282">
        <v>25.081999999999997</v>
      </c>
      <c r="U282">
        <v>39.253999999999998</v>
      </c>
      <c r="V282">
        <v>106.09</v>
      </c>
      <c r="W282">
        <v>77.837999999999994</v>
      </c>
      <c r="X282">
        <v>82.35</v>
      </c>
      <c r="Y282">
        <v>131.18700000000001</v>
      </c>
      <c r="Z282">
        <v>172.13400000000001</v>
      </c>
      <c r="AA282">
        <v>293.03174366998724</v>
      </c>
      <c r="AB282">
        <v>373.50921038208924</v>
      </c>
      <c r="AC282">
        <v>458.27349027166048</v>
      </c>
      <c r="AD282">
        <v>608.40322552680573</v>
      </c>
      <c r="AE282">
        <v>659.33855322485988</v>
      </c>
      <c r="AF282">
        <v>1003.4795413887135</v>
      </c>
      <c r="AG282">
        <v>936.2871593349555</v>
      </c>
      <c r="AH282">
        <v>381.34299999999996</v>
      </c>
      <c r="AI282">
        <v>310.738</v>
      </c>
      <c r="AJ282">
        <v>193.71899999999999</v>
      </c>
      <c r="AK282">
        <v>205.941</v>
      </c>
      <c r="AL282">
        <v>248.85599999999999</v>
      </c>
      <c r="AM282">
        <v>1044.0729999999999</v>
      </c>
      <c r="AN282">
        <v>195.446</v>
      </c>
      <c r="AO282">
        <v>176.51499999999999</v>
      </c>
      <c r="AP282">
        <v>684</v>
      </c>
      <c r="AQ282">
        <v>146.80799999999999</v>
      </c>
      <c r="AR282">
        <v>154.619</v>
      </c>
      <c r="AS282">
        <v>163.21299999999999</v>
      </c>
      <c r="AT282">
        <v>190.05500000000001</v>
      </c>
      <c r="AU282">
        <v>310.45400000000001</v>
      </c>
      <c r="AV282">
        <v>395.54100000000005</v>
      </c>
      <c r="AW282">
        <v>459.86399999999992</v>
      </c>
      <c r="AX282">
        <v>597.23200000000008</v>
      </c>
      <c r="AY282">
        <v>183.209</v>
      </c>
      <c r="AZ282">
        <v>174.77699999999999</v>
      </c>
      <c r="BA282">
        <v>185.24700000000001</v>
      </c>
      <c r="BB282">
        <v>189.05799999999999</v>
      </c>
      <c r="BC282">
        <v>192.79500000000002</v>
      </c>
      <c r="BD282">
        <v>477.27299999999997</v>
      </c>
      <c r="BE282">
        <v>313.33299999999997</v>
      </c>
      <c r="BF282">
        <v>246.29800000000003</v>
      </c>
      <c r="BG282">
        <v>170.79900000000001</v>
      </c>
      <c r="BH282" t="s">
        <v>16</v>
      </c>
    </row>
    <row r="283" spans="1:60">
      <c r="A283" t="s">
        <v>76</v>
      </c>
      <c r="B283" t="s">
        <v>190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29</v>
      </c>
      <c r="W283">
        <v>0</v>
      </c>
      <c r="X283">
        <v>0</v>
      </c>
      <c r="Y283">
        <v>1.23</v>
      </c>
      <c r="Z283">
        <v>4.4000000000000004</v>
      </c>
      <c r="AA283">
        <v>91.784743669987222</v>
      </c>
      <c r="AB283">
        <v>112.74921038208922</v>
      </c>
      <c r="AC283">
        <v>135.65149027166052</v>
      </c>
      <c r="AD283">
        <v>167.98922552680568</v>
      </c>
      <c r="AE283">
        <v>171.67155322485982</v>
      </c>
      <c r="AF283">
        <v>180.05154138871356</v>
      </c>
      <c r="AG283">
        <v>211.73015933495543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</row>
    <row r="284" spans="1:60">
      <c r="A284" t="s">
        <v>76</v>
      </c>
      <c r="B284" t="s">
        <v>191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 t="s">
        <v>16</v>
      </c>
      <c r="AD284">
        <v>16</v>
      </c>
      <c r="AE284">
        <v>20</v>
      </c>
      <c r="AF284">
        <v>18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</row>
    <row r="285" spans="1:60">
      <c r="A285" t="s">
        <v>76</v>
      </c>
      <c r="B285" t="s">
        <v>192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AE285" t="s">
        <v>16</v>
      </c>
      <c r="AF285">
        <v>195</v>
      </c>
      <c r="AG285">
        <v>223</v>
      </c>
      <c r="AH285" t="s">
        <v>16</v>
      </c>
      <c r="AJ285">
        <v>39</v>
      </c>
      <c r="AL285" t="s">
        <v>16</v>
      </c>
      <c r="AM285">
        <v>96</v>
      </c>
      <c r="AN285" t="s">
        <v>16</v>
      </c>
      <c r="AP285">
        <v>240</v>
      </c>
      <c r="AQ285" t="s">
        <v>16</v>
      </c>
      <c r="AU285">
        <v>156</v>
      </c>
      <c r="AV285" t="s">
        <v>16</v>
      </c>
    </row>
    <row r="286" spans="1:60">
      <c r="A286" t="s">
        <v>76</v>
      </c>
      <c r="B286" t="s">
        <v>193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16.291</v>
      </c>
      <c r="T286">
        <v>22.832999999999998</v>
      </c>
      <c r="U286">
        <v>29.451000000000001</v>
      </c>
      <c r="V286">
        <v>36.090000000000003</v>
      </c>
      <c r="W286">
        <v>38.837999999999994</v>
      </c>
      <c r="X286">
        <v>48.35</v>
      </c>
      <c r="Y286">
        <v>81.456999999999994</v>
      </c>
      <c r="Z286">
        <v>97.733999999999995</v>
      </c>
      <c r="AA286">
        <v>114.247</v>
      </c>
      <c r="AB286">
        <v>147.678</v>
      </c>
      <c r="AC286">
        <v>181.191</v>
      </c>
      <c r="AD286">
        <v>222.733</v>
      </c>
      <c r="AE286">
        <v>259.57600000000002</v>
      </c>
      <c r="AF286">
        <v>411</v>
      </c>
      <c r="AG286">
        <v>375</v>
      </c>
      <c r="AH286">
        <v>252.839</v>
      </c>
      <c r="AI286">
        <v>217.738</v>
      </c>
      <c r="AJ286">
        <v>104</v>
      </c>
      <c r="AK286">
        <v>152.51900000000001</v>
      </c>
      <c r="AL286">
        <v>190.989</v>
      </c>
      <c r="AM286">
        <v>889.11199999999997</v>
      </c>
      <c r="AN286">
        <v>134.59399999999999</v>
      </c>
      <c r="AO286">
        <v>115.08099999999999</v>
      </c>
      <c r="AP286">
        <v>371</v>
      </c>
      <c r="AQ286">
        <v>123.952</v>
      </c>
      <c r="AR286">
        <v>120.024</v>
      </c>
      <c r="AS286">
        <v>125.922</v>
      </c>
      <c r="AT286">
        <v>147.24600000000001</v>
      </c>
      <c r="AU286">
        <v>109</v>
      </c>
      <c r="AV286">
        <v>377.79400000000004</v>
      </c>
      <c r="AW286">
        <v>441.36299999999994</v>
      </c>
      <c r="AX286">
        <v>578.2940000000001</v>
      </c>
      <c r="AY286">
        <v>151.98500000000001</v>
      </c>
      <c r="AZ286">
        <v>142.92099999999999</v>
      </c>
      <c r="BA286">
        <v>153.16300000000001</v>
      </c>
      <c r="BB286">
        <v>156.68099999999998</v>
      </c>
      <c r="BC286">
        <v>160.02600000000001</v>
      </c>
      <c r="BD286">
        <v>444.10899999999998</v>
      </c>
      <c r="BE286">
        <v>279.90999999999997</v>
      </c>
      <c r="BF286">
        <v>212.62400000000002</v>
      </c>
      <c r="BG286">
        <v>137.179</v>
      </c>
      <c r="BH286" t="s">
        <v>16</v>
      </c>
    </row>
    <row r="287" spans="1:60">
      <c r="A287" t="s">
        <v>76</v>
      </c>
      <c r="B287" t="s">
        <v>194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0.53800000000000003</v>
      </c>
      <c r="P287">
        <v>0.76800000000000002</v>
      </c>
      <c r="Q287">
        <v>2.157</v>
      </c>
      <c r="R287">
        <v>3.46</v>
      </c>
      <c r="S287">
        <v>0.73199999999999998</v>
      </c>
      <c r="T287">
        <v>2.2490000000000001</v>
      </c>
      <c r="U287">
        <v>9.802999999999999</v>
      </c>
      <c r="V287" t="s">
        <v>16</v>
      </c>
      <c r="W287" t="s">
        <v>16</v>
      </c>
      <c r="X287">
        <v>24</v>
      </c>
      <c r="Y287">
        <v>34</v>
      </c>
      <c r="Z287">
        <v>46</v>
      </c>
      <c r="AA287">
        <v>45</v>
      </c>
      <c r="AB287">
        <v>113.08200000000001</v>
      </c>
      <c r="AC287">
        <v>141.43099999999998</v>
      </c>
      <c r="AD287">
        <v>201.68100000000001</v>
      </c>
      <c r="AE287">
        <v>208.09100000000001</v>
      </c>
      <c r="AF287">
        <v>199.428</v>
      </c>
      <c r="AG287">
        <v>126.557</v>
      </c>
      <c r="AH287">
        <v>128.50399999999999</v>
      </c>
      <c r="AI287" t="s">
        <v>16</v>
      </c>
      <c r="AJ287">
        <v>50.719000000000001</v>
      </c>
      <c r="AK287">
        <v>53.421999999999997</v>
      </c>
      <c r="AL287">
        <v>57.867000000000004</v>
      </c>
      <c r="AM287">
        <v>58.960999999999999</v>
      </c>
      <c r="AN287">
        <v>60.851999999999997</v>
      </c>
      <c r="AO287">
        <v>61.433999999999997</v>
      </c>
      <c r="AP287" t="s">
        <v>16</v>
      </c>
      <c r="AQ287">
        <v>22.856000000000002</v>
      </c>
      <c r="AR287">
        <v>34.594999999999999</v>
      </c>
      <c r="AS287">
        <v>37.290999999999997</v>
      </c>
      <c r="AT287">
        <v>42.808999999999997</v>
      </c>
      <c r="AU287">
        <v>45.454000000000001</v>
      </c>
      <c r="AV287">
        <v>17.747</v>
      </c>
      <c r="AW287">
        <v>18.500999999999998</v>
      </c>
      <c r="AX287">
        <v>18.938000000000002</v>
      </c>
      <c r="AY287">
        <v>31.224</v>
      </c>
      <c r="AZ287">
        <v>31.856000000000002</v>
      </c>
      <c r="BA287">
        <v>32.084000000000003</v>
      </c>
      <c r="BB287">
        <v>32.376999999999995</v>
      </c>
      <c r="BC287">
        <v>32.769000000000005</v>
      </c>
      <c r="BD287">
        <v>33.164000000000001</v>
      </c>
      <c r="BE287">
        <v>33.423000000000002</v>
      </c>
      <c r="BF287">
        <v>33.673999999999999</v>
      </c>
      <c r="BG287">
        <v>33.619999999999997</v>
      </c>
      <c r="BH287" t="s">
        <v>16</v>
      </c>
    </row>
    <row r="288" spans="1:60">
      <c r="A288" t="s">
        <v>76</v>
      </c>
      <c r="B288" t="s">
        <v>195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41</v>
      </c>
      <c r="W288">
        <v>39</v>
      </c>
      <c r="X288">
        <v>10</v>
      </c>
      <c r="Y288">
        <v>14.5</v>
      </c>
      <c r="Z288">
        <v>24</v>
      </c>
      <c r="AA288">
        <v>42</v>
      </c>
      <c r="AB288" t="s">
        <v>16</v>
      </c>
      <c r="AC288" t="s">
        <v>16</v>
      </c>
      <c r="AD288" t="s">
        <v>16</v>
      </c>
      <c r="AE288" t="s">
        <v>16</v>
      </c>
      <c r="AF288" t="s">
        <v>16</v>
      </c>
      <c r="AG288" t="s">
        <v>16</v>
      </c>
      <c r="AH288" t="s">
        <v>16</v>
      </c>
      <c r="AI288">
        <v>93</v>
      </c>
      <c r="AJ288" t="s">
        <v>16</v>
      </c>
      <c r="AK288" t="s">
        <v>16</v>
      </c>
      <c r="AL288" t="s">
        <v>16</v>
      </c>
      <c r="AM288" t="s">
        <v>16</v>
      </c>
      <c r="AN288" t="s">
        <v>16</v>
      </c>
      <c r="AO288" t="s">
        <v>16</v>
      </c>
      <c r="AP288">
        <v>73</v>
      </c>
      <c r="AQ288" t="s">
        <v>16</v>
      </c>
      <c r="AR288" t="s">
        <v>16</v>
      </c>
      <c r="AS288" t="s">
        <v>16</v>
      </c>
      <c r="AT288" t="s">
        <v>16</v>
      </c>
      <c r="AU288" t="s">
        <v>16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</row>
    <row r="289" spans="1:60">
      <c r="A289" t="s">
        <v>77</v>
      </c>
      <c r="B289" t="s">
        <v>198</v>
      </c>
      <c r="C289">
        <v>1</v>
      </c>
      <c r="D289">
        <v>1</v>
      </c>
      <c r="E289">
        <v>1</v>
      </c>
      <c r="F289">
        <v>27</v>
      </c>
      <c r="G289">
        <v>27</v>
      </c>
      <c r="H289">
        <v>29</v>
      </c>
      <c r="I289">
        <v>0.2</v>
      </c>
      <c r="J289">
        <v>3.55</v>
      </c>
      <c r="K289">
        <v>4.2</v>
      </c>
      <c r="L289">
        <v>5.5</v>
      </c>
      <c r="M289">
        <v>4.32</v>
      </c>
      <c r="N289">
        <v>4.32</v>
      </c>
      <c r="O289">
        <v>4.3259999999999996</v>
      </c>
      <c r="P289">
        <v>4.0519999999999996</v>
      </c>
      <c r="Q289">
        <v>5.3999999999999999E-2</v>
      </c>
      <c r="R289">
        <v>2.99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0.15</v>
      </c>
      <c r="Y289">
        <v>2.6890000000000001</v>
      </c>
      <c r="Z289">
        <v>9.7650000000000006</v>
      </c>
      <c r="AA289">
        <v>17.597999999999999</v>
      </c>
      <c r="AB289">
        <v>29.934000000000001</v>
      </c>
      <c r="AC289">
        <v>38.506</v>
      </c>
      <c r="AD289">
        <v>41.680999999999997</v>
      </c>
      <c r="AE289">
        <v>104.51948790891601</v>
      </c>
      <c r="AF289">
        <v>100.69812187120672</v>
      </c>
      <c r="AG289">
        <v>66.626000000000005</v>
      </c>
      <c r="AH289">
        <v>230.79600000000002</v>
      </c>
      <c r="AI289">
        <v>81.972000000000008</v>
      </c>
      <c r="AJ289">
        <v>172.59407673629556</v>
      </c>
      <c r="AK289">
        <v>194.05314215406798</v>
      </c>
      <c r="AL289">
        <v>199.64499999999998</v>
      </c>
      <c r="AM289">
        <v>5.1710000000000003</v>
      </c>
      <c r="AN289">
        <v>3.851</v>
      </c>
      <c r="AO289">
        <v>2.88</v>
      </c>
      <c r="AP289">
        <v>3.2030000000000003</v>
      </c>
      <c r="AQ289">
        <v>3.46</v>
      </c>
      <c r="AR289">
        <v>12.016999999999999</v>
      </c>
      <c r="AS289">
        <v>24.138999999999999</v>
      </c>
      <c r="AT289">
        <v>60.022999999999996</v>
      </c>
      <c r="AU289">
        <v>129.197</v>
      </c>
      <c r="AV289">
        <v>36.484000000000002</v>
      </c>
      <c r="AW289">
        <v>69</v>
      </c>
      <c r="AX289">
        <v>51.278999999999996</v>
      </c>
      <c r="AY289">
        <v>19.474</v>
      </c>
      <c r="AZ289">
        <v>1034</v>
      </c>
      <c r="BA289">
        <v>779.91200000000003</v>
      </c>
      <c r="BB289">
        <v>563.28</v>
      </c>
      <c r="BC289">
        <v>11.957000000000001</v>
      </c>
      <c r="BD289">
        <v>15.116</v>
      </c>
      <c r="BE289">
        <v>13.317</v>
      </c>
      <c r="BF289">
        <v>20.221</v>
      </c>
      <c r="BG289">
        <v>4.1959999999999997</v>
      </c>
      <c r="BH289" t="s">
        <v>16</v>
      </c>
    </row>
    <row r="290" spans="1:60">
      <c r="A290" t="s">
        <v>77</v>
      </c>
      <c r="B290" t="s">
        <v>190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3.25</v>
      </c>
      <c r="K290">
        <v>2</v>
      </c>
      <c r="L290">
        <v>3.5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50.729487908915999</v>
      </c>
      <c r="AF290">
        <v>53.528121871206721</v>
      </c>
      <c r="AG290">
        <v>0</v>
      </c>
      <c r="AH290">
        <v>0</v>
      </c>
      <c r="AI290">
        <v>0</v>
      </c>
      <c r="AJ290">
        <v>34.729076736295582</v>
      </c>
      <c r="AK290">
        <v>9.5881421540679703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</row>
    <row r="291" spans="1:60">
      <c r="A291" t="s">
        <v>77</v>
      </c>
      <c r="B291" t="s">
        <v>191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1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46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</row>
    <row r="292" spans="1:60">
      <c r="A292" t="s">
        <v>77</v>
      </c>
      <c r="B292" t="s">
        <v>192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AL292">
        <v>117</v>
      </c>
      <c r="AW292">
        <v>69</v>
      </c>
      <c r="AX292" t="s">
        <v>16</v>
      </c>
      <c r="AZ292">
        <v>161</v>
      </c>
      <c r="BA292" t="s">
        <v>16</v>
      </c>
    </row>
    <row r="293" spans="1:60">
      <c r="A293" t="s">
        <v>77</v>
      </c>
      <c r="B293" t="s">
        <v>193</v>
      </c>
      <c r="C293">
        <v>1</v>
      </c>
      <c r="D293">
        <v>1</v>
      </c>
      <c r="E293">
        <v>1</v>
      </c>
      <c r="F293">
        <v>27</v>
      </c>
      <c r="G293">
        <v>27</v>
      </c>
      <c r="H293">
        <v>29</v>
      </c>
      <c r="I293">
        <v>0.2</v>
      </c>
      <c r="J293">
        <v>0.3</v>
      </c>
      <c r="K293">
        <v>1.2</v>
      </c>
      <c r="L293">
        <v>2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2.99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0.15</v>
      </c>
      <c r="Y293">
        <v>0.34899999999999998</v>
      </c>
      <c r="Z293">
        <v>0.52400000000000002</v>
      </c>
      <c r="AA293">
        <v>2.173</v>
      </c>
      <c r="AB293">
        <v>3.9089999999999998</v>
      </c>
      <c r="AC293">
        <v>10.54</v>
      </c>
      <c r="AD293">
        <v>10.718</v>
      </c>
      <c r="AE293">
        <v>12.6</v>
      </c>
      <c r="AF293">
        <v>15.716999999999999</v>
      </c>
      <c r="AG293">
        <v>27.486000000000001</v>
      </c>
      <c r="AH293">
        <v>184.41900000000001</v>
      </c>
      <c r="AI293">
        <v>28.808</v>
      </c>
      <c r="AJ293">
        <v>55.552</v>
      </c>
      <c r="AK293">
        <v>101.82000000000001</v>
      </c>
      <c r="AL293" t="s">
        <v>16</v>
      </c>
      <c r="AM293">
        <v>5.1710000000000003</v>
      </c>
      <c r="AN293">
        <v>3.851</v>
      </c>
      <c r="AO293">
        <v>2.88</v>
      </c>
      <c r="AP293">
        <v>3.2030000000000003</v>
      </c>
      <c r="AQ293">
        <v>3.46</v>
      </c>
      <c r="AR293">
        <v>12.016999999999999</v>
      </c>
      <c r="AS293">
        <v>24.138999999999999</v>
      </c>
      <c r="AT293">
        <v>60.022999999999996</v>
      </c>
      <c r="AU293">
        <v>83.197000000000003</v>
      </c>
      <c r="AV293">
        <v>36.484000000000002</v>
      </c>
      <c r="AW293" t="s">
        <v>16</v>
      </c>
      <c r="AX293">
        <v>51.278999999999996</v>
      </c>
      <c r="AY293">
        <v>19.474</v>
      </c>
      <c r="AZ293">
        <v>873</v>
      </c>
      <c r="BA293">
        <v>779.91200000000003</v>
      </c>
      <c r="BB293">
        <v>563.28</v>
      </c>
      <c r="BC293">
        <v>11.957000000000001</v>
      </c>
      <c r="BD293">
        <v>15.116</v>
      </c>
      <c r="BE293">
        <v>13.317</v>
      </c>
      <c r="BF293">
        <v>20.221</v>
      </c>
      <c r="BG293">
        <v>4.1959999999999997</v>
      </c>
      <c r="BH293" t="s">
        <v>16</v>
      </c>
    </row>
    <row r="294" spans="1:60">
      <c r="A294" t="s">
        <v>77</v>
      </c>
      <c r="B294" t="s">
        <v>194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4.32</v>
      </c>
      <c r="N294">
        <v>4.32</v>
      </c>
      <c r="O294">
        <v>4.3259999999999996</v>
      </c>
      <c r="P294">
        <v>4.0519999999999996</v>
      </c>
      <c r="Q294">
        <v>5.3999999999999999E-2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2.34</v>
      </c>
      <c r="Z294">
        <v>9.2409999999999997</v>
      </c>
      <c r="AA294">
        <v>15.424999999999999</v>
      </c>
      <c r="AB294">
        <v>26.025000000000002</v>
      </c>
      <c r="AC294">
        <v>27.966000000000001</v>
      </c>
      <c r="AD294">
        <v>30.963000000000001</v>
      </c>
      <c r="AE294">
        <v>41.19</v>
      </c>
      <c r="AF294">
        <v>31.452999999999999</v>
      </c>
      <c r="AG294">
        <v>39.14</v>
      </c>
      <c r="AH294">
        <v>46.377000000000002</v>
      </c>
      <c r="AI294">
        <v>53.164000000000001</v>
      </c>
      <c r="AJ294">
        <v>82.313000000000002</v>
      </c>
      <c r="AK294">
        <v>82.644999999999996</v>
      </c>
      <c r="AL294">
        <v>82.644999999999996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</row>
    <row r="295" spans="1:60">
      <c r="A295" t="s">
        <v>78</v>
      </c>
      <c r="B295" t="s">
        <v>198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0.25</v>
      </c>
      <c r="U295">
        <v>1.01</v>
      </c>
      <c r="V295">
        <v>2.6</v>
      </c>
      <c r="W295">
        <v>2.6830000000000003</v>
      </c>
      <c r="X295">
        <v>16.053000000000001</v>
      </c>
      <c r="Y295">
        <v>57.571999999999996</v>
      </c>
      <c r="Z295">
        <v>112.23</v>
      </c>
      <c r="AA295">
        <v>382.42899999999997</v>
      </c>
      <c r="AB295">
        <v>285.30699999999996</v>
      </c>
      <c r="AC295">
        <v>360.678</v>
      </c>
      <c r="AD295">
        <v>435.71600000000001</v>
      </c>
      <c r="AE295">
        <v>523.99873534785036</v>
      </c>
      <c r="AF295">
        <v>817.18816941260479</v>
      </c>
      <c r="AG295">
        <v>686.52196408597376</v>
      </c>
      <c r="AH295">
        <v>792.05000000000007</v>
      </c>
      <c r="AI295">
        <v>326.80500000000001</v>
      </c>
      <c r="AJ295">
        <v>390.64800000000002</v>
      </c>
      <c r="AK295">
        <v>342.90499999999997</v>
      </c>
      <c r="AL295">
        <v>292.96400000000006</v>
      </c>
      <c r="AM295">
        <v>314.50900000000001</v>
      </c>
      <c r="AN295">
        <v>357.733</v>
      </c>
      <c r="AO295">
        <v>248.73099999999999</v>
      </c>
      <c r="AP295">
        <v>529.15300000000002</v>
      </c>
      <c r="AQ295">
        <v>260.82900000000001</v>
      </c>
      <c r="AR295">
        <v>203.529</v>
      </c>
      <c r="AS295">
        <v>187.13300000000001</v>
      </c>
      <c r="AT295">
        <v>229.01000000000002</v>
      </c>
      <c r="AU295">
        <v>498.12900000000002</v>
      </c>
      <c r="AV295">
        <v>999.71199999999999</v>
      </c>
      <c r="AW295">
        <v>1538.9950000000001</v>
      </c>
      <c r="AX295">
        <v>1250.6199999999999</v>
      </c>
      <c r="AY295">
        <v>97.285999999999987</v>
      </c>
      <c r="AZ295">
        <v>48.259</v>
      </c>
      <c r="BA295">
        <v>49.018000000000001</v>
      </c>
      <c r="BB295">
        <v>130.24799999999999</v>
      </c>
      <c r="BC295">
        <v>27.234000000000002</v>
      </c>
      <c r="BD295">
        <v>27.858000000000001</v>
      </c>
      <c r="BE295">
        <v>25.239000000000001</v>
      </c>
      <c r="BF295">
        <v>20.558</v>
      </c>
      <c r="BG295">
        <v>15.274000000000001</v>
      </c>
      <c r="BH295" t="s">
        <v>16</v>
      </c>
    </row>
    <row r="296" spans="1:60">
      <c r="A296" t="s">
        <v>78</v>
      </c>
      <c r="B296" t="s">
        <v>190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42.381735347850395</v>
      </c>
      <c r="AF296">
        <v>44.286169412604792</v>
      </c>
      <c r="AG296">
        <v>52.077964085973768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</row>
    <row r="297" spans="1:60">
      <c r="A297" t="s">
        <v>78</v>
      </c>
      <c r="B297" t="s">
        <v>191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27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</row>
    <row r="298" spans="1:60">
      <c r="A298" t="s">
        <v>78</v>
      </c>
      <c r="B298" t="s">
        <v>192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AG298">
        <v>280</v>
      </c>
      <c r="AI298">
        <v>180</v>
      </c>
      <c r="AM298">
        <v>180</v>
      </c>
      <c r="AO298" t="s">
        <v>16</v>
      </c>
      <c r="AP298">
        <v>411</v>
      </c>
      <c r="AT298" t="s">
        <v>16</v>
      </c>
      <c r="AU298">
        <v>361</v>
      </c>
      <c r="AV298">
        <v>316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</row>
    <row r="299" spans="1:60">
      <c r="A299" t="s">
        <v>78</v>
      </c>
      <c r="B299" t="s">
        <v>193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0.25</v>
      </c>
      <c r="U299">
        <v>0.182</v>
      </c>
      <c r="V299">
        <v>0.627</v>
      </c>
      <c r="W299">
        <v>0.46800000000000003</v>
      </c>
      <c r="X299">
        <v>0.48399999999999999</v>
      </c>
      <c r="Y299">
        <v>6.2720000000000002</v>
      </c>
      <c r="Z299">
        <v>10.43</v>
      </c>
      <c r="AA299">
        <v>14.428999999999998</v>
      </c>
      <c r="AB299">
        <v>26.200000000000003</v>
      </c>
      <c r="AC299">
        <v>50.164000000000001</v>
      </c>
      <c r="AD299">
        <v>86.639999999999986</v>
      </c>
      <c r="AE299">
        <v>107.773</v>
      </c>
      <c r="AF299">
        <v>262.77600000000001</v>
      </c>
      <c r="AG299">
        <v>26</v>
      </c>
      <c r="AH299">
        <v>611.55600000000004</v>
      </c>
      <c r="AI299">
        <v>22</v>
      </c>
      <c r="AJ299">
        <v>205.01</v>
      </c>
      <c r="AK299">
        <v>210.07999999999998</v>
      </c>
      <c r="AL299">
        <v>160.60500000000002</v>
      </c>
      <c r="AM299">
        <v>32</v>
      </c>
      <c r="AN299">
        <v>265.74599999999998</v>
      </c>
      <c r="AO299">
        <v>138.55600000000001</v>
      </c>
      <c r="AP299" t="s">
        <v>16</v>
      </c>
      <c r="AQ299">
        <v>138.86799999999999</v>
      </c>
      <c r="AR299">
        <v>158.529</v>
      </c>
      <c r="AS299">
        <v>143.36500000000001</v>
      </c>
      <c r="AT299">
        <v>175.71100000000001</v>
      </c>
      <c r="AU299">
        <v>17</v>
      </c>
      <c r="AV299">
        <v>651</v>
      </c>
      <c r="AW299">
        <v>1536.2</v>
      </c>
      <c r="AX299">
        <v>1246.2069999999999</v>
      </c>
      <c r="AY299">
        <v>91.907999999999987</v>
      </c>
      <c r="AZ299">
        <v>41.548999999999999</v>
      </c>
      <c r="BA299">
        <v>42.34</v>
      </c>
      <c r="BB299">
        <v>124.916</v>
      </c>
      <c r="BC299">
        <v>20.651</v>
      </c>
      <c r="BD299">
        <v>21.375</v>
      </c>
      <c r="BE299">
        <v>18.899000000000001</v>
      </c>
      <c r="BF299">
        <v>14.31</v>
      </c>
      <c r="BG299">
        <v>9.6470000000000002</v>
      </c>
      <c r="BH299" t="s">
        <v>16</v>
      </c>
    </row>
    <row r="300" spans="1:60">
      <c r="A300" t="s">
        <v>78</v>
      </c>
      <c r="B300" t="s">
        <v>194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0.82799999999999996</v>
      </c>
      <c r="V300">
        <v>1.9730000000000001</v>
      </c>
      <c r="W300">
        <v>2.2150000000000003</v>
      </c>
      <c r="X300">
        <v>4.1690000000000005</v>
      </c>
      <c r="Y300">
        <v>10</v>
      </c>
      <c r="Z300">
        <v>66</v>
      </c>
      <c r="AA300" t="s">
        <v>16</v>
      </c>
      <c r="AB300">
        <v>259.10699999999997</v>
      </c>
      <c r="AC300">
        <v>310.51400000000001</v>
      </c>
      <c r="AD300">
        <v>349.07600000000002</v>
      </c>
      <c r="AE300">
        <v>373.84399999999999</v>
      </c>
      <c r="AF300">
        <v>351.12599999999998</v>
      </c>
      <c r="AG300">
        <v>328.44400000000002</v>
      </c>
      <c r="AH300">
        <v>180.494</v>
      </c>
      <c r="AI300">
        <v>124.80499999999999</v>
      </c>
      <c r="AJ300">
        <v>185.63800000000001</v>
      </c>
      <c r="AK300">
        <v>132.82499999999999</v>
      </c>
      <c r="AL300">
        <v>132.35900000000001</v>
      </c>
      <c r="AM300">
        <v>102.509</v>
      </c>
      <c r="AN300">
        <v>91.987000000000009</v>
      </c>
      <c r="AO300">
        <v>110.175</v>
      </c>
      <c r="AP300">
        <v>118.15299999999999</v>
      </c>
      <c r="AQ300">
        <v>121.961</v>
      </c>
      <c r="AR300">
        <v>10</v>
      </c>
      <c r="AS300">
        <v>43.768000000000001</v>
      </c>
      <c r="AT300">
        <v>53.299000000000007</v>
      </c>
      <c r="AU300">
        <v>120.129</v>
      </c>
      <c r="AV300">
        <v>32.712000000000003</v>
      </c>
      <c r="AW300">
        <v>2.7949999999999999</v>
      </c>
      <c r="AX300">
        <v>4.4130000000000003</v>
      </c>
      <c r="AY300">
        <v>5.3780000000000001</v>
      </c>
      <c r="AZ300">
        <v>6.71</v>
      </c>
      <c r="BA300">
        <v>6.6779999999999999</v>
      </c>
      <c r="BB300">
        <v>5.3319999999999999</v>
      </c>
      <c r="BC300">
        <v>6.5830000000000002</v>
      </c>
      <c r="BD300">
        <v>6.4830000000000005</v>
      </c>
      <c r="BE300">
        <v>6.34</v>
      </c>
      <c r="BF300">
        <v>6.2480000000000002</v>
      </c>
      <c r="BG300">
        <v>5.6269999999999998</v>
      </c>
      <c r="BH300" t="s">
        <v>16</v>
      </c>
    </row>
    <row r="301" spans="1:60">
      <c r="A301" t="s">
        <v>78</v>
      </c>
      <c r="B301" t="s">
        <v>195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11.4</v>
      </c>
      <c r="Y301">
        <v>41.3</v>
      </c>
      <c r="Z301">
        <v>35.799999999999997</v>
      </c>
      <c r="AA301">
        <v>368</v>
      </c>
      <c r="AB301" t="s">
        <v>16</v>
      </c>
      <c r="AC301" t="s">
        <v>16</v>
      </c>
      <c r="AD301" t="s">
        <v>16</v>
      </c>
      <c r="AE301" t="s">
        <v>16</v>
      </c>
      <c r="AF301">
        <v>132</v>
      </c>
      <c r="AG301" t="s">
        <v>16</v>
      </c>
      <c r="AH301" t="s">
        <v>16</v>
      </c>
      <c r="AI301" t="s">
        <v>16</v>
      </c>
      <c r="AJ301" t="s">
        <v>16</v>
      </c>
      <c r="AK301" t="s">
        <v>16</v>
      </c>
      <c r="AL301" t="s">
        <v>16</v>
      </c>
      <c r="AM301" t="s">
        <v>16</v>
      </c>
      <c r="AN301" t="s">
        <v>16</v>
      </c>
      <c r="AO301" t="s">
        <v>16</v>
      </c>
      <c r="AP301" t="s">
        <v>16</v>
      </c>
      <c r="AQ301" t="s">
        <v>16</v>
      </c>
      <c r="AR301">
        <v>35</v>
      </c>
      <c r="AS301" t="s">
        <v>16</v>
      </c>
      <c r="AT301" t="s">
        <v>16</v>
      </c>
      <c r="AU301" t="s">
        <v>16</v>
      </c>
      <c r="AV301" t="s">
        <v>16</v>
      </c>
      <c r="AW301" t="s">
        <v>16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</row>
    <row r="302" spans="1:60">
      <c r="A302" t="s">
        <v>79</v>
      </c>
      <c r="B302" t="s">
        <v>198</v>
      </c>
      <c r="C302">
        <v>144.8484</v>
      </c>
      <c r="D302">
        <v>147.74760000000001</v>
      </c>
      <c r="E302">
        <v>150.64679999999998</v>
      </c>
      <c r="F302">
        <v>153.54600000000002</v>
      </c>
      <c r="G302">
        <v>156.4452</v>
      </c>
      <c r="H302">
        <v>159.34440000000004</v>
      </c>
      <c r="I302">
        <v>162.24360000000001</v>
      </c>
      <c r="J302">
        <v>148.79440000000002</v>
      </c>
      <c r="K302">
        <v>51.590000000000018</v>
      </c>
      <c r="L302">
        <v>52.47600000000002</v>
      </c>
      <c r="M302">
        <v>53.362000000000023</v>
      </c>
      <c r="N302">
        <v>54.248000000000026</v>
      </c>
      <c r="O302">
        <v>55.134000000000029</v>
      </c>
      <c r="P302">
        <v>56.020000000000032</v>
      </c>
      <c r="Q302">
        <v>56.906000000000034</v>
      </c>
      <c r="R302">
        <v>57.792000000000037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9.1999999999999993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</row>
    <row r="303" spans="1:60">
      <c r="A303" t="s">
        <v>79</v>
      </c>
      <c r="B303" t="s">
        <v>193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9.1999999999999993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</row>
    <row r="304" spans="1:60">
      <c r="A304" t="s">
        <v>79</v>
      </c>
      <c r="B304" t="s">
        <v>197</v>
      </c>
      <c r="C304">
        <v>144.8484</v>
      </c>
      <c r="D304">
        <v>147.74760000000001</v>
      </c>
      <c r="E304">
        <v>150.64679999999998</v>
      </c>
      <c r="F304">
        <v>153.54600000000002</v>
      </c>
      <c r="G304">
        <v>156.4452</v>
      </c>
      <c r="H304">
        <v>159.34440000000004</v>
      </c>
      <c r="I304">
        <v>162.24360000000001</v>
      </c>
      <c r="J304">
        <v>148.79440000000002</v>
      </c>
      <c r="K304">
        <v>51.590000000000018</v>
      </c>
      <c r="L304">
        <v>52.47600000000002</v>
      </c>
      <c r="M304">
        <v>53.362000000000023</v>
      </c>
      <c r="N304">
        <v>54.248000000000026</v>
      </c>
      <c r="O304">
        <v>55.134000000000029</v>
      </c>
      <c r="P304">
        <v>56.020000000000032</v>
      </c>
      <c r="Q304">
        <v>56.906000000000034</v>
      </c>
      <c r="R304">
        <v>57.792000000000037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</row>
    <row r="305" spans="1:60">
      <c r="A305" t="s">
        <v>80</v>
      </c>
      <c r="B305" t="s">
        <v>198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30</v>
      </c>
      <c r="K305">
        <v>403</v>
      </c>
      <c r="L305">
        <v>0</v>
      </c>
      <c r="M305">
        <v>0</v>
      </c>
      <c r="N305">
        <v>0</v>
      </c>
      <c r="O305">
        <v>153</v>
      </c>
      <c r="P305">
        <v>187</v>
      </c>
      <c r="Q305">
        <v>194</v>
      </c>
      <c r="R305">
        <v>228</v>
      </c>
      <c r="S305">
        <v>169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3</v>
      </c>
      <c r="AJ305">
        <v>1.1000000000000001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</row>
    <row r="306" spans="1:60">
      <c r="A306" t="s">
        <v>80</v>
      </c>
      <c r="B306" t="s">
        <v>191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30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</row>
    <row r="307" spans="1:60">
      <c r="A307" t="s">
        <v>80</v>
      </c>
      <c r="B307" t="s">
        <v>193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403</v>
      </c>
      <c r="L307">
        <v>0</v>
      </c>
      <c r="M307">
        <v>0</v>
      </c>
      <c r="N307">
        <v>0</v>
      </c>
      <c r="O307">
        <v>153</v>
      </c>
      <c r="P307">
        <v>187</v>
      </c>
      <c r="Q307">
        <v>194</v>
      </c>
      <c r="R307">
        <v>228</v>
      </c>
      <c r="S307">
        <v>169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3</v>
      </c>
      <c r="AJ307">
        <v>1.1000000000000001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</row>
    <row r="308" spans="1:60">
      <c r="A308" t="s">
        <v>81</v>
      </c>
      <c r="B308" t="s">
        <v>198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810</v>
      </c>
      <c r="J308">
        <v>110</v>
      </c>
      <c r="K308">
        <v>180</v>
      </c>
      <c r="L308">
        <v>801</v>
      </c>
      <c r="M308">
        <v>3402.2849999999999</v>
      </c>
      <c r="N308">
        <v>40.189</v>
      </c>
      <c r="O308">
        <v>42.584000000000003</v>
      </c>
      <c r="P308">
        <v>0.2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63.143000000000001</v>
      </c>
      <c r="AC308">
        <v>67.331000000000003</v>
      </c>
      <c r="AD308">
        <v>85.701000000000008</v>
      </c>
      <c r="AE308">
        <v>73.893000000000001</v>
      </c>
      <c r="AF308">
        <v>70.533000000000001</v>
      </c>
      <c r="AG308">
        <v>1.296</v>
      </c>
      <c r="AH308">
        <v>1.24</v>
      </c>
      <c r="AI308">
        <v>1.155</v>
      </c>
      <c r="AJ308">
        <v>1.135</v>
      </c>
      <c r="AK308">
        <v>4200</v>
      </c>
      <c r="AL308">
        <v>0</v>
      </c>
      <c r="AM308">
        <v>0</v>
      </c>
      <c r="AN308">
        <v>3.2000000000000001E-2</v>
      </c>
      <c r="AO308">
        <v>4176</v>
      </c>
      <c r="AP308">
        <v>4351.4920000000002</v>
      </c>
      <c r="AQ308">
        <v>6295</v>
      </c>
      <c r="AR308">
        <v>1890.704</v>
      </c>
      <c r="AS308">
        <v>6976</v>
      </c>
      <c r="AT308">
        <v>2294.145</v>
      </c>
      <c r="AU308">
        <v>0</v>
      </c>
      <c r="AV308">
        <v>2704</v>
      </c>
      <c r="AW308">
        <v>92.259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231.364</v>
      </c>
      <c r="BD308">
        <v>0</v>
      </c>
      <c r="BE308">
        <v>0</v>
      </c>
      <c r="BF308">
        <v>0</v>
      </c>
      <c r="BG308">
        <v>2.1320000000000001</v>
      </c>
      <c r="BH308">
        <v>0</v>
      </c>
    </row>
    <row r="309" spans="1:60">
      <c r="A309" t="s">
        <v>81</v>
      </c>
      <c r="B309" t="s">
        <v>192</v>
      </c>
      <c r="C309">
        <v>0</v>
      </c>
      <c r="D309">
        <v>0</v>
      </c>
      <c r="E309">
        <v>0</v>
      </c>
      <c r="F309">
        <v>0</v>
      </c>
      <c r="G309">
        <v>0</v>
      </c>
      <c r="H309" t="s">
        <v>16</v>
      </c>
      <c r="I309">
        <v>310</v>
      </c>
      <c r="J309">
        <v>110</v>
      </c>
      <c r="K309">
        <v>180</v>
      </c>
      <c r="L309">
        <v>759</v>
      </c>
      <c r="M309">
        <v>2090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4200</v>
      </c>
      <c r="AL309">
        <v>0</v>
      </c>
      <c r="AM309">
        <v>0</v>
      </c>
      <c r="AN309">
        <v>0</v>
      </c>
      <c r="AO309">
        <v>4176</v>
      </c>
      <c r="AP309">
        <v>0</v>
      </c>
      <c r="AQ309">
        <v>5445</v>
      </c>
      <c r="AR309">
        <v>0</v>
      </c>
      <c r="AS309">
        <v>5473</v>
      </c>
      <c r="AT309">
        <v>0</v>
      </c>
      <c r="AU309">
        <v>0</v>
      </c>
      <c r="AV309">
        <v>2704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</row>
    <row r="310" spans="1:60">
      <c r="A310" t="s">
        <v>81</v>
      </c>
      <c r="B310" t="s">
        <v>193</v>
      </c>
      <c r="C310">
        <v>0</v>
      </c>
      <c r="D310">
        <v>0</v>
      </c>
      <c r="E310">
        <v>0</v>
      </c>
      <c r="F310">
        <v>0</v>
      </c>
      <c r="G310">
        <v>0</v>
      </c>
      <c r="H310" t="s">
        <v>16</v>
      </c>
      <c r="I310">
        <v>500</v>
      </c>
      <c r="J310">
        <v>0</v>
      </c>
      <c r="K310">
        <v>0</v>
      </c>
      <c r="L310">
        <v>42</v>
      </c>
      <c r="M310">
        <v>1306</v>
      </c>
      <c r="N310">
        <v>35.119999999999997</v>
      </c>
      <c r="O310">
        <v>41.512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54.332999999999998</v>
      </c>
      <c r="AC310">
        <v>66.873000000000005</v>
      </c>
      <c r="AD310">
        <v>84.944000000000003</v>
      </c>
      <c r="AE310">
        <v>73.435000000000002</v>
      </c>
      <c r="AF310">
        <v>70.533000000000001</v>
      </c>
      <c r="AG310">
        <v>1.296</v>
      </c>
      <c r="AH310">
        <v>1.24</v>
      </c>
      <c r="AI310">
        <v>1.155</v>
      </c>
      <c r="AJ310">
        <v>1.135</v>
      </c>
      <c r="AK310">
        <v>0</v>
      </c>
      <c r="AL310">
        <v>0</v>
      </c>
      <c r="AM310">
        <v>0</v>
      </c>
      <c r="AN310">
        <v>3.2000000000000001E-2</v>
      </c>
      <c r="AO310" t="s">
        <v>16</v>
      </c>
      <c r="AP310">
        <v>4001.4920000000002</v>
      </c>
      <c r="AQ310" t="s">
        <v>16</v>
      </c>
      <c r="AR310">
        <v>1890.704</v>
      </c>
      <c r="AS310" t="s">
        <v>16</v>
      </c>
      <c r="AT310">
        <v>2294.145</v>
      </c>
      <c r="AU310">
        <v>0</v>
      </c>
      <c r="AV310" t="s">
        <v>16</v>
      </c>
      <c r="AW310">
        <v>92.259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231.364</v>
      </c>
      <c r="BD310">
        <v>0</v>
      </c>
      <c r="BE310">
        <v>0</v>
      </c>
      <c r="BF310">
        <v>0</v>
      </c>
      <c r="BG310">
        <v>2.1320000000000001</v>
      </c>
      <c r="BH310">
        <v>0</v>
      </c>
    </row>
    <row r="311" spans="1:60">
      <c r="A311" t="s">
        <v>81</v>
      </c>
      <c r="B311" t="s">
        <v>194</v>
      </c>
      <c r="M311">
        <v>6.2850000000000001</v>
      </c>
      <c r="N311">
        <v>5.069</v>
      </c>
      <c r="O311">
        <v>1.0719999999999998</v>
      </c>
      <c r="P311">
        <v>0.2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8.81</v>
      </c>
      <c r="AC311">
        <v>0.45800000000000002</v>
      </c>
      <c r="AD311">
        <v>0.75700000000000001</v>
      </c>
      <c r="AE311">
        <v>0.45800000000000002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 t="s">
        <v>16</v>
      </c>
      <c r="AP311" t="s">
        <v>16</v>
      </c>
      <c r="AQ311" t="s">
        <v>16</v>
      </c>
      <c r="AR311" t="s">
        <v>16</v>
      </c>
      <c r="AS311" t="s">
        <v>16</v>
      </c>
      <c r="AT311" t="s">
        <v>16</v>
      </c>
      <c r="AU311" t="s">
        <v>16</v>
      </c>
      <c r="AV311" t="s">
        <v>16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</row>
    <row r="312" spans="1:60">
      <c r="A312" t="s">
        <v>81</v>
      </c>
      <c r="B312" t="s">
        <v>195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350</v>
      </c>
      <c r="AQ312">
        <v>850</v>
      </c>
      <c r="AR312">
        <v>0</v>
      </c>
      <c r="AS312">
        <v>1503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</row>
    <row r="313" spans="1:60">
      <c r="A313" t="s">
        <v>82</v>
      </c>
      <c r="B313" t="s">
        <v>198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0.91400000000000003</v>
      </c>
      <c r="X313">
        <v>195.40200000000002</v>
      </c>
      <c r="Y313">
        <v>528.58399999999995</v>
      </c>
      <c r="Z313">
        <v>927.1</v>
      </c>
      <c r="AA313">
        <v>1282.1879999999999</v>
      </c>
      <c r="AB313">
        <v>1603.6680000000001</v>
      </c>
      <c r="AC313">
        <v>1832.29</v>
      </c>
      <c r="AD313">
        <v>1946.5889999999999</v>
      </c>
      <c r="AE313">
        <v>1959.954</v>
      </c>
      <c r="AF313">
        <v>2017.9449999999999</v>
      </c>
      <c r="AG313">
        <v>1972.9930000000002</v>
      </c>
      <c r="AH313">
        <v>1943.9769999999999</v>
      </c>
      <c r="AI313">
        <v>41.107000000000006</v>
      </c>
      <c r="AJ313">
        <v>2826.3</v>
      </c>
      <c r="AK313">
        <v>10840.3</v>
      </c>
      <c r="AL313">
        <v>3232.7160000000003</v>
      </c>
      <c r="AM313">
        <v>1839.1</v>
      </c>
      <c r="AN313">
        <v>38.6</v>
      </c>
      <c r="AO313">
        <v>33.9</v>
      </c>
      <c r="AP313">
        <v>32.9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40.152000000000001</v>
      </c>
      <c r="BC313">
        <v>25.4</v>
      </c>
      <c r="BD313">
        <v>79</v>
      </c>
      <c r="BE313">
        <v>0</v>
      </c>
      <c r="BF313">
        <v>0</v>
      </c>
      <c r="BG313">
        <v>11.634</v>
      </c>
      <c r="BH313">
        <v>0</v>
      </c>
    </row>
    <row r="314" spans="1:60">
      <c r="A314" t="s">
        <v>82</v>
      </c>
      <c r="B314" t="s">
        <v>191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79</v>
      </c>
      <c r="BE314">
        <v>0</v>
      </c>
      <c r="BF314">
        <v>0</v>
      </c>
      <c r="BG314">
        <v>0</v>
      </c>
      <c r="BH314">
        <v>0</v>
      </c>
    </row>
    <row r="315" spans="1:60">
      <c r="A315" t="s">
        <v>82</v>
      </c>
      <c r="B315" t="s">
        <v>193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0.91400000000000003</v>
      </c>
      <c r="X315">
        <v>7.1020000000000003</v>
      </c>
      <c r="Y315">
        <v>13.183999999999999</v>
      </c>
      <c r="Z315">
        <v>16.399999999999999</v>
      </c>
      <c r="AA315">
        <v>19.488</v>
      </c>
      <c r="AB315">
        <v>22.467999999999996</v>
      </c>
      <c r="AC315">
        <v>25.29</v>
      </c>
      <c r="AD315">
        <v>28.089000000000002</v>
      </c>
      <c r="AE315">
        <v>30.853999999999999</v>
      </c>
      <c r="AF315">
        <v>83.644999999999996</v>
      </c>
      <c r="AG315">
        <v>35.593000000000004</v>
      </c>
      <c r="AH315">
        <v>2.3770000000000002</v>
      </c>
      <c r="AI315">
        <v>0.20699999999999999</v>
      </c>
      <c r="AJ315">
        <v>2786</v>
      </c>
      <c r="AK315">
        <v>10785</v>
      </c>
      <c r="AL315">
        <v>3179.9160000000002</v>
      </c>
      <c r="AM315">
        <v>1805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5.1999999999999998E-2</v>
      </c>
      <c r="BC315">
        <v>0</v>
      </c>
      <c r="BD315">
        <v>0</v>
      </c>
      <c r="BE315">
        <v>0</v>
      </c>
      <c r="BF315">
        <v>0</v>
      </c>
      <c r="BG315">
        <v>11.634</v>
      </c>
      <c r="BH315">
        <v>0</v>
      </c>
    </row>
    <row r="316" spans="1:60">
      <c r="A316" t="s">
        <v>82</v>
      </c>
      <c r="B316" t="s">
        <v>194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188.3</v>
      </c>
      <c r="Y316">
        <v>515.4</v>
      </c>
      <c r="Z316">
        <v>910.7</v>
      </c>
      <c r="AA316">
        <v>1262.6999999999998</v>
      </c>
      <c r="AB316">
        <v>1581.2</v>
      </c>
      <c r="AC316">
        <v>1807</v>
      </c>
      <c r="AD316">
        <v>1918.5</v>
      </c>
      <c r="AE316">
        <v>1929.1</v>
      </c>
      <c r="AF316">
        <v>1934.3</v>
      </c>
      <c r="AG316">
        <v>1937.4</v>
      </c>
      <c r="AH316">
        <v>1941.6</v>
      </c>
      <c r="AI316">
        <v>40.900000000000006</v>
      </c>
      <c r="AJ316">
        <v>40.300000000000004</v>
      </c>
      <c r="AK316">
        <v>55.3</v>
      </c>
      <c r="AL316">
        <v>52.8</v>
      </c>
      <c r="AM316">
        <v>34.1</v>
      </c>
      <c r="AN316">
        <v>38.6</v>
      </c>
      <c r="AO316">
        <v>33.9</v>
      </c>
      <c r="AP316">
        <v>32.9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40.1</v>
      </c>
      <c r="BC316">
        <v>25.4</v>
      </c>
      <c r="BD316">
        <v>0</v>
      </c>
      <c r="BE316">
        <v>0</v>
      </c>
      <c r="BF316">
        <v>0</v>
      </c>
      <c r="BG316">
        <v>0</v>
      </c>
      <c r="BH316">
        <v>0</v>
      </c>
    </row>
    <row r="317" spans="1:60">
      <c r="A317" t="s">
        <v>83</v>
      </c>
      <c r="B317" t="s">
        <v>198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5780.695999999999</v>
      </c>
      <c r="AF317">
        <v>6393.4497759999986</v>
      </c>
      <c r="AG317">
        <v>8256.614404271997</v>
      </c>
      <c r="AH317">
        <v>7548.6218701881244</v>
      </c>
      <c r="AI317">
        <v>7968.8133293080937</v>
      </c>
      <c r="AJ317">
        <v>10204.857180607985</v>
      </c>
      <c r="AK317">
        <v>8897.2878242311181</v>
      </c>
      <c r="AL317">
        <v>9583.7591368414123</v>
      </c>
      <c r="AM317">
        <v>10248.550537010611</v>
      </c>
      <c r="AN317">
        <v>10987.965622764677</v>
      </c>
      <c r="AO317">
        <v>11757.641394990345</v>
      </c>
      <c r="AP317">
        <v>12565.454565340789</v>
      </c>
      <c r="AQ317">
        <v>13561.63525077136</v>
      </c>
      <c r="AR317">
        <v>14260.315595212602</v>
      </c>
      <c r="AS317">
        <v>101235.21216370228</v>
      </c>
      <c r="AT317">
        <v>106631.89554577757</v>
      </c>
      <c r="AU317">
        <v>110052.39688543303</v>
      </c>
      <c r="AV317">
        <v>111284.28069855901</v>
      </c>
      <c r="AW317">
        <v>99176.561066759576</v>
      </c>
      <c r="AX317">
        <v>66007</v>
      </c>
      <c r="AY317">
        <v>56182</v>
      </c>
      <c r="AZ317">
        <v>50500</v>
      </c>
      <c r="BA317">
        <v>50500</v>
      </c>
      <c r="BB317">
        <v>42000</v>
      </c>
      <c r="BC317">
        <v>42000</v>
      </c>
      <c r="BD317">
        <v>41000</v>
      </c>
      <c r="BE317">
        <v>41000</v>
      </c>
      <c r="BF317">
        <v>41000</v>
      </c>
      <c r="BG317">
        <v>41000</v>
      </c>
      <c r="BH317">
        <v>41000</v>
      </c>
    </row>
    <row r="318" spans="1:60">
      <c r="A318" t="s">
        <v>83</v>
      </c>
      <c r="B318" t="s">
        <v>190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2</v>
      </c>
      <c r="AH318">
        <v>2</v>
      </c>
      <c r="AI318">
        <v>11.962499999999999</v>
      </c>
      <c r="AJ318">
        <v>19.27751149310544</v>
      </c>
      <c r="AK318">
        <v>26.328215631115896</v>
      </c>
      <c r="AL318">
        <v>32.702557596410287</v>
      </c>
      <c r="AM318">
        <v>37.68005379770581</v>
      </c>
      <c r="AN318">
        <v>44.664464760443593</v>
      </c>
      <c r="AO318">
        <v>53.069155925817057</v>
      </c>
      <c r="AP318">
        <v>56.958841780809607</v>
      </c>
      <c r="AQ318">
        <v>60.979869326584399</v>
      </c>
      <c r="AR318">
        <v>64.058133932700215</v>
      </c>
      <c r="AS318">
        <v>72.29069127758325</v>
      </c>
      <c r="AT318">
        <v>81.706232861197535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</row>
    <row r="319" spans="1:60">
      <c r="A319" t="s">
        <v>83</v>
      </c>
      <c r="B319" t="s">
        <v>191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 t="s">
        <v>16</v>
      </c>
      <c r="AH319">
        <v>14</v>
      </c>
      <c r="AI319">
        <v>25</v>
      </c>
      <c r="AJ319">
        <v>31</v>
      </c>
      <c r="AK319">
        <v>43</v>
      </c>
      <c r="AL319">
        <v>61</v>
      </c>
      <c r="AM319">
        <v>66</v>
      </c>
      <c r="AN319">
        <v>68</v>
      </c>
      <c r="AO319">
        <v>68</v>
      </c>
      <c r="AP319">
        <v>69</v>
      </c>
      <c r="AQ319">
        <v>66</v>
      </c>
      <c r="AR319">
        <v>63</v>
      </c>
      <c r="AS319">
        <v>76</v>
      </c>
      <c r="AT319">
        <v>90</v>
      </c>
      <c r="AU319">
        <v>0</v>
      </c>
      <c r="AV319">
        <v>51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</row>
    <row r="320" spans="1:60">
      <c r="A320" t="s">
        <v>83</v>
      </c>
      <c r="B320" t="s">
        <v>192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G320" t="s">
        <v>16</v>
      </c>
      <c r="AH320" t="s">
        <v>16</v>
      </c>
      <c r="AI320" t="s">
        <v>16</v>
      </c>
      <c r="AJ320" t="s">
        <v>16</v>
      </c>
      <c r="AK320" t="s">
        <v>16</v>
      </c>
      <c r="AL320" t="s">
        <v>16</v>
      </c>
      <c r="AM320" t="s">
        <v>16</v>
      </c>
      <c r="AN320" t="s">
        <v>16</v>
      </c>
      <c r="AO320" t="s">
        <v>16</v>
      </c>
      <c r="AP320" t="s">
        <v>16</v>
      </c>
      <c r="AQ320" t="s">
        <v>16</v>
      </c>
      <c r="AR320" t="s">
        <v>16</v>
      </c>
      <c r="AS320" t="s">
        <v>16</v>
      </c>
      <c r="AT320" t="s">
        <v>16</v>
      </c>
      <c r="AU320">
        <v>37158</v>
      </c>
      <c r="AV320">
        <v>25550</v>
      </c>
      <c r="AW320">
        <v>13958</v>
      </c>
      <c r="AX320">
        <v>13958</v>
      </c>
      <c r="AY320">
        <v>9750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 t="s">
        <v>24</v>
      </c>
      <c r="BH320" t="s">
        <v>24</v>
      </c>
    </row>
    <row r="321" spans="1:60">
      <c r="A321" t="s">
        <v>83</v>
      </c>
      <c r="B321" t="s">
        <v>193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S321">
        <v>86459</v>
      </c>
      <c r="AT321">
        <v>91430</v>
      </c>
      <c r="AU321">
        <v>57263</v>
      </c>
      <c r="AV321">
        <v>69114</v>
      </c>
      <c r="AW321">
        <v>67506</v>
      </c>
      <c r="AX321">
        <v>52049</v>
      </c>
      <c r="AY321">
        <v>46432</v>
      </c>
      <c r="AZ321">
        <v>50500</v>
      </c>
      <c r="BA321">
        <v>50500</v>
      </c>
      <c r="BB321">
        <v>42000</v>
      </c>
      <c r="BC321">
        <v>42000</v>
      </c>
      <c r="BD321">
        <v>41000</v>
      </c>
      <c r="BE321">
        <v>41000</v>
      </c>
      <c r="BF321">
        <v>41000</v>
      </c>
      <c r="BG321">
        <v>41000</v>
      </c>
      <c r="BH321">
        <v>41000</v>
      </c>
    </row>
    <row r="322" spans="1:60">
      <c r="A322" t="s">
        <v>83</v>
      </c>
      <c r="B322" t="s">
        <v>195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5780.695999999999</v>
      </c>
      <c r="AF322">
        <v>6393.4497759999986</v>
      </c>
      <c r="AG322">
        <v>7013.614404271998</v>
      </c>
      <c r="AH322">
        <v>7532.6218701881244</v>
      </c>
      <c r="AI322">
        <v>7931.850829308094</v>
      </c>
      <c r="AJ322">
        <v>8312.5796691148807</v>
      </c>
      <c r="AK322">
        <v>8827.959608600002</v>
      </c>
      <c r="AL322">
        <v>9490.0565792450016</v>
      </c>
      <c r="AM322">
        <v>10144.870483212906</v>
      </c>
      <c r="AN322">
        <v>10875.301158004233</v>
      </c>
      <c r="AO322">
        <v>11636.572239064528</v>
      </c>
      <c r="AP322">
        <v>12439.49572355998</v>
      </c>
      <c r="AQ322">
        <v>13434.655381444776</v>
      </c>
      <c r="AR322">
        <v>14133.257461279902</v>
      </c>
      <c r="AS322">
        <v>14627.921472424699</v>
      </c>
      <c r="AT322">
        <v>15030.189312916375</v>
      </c>
      <c r="AU322">
        <v>15631.396885433027</v>
      </c>
      <c r="AV322">
        <v>16569.280698559007</v>
      </c>
      <c r="AW322">
        <v>17712.561066759579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</row>
    <row r="323" spans="1:60">
      <c r="A323" t="s">
        <v>83</v>
      </c>
      <c r="B323" t="s">
        <v>196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1241</v>
      </c>
      <c r="AH323">
        <v>0</v>
      </c>
      <c r="AI323">
        <v>0</v>
      </c>
      <c r="AJ323">
        <v>1842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</row>
    <row r="324" spans="1:60">
      <c r="A324" t="s">
        <v>84</v>
      </c>
      <c r="B324" t="s">
        <v>198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88290</v>
      </c>
      <c r="BE324">
        <v>0</v>
      </c>
      <c r="BF324">
        <v>0</v>
      </c>
      <c r="BG324">
        <v>0</v>
      </c>
      <c r="BH324">
        <v>0</v>
      </c>
    </row>
    <row r="325" spans="1:60">
      <c r="A325" t="s">
        <v>84</v>
      </c>
      <c r="B325" t="s">
        <v>193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88290</v>
      </c>
      <c r="BE325">
        <v>0</v>
      </c>
      <c r="BF325">
        <v>0</v>
      </c>
      <c r="BG325">
        <v>0</v>
      </c>
      <c r="BH325">
        <v>0</v>
      </c>
    </row>
    <row r="326" spans="1:60">
      <c r="A326" t="s">
        <v>85</v>
      </c>
      <c r="B326" t="s">
        <v>198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1.4999999999999999E-2</v>
      </c>
      <c r="N326">
        <v>0</v>
      </c>
      <c r="O326">
        <v>0</v>
      </c>
      <c r="P326">
        <v>0.98299999999999998</v>
      </c>
      <c r="Q326">
        <v>0.55400000000000005</v>
      </c>
      <c r="R326">
        <v>0.35699999999999998</v>
      </c>
      <c r="S326">
        <v>0.35699999999999998</v>
      </c>
      <c r="T326">
        <v>0</v>
      </c>
      <c r="U326">
        <v>63</v>
      </c>
      <c r="V326">
        <v>149.054</v>
      </c>
      <c r="W326">
        <v>28.597000000000001</v>
      </c>
      <c r="X326">
        <v>152.45099999999999</v>
      </c>
      <c r="Y326">
        <v>130.12</v>
      </c>
      <c r="Z326">
        <v>267.98</v>
      </c>
      <c r="AA326">
        <v>376.13</v>
      </c>
      <c r="AB326">
        <v>545.84400000000005</v>
      </c>
      <c r="AC326">
        <v>961.18759189073876</v>
      </c>
      <c r="AD326">
        <v>1513.3709826969546</v>
      </c>
      <c r="AE326">
        <v>503</v>
      </c>
      <c r="AF326">
        <v>646.81500000000005</v>
      </c>
      <c r="AG326">
        <v>992</v>
      </c>
      <c r="AH326">
        <v>961</v>
      </c>
      <c r="AI326">
        <v>657.88599999999997</v>
      </c>
      <c r="AJ326">
        <v>784</v>
      </c>
      <c r="AK326">
        <v>435.42500000000007</v>
      </c>
      <c r="AL326">
        <v>406.23199999999997</v>
      </c>
      <c r="AM326">
        <v>298.34499999999997</v>
      </c>
      <c r="AN326">
        <v>230.92099999999999</v>
      </c>
      <c r="AO326">
        <v>236.678</v>
      </c>
      <c r="AP326">
        <v>285.14999999999998</v>
      </c>
      <c r="AQ326">
        <v>284.55599999999998</v>
      </c>
      <c r="AR326">
        <v>232.51</v>
      </c>
      <c r="AS326">
        <v>261.38400000000001</v>
      </c>
      <c r="AT326">
        <v>321.35399999999998</v>
      </c>
      <c r="AU326">
        <v>355.286</v>
      </c>
      <c r="AV326">
        <v>369.03299999999996</v>
      </c>
      <c r="AW326">
        <v>437.84100000000001</v>
      </c>
      <c r="AX326">
        <v>432.69399999999996</v>
      </c>
      <c r="AY326">
        <v>404.70600000000002</v>
      </c>
      <c r="AZ326">
        <v>386.96899999999999</v>
      </c>
      <c r="BA326">
        <v>7885.6270000000004</v>
      </c>
      <c r="BB326">
        <v>614.83799999999997</v>
      </c>
      <c r="BC326">
        <v>278.36700000000002</v>
      </c>
      <c r="BD326">
        <v>9017.6290000000008</v>
      </c>
      <c r="BE326">
        <v>136.49199999999999</v>
      </c>
      <c r="BF326">
        <v>45.542000000000002</v>
      </c>
      <c r="BG326">
        <v>90</v>
      </c>
      <c r="BH326" t="s">
        <v>16</v>
      </c>
    </row>
    <row r="327" spans="1:60">
      <c r="A327" t="s">
        <v>85</v>
      </c>
      <c r="B327" t="s">
        <v>190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1.29</v>
      </c>
      <c r="X327">
        <v>20.8</v>
      </c>
      <c r="Y327">
        <v>0</v>
      </c>
      <c r="Z327">
        <v>6.7</v>
      </c>
      <c r="AA327">
        <v>0</v>
      </c>
      <c r="AB327">
        <v>0</v>
      </c>
      <c r="AC327">
        <v>744.43959189073871</v>
      </c>
      <c r="AD327">
        <v>927.43298269695458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</row>
    <row r="328" spans="1:60">
      <c r="A328" t="s">
        <v>85</v>
      </c>
      <c r="B328" t="s">
        <v>192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Z328" t="s">
        <v>16</v>
      </c>
      <c r="AA328">
        <v>207</v>
      </c>
      <c r="AB328">
        <v>67</v>
      </c>
      <c r="AD328">
        <v>81</v>
      </c>
      <c r="AE328">
        <v>146</v>
      </c>
      <c r="AG328">
        <v>178</v>
      </c>
      <c r="AH328">
        <v>125</v>
      </c>
      <c r="AJ328">
        <v>282</v>
      </c>
    </row>
    <row r="329" spans="1:60">
      <c r="A329" t="s">
        <v>85</v>
      </c>
      <c r="B329" t="s">
        <v>193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1.4999999999999999E-2</v>
      </c>
      <c r="N329">
        <v>0</v>
      </c>
      <c r="O329">
        <v>0</v>
      </c>
      <c r="P329">
        <v>1.7999999999999999E-2</v>
      </c>
      <c r="Q329">
        <v>3.6999999999999998E-2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8.0969999999999995</v>
      </c>
      <c r="X329">
        <v>41.048999999999999</v>
      </c>
      <c r="Y329">
        <v>62.117000000000004</v>
      </c>
      <c r="Z329">
        <v>101.661</v>
      </c>
      <c r="AA329" t="s">
        <v>16</v>
      </c>
      <c r="AB329">
        <v>105.453</v>
      </c>
      <c r="AC329">
        <v>198.27699999999999</v>
      </c>
      <c r="AD329">
        <v>127.938</v>
      </c>
      <c r="AE329" t="s">
        <v>16</v>
      </c>
      <c r="AF329">
        <v>322.81500000000005</v>
      </c>
      <c r="AG329">
        <v>482</v>
      </c>
      <c r="AH329">
        <v>541</v>
      </c>
      <c r="AI329">
        <v>386.88599999999997</v>
      </c>
      <c r="AJ329">
        <v>245</v>
      </c>
      <c r="AK329">
        <v>383.43600000000004</v>
      </c>
      <c r="AL329">
        <v>353.94499999999999</v>
      </c>
      <c r="AM329">
        <v>248.48199999999997</v>
      </c>
      <c r="AN329">
        <v>199.33699999999999</v>
      </c>
      <c r="AO329">
        <v>204.40600000000001</v>
      </c>
      <c r="AP329">
        <v>253.834</v>
      </c>
      <c r="AQ329">
        <v>235.49099999999999</v>
      </c>
      <c r="AR329">
        <v>178.21899999999999</v>
      </c>
      <c r="AS329">
        <v>178.93900000000002</v>
      </c>
      <c r="AT329">
        <v>206.25099999999998</v>
      </c>
      <c r="AU329">
        <v>213.476</v>
      </c>
      <c r="AV329">
        <v>275.15499999999997</v>
      </c>
      <c r="AW329">
        <v>295.98</v>
      </c>
      <c r="AX329">
        <v>301.49599999999998</v>
      </c>
      <c r="AY329">
        <v>279.52</v>
      </c>
      <c r="AZ329">
        <v>294.58600000000001</v>
      </c>
      <c r="BA329">
        <v>285.62700000000001</v>
      </c>
      <c r="BB329">
        <v>554.56700000000001</v>
      </c>
      <c r="BC329">
        <v>223.87200000000001</v>
      </c>
      <c r="BD329">
        <v>117.62899999999999</v>
      </c>
      <c r="BE329">
        <v>93.620999999999995</v>
      </c>
      <c r="BF329">
        <v>44.301000000000002</v>
      </c>
      <c r="BG329">
        <v>90</v>
      </c>
      <c r="BH329" t="s">
        <v>16</v>
      </c>
    </row>
    <row r="330" spans="1:60">
      <c r="A330" t="s">
        <v>85</v>
      </c>
      <c r="B330" t="s">
        <v>194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0.96499999999999997</v>
      </c>
      <c r="Q330">
        <v>0.51700000000000002</v>
      </c>
      <c r="R330">
        <v>0.35699999999999998</v>
      </c>
      <c r="S330">
        <v>0.35699999999999998</v>
      </c>
      <c r="T330">
        <v>0</v>
      </c>
      <c r="U330">
        <v>0</v>
      </c>
      <c r="V330">
        <v>5.3999999999999999E-2</v>
      </c>
      <c r="W330">
        <v>19.21</v>
      </c>
      <c r="X330">
        <v>1.6020000000000001</v>
      </c>
      <c r="Y330">
        <v>0.13300000000000001</v>
      </c>
      <c r="Z330">
        <v>16.201000000000001</v>
      </c>
      <c r="AA330">
        <v>5.13</v>
      </c>
      <c r="AB330">
        <v>4.391</v>
      </c>
      <c r="AC330">
        <v>18.471</v>
      </c>
      <c r="AD330" t="s">
        <v>16</v>
      </c>
      <c r="AE330" t="s">
        <v>16</v>
      </c>
      <c r="AF330" t="s">
        <v>16</v>
      </c>
      <c r="AG330" t="s">
        <v>16</v>
      </c>
      <c r="AH330" t="s">
        <v>16</v>
      </c>
      <c r="AI330" t="s">
        <v>16</v>
      </c>
      <c r="AJ330" t="s">
        <v>16</v>
      </c>
      <c r="AK330">
        <v>51.989000000000004</v>
      </c>
      <c r="AL330">
        <v>52.286999999999999</v>
      </c>
      <c r="AM330">
        <v>49.863</v>
      </c>
      <c r="AN330">
        <v>31.584000000000003</v>
      </c>
      <c r="AO330">
        <v>32.271999999999998</v>
      </c>
      <c r="AP330">
        <v>31.315999999999999</v>
      </c>
      <c r="AQ330">
        <v>49.064999999999998</v>
      </c>
      <c r="AR330">
        <v>54.290999999999997</v>
      </c>
      <c r="AS330">
        <v>82.444999999999993</v>
      </c>
      <c r="AT330">
        <v>115.10300000000001</v>
      </c>
      <c r="AU330">
        <v>141.81</v>
      </c>
      <c r="AV330">
        <v>93.878</v>
      </c>
      <c r="AW330">
        <v>141.86099999999999</v>
      </c>
      <c r="AX330">
        <v>131.19799999999998</v>
      </c>
      <c r="AY330">
        <v>125.18600000000001</v>
      </c>
      <c r="AZ330">
        <v>92.382999999999996</v>
      </c>
      <c r="BA330" t="s">
        <v>16</v>
      </c>
      <c r="BB330">
        <v>60.271000000000001</v>
      </c>
      <c r="BC330">
        <v>54.494999999999997</v>
      </c>
      <c r="BD330" t="s">
        <v>16</v>
      </c>
      <c r="BE330">
        <v>42.871000000000002</v>
      </c>
      <c r="BF330">
        <v>1.2410000000000001</v>
      </c>
      <c r="BG330">
        <v>0</v>
      </c>
      <c r="BH330">
        <v>0</v>
      </c>
    </row>
    <row r="331" spans="1:60">
      <c r="A331" t="s">
        <v>85</v>
      </c>
      <c r="B331" t="s">
        <v>195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63</v>
      </c>
      <c r="V331">
        <v>149</v>
      </c>
      <c r="W331">
        <v>0</v>
      </c>
      <c r="X331">
        <v>89</v>
      </c>
      <c r="Y331">
        <v>67.87</v>
      </c>
      <c r="Z331">
        <v>143.41800000000001</v>
      </c>
      <c r="AA331">
        <v>164</v>
      </c>
      <c r="AB331">
        <v>369</v>
      </c>
      <c r="AC331">
        <v>0</v>
      </c>
      <c r="AD331">
        <v>377</v>
      </c>
      <c r="AE331">
        <v>357</v>
      </c>
      <c r="AF331">
        <v>324</v>
      </c>
      <c r="AG331">
        <v>332</v>
      </c>
      <c r="AH331">
        <v>295</v>
      </c>
      <c r="AI331">
        <v>271</v>
      </c>
      <c r="AJ331">
        <v>257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</row>
    <row r="332" spans="1:60">
      <c r="A332" t="s">
        <v>85</v>
      </c>
      <c r="B332" t="s">
        <v>197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912</v>
      </c>
      <c r="BB332">
        <v>0</v>
      </c>
      <c r="BC332">
        <v>0</v>
      </c>
      <c r="BD332">
        <v>654</v>
      </c>
      <c r="BE332">
        <v>0</v>
      </c>
      <c r="BF332">
        <v>0</v>
      </c>
      <c r="BG332">
        <v>0</v>
      </c>
      <c r="BH332">
        <v>0</v>
      </c>
    </row>
    <row r="333" spans="1:60">
      <c r="A333" t="s">
        <v>85</v>
      </c>
      <c r="B333" t="s">
        <v>196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6688</v>
      </c>
      <c r="BB333">
        <v>0</v>
      </c>
      <c r="BC333">
        <v>0</v>
      </c>
      <c r="BD333">
        <v>8246</v>
      </c>
      <c r="BE333">
        <v>0</v>
      </c>
      <c r="BF333">
        <v>0</v>
      </c>
      <c r="BG333">
        <v>0</v>
      </c>
      <c r="BH333">
        <v>0</v>
      </c>
    </row>
    <row r="334" spans="1:60">
      <c r="A334" t="s">
        <v>86</v>
      </c>
      <c r="B334" t="s">
        <v>198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0.28000000000000003</v>
      </c>
      <c r="N334">
        <v>3.4989999999999997</v>
      </c>
      <c r="O334">
        <v>6.0629999999999997</v>
      </c>
      <c r="P334">
        <v>7.6529999999999996</v>
      </c>
      <c r="Q334">
        <v>10.654999999999999</v>
      </c>
      <c r="R334">
        <v>13.228</v>
      </c>
      <c r="S334">
        <v>17.026</v>
      </c>
      <c r="T334">
        <v>19.667000000000002</v>
      </c>
      <c r="U334">
        <v>22.470999999999997</v>
      </c>
      <c r="V334">
        <v>25.958000000000002</v>
      </c>
      <c r="W334">
        <v>26.992000000000001</v>
      </c>
      <c r="X334">
        <v>28.249000000000002</v>
      </c>
      <c r="Y334">
        <v>30.247999999999998</v>
      </c>
      <c r="Z334">
        <v>30.154</v>
      </c>
      <c r="AA334">
        <v>8.9290000000000003</v>
      </c>
      <c r="AB334">
        <v>9.3640000000000008</v>
      </c>
      <c r="AC334">
        <v>10.299999999999999</v>
      </c>
      <c r="AD334">
        <v>22.073</v>
      </c>
      <c r="AE334">
        <v>66.140999999999991</v>
      </c>
      <c r="AF334">
        <v>1056.4580000000001</v>
      </c>
      <c r="AG334">
        <v>985.31</v>
      </c>
      <c r="AH334">
        <v>1143.3779999999999</v>
      </c>
      <c r="AI334">
        <v>2059.9180000000001</v>
      </c>
      <c r="AJ334">
        <v>2029.6590000000001</v>
      </c>
      <c r="AK334">
        <v>1321.3029999999999</v>
      </c>
      <c r="AL334">
        <v>931.78800000000001</v>
      </c>
      <c r="AM334">
        <v>726.16699999999992</v>
      </c>
      <c r="AN334">
        <v>596.49599999999998</v>
      </c>
      <c r="AO334">
        <v>532.524</v>
      </c>
      <c r="AP334">
        <v>895.79899999999998</v>
      </c>
      <c r="AQ334">
        <v>682.68799999999999</v>
      </c>
      <c r="AR334">
        <v>882.56700000000012</v>
      </c>
      <c r="AS334">
        <v>1219.6089999999999</v>
      </c>
      <c r="AT334">
        <v>515.83399999999995</v>
      </c>
      <c r="AU334">
        <v>350.339</v>
      </c>
      <c r="AV334">
        <v>237.40600000000001</v>
      </c>
      <c r="AW334">
        <v>244.596</v>
      </c>
      <c r="AX334">
        <v>2522.2339999999999</v>
      </c>
      <c r="AY334">
        <v>2318.1639999999998</v>
      </c>
      <c r="AZ334">
        <v>17.422000000000001</v>
      </c>
      <c r="BA334">
        <v>17.942</v>
      </c>
      <c r="BB334">
        <v>20.655000000000001</v>
      </c>
      <c r="BC334">
        <v>28.155999999999999</v>
      </c>
      <c r="BD334">
        <v>28.462</v>
      </c>
      <c r="BE334">
        <v>28.361000000000001</v>
      </c>
      <c r="BF334">
        <v>17.641999999999999</v>
      </c>
      <c r="BG334">
        <v>17.690999999999999</v>
      </c>
      <c r="BH334" t="s">
        <v>16</v>
      </c>
    </row>
    <row r="335" spans="1:60">
      <c r="A335" t="s">
        <v>86</v>
      </c>
      <c r="B335" t="s">
        <v>192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AF335">
        <v>586</v>
      </c>
      <c r="AI335">
        <v>771</v>
      </c>
      <c r="AK335">
        <v>1147</v>
      </c>
      <c r="AM335" t="s">
        <v>16</v>
      </c>
      <c r="AN335">
        <v>400</v>
      </c>
      <c r="AO335" t="s">
        <v>16</v>
      </c>
      <c r="AP335">
        <v>821</v>
      </c>
      <c r="AR335" t="s">
        <v>16</v>
      </c>
      <c r="AS335">
        <v>1170</v>
      </c>
      <c r="AT335">
        <v>0</v>
      </c>
      <c r="AU335">
        <v>0</v>
      </c>
      <c r="AV335">
        <v>0</v>
      </c>
      <c r="AW335">
        <v>0</v>
      </c>
      <c r="AX335">
        <v>2500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</row>
    <row r="336" spans="1:60">
      <c r="A336" t="s">
        <v>86</v>
      </c>
      <c r="B336" t="s">
        <v>193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0.28000000000000003</v>
      </c>
      <c r="N336">
        <v>3.4989999999999997</v>
      </c>
      <c r="O336">
        <v>6.0629999999999997</v>
      </c>
      <c r="P336">
        <v>7.6529999999999996</v>
      </c>
      <c r="Q336">
        <v>10.654999999999999</v>
      </c>
      <c r="R336">
        <v>13.228</v>
      </c>
      <c r="S336">
        <v>17.026</v>
      </c>
      <c r="T336">
        <v>19.667000000000002</v>
      </c>
      <c r="U336">
        <v>22.470999999999997</v>
      </c>
      <c r="V336">
        <v>25.958000000000002</v>
      </c>
      <c r="W336">
        <v>26.992000000000001</v>
      </c>
      <c r="X336">
        <v>28.249000000000002</v>
      </c>
      <c r="Y336">
        <v>30.247999999999998</v>
      </c>
      <c r="Z336">
        <v>30.154</v>
      </c>
      <c r="AA336">
        <v>8.9290000000000003</v>
      </c>
      <c r="AB336">
        <v>9.3640000000000008</v>
      </c>
      <c r="AC336">
        <v>10.299999999999999</v>
      </c>
      <c r="AD336">
        <v>14.483000000000001</v>
      </c>
      <c r="AE336">
        <v>33.183</v>
      </c>
      <c r="AF336" t="s">
        <v>16</v>
      </c>
      <c r="AG336">
        <v>256.31399999999996</v>
      </c>
      <c r="AH336">
        <v>129.12700000000001</v>
      </c>
      <c r="AI336">
        <v>34</v>
      </c>
      <c r="AJ336">
        <v>740.65899999999999</v>
      </c>
      <c r="AK336" t="s">
        <v>16</v>
      </c>
      <c r="AL336">
        <v>731.75700000000006</v>
      </c>
      <c r="AM336">
        <v>425.10799999999995</v>
      </c>
      <c r="AN336">
        <v>59</v>
      </c>
      <c r="AO336">
        <v>450.76100000000002</v>
      </c>
      <c r="AP336" t="s">
        <v>16</v>
      </c>
      <c r="AQ336">
        <v>631.36599999999999</v>
      </c>
      <c r="AR336">
        <v>827.79500000000007</v>
      </c>
      <c r="AS336" t="s">
        <v>16</v>
      </c>
      <c r="AT336">
        <v>444.93999999999994</v>
      </c>
      <c r="AU336">
        <v>320.67599999999999</v>
      </c>
      <c r="AV336">
        <v>209.92000000000002</v>
      </c>
      <c r="AW336">
        <v>220.08799999999999</v>
      </c>
      <c r="AX336" t="s">
        <v>16</v>
      </c>
      <c r="AY336">
        <v>2318.1639999999998</v>
      </c>
      <c r="AZ336">
        <v>17.422000000000001</v>
      </c>
      <c r="BA336">
        <v>17.216999999999999</v>
      </c>
      <c r="BB336">
        <v>20.655000000000001</v>
      </c>
      <c r="BC336">
        <v>17.373999999999999</v>
      </c>
      <c r="BD336">
        <v>17.68</v>
      </c>
      <c r="BE336">
        <v>17.579000000000001</v>
      </c>
      <c r="BF336">
        <v>17.641999999999999</v>
      </c>
      <c r="BG336">
        <v>17.690999999999999</v>
      </c>
      <c r="BH336" t="s">
        <v>16</v>
      </c>
    </row>
    <row r="337" spans="1:60">
      <c r="A337" t="s">
        <v>86</v>
      </c>
      <c r="B337" t="s">
        <v>194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7.59</v>
      </c>
      <c r="AE337">
        <v>32.957999999999998</v>
      </c>
      <c r="AF337">
        <v>470.45799999999997</v>
      </c>
      <c r="AG337">
        <v>728.99599999999998</v>
      </c>
      <c r="AH337">
        <v>1014.251</v>
      </c>
      <c r="AI337">
        <v>1254.9180000000001</v>
      </c>
      <c r="AJ337" t="s">
        <v>16</v>
      </c>
      <c r="AK337">
        <v>174.303</v>
      </c>
      <c r="AL337">
        <v>200.03100000000001</v>
      </c>
      <c r="AM337">
        <v>301.05900000000003</v>
      </c>
      <c r="AN337">
        <v>137.49600000000001</v>
      </c>
      <c r="AO337">
        <v>81.763000000000005</v>
      </c>
      <c r="AP337">
        <v>74.798999999999992</v>
      </c>
      <c r="AQ337">
        <v>51.322000000000003</v>
      </c>
      <c r="AR337">
        <v>54.771999999999998</v>
      </c>
      <c r="AS337">
        <v>49.608999999999995</v>
      </c>
      <c r="AT337">
        <v>70.894000000000005</v>
      </c>
      <c r="AU337">
        <v>29.663</v>
      </c>
      <c r="AV337">
        <v>27.486000000000001</v>
      </c>
      <c r="AW337">
        <v>24.507999999999999</v>
      </c>
      <c r="AX337">
        <v>22.234000000000002</v>
      </c>
      <c r="AY337">
        <v>0</v>
      </c>
      <c r="AZ337">
        <v>0</v>
      </c>
      <c r="BA337">
        <v>0.72499999999999998</v>
      </c>
      <c r="BB337">
        <v>0</v>
      </c>
      <c r="BC337">
        <v>10.782</v>
      </c>
      <c r="BD337">
        <v>10.782</v>
      </c>
      <c r="BE337">
        <v>10.782</v>
      </c>
      <c r="BF337">
        <v>0</v>
      </c>
      <c r="BG337">
        <v>0</v>
      </c>
      <c r="BH337">
        <v>0</v>
      </c>
    </row>
    <row r="338" spans="1:60">
      <c r="A338" t="s">
        <v>86</v>
      </c>
      <c r="B338" t="s">
        <v>195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G338" t="s">
        <v>16</v>
      </c>
      <c r="AH338" t="s">
        <v>16</v>
      </c>
      <c r="AI338" t="s">
        <v>16</v>
      </c>
      <c r="AJ338">
        <v>1289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</row>
    <row r="339" spans="1:60">
      <c r="A339" t="s">
        <v>87</v>
      </c>
      <c r="B339" t="s">
        <v>198</v>
      </c>
      <c r="AH339">
        <v>0</v>
      </c>
      <c r="AI339">
        <v>0</v>
      </c>
      <c r="AJ339">
        <v>21.470000000000002</v>
      </c>
      <c r="AK339">
        <v>105.30000000000001</v>
      </c>
      <c r="AL339">
        <v>161.72</v>
      </c>
      <c r="AM339">
        <v>0</v>
      </c>
      <c r="AN339">
        <v>0</v>
      </c>
      <c r="AO339">
        <v>103.8</v>
      </c>
      <c r="AP339">
        <v>388.12</v>
      </c>
      <c r="AQ339">
        <v>0</v>
      </c>
      <c r="AR339">
        <v>169.72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</row>
    <row r="340" spans="1:60">
      <c r="A340" t="s">
        <v>87</v>
      </c>
      <c r="B340" t="s">
        <v>193</v>
      </c>
      <c r="AH340">
        <v>0</v>
      </c>
      <c r="AI340">
        <v>0</v>
      </c>
      <c r="AJ340">
        <v>0.67</v>
      </c>
      <c r="AK340">
        <v>80.2</v>
      </c>
      <c r="AL340">
        <v>161.72</v>
      </c>
      <c r="AM340">
        <v>0</v>
      </c>
      <c r="AN340">
        <v>0</v>
      </c>
      <c r="AO340">
        <v>0</v>
      </c>
      <c r="AP340">
        <v>184.72</v>
      </c>
      <c r="AQ340">
        <v>0</v>
      </c>
      <c r="AR340">
        <v>169.72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</row>
    <row r="341" spans="1:60">
      <c r="A341" t="s">
        <v>87</v>
      </c>
      <c r="B341" t="s">
        <v>194</v>
      </c>
      <c r="AH341">
        <v>0</v>
      </c>
      <c r="AI341">
        <v>0</v>
      </c>
      <c r="AJ341">
        <v>20.8</v>
      </c>
      <c r="AK341">
        <v>25.1</v>
      </c>
      <c r="AL341">
        <v>0</v>
      </c>
      <c r="AM341">
        <v>0</v>
      </c>
      <c r="AN341">
        <v>0</v>
      </c>
      <c r="AO341">
        <v>103.8</v>
      </c>
      <c r="AP341">
        <v>203.4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</row>
    <row r="342" spans="1:60">
      <c r="A342" t="s">
        <v>88</v>
      </c>
      <c r="B342" t="s">
        <v>198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0.3</v>
      </c>
      <c r="N342">
        <v>0</v>
      </c>
      <c r="O342">
        <v>1.2E-2</v>
      </c>
      <c r="P342">
        <v>5.0000000000000001E-3</v>
      </c>
      <c r="Q342">
        <v>0</v>
      </c>
      <c r="R342">
        <v>4.8000000000000001E-2</v>
      </c>
      <c r="S342">
        <v>0.6339999999999999</v>
      </c>
      <c r="T342">
        <v>1.1419999999999999</v>
      </c>
      <c r="U342">
        <v>1.7130000000000001</v>
      </c>
      <c r="V342">
        <v>2.2839999999999998</v>
      </c>
      <c r="W342">
        <v>5.665</v>
      </c>
      <c r="X342">
        <v>8.048</v>
      </c>
      <c r="Y342">
        <v>9.5739999999999998</v>
      </c>
      <c r="Z342">
        <v>10.411999999999999</v>
      </c>
      <c r="AA342">
        <v>11.030000000000001</v>
      </c>
      <c r="AB342">
        <v>14.948</v>
      </c>
      <c r="AC342">
        <v>23.515999999999998</v>
      </c>
      <c r="AD342">
        <v>40.854999999999997</v>
      </c>
      <c r="AE342">
        <v>65.902999999999992</v>
      </c>
      <c r="AF342">
        <v>549.15300000000002</v>
      </c>
      <c r="AG342">
        <v>263.14</v>
      </c>
      <c r="AH342">
        <v>361.55700000000002</v>
      </c>
      <c r="AI342">
        <v>481.56099999999998</v>
      </c>
      <c r="AJ342">
        <v>652.46500000000003</v>
      </c>
      <c r="AK342">
        <v>1008.963</v>
      </c>
      <c r="AL342">
        <v>37.477999999999994</v>
      </c>
      <c r="AM342">
        <v>24.716999999999999</v>
      </c>
      <c r="AN342">
        <v>109.602</v>
      </c>
      <c r="AO342">
        <v>164.08799999999999</v>
      </c>
      <c r="AP342">
        <v>246.779</v>
      </c>
      <c r="AQ342">
        <v>434.96</v>
      </c>
      <c r="AR342">
        <v>277.37099999999998</v>
      </c>
      <c r="AS342">
        <v>183.22</v>
      </c>
      <c r="AT342">
        <v>56.638999999999996</v>
      </c>
      <c r="AU342">
        <v>388.95299999999997</v>
      </c>
      <c r="AV342">
        <v>268.91899999999998</v>
      </c>
      <c r="AW342">
        <v>524.69200000000001</v>
      </c>
      <c r="AX342">
        <v>365.17899999999997</v>
      </c>
      <c r="AY342">
        <v>337.42899999999997</v>
      </c>
      <c r="AZ342">
        <v>352.95499999999998</v>
      </c>
      <c r="BA342">
        <v>353.25900000000001</v>
      </c>
      <c r="BB342">
        <v>363.79699999999997</v>
      </c>
      <c r="BC342">
        <v>341.77199999999999</v>
      </c>
      <c r="BD342">
        <v>301.702</v>
      </c>
      <c r="BE342">
        <v>269.15100000000001</v>
      </c>
      <c r="BF342">
        <v>254.37799999999999</v>
      </c>
      <c r="BG342">
        <v>323.35300000000001</v>
      </c>
      <c r="BH342" t="s">
        <v>16</v>
      </c>
    </row>
    <row r="343" spans="1:60">
      <c r="A343" t="s">
        <v>88</v>
      </c>
      <c r="B343" t="s">
        <v>192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AK343">
        <v>535</v>
      </c>
      <c r="AP343" t="s">
        <v>16</v>
      </c>
      <c r="AQ343">
        <v>300</v>
      </c>
      <c r="AT343" t="s">
        <v>16</v>
      </c>
      <c r="AU343">
        <v>353</v>
      </c>
    </row>
    <row r="344" spans="1:60">
      <c r="A344" t="s">
        <v>88</v>
      </c>
      <c r="B344" t="s">
        <v>193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4.8000000000000001E-2</v>
      </c>
      <c r="S344">
        <v>6.3E-2</v>
      </c>
      <c r="T344">
        <v>0</v>
      </c>
      <c r="U344">
        <v>0</v>
      </c>
      <c r="V344">
        <v>0</v>
      </c>
      <c r="W344">
        <v>2.81</v>
      </c>
      <c r="X344">
        <v>4.6219999999999999</v>
      </c>
      <c r="Y344">
        <v>5.5739999999999998</v>
      </c>
      <c r="Z344">
        <v>6.4119999999999999</v>
      </c>
      <c r="AA344">
        <v>7.03</v>
      </c>
      <c r="AB344">
        <v>10.765000000000001</v>
      </c>
      <c r="AC344">
        <v>18.552</v>
      </c>
      <c r="AD344">
        <v>33.358999999999995</v>
      </c>
      <c r="AE344">
        <v>39.436</v>
      </c>
      <c r="AF344">
        <v>491.76099999999997</v>
      </c>
      <c r="AG344">
        <v>167.14</v>
      </c>
      <c r="AH344">
        <v>166.18299999999999</v>
      </c>
      <c r="AI344">
        <v>163.49799999999999</v>
      </c>
      <c r="AJ344">
        <v>155.51900000000001</v>
      </c>
      <c r="AK344" t="s">
        <v>16</v>
      </c>
      <c r="AL344">
        <v>24.730999999999998</v>
      </c>
      <c r="AM344">
        <v>19.811</v>
      </c>
      <c r="AN344">
        <v>82.298000000000002</v>
      </c>
      <c r="AO344">
        <v>90.85</v>
      </c>
      <c r="AP344">
        <v>154.90899999999999</v>
      </c>
      <c r="AQ344" t="s">
        <v>16</v>
      </c>
      <c r="AR344">
        <v>173.483</v>
      </c>
      <c r="AS344">
        <v>127.02500000000001</v>
      </c>
      <c r="AT344">
        <v>34.927999999999997</v>
      </c>
      <c r="AU344" t="s">
        <v>16</v>
      </c>
      <c r="AV344">
        <v>119.664</v>
      </c>
      <c r="AW344">
        <v>288.779</v>
      </c>
      <c r="AX344">
        <v>76.866</v>
      </c>
      <c r="AY344">
        <v>51.764000000000003</v>
      </c>
      <c r="AZ344">
        <v>29.240000000000002</v>
      </c>
      <c r="BA344">
        <v>50.704000000000001</v>
      </c>
      <c r="BB344">
        <v>50.704000000000001</v>
      </c>
      <c r="BC344">
        <v>71.02600000000001</v>
      </c>
      <c r="BD344">
        <v>8.4909999999999997</v>
      </c>
      <c r="BE344">
        <v>11.599</v>
      </c>
      <c r="BF344">
        <v>3.4350000000000001</v>
      </c>
      <c r="BG344">
        <v>62.082000000000001</v>
      </c>
      <c r="BH344" t="s">
        <v>16</v>
      </c>
    </row>
    <row r="345" spans="1:60">
      <c r="A345" t="s">
        <v>88</v>
      </c>
      <c r="B345" t="s">
        <v>194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0.3</v>
      </c>
      <c r="N345">
        <v>0</v>
      </c>
      <c r="O345">
        <v>1.2E-2</v>
      </c>
      <c r="P345">
        <v>5.0000000000000001E-3</v>
      </c>
      <c r="Q345">
        <v>0</v>
      </c>
      <c r="R345">
        <v>0</v>
      </c>
      <c r="S345">
        <v>0.57099999999999995</v>
      </c>
      <c r="T345">
        <v>1.1419999999999999</v>
      </c>
      <c r="U345">
        <v>1.7130000000000001</v>
      </c>
      <c r="V345">
        <v>2.2839999999999998</v>
      </c>
      <c r="W345">
        <v>2.855</v>
      </c>
      <c r="X345">
        <v>3.4260000000000002</v>
      </c>
      <c r="Y345">
        <v>4</v>
      </c>
      <c r="Z345">
        <v>4</v>
      </c>
      <c r="AA345">
        <v>4</v>
      </c>
      <c r="AB345">
        <v>4.1829999999999998</v>
      </c>
      <c r="AC345">
        <v>4.9639999999999995</v>
      </c>
      <c r="AD345">
        <v>7.4959999999999996</v>
      </c>
      <c r="AE345">
        <v>26.466999999999999</v>
      </c>
      <c r="AF345">
        <v>57.391999999999996</v>
      </c>
      <c r="AG345">
        <v>5</v>
      </c>
      <c r="AH345">
        <v>195.374</v>
      </c>
      <c r="AI345">
        <v>318.06299999999999</v>
      </c>
      <c r="AJ345">
        <v>496.94600000000003</v>
      </c>
      <c r="AK345">
        <v>473.96300000000002</v>
      </c>
      <c r="AL345">
        <v>12.747</v>
      </c>
      <c r="AM345">
        <v>4.9060000000000006</v>
      </c>
      <c r="AN345">
        <v>27.304000000000002</v>
      </c>
      <c r="AO345">
        <v>73.238</v>
      </c>
      <c r="AP345">
        <v>91.87</v>
      </c>
      <c r="AQ345">
        <v>134.95999999999998</v>
      </c>
      <c r="AR345">
        <v>103.88800000000001</v>
      </c>
      <c r="AS345">
        <v>56.195</v>
      </c>
      <c r="AT345">
        <v>21.710999999999999</v>
      </c>
      <c r="AU345">
        <v>35.953000000000003</v>
      </c>
      <c r="AV345">
        <v>149.255</v>
      </c>
      <c r="AW345">
        <v>235.91299999999998</v>
      </c>
      <c r="AX345">
        <v>288.31299999999999</v>
      </c>
      <c r="AY345">
        <v>285.66499999999996</v>
      </c>
      <c r="AZ345">
        <v>323.71499999999997</v>
      </c>
      <c r="BA345">
        <v>302.55500000000001</v>
      </c>
      <c r="BB345">
        <v>313.09299999999996</v>
      </c>
      <c r="BC345">
        <v>270.74599999999998</v>
      </c>
      <c r="BD345">
        <v>293.21100000000001</v>
      </c>
      <c r="BE345">
        <v>257.55200000000002</v>
      </c>
      <c r="BF345">
        <v>250.94299999999998</v>
      </c>
      <c r="BG345">
        <v>261.27100000000002</v>
      </c>
      <c r="BH345" t="s">
        <v>16</v>
      </c>
    </row>
    <row r="346" spans="1:60">
      <c r="A346" t="s">
        <v>88</v>
      </c>
      <c r="B346" t="s">
        <v>195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AG346">
        <v>91</v>
      </c>
    </row>
    <row r="347" spans="1:60">
      <c r="A347" t="s">
        <v>89</v>
      </c>
      <c r="B347" t="s">
        <v>198</v>
      </c>
      <c r="R347" t="s">
        <v>16</v>
      </c>
      <c r="S347" t="s">
        <v>16</v>
      </c>
      <c r="T347" t="s">
        <v>16</v>
      </c>
      <c r="U347" t="s">
        <v>16</v>
      </c>
      <c r="V347" t="s">
        <v>16</v>
      </c>
      <c r="W347" t="s">
        <v>16</v>
      </c>
      <c r="X347" t="s">
        <v>16</v>
      </c>
      <c r="Y347" t="s">
        <v>16</v>
      </c>
      <c r="Z347" t="s">
        <v>16</v>
      </c>
      <c r="AA347">
        <v>417.10787985263903</v>
      </c>
      <c r="AB347">
        <v>552.15820461777378</v>
      </c>
      <c r="AC347">
        <v>747.66521522942651</v>
      </c>
      <c r="AD347">
        <v>983.29535421310356</v>
      </c>
      <c r="AE347">
        <v>926.03136100298934</v>
      </c>
      <c r="AF347">
        <v>973.9214632384253</v>
      </c>
      <c r="AG347">
        <v>1251.1120386650011</v>
      </c>
      <c r="AH347">
        <v>1312.8426090482785</v>
      </c>
      <c r="AI347">
        <v>1644.4930730199781</v>
      </c>
      <c r="AJ347">
        <v>1467.5656660132413</v>
      </c>
      <c r="AK347">
        <v>1756.0390166323373</v>
      </c>
      <c r="AL347">
        <v>2077.36322227038</v>
      </c>
      <c r="AM347">
        <v>1972.9276101934315</v>
      </c>
      <c r="AN347">
        <v>1837.3213765399164</v>
      </c>
      <c r="AO347">
        <v>1935.4210589894526</v>
      </c>
      <c r="AP347">
        <v>1836.3081176630876</v>
      </c>
      <c r="AQ347">
        <v>1822.4738335319598</v>
      </c>
      <c r="AR347">
        <v>1848.4058407036678</v>
      </c>
      <c r="AS347">
        <v>2313.6445121181669</v>
      </c>
      <c r="AT347">
        <v>2815.1907193714369</v>
      </c>
      <c r="AU347">
        <v>3135.7716454046144</v>
      </c>
      <c r="AV347">
        <v>2821.6649281294813</v>
      </c>
      <c r="AW347">
        <v>3208.6091022649634</v>
      </c>
      <c r="AX347">
        <v>3662.2701936209223</v>
      </c>
      <c r="AY347">
        <v>13380.968523219355</v>
      </c>
      <c r="AZ347">
        <v>13980.437163589744</v>
      </c>
      <c r="BA347">
        <v>14012.4388826472</v>
      </c>
      <c r="BB347">
        <v>14298.248149395258</v>
      </c>
      <c r="BC347">
        <v>24700.012688113635</v>
      </c>
      <c r="BD347">
        <v>15225.020801417641</v>
      </c>
      <c r="BE347">
        <v>6843.5083299322014</v>
      </c>
      <c r="BF347">
        <v>6482.9369996847472</v>
      </c>
      <c r="BG347">
        <v>6327.5544634591906</v>
      </c>
      <c r="BH347" t="s">
        <v>16</v>
      </c>
    </row>
    <row r="348" spans="1:60">
      <c r="A348" t="s">
        <v>89</v>
      </c>
      <c r="B348" t="s">
        <v>192</v>
      </c>
      <c r="R348" t="s">
        <v>16</v>
      </c>
      <c r="S348" t="s">
        <v>16</v>
      </c>
      <c r="T348" t="s">
        <v>16</v>
      </c>
      <c r="U348" t="s">
        <v>16</v>
      </c>
      <c r="V348" t="s">
        <v>16</v>
      </c>
      <c r="W348" t="s">
        <v>16</v>
      </c>
      <c r="X348" t="s">
        <v>16</v>
      </c>
      <c r="Y348" t="s">
        <v>16</v>
      </c>
      <c r="Z348" t="s">
        <v>16</v>
      </c>
      <c r="AA348" t="s">
        <v>16</v>
      </c>
      <c r="AB348" t="s">
        <v>16</v>
      </c>
      <c r="AC348" t="s">
        <v>16</v>
      </c>
      <c r="AD348" t="s">
        <v>16</v>
      </c>
      <c r="AE348" t="s">
        <v>16</v>
      </c>
      <c r="AF348" t="s">
        <v>16</v>
      </c>
      <c r="AG348" t="s">
        <v>16</v>
      </c>
      <c r="AH348" t="s">
        <v>16</v>
      </c>
      <c r="AI348" t="s">
        <v>16</v>
      </c>
      <c r="AJ348" t="s">
        <v>16</v>
      </c>
      <c r="AK348" t="s">
        <v>16</v>
      </c>
      <c r="AL348" t="s">
        <v>16</v>
      </c>
      <c r="AM348" t="s">
        <v>16</v>
      </c>
      <c r="AN348" t="s">
        <v>16</v>
      </c>
      <c r="AO348" t="s">
        <v>16</v>
      </c>
      <c r="AP348" t="s">
        <v>16</v>
      </c>
      <c r="AQ348" t="s">
        <v>16</v>
      </c>
      <c r="AR348" t="s">
        <v>16</v>
      </c>
      <c r="AS348" t="s">
        <v>16</v>
      </c>
      <c r="AT348" t="s">
        <v>16</v>
      </c>
      <c r="AU348" t="s">
        <v>16</v>
      </c>
      <c r="AV348" t="s">
        <v>16</v>
      </c>
      <c r="AW348" t="s">
        <v>16</v>
      </c>
      <c r="AX348" t="s">
        <v>16</v>
      </c>
      <c r="AY348">
        <v>9544</v>
      </c>
      <c r="AZ348">
        <v>9567</v>
      </c>
      <c r="BA348">
        <v>9742</v>
      </c>
      <c r="BB348">
        <v>9986</v>
      </c>
      <c r="BC348">
        <v>20188</v>
      </c>
      <c r="BD348">
        <v>10445</v>
      </c>
      <c r="BE348">
        <v>2526</v>
      </c>
      <c r="BF348">
        <v>2351</v>
      </c>
      <c r="BG348">
        <v>2234</v>
      </c>
      <c r="BH348" t="s">
        <v>16</v>
      </c>
    </row>
    <row r="349" spans="1:60">
      <c r="A349" t="s">
        <v>89</v>
      </c>
      <c r="B349" t="s">
        <v>195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417.10787985263903</v>
      </c>
      <c r="AB349">
        <v>552.15820461777378</v>
      </c>
      <c r="AC349">
        <v>747.66521522942651</v>
      </c>
      <c r="AD349">
        <v>983.29535421310356</v>
      </c>
      <c r="AE349">
        <v>926.03136100298934</v>
      </c>
      <c r="AF349">
        <v>973.9214632384253</v>
      </c>
      <c r="AG349">
        <v>1251.1120386650011</v>
      </c>
      <c r="AH349">
        <v>1312.8426090482785</v>
      </c>
      <c r="AI349">
        <v>1397.4930730199781</v>
      </c>
      <c r="AJ349">
        <v>1467.5656660132413</v>
      </c>
      <c r="AK349">
        <v>1756.0390166323373</v>
      </c>
      <c r="AL349">
        <v>2077.36322227038</v>
      </c>
      <c r="AM349">
        <v>1972.9276101934315</v>
      </c>
      <c r="AN349">
        <v>1837.3213765399164</v>
      </c>
      <c r="AO349">
        <v>1935.4210589894526</v>
      </c>
      <c r="AP349">
        <v>1836.3081176630876</v>
      </c>
      <c r="AQ349">
        <v>1822.4738335319598</v>
      </c>
      <c r="AR349">
        <v>1848.4058407036678</v>
      </c>
      <c r="AS349">
        <v>2313.6445121181669</v>
      </c>
      <c r="AT349">
        <v>2815.1907193714369</v>
      </c>
      <c r="AU349">
        <v>3135.7716454046144</v>
      </c>
      <c r="AV349">
        <v>2821.6649281294813</v>
      </c>
      <c r="AW349">
        <v>3208.6091022649634</v>
      </c>
      <c r="AX349">
        <v>3662.2701936209223</v>
      </c>
      <c r="AY349">
        <v>3836.9685232193551</v>
      </c>
      <c r="AZ349">
        <v>4172.4371635897442</v>
      </c>
      <c r="BA349">
        <v>4270.4388826472004</v>
      </c>
      <c r="BB349">
        <v>4312.2481493952591</v>
      </c>
      <c r="BC349">
        <v>4512.0126881136348</v>
      </c>
      <c r="BD349">
        <v>4780.0208014176405</v>
      </c>
      <c r="BE349">
        <v>4317.5083299322014</v>
      </c>
      <c r="BF349">
        <v>4131.9369996847472</v>
      </c>
      <c r="BG349">
        <v>4093.5544634591906</v>
      </c>
      <c r="BH349">
        <v>4462.5685915383056</v>
      </c>
    </row>
    <row r="350" spans="1:60">
      <c r="A350" t="s">
        <v>89</v>
      </c>
      <c r="B350" t="s">
        <v>196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247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241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</row>
    <row r="351" spans="1:60">
      <c r="A351" t="s">
        <v>90</v>
      </c>
      <c r="B351" t="s">
        <v>198</v>
      </c>
      <c r="AH351">
        <v>0</v>
      </c>
      <c r="AI351">
        <v>0</v>
      </c>
      <c r="AJ351">
        <v>0.9</v>
      </c>
      <c r="AK351">
        <v>24.423000000000002</v>
      </c>
      <c r="AL351">
        <v>21.748000000000001</v>
      </c>
      <c r="AM351">
        <v>198.48700000000002</v>
      </c>
      <c r="AN351">
        <v>4.0200000000000005</v>
      </c>
      <c r="AO351">
        <v>41.37</v>
      </c>
      <c r="AP351">
        <v>32.028000000000006</v>
      </c>
      <c r="AQ351">
        <v>60.911999999999999</v>
      </c>
      <c r="AR351">
        <v>111.893</v>
      </c>
      <c r="AS351">
        <v>132.11000000000001</v>
      </c>
      <c r="AT351">
        <v>45.04</v>
      </c>
      <c r="AU351">
        <v>48.754000000000005</v>
      </c>
      <c r="AV351">
        <v>555.899</v>
      </c>
      <c r="AW351">
        <v>11.117999999999999</v>
      </c>
      <c r="AX351">
        <v>23.457000000000001</v>
      </c>
      <c r="AY351">
        <v>25.295999999999999</v>
      </c>
      <c r="AZ351">
        <v>17.274000000000001</v>
      </c>
      <c r="BA351">
        <v>18.256999999999998</v>
      </c>
      <c r="BB351">
        <v>9.7940000000000005</v>
      </c>
      <c r="BC351">
        <v>61.427000000000007</v>
      </c>
      <c r="BD351">
        <v>217.66299999999998</v>
      </c>
      <c r="BE351">
        <v>8.8550000000000004</v>
      </c>
      <c r="BF351">
        <v>5.5E-2</v>
      </c>
      <c r="BG351">
        <v>44.991</v>
      </c>
      <c r="BH351" t="s">
        <v>16</v>
      </c>
    </row>
    <row r="352" spans="1:60">
      <c r="A352" t="s">
        <v>90</v>
      </c>
      <c r="B352" t="s">
        <v>192</v>
      </c>
      <c r="AH352">
        <v>0</v>
      </c>
      <c r="AI352">
        <v>0</v>
      </c>
      <c r="AO352">
        <v>0</v>
      </c>
      <c r="AP352" t="s">
        <v>16</v>
      </c>
      <c r="AQ352" t="s">
        <v>16</v>
      </c>
      <c r="AR352" t="s">
        <v>16</v>
      </c>
      <c r="AS352">
        <v>102</v>
      </c>
      <c r="AU352" t="s">
        <v>16</v>
      </c>
      <c r="AV352">
        <v>555</v>
      </c>
    </row>
    <row r="353" spans="1:60">
      <c r="A353" t="s">
        <v>90</v>
      </c>
      <c r="B353" t="s">
        <v>193</v>
      </c>
      <c r="AH353">
        <v>0</v>
      </c>
      <c r="AI353">
        <v>0</v>
      </c>
      <c r="AJ353">
        <v>0.9</v>
      </c>
      <c r="AK353">
        <v>24.423000000000002</v>
      </c>
      <c r="AL353">
        <v>21.748000000000001</v>
      </c>
      <c r="AM353">
        <v>198.48700000000002</v>
      </c>
      <c r="AN353">
        <v>4.0200000000000005</v>
      </c>
      <c r="AO353">
        <v>41.37</v>
      </c>
      <c r="AP353">
        <v>29.092000000000002</v>
      </c>
      <c r="AQ353">
        <v>57.192</v>
      </c>
      <c r="AR353">
        <v>110.97</v>
      </c>
      <c r="AS353">
        <v>27.732999999999997</v>
      </c>
      <c r="AT353">
        <v>42.341000000000001</v>
      </c>
      <c r="AU353">
        <v>46.400000000000006</v>
      </c>
      <c r="AV353" t="s">
        <v>16</v>
      </c>
      <c r="AW353">
        <v>11.117999999999999</v>
      </c>
      <c r="AX353">
        <v>23.457000000000001</v>
      </c>
      <c r="AY353">
        <v>25.295999999999999</v>
      </c>
      <c r="AZ353">
        <v>17.274000000000001</v>
      </c>
      <c r="BA353">
        <v>18.256999999999998</v>
      </c>
      <c r="BB353">
        <v>9.7940000000000005</v>
      </c>
      <c r="BC353">
        <v>61.427000000000007</v>
      </c>
      <c r="BD353">
        <v>217.66299999999998</v>
      </c>
      <c r="BE353">
        <v>8.8550000000000004</v>
      </c>
      <c r="BF353">
        <v>5.5E-2</v>
      </c>
      <c r="BG353">
        <v>44.991</v>
      </c>
      <c r="BH353" t="s">
        <v>16</v>
      </c>
    </row>
    <row r="354" spans="1:60">
      <c r="A354" t="s">
        <v>90</v>
      </c>
      <c r="B354" t="s">
        <v>194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2.9359999999999999</v>
      </c>
      <c r="AQ354">
        <v>3.7199999999999998</v>
      </c>
      <c r="AR354">
        <v>0.92299999999999993</v>
      </c>
      <c r="AS354">
        <v>2.3769999999999998</v>
      </c>
      <c r="AT354">
        <v>2.6990000000000003</v>
      </c>
      <c r="AU354">
        <v>2.3540000000000001</v>
      </c>
      <c r="AV354">
        <v>0.89900000000000002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</row>
    <row r="355" spans="1:60">
      <c r="A355" t="s">
        <v>91</v>
      </c>
      <c r="B355" t="s">
        <v>198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0.22500000000000001</v>
      </c>
      <c r="P355">
        <v>0.27300000000000002</v>
      </c>
      <c r="Q355">
        <v>0.128</v>
      </c>
      <c r="R355">
        <v>0.60899999999999999</v>
      </c>
      <c r="S355">
        <v>156.11799999999999</v>
      </c>
      <c r="T355">
        <v>1.8009999999999999</v>
      </c>
      <c r="U355">
        <v>3.1859999999999999</v>
      </c>
      <c r="V355">
        <v>4.2620000000000005</v>
      </c>
      <c r="W355">
        <v>5.5090000000000003</v>
      </c>
      <c r="X355">
        <v>5.3010000000000002</v>
      </c>
      <c r="Y355">
        <v>5.2460000000000004</v>
      </c>
      <c r="Z355">
        <v>4.8680000000000003</v>
      </c>
      <c r="AA355">
        <v>4.7780000000000005</v>
      </c>
      <c r="AB355">
        <v>6.7520000000000007</v>
      </c>
      <c r="AC355">
        <v>8.7680000000000007</v>
      </c>
      <c r="AD355">
        <v>12.713999999999999</v>
      </c>
      <c r="AE355">
        <v>0.66799999999999993</v>
      </c>
      <c r="AF355">
        <v>0.254</v>
      </c>
      <c r="AG355">
        <v>1.0209999999999999</v>
      </c>
      <c r="AH355">
        <v>1291.9190000000001</v>
      </c>
      <c r="AI355">
        <v>0.4</v>
      </c>
      <c r="AJ355">
        <v>0</v>
      </c>
      <c r="AK355">
        <v>0</v>
      </c>
      <c r="AL355">
        <v>0</v>
      </c>
      <c r="AM355">
        <v>1.5840000000000001</v>
      </c>
      <c r="AN355">
        <v>1.659</v>
      </c>
      <c r="AO355">
        <v>0.69600000000000006</v>
      </c>
      <c r="AP355">
        <v>0.98399999999999999</v>
      </c>
      <c r="AQ355">
        <v>1.22</v>
      </c>
      <c r="AR355">
        <v>1.7000000000000001E-2</v>
      </c>
      <c r="AS355">
        <v>0</v>
      </c>
      <c r="AT355">
        <v>905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3.0000000000000001E-3</v>
      </c>
      <c r="BD355">
        <v>3.0000000000000001E-3</v>
      </c>
      <c r="BE355">
        <v>2E-3</v>
      </c>
      <c r="BF355">
        <v>2E-3</v>
      </c>
      <c r="BG355">
        <v>2E-3</v>
      </c>
      <c r="BH355">
        <v>0</v>
      </c>
    </row>
    <row r="356" spans="1:60">
      <c r="A356" t="s">
        <v>91</v>
      </c>
      <c r="B356" t="s">
        <v>190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</row>
    <row r="357" spans="1:60">
      <c r="A357" t="s">
        <v>91</v>
      </c>
      <c r="B357" t="s">
        <v>193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0.22500000000000001</v>
      </c>
      <c r="P357">
        <v>0.27300000000000002</v>
      </c>
      <c r="Q357">
        <v>0.128</v>
      </c>
      <c r="R357">
        <v>0.36399999999999999</v>
      </c>
      <c r="S357">
        <v>0.42000000000000004</v>
      </c>
      <c r="T357">
        <v>0.11700000000000001</v>
      </c>
      <c r="U357">
        <v>0.312</v>
      </c>
      <c r="V357">
        <v>0.47299999999999998</v>
      </c>
      <c r="W357">
        <v>1.246</v>
      </c>
      <c r="X357">
        <v>1.3919999999999999</v>
      </c>
      <c r="Y357">
        <v>1.5569999999999999</v>
      </c>
      <c r="Z357">
        <v>1.6150000000000002</v>
      </c>
      <c r="AA357">
        <v>1.7010000000000001</v>
      </c>
      <c r="AB357">
        <v>2.746</v>
      </c>
      <c r="AC357">
        <v>3.9630000000000001</v>
      </c>
      <c r="AD357">
        <v>5.6429999999999998</v>
      </c>
      <c r="AE357">
        <v>0.66799999999999993</v>
      </c>
      <c r="AF357">
        <v>0.254</v>
      </c>
      <c r="AG357">
        <v>1.0209999999999999</v>
      </c>
      <c r="AH357">
        <v>1291.9190000000001</v>
      </c>
      <c r="AI357">
        <v>0.4</v>
      </c>
      <c r="AJ357">
        <v>0</v>
      </c>
      <c r="AK357">
        <v>0</v>
      </c>
      <c r="AL357">
        <v>0</v>
      </c>
      <c r="AM357">
        <v>1.5840000000000001</v>
      </c>
      <c r="AN357">
        <v>1.659</v>
      </c>
      <c r="AO357">
        <v>0.69600000000000006</v>
      </c>
      <c r="AP357">
        <v>0.98399999999999999</v>
      </c>
      <c r="AQ357">
        <v>1.22</v>
      </c>
      <c r="AR357">
        <v>1.7000000000000001E-2</v>
      </c>
      <c r="AS357">
        <v>0</v>
      </c>
      <c r="AT357">
        <v>905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</row>
    <row r="358" spans="1:60">
      <c r="A358" t="s">
        <v>91</v>
      </c>
      <c r="B358" t="s">
        <v>194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0.245</v>
      </c>
      <c r="S358">
        <v>0.69800000000000006</v>
      </c>
      <c r="T358">
        <v>1.6839999999999999</v>
      </c>
      <c r="U358">
        <v>2.8740000000000001</v>
      </c>
      <c r="V358">
        <v>3.7890000000000001</v>
      </c>
      <c r="W358">
        <v>4.2629999999999999</v>
      </c>
      <c r="X358">
        <v>3.9089999999999998</v>
      </c>
      <c r="Y358">
        <v>3.6890000000000001</v>
      </c>
      <c r="Z358">
        <v>3.2530000000000001</v>
      </c>
      <c r="AA358">
        <v>3.077</v>
      </c>
      <c r="AB358">
        <v>4.0060000000000002</v>
      </c>
      <c r="AC358">
        <v>4.8049999999999997</v>
      </c>
      <c r="AD358">
        <v>6.0709999999999997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3.0000000000000001E-3</v>
      </c>
      <c r="BD358">
        <v>3.0000000000000001E-3</v>
      </c>
      <c r="BE358">
        <v>2E-3</v>
      </c>
      <c r="BF358">
        <v>2E-3</v>
      </c>
      <c r="BG358">
        <v>2E-3</v>
      </c>
      <c r="BH358">
        <v>0</v>
      </c>
    </row>
    <row r="359" spans="1:60">
      <c r="A359" t="s">
        <v>91</v>
      </c>
      <c r="B359" t="s">
        <v>196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155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</row>
    <row r="360" spans="1:60">
      <c r="A360" t="s">
        <v>92</v>
      </c>
      <c r="B360" t="s">
        <v>198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8.2650000000000006</v>
      </c>
      <c r="Z360">
        <v>17.933</v>
      </c>
      <c r="AA360">
        <v>27.550999999999998</v>
      </c>
      <c r="AB360">
        <v>37.084000000000003</v>
      </c>
      <c r="AC360">
        <v>47.128999999999998</v>
      </c>
      <c r="AD360">
        <v>64.253999999999991</v>
      </c>
      <c r="AE360">
        <v>96.244</v>
      </c>
      <c r="AF360">
        <v>130.399</v>
      </c>
      <c r="AG360">
        <v>171.30699999999999</v>
      </c>
      <c r="AH360">
        <v>183.43099999999998</v>
      </c>
      <c r="AI360">
        <v>77.798000000000002</v>
      </c>
      <c r="AJ360">
        <v>71.975999999999999</v>
      </c>
      <c r="AK360">
        <v>59.594999999999999</v>
      </c>
      <c r="AL360">
        <v>51.298999999999999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0.125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3.0110000000000001</v>
      </c>
      <c r="BG360">
        <v>0</v>
      </c>
      <c r="BH360">
        <v>0</v>
      </c>
    </row>
    <row r="361" spans="1:60">
      <c r="A361" t="s">
        <v>92</v>
      </c>
      <c r="B361" t="s">
        <v>191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0.3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</row>
    <row r="362" spans="1:60">
      <c r="A362" t="s">
        <v>92</v>
      </c>
      <c r="B362" t="s">
        <v>193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0.14899999999999999</v>
      </c>
      <c r="AC362">
        <v>1.044</v>
      </c>
      <c r="AD362">
        <v>4.7729999999999997</v>
      </c>
      <c r="AE362">
        <v>16.645</v>
      </c>
      <c r="AF362">
        <v>29.747</v>
      </c>
      <c r="AG362">
        <v>44.802</v>
      </c>
      <c r="AH362">
        <v>28.597999999999999</v>
      </c>
      <c r="AI362">
        <v>13.06</v>
      </c>
      <c r="AJ362">
        <v>12.273</v>
      </c>
      <c r="AK362">
        <v>13.181000000000001</v>
      </c>
      <c r="AL362">
        <v>0.27800000000000002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0.125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3.0110000000000001</v>
      </c>
      <c r="BG362">
        <v>0</v>
      </c>
      <c r="BH362">
        <v>0</v>
      </c>
    </row>
    <row r="363" spans="1:60">
      <c r="A363" t="s">
        <v>92</v>
      </c>
      <c r="B363" t="s">
        <v>194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8.2650000000000006</v>
      </c>
      <c r="Z363">
        <v>17.933</v>
      </c>
      <c r="AA363">
        <v>27.550999999999998</v>
      </c>
      <c r="AB363">
        <v>36.935000000000002</v>
      </c>
      <c r="AC363">
        <v>46.085000000000001</v>
      </c>
      <c r="AD363">
        <v>59.480999999999995</v>
      </c>
      <c r="AE363">
        <v>79.599000000000004</v>
      </c>
      <c r="AF363">
        <v>100.65200000000002</v>
      </c>
      <c r="AG363">
        <v>126.505</v>
      </c>
      <c r="AH363">
        <v>154.833</v>
      </c>
      <c r="AI363">
        <v>64.738</v>
      </c>
      <c r="AJ363">
        <v>59.703000000000003</v>
      </c>
      <c r="AK363">
        <v>46.414000000000001</v>
      </c>
      <c r="AL363">
        <v>51.021000000000001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</row>
    <row r="364" spans="1:60">
      <c r="A364" t="s">
        <v>93</v>
      </c>
      <c r="B364" t="s">
        <v>198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1E-3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0.19600000000000001</v>
      </c>
      <c r="AC364">
        <v>4.3999999999999997E-2</v>
      </c>
      <c r="AD364">
        <v>3.7999999999999999E-2</v>
      </c>
      <c r="AE364">
        <v>4.1000000000000002E-2</v>
      </c>
      <c r="AF364">
        <v>3.3000000000000002E-2</v>
      </c>
      <c r="AG364">
        <v>8.1210000000000004</v>
      </c>
      <c r="AH364">
        <v>3.6979999999999995</v>
      </c>
      <c r="AI364">
        <v>5.5759999999999996</v>
      </c>
      <c r="AJ364">
        <v>12.052</v>
      </c>
      <c r="AK364">
        <v>2.8819999999999997</v>
      </c>
      <c r="AL364">
        <v>0</v>
      </c>
      <c r="AM364">
        <v>0</v>
      </c>
      <c r="AN364">
        <v>0</v>
      </c>
      <c r="AO364">
        <v>6.3E-2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18.280999999999999</v>
      </c>
      <c r="AX364">
        <v>5.85</v>
      </c>
      <c r="AY364">
        <v>1.44</v>
      </c>
      <c r="AZ364">
        <v>2E-3</v>
      </c>
      <c r="BA364">
        <v>0</v>
      </c>
      <c r="BB364">
        <v>0</v>
      </c>
      <c r="BC364">
        <v>0</v>
      </c>
      <c r="BD364">
        <v>7.1000000000000008E-2</v>
      </c>
      <c r="BE364">
        <v>0.14299999999999999</v>
      </c>
      <c r="BF364">
        <v>0.13</v>
      </c>
      <c r="BG364">
        <v>0.375</v>
      </c>
      <c r="BH364">
        <v>0.13</v>
      </c>
    </row>
    <row r="365" spans="1:60">
      <c r="A365" t="s">
        <v>93</v>
      </c>
      <c r="B365" t="s">
        <v>193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1E-3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0.19600000000000001</v>
      </c>
      <c r="AC365">
        <v>4.3999999999999997E-2</v>
      </c>
      <c r="AD365">
        <v>5.0000000000000001E-3</v>
      </c>
      <c r="AE365">
        <v>8.0000000000000002E-3</v>
      </c>
      <c r="AF365">
        <v>0</v>
      </c>
      <c r="AG365">
        <v>6.194</v>
      </c>
      <c r="AH365">
        <v>3.1389999999999998</v>
      </c>
      <c r="AI365">
        <v>4.6059999999999999</v>
      </c>
      <c r="AJ365">
        <v>11.068999999999999</v>
      </c>
      <c r="AK365">
        <v>2.1269999999999998</v>
      </c>
      <c r="AL365">
        <v>0</v>
      </c>
      <c r="AM365">
        <v>0</v>
      </c>
      <c r="AN365">
        <v>0</v>
      </c>
      <c r="AO365">
        <v>6.3E-2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18.280999999999999</v>
      </c>
      <c r="AX365">
        <v>5.85</v>
      </c>
      <c r="AY365">
        <v>1.44</v>
      </c>
      <c r="AZ365">
        <v>2E-3</v>
      </c>
      <c r="BA365">
        <v>0</v>
      </c>
      <c r="BB365">
        <v>0</v>
      </c>
      <c r="BC365">
        <v>0</v>
      </c>
      <c r="BD365">
        <v>7.1000000000000008E-2</v>
      </c>
      <c r="BE365">
        <v>0.14299999999999999</v>
      </c>
      <c r="BF365">
        <v>0.128</v>
      </c>
      <c r="BG365">
        <v>0.375</v>
      </c>
      <c r="BH365">
        <v>0.13</v>
      </c>
    </row>
    <row r="366" spans="1:60">
      <c r="A366" t="s">
        <v>93</v>
      </c>
      <c r="B366" t="s">
        <v>194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3.3000000000000002E-2</v>
      </c>
      <c r="AE366">
        <v>3.3000000000000002E-2</v>
      </c>
      <c r="AF366">
        <v>3.3000000000000002E-2</v>
      </c>
      <c r="AG366">
        <v>1.927</v>
      </c>
      <c r="AH366">
        <v>0.55899999999999994</v>
      </c>
      <c r="AI366">
        <v>0.97</v>
      </c>
      <c r="AJ366">
        <v>0.98299999999999998</v>
      </c>
      <c r="AK366">
        <v>0.755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2E-3</v>
      </c>
      <c r="BG366">
        <v>0</v>
      </c>
      <c r="BH366">
        <v>0</v>
      </c>
    </row>
    <row r="367" spans="1:60">
      <c r="A367" t="s">
        <v>94</v>
      </c>
      <c r="B367" t="s">
        <v>198</v>
      </c>
      <c r="C367">
        <v>0</v>
      </c>
      <c r="D367">
        <v>0</v>
      </c>
      <c r="E367">
        <v>0</v>
      </c>
      <c r="F367">
        <v>122</v>
      </c>
      <c r="G367">
        <v>0</v>
      </c>
      <c r="H367">
        <v>0</v>
      </c>
      <c r="I367">
        <v>0</v>
      </c>
      <c r="J367">
        <v>0</v>
      </c>
      <c r="K367">
        <v>112</v>
      </c>
      <c r="L367">
        <v>5</v>
      </c>
      <c r="M367">
        <v>0</v>
      </c>
      <c r="N367">
        <v>7.8E-2</v>
      </c>
      <c r="O367">
        <v>7.6999999999999999E-2</v>
      </c>
      <c r="P367">
        <v>0.13400000000000001</v>
      </c>
      <c r="Q367">
        <v>0.24099999999999999</v>
      </c>
      <c r="R367">
        <v>4.7E-2</v>
      </c>
      <c r="S367">
        <v>5.3999999999999999E-2</v>
      </c>
      <c r="T367">
        <v>0.126</v>
      </c>
      <c r="U367">
        <v>1.2749999999999999</v>
      </c>
      <c r="V367">
        <v>1.7979999999999998</v>
      </c>
      <c r="W367">
        <v>40.095999999999997</v>
      </c>
      <c r="X367">
        <v>50.786999999999999</v>
      </c>
      <c r="Y367">
        <v>60.647000000000006</v>
      </c>
      <c r="Z367">
        <v>71.3</v>
      </c>
      <c r="AA367">
        <v>120.25</v>
      </c>
      <c r="AB367">
        <v>469.55433768494999</v>
      </c>
      <c r="AC367">
        <v>838.92150112462787</v>
      </c>
      <c r="AD367">
        <v>1004.3250025816966</v>
      </c>
      <c r="AE367">
        <v>1047.7021599191185</v>
      </c>
      <c r="AF367">
        <v>1117.745481483003</v>
      </c>
      <c r="AG367">
        <v>1241.1084899070881</v>
      </c>
      <c r="AH367">
        <v>1333.8529578218977</v>
      </c>
      <c r="AI367">
        <v>1390.9026365693041</v>
      </c>
      <c r="AJ367">
        <v>1459.3808034216897</v>
      </c>
      <c r="AK367">
        <v>1573.0822953892271</v>
      </c>
      <c r="AL367">
        <v>1694.5552931094608</v>
      </c>
      <c r="AM367">
        <v>1747.9758554837072</v>
      </c>
      <c r="AN367">
        <v>1779.9397760745492</v>
      </c>
      <c r="AO367">
        <v>1927.0059508553186</v>
      </c>
      <c r="AP367">
        <v>1994.938580008094</v>
      </c>
      <c r="AQ367">
        <v>2123.3597396575101</v>
      </c>
      <c r="AR367">
        <v>2162.8416274689143</v>
      </c>
      <c r="AS367">
        <v>2383.6566945675449</v>
      </c>
      <c r="AT367">
        <v>2630.716348876761</v>
      </c>
      <c r="AU367">
        <v>2482.4081303648491</v>
      </c>
      <c r="AV367">
        <v>2833.8516711641551</v>
      </c>
      <c r="AW367">
        <v>3016.6504050717208</v>
      </c>
      <c r="AX367">
        <v>3228.5559900397066</v>
      </c>
      <c r="AY367">
        <v>4066.3196915999542</v>
      </c>
      <c r="AZ367">
        <v>3042.0320000000002</v>
      </c>
      <c r="BA367">
        <v>2948</v>
      </c>
      <c r="BB367">
        <v>110.387</v>
      </c>
      <c r="BC367">
        <v>121.041</v>
      </c>
      <c r="BD367">
        <v>92.025000000000006</v>
      </c>
      <c r="BE367">
        <v>78.615000000000009</v>
      </c>
      <c r="BF367">
        <v>78.596000000000004</v>
      </c>
      <c r="BG367">
        <v>78.596000000000004</v>
      </c>
      <c r="BH367" t="s">
        <v>16</v>
      </c>
    </row>
    <row r="368" spans="1:60">
      <c r="A368" t="s">
        <v>94</v>
      </c>
      <c r="B368" t="s">
        <v>190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10.95</v>
      </c>
      <c r="AB368">
        <v>280.93133768494994</v>
      </c>
      <c r="AC368">
        <v>339.70250112462782</v>
      </c>
      <c r="AD368">
        <v>423.20600258169657</v>
      </c>
      <c r="AE368">
        <v>431.08315991911837</v>
      </c>
      <c r="AF368">
        <v>452.02648148300301</v>
      </c>
      <c r="AG368">
        <v>530.58948990708814</v>
      </c>
      <c r="AH368">
        <v>580.23395782189766</v>
      </c>
      <c r="AI368">
        <v>599.48363656930417</v>
      </c>
      <c r="AJ368">
        <v>635.6618034216898</v>
      </c>
      <c r="AK368">
        <v>709.96329538922714</v>
      </c>
      <c r="AL368">
        <v>758.8552931094606</v>
      </c>
      <c r="AM368">
        <v>767.5758554837073</v>
      </c>
      <c r="AN368">
        <v>752.83977607454926</v>
      </c>
      <c r="AO368">
        <v>820.10595085531838</v>
      </c>
      <c r="AP368">
        <v>832.83858000809414</v>
      </c>
      <c r="AQ368">
        <v>831.65973965751004</v>
      </c>
      <c r="AR368">
        <v>835.04162746891473</v>
      </c>
      <c r="AS368">
        <v>928.85669456754476</v>
      </c>
      <c r="AT368">
        <v>1038.016348876761</v>
      </c>
      <c r="AU368">
        <v>1114.6081303648489</v>
      </c>
      <c r="AV368">
        <v>1064.1516711641552</v>
      </c>
      <c r="AW368">
        <v>1175.6504050717208</v>
      </c>
      <c r="AX368">
        <v>1299.8559900397067</v>
      </c>
      <c r="AY368">
        <v>1313.619691599954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</row>
    <row r="369" spans="1:60">
      <c r="A369" t="s">
        <v>94</v>
      </c>
      <c r="B369" t="s">
        <v>191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14</v>
      </c>
      <c r="AD369">
        <v>15</v>
      </c>
      <c r="AE369">
        <v>31</v>
      </c>
      <c r="AF369">
        <v>30</v>
      </c>
      <c r="AG369">
        <v>89</v>
      </c>
      <c r="AH369">
        <v>109</v>
      </c>
      <c r="AI369">
        <v>144</v>
      </c>
      <c r="AJ369">
        <v>166</v>
      </c>
      <c r="AK369">
        <v>202</v>
      </c>
      <c r="AL369">
        <v>253</v>
      </c>
      <c r="AM369">
        <v>250</v>
      </c>
      <c r="AN369">
        <v>252</v>
      </c>
      <c r="AO369">
        <v>254</v>
      </c>
      <c r="AP369">
        <v>276</v>
      </c>
      <c r="AQ369">
        <v>291</v>
      </c>
      <c r="AR369">
        <v>282</v>
      </c>
      <c r="AS369">
        <v>318</v>
      </c>
      <c r="AT369">
        <v>348</v>
      </c>
      <c r="AU369">
        <v>38</v>
      </c>
      <c r="AV369">
        <v>391</v>
      </c>
      <c r="AW369">
        <v>405</v>
      </c>
      <c r="AX369">
        <v>421</v>
      </c>
      <c r="AY369">
        <v>179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</row>
    <row r="370" spans="1:60">
      <c r="A370" t="s">
        <v>94</v>
      </c>
      <c r="B370" t="s">
        <v>192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35</v>
      </c>
      <c r="X370">
        <v>30</v>
      </c>
      <c r="Y370" t="s">
        <v>16</v>
      </c>
      <c r="Z370">
        <v>19</v>
      </c>
      <c r="AA370">
        <v>16</v>
      </c>
      <c r="AB370" t="s">
        <v>16</v>
      </c>
      <c r="AC370" t="s">
        <v>16</v>
      </c>
      <c r="AD370" t="s">
        <v>16</v>
      </c>
      <c r="AE370" t="s">
        <v>16</v>
      </c>
      <c r="AF370" t="s">
        <v>16</v>
      </c>
      <c r="AG370" t="s">
        <v>16</v>
      </c>
      <c r="AH370" t="s">
        <v>16</v>
      </c>
      <c r="AI370" t="s">
        <v>16</v>
      </c>
      <c r="AJ370" t="s">
        <v>16</v>
      </c>
      <c r="AK370" t="s">
        <v>16</v>
      </c>
      <c r="AL370" t="s">
        <v>16</v>
      </c>
      <c r="AM370" t="s">
        <v>16</v>
      </c>
      <c r="AN370" t="s">
        <v>16</v>
      </c>
      <c r="AO370" t="s">
        <v>16</v>
      </c>
      <c r="AP370" t="s">
        <v>16</v>
      </c>
      <c r="AQ370" t="s">
        <v>16</v>
      </c>
      <c r="AR370" t="s">
        <v>16</v>
      </c>
      <c r="AS370" t="s">
        <v>16</v>
      </c>
      <c r="AT370" t="s">
        <v>16</v>
      </c>
      <c r="AU370" t="s">
        <v>16</v>
      </c>
      <c r="AV370" t="s">
        <v>16</v>
      </c>
      <c r="AW370" t="s">
        <v>16</v>
      </c>
      <c r="AX370" t="s">
        <v>16</v>
      </c>
      <c r="AY370">
        <v>1043</v>
      </c>
      <c r="AZ370" t="s">
        <v>16</v>
      </c>
      <c r="BA370">
        <v>1366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</row>
    <row r="371" spans="1:60">
      <c r="A371" t="s">
        <v>94</v>
      </c>
      <c r="B371" t="s">
        <v>193</v>
      </c>
      <c r="C371">
        <v>0</v>
      </c>
      <c r="D371">
        <v>0</v>
      </c>
      <c r="E371">
        <v>0</v>
      </c>
      <c r="F371">
        <v>46</v>
      </c>
      <c r="G371">
        <v>0</v>
      </c>
      <c r="H371">
        <v>0</v>
      </c>
      <c r="I371">
        <v>0</v>
      </c>
      <c r="J371">
        <v>0</v>
      </c>
      <c r="K371">
        <v>100</v>
      </c>
      <c r="L371">
        <v>5</v>
      </c>
      <c r="M371">
        <v>0</v>
      </c>
      <c r="N371">
        <v>7.8E-2</v>
      </c>
      <c r="O371">
        <v>7.6999999999999999E-2</v>
      </c>
      <c r="P371">
        <v>0.13400000000000001</v>
      </c>
      <c r="Q371">
        <v>0.24099999999999999</v>
      </c>
      <c r="R371">
        <v>4.7E-2</v>
      </c>
      <c r="S371">
        <v>5.3999999999999999E-2</v>
      </c>
      <c r="T371">
        <v>0.126</v>
      </c>
      <c r="U371">
        <v>1.2749999999999999</v>
      </c>
      <c r="V371">
        <v>1.7979999999999998</v>
      </c>
      <c r="W371">
        <v>2.7960000000000003</v>
      </c>
      <c r="X371">
        <v>6.8870000000000005</v>
      </c>
      <c r="Y371">
        <v>10.347000000000001</v>
      </c>
      <c r="Z371" t="s">
        <v>16</v>
      </c>
      <c r="AA371">
        <v>7</v>
      </c>
      <c r="AB371">
        <v>58.823000000000008</v>
      </c>
      <c r="AC371">
        <v>196.21899999999999</v>
      </c>
      <c r="AD371">
        <v>195.21899999999999</v>
      </c>
      <c r="AE371">
        <v>179.21899999999999</v>
      </c>
      <c r="AF371">
        <v>180.21899999999999</v>
      </c>
      <c r="AG371">
        <v>121.21899999999999</v>
      </c>
      <c r="AH371">
        <v>101.21899999999999</v>
      </c>
      <c r="AI371">
        <v>66.218999999999994</v>
      </c>
      <c r="AJ371">
        <v>44.218999999999994</v>
      </c>
      <c r="AK371">
        <v>8.2189999999999941</v>
      </c>
      <c r="AL371" t="s">
        <v>16</v>
      </c>
      <c r="AM371" t="s">
        <v>16</v>
      </c>
      <c r="AN371" t="s">
        <v>16</v>
      </c>
      <c r="AO371" t="s">
        <v>16</v>
      </c>
      <c r="AP371" t="s">
        <v>16</v>
      </c>
      <c r="AQ371" t="s">
        <v>16</v>
      </c>
      <c r="AR371" t="s">
        <v>16</v>
      </c>
      <c r="AS371" t="s">
        <v>16</v>
      </c>
      <c r="AT371" t="s">
        <v>16</v>
      </c>
      <c r="AU371" t="s">
        <v>16</v>
      </c>
      <c r="AV371" t="s">
        <v>16</v>
      </c>
      <c r="AW371" t="s">
        <v>16</v>
      </c>
      <c r="AX371" t="s">
        <v>16</v>
      </c>
      <c r="AY371">
        <v>11</v>
      </c>
      <c r="AZ371">
        <v>1806.5319999999999</v>
      </c>
      <c r="BA371">
        <v>325</v>
      </c>
      <c r="BB371">
        <v>110.387</v>
      </c>
      <c r="BC371">
        <v>121.041</v>
      </c>
      <c r="BD371">
        <v>92.025000000000006</v>
      </c>
      <c r="BE371">
        <v>78.615000000000009</v>
      </c>
      <c r="BF371">
        <v>78.596000000000004</v>
      </c>
      <c r="BG371">
        <v>78.596000000000004</v>
      </c>
      <c r="BH371" t="s">
        <v>16</v>
      </c>
    </row>
    <row r="372" spans="1:60">
      <c r="A372" t="s">
        <v>94</v>
      </c>
      <c r="B372" t="s">
        <v>194</v>
      </c>
      <c r="C372">
        <v>0</v>
      </c>
      <c r="D372">
        <v>0</v>
      </c>
      <c r="E372">
        <v>0</v>
      </c>
      <c r="F372">
        <v>60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2.2999999999999998</v>
      </c>
      <c r="X372">
        <v>12.3</v>
      </c>
      <c r="Y372">
        <v>20.3</v>
      </c>
      <c r="Z372">
        <v>17.299999999999997</v>
      </c>
      <c r="AA372">
        <v>86.3</v>
      </c>
      <c r="AB372">
        <v>129.80000000000001</v>
      </c>
      <c r="AC372">
        <v>289</v>
      </c>
      <c r="AD372">
        <v>370.9</v>
      </c>
      <c r="AE372">
        <v>406.4</v>
      </c>
      <c r="AF372">
        <v>455.5</v>
      </c>
      <c r="AG372">
        <v>500.29999999999995</v>
      </c>
      <c r="AH372">
        <v>543.4</v>
      </c>
      <c r="AI372">
        <v>581.20000000000005</v>
      </c>
      <c r="AJ372">
        <v>613.5</v>
      </c>
      <c r="AK372">
        <v>652.9</v>
      </c>
      <c r="AL372">
        <v>682.7</v>
      </c>
      <c r="AM372">
        <v>730.4</v>
      </c>
      <c r="AN372">
        <v>775.1</v>
      </c>
      <c r="AO372">
        <v>852.90000000000009</v>
      </c>
      <c r="AP372">
        <v>886.1</v>
      </c>
      <c r="AQ372">
        <v>1000.7</v>
      </c>
      <c r="AR372">
        <v>1045.8</v>
      </c>
      <c r="AS372">
        <v>1136.8</v>
      </c>
      <c r="AT372">
        <v>1244.6999999999998</v>
      </c>
      <c r="AU372">
        <v>1329.8</v>
      </c>
      <c r="AV372">
        <v>1378.7</v>
      </c>
      <c r="AW372">
        <v>1436</v>
      </c>
      <c r="AX372">
        <v>1507.7</v>
      </c>
      <c r="AY372">
        <v>1519.7</v>
      </c>
      <c r="AZ372">
        <v>20.5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</row>
    <row r="373" spans="1:60">
      <c r="A373" t="s">
        <v>94</v>
      </c>
      <c r="B373" t="s">
        <v>195</v>
      </c>
      <c r="C373">
        <v>0</v>
      </c>
      <c r="D373">
        <v>0</v>
      </c>
      <c r="E373">
        <v>0</v>
      </c>
      <c r="F373">
        <v>16</v>
      </c>
      <c r="G373">
        <v>0</v>
      </c>
      <c r="H373">
        <v>0</v>
      </c>
      <c r="I373">
        <v>0</v>
      </c>
      <c r="J373">
        <v>0</v>
      </c>
      <c r="K373">
        <v>12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 t="s">
        <v>16</v>
      </c>
      <c r="X373">
        <v>1.6</v>
      </c>
      <c r="Y373">
        <v>30</v>
      </c>
      <c r="Z373">
        <v>35</v>
      </c>
      <c r="AA373" t="s">
        <v>16</v>
      </c>
      <c r="AB373" t="s">
        <v>16</v>
      </c>
      <c r="AC373" t="s">
        <v>16</v>
      </c>
      <c r="AD373" t="s">
        <v>16</v>
      </c>
      <c r="AE373" t="s">
        <v>16</v>
      </c>
      <c r="AF373" t="s">
        <v>16</v>
      </c>
      <c r="AG373" t="s">
        <v>16</v>
      </c>
      <c r="AH373" t="s">
        <v>16</v>
      </c>
      <c r="AI373" t="s">
        <v>16</v>
      </c>
      <c r="AJ373" t="s">
        <v>16</v>
      </c>
      <c r="AK373" t="s">
        <v>16</v>
      </c>
      <c r="AL373" t="s">
        <v>16</v>
      </c>
      <c r="AM373" t="s">
        <v>16</v>
      </c>
      <c r="AN373" t="s">
        <v>16</v>
      </c>
      <c r="AO373" t="s">
        <v>16</v>
      </c>
      <c r="AP373" t="s">
        <v>16</v>
      </c>
      <c r="AQ373" t="s">
        <v>16</v>
      </c>
      <c r="AR373" t="s">
        <v>16</v>
      </c>
      <c r="AS373" t="s">
        <v>16</v>
      </c>
      <c r="AT373" t="s">
        <v>16</v>
      </c>
      <c r="AU373" t="s">
        <v>16</v>
      </c>
      <c r="AV373" t="s">
        <v>16</v>
      </c>
      <c r="AW373" t="s">
        <v>16</v>
      </c>
      <c r="AX373" t="s">
        <v>16</v>
      </c>
      <c r="AY373" t="s">
        <v>16</v>
      </c>
      <c r="AZ373">
        <v>1215</v>
      </c>
      <c r="BA373">
        <v>1257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</row>
    <row r="374" spans="1:60">
      <c r="A374" t="s">
        <v>95</v>
      </c>
      <c r="B374" t="s">
        <v>198</v>
      </c>
      <c r="AI374">
        <v>227.68857390155847</v>
      </c>
      <c r="AJ374">
        <v>610.01773874412572</v>
      </c>
      <c r="AK374">
        <v>515.60653110312501</v>
      </c>
      <c r="AL374">
        <v>614.21479849999992</v>
      </c>
      <c r="AM374">
        <v>387.14099999999996</v>
      </c>
      <c r="AN374">
        <v>665.99299999999994</v>
      </c>
      <c r="AO374">
        <v>5.1920000000000002</v>
      </c>
      <c r="AP374">
        <v>4.8000000000000001E-2</v>
      </c>
      <c r="AQ374">
        <v>46</v>
      </c>
      <c r="AR374">
        <v>11.395</v>
      </c>
      <c r="AS374">
        <v>21.939999999999998</v>
      </c>
      <c r="AT374">
        <v>9.9339999999999993</v>
      </c>
      <c r="AU374">
        <v>25.209</v>
      </c>
      <c r="AV374">
        <v>1.1779999999999999</v>
      </c>
      <c r="AW374">
        <v>0</v>
      </c>
      <c r="AX374">
        <v>0</v>
      </c>
      <c r="AY374">
        <v>0.16799999999999998</v>
      </c>
      <c r="AZ374">
        <v>0.54800000000000004</v>
      </c>
      <c r="BA374">
        <v>2.7650000000000001</v>
      </c>
      <c r="BB374">
        <v>1.4530000000000001</v>
      </c>
      <c r="BC374">
        <v>6.0999999999999999E-2</v>
      </c>
      <c r="BD374">
        <v>0.42499999999999999</v>
      </c>
      <c r="BE374">
        <v>0.374</v>
      </c>
      <c r="BF374">
        <v>0.33500000000000002</v>
      </c>
      <c r="BG374">
        <v>0.17599999999999999</v>
      </c>
      <c r="BH374">
        <v>0</v>
      </c>
    </row>
    <row r="375" spans="1:60">
      <c r="A375" t="s">
        <v>95</v>
      </c>
      <c r="B375" t="s">
        <v>191</v>
      </c>
      <c r="AI375">
        <v>0</v>
      </c>
      <c r="AJ375">
        <v>88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</row>
    <row r="376" spans="1:60">
      <c r="A376" t="s">
        <v>95</v>
      </c>
      <c r="B376" t="s">
        <v>192</v>
      </c>
      <c r="AI376">
        <v>0</v>
      </c>
      <c r="AJ376" t="s">
        <v>16</v>
      </c>
      <c r="AK376" t="s">
        <v>16</v>
      </c>
      <c r="AL376">
        <v>290</v>
      </c>
      <c r="AM376" t="s">
        <v>16</v>
      </c>
      <c r="AN376">
        <v>0</v>
      </c>
      <c r="AO376">
        <v>0</v>
      </c>
      <c r="AP376" t="s">
        <v>16</v>
      </c>
      <c r="AQ376">
        <v>46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</row>
    <row r="377" spans="1:60">
      <c r="A377" t="s">
        <v>95</v>
      </c>
      <c r="B377" t="s">
        <v>193</v>
      </c>
      <c r="AI377">
        <v>0</v>
      </c>
      <c r="AJ377">
        <v>284.40899999999999</v>
      </c>
      <c r="AK377">
        <v>263.96899999999999</v>
      </c>
      <c r="AL377">
        <v>8</v>
      </c>
      <c r="AM377">
        <v>98.835000000000008</v>
      </c>
      <c r="AN377">
        <v>273.22800000000001</v>
      </c>
      <c r="AO377">
        <v>5.1920000000000002</v>
      </c>
      <c r="AP377">
        <v>4.8000000000000001E-2</v>
      </c>
      <c r="AQ377" t="s">
        <v>16</v>
      </c>
      <c r="AR377">
        <v>11.395</v>
      </c>
      <c r="AS377">
        <v>21.939999999999998</v>
      </c>
      <c r="AT377">
        <v>9.9339999999999993</v>
      </c>
      <c r="AU377">
        <v>25.209</v>
      </c>
      <c r="AV377">
        <v>1.1779999999999999</v>
      </c>
      <c r="AW377">
        <v>0</v>
      </c>
      <c r="AX377">
        <v>0</v>
      </c>
      <c r="AY377">
        <v>0.16799999999999998</v>
      </c>
      <c r="AZ377">
        <v>0.54800000000000004</v>
      </c>
      <c r="BA377">
        <v>2.7650000000000001</v>
      </c>
      <c r="BB377">
        <v>1.4530000000000001</v>
      </c>
      <c r="BC377">
        <v>6.0999999999999999E-2</v>
      </c>
      <c r="BD377">
        <v>0.42499999999999999</v>
      </c>
      <c r="BE377">
        <v>0.374</v>
      </c>
      <c r="BF377">
        <v>0.33500000000000002</v>
      </c>
      <c r="BG377">
        <v>0.17599999999999999</v>
      </c>
      <c r="BH377">
        <v>0</v>
      </c>
    </row>
    <row r="378" spans="1:60">
      <c r="A378" t="s">
        <v>95</v>
      </c>
      <c r="B378" t="s">
        <v>194</v>
      </c>
      <c r="AI378" t="s">
        <v>16</v>
      </c>
      <c r="AJ378" t="s">
        <v>16</v>
      </c>
      <c r="AK378" t="s">
        <v>16</v>
      </c>
      <c r="AL378">
        <v>46</v>
      </c>
      <c r="AM378" t="s">
        <v>16</v>
      </c>
      <c r="AN378">
        <v>124.28700000000001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</row>
    <row r="379" spans="1:60">
      <c r="A379" t="s">
        <v>95</v>
      </c>
      <c r="B379" t="s">
        <v>195</v>
      </c>
      <c r="AI379">
        <v>227.68857390155847</v>
      </c>
      <c r="AJ379">
        <v>237.60873874412573</v>
      </c>
      <c r="AK379">
        <v>251.63753110312496</v>
      </c>
      <c r="AL379">
        <v>270.21479849999997</v>
      </c>
      <c r="AM379">
        <v>288.30599999999998</v>
      </c>
      <c r="AN379">
        <v>268.47800000000001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</row>
    <row r="380" spans="1:60">
      <c r="A380" t="s">
        <v>96</v>
      </c>
      <c r="B380" t="s">
        <v>198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6.8000000000000005E-2</v>
      </c>
      <c r="P380">
        <v>6.8000000000000005E-2</v>
      </c>
      <c r="Q380">
        <v>0.51100000000000001</v>
      </c>
      <c r="R380">
        <v>0.57600000000000007</v>
      </c>
      <c r="S380">
        <v>0.51100000000000001</v>
      </c>
      <c r="T380">
        <v>0.68600000000000005</v>
      </c>
      <c r="U380">
        <v>0.91100000000000003</v>
      </c>
      <c r="V380">
        <v>2.0760000000000001</v>
      </c>
      <c r="W380">
        <v>56.509</v>
      </c>
      <c r="X380">
        <v>295.76300000000003</v>
      </c>
      <c r="Y380">
        <v>306.10562874999999</v>
      </c>
      <c r="Z380">
        <v>384.46849999999995</v>
      </c>
      <c r="AA380">
        <v>396.86500000000001</v>
      </c>
      <c r="AB380">
        <v>350.40100000000001</v>
      </c>
      <c r="AC380">
        <v>471.42399999999998</v>
      </c>
      <c r="AD380">
        <v>416.3775</v>
      </c>
      <c r="AE380">
        <v>346.38099999999997</v>
      </c>
      <c r="AF380">
        <v>539.851</v>
      </c>
      <c r="AG380">
        <v>536</v>
      </c>
      <c r="AH380">
        <v>685.76199999999994</v>
      </c>
      <c r="AI380">
        <v>849.04899999999998</v>
      </c>
      <c r="AJ380">
        <v>1092.414</v>
      </c>
      <c r="AK380">
        <v>1402.213</v>
      </c>
      <c r="AL380">
        <v>1685.652</v>
      </c>
      <c r="AM380">
        <v>1764.9740000000002</v>
      </c>
      <c r="AN380">
        <v>2177.4899999999998</v>
      </c>
      <c r="AO380">
        <v>826.06200000000001</v>
      </c>
      <c r="AP380">
        <v>829.53200000000004</v>
      </c>
      <c r="AQ380">
        <v>869.625</v>
      </c>
      <c r="AR380">
        <v>880.20699999999999</v>
      </c>
      <c r="AS380">
        <v>1225.325</v>
      </c>
      <c r="AT380">
        <v>806.65699999999993</v>
      </c>
      <c r="AU380">
        <v>1063.269</v>
      </c>
      <c r="AV380">
        <v>333.637</v>
      </c>
      <c r="AW380">
        <v>2892.152</v>
      </c>
      <c r="AX380">
        <v>476.73199999999997</v>
      </c>
      <c r="AY380">
        <v>392.72500000000002</v>
      </c>
      <c r="AZ380">
        <v>384.25599999999997</v>
      </c>
      <c r="BA380">
        <v>383.13100000000003</v>
      </c>
      <c r="BB380">
        <v>383.04300000000001</v>
      </c>
      <c r="BC380">
        <v>463.55200000000002</v>
      </c>
      <c r="BD380">
        <v>419.09</v>
      </c>
      <c r="BE380">
        <v>216.88299999999998</v>
      </c>
      <c r="BF380">
        <v>181.30200000000002</v>
      </c>
      <c r="BG380">
        <v>133.11799999999999</v>
      </c>
      <c r="BH380" t="s">
        <v>16</v>
      </c>
    </row>
    <row r="381" spans="1:60">
      <c r="A381" t="s">
        <v>96</v>
      </c>
      <c r="B381" t="s">
        <v>192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W381">
        <v>29</v>
      </c>
      <c r="X381">
        <v>130</v>
      </c>
      <c r="Y381">
        <v>94</v>
      </c>
      <c r="Z381" t="s">
        <v>16</v>
      </c>
      <c r="AA381">
        <v>179</v>
      </c>
      <c r="AB381">
        <v>165</v>
      </c>
      <c r="AC381">
        <v>200</v>
      </c>
      <c r="AD381" t="s">
        <v>16</v>
      </c>
      <c r="AE381">
        <v>265</v>
      </c>
      <c r="AF381" t="s">
        <v>16</v>
      </c>
      <c r="AG381">
        <v>99</v>
      </c>
      <c r="AH381" t="s">
        <v>16</v>
      </c>
      <c r="AI381" t="s">
        <v>16</v>
      </c>
      <c r="AJ381" t="s">
        <v>16</v>
      </c>
      <c r="AK381" t="s">
        <v>16</v>
      </c>
      <c r="AL381" t="s">
        <v>16</v>
      </c>
      <c r="AM381" t="s">
        <v>16</v>
      </c>
      <c r="AN381">
        <v>1247</v>
      </c>
      <c r="AQ381">
        <v>57</v>
      </c>
      <c r="AR381">
        <v>254</v>
      </c>
      <c r="AS381" t="s">
        <v>16</v>
      </c>
      <c r="AT381" t="s">
        <v>16</v>
      </c>
      <c r="AU381">
        <v>1057</v>
      </c>
      <c r="AV381" t="s">
        <v>16</v>
      </c>
      <c r="AW381" t="s">
        <v>16</v>
      </c>
    </row>
    <row r="382" spans="1:60">
      <c r="A382" t="s">
        <v>96</v>
      </c>
      <c r="B382" t="s">
        <v>193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6.8000000000000005E-2</v>
      </c>
      <c r="P382">
        <v>6.8000000000000005E-2</v>
      </c>
      <c r="Q382">
        <v>0.51100000000000001</v>
      </c>
      <c r="R382">
        <v>0.57600000000000007</v>
      </c>
      <c r="S382">
        <v>0.51100000000000001</v>
      </c>
      <c r="T382">
        <v>0.55800000000000005</v>
      </c>
      <c r="U382">
        <v>0.77300000000000002</v>
      </c>
      <c r="V382">
        <v>1.8860000000000001</v>
      </c>
      <c r="W382">
        <v>7.4029999999999996</v>
      </c>
      <c r="X382" t="s">
        <v>16</v>
      </c>
      <c r="Y382" t="s">
        <v>16</v>
      </c>
      <c r="Z382">
        <v>68.346999999999994</v>
      </c>
      <c r="AA382" t="s">
        <v>16</v>
      </c>
      <c r="AB382" t="s">
        <v>16</v>
      </c>
      <c r="AC382" t="s">
        <v>16</v>
      </c>
      <c r="AD382">
        <v>158.18799999999999</v>
      </c>
      <c r="AE382">
        <v>29</v>
      </c>
      <c r="AF382">
        <v>474.39300000000003</v>
      </c>
      <c r="AG382">
        <v>388</v>
      </c>
      <c r="AH382">
        <v>641.75199999999995</v>
      </c>
      <c r="AI382">
        <v>801.53</v>
      </c>
      <c r="AJ382">
        <v>1040.251</v>
      </c>
      <c r="AK382">
        <v>1340.3009999999999</v>
      </c>
      <c r="AL382">
        <v>1614.5700000000002</v>
      </c>
      <c r="AM382">
        <v>1692.4</v>
      </c>
      <c r="AN382">
        <v>855</v>
      </c>
      <c r="AO382">
        <v>792.572</v>
      </c>
      <c r="AP382">
        <v>790.75</v>
      </c>
      <c r="AQ382">
        <v>769</v>
      </c>
      <c r="AR382">
        <v>580</v>
      </c>
      <c r="AS382">
        <v>757.19500000000005</v>
      </c>
      <c r="AT382">
        <v>757.23699999999997</v>
      </c>
      <c r="AU382" t="s">
        <v>16</v>
      </c>
      <c r="AV382">
        <v>328.245</v>
      </c>
      <c r="AW382">
        <v>2886.31</v>
      </c>
      <c r="AX382">
        <v>470.36599999999999</v>
      </c>
      <c r="AY382">
        <v>386.10900000000004</v>
      </c>
      <c r="AZ382">
        <v>377.42399999999998</v>
      </c>
      <c r="BA382">
        <v>375.81600000000003</v>
      </c>
      <c r="BB382">
        <v>375.76800000000003</v>
      </c>
      <c r="BC382">
        <v>456.322</v>
      </c>
      <c r="BD382">
        <v>411.40099999999995</v>
      </c>
      <c r="BE382">
        <v>209.97399999999999</v>
      </c>
      <c r="BF382">
        <v>174.50300000000001</v>
      </c>
      <c r="BG382">
        <v>126.325</v>
      </c>
      <c r="BH382" t="s">
        <v>16</v>
      </c>
    </row>
    <row r="383" spans="1:60">
      <c r="A383" t="s">
        <v>96</v>
      </c>
      <c r="B383" t="s">
        <v>194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0.128</v>
      </c>
      <c r="U383">
        <v>0.13800000000000001</v>
      </c>
      <c r="V383">
        <v>0.19</v>
      </c>
      <c r="W383">
        <v>9.1059999999999999</v>
      </c>
      <c r="X383">
        <v>18.762999999999998</v>
      </c>
      <c r="Y383">
        <v>60.933</v>
      </c>
      <c r="Z383">
        <v>145.59399999999999</v>
      </c>
      <c r="AA383">
        <v>22.864999999999998</v>
      </c>
      <c r="AB383">
        <v>27.401000000000003</v>
      </c>
      <c r="AC383">
        <v>76.424000000000007</v>
      </c>
      <c r="AD383">
        <v>59.932000000000002</v>
      </c>
      <c r="AE383">
        <v>52.381</v>
      </c>
      <c r="AF383">
        <v>65.457999999999998</v>
      </c>
      <c r="AG383" t="s">
        <v>16</v>
      </c>
      <c r="AH383">
        <v>44.01</v>
      </c>
      <c r="AI383">
        <v>47.518999999999998</v>
      </c>
      <c r="AJ383">
        <v>52.162999999999997</v>
      </c>
      <c r="AK383">
        <v>61.911999999999999</v>
      </c>
      <c r="AL383">
        <v>71.081999999999994</v>
      </c>
      <c r="AM383">
        <v>72.573999999999998</v>
      </c>
      <c r="AN383">
        <v>75.490000000000009</v>
      </c>
      <c r="AO383">
        <v>33.49</v>
      </c>
      <c r="AP383">
        <v>38.781999999999996</v>
      </c>
      <c r="AQ383">
        <v>43.625</v>
      </c>
      <c r="AR383">
        <v>46.207000000000001</v>
      </c>
      <c r="AS383">
        <v>49.129999999999995</v>
      </c>
      <c r="AT383">
        <v>49.42</v>
      </c>
      <c r="AU383">
        <v>6.2690000000000001</v>
      </c>
      <c r="AV383">
        <v>5.3919999999999995</v>
      </c>
      <c r="AW383">
        <v>5.8419999999999996</v>
      </c>
      <c r="AX383">
        <v>6.3659999999999997</v>
      </c>
      <c r="AY383">
        <v>6.6160000000000005</v>
      </c>
      <c r="AZ383">
        <v>6.8319999999999999</v>
      </c>
      <c r="BA383">
        <v>7.3149999999999995</v>
      </c>
      <c r="BB383">
        <v>7.2749999999999995</v>
      </c>
      <c r="BC383">
        <v>7.23</v>
      </c>
      <c r="BD383">
        <v>7.6889999999999992</v>
      </c>
      <c r="BE383">
        <v>6.9090000000000007</v>
      </c>
      <c r="BF383">
        <v>6.7989999999999995</v>
      </c>
      <c r="BG383">
        <v>6.7930000000000001</v>
      </c>
      <c r="BH383" t="s">
        <v>16</v>
      </c>
    </row>
    <row r="384" spans="1:60">
      <c r="A384" t="s">
        <v>96</v>
      </c>
      <c r="B384" t="s">
        <v>195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11</v>
      </c>
      <c r="X384">
        <v>147</v>
      </c>
      <c r="Y384">
        <v>151.17262875</v>
      </c>
      <c r="Z384">
        <v>170.5275</v>
      </c>
      <c r="AA384">
        <v>195</v>
      </c>
      <c r="AB384">
        <v>158</v>
      </c>
      <c r="AC384">
        <v>195</v>
      </c>
      <c r="AD384">
        <v>198.25749999999999</v>
      </c>
      <c r="AE384" t="s">
        <v>16</v>
      </c>
      <c r="AF384" t="s">
        <v>16</v>
      </c>
      <c r="AG384">
        <v>49</v>
      </c>
      <c r="AH384" t="s">
        <v>16</v>
      </c>
      <c r="AI384" t="s">
        <v>16</v>
      </c>
      <c r="AJ384" t="s">
        <v>16</v>
      </c>
      <c r="AK384" t="s">
        <v>16</v>
      </c>
      <c r="AL384" t="s">
        <v>16</v>
      </c>
      <c r="AM384" t="s">
        <v>16</v>
      </c>
      <c r="AN384" t="s">
        <v>16</v>
      </c>
      <c r="AO384" t="s">
        <v>16</v>
      </c>
      <c r="AP384" t="s">
        <v>16</v>
      </c>
      <c r="AQ384" t="s">
        <v>16</v>
      </c>
      <c r="AR384" t="s">
        <v>16</v>
      </c>
      <c r="AS384">
        <v>160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</row>
    <row r="385" spans="1:60">
      <c r="A385" t="s">
        <v>96</v>
      </c>
      <c r="B385" t="s">
        <v>196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259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</row>
    <row r="386" spans="1:60">
      <c r="A386" t="s">
        <v>97</v>
      </c>
      <c r="B386" t="s">
        <v>198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3.9569999999999999</v>
      </c>
      <c r="X386">
        <v>0.378</v>
      </c>
      <c r="Y386">
        <v>71.048000000000002</v>
      </c>
      <c r="Z386">
        <v>87</v>
      </c>
      <c r="AA386">
        <v>0</v>
      </c>
      <c r="AB386">
        <v>1.6950000000000001</v>
      </c>
      <c r="AC386">
        <v>1.1000000000000001</v>
      </c>
      <c r="AD386">
        <v>28.076000000000001</v>
      </c>
      <c r="AE386">
        <v>73.299000000000007</v>
      </c>
      <c r="AF386">
        <v>47.012</v>
      </c>
      <c r="AG386">
        <v>76.350000000000009</v>
      </c>
      <c r="AH386">
        <v>7.6280000000000001</v>
      </c>
      <c r="AI386">
        <v>5.2190000000000003</v>
      </c>
      <c r="AJ386">
        <v>8.2840000000000007</v>
      </c>
      <c r="AK386">
        <v>15.913</v>
      </c>
      <c r="AL386">
        <v>8.65</v>
      </c>
      <c r="AM386">
        <v>20.193000000000001</v>
      </c>
      <c r="AN386">
        <v>20.097999999999999</v>
      </c>
      <c r="AO386">
        <v>51.219000000000001</v>
      </c>
      <c r="AP386">
        <v>71.546000000000006</v>
      </c>
      <c r="AQ386">
        <v>109.18299999999999</v>
      </c>
      <c r="AR386">
        <v>159.57</v>
      </c>
      <c r="AS386">
        <v>115.24000000000001</v>
      </c>
      <c r="AT386">
        <v>130.999</v>
      </c>
      <c r="AU386">
        <v>93.040999999999997</v>
      </c>
      <c r="AV386">
        <v>102.09299999999999</v>
      </c>
      <c r="AW386">
        <v>2689</v>
      </c>
      <c r="AX386">
        <v>80.134999999999991</v>
      </c>
      <c r="AY386">
        <v>16.274000000000001</v>
      </c>
      <c r="AZ386">
        <v>11.571</v>
      </c>
      <c r="BA386">
        <v>1.2729999999999999</v>
      </c>
      <c r="BB386">
        <v>1.403</v>
      </c>
      <c r="BC386">
        <v>1.881</v>
      </c>
      <c r="BD386">
        <v>6.6310000000000002</v>
      </c>
      <c r="BE386">
        <v>11.424999999999999</v>
      </c>
      <c r="BF386">
        <v>2.7310000000000003</v>
      </c>
      <c r="BG386">
        <v>3.048</v>
      </c>
      <c r="BH386" t="s">
        <v>16</v>
      </c>
    </row>
    <row r="387" spans="1:60">
      <c r="A387" t="s">
        <v>97</v>
      </c>
      <c r="B387" t="s">
        <v>192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29</v>
      </c>
      <c r="Z387">
        <v>30</v>
      </c>
      <c r="AA387">
        <v>0</v>
      </c>
      <c r="AE387">
        <v>20</v>
      </c>
      <c r="AR387">
        <v>66</v>
      </c>
      <c r="AW387">
        <v>355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</row>
    <row r="388" spans="1:60">
      <c r="A388" t="s">
        <v>97</v>
      </c>
      <c r="B388" t="s">
        <v>193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2.863</v>
      </c>
      <c r="X388">
        <v>0.378</v>
      </c>
      <c r="Y388">
        <v>4.8000000000000001E-2</v>
      </c>
      <c r="Z388">
        <v>0</v>
      </c>
      <c r="AA388">
        <v>0</v>
      </c>
      <c r="AB388">
        <v>1.591</v>
      </c>
      <c r="AC388">
        <v>0.24199999999999999</v>
      </c>
      <c r="AD388">
        <v>15.494999999999999</v>
      </c>
      <c r="AE388">
        <v>14.561</v>
      </c>
      <c r="AF388">
        <v>40.869</v>
      </c>
      <c r="AG388">
        <v>67.069000000000003</v>
      </c>
      <c r="AH388">
        <v>6.524</v>
      </c>
      <c r="AI388">
        <v>4.5060000000000002</v>
      </c>
      <c r="AJ388">
        <v>6.556</v>
      </c>
      <c r="AK388">
        <v>11.081</v>
      </c>
      <c r="AL388">
        <v>3.7170000000000001</v>
      </c>
      <c r="AM388">
        <v>11.562000000000001</v>
      </c>
      <c r="AN388">
        <v>10.657999999999999</v>
      </c>
      <c r="AO388">
        <v>38.427</v>
      </c>
      <c r="AP388">
        <v>57.859000000000002</v>
      </c>
      <c r="AQ388">
        <v>94.760999999999996</v>
      </c>
      <c r="AR388">
        <v>87</v>
      </c>
      <c r="AS388">
        <v>109.54</v>
      </c>
      <c r="AT388">
        <v>125.261</v>
      </c>
      <c r="AU388">
        <v>93.040999999999997</v>
      </c>
      <c r="AV388">
        <v>102.09299999999999</v>
      </c>
      <c r="AW388">
        <v>2334</v>
      </c>
      <c r="AX388">
        <v>80.134999999999991</v>
      </c>
      <c r="AY388">
        <v>16.274000000000001</v>
      </c>
      <c r="AZ388">
        <v>11.571</v>
      </c>
      <c r="BA388">
        <v>1.2729999999999999</v>
      </c>
      <c r="BB388">
        <v>1.403</v>
      </c>
      <c r="BC388">
        <v>1.881</v>
      </c>
      <c r="BD388">
        <v>6.6310000000000002</v>
      </c>
      <c r="BE388">
        <v>10.722</v>
      </c>
      <c r="BF388">
        <v>2.7310000000000003</v>
      </c>
      <c r="BG388">
        <v>3.048</v>
      </c>
      <c r="BH388" t="s">
        <v>16</v>
      </c>
    </row>
    <row r="389" spans="1:60">
      <c r="A389" t="s">
        <v>97</v>
      </c>
      <c r="B389" t="s">
        <v>194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1.0940000000000001</v>
      </c>
      <c r="X389">
        <v>0</v>
      </c>
      <c r="Y389" t="s">
        <v>16</v>
      </c>
      <c r="Z389">
        <v>0</v>
      </c>
      <c r="AA389">
        <v>0</v>
      </c>
      <c r="AB389">
        <v>0.104</v>
      </c>
      <c r="AC389">
        <v>0.8580000000000001</v>
      </c>
      <c r="AD389">
        <v>12.581000000000001</v>
      </c>
      <c r="AE389">
        <v>3.7379999999999995</v>
      </c>
      <c r="AF389">
        <v>6.1429999999999998</v>
      </c>
      <c r="AG389">
        <v>9.2810000000000006</v>
      </c>
      <c r="AH389">
        <v>1.1040000000000001</v>
      </c>
      <c r="AI389">
        <v>0.71300000000000008</v>
      </c>
      <c r="AJ389">
        <v>1.728</v>
      </c>
      <c r="AK389">
        <v>4.8319999999999999</v>
      </c>
      <c r="AL389">
        <v>4.9329999999999998</v>
      </c>
      <c r="AM389">
        <v>8.6310000000000002</v>
      </c>
      <c r="AN389">
        <v>9.4400000000000013</v>
      </c>
      <c r="AO389">
        <v>12.792000000000002</v>
      </c>
      <c r="AP389">
        <v>13.687000000000001</v>
      </c>
      <c r="AQ389">
        <v>14.422000000000001</v>
      </c>
      <c r="AR389">
        <v>6.57</v>
      </c>
      <c r="AS389">
        <v>5.7</v>
      </c>
      <c r="AT389">
        <v>5.7379999999999995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0.70299999999999996</v>
      </c>
      <c r="BF389">
        <v>0</v>
      </c>
      <c r="BG389">
        <v>0</v>
      </c>
      <c r="BH389">
        <v>0</v>
      </c>
    </row>
    <row r="390" spans="1:60">
      <c r="A390" t="s">
        <v>97</v>
      </c>
      <c r="B390" t="s">
        <v>195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42</v>
      </c>
      <c r="Z390">
        <v>57</v>
      </c>
      <c r="AA390">
        <v>0</v>
      </c>
      <c r="AB390">
        <v>0</v>
      </c>
      <c r="AC390">
        <v>0</v>
      </c>
      <c r="AD390" t="s">
        <v>16</v>
      </c>
      <c r="AE390">
        <v>35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</row>
    <row r="391" spans="1:60">
      <c r="A391" t="s">
        <v>98</v>
      </c>
      <c r="B391" t="s">
        <v>198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1.0999999999999999E-2</v>
      </c>
      <c r="V391">
        <v>1.4999999999999999E-2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0.51200000000000001</v>
      </c>
      <c r="AU391">
        <v>0.54600000000000004</v>
      </c>
      <c r="AV391">
        <v>0.308</v>
      </c>
      <c r="AW391">
        <v>0.20199999999999999</v>
      </c>
      <c r="AX391">
        <v>2E-3</v>
      </c>
      <c r="AY391">
        <v>10.206</v>
      </c>
      <c r="AZ391">
        <v>9.7729999999999997</v>
      </c>
      <c r="BA391">
        <v>5.12</v>
      </c>
      <c r="BB391">
        <v>6.4499999999999993</v>
      </c>
      <c r="BC391">
        <v>6.6150000000000002</v>
      </c>
      <c r="BD391">
        <v>15.72</v>
      </c>
      <c r="BE391">
        <v>9.56</v>
      </c>
      <c r="BF391">
        <v>3.7690000000000001</v>
      </c>
      <c r="BG391">
        <v>2.2320000000000002</v>
      </c>
      <c r="BH391" t="s">
        <v>16</v>
      </c>
    </row>
    <row r="392" spans="1:60">
      <c r="A392" t="s">
        <v>98</v>
      </c>
      <c r="B392" t="s">
        <v>193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1.0999999999999999E-2</v>
      </c>
      <c r="V392">
        <v>1.4999999999999999E-2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0.51200000000000001</v>
      </c>
      <c r="AU392">
        <v>0.54600000000000004</v>
      </c>
      <c r="AV392">
        <v>0.16200000000000001</v>
      </c>
      <c r="AW392">
        <v>0.17599999999999999</v>
      </c>
      <c r="AX392">
        <v>2E-3</v>
      </c>
      <c r="AY392">
        <v>7.7690000000000001</v>
      </c>
      <c r="AZ392">
        <v>9.4859999999999989</v>
      </c>
      <c r="BA392">
        <v>3.9670000000000001</v>
      </c>
      <c r="BB392">
        <v>6.3629999999999995</v>
      </c>
      <c r="BC392">
        <v>5.202</v>
      </c>
      <c r="BD392">
        <v>12.259</v>
      </c>
      <c r="BE392">
        <v>7.7690000000000001</v>
      </c>
      <c r="BF392">
        <v>2.6379999999999999</v>
      </c>
      <c r="BG392">
        <v>1.7530000000000001</v>
      </c>
      <c r="BH392" t="s">
        <v>16</v>
      </c>
    </row>
    <row r="393" spans="1:60">
      <c r="A393" t="s">
        <v>98</v>
      </c>
      <c r="B393" t="s">
        <v>194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0.14599999999999999</v>
      </c>
      <c r="AW393">
        <v>2.5999999999999999E-2</v>
      </c>
      <c r="AX393">
        <v>0</v>
      </c>
      <c r="AY393">
        <v>2.4370000000000003</v>
      </c>
      <c r="AZ393">
        <v>0.28700000000000003</v>
      </c>
      <c r="BA393">
        <v>1.153</v>
      </c>
      <c r="BB393">
        <v>8.6999999999999994E-2</v>
      </c>
      <c r="BC393">
        <v>1.413</v>
      </c>
      <c r="BD393">
        <v>3.4610000000000003</v>
      </c>
      <c r="BE393">
        <v>1.7910000000000001</v>
      </c>
      <c r="BF393">
        <v>1.131</v>
      </c>
      <c r="BG393">
        <v>0.47899999999999998</v>
      </c>
      <c r="BH393">
        <v>0</v>
      </c>
    </row>
    <row r="394" spans="1:60">
      <c r="A394" t="s">
        <v>99</v>
      </c>
      <c r="B394" t="s">
        <v>198</v>
      </c>
      <c r="C394">
        <v>0</v>
      </c>
      <c r="D394">
        <v>0</v>
      </c>
      <c r="E394">
        <v>0</v>
      </c>
      <c r="F394">
        <v>0</v>
      </c>
      <c r="G394">
        <v>26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10.940999999999999</v>
      </c>
      <c r="N394">
        <v>16.111000000000001</v>
      </c>
      <c r="O394">
        <v>21.452000000000002</v>
      </c>
      <c r="P394">
        <v>28.144000000000002</v>
      </c>
      <c r="Q394">
        <v>34.274000000000001</v>
      </c>
      <c r="R394">
        <v>38.997999999999998</v>
      </c>
      <c r="S394">
        <v>60.120000000000005</v>
      </c>
      <c r="T394">
        <v>85.925000000000011</v>
      </c>
      <c r="U394">
        <v>116.985</v>
      </c>
      <c r="V394">
        <v>141.36699999999999</v>
      </c>
      <c r="W394">
        <v>76.150999999999996</v>
      </c>
      <c r="X394">
        <v>7.3090000000000002</v>
      </c>
      <c r="Y394">
        <v>10.71</v>
      </c>
      <c r="Z394">
        <v>16.532</v>
      </c>
      <c r="AA394">
        <v>90.897999999999996</v>
      </c>
      <c r="AB394">
        <v>98.727999999999994</v>
      </c>
      <c r="AC394">
        <v>58.097999999999999</v>
      </c>
      <c r="AD394">
        <v>81.524999999999991</v>
      </c>
      <c r="AE394">
        <v>57.825000000000003</v>
      </c>
      <c r="AF394">
        <v>35.433</v>
      </c>
      <c r="AG394">
        <v>86.759</v>
      </c>
      <c r="AH394">
        <v>204.958</v>
      </c>
      <c r="AI394">
        <v>340.88299999999998</v>
      </c>
      <c r="AJ394">
        <v>260.55700000000002</v>
      </c>
      <c r="AK394">
        <v>715.92000000000007</v>
      </c>
      <c r="AL394">
        <v>369.964</v>
      </c>
      <c r="AM394">
        <v>478.76799999999997</v>
      </c>
      <c r="AN394">
        <v>674.84300000000007</v>
      </c>
      <c r="AO394">
        <v>709.07100000000003</v>
      </c>
      <c r="AP394">
        <v>589.65499999999997</v>
      </c>
      <c r="AQ394">
        <v>661</v>
      </c>
      <c r="AR394">
        <v>641</v>
      </c>
      <c r="AS394">
        <v>913</v>
      </c>
      <c r="AT394">
        <v>155</v>
      </c>
      <c r="AU394">
        <v>131.636</v>
      </c>
      <c r="AV394">
        <v>119.212</v>
      </c>
      <c r="AW394">
        <v>1994.769</v>
      </c>
      <c r="AX394">
        <v>138.125</v>
      </c>
      <c r="AY394">
        <v>51.543000000000006</v>
      </c>
      <c r="AZ394">
        <v>502.279</v>
      </c>
      <c r="BA394">
        <v>0.85399999999999998</v>
      </c>
      <c r="BB394">
        <v>84.444000000000003</v>
      </c>
      <c r="BC394">
        <v>104.81299999999999</v>
      </c>
      <c r="BD394">
        <v>111.07599999999999</v>
      </c>
      <c r="BE394">
        <v>120.429</v>
      </c>
      <c r="BF394">
        <v>148.239</v>
      </c>
      <c r="BG394">
        <v>135.48499999999999</v>
      </c>
      <c r="BH394" t="s">
        <v>16</v>
      </c>
    </row>
    <row r="395" spans="1:60">
      <c r="A395" t="s">
        <v>99</v>
      </c>
      <c r="B395" t="s">
        <v>192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AD395" t="s">
        <v>16</v>
      </c>
      <c r="AE395">
        <v>56</v>
      </c>
      <c r="AF395">
        <v>29</v>
      </c>
      <c r="AH395" t="s">
        <v>16</v>
      </c>
      <c r="AI395">
        <v>19</v>
      </c>
      <c r="AM395">
        <v>32</v>
      </c>
      <c r="AP395" t="s">
        <v>16</v>
      </c>
      <c r="AQ395">
        <v>3</v>
      </c>
      <c r="AR395">
        <v>1</v>
      </c>
      <c r="AS395">
        <v>1</v>
      </c>
      <c r="AT395">
        <v>155</v>
      </c>
      <c r="AU395" t="s">
        <v>16</v>
      </c>
      <c r="BC395" t="s">
        <v>16</v>
      </c>
    </row>
    <row r="396" spans="1:60">
      <c r="A396" t="s">
        <v>99</v>
      </c>
      <c r="B396" t="s">
        <v>193</v>
      </c>
      <c r="C396">
        <v>0</v>
      </c>
      <c r="D396">
        <v>0</v>
      </c>
      <c r="E396">
        <v>0</v>
      </c>
      <c r="F396">
        <v>0</v>
      </c>
      <c r="G396">
        <v>26</v>
      </c>
      <c r="H396" t="s">
        <v>16</v>
      </c>
      <c r="I396">
        <v>0</v>
      </c>
      <c r="J396">
        <v>0</v>
      </c>
      <c r="K396" t="s">
        <v>16</v>
      </c>
      <c r="L396" t="s">
        <v>16</v>
      </c>
      <c r="M396">
        <v>5.18</v>
      </c>
      <c r="N396">
        <v>9.423</v>
      </c>
      <c r="O396">
        <v>15.437000000000001</v>
      </c>
      <c r="P396">
        <v>21.294</v>
      </c>
      <c r="Q396">
        <v>26.741</v>
      </c>
      <c r="R396">
        <v>37.274000000000001</v>
      </c>
      <c r="S396">
        <v>58.664000000000001</v>
      </c>
      <c r="T396">
        <v>84.293000000000006</v>
      </c>
      <c r="U396">
        <v>115.24299999999999</v>
      </c>
      <c r="V396">
        <v>139.464</v>
      </c>
      <c r="W396">
        <v>74.11</v>
      </c>
      <c r="X396">
        <v>5.6760000000000002</v>
      </c>
      <c r="Y396">
        <v>9.1560000000000006</v>
      </c>
      <c r="Z396">
        <v>14.424000000000001</v>
      </c>
      <c r="AA396">
        <v>86.192999999999998</v>
      </c>
      <c r="AB396">
        <v>80.16</v>
      </c>
      <c r="AC396">
        <v>31.803000000000001</v>
      </c>
      <c r="AD396">
        <v>51.587999999999994</v>
      </c>
      <c r="AE396" t="s">
        <v>16</v>
      </c>
      <c r="AF396">
        <v>1</v>
      </c>
      <c r="AG396">
        <v>82.432000000000002</v>
      </c>
      <c r="AH396">
        <v>198.55099999999999</v>
      </c>
      <c r="AI396">
        <v>315</v>
      </c>
      <c r="AJ396">
        <v>235.02500000000001</v>
      </c>
      <c r="AK396">
        <v>713.68200000000002</v>
      </c>
      <c r="AL396">
        <v>367.54399999999998</v>
      </c>
      <c r="AM396">
        <v>446</v>
      </c>
      <c r="AN396">
        <v>674.84300000000007</v>
      </c>
      <c r="AO396">
        <v>709.07100000000003</v>
      </c>
      <c r="AP396">
        <v>589.65499999999997</v>
      </c>
      <c r="AQ396">
        <v>658</v>
      </c>
      <c r="AR396">
        <v>640</v>
      </c>
      <c r="AS396">
        <v>912</v>
      </c>
      <c r="AT396" t="s">
        <v>16</v>
      </c>
      <c r="AU396">
        <v>131.636</v>
      </c>
      <c r="AV396">
        <v>119.212</v>
      </c>
      <c r="AW396">
        <v>1994.769</v>
      </c>
      <c r="AX396">
        <v>138.125</v>
      </c>
      <c r="AY396">
        <v>51.543000000000006</v>
      </c>
      <c r="AZ396">
        <v>502.279</v>
      </c>
      <c r="BA396">
        <v>0.85399999999999998</v>
      </c>
      <c r="BB396">
        <v>84.430999999999997</v>
      </c>
      <c r="BC396">
        <v>104.25399999999999</v>
      </c>
      <c r="BD396">
        <v>111.017</v>
      </c>
      <c r="BE396">
        <v>120.239</v>
      </c>
      <c r="BF396">
        <v>147.95000000000002</v>
      </c>
      <c r="BG396">
        <v>135.21199999999999</v>
      </c>
      <c r="BH396" t="s">
        <v>16</v>
      </c>
    </row>
    <row r="397" spans="1:60">
      <c r="A397" t="s">
        <v>99</v>
      </c>
      <c r="B397" t="s">
        <v>194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5.7610000000000001</v>
      </c>
      <c r="N397">
        <v>6.6879999999999997</v>
      </c>
      <c r="O397">
        <v>6.0150000000000006</v>
      </c>
      <c r="P397">
        <v>6.8500000000000005</v>
      </c>
      <c r="Q397">
        <v>7.5329999999999995</v>
      </c>
      <c r="R397">
        <v>1.724</v>
      </c>
      <c r="S397">
        <v>1.456</v>
      </c>
      <c r="T397">
        <v>1.6319999999999999</v>
      </c>
      <c r="U397">
        <v>1.742</v>
      </c>
      <c r="V397">
        <v>1.903</v>
      </c>
      <c r="W397">
        <v>2.0409999999999999</v>
      </c>
      <c r="X397">
        <v>1.633</v>
      </c>
      <c r="Y397">
        <v>1.554</v>
      </c>
      <c r="Z397">
        <v>2.1080000000000001</v>
      </c>
      <c r="AA397">
        <v>4.7050000000000001</v>
      </c>
      <c r="AB397">
        <v>18.567999999999998</v>
      </c>
      <c r="AC397">
        <v>26.294999999999998</v>
      </c>
      <c r="AD397">
        <v>29.937000000000001</v>
      </c>
      <c r="AE397">
        <v>1.8250000000000002</v>
      </c>
      <c r="AF397">
        <v>5.4329999999999998</v>
      </c>
      <c r="AG397">
        <v>4.327</v>
      </c>
      <c r="AH397">
        <v>6.407</v>
      </c>
      <c r="AI397">
        <v>6.883</v>
      </c>
      <c r="AJ397">
        <v>25.532</v>
      </c>
      <c r="AK397">
        <v>2.238</v>
      </c>
      <c r="AL397">
        <v>2.42</v>
      </c>
      <c r="AM397">
        <v>0.76800000000000002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1.2999999999999999E-2</v>
      </c>
      <c r="BC397">
        <v>0.55900000000000005</v>
      </c>
      <c r="BD397">
        <v>5.9000000000000004E-2</v>
      </c>
      <c r="BE397">
        <v>0.19</v>
      </c>
      <c r="BF397">
        <v>0.28900000000000003</v>
      </c>
      <c r="BG397">
        <v>0.27300000000000002</v>
      </c>
      <c r="BH397">
        <v>0</v>
      </c>
    </row>
    <row r="398" spans="1:60">
      <c r="A398" t="s">
        <v>100</v>
      </c>
      <c r="B398" t="s">
        <v>198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1</v>
      </c>
      <c r="M398">
        <v>0</v>
      </c>
      <c r="N398">
        <v>1.3000000000000001E-2</v>
      </c>
      <c r="O398">
        <v>0.29299999999999998</v>
      </c>
      <c r="P398">
        <v>0.68599999999999994</v>
      </c>
      <c r="Q398">
        <v>0.24</v>
      </c>
      <c r="R398">
        <v>0.7350000000000001</v>
      </c>
      <c r="S398">
        <v>0.53600000000000003</v>
      </c>
      <c r="T398">
        <v>3.8620000000000001</v>
      </c>
      <c r="U398">
        <v>32.378</v>
      </c>
      <c r="V398">
        <v>23.576000000000001</v>
      </c>
      <c r="W398">
        <v>54.265000000000001</v>
      </c>
      <c r="X398">
        <v>32.137</v>
      </c>
      <c r="Y398">
        <v>39.67</v>
      </c>
      <c r="Z398">
        <v>59.025999999999996</v>
      </c>
      <c r="AA398">
        <v>103.94699999999999</v>
      </c>
      <c r="AB398">
        <v>86.475999999999999</v>
      </c>
      <c r="AC398">
        <v>100.276</v>
      </c>
      <c r="AD398">
        <v>114.313</v>
      </c>
      <c r="AE398">
        <v>148.31</v>
      </c>
      <c r="AF398">
        <v>297.97800000000001</v>
      </c>
      <c r="AG398">
        <v>278.26099999999997</v>
      </c>
      <c r="AH398">
        <v>311.15899999999999</v>
      </c>
      <c r="AI398">
        <v>405.44599999999997</v>
      </c>
      <c r="AJ398">
        <v>490.56</v>
      </c>
      <c r="AK398">
        <v>333.36199999999997</v>
      </c>
      <c r="AL398">
        <v>318.61599999999999</v>
      </c>
      <c r="AM398">
        <v>406.86799999999999</v>
      </c>
      <c r="AN398">
        <v>298.73599999999999</v>
      </c>
      <c r="AO398">
        <v>447.89100000000002</v>
      </c>
      <c r="AP398">
        <v>535.10500000000013</v>
      </c>
      <c r="AQ398">
        <v>608.01199999999994</v>
      </c>
      <c r="AR398">
        <v>481.86200000000002</v>
      </c>
      <c r="AS398">
        <v>701.14300000000003</v>
      </c>
      <c r="AT398">
        <v>708.11799999999994</v>
      </c>
      <c r="AU398">
        <v>405.42200000000003</v>
      </c>
      <c r="AV398">
        <v>346.90600000000001</v>
      </c>
      <c r="AW398">
        <v>1241.769</v>
      </c>
      <c r="AX398">
        <v>409.49799999999999</v>
      </c>
      <c r="AY398">
        <v>423.57100000000003</v>
      </c>
      <c r="AZ398">
        <v>347.548</v>
      </c>
      <c r="BA398">
        <v>385.73099999999999</v>
      </c>
      <c r="BB398">
        <v>213.12599999999998</v>
      </c>
      <c r="BC398">
        <v>210.27199999999999</v>
      </c>
      <c r="BD398">
        <v>210.79</v>
      </c>
      <c r="BE398">
        <v>203.60399999999998</v>
      </c>
      <c r="BF398">
        <v>200.02699999999999</v>
      </c>
      <c r="BG398">
        <v>199.221</v>
      </c>
      <c r="BH398" t="s">
        <v>16</v>
      </c>
    </row>
    <row r="399" spans="1:60">
      <c r="A399" t="s">
        <v>100</v>
      </c>
      <c r="B399" t="s">
        <v>192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AB399">
        <v>80</v>
      </c>
      <c r="AC399">
        <v>50</v>
      </c>
      <c r="AD399">
        <v>55</v>
      </c>
      <c r="AF399">
        <v>51</v>
      </c>
      <c r="AJ399">
        <v>217</v>
      </c>
      <c r="AL399">
        <v>65</v>
      </c>
      <c r="AQ399">
        <v>99</v>
      </c>
      <c r="AS399">
        <v>384</v>
      </c>
    </row>
    <row r="400" spans="1:60">
      <c r="A400" t="s">
        <v>100</v>
      </c>
      <c r="B400" t="s">
        <v>193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1.3000000000000001E-2</v>
      </c>
      <c r="O400">
        <v>0.29299999999999998</v>
      </c>
      <c r="P400">
        <v>0.65399999999999991</v>
      </c>
      <c r="Q400">
        <v>0.24</v>
      </c>
      <c r="R400">
        <v>0.72300000000000009</v>
      </c>
      <c r="S400">
        <v>0.45600000000000002</v>
      </c>
      <c r="T400">
        <v>2.08</v>
      </c>
      <c r="U400">
        <v>10.713000000000001</v>
      </c>
      <c r="V400">
        <v>21.030999999999999</v>
      </c>
      <c r="W400">
        <v>32.515000000000001</v>
      </c>
      <c r="X400">
        <v>25.318000000000001</v>
      </c>
      <c r="Y400">
        <v>32.545999999999999</v>
      </c>
      <c r="Z400">
        <v>52.731999999999999</v>
      </c>
      <c r="AA400">
        <v>90.557999999999993</v>
      </c>
      <c r="AB400" t="s">
        <v>16</v>
      </c>
      <c r="AC400">
        <v>46</v>
      </c>
      <c r="AD400">
        <v>46</v>
      </c>
      <c r="AE400">
        <v>126.61199999999999</v>
      </c>
      <c r="AF400">
        <v>206</v>
      </c>
      <c r="AG400">
        <v>246.93299999999999</v>
      </c>
      <c r="AH400">
        <v>263</v>
      </c>
      <c r="AI400">
        <v>339.87099999999998</v>
      </c>
      <c r="AJ400">
        <v>199</v>
      </c>
      <c r="AK400">
        <v>317.41399999999999</v>
      </c>
      <c r="AL400">
        <v>245</v>
      </c>
      <c r="AM400">
        <v>318.86799999999999</v>
      </c>
      <c r="AN400">
        <v>298.73599999999999</v>
      </c>
      <c r="AO400">
        <v>447.89100000000002</v>
      </c>
      <c r="AP400">
        <v>535.03500000000008</v>
      </c>
      <c r="AQ400">
        <v>509</v>
      </c>
      <c r="AR400">
        <v>481.86200000000002</v>
      </c>
      <c r="AS400">
        <v>317</v>
      </c>
      <c r="AT400">
        <v>708.11799999999994</v>
      </c>
      <c r="AU400">
        <v>405.42200000000003</v>
      </c>
      <c r="AV400">
        <v>346.90600000000001</v>
      </c>
      <c r="AW400">
        <v>1240.7539999999999</v>
      </c>
      <c r="AX400">
        <v>409.49799999999999</v>
      </c>
      <c r="AY400">
        <v>413.57100000000003</v>
      </c>
      <c r="AZ400">
        <v>347.548</v>
      </c>
      <c r="BA400">
        <v>385.73099999999999</v>
      </c>
      <c r="BB400">
        <v>213.12599999999998</v>
      </c>
      <c r="BC400">
        <v>210.27199999999999</v>
      </c>
      <c r="BD400">
        <v>210.79</v>
      </c>
      <c r="BE400">
        <v>203.60399999999998</v>
      </c>
      <c r="BF400">
        <v>200.02699999999999</v>
      </c>
      <c r="BG400">
        <v>199.221</v>
      </c>
      <c r="BH400" t="s">
        <v>16</v>
      </c>
    </row>
    <row r="401" spans="1:60">
      <c r="A401" t="s">
        <v>100</v>
      </c>
      <c r="B401" t="s">
        <v>194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1</v>
      </c>
      <c r="M401">
        <v>0</v>
      </c>
      <c r="N401">
        <v>0</v>
      </c>
      <c r="O401">
        <v>0</v>
      </c>
      <c r="P401">
        <v>3.2000000000000001E-2</v>
      </c>
      <c r="Q401">
        <v>0</v>
      </c>
      <c r="R401">
        <v>1.2E-2</v>
      </c>
      <c r="S401">
        <v>7.9999999999999988E-2</v>
      </c>
      <c r="T401">
        <v>1.782</v>
      </c>
      <c r="U401">
        <v>21.664999999999999</v>
      </c>
      <c r="V401">
        <v>2.5449999999999999</v>
      </c>
      <c r="W401">
        <v>21.75</v>
      </c>
      <c r="X401">
        <v>6.8190000000000008</v>
      </c>
      <c r="Y401">
        <v>7.1239999999999997</v>
      </c>
      <c r="Z401">
        <v>6.2940000000000005</v>
      </c>
      <c r="AA401">
        <v>13.388999999999999</v>
      </c>
      <c r="AB401">
        <v>6.476</v>
      </c>
      <c r="AC401">
        <v>4.2759999999999998</v>
      </c>
      <c r="AD401">
        <v>13.312999999999999</v>
      </c>
      <c r="AE401">
        <v>21.698</v>
      </c>
      <c r="AF401">
        <v>40.978000000000002</v>
      </c>
      <c r="AG401">
        <v>31.327999999999999</v>
      </c>
      <c r="AH401">
        <v>48.158999999999999</v>
      </c>
      <c r="AI401">
        <v>65.575000000000003</v>
      </c>
      <c r="AJ401">
        <v>74.56</v>
      </c>
      <c r="AK401">
        <v>15.948</v>
      </c>
      <c r="AL401">
        <v>8.6159999999999997</v>
      </c>
      <c r="AM401">
        <v>0</v>
      </c>
      <c r="AN401">
        <v>0</v>
      </c>
      <c r="AO401">
        <v>0</v>
      </c>
      <c r="AP401">
        <v>7.0000000000000007E-2</v>
      </c>
      <c r="AQ401">
        <v>1.2E-2</v>
      </c>
      <c r="AR401">
        <v>0</v>
      </c>
      <c r="AS401">
        <v>0.14299999999999999</v>
      </c>
      <c r="AT401">
        <v>0</v>
      </c>
      <c r="AU401">
        <v>0</v>
      </c>
      <c r="AV401">
        <v>0</v>
      </c>
      <c r="AW401">
        <v>1.0149999999999999</v>
      </c>
      <c r="AX401">
        <v>0</v>
      </c>
      <c r="AY401">
        <v>10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</row>
    <row r="402" spans="1:60">
      <c r="A402" t="s">
        <v>100</v>
      </c>
      <c r="B402" t="s">
        <v>195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 t="s">
        <v>16</v>
      </c>
      <c r="AJ402" t="s">
        <v>16</v>
      </c>
      <c r="AK402" t="s">
        <v>16</v>
      </c>
      <c r="AL402" t="s">
        <v>16</v>
      </c>
      <c r="AM402">
        <v>88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</row>
    <row r="403" spans="1:60">
      <c r="A403" t="s">
        <v>101</v>
      </c>
      <c r="B403" t="s">
        <v>198</v>
      </c>
      <c r="K403">
        <v>0</v>
      </c>
      <c r="L403">
        <v>0</v>
      </c>
      <c r="M403">
        <v>0</v>
      </c>
      <c r="N403">
        <v>0.03</v>
      </c>
      <c r="O403">
        <v>7.2999999999999995E-2</v>
      </c>
      <c r="P403">
        <v>0</v>
      </c>
      <c r="Q403">
        <v>0</v>
      </c>
      <c r="R403">
        <v>0</v>
      </c>
      <c r="S403">
        <v>0</v>
      </c>
      <c r="T403">
        <v>0.29299999999999998</v>
      </c>
      <c r="U403">
        <v>0.313</v>
      </c>
      <c r="V403">
        <v>0.67400000000000004</v>
      </c>
      <c r="W403">
        <v>2.1320000000000001</v>
      </c>
      <c r="X403">
        <v>2.9929999999999999</v>
      </c>
      <c r="Y403">
        <v>0</v>
      </c>
      <c r="Z403">
        <v>0</v>
      </c>
      <c r="AA403">
        <v>0.14000000000000001</v>
      </c>
      <c r="AB403">
        <v>0</v>
      </c>
      <c r="AC403">
        <v>0</v>
      </c>
      <c r="AD403">
        <v>0</v>
      </c>
      <c r="AE403">
        <v>8.0000000000000002E-3</v>
      </c>
      <c r="AF403">
        <v>3.0070000000000001</v>
      </c>
      <c r="AG403">
        <v>5.3029999999999999</v>
      </c>
      <c r="AH403">
        <v>6.7270000000000003</v>
      </c>
      <c r="AI403">
        <v>8.0389999999999997</v>
      </c>
      <c r="AJ403">
        <v>10.537000000000001</v>
      </c>
      <c r="AK403">
        <v>0.97699999999999998</v>
      </c>
      <c r="AL403">
        <v>7.0000000000000001E-3</v>
      </c>
      <c r="AM403">
        <v>0</v>
      </c>
      <c r="AN403">
        <v>0.63100000000000001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1.6E-2</v>
      </c>
      <c r="BC403">
        <v>2.8780000000000001</v>
      </c>
      <c r="BD403">
        <v>3.996</v>
      </c>
      <c r="BE403">
        <v>5.6830000000000007</v>
      </c>
      <c r="BF403">
        <v>6.4459999999999997</v>
      </c>
      <c r="BG403">
        <v>17.279</v>
      </c>
      <c r="BH403" t="s">
        <v>16</v>
      </c>
    </row>
    <row r="404" spans="1:60">
      <c r="A404" t="s">
        <v>101</v>
      </c>
      <c r="B404" t="s">
        <v>193</v>
      </c>
      <c r="K404">
        <v>0</v>
      </c>
      <c r="L404">
        <v>0</v>
      </c>
      <c r="M404">
        <v>0</v>
      </c>
      <c r="N404">
        <v>0.03</v>
      </c>
      <c r="O404">
        <v>7.2999999999999995E-2</v>
      </c>
      <c r="P404">
        <v>0</v>
      </c>
      <c r="Q404">
        <v>0</v>
      </c>
      <c r="R404">
        <v>0</v>
      </c>
      <c r="S404">
        <v>0</v>
      </c>
      <c r="T404">
        <v>0.29299999999999998</v>
      </c>
      <c r="U404">
        <v>0.313</v>
      </c>
      <c r="V404">
        <v>0.67400000000000004</v>
      </c>
      <c r="W404">
        <v>2.1320000000000001</v>
      </c>
      <c r="X404">
        <v>2.9929999999999999</v>
      </c>
      <c r="Y404">
        <v>0</v>
      </c>
      <c r="Z404">
        <v>0</v>
      </c>
      <c r="AA404">
        <v>0.14000000000000001</v>
      </c>
      <c r="AB404">
        <v>0</v>
      </c>
      <c r="AC404">
        <v>0</v>
      </c>
      <c r="AD404">
        <v>0</v>
      </c>
      <c r="AE404">
        <v>8.0000000000000002E-3</v>
      </c>
      <c r="AF404">
        <v>3.0070000000000001</v>
      </c>
      <c r="AG404">
        <v>4.0999999999999996</v>
      </c>
      <c r="AH404">
        <v>6.7270000000000003</v>
      </c>
      <c r="AI404">
        <v>8.0389999999999997</v>
      </c>
      <c r="AJ404">
        <v>10.537000000000001</v>
      </c>
      <c r="AK404">
        <v>0.97699999999999998</v>
      </c>
      <c r="AL404">
        <v>7.0000000000000001E-3</v>
      </c>
      <c r="AM404">
        <v>0</v>
      </c>
      <c r="AN404">
        <v>0.63100000000000001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1.6E-2</v>
      </c>
      <c r="BC404">
        <v>2.8780000000000001</v>
      </c>
      <c r="BD404">
        <v>2.875</v>
      </c>
      <c r="BE404">
        <v>1.4850000000000001</v>
      </c>
      <c r="BF404">
        <v>2.5179999999999998</v>
      </c>
      <c r="BG404">
        <v>13.523</v>
      </c>
      <c r="BH404" t="s">
        <v>16</v>
      </c>
    </row>
    <row r="405" spans="1:60">
      <c r="A405" t="s">
        <v>101</v>
      </c>
      <c r="B405" t="s">
        <v>194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1.2030000000000001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1.121</v>
      </c>
      <c r="BE405">
        <v>4.1980000000000004</v>
      </c>
      <c r="BF405">
        <v>3.9279999999999999</v>
      </c>
      <c r="BG405">
        <v>3.7559999999999998</v>
      </c>
      <c r="BH405" t="s">
        <v>16</v>
      </c>
    </row>
    <row r="406" spans="1:60">
      <c r="A406" t="s">
        <v>102</v>
      </c>
      <c r="B406" t="s">
        <v>198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0.6</v>
      </c>
      <c r="V406">
        <v>1.9000000000000001</v>
      </c>
      <c r="W406">
        <v>0</v>
      </c>
      <c r="X406">
        <v>11.3</v>
      </c>
      <c r="Y406">
        <v>19357.7</v>
      </c>
      <c r="Z406">
        <v>24667.8</v>
      </c>
      <c r="AA406">
        <v>19223.900000000001</v>
      </c>
      <c r="AB406">
        <v>28600</v>
      </c>
      <c r="AC406">
        <v>45500</v>
      </c>
      <c r="AD406">
        <v>52300</v>
      </c>
      <c r="AE406">
        <v>51902.9</v>
      </c>
      <c r="AF406">
        <v>50635.5</v>
      </c>
      <c r="AG406">
        <v>54300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</row>
    <row r="407" spans="1:60">
      <c r="A407" t="s">
        <v>102</v>
      </c>
      <c r="B407" t="s">
        <v>192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 t="s">
        <v>16</v>
      </c>
      <c r="Z407">
        <v>1300</v>
      </c>
      <c r="AA407">
        <v>0</v>
      </c>
      <c r="AB407">
        <v>0</v>
      </c>
      <c r="AC407">
        <v>1800</v>
      </c>
      <c r="AD407">
        <v>0</v>
      </c>
      <c r="AE407">
        <v>0</v>
      </c>
      <c r="AF407">
        <v>2400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</row>
    <row r="408" spans="1:60">
      <c r="A408" t="s">
        <v>102</v>
      </c>
      <c r="B408" t="s">
        <v>193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0.6</v>
      </c>
      <c r="V408">
        <v>0</v>
      </c>
      <c r="W408">
        <v>0</v>
      </c>
      <c r="X408">
        <v>4.7</v>
      </c>
      <c r="Y408">
        <v>2.8000000000000003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0.9</v>
      </c>
      <c r="AF408">
        <v>1.2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</row>
    <row r="409" spans="1:60">
      <c r="A409" t="s">
        <v>102</v>
      </c>
      <c r="B409" t="s">
        <v>194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1.9000000000000001</v>
      </c>
      <c r="W409">
        <v>0</v>
      </c>
      <c r="X409">
        <v>6.6</v>
      </c>
      <c r="Y409">
        <v>554.9</v>
      </c>
      <c r="Z409">
        <v>87.800000000000011</v>
      </c>
      <c r="AA409">
        <v>10.9</v>
      </c>
      <c r="AB409">
        <v>0</v>
      </c>
      <c r="AC409">
        <v>0</v>
      </c>
      <c r="AD409">
        <v>0</v>
      </c>
      <c r="AE409">
        <v>0</v>
      </c>
      <c r="AF409">
        <v>3.3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</row>
    <row r="410" spans="1:60">
      <c r="A410" t="s">
        <v>102</v>
      </c>
      <c r="B410" t="s">
        <v>195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18800</v>
      </c>
      <c r="Z410">
        <v>23280</v>
      </c>
      <c r="AA410">
        <v>19213</v>
      </c>
      <c r="AB410">
        <v>28600</v>
      </c>
      <c r="AC410">
        <v>43700</v>
      </c>
      <c r="AD410">
        <v>52300</v>
      </c>
      <c r="AE410">
        <v>51902</v>
      </c>
      <c r="AF410">
        <v>48231</v>
      </c>
      <c r="AG410">
        <v>54300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</row>
    <row r="411" spans="1:60">
      <c r="A411" t="s">
        <v>103</v>
      </c>
      <c r="B411" t="s">
        <v>198</v>
      </c>
      <c r="AH411">
        <v>0</v>
      </c>
      <c r="AI411">
        <v>0</v>
      </c>
      <c r="AJ411">
        <v>5.8680000000000003</v>
      </c>
      <c r="AK411">
        <v>24.908999999999999</v>
      </c>
      <c r="AL411">
        <v>46.602000000000004</v>
      </c>
      <c r="AM411">
        <v>119.373</v>
      </c>
      <c r="AN411">
        <v>15.631</v>
      </c>
      <c r="AO411">
        <v>104.628</v>
      </c>
      <c r="AP411">
        <v>242.376</v>
      </c>
      <c r="AQ411">
        <v>151.39500000000001</v>
      </c>
      <c r="AR411">
        <v>75.885999999999996</v>
      </c>
      <c r="AS411">
        <v>146.16399999999999</v>
      </c>
      <c r="AT411">
        <v>124.688</v>
      </c>
      <c r="AU411">
        <v>280.65100000000001</v>
      </c>
      <c r="AV411">
        <v>134.00900000000001</v>
      </c>
      <c r="AW411">
        <v>322.959</v>
      </c>
      <c r="AX411">
        <v>144.602</v>
      </c>
      <c r="AY411">
        <v>150.26300000000001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6.4000000000000001E-2</v>
      </c>
      <c r="BG411">
        <v>0</v>
      </c>
      <c r="BH411">
        <v>0</v>
      </c>
    </row>
    <row r="412" spans="1:60">
      <c r="A412" t="s">
        <v>103</v>
      </c>
      <c r="B412" t="s">
        <v>192</v>
      </c>
      <c r="AH412">
        <v>0</v>
      </c>
      <c r="AI412">
        <v>0</v>
      </c>
      <c r="AV412" t="s">
        <v>16</v>
      </c>
      <c r="AW412">
        <v>151.1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</row>
    <row r="413" spans="1:60">
      <c r="A413" t="s">
        <v>103</v>
      </c>
      <c r="B413" t="s">
        <v>193</v>
      </c>
      <c r="AH413">
        <v>0</v>
      </c>
      <c r="AI413">
        <v>0</v>
      </c>
      <c r="AJ413">
        <v>5.8680000000000003</v>
      </c>
      <c r="AK413">
        <v>24.908999999999999</v>
      </c>
      <c r="AL413">
        <v>46.602000000000004</v>
      </c>
      <c r="AM413">
        <v>119.373</v>
      </c>
      <c r="AN413">
        <v>15.631</v>
      </c>
      <c r="AO413">
        <v>58.601999999999997</v>
      </c>
      <c r="AP413">
        <v>225.322</v>
      </c>
      <c r="AQ413">
        <v>109.65</v>
      </c>
      <c r="AR413">
        <v>43.86</v>
      </c>
      <c r="AS413">
        <v>38.161000000000001</v>
      </c>
      <c r="AT413">
        <v>37.635999999999996</v>
      </c>
      <c r="AU413">
        <v>104.77199999999999</v>
      </c>
      <c r="AV413">
        <v>53.411000000000001</v>
      </c>
      <c r="AW413">
        <v>82.765000000000001</v>
      </c>
      <c r="AX413">
        <v>30.794</v>
      </c>
      <c r="AY413">
        <v>30.446999999999999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6.4000000000000001E-2</v>
      </c>
      <c r="BG413">
        <v>0</v>
      </c>
      <c r="BH413">
        <v>0</v>
      </c>
    </row>
    <row r="414" spans="1:60">
      <c r="A414" t="s">
        <v>103</v>
      </c>
      <c r="B414" t="s">
        <v>194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16.026</v>
      </c>
      <c r="AP414">
        <v>17.054000000000002</v>
      </c>
      <c r="AQ414">
        <v>41.745000000000005</v>
      </c>
      <c r="AR414">
        <v>32.026000000000003</v>
      </c>
      <c r="AS414">
        <v>68.003</v>
      </c>
      <c r="AT414">
        <v>87.052000000000007</v>
      </c>
      <c r="AU414">
        <v>60.879000000000005</v>
      </c>
      <c r="AV414">
        <v>80.597999999999999</v>
      </c>
      <c r="AW414">
        <v>89.093999999999994</v>
      </c>
      <c r="AX414">
        <v>113.80799999999999</v>
      </c>
      <c r="AY414">
        <v>119.816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</row>
    <row r="415" spans="1:60">
      <c r="A415" t="s">
        <v>103</v>
      </c>
      <c r="B415" t="s">
        <v>197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30</v>
      </c>
      <c r="AP415">
        <v>0</v>
      </c>
      <c r="AQ415">
        <v>0</v>
      </c>
      <c r="AR415">
        <v>0</v>
      </c>
      <c r="AS415">
        <v>40</v>
      </c>
      <c r="AT415">
        <v>0</v>
      </c>
      <c r="AU415">
        <v>115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</row>
    <row r="416" spans="1:60">
      <c r="A416" t="s">
        <v>104</v>
      </c>
      <c r="B416" t="s">
        <v>198</v>
      </c>
      <c r="AI416">
        <v>7.6760000000000002</v>
      </c>
      <c r="AJ416">
        <v>18.032</v>
      </c>
      <c r="AK416">
        <v>16.558999999999997</v>
      </c>
      <c r="AL416">
        <v>4.1070000000000002</v>
      </c>
      <c r="AM416">
        <v>4.524</v>
      </c>
      <c r="AN416">
        <v>17.350999999999999</v>
      </c>
      <c r="AO416">
        <v>21.63</v>
      </c>
      <c r="AP416">
        <v>40.880000000000003</v>
      </c>
      <c r="AQ416">
        <v>29.986999999999998</v>
      </c>
      <c r="AR416">
        <v>18.169</v>
      </c>
      <c r="AS416">
        <v>18.329000000000001</v>
      </c>
      <c r="AT416">
        <v>18.495000000000001</v>
      </c>
      <c r="AU416">
        <v>27.295000000000002</v>
      </c>
      <c r="AV416">
        <v>20.867000000000001</v>
      </c>
      <c r="AW416">
        <v>41.972000000000001</v>
      </c>
      <c r="AX416">
        <v>25.614999999999998</v>
      </c>
      <c r="AY416">
        <v>26.131</v>
      </c>
      <c r="AZ416">
        <v>9.7010000000000005</v>
      </c>
      <c r="BA416">
        <v>10.635</v>
      </c>
      <c r="BB416">
        <v>10.621</v>
      </c>
      <c r="BC416">
        <v>15.789</v>
      </c>
      <c r="BD416">
        <v>18.012999999999998</v>
      </c>
      <c r="BE416">
        <v>0</v>
      </c>
      <c r="BF416">
        <v>0</v>
      </c>
      <c r="BG416">
        <v>0</v>
      </c>
      <c r="BH416">
        <v>0</v>
      </c>
    </row>
    <row r="417" spans="1:60">
      <c r="A417" t="s">
        <v>104</v>
      </c>
      <c r="B417" t="s">
        <v>193</v>
      </c>
      <c r="AI417">
        <v>0.79100000000000004</v>
      </c>
      <c r="AJ417">
        <v>2.06</v>
      </c>
      <c r="AK417">
        <v>13.61</v>
      </c>
      <c r="AL417">
        <v>0.79100000000000004</v>
      </c>
      <c r="AM417">
        <v>0.92100000000000004</v>
      </c>
      <c r="AN417">
        <v>4.4530000000000003</v>
      </c>
      <c r="AO417">
        <v>9.5109999999999992</v>
      </c>
      <c r="AP417">
        <v>28.963000000000001</v>
      </c>
      <c r="AQ417">
        <v>18.517999999999997</v>
      </c>
      <c r="AR417">
        <v>18.169</v>
      </c>
      <c r="AS417">
        <v>18.329000000000001</v>
      </c>
      <c r="AT417">
        <v>18.495000000000001</v>
      </c>
      <c r="AU417">
        <v>27.295000000000002</v>
      </c>
      <c r="AV417">
        <v>20.867000000000001</v>
      </c>
      <c r="AW417">
        <v>41.972000000000001</v>
      </c>
      <c r="AX417">
        <v>25.614999999999998</v>
      </c>
      <c r="AY417">
        <v>26.131</v>
      </c>
      <c r="AZ417">
        <v>9.7010000000000005</v>
      </c>
      <c r="BA417">
        <v>10.635</v>
      </c>
      <c r="BB417">
        <v>10.621</v>
      </c>
      <c r="BC417">
        <v>15.789</v>
      </c>
      <c r="BD417">
        <v>18.012999999999998</v>
      </c>
      <c r="BE417">
        <v>0</v>
      </c>
      <c r="BF417">
        <v>0</v>
      </c>
      <c r="BG417">
        <v>0</v>
      </c>
      <c r="BH417">
        <v>0</v>
      </c>
    </row>
    <row r="418" spans="1:60">
      <c r="A418" t="s">
        <v>104</v>
      </c>
      <c r="B418" t="s">
        <v>194</v>
      </c>
      <c r="AI418">
        <v>6.8849999999999998</v>
      </c>
      <c r="AJ418">
        <v>15.972</v>
      </c>
      <c r="AK418">
        <v>2.9489999999999998</v>
      </c>
      <c r="AL418">
        <v>3.3159999999999998</v>
      </c>
      <c r="AM418">
        <v>3.6029999999999998</v>
      </c>
      <c r="AN418">
        <v>2.8980000000000001</v>
      </c>
      <c r="AO418">
        <v>2.1189999999999998</v>
      </c>
      <c r="AP418">
        <v>0.91700000000000004</v>
      </c>
      <c r="AQ418">
        <v>0.46900000000000003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</row>
    <row r="419" spans="1:60">
      <c r="A419" t="s">
        <v>104</v>
      </c>
      <c r="B419" t="s">
        <v>196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10</v>
      </c>
      <c r="AO419">
        <v>10</v>
      </c>
      <c r="AP419">
        <v>11</v>
      </c>
      <c r="AQ419">
        <v>11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</row>
    <row r="420" spans="1:60">
      <c r="A420" t="s">
        <v>170</v>
      </c>
      <c r="B420" t="s">
        <v>198</v>
      </c>
      <c r="AT420">
        <v>0</v>
      </c>
      <c r="AU420">
        <v>0</v>
      </c>
      <c r="AV420">
        <v>0</v>
      </c>
      <c r="AW420">
        <v>0.17199999999999999</v>
      </c>
      <c r="AX420">
        <v>205.34899999999999</v>
      </c>
      <c r="AY420">
        <v>0</v>
      </c>
      <c r="AZ420">
        <v>8.9999999999999993E-3</v>
      </c>
      <c r="BA420">
        <v>0</v>
      </c>
      <c r="BB420">
        <v>15.497</v>
      </c>
      <c r="BC420">
        <v>1.1739999999999999</v>
      </c>
      <c r="BD420">
        <v>0</v>
      </c>
      <c r="BE420">
        <v>107.917</v>
      </c>
      <c r="BF420">
        <v>0</v>
      </c>
      <c r="BG420">
        <v>0</v>
      </c>
      <c r="BH420">
        <v>0</v>
      </c>
    </row>
    <row r="421" spans="1:60">
      <c r="A421" t="s">
        <v>170</v>
      </c>
      <c r="B421" t="s">
        <v>193</v>
      </c>
      <c r="AT421">
        <v>0</v>
      </c>
      <c r="AU421">
        <v>0</v>
      </c>
      <c r="AV421">
        <v>0</v>
      </c>
      <c r="AW421">
        <v>0.17199999999999999</v>
      </c>
      <c r="AX421">
        <v>205.34899999999999</v>
      </c>
      <c r="AY421">
        <v>0</v>
      </c>
      <c r="AZ421">
        <v>8.9999999999999993E-3</v>
      </c>
      <c r="BA421">
        <v>0</v>
      </c>
      <c r="BB421">
        <v>15.497</v>
      </c>
      <c r="BC421">
        <v>1.1739999999999999</v>
      </c>
      <c r="BD421">
        <v>0</v>
      </c>
      <c r="BE421">
        <v>107.917</v>
      </c>
      <c r="BF421">
        <v>0</v>
      </c>
      <c r="BG421">
        <v>0</v>
      </c>
      <c r="BH421">
        <v>0</v>
      </c>
    </row>
    <row r="422" spans="1:60">
      <c r="A422" t="s">
        <v>105</v>
      </c>
      <c r="B422" t="s">
        <v>198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2.1999999999999999E-2</v>
      </c>
      <c r="N422">
        <v>0</v>
      </c>
      <c r="O422">
        <v>0.13400000000000001</v>
      </c>
      <c r="P422">
        <v>0.14799999999999999</v>
      </c>
      <c r="Q422">
        <v>0.34799999999999998</v>
      </c>
      <c r="R422">
        <v>0.23599999999999999</v>
      </c>
      <c r="S422">
        <v>0.98899999999999999</v>
      </c>
      <c r="T422">
        <v>0.23200000000000001</v>
      </c>
      <c r="U422">
        <v>0.52900000000000003</v>
      </c>
      <c r="V422">
        <v>0.26300000000000001</v>
      </c>
      <c r="W422">
        <v>5.3840000000000003</v>
      </c>
      <c r="X422">
        <v>51.465999999999994</v>
      </c>
      <c r="Y422">
        <v>27.38</v>
      </c>
      <c r="Z422">
        <v>1277.7070000000001</v>
      </c>
      <c r="AA422">
        <v>1638.3679999999999</v>
      </c>
      <c r="AB422">
        <v>1265.6759999999999</v>
      </c>
      <c r="AC422">
        <v>1489.0070000000001</v>
      </c>
      <c r="AD422">
        <v>3879.1480000000001</v>
      </c>
      <c r="AE422">
        <v>940.00400000000002</v>
      </c>
      <c r="AF422">
        <v>1668.481</v>
      </c>
      <c r="AG422">
        <v>6349.6390000000001</v>
      </c>
      <c r="AH422">
        <v>3954.7599999999998</v>
      </c>
      <c r="AI422">
        <v>1546.1489999999999</v>
      </c>
      <c r="AJ422">
        <v>247.239</v>
      </c>
      <c r="AK422">
        <v>231.41399999999999</v>
      </c>
      <c r="AL422">
        <v>230.31899999999999</v>
      </c>
      <c r="AM422">
        <v>277.512</v>
      </c>
      <c r="AN422">
        <v>315.90100000000001</v>
      </c>
      <c r="AO422">
        <v>333.35699999999997</v>
      </c>
      <c r="AP422">
        <v>552.36900000000003</v>
      </c>
      <c r="AQ422">
        <v>774.36099999999999</v>
      </c>
      <c r="AR422">
        <v>657.22299999999996</v>
      </c>
      <c r="AS422">
        <v>654.65499999999986</v>
      </c>
      <c r="AT422">
        <v>19.372</v>
      </c>
      <c r="AU422">
        <v>22.585000000000001</v>
      </c>
      <c r="AV422">
        <v>3.363</v>
      </c>
      <c r="AW422">
        <v>3.62</v>
      </c>
      <c r="AX422">
        <v>1.8159999999999998</v>
      </c>
      <c r="AY422">
        <v>0.80699999999999994</v>
      </c>
      <c r="AZ422">
        <v>0</v>
      </c>
      <c r="BA422">
        <v>0</v>
      </c>
      <c r="BB422">
        <v>5.0000000000000001E-3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</row>
    <row r="423" spans="1:60">
      <c r="A423" t="s">
        <v>105</v>
      </c>
      <c r="B423" t="s">
        <v>192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Y423" t="s">
        <v>16</v>
      </c>
      <c r="Z423">
        <v>1210</v>
      </c>
      <c r="AB423">
        <v>678</v>
      </c>
      <c r="AC423" t="s">
        <v>16</v>
      </c>
      <c r="AD423">
        <v>1000</v>
      </c>
      <c r="AE423">
        <v>940</v>
      </c>
      <c r="AF423" t="s">
        <v>16</v>
      </c>
      <c r="AG423">
        <v>1390</v>
      </c>
      <c r="AH423" t="s">
        <v>16</v>
      </c>
      <c r="AI423">
        <v>1250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</row>
    <row r="424" spans="1:60">
      <c r="A424" t="s">
        <v>105</v>
      </c>
      <c r="B424" t="s">
        <v>193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2.1999999999999999E-2</v>
      </c>
      <c r="N424">
        <v>0</v>
      </c>
      <c r="O424">
        <v>0.13400000000000001</v>
      </c>
      <c r="P424">
        <v>0.14799999999999999</v>
      </c>
      <c r="Q424">
        <v>0.34799999999999998</v>
      </c>
      <c r="R424">
        <v>0.23599999999999999</v>
      </c>
      <c r="S424">
        <v>0.21199999999999999</v>
      </c>
      <c r="T424">
        <v>0.23200000000000001</v>
      </c>
      <c r="U424">
        <v>0.254</v>
      </c>
      <c r="V424">
        <v>0.26300000000000001</v>
      </c>
      <c r="W424">
        <v>5.3840000000000003</v>
      </c>
      <c r="X424">
        <v>2.4279999999999999</v>
      </c>
      <c r="Y424">
        <v>5.282</v>
      </c>
      <c r="Z424">
        <v>19.634</v>
      </c>
      <c r="AA424">
        <v>67.831999999999994</v>
      </c>
      <c r="AB424">
        <v>78.25</v>
      </c>
      <c r="AC424">
        <v>951.00699999999995</v>
      </c>
      <c r="AD424">
        <v>435</v>
      </c>
      <c r="AE424" t="s">
        <v>16</v>
      </c>
      <c r="AF424">
        <v>918.274</v>
      </c>
      <c r="AG424">
        <v>1475.55</v>
      </c>
      <c r="AH424">
        <v>3703.5119999999997</v>
      </c>
      <c r="AI424" t="s">
        <v>16</v>
      </c>
      <c r="AJ424">
        <v>246.37200000000001</v>
      </c>
      <c r="AK424">
        <v>216.785</v>
      </c>
      <c r="AL424">
        <v>227.779</v>
      </c>
      <c r="AM424">
        <v>274.779</v>
      </c>
      <c r="AN424">
        <v>315.80700000000002</v>
      </c>
      <c r="AO424">
        <v>327.24199999999996</v>
      </c>
      <c r="AP424">
        <v>545.18799999999999</v>
      </c>
      <c r="AQ424">
        <v>770.07100000000003</v>
      </c>
      <c r="AR424">
        <v>652.23599999999999</v>
      </c>
      <c r="AS424">
        <v>652.24399999999991</v>
      </c>
      <c r="AT424">
        <v>19.067</v>
      </c>
      <c r="AU424">
        <v>22.585000000000001</v>
      </c>
      <c r="AV424">
        <v>3.363</v>
      </c>
      <c r="AW424">
        <v>3.62</v>
      </c>
      <c r="AX424">
        <v>1.5389999999999999</v>
      </c>
      <c r="AY424">
        <v>0.621</v>
      </c>
      <c r="AZ424">
        <v>0</v>
      </c>
      <c r="BA424">
        <v>0</v>
      </c>
      <c r="BB424">
        <v>5.0000000000000001E-3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</row>
    <row r="425" spans="1:60">
      <c r="A425" t="s">
        <v>105</v>
      </c>
      <c r="B425" t="s">
        <v>194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0.77700000000000002</v>
      </c>
      <c r="T425">
        <v>0</v>
      </c>
      <c r="U425">
        <v>0.27500000000000002</v>
      </c>
      <c r="V425">
        <v>0</v>
      </c>
      <c r="W425">
        <v>0</v>
      </c>
      <c r="X425">
        <v>49.037999999999997</v>
      </c>
      <c r="Y425">
        <v>22.097999999999999</v>
      </c>
      <c r="Z425">
        <v>48.073</v>
      </c>
      <c r="AA425">
        <v>40.536000000000001</v>
      </c>
      <c r="AB425">
        <v>509.42600000000004</v>
      </c>
      <c r="AC425">
        <v>0</v>
      </c>
      <c r="AD425">
        <v>0.14799999999999999</v>
      </c>
      <c r="AE425">
        <v>4.0000000000000001E-3</v>
      </c>
      <c r="AF425">
        <v>750.20699999999999</v>
      </c>
      <c r="AG425">
        <v>284.089</v>
      </c>
      <c r="AH425">
        <v>251.24800000000002</v>
      </c>
      <c r="AI425">
        <v>296.149</v>
      </c>
      <c r="AJ425">
        <v>0.86699999999999999</v>
      </c>
      <c r="AK425">
        <v>14.629000000000001</v>
      </c>
      <c r="AL425">
        <v>2.54</v>
      </c>
      <c r="AM425">
        <v>2.7330000000000001</v>
      </c>
      <c r="AN425">
        <v>9.4E-2</v>
      </c>
      <c r="AO425">
        <v>6.1150000000000002</v>
      </c>
      <c r="AP425">
        <v>7.181</v>
      </c>
      <c r="AQ425">
        <v>4.29</v>
      </c>
      <c r="AR425">
        <v>4.9870000000000001</v>
      </c>
      <c r="AS425">
        <v>2.411</v>
      </c>
      <c r="AT425">
        <v>0.30499999999999999</v>
      </c>
      <c r="AU425">
        <v>0</v>
      </c>
      <c r="AV425">
        <v>0</v>
      </c>
      <c r="AW425">
        <v>0</v>
      </c>
      <c r="AX425">
        <v>0.27700000000000002</v>
      </c>
      <c r="AY425">
        <v>0.186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</row>
    <row r="426" spans="1:60">
      <c r="A426" t="s">
        <v>105</v>
      </c>
      <c r="B426" t="s">
        <v>195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1530</v>
      </c>
      <c r="AB426">
        <v>0</v>
      </c>
      <c r="AC426">
        <v>538</v>
      </c>
      <c r="AD426">
        <v>2444</v>
      </c>
      <c r="AE426">
        <v>0</v>
      </c>
      <c r="AF426" t="s">
        <v>16</v>
      </c>
      <c r="AG426">
        <v>3200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</row>
    <row r="427" spans="1:60">
      <c r="A427" t="s">
        <v>106</v>
      </c>
      <c r="B427" t="s">
        <v>198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750</v>
      </c>
      <c r="X427">
        <v>0</v>
      </c>
      <c r="Y427">
        <v>0</v>
      </c>
      <c r="Z427">
        <v>0</v>
      </c>
      <c r="AA427">
        <v>173.446</v>
      </c>
      <c r="AB427">
        <v>285.077</v>
      </c>
      <c r="AC427">
        <v>588.33899999999994</v>
      </c>
      <c r="AD427">
        <v>1230.654</v>
      </c>
      <c r="AE427">
        <v>794.45299999999997</v>
      </c>
      <c r="AF427">
        <v>1009.355</v>
      </c>
      <c r="AG427">
        <v>3107.0309999999999</v>
      </c>
      <c r="AH427">
        <v>1456.3049999999998</v>
      </c>
      <c r="AI427">
        <v>1181.904</v>
      </c>
      <c r="AJ427">
        <v>1487.7549999999999</v>
      </c>
      <c r="AK427">
        <v>1204.471</v>
      </c>
      <c r="AL427">
        <v>1828.4010000000001</v>
      </c>
      <c r="AM427">
        <v>2212.395</v>
      </c>
      <c r="AN427">
        <v>1666.4010000000001</v>
      </c>
      <c r="AO427">
        <v>2302.5530000000003</v>
      </c>
      <c r="AP427">
        <v>3491.2439999999997</v>
      </c>
      <c r="AQ427">
        <v>1220.664</v>
      </c>
      <c r="AR427">
        <v>6266.35</v>
      </c>
      <c r="AS427">
        <v>834.86500000000001</v>
      </c>
      <c r="AT427">
        <v>907.66600000000005</v>
      </c>
      <c r="AU427">
        <v>1009.5970000000001</v>
      </c>
      <c r="AV427">
        <v>1017.902</v>
      </c>
      <c r="AW427">
        <v>2858.127</v>
      </c>
      <c r="AX427">
        <v>1111.03</v>
      </c>
      <c r="AY427">
        <v>882.38099999999997</v>
      </c>
      <c r="AZ427">
        <v>905.46</v>
      </c>
      <c r="BA427">
        <v>1491.8710000000001</v>
      </c>
      <c r="BB427">
        <v>1041.1969999999999</v>
      </c>
      <c r="BC427">
        <v>314.78900000000004</v>
      </c>
      <c r="BD427">
        <v>624.404</v>
      </c>
      <c r="BE427">
        <v>318.87299999999999</v>
      </c>
      <c r="BF427">
        <v>431.77600000000001</v>
      </c>
      <c r="BG427">
        <v>1821.704</v>
      </c>
      <c r="BH427" t="s">
        <v>16</v>
      </c>
    </row>
    <row r="428" spans="1:60">
      <c r="A428" t="s">
        <v>106</v>
      </c>
      <c r="B428" t="s">
        <v>192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 t="s">
        <v>16</v>
      </c>
      <c r="AA428">
        <v>142</v>
      </c>
      <c r="AD428">
        <v>612</v>
      </c>
      <c r="AG428">
        <v>707</v>
      </c>
      <c r="AJ428">
        <v>440</v>
      </c>
      <c r="AM428">
        <v>663</v>
      </c>
      <c r="AO428">
        <v>663</v>
      </c>
      <c r="AP428">
        <v>1860</v>
      </c>
      <c r="AR428">
        <v>2800</v>
      </c>
    </row>
    <row r="429" spans="1:60">
      <c r="A429" t="s">
        <v>106</v>
      </c>
      <c r="B429" t="s">
        <v>193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30.173000000000002</v>
      </c>
      <c r="AB429">
        <v>126.36499999999999</v>
      </c>
      <c r="AC429">
        <v>253.45699999999999</v>
      </c>
      <c r="AD429">
        <v>272.51400000000001</v>
      </c>
      <c r="AE429">
        <v>400.73699999999997</v>
      </c>
      <c r="AF429">
        <v>500.44600000000003</v>
      </c>
      <c r="AG429">
        <v>1790.751</v>
      </c>
      <c r="AH429">
        <v>887.14699999999993</v>
      </c>
      <c r="AI429">
        <v>816.15699999999993</v>
      </c>
      <c r="AJ429">
        <v>944.11099999999999</v>
      </c>
      <c r="AK429">
        <v>1177.518</v>
      </c>
      <c r="AL429">
        <v>1809.1110000000001</v>
      </c>
      <c r="AM429">
        <v>1533.5230000000001</v>
      </c>
      <c r="AN429">
        <v>1658.92</v>
      </c>
      <c r="AO429">
        <v>1634.0720000000001</v>
      </c>
      <c r="AP429">
        <v>1626.548</v>
      </c>
      <c r="AQ429">
        <v>1216.375</v>
      </c>
      <c r="AR429">
        <v>3462.576</v>
      </c>
      <c r="AS429">
        <v>831.81899999999996</v>
      </c>
      <c r="AT429">
        <v>901.702</v>
      </c>
      <c r="AU429">
        <v>1002.8580000000001</v>
      </c>
      <c r="AV429">
        <v>1010.855</v>
      </c>
      <c r="AW429">
        <v>2850.9479999999999</v>
      </c>
      <c r="AX429">
        <v>948.28899999999999</v>
      </c>
      <c r="AY429">
        <v>873.904</v>
      </c>
      <c r="AZ429">
        <v>893.86900000000003</v>
      </c>
      <c r="BA429">
        <v>1481.02</v>
      </c>
      <c r="BB429">
        <v>1040.626</v>
      </c>
      <c r="BC429">
        <v>308.92200000000003</v>
      </c>
      <c r="BD429">
        <v>624.11900000000003</v>
      </c>
      <c r="BE429">
        <v>318.85399999999998</v>
      </c>
      <c r="BF429">
        <v>420.55700000000002</v>
      </c>
      <c r="BG429">
        <v>454.214</v>
      </c>
      <c r="BH429" t="s">
        <v>16</v>
      </c>
    </row>
    <row r="430" spans="1:60">
      <c r="A430" t="s">
        <v>106</v>
      </c>
      <c r="B430" t="s">
        <v>194</v>
      </c>
      <c r="AA430">
        <v>1.2729999999999999</v>
      </c>
      <c r="AB430">
        <v>158.71199999999999</v>
      </c>
      <c r="AC430">
        <v>334.88200000000001</v>
      </c>
      <c r="AD430">
        <v>346.14</v>
      </c>
      <c r="AE430">
        <v>393.71600000000001</v>
      </c>
      <c r="AF430">
        <v>508.90899999999999</v>
      </c>
      <c r="AG430">
        <v>609.28</v>
      </c>
      <c r="AH430">
        <v>365.15800000000002</v>
      </c>
      <c r="AI430">
        <v>365.74700000000001</v>
      </c>
      <c r="AJ430">
        <v>103.64400000000001</v>
      </c>
      <c r="AK430">
        <v>26.953000000000003</v>
      </c>
      <c r="AL430">
        <v>19.29</v>
      </c>
      <c r="AM430">
        <v>15.872</v>
      </c>
      <c r="AN430">
        <v>7.4809999999999999</v>
      </c>
      <c r="AO430">
        <v>5.4809999999999999</v>
      </c>
      <c r="AP430">
        <v>4.6959999999999997</v>
      </c>
      <c r="AQ430">
        <v>4.2889999999999997</v>
      </c>
      <c r="AR430">
        <v>3.774</v>
      </c>
      <c r="AS430">
        <v>3.0460000000000003</v>
      </c>
      <c r="AT430">
        <v>5.9640000000000004</v>
      </c>
      <c r="AU430">
        <v>6.7390000000000008</v>
      </c>
      <c r="AV430">
        <v>7.0469999999999997</v>
      </c>
      <c r="AW430">
        <v>7.1790000000000003</v>
      </c>
      <c r="AX430">
        <v>9.7409999999999997</v>
      </c>
      <c r="AY430">
        <v>8.4770000000000003</v>
      </c>
      <c r="AZ430">
        <v>11.591000000000001</v>
      </c>
      <c r="BA430">
        <v>10.850999999999999</v>
      </c>
      <c r="BB430">
        <v>0.57099999999999995</v>
      </c>
      <c r="BC430">
        <v>5.867</v>
      </c>
      <c r="BD430">
        <v>0.28499999999999998</v>
      </c>
      <c r="BE430">
        <v>1.9E-2</v>
      </c>
      <c r="BF430">
        <v>11.218999999999999</v>
      </c>
      <c r="BG430">
        <v>94.49</v>
      </c>
      <c r="BH430" t="s">
        <v>16</v>
      </c>
    </row>
    <row r="431" spans="1:60">
      <c r="A431" t="s">
        <v>106</v>
      </c>
      <c r="B431" t="s">
        <v>195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473</v>
      </c>
      <c r="X431">
        <v>0</v>
      </c>
      <c r="Y431">
        <v>0</v>
      </c>
      <c r="Z431">
        <v>0</v>
      </c>
      <c r="AA431">
        <v>0</v>
      </c>
      <c r="AB431" t="s">
        <v>16</v>
      </c>
      <c r="AC431" t="s">
        <v>16</v>
      </c>
      <c r="AD431" t="s">
        <v>16</v>
      </c>
      <c r="AE431" t="s">
        <v>16</v>
      </c>
      <c r="AF431" t="s">
        <v>16</v>
      </c>
      <c r="AG431" t="s">
        <v>16</v>
      </c>
      <c r="AH431">
        <v>204</v>
      </c>
      <c r="AI431" t="s">
        <v>16</v>
      </c>
      <c r="AJ431" t="s">
        <v>16</v>
      </c>
      <c r="AK431" t="s">
        <v>16</v>
      </c>
      <c r="AL431" t="s">
        <v>16</v>
      </c>
      <c r="AM431" t="s">
        <v>16</v>
      </c>
      <c r="AN431" t="s">
        <v>16</v>
      </c>
      <c r="AO431" t="s">
        <v>16</v>
      </c>
      <c r="AP431" t="s">
        <v>16</v>
      </c>
      <c r="AQ431" t="s">
        <v>16</v>
      </c>
      <c r="AR431" t="s">
        <v>16</v>
      </c>
      <c r="AS431" t="s">
        <v>16</v>
      </c>
      <c r="AT431" t="s">
        <v>16</v>
      </c>
      <c r="AU431" t="s">
        <v>16</v>
      </c>
      <c r="AV431" t="s">
        <v>16</v>
      </c>
      <c r="AW431" t="s">
        <v>16</v>
      </c>
      <c r="AX431">
        <v>153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576</v>
      </c>
      <c r="BH431">
        <v>2282.9</v>
      </c>
    </row>
    <row r="432" spans="1:60">
      <c r="A432" t="s">
        <v>106</v>
      </c>
      <c r="B432" t="s">
        <v>197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697</v>
      </c>
      <c r="BH432">
        <v>802.8</v>
      </c>
    </row>
    <row r="433" spans="1:60">
      <c r="A433" t="s">
        <v>106</v>
      </c>
      <c r="B433" t="s">
        <v>196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277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</row>
    <row r="434" spans="1:60">
      <c r="A434" t="s">
        <v>107</v>
      </c>
      <c r="B434" t="s">
        <v>198</v>
      </c>
      <c r="C434">
        <v>0</v>
      </c>
      <c r="D434">
        <v>0</v>
      </c>
      <c r="E434">
        <v>0</v>
      </c>
      <c r="F434">
        <v>0</v>
      </c>
      <c r="G434">
        <v>384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0.03</v>
      </c>
      <c r="T434">
        <v>6.2E-2</v>
      </c>
      <c r="U434">
        <v>9.6000000000000002E-2</v>
      </c>
      <c r="V434">
        <v>0.13</v>
      </c>
      <c r="W434">
        <v>0.16400000000000001</v>
      </c>
      <c r="X434">
        <v>0.19800000000000001</v>
      </c>
      <c r="Y434">
        <v>0.23200000000000001</v>
      </c>
      <c r="Z434">
        <v>0.22900000000000001</v>
      </c>
      <c r="AA434">
        <v>0.22700000000000001</v>
      </c>
      <c r="AB434">
        <v>384.93700000000001</v>
      </c>
      <c r="AC434">
        <v>57.91</v>
      </c>
      <c r="AD434">
        <v>1448.79</v>
      </c>
      <c r="AE434">
        <v>257.87200000000001</v>
      </c>
      <c r="AF434">
        <v>332.654</v>
      </c>
      <c r="AG434">
        <v>579.91200000000003</v>
      </c>
      <c r="AH434">
        <v>884.745</v>
      </c>
      <c r="AI434">
        <v>1129.1790000000001</v>
      </c>
      <c r="AJ434">
        <v>1398.9090000000001</v>
      </c>
      <c r="AK434">
        <v>1811.4099999999999</v>
      </c>
      <c r="AL434">
        <v>1710.5839999999998</v>
      </c>
      <c r="AM434">
        <v>1656.8120000000001</v>
      </c>
      <c r="AN434">
        <v>1740.886</v>
      </c>
      <c r="AO434">
        <v>1989.337</v>
      </c>
      <c r="AP434">
        <v>2314.7759999999998</v>
      </c>
      <c r="AQ434">
        <v>2336.8739999999998</v>
      </c>
      <c r="AR434">
        <v>2442.7860000000001</v>
      </c>
      <c r="AS434">
        <v>3069.0430000000001</v>
      </c>
      <c r="AT434">
        <v>3714.0909999999999</v>
      </c>
      <c r="AU434">
        <v>4100.9250000000002</v>
      </c>
      <c r="AV434">
        <v>3927.3029999999999</v>
      </c>
      <c r="AW434">
        <v>4231.7170000000006</v>
      </c>
      <c r="AX434">
        <v>5059.4049999999997</v>
      </c>
      <c r="AY434">
        <v>5119.0889999999999</v>
      </c>
      <c r="AZ434">
        <v>5499.7790000000005</v>
      </c>
      <c r="BA434">
        <v>6162.1729999999998</v>
      </c>
      <c r="BB434">
        <v>6284.4439999999995</v>
      </c>
      <c r="BC434">
        <v>10534.03</v>
      </c>
      <c r="BD434">
        <v>5115.6289999999999</v>
      </c>
      <c r="BE434">
        <v>4431.4570000000003</v>
      </c>
      <c r="BF434">
        <v>4696.9449999999997</v>
      </c>
      <c r="BG434">
        <v>4507.8119999999999</v>
      </c>
      <c r="BH434" t="s">
        <v>16</v>
      </c>
    </row>
    <row r="435" spans="1:60">
      <c r="A435" t="s">
        <v>107</v>
      </c>
      <c r="B435" t="s">
        <v>191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43</v>
      </c>
      <c r="AR435">
        <v>0</v>
      </c>
      <c r="AS435">
        <v>0</v>
      </c>
      <c r="AT435">
        <v>0</v>
      </c>
      <c r="AU435">
        <v>142</v>
      </c>
      <c r="AV435">
        <v>0</v>
      </c>
      <c r="AW435">
        <v>0</v>
      </c>
      <c r="AX435">
        <v>0</v>
      </c>
      <c r="AY435">
        <v>275</v>
      </c>
      <c r="AZ435">
        <v>300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</row>
    <row r="436" spans="1:60">
      <c r="A436" t="s">
        <v>107</v>
      </c>
      <c r="B436" t="s">
        <v>192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Y436">
        <v>3227</v>
      </c>
      <c r="AZ436">
        <v>3363</v>
      </c>
      <c r="BA436">
        <v>3699</v>
      </c>
      <c r="BB436">
        <v>3777</v>
      </c>
      <c r="BC436">
        <v>9869</v>
      </c>
      <c r="BD436" t="s">
        <v>16</v>
      </c>
      <c r="BE436" t="s">
        <v>16</v>
      </c>
      <c r="BF436" t="s">
        <v>16</v>
      </c>
      <c r="BG436" t="s">
        <v>16</v>
      </c>
      <c r="BH436" t="s">
        <v>16</v>
      </c>
    </row>
    <row r="437" spans="1:60">
      <c r="A437" t="s">
        <v>107</v>
      </c>
      <c r="B437" t="s">
        <v>193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0.03</v>
      </c>
      <c r="T437">
        <v>6.2E-2</v>
      </c>
      <c r="U437">
        <v>9.6000000000000002E-2</v>
      </c>
      <c r="V437">
        <v>0.13</v>
      </c>
      <c r="W437">
        <v>0.16400000000000001</v>
      </c>
      <c r="X437">
        <v>0.19800000000000001</v>
      </c>
      <c r="Y437">
        <v>0.23200000000000001</v>
      </c>
      <c r="Z437">
        <v>0.22900000000000001</v>
      </c>
      <c r="AA437">
        <v>0.22700000000000001</v>
      </c>
      <c r="AB437">
        <v>3.9369999999999998</v>
      </c>
      <c r="AC437">
        <v>57.91</v>
      </c>
      <c r="AD437">
        <v>69.754000000000005</v>
      </c>
      <c r="AE437">
        <v>179.07400000000001</v>
      </c>
      <c r="AF437">
        <v>275.34500000000003</v>
      </c>
      <c r="AG437">
        <v>462.84699999999998</v>
      </c>
      <c r="AH437">
        <v>709.43299999999999</v>
      </c>
      <c r="AI437">
        <v>905.01099999999997</v>
      </c>
      <c r="AJ437">
        <v>1140.7270000000001</v>
      </c>
      <c r="AK437">
        <v>1490.982</v>
      </c>
      <c r="AL437">
        <v>1384.8019999999999</v>
      </c>
      <c r="AM437">
        <v>1347.44</v>
      </c>
      <c r="AN437">
        <v>1445.5340000000001</v>
      </c>
      <c r="AO437">
        <v>1691.1610000000001</v>
      </c>
      <c r="AP437">
        <v>2021.326</v>
      </c>
      <c r="AQ437">
        <v>1959.7669999999998</v>
      </c>
      <c r="AR437">
        <v>2045.7179999999998</v>
      </c>
      <c r="AS437">
        <v>2585.06</v>
      </c>
      <c r="AT437">
        <v>3155.924</v>
      </c>
      <c r="AU437">
        <v>3356.6019999999999</v>
      </c>
      <c r="AV437">
        <v>3323.9269999999997</v>
      </c>
      <c r="AW437">
        <v>3595.0210000000002</v>
      </c>
      <c r="AX437">
        <v>4364.1899999999996</v>
      </c>
      <c r="AY437">
        <v>969</v>
      </c>
      <c r="AZ437">
        <v>1175</v>
      </c>
      <c r="BA437">
        <v>1771</v>
      </c>
      <c r="BB437">
        <v>1825</v>
      </c>
      <c r="BC437" t="s">
        <v>16</v>
      </c>
      <c r="BD437">
        <v>4459.6139999999996</v>
      </c>
      <c r="BE437">
        <v>3841.65</v>
      </c>
      <c r="BF437">
        <v>4093.4969999999998</v>
      </c>
      <c r="BG437">
        <v>3924.2289999999998</v>
      </c>
      <c r="BH437" t="s">
        <v>16</v>
      </c>
    </row>
    <row r="438" spans="1:60">
      <c r="A438" t="s">
        <v>107</v>
      </c>
      <c r="B438" t="s">
        <v>194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40.036000000000001</v>
      </c>
      <c r="AE438">
        <v>78.798000000000002</v>
      </c>
      <c r="AF438">
        <v>57.308999999999997</v>
      </c>
      <c r="AG438">
        <v>117.065</v>
      </c>
      <c r="AH438">
        <v>175.31200000000001</v>
      </c>
      <c r="AI438">
        <v>224.16800000000001</v>
      </c>
      <c r="AJ438">
        <v>258.18200000000002</v>
      </c>
      <c r="AK438">
        <v>320.428</v>
      </c>
      <c r="AL438">
        <v>325.78199999999998</v>
      </c>
      <c r="AM438">
        <v>309.37200000000001</v>
      </c>
      <c r="AN438">
        <v>295.35199999999998</v>
      </c>
      <c r="AO438">
        <v>298.17599999999999</v>
      </c>
      <c r="AP438">
        <v>293.45</v>
      </c>
      <c r="AQ438">
        <v>334.10699999999997</v>
      </c>
      <c r="AR438">
        <v>397.06799999999998</v>
      </c>
      <c r="AS438">
        <v>483.983</v>
      </c>
      <c r="AT438">
        <v>558.16700000000003</v>
      </c>
      <c r="AU438">
        <v>602.32299999999998</v>
      </c>
      <c r="AV438">
        <v>603.37599999999998</v>
      </c>
      <c r="AW438">
        <v>636.69599999999991</v>
      </c>
      <c r="AX438">
        <v>695.21499999999992</v>
      </c>
      <c r="AY438">
        <v>648.08899999999994</v>
      </c>
      <c r="AZ438">
        <v>661.779</v>
      </c>
      <c r="BA438">
        <v>692.173</v>
      </c>
      <c r="BB438">
        <v>682.44399999999996</v>
      </c>
      <c r="BC438">
        <v>665.03</v>
      </c>
      <c r="BD438">
        <v>656.01499999999999</v>
      </c>
      <c r="BE438">
        <v>589.80700000000002</v>
      </c>
      <c r="BF438">
        <v>603.44799999999998</v>
      </c>
      <c r="BG438">
        <v>583.58299999999997</v>
      </c>
      <c r="BH438" t="s">
        <v>16</v>
      </c>
    </row>
    <row r="439" spans="1:60">
      <c r="A439" t="s">
        <v>107</v>
      </c>
      <c r="B439" t="s">
        <v>196</v>
      </c>
      <c r="C439">
        <v>0</v>
      </c>
      <c r="D439">
        <v>0</v>
      </c>
      <c r="E439">
        <v>0</v>
      </c>
      <c r="F439">
        <v>0</v>
      </c>
      <c r="G439">
        <v>384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381</v>
      </c>
      <c r="AC439">
        <v>0</v>
      </c>
      <c r="AD439">
        <v>1339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</row>
    <row r="440" spans="1:60">
      <c r="A440" t="s">
        <v>108</v>
      </c>
      <c r="B440" t="s">
        <v>198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15.020080321285141</v>
      </c>
      <c r="AL440">
        <v>75.826186161002667</v>
      </c>
      <c r="AM440">
        <v>69.756618863761716</v>
      </c>
      <c r="AN440">
        <v>66.507321690989698</v>
      </c>
      <c r="AO440">
        <v>65.000587834722253</v>
      </c>
      <c r="AP440">
        <v>78.93404094810532</v>
      </c>
      <c r="AQ440">
        <v>87.572121628139953</v>
      </c>
      <c r="AR440">
        <v>83.916751118715453</v>
      </c>
      <c r="AS440">
        <v>85.379026388671505</v>
      </c>
      <c r="AT440">
        <v>109.14143207574348</v>
      </c>
      <c r="AU440">
        <v>293.30017072458088</v>
      </c>
      <c r="AV440">
        <v>109.79123776984004</v>
      </c>
      <c r="AW440">
        <v>108.21678257034307</v>
      </c>
      <c r="AX440">
        <v>110.99575662160132</v>
      </c>
      <c r="AY440">
        <v>127.14526272214302</v>
      </c>
      <c r="AZ440">
        <v>145.26428038474555</v>
      </c>
      <c r="BA440">
        <v>160.30533698937251</v>
      </c>
      <c r="BB440">
        <v>182.37894417209242</v>
      </c>
      <c r="BC440">
        <v>187.90404420055626</v>
      </c>
      <c r="BD440">
        <v>158.41915384780901</v>
      </c>
      <c r="BE440">
        <v>150.5996323049599</v>
      </c>
      <c r="BF440">
        <v>135.37894953370161</v>
      </c>
      <c r="BG440">
        <v>155.08103949219978</v>
      </c>
      <c r="BH440">
        <v>154.45108145864444</v>
      </c>
    </row>
    <row r="441" spans="1:60">
      <c r="A441" t="s">
        <v>108</v>
      </c>
      <c r="B441" t="s">
        <v>193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2.4500000000000002</v>
      </c>
      <c r="AS441">
        <v>2.59</v>
      </c>
      <c r="AT441">
        <v>2.73</v>
      </c>
      <c r="AU441">
        <v>2.88</v>
      </c>
      <c r="AV441">
        <v>3.02</v>
      </c>
      <c r="AW441">
        <v>3.16</v>
      </c>
      <c r="AX441">
        <v>3.3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</row>
    <row r="442" spans="1:60">
      <c r="A442" t="s">
        <v>108</v>
      </c>
      <c r="B442" t="s">
        <v>195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13</v>
      </c>
      <c r="AU442">
        <v>186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</row>
    <row r="443" spans="1:60">
      <c r="A443" t="s">
        <v>108</v>
      </c>
      <c r="B443" t="s">
        <v>197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15.020080321285141</v>
      </c>
      <c r="AL443">
        <v>75.826186161002667</v>
      </c>
      <c r="AM443">
        <v>69.756618863761716</v>
      </c>
      <c r="AN443">
        <v>66.507321690989698</v>
      </c>
      <c r="AO443">
        <v>65.000587834722253</v>
      </c>
      <c r="AP443">
        <v>78.93404094810532</v>
      </c>
      <c r="AQ443">
        <v>87.572121628139953</v>
      </c>
      <c r="AR443">
        <v>81.46675111871545</v>
      </c>
      <c r="AS443">
        <v>82.789026388671502</v>
      </c>
      <c r="AT443">
        <v>93.411432075743477</v>
      </c>
      <c r="AU443">
        <v>104.42017072458086</v>
      </c>
      <c r="AV443">
        <v>106.77123776984004</v>
      </c>
      <c r="AW443">
        <v>105.05678257034307</v>
      </c>
      <c r="AX443">
        <v>107.69575662160132</v>
      </c>
      <c r="AY443">
        <v>127.14526272214302</v>
      </c>
      <c r="AZ443">
        <v>145.26428038474555</v>
      </c>
      <c r="BA443">
        <v>160.30533698937251</v>
      </c>
      <c r="BB443">
        <v>182.37894417209242</v>
      </c>
      <c r="BC443">
        <v>187.90404420055626</v>
      </c>
      <c r="BD443">
        <v>158.41915384780901</v>
      </c>
      <c r="BE443">
        <v>150.5996323049599</v>
      </c>
      <c r="BF443">
        <v>135.37894953370161</v>
      </c>
      <c r="BG443">
        <v>155.08103949219978</v>
      </c>
      <c r="BH443">
        <v>154.45108145864444</v>
      </c>
    </row>
    <row r="444" spans="1:60">
      <c r="A444" t="s">
        <v>109</v>
      </c>
      <c r="B444" t="s">
        <v>198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1.835</v>
      </c>
      <c r="AD444">
        <v>4.5799999999999992</v>
      </c>
      <c r="AE444">
        <v>5.6360000000000001</v>
      </c>
      <c r="AF444">
        <v>7.9690000000000003</v>
      </c>
      <c r="AG444">
        <v>10.427</v>
      </c>
      <c r="AH444">
        <v>19.858000000000001</v>
      </c>
      <c r="AI444">
        <v>14.103</v>
      </c>
      <c r="AJ444">
        <v>9.5779999999999994</v>
      </c>
      <c r="AK444">
        <v>7.6009999999999991</v>
      </c>
      <c r="AL444">
        <v>10.004000000000001</v>
      </c>
      <c r="AM444">
        <v>11.718</v>
      </c>
      <c r="AN444">
        <v>9.9890000000000008</v>
      </c>
      <c r="AO444">
        <v>10.122999999999999</v>
      </c>
      <c r="AP444">
        <v>2.87</v>
      </c>
      <c r="AQ444">
        <v>0.12</v>
      </c>
      <c r="AR444">
        <v>7.8E-2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0.38200000000000001</v>
      </c>
      <c r="BB444">
        <v>0</v>
      </c>
      <c r="BC444">
        <v>4.6500000000000004</v>
      </c>
      <c r="BD444">
        <v>0.61399999999999999</v>
      </c>
      <c r="BE444">
        <v>0</v>
      </c>
      <c r="BF444">
        <v>0</v>
      </c>
      <c r="BG444">
        <v>0</v>
      </c>
      <c r="BH444">
        <v>0</v>
      </c>
    </row>
    <row r="445" spans="1:60">
      <c r="A445" t="s">
        <v>109</v>
      </c>
      <c r="B445" t="s">
        <v>193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1.835</v>
      </c>
      <c r="AD445">
        <v>4.3759999999999994</v>
      </c>
      <c r="AE445">
        <v>5.6360000000000001</v>
      </c>
      <c r="AF445">
        <v>7.9690000000000003</v>
      </c>
      <c r="AG445">
        <v>10.427</v>
      </c>
      <c r="AH445">
        <v>19.672000000000001</v>
      </c>
      <c r="AI445">
        <v>13.577</v>
      </c>
      <c r="AJ445">
        <v>8.0289999999999999</v>
      </c>
      <c r="AK445">
        <v>4.5309999999999997</v>
      </c>
      <c r="AL445">
        <v>5.109</v>
      </c>
      <c r="AM445">
        <v>6.0069999999999997</v>
      </c>
      <c r="AN445">
        <v>5.4399999999999995</v>
      </c>
      <c r="AO445">
        <v>6.3079999999999998</v>
      </c>
      <c r="AP445">
        <v>2.4910000000000001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0.38200000000000001</v>
      </c>
      <c r="BB445">
        <v>0</v>
      </c>
      <c r="BC445">
        <v>4.6500000000000004</v>
      </c>
      <c r="BD445">
        <v>0.61399999999999999</v>
      </c>
      <c r="BE445">
        <v>0</v>
      </c>
      <c r="BF445">
        <v>0</v>
      </c>
      <c r="BG445">
        <v>0</v>
      </c>
      <c r="BH445">
        <v>0</v>
      </c>
    </row>
    <row r="446" spans="1:60">
      <c r="A446" t="s">
        <v>109</v>
      </c>
      <c r="B446" t="s">
        <v>194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0.20399999999999999</v>
      </c>
      <c r="AE446">
        <v>0</v>
      </c>
      <c r="AF446">
        <v>0</v>
      </c>
      <c r="AG446">
        <v>0</v>
      </c>
      <c r="AH446">
        <v>0.186</v>
      </c>
      <c r="AI446">
        <v>0.52600000000000002</v>
      </c>
      <c r="AJ446">
        <v>1.5489999999999999</v>
      </c>
      <c r="AK446">
        <v>3.07</v>
      </c>
      <c r="AL446">
        <v>4.8950000000000005</v>
      </c>
      <c r="AM446">
        <v>5.7109999999999994</v>
      </c>
      <c r="AN446">
        <v>4.5490000000000004</v>
      </c>
      <c r="AO446">
        <v>3.8149999999999999</v>
      </c>
      <c r="AP446">
        <v>0.379</v>
      </c>
      <c r="AQ446">
        <v>0.12</v>
      </c>
      <c r="AR446">
        <v>7.8E-2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</row>
    <row r="447" spans="1:60">
      <c r="A447" t="s">
        <v>110</v>
      </c>
      <c r="B447" t="s">
        <v>198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0.13</v>
      </c>
      <c r="Q447">
        <v>0</v>
      </c>
      <c r="R447">
        <v>1.115</v>
      </c>
      <c r="S447">
        <v>4.9559999999999995</v>
      </c>
      <c r="T447">
        <v>11.806999999999999</v>
      </c>
      <c r="U447">
        <v>61.06</v>
      </c>
      <c r="V447">
        <v>261.33499999999998</v>
      </c>
      <c r="W447">
        <v>599.57299999999998</v>
      </c>
      <c r="X447">
        <v>196.749</v>
      </c>
      <c r="Y447">
        <v>103.43600000000001</v>
      </c>
      <c r="Z447">
        <v>259.62099999999998</v>
      </c>
      <c r="AA447">
        <v>487.10247468355641</v>
      </c>
      <c r="AB447">
        <v>738.9741193077848</v>
      </c>
      <c r="AC447">
        <v>1104.835</v>
      </c>
      <c r="AD447">
        <v>1809.317</v>
      </c>
      <c r="AE447">
        <v>2817.152</v>
      </c>
      <c r="AF447">
        <v>3363.0910000000003</v>
      </c>
      <c r="AG447">
        <v>4390.4210000000003</v>
      </c>
      <c r="AH447">
        <v>6142.1</v>
      </c>
      <c r="AI447">
        <v>4741.1710000000003</v>
      </c>
      <c r="AJ447">
        <v>5244.6730000000007</v>
      </c>
      <c r="AK447">
        <v>16404.635000000002</v>
      </c>
      <c r="AL447">
        <v>8962</v>
      </c>
      <c r="AM447">
        <v>7003.3890000000001</v>
      </c>
      <c r="AN447">
        <v>2851.3031299584582</v>
      </c>
      <c r="AO447">
        <v>2854.2859593407784</v>
      </c>
      <c r="AP447">
        <v>2570.116331799577</v>
      </c>
      <c r="AQ447">
        <v>2732.8154862052515</v>
      </c>
      <c r="AR447">
        <v>2999.1913964551322</v>
      </c>
      <c r="AS447">
        <v>2610.9682400973852</v>
      </c>
      <c r="AT447">
        <v>2925.1903667000634</v>
      </c>
      <c r="AU447">
        <v>3909.2841140340647</v>
      </c>
      <c r="AV447">
        <v>2204.9238477401718</v>
      </c>
      <c r="AW447">
        <v>3358.1430422465305</v>
      </c>
      <c r="AX447">
        <v>3532.7115243446924</v>
      </c>
      <c r="AY447">
        <v>2647.8889999999997</v>
      </c>
      <c r="AZ447">
        <v>957.09699999999998</v>
      </c>
      <c r="BA447">
        <v>961.38599999999997</v>
      </c>
      <c r="BB447">
        <v>965.58699999999999</v>
      </c>
      <c r="BC447">
        <v>978.702</v>
      </c>
      <c r="BD447">
        <v>1088.124</v>
      </c>
      <c r="BE447">
        <v>993.01700000000005</v>
      </c>
      <c r="BF447">
        <v>1121.182</v>
      </c>
      <c r="BG447">
        <v>1011.167</v>
      </c>
      <c r="BH447" t="s">
        <v>16</v>
      </c>
    </row>
    <row r="448" spans="1:60">
      <c r="A448" t="s">
        <v>110</v>
      </c>
      <c r="B448" t="s">
        <v>190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6.9</v>
      </c>
      <c r="AA448">
        <v>10.336474683556405</v>
      </c>
      <c r="AB448">
        <v>12.821119307784803</v>
      </c>
      <c r="AC448">
        <v>0</v>
      </c>
      <c r="AD448">
        <v>0</v>
      </c>
      <c r="AE448">
        <v>0</v>
      </c>
      <c r="AF448">
        <v>0.46700000000000003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</row>
    <row r="449" spans="1:60">
      <c r="A449" t="s">
        <v>110</v>
      </c>
      <c r="B449" t="s">
        <v>191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 t="s">
        <v>16</v>
      </c>
      <c r="AB449">
        <v>24</v>
      </c>
      <c r="AC449">
        <v>34</v>
      </c>
      <c r="AD449">
        <v>51</v>
      </c>
      <c r="AE449">
        <v>73</v>
      </c>
      <c r="AF449">
        <v>66</v>
      </c>
      <c r="AG449">
        <v>190</v>
      </c>
      <c r="AH449">
        <v>220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</row>
    <row r="450" spans="1:60">
      <c r="A450" t="s">
        <v>110</v>
      </c>
      <c r="B450" t="s">
        <v>192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AH450">
        <v>722</v>
      </c>
      <c r="AL450">
        <v>848</v>
      </c>
      <c r="AM450" t="s">
        <v>16</v>
      </c>
      <c r="AN450" t="s">
        <v>16</v>
      </c>
      <c r="AO450">
        <v>213</v>
      </c>
      <c r="AP450">
        <v>448</v>
      </c>
      <c r="AR450" t="s">
        <v>16</v>
      </c>
      <c r="AS450">
        <v>580</v>
      </c>
      <c r="AT450" t="s">
        <v>16</v>
      </c>
      <c r="AU450">
        <v>1579</v>
      </c>
    </row>
    <row r="451" spans="1:60">
      <c r="A451" t="s">
        <v>110</v>
      </c>
      <c r="B451" t="s">
        <v>193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0.13</v>
      </c>
      <c r="Q451">
        <v>0</v>
      </c>
      <c r="R451">
        <v>0.115</v>
      </c>
      <c r="S451">
        <v>0.156</v>
      </c>
      <c r="T451">
        <v>0.50700000000000001</v>
      </c>
      <c r="U451">
        <v>9.86</v>
      </c>
      <c r="V451">
        <v>9.3350000000000009</v>
      </c>
      <c r="W451">
        <v>17.573</v>
      </c>
      <c r="X451">
        <v>16.749000000000002</v>
      </c>
      <c r="Y451">
        <v>48.436</v>
      </c>
      <c r="Z451">
        <v>180.221</v>
      </c>
      <c r="AA451">
        <v>331.76600000000002</v>
      </c>
      <c r="AB451">
        <v>554.85300000000007</v>
      </c>
      <c r="AC451">
        <v>759.23500000000001</v>
      </c>
      <c r="AD451">
        <v>1092.5170000000001</v>
      </c>
      <c r="AE451">
        <v>1400.752</v>
      </c>
      <c r="AF451">
        <v>2049.7240000000002</v>
      </c>
      <c r="AG451">
        <v>2601.6210000000001</v>
      </c>
      <c r="AH451">
        <v>3434</v>
      </c>
      <c r="AI451">
        <v>2949.0709999999999</v>
      </c>
      <c r="AJ451">
        <v>3477.7730000000001</v>
      </c>
      <c r="AK451">
        <v>4603.5349999999999</v>
      </c>
      <c r="AL451">
        <v>6292</v>
      </c>
      <c r="AM451">
        <v>6346.3890000000001</v>
      </c>
      <c r="AN451">
        <v>2104.2049999999999</v>
      </c>
      <c r="AO451">
        <v>1796</v>
      </c>
      <c r="AP451">
        <v>1224</v>
      </c>
      <c r="AQ451">
        <v>1779.4650000000001</v>
      </c>
      <c r="AR451">
        <v>1976.723</v>
      </c>
      <c r="AS451">
        <v>963</v>
      </c>
      <c r="AT451">
        <v>1507.8530000000001</v>
      </c>
      <c r="AU451">
        <v>1211</v>
      </c>
      <c r="AV451">
        <v>999.26300000000003</v>
      </c>
      <c r="AW451">
        <v>2141.81</v>
      </c>
      <c r="AX451">
        <v>2241.5740000000001</v>
      </c>
      <c r="AY451">
        <v>981.18899999999996</v>
      </c>
      <c r="AZ451">
        <v>957.09699999999998</v>
      </c>
      <c r="BA451">
        <v>961.38599999999997</v>
      </c>
      <c r="BB451">
        <v>965.58699999999999</v>
      </c>
      <c r="BC451">
        <v>978.702</v>
      </c>
      <c r="BD451">
        <v>1088.124</v>
      </c>
      <c r="BE451">
        <v>993.01700000000005</v>
      </c>
      <c r="BF451">
        <v>1121.182</v>
      </c>
      <c r="BG451">
        <v>1011.167</v>
      </c>
      <c r="BH451" t="s">
        <v>16</v>
      </c>
    </row>
    <row r="452" spans="1:60">
      <c r="A452" t="s">
        <v>110</v>
      </c>
      <c r="B452" t="s">
        <v>194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1</v>
      </c>
      <c r="S452">
        <v>4.8</v>
      </c>
      <c r="T452">
        <v>11.299999999999999</v>
      </c>
      <c r="U452">
        <v>19.200000000000003</v>
      </c>
      <c r="V452" t="s">
        <v>16</v>
      </c>
      <c r="W452" t="s">
        <v>16</v>
      </c>
      <c r="X452" t="s">
        <v>16</v>
      </c>
      <c r="Y452" t="s">
        <v>16</v>
      </c>
      <c r="Z452" t="s">
        <v>16</v>
      </c>
      <c r="AA452" t="s">
        <v>16</v>
      </c>
      <c r="AB452">
        <v>27.3</v>
      </c>
      <c r="AC452">
        <v>311.60000000000002</v>
      </c>
      <c r="AD452">
        <v>665.8</v>
      </c>
      <c r="AE452">
        <v>1008.4</v>
      </c>
      <c r="AF452">
        <v>1246.9000000000001</v>
      </c>
      <c r="AG452">
        <v>1598.8</v>
      </c>
      <c r="AH452">
        <v>1766.1</v>
      </c>
      <c r="AI452">
        <v>1792.1</v>
      </c>
      <c r="AJ452">
        <v>1766.9</v>
      </c>
      <c r="AK452">
        <v>11801.1</v>
      </c>
      <c r="AL452" t="s">
        <v>16</v>
      </c>
      <c r="AM452" t="s">
        <v>16</v>
      </c>
      <c r="AN452" t="s">
        <v>16</v>
      </c>
      <c r="AO452" t="s">
        <v>16</v>
      </c>
      <c r="AP452" t="s">
        <v>16</v>
      </c>
      <c r="AQ452" t="s">
        <v>16</v>
      </c>
      <c r="AR452" t="s">
        <v>16</v>
      </c>
      <c r="AS452" t="s">
        <v>16</v>
      </c>
      <c r="AT452" t="s">
        <v>16</v>
      </c>
      <c r="AU452" t="s">
        <v>16</v>
      </c>
      <c r="AV452" t="s">
        <v>16</v>
      </c>
      <c r="AW452" t="s">
        <v>16</v>
      </c>
      <c r="AX452" t="s">
        <v>16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</row>
    <row r="453" spans="1:60">
      <c r="A453" t="s">
        <v>110</v>
      </c>
      <c r="B453" t="s">
        <v>195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32</v>
      </c>
      <c r="V453">
        <v>252</v>
      </c>
      <c r="W453">
        <v>582</v>
      </c>
      <c r="X453">
        <v>180</v>
      </c>
      <c r="Y453">
        <v>55</v>
      </c>
      <c r="Z453">
        <v>72.5</v>
      </c>
      <c r="AA453">
        <v>145</v>
      </c>
      <c r="AB453">
        <v>120</v>
      </c>
      <c r="AC453" t="s">
        <v>16</v>
      </c>
      <c r="AD453" t="s">
        <v>16</v>
      </c>
      <c r="AE453" t="s">
        <v>16</v>
      </c>
      <c r="AF453" t="s">
        <v>16</v>
      </c>
      <c r="AG453" t="s">
        <v>16</v>
      </c>
      <c r="AH453" t="s">
        <v>16</v>
      </c>
      <c r="AI453" t="s">
        <v>16</v>
      </c>
      <c r="AJ453" t="s">
        <v>16</v>
      </c>
      <c r="AK453" t="s">
        <v>16</v>
      </c>
      <c r="AL453">
        <v>1822</v>
      </c>
      <c r="AM453">
        <v>657</v>
      </c>
      <c r="AN453">
        <v>747.098129958458</v>
      </c>
      <c r="AO453">
        <v>845.2859593407785</v>
      </c>
      <c r="AP453">
        <v>898.11633179957721</v>
      </c>
      <c r="AQ453">
        <v>953.35048620525129</v>
      </c>
      <c r="AR453">
        <v>1022.4683964551321</v>
      </c>
      <c r="AS453">
        <v>1067.9682400973854</v>
      </c>
      <c r="AT453">
        <v>1097.3373667000635</v>
      </c>
      <c r="AU453">
        <v>1119.2841140340647</v>
      </c>
      <c r="AV453">
        <v>1155.6608477401717</v>
      </c>
      <c r="AW453">
        <v>1216.3330422465306</v>
      </c>
      <c r="AX453">
        <v>1291.1375243446923</v>
      </c>
      <c r="AY453">
        <v>1371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</row>
    <row r="454" spans="1:60">
      <c r="A454" t="s">
        <v>110</v>
      </c>
      <c r="B454" t="s">
        <v>197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320</v>
      </c>
      <c r="AU454">
        <v>0</v>
      </c>
      <c r="AV454">
        <v>0</v>
      </c>
      <c r="AW454">
        <v>0</v>
      </c>
      <c r="AX454">
        <v>0</v>
      </c>
      <c r="AY454">
        <v>295.7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</row>
    <row r="455" spans="1:60">
      <c r="A455" t="s">
        <v>110</v>
      </c>
      <c r="B455" t="s">
        <v>196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335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50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</row>
    <row r="456" spans="1:60">
      <c r="A456" t="s">
        <v>111</v>
      </c>
      <c r="B456" t="s">
        <v>198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0.12100000000000001</v>
      </c>
      <c r="O456">
        <v>0.25900000000000001</v>
      </c>
      <c r="P456">
        <v>0.38500000000000001</v>
      </c>
      <c r="Q456">
        <v>0.52400000000000002</v>
      </c>
      <c r="R456">
        <v>0.69000000000000006</v>
      </c>
      <c r="S456">
        <v>0.82600000000000007</v>
      </c>
      <c r="T456">
        <v>0.23799999999999999</v>
      </c>
      <c r="U456">
        <v>0.79499999999999993</v>
      </c>
      <c r="V456">
        <v>1.3710000000000002</v>
      </c>
      <c r="W456">
        <v>1.5189999999999999</v>
      </c>
      <c r="X456">
        <v>2.5350000000000001</v>
      </c>
      <c r="Y456">
        <v>1.194</v>
      </c>
      <c r="Z456">
        <v>35.089000000000006</v>
      </c>
      <c r="AA456">
        <v>62.305</v>
      </c>
      <c r="AB456">
        <v>40.46</v>
      </c>
      <c r="AC456">
        <v>78</v>
      </c>
      <c r="AD456">
        <v>115.82335711937499</v>
      </c>
      <c r="AE456">
        <v>187.079550375</v>
      </c>
      <c r="AF456">
        <v>440.379975</v>
      </c>
      <c r="AG456">
        <v>316.83499999999998</v>
      </c>
      <c r="AH456">
        <v>347.18299999999999</v>
      </c>
      <c r="AI456">
        <v>133.54799999999997</v>
      </c>
      <c r="AJ456">
        <v>199.95299999999997</v>
      </c>
      <c r="AK456">
        <v>289.88</v>
      </c>
      <c r="AL456">
        <v>131.94300000000001</v>
      </c>
      <c r="AM456">
        <v>171</v>
      </c>
      <c r="AN456">
        <v>117.08</v>
      </c>
      <c r="AO456">
        <v>119.551</v>
      </c>
      <c r="AP456">
        <v>151.14000000000001</v>
      </c>
      <c r="AQ456">
        <v>180.38400000000001</v>
      </c>
      <c r="AR456">
        <v>259</v>
      </c>
      <c r="AS456">
        <v>209.93799999999999</v>
      </c>
      <c r="AT456">
        <v>92.488</v>
      </c>
      <c r="AU456">
        <v>395</v>
      </c>
      <c r="AV456">
        <v>115.875</v>
      </c>
      <c r="AW456">
        <v>1406.271</v>
      </c>
      <c r="AX456">
        <v>88.876000000000005</v>
      </c>
      <c r="AY456">
        <v>120.816</v>
      </c>
      <c r="AZ456">
        <v>77.602000000000004</v>
      </c>
      <c r="BA456">
        <v>103.12299999999999</v>
      </c>
      <c r="BB456">
        <v>100.584</v>
      </c>
      <c r="BC456">
        <v>114.75700000000001</v>
      </c>
      <c r="BD456">
        <v>209.05099999999999</v>
      </c>
      <c r="BE456">
        <v>168.86599999999999</v>
      </c>
      <c r="BF456">
        <v>180.661</v>
      </c>
      <c r="BG456">
        <v>239.25200000000001</v>
      </c>
      <c r="BH456" t="s">
        <v>16</v>
      </c>
    </row>
    <row r="457" spans="1:60">
      <c r="A457" t="s">
        <v>111</v>
      </c>
      <c r="B457" t="s">
        <v>192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Z457">
        <v>30</v>
      </c>
      <c r="AA457">
        <v>32</v>
      </c>
      <c r="AB457">
        <v>32</v>
      </c>
      <c r="AC457">
        <v>26</v>
      </c>
      <c r="AE457">
        <v>81</v>
      </c>
      <c r="AG457">
        <v>151</v>
      </c>
      <c r="AK457">
        <v>160</v>
      </c>
      <c r="AL457" t="s">
        <v>16</v>
      </c>
      <c r="AM457">
        <v>128</v>
      </c>
      <c r="AQ457" t="s">
        <v>16</v>
      </c>
      <c r="AR457">
        <v>115</v>
      </c>
      <c r="AT457" t="s">
        <v>16</v>
      </c>
      <c r="AU457">
        <v>250</v>
      </c>
      <c r="BH457" t="s">
        <v>16</v>
      </c>
    </row>
    <row r="458" spans="1:60">
      <c r="A458" t="s">
        <v>111</v>
      </c>
      <c r="B458" t="s">
        <v>193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0.12100000000000001</v>
      </c>
      <c r="O458">
        <v>0.25900000000000001</v>
      </c>
      <c r="P458">
        <v>0.38500000000000001</v>
      </c>
      <c r="Q458">
        <v>0.52400000000000002</v>
      </c>
      <c r="R458">
        <v>0.59000000000000008</v>
      </c>
      <c r="S458">
        <v>0.32600000000000001</v>
      </c>
      <c r="T458">
        <v>0.23799999999999999</v>
      </c>
      <c r="U458">
        <v>0.79499999999999993</v>
      </c>
      <c r="V458">
        <v>1.0710000000000002</v>
      </c>
      <c r="W458">
        <v>1.5189999999999999</v>
      </c>
      <c r="X458">
        <v>1.9350000000000001</v>
      </c>
      <c r="Y458">
        <v>0.59399999999999997</v>
      </c>
      <c r="Z458">
        <v>2.3890000000000002</v>
      </c>
      <c r="AA458">
        <v>3.3049999999999997</v>
      </c>
      <c r="AB458">
        <v>2.96</v>
      </c>
      <c r="AC458" t="s">
        <v>16</v>
      </c>
      <c r="AD458">
        <v>11.234999999999999</v>
      </c>
      <c r="AE458" t="s">
        <v>16</v>
      </c>
      <c r="AF458">
        <v>302.685</v>
      </c>
      <c r="AG458" t="s">
        <v>16</v>
      </c>
      <c r="AH458">
        <v>229.983</v>
      </c>
      <c r="AI458">
        <v>132.94799999999998</v>
      </c>
      <c r="AJ458">
        <v>198.95299999999997</v>
      </c>
      <c r="AK458">
        <v>129</v>
      </c>
      <c r="AL458">
        <v>131.94300000000001</v>
      </c>
      <c r="AM458">
        <v>43</v>
      </c>
      <c r="AN458">
        <v>117.08</v>
      </c>
      <c r="AO458">
        <v>119.551</v>
      </c>
      <c r="AP458">
        <v>151.14000000000001</v>
      </c>
      <c r="AQ458">
        <v>180.38400000000001</v>
      </c>
      <c r="AR458">
        <v>144</v>
      </c>
      <c r="AS458">
        <v>209.93799999999999</v>
      </c>
      <c r="AT458">
        <v>92.488</v>
      </c>
      <c r="AU458">
        <v>145</v>
      </c>
      <c r="AV458">
        <v>115.875</v>
      </c>
      <c r="AW458">
        <v>1406.271</v>
      </c>
      <c r="AX458">
        <v>88.876000000000005</v>
      </c>
      <c r="AY458">
        <v>120.816</v>
      </c>
      <c r="AZ458">
        <v>77.602000000000004</v>
      </c>
      <c r="BA458">
        <v>103.12299999999999</v>
      </c>
      <c r="BB458">
        <v>100.584</v>
      </c>
      <c r="BC458">
        <v>114.75700000000001</v>
      </c>
      <c r="BD458">
        <v>209.05099999999999</v>
      </c>
      <c r="BE458">
        <v>168.86599999999999</v>
      </c>
      <c r="BF458">
        <v>180.661</v>
      </c>
      <c r="BG458">
        <v>239.25200000000001</v>
      </c>
      <c r="BH458" t="s">
        <v>16</v>
      </c>
    </row>
    <row r="459" spans="1:60">
      <c r="A459" t="s">
        <v>111</v>
      </c>
      <c r="B459" t="s">
        <v>194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0.1</v>
      </c>
      <c r="S459">
        <v>0.5</v>
      </c>
      <c r="T459">
        <v>0</v>
      </c>
      <c r="U459">
        <v>0</v>
      </c>
      <c r="V459">
        <v>0.30000000000000004</v>
      </c>
      <c r="W459">
        <v>0</v>
      </c>
      <c r="X459">
        <v>0.60000000000000009</v>
      </c>
      <c r="Y459">
        <v>0.60000000000000009</v>
      </c>
      <c r="Z459">
        <v>2.7</v>
      </c>
      <c r="AA459">
        <v>0</v>
      </c>
      <c r="AB459">
        <v>5.5</v>
      </c>
      <c r="AC459">
        <v>0</v>
      </c>
      <c r="AD459">
        <v>0.1</v>
      </c>
      <c r="AE459">
        <v>0</v>
      </c>
      <c r="AF459">
        <v>30</v>
      </c>
      <c r="AG459">
        <v>56.5</v>
      </c>
      <c r="AH459">
        <v>0.2</v>
      </c>
      <c r="AI459">
        <v>0.6</v>
      </c>
      <c r="AJ459">
        <v>1</v>
      </c>
      <c r="AK459">
        <v>0.88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</row>
    <row r="460" spans="1:60">
      <c r="A460" t="s">
        <v>111</v>
      </c>
      <c r="B460" t="s">
        <v>195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27</v>
      </c>
      <c r="AB460">
        <v>0</v>
      </c>
      <c r="AC460">
        <v>52</v>
      </c>
      <c r="AD460">
        <v>104.488357119375</v>
      </c>
      <c r="AE460">
        <v>106.079550375</v>
      </c>
      <c r="AF460">
        <v>107.694975</v>
      </c>
      <c r="AG460">
        <v>109.33499999999999</v>
      </c>
      <c r="AH460">
        <v>117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</row>
    <row r="461" spans="1:60">
      <c r="A461" t="s">
        <v>112</v>
      </c>
      <c r="B461" t="s">
        <v>198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290</v>
      </c>
      <c r="K461">
        <v>0</v>
      </c>
      <c r="L461">
        <v>0</v>
      </c>
      <c r="M461">
        <v>114.15600000000001</v>
      </c>
      <c r="N461">
        <v>0.254</v>
      </c>
      <c r="O461">
        <v>9.7279999999999998</v>
      </c>
      <c r="P461">
        <v>7.5009999999999994</v>
      </c>
      <c r="Q461">
        <v>6.0960000000000001</v>
      </c>
      <c r="R461">
        <v>4.03</v>
      </c>
      <c r="S461">
        <v>2.64</v>
      </c>
      <c r="T461">
        <v>0.32300000000000001</v>
      </c>
      <c r="U461">
        <v>0.47099999999999997</v>
      </c>
      <c r="V461">
        <v>0.03</v>
      </c>
      <c r="W461">
        <v>0.30100000000000005</v>
      </c>
      <c r="X461">
        <v>4.5430000000000001</v>
      </c>
      <c r="Y461">
        <v>1747.2135000000003</v>
      </c>
      <c r="Z461">
        <v>1953.2139999999999</v>
      </c>
      <c r="AA461">
        <v>7051.8419999999996</v>
      </c>
      <c r="AB461">
        <v>1190.502</v>
      </c>
      <c r="AC461">
        <v>10987</v>
      </c>
      <c r="AD461">
        <v>11725.440500000001</v>
      </c>
      <c r="AE461">
        <v>13305.807224999997</v>
      </c>
      <c r="AF461">
        <v>13221</v>
      </c>
      <c r="AG461">
        <v>7802.4660000000003</v>
      </c>
      <c r="AH461">
        <v>9127</v>
      </c>
      <c r="AI461">
        <v>18444.175999999999</v>
      </c>
      <c r="AJ461">
        <v>6334.4759999999997</v>
      </c>
      <c r="AK461">
        <v>9647.1530000000002</v>
      </c>
      <c r="AL461">
        <v>12914.652999999998</v>
      </c>
      <c r="AM461">
        <v>15287.053</v>
      </c>
      <c r="AN461">
        <v>15807.482</v>
      </c>
      <c r="AO461">
        <v>17877.345000000001</v>
      </c>
      <c r="AP461">
        <v>18328.911999999997</v>
      </c>
      <c r="AQ461">
        <v>25957.705000000002</v>
      </c>
      <c r="AR461">
        <v>1809.9390000000001</v>
      </c>
      <c r="AS461">
        <v>3042.0389999999998</v>
      </c>
      <c r="AT461">
        <v>3968.181</v>
      </c>
      <c r="AU461">
        <v>5824.32</v>
      </c>
      <c r="AV461">
        <v>30096</v>
      </c>
      <c r="AW461">
        <v>10890.964</v>
      </c>
      <c r="AX461">
        <v>0</v>
      </c>
      <c r="AY461">
        <v>0</v>
      </c>
      <c r="AZ461">
        <v>0</v>
      </c>
      <c r="BA461">
        <v>0</v>
      </c>
      <c r="BB461">
        <v>2E-3</v>
      </c>
      <c r="BC461">
        <v>0</v>
      </c>
      <c r="BD461">
        <v>23.520999999999997</v>
      </c>
      <c r="BE461">
        <v>0.23100000000000001</v>
      </c>
      <c r="BF461">
        <v>0.22500000000000001</v>
      </c>
      <c r="BG461">
        <v>0.221</v>
      </c>
      <c r="BH461">
        <v>0</v>
      </c>
    </row>
    <row r="462" spans="1:60">
      <c r="A462" t="s">
        <v>112</v>
      </c>
      <c r="B462" t="s">
        <v>192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6737</v>
      </c>
      <c r="AE462" t="s">
        <v>16</v>
      </c>
      <c r="AF462">
        <v>4900</v>
      </c>
      <c r="AH462">
        <v>3244</v>
      </c>
      <c r="AI462" t="s">
        <v>16</v>
      </c>
      <c r="AJ462" t="s">
        <v>16</v>
      </c>
      <c r="AK462" t="s">
        <v>16</v>
      </c>
      <c r="AL462" t="s">
        <v>16</v>
      </c>
      <c r="AM462" t="s">
        <v>16</v>
      </c>
      <c r="AN462" t="s">
        <v>16</v>
      </c>
      <c r="AO462" t="s">
        <v>16</v>
      </c>
      <c r="AP462" t="s">
        <v>16</v>
      </c>
      <c r="AQ462">
        <v>23400</v>
      </c>
      <c r="AS462" t="s">
        <v>16</v>
      </c>
      <c r="AT462" t="s">
        <v>16</v>
      </c>
      <c r="AU462" t="s">
        <v>16</v>
      </c>
      <c r="AV462">
        <v>30066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</row>
    <row r="463" spans="1:60">
      <c r="A463" t="s">
        <v>112</v>
      </c>
      <c r="B463" t="s">
        <v>193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0.55899999999999994</v>
      </c>
      <c r="N463">
        <v>0.254</v>
      </c>
      <c r="O463">
        <v>2.1240000000000001</v>
      </c>
      <c r="P463">
        <v>1.3340000000000001</v>
      </c>
      <c r="Q463">
        <v>0.34300000000000003</v>
      </c>
      <c r="R463">
        <v>6.9000000000000006E-2</v>
      </c>
      <c r="S463">
        <v>0</v>
      </c>
      <c r="T463">
        <v>0.25600000000000001</v>
      </c>
      <c r="U463">
        <v>0.47099999999999997</v>
      </c>
      <c r="V463">
        <v>0.03</v>
      </c>
      <c r="W463">
        <v>0.30100000000000005</v>
      </c>
      <c r="X463">
        <v>1.6739999999999999</v>
      </c>
      <c r="Y463">
        <v>3.581</v>
      </c>
      <c r="Z463">
        <v>1.4749999999999999</v>
      </c>
      <c r="AA463">
        <v>6.48</v>
      </c>
      <c r="AB463">
        <v>13.245000000000001</v>
      </c>
      <c r="AC463">
        <v>0</v>
      </c>
      <c r="AD463">
        <v>284.649</v>
      </c>
      <c r="AE463">
        <v>794.09300000000007</v>
      </c>
      <c r="AF463">
        <v>2492</v>
      </c>
      <c r="AG463">
        <v>2183.4929999999999</v>
      </c>
      <c r="AH463" t="s">
        <v>16</v>
      </c>
      <c r="AI463">
        <v>8261.1759999999995</v>
      </c>
      <c r="AJ463">
        <v>4816.24</v>
      </c>
      <c r="AK463">
        <v>7783.1419999999998</v>
      </c>
      <c r="AL463">
        <v>10851.138999999999</v>
      </c>
      <c r="AM463">
        <v>13226.245000000001</v>
      </c>
      <c r="AN463">
        <v>13830.567000000001</v>
      </c>
      <c r="AO463">
        <v>15484.710999999999</v>
      </c>
      <c r="AP463">
        <v>15645.689999999999</v>
      </c>
      <c r="AQ463" t="s">
        <v>16</v>
      </c>
      <c r="AR463">
        <v>597.23400000000004</v>
      </c>
      <c r="AS463">
        <v>3038.3229999999999</v>
      </c>
      <c r="AT463">
        <v>3964.3440000000001</v>
      </c>
      <c r="AU463">
        <v>5782.817</v>
      </c>
      <c r="AV463" t="s">
        <v>16</v>
      </c>
      <c r="AW463">
        <v>10890.964</v>
      </c>
      <c r="AX463">
        <v>0</v>
      </c>
      <c r="AY463">
        <v>0</v>
      </c>
      <c r="AZ463">
        <v>0</v>
      </c>
      <c r="BA463">
        <v>0</v>
      </c>
      <c r="BB463">
        <v>2E-3</v>
      </c>
      <c r="BC463">
        <v>0</v>
      </c>
      <c r="BD463">
        <v>23.520999999999997</v>
      </c>
      <c r="BE463">
        <v>0.23100000000000001</v>
      </c>
      <c r="BF463">
        <v>0.22500000000000001</v>
      </c>
      <c r="BG463">
        <v>0.221</v>
      </c>
      <c r="BH463">
        <v>0</v>
      </c>
    </row>
    <row r="464" spans="1:60">
      <c r="A464" t="s">
        <v>112</v>
      </c>
      <c r="B464" t="s">
        <v>194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1.597</v>
      </c>
      <c r="N464">
        <v>0</v>
      </c>
      <c r="O464">
        <v>7.6039999999999992</v>
      </c>
      <c r="P464">
        <v>6.1669999999999998</v>
      </c>
      <c r="Q464">
        <v>5.7530000000000001</v>
      </c>
      <c r="R464">
        <v>3.9609999999999999</v>
      </c>
      <c r="S464">
        <v>2.64</v>
      </c>
      <c r="T464">
        <v>6.7000000000000004E-2</v>
      </c>
      <c r="U464">
        <v>0</v>
      </c>
      <c r="V464">
        <v>0</v>
      </c>
      <c r="W464">
        <v>0</v>
      </c>
      <c r="X464">
        <v>2.8690000000000002</v>
      </c>
      <c r="Y464">
        <v>18.580000000000002</v>
      </c>
      <c r="Z464">
        <v>16.739000000000001</v>
      </c>
      <c r="AA464">
        <v>75.361999999999995</v>
      </c>
      <c r="AB464">
        <v>227.25700000000001</v>
      </c>
      <c r="AC464" t="s">
        <v>16</v>
      </c>
      <c r="AD464" t="s">
        <v>16</v>
      </c>
      <c r="AE464" t="s">
        <v>16</v>
      </c>
      <c r="AF464" t="s">
        <v>16</v>
      </c>
      <c r="AG464" t="s">
        <v>16</v>
      </c>
      <c r="AH464" t="s">
        <v>16</v>
      </c>
      <c r="AI464" t="s">
        <v>16</v>
      </c>
      <c r="AJ464">
        <v>1518.2359999999999</v>
      </c>
      <c r="AK464">
        <v>1864.011</v>
      </c>
      <c r="AL464">
        <v>2063.5140000000001</v>
      </c>
      <c r="AM464">
        <v>2060.808</v>
      </c>
      <c r="AN464">
        <v>1976.915</v>
      </c>
      <c r="AO464">
        <v>2392.634</v>
      </c>
      <c r="AP464">
        <v>2683.2219999999998</v>
      </c>
      <c r="AQ464">
        <v>2557.7049999999999</v>
      </c>
      <c r="AR464">
        <v>12.705</v>
      </c>
      <c r="AS464">
        <v>3.7160000000000002</v>
      </c>
      <c r="AT464">
        <v>3.8369999999999997</v>
      </c>
      <c r="AU464">
        <v>11.503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</row>
    <row r="465" spans="1:60">
      <c r="A465" t="s">
        <v>112</v>
      </c>
      <c r="B465" t="s">
        <v>195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1725.0525000000002</v>
      </c>
      <c r="Z465">
        <v>1935</v>
      </c>
      <c r="AA465">
        <v>925</v>
      </c>
      <c r="AB465">
        <v>950</v>
      </c>
      <c r="AC465">
        <v>4250</v>
      </c>
      <c r="AD465">
        <v>6540.7914999999994</v>
      </c>
      <c r="AE465">
        <v>7219.7142249999979</v>
      </c>
      <c r="AF465">
        <v>5829</v>
      </c>
      <c r="AG465">
        <v>5618.973</v>
      </c>
      <c r="AH465">
        <v>5883</v>
      </c>
      <c r="AI465">
        <v>8983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</row>
    <row r="466" spans="1:60">
      <c r="A466" t="s">
        <v>112</v>
      </c>
      <c r="B466" t="s">
        <v>197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4900</v>
      </c>
      <c r="AE466">
        <v>5292</v>
      </c>
      <c r="AF466">
        <v>0</v>
      </c>
      <c r="AG466">
        <v>0</v>
      </c>
      <c r="AH466">
        <v>0</v>
      </c>
      <c r="AI466">
        <v>1200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1200</v>
      </c>
      <c r="AS466">
        <v>0</v>
      </c>
      <c r="AT466">
        <v>0</v>
      </c>
      <c r="AU466">
        <v>30</v>
      </c>
      <c r="AV466">
        <v>30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</row>
    <row r="467" spans="1:60">
      <c r="A467" t="s">
        <v>112</v>
      </c>
      <c r="B467" t="s">
        <v>196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290</v>
      </c>
      <c r="K467">
        <v>0</v>
      </c>
      <c r="L467">
        <v>0</v>
      </c>
      <c r="M467">
        <v>112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6045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</row>
    <row r="468" spans="1:60">
      <c r="A468" t="s">
        <v>113</v>
      </c>
      <c r="B468" t="s">
        <v>198</v>
      </c>
      <c r="C468">
        <v>15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234</v>
      </c>
      <c r="P468">
        <v>107</v>
      </c>
      <c r="Q468">
        <v>650</v>
      </c>
      <c r="R468">
        <v>182</v>
      </c>
      <c r="S468">
        <v>186</v>
      </c>
      <c r="T468">
        <v>228</v>
      </c>
      <c r="U468">
        <v>312</v>
      </c>
      <c r="V468">
        <v>80</v>
      </c>
      <c r="W468">
        <v>195</v>
      </c>
      <c r="X468">
        <v>260</v>
      </c>
      <c r="Y468">
        <v>35</v>
      </c>
      <c r="Z468">
        <v>28</v>
      </c>
      <c r="AA468">
        <v>25</v>
      </c>
      <c r="AB468">
        <v>0</v>
      </c>
      <c r="AC468">
        <v>0</v>
      </c>
      <c r="AD468">
        <v>0</v>
      </c>
      <c r="AE468">
        <v>0</v>
      </c>
      <c r="AF468">
        <v>19.599999999999998</v>
      </c>
      <c r="AG468">
        <v>15.74</v>
      </c>
      <c r="AH468">
        <v>10.040000000000001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1613.27</v>
      </c>
      <c r="AP468">
        <v>4920</v>
      </c>
      <c r="AQ468">
        <v>814.04</v>
      </c>
      <c r="AR468">
        <v>14252</v>
      </c>
      <c r="AS468">
        <v>441.48</v>
      </c>
      <c r="AT468">
        <v>715.54</v>
      </c>
      <c r="AU468">
        <v>481.83000000000004</v>
      </c>
      <c r="AV468">
        <v>0</v>
      </c>
      <c r="AW468">
        <v>0</v>
      </c>
      <c r="AX468">
        <v>1.3</v>
      </c>
      <c r="AY468">
        <v>4.8099999999999996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</row>
    <row r="469" spans="1:60">
      <c r="A469" t="s">
        <v>113</v>
      </c>
      <c r="B469" t="s">
        <v>190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32</v>
      </c>
      <c r="V469">
        <v>0</v>
      </c>
      <c r="W469">
        <v>34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</row>
    <row r="470" spans="1:60">
      <c r="A470" t="s">
        <v>113</v>
      </c>
      <c r="B470" t="s">
        <v>192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234</v>
      </c>
      <c r="P470">
        <v>0</v>
      </c>
      <c r="Q470">
        <v>650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260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3254</v>
      </c>
      <c r="AQ470">
        <v>0</v>
      </c>
      <c r="AR470">
        <v>14252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</row>
    <row r="471" spans="1:60">
      <c r="A471" t="s">
        <v>113</v>
      </c>
      <c r="B471" t="s">
        <v>193</v>
      </c>
      <c r="C471">
        <v>15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107</v>
      </c>
      <c r="Q471" t="s">
        <v>16</v>
      </c>
      <c r="R471">
        <v>182</v>
      </c>
      <c r="S471">
        <v>186</v>
      </c>
      <c r="T471">
        <v>228</v>
      </c>
      <c r="U471">
        <v>280</v>
      </c>
      <c r="V471">
        <v>80</v>
      </c>
      <c r="W471">
        <v>161</v>
      </c>
      <c r="X471">
        <v>0</v>
      </c>
      <c r="Y471">
        <v>35</v>
      </c>
      <c r="Z471">
        <v>28</v>
      </c>
      <c r="AA471">
        <v>25</v>
      </c>
      <c r="AB471">
        <v>0</v>
      </c>
      <c r="AC471">
        <v>0</v>
      </c>
      <c r="AD471">
        <v>0</v>
      </c>
      <c r="AE471">
        <v>0</v>
      </c>
      <c r="AF471">
        <v>19.599999999999998</v>
      </c>
      <c r="AG471">
        <v>15.74</v>
      </c>
      <c r="AH471">
        <v>10.040000000000001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625.27</v>
      </c>
      <c r="AP471" t="s">
        <v>16</v>
      </c>
      <c r="AQ471">
        <v>814.04</v>
      </c>
      <c r="AR471" t="s">
        <v>16</v>
      </c>
      <c r="AS471">
        <v>441.48</v>
      </c>
      <c r="AT471">
        <v>715.54</v>
      </c>
      <c r="AU471">
        <v>481.83000000000004</v>
      </c>
      <c r="AV471">
        <v>0</v>
      </c>
      <c r="AW471">
        <v>0</v>
      </c>
      <c r="AX471">
        <v>1.3</v>
      </c>
      <c r="AY471">
        <v>4.8099999999999996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</row>
    <row r="472" spans="1:60">
      <c r="A472" t="s">
        <v>113</v>
      </c>
      <c r="B472" t="s">
        <v>195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988</v>
      </c>
      <c r="AP472">
        <v>1056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</row>
    <row r="473" spans="1:60">
      <c r="A473" t="s">
        <v>113</v>
      </c>
      <c r="B473" t="s">
        <v>197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610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</row>
    <row r="474" spans="1:60">
      <c r="A474" t="s">
        <v>114</v>
      </c>
      <c r="B474" t="s">
        <v>198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15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0.8</v>
      </c>
      <c r="X474">
        <v>0.1</v>
      </c>
      <c r="Y474">
        <v>1.5</v>
      </c>
      <c r="Z474">
        <v>218.7</v>
      </c>
      <c r="AA474">
        <v>218.25</v>
      </c>
      <c r="AB474">
        <v>603.20000000000005</v>
      </c>
      <c r="AC474">
        <v>662.7</v>
      </c>
      <c r="AD474">
        <v>3072.9050805206721</v>
      </c>
      <c r="AE474">
        <v>3594.8638015474303</v>
      </c>
      <c r="AF474">
        <v>4106.9230576844875</v>
      </c>
      <c r="AG474">
        <v>4898.9014577119679</v>
      </c>
      <c r="AH474">
        <v>4988.9679546919288</v>
      </c>
      <c r="AI474">
        <v>4424.7013213988876</v>
      </c>
      <c r="AJ474">
        <v>4406.0843233003106</v>
      </c>
      <c r="AK474">
        <v>4663.9666974999991</v>
      </c>
      <c r="AL474">
        <v>4084.5159999999996</v>
      </c>
      <c r="AM474">
        <v>4588.04</v>
      </c>
      <c r="AN474">
        <v>1499.91</v>
      </c>
      <c r="AO474">
        <v>239.76</v>
      </c>
      <c r="AP474">
        <v>160.16</v>
      </c>
      <c r="AQ474">
        <v>598.4</v>
      </c>
      <c r="AR474">
        <v>365.55</v>
      </c>
      <c r="AS474">
        <v>534.21</v>
      </c>
      <c r="AT474">
        <v>176.35999999999999</v>
      </c>
      <c r="AU474">
        <v>16.309999999999999</v>
      </c>
      <c r="AV474">
        <v>0</v>
      </c>
      <c r="AW474">
        <v>202.93</v>
      </c>
      <c r="AX474">
        <v>0.01</v>
      </c>
      <c r="AY474">
        <v>28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</row>
    <row r="475" spans="1:60">
      <c r="A475" t="s">
        <v>114</v>
      </c>
      <c r="B475" t="s">
        <v>190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353.447719914488</v>
      </c>
      <c r="AF475">
        <v>372.15815508097143</v>
      </c>
      <c r="AG475">
        <v>363.77187661179943</v>
      </c>
      <c r="AH475">
        <v>339.76124843421167</v>
      </c>
      <c r="AI475">
        <v>351.03307214430185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</row>
    <row r="476" spans="1:60">
      <c r="A476" t="s">
        <v>114</v>
      </c>
      <c r="B476" t="s">
        <v>191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63</v>
      </c>
      <c r="AF476">
        <v>74</v>
      </c>
      <c r="AG476">
        <v>203</v>
      </c>
      <c r="AH476">
        <v>201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</row>
    <row r="477" spans="1:60">
      <c r="A477" t="s">
        <v>114</v>
      </c>
      <c r="B477" t="s">
        <v>192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19</v>
      </c>
      <c r="AC477">
        <v>0</v>
      </c>
      <c r="AD477">
        <v>0</v>
      </c>
      <c r="AF477" t="s">
        <v>16</v>
      </c>
      <c r="AG477">
        <v>185</v>
      </c>
      <c r="AH477" t="s">
        <v>16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</row>
    <row r="478" spans="1:60">
      <c r="A478" t="s">
        <v>114</v>
      </c>
      <c r="B478" t="s">
        <v>193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0.05</v>
      </c>
      <c r="AB478">
        <v>2.2000000000000002</v>
      </c>
      <c r="AC478">
        <v>0.5</v>
      </c>
      <c r="AD478">
        <v>23.27</v>
      </c>
      <c r="AE478">
        <v>241</v>
      </c>
      <c r="AF478">
        <v>426</v>
      </c>
      <c r="AG478">
        <v>634</v>
      </c>
      <c r="AH478">
        <v>718</v>
      </c>
      <c r="AI478">
        <v>178.95999999999998</v>
      </c>
      <c r="AJ478">
        <v>344.35</v>
      </c>
      <c r="AK478">
        <v>389.52</v>
      </c>
      <c r="AL478">
        <v>429.03999999999996</v>
      </c>
      <c r="AM478">
        <v>652.04</v>
      </c>
      <c r="AN478">
        <v>1287.71</v>
      </c>
      <c r="AO478">
        <v>111.96000000000001</v>
      </c>
      <c r="AP478">
        <v>158.26</v>
      </c>
      <c r="AQ478">
        <v>596.5</v>
      </c>
      <c r="AR478">
        <v>363.95</v>
      </c>
      <c r="AS478">
        <v>534.21</v>
      </c>
      <c r="AT478">
        <v>176.35999999999999</v>
      </c>
      <c r="AU478">
        <v>16.309999999999999</v>
      </c>
      <c r="AV478">
        <v>0</v>
      </c>
      <c r="AW478">
        <v>202.93</v>
      </c>
      <c r="AX478">
        <v>0.01</v>
      </c>
      <c r="AY478">
        <v>28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</row>
    <row r="479" spans="1:60">
      <c r="A479" t="s">
        <v>114</v>
      </c>
      <c r="B479" t="s">
        <v>194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0.8</v>
      </c>
      <c r="X479">
        <v>0.1</v>
      </c>
      <c r="Y479">
        <v>1.5</v>
      </c>
      <c r="Z479">
        <v>1.7</v>
      </c>
      <c r="AA479">
        <v>1.2</v>
      </c>
      <c r="AB479">
        <v>3</v>
      </c>
      <c r="AC479">
        <v>12.200000000000001</v>
      </c>
      <c r="AD479" t="s">
        <v>16</v>
      </c>
      <c r="AE479" t="s">
        <v>16</v>
      </c>
      <c r="AF479" t="s">
        <v>16</v>
      </c>
      <c r="AG479" t="s">
        <v>16</v>
      </c>
      <c r="AH479" t="s">
        <v>16</v>
      </c>
      <c r="AI479" t="s">
        <v>16</v>
      </c>
      <c r="AJ479" t="s">
        <v>16</v>
      </c>
      <c r="AK479" t="s">
        <v>16</v>
      </c>
      <c r="AL479" t="s">
        <v>16</v>
      </c>
      <c r="AM479" t="s">
        <v>16</v>
      </c>
      <c r="AN479">
        <v>212.2</v>
      </c>
      <c r="AO479">
        <v>127.8</v>
      </c>
      <c r="AP479">
        <v>1.9</v>
      </c>
      <c r="AQ479">
        <v>1.9</v>
      </c>
      <c r="AR479">
        <v>1.6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</row>
    <row r="480" spans="1:60">
      <c r="A480" t="s">
        <v>114</v>
      </c>
      <c r="B480" t="s">
        <v>195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15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217</v>
      </c>
      <c r="AA480">
        <v>217</v>
      </c>
      <c r="AB480">
        <v>579</v>
      </c>
      <c r="AC480">
        <v>650</v>
      </c>
      <c r="AD480">
        <v>2749.6350805206721</v>
      </c>
      <c r="AE480">
        <v>2614.4160816329422</v>
      </c>
      <c r="AF480">
        <v>2888.7649026035156</v>
      </c>
      <c r="AG480">
        <v>3144.1295811001683</v>
      </c>
      <c r="AH480">
        <v>3338.2067062577175</v>
      </c>
      <c r="AI480">
        <v>3479.7082492545856</v>
      </c>
      <c r="AJ480">
        <v>3623.7343233003112</v>
      </c>
      <c r="AK480">
        <v>3822.4466974999991</v>
      </c>
      <c r="AL480">
        <v>3655.4759999999997</v>
      </c>
      <c r="AM480">
        <v>3936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</row>
    <row r="481" spans="1:60">
      <c r="A481" t="s">
        <v>114</v>
      </c>
      <c r="B481" t="s">
        <v>197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300</v>
      </c>
      <c r="AE481">
        <v>323</v>
      </c>
      <c r="AF481">
        <v>346</v>
      </c>
      <c r="AG481">
        <v>369</v>
      </c>
      <c r="AH481">
        <v>392</v>
      </c>
      <c r="AI481">
        <v>415</v>
      </c>
      <c r="AJ481">
        <v>438</v>
      </c>
      <c r="AK481">
        <v>452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</row>
    <row r="482" spans="1:60">
      <c r="A482" t="s">
        <v>171</v>
      </c>
      <c r="B482" t="s">
        <v>198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9.4480000000000004</v>
      </c>
      <c r="AN482">
        <v>0</v>
      </c>
      <c r="AO482">
        <v>0.21099999999999999</v>
      </c>
      <c r="AP482">
        <v>0</v>
      </c>
      <c r="AQ482">
        <v>0</v>
      </c>
      <c r="AR482">
        <v>0</v>
      </c>
      <c r="AS482">
        <v>1.1180000000000001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0.45500000000000007</v>
      </c>
      <c r="BE482">
        <v>0.73799999999999999</v>
      </c>
      <c r="BF482">
        <v>1.8120000000000001</v>
      </c>
      <c r="BG482">
        <v>2.8439999999999999</v>
      </c>
      <c r="BH482" t="s">
        <v>16</v>
      </c>
    </row>
    <row r="483" spans="1:60">
      <c r="A483" t="s">
        <v>171</v>
      </c>
      <c r="B483" t="s">
        <v>193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9.4480000000000004</v>
      </c>
      <c r="AN483">
        <v>0</v>
      </c>
      <c r="AO483">
        <v>0.21099999999999999</v>
      </c>
      <c r="AP483">
        <v>0</v>
      </c>
      <c r="AQ483">
        <v>0</v>
      </c>
      <c r="AR483">
        <v>0</v>
      </c>
      <c r="AS483">
        <v>1.1180000000000001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0.29500000000000004</v>
      </c>
      <c r="BE483">
        <v>0.73799999999999999</v>
      </c>
      <c r="BF483">
        <v>1.8120000000000001</v>
      </c>
      <c r="BG483">
        <v>2.8439999999999999</v>
      </c>
      <c r="BH483" t="s">
        <v>16</v>
      </c>
    </row>
    <row r="484" spans="1:60">
      <c r="A484" t="s">
        <v>171</v>
      </c>
      <c r="B484" t="s">
        <v>194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0.16</v>
      </c>
      <c r="BE484">
        <v>0</v>
      </c>
      <c r="BF484">
        <v>0</v>
      </c>
      <c r="BG484">
        <v>0</v>
      </c>
      <c r="BH484">
        <v>0</v>
      </c>
    </row>
    <row r="485" spans="1:60">
      <c r="A485" t="s">
        <v>115</v>
      </c>
      <c r="B485" t="s">
        <v>198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1.532</v>
      </c>
      <c r="N485">
        <v>1.6040000000000001</v>
      </c>
      <c r="O485">
        <v>1.9149999999999998</v>
      </c>
      <c r="P485">
        <v>1.7589999999999999</v>
      </c>
      <c r="Q485">
        <v>1.716</v>
      </c>
      <c r="R485">
        <v>1.6950000000000001</v>
      </c>
      <c r="S485">
        <v>1.7969999999999999</v>
      </c>
      <c r="T485">
        <v>2.2729999999999997</v>
      </c>
      <c r="U485">
        <v>4.7350000000000003</v>
      </c>
      <c r="V485">
        <v>3.34</v>
      </c>
      <c r="W485">
        <v>1.8460000000000001</v>
      </c>
      <c r="X485">
        <v>1.3169999999999999</v>
      </c>
      <c r="Y485">
        <v>6.6319999999999997</v>
      </c>
      <c r="Z485">
        <v>15.975000000000001</v>
      </c>
      <c r="AA485">
        <v>26.921999999999997</v>
      </c>
      <c r="AB485">
        <v>64.277999999999992</v>
      </c>
      <c r="AC485">
        <v>468.64200000000005</v>
      </c>
      <c r="AD485">
        <v>482.50487525000005</v>
      </c>
      <c r="AE485">
        <v>512.82162605318752</v>
      </c>
      <c r="AF485">
        <v>1110.4520185019931</v>
      </c>
      <c r="AG485">
        <v>1130.4010796810489</v>
      </c>
      <c r="AH485">
        <v>489.976</v>
      </c>
      <c r="AI485">
        <v>346.06799999999998</v>
      </c>
      <c r="AJ485">
        <v>125.467</v>
      </c>
      <c r="AK485">
        <v>105.476</v>
      </c>
      <c r="AL485">
        <v>67.348000000000013</v>
      </c>
      <c r="AM485">
        <v>62.757999999999996</v>
      </c>
      <c r="AN485">
        <v>71.566999999999993</v>
      </c>
      <c r="AO485">
        <v>77.274999999999991</v>
      </c>
      <c r="AP485">
        <v>65.586999999999989</v>
      </c>
      <c r="AQ485">
        <v>66.234000000000009</v>
      </c>
      <c r="AR485">
        <v>51.542999999999999</v>
      </c>
      <c r="AS485">
        <v>66.475999999999999</v>
      </c>
      <c r="AT485">
        <v>221.98099999999999</v>
      </c>
      <c r="AU485">
        <v>147.18700000000001</v>
      </c>
      <c r="AV485">
        <v>7.6010000000000009</v>
      </c>
      <c r="AW485">
        <v>7.8479999999999999</v>
      </c>
      <c r="AX485">
        <v>7.8540000000000001</v>
      </c>
      <c r="AY485">
        <v>8.7129999999999992</v>
      </c>
      <c r="AZ485">
        <v>7.1789999999999994</v>
      </c>
      <c r="BA485">
        <v>7.2350000000000003</v>
      </c>
      <c r="BB485">
        <v>7.157</v>
      </c>
      <c r="BC485">
        <v>7.1609999999999996</v>
      </c>
      <c r="BD485">
        <v>7.1109999999999998</v>
      </c>
      <c r="BE485">
        <v>0</v>
      </c>
      <c r="BF485">
        <v>165.52500000000001</v>
      </c>
      <c r="BG485">
        <v>0</v>
      </c>
      <c r="BH485">
        <v>0</v>
      </c>
    </row>
    <row r="486" spans="1:60">
      <c r="A486" t="s">
        <v>115</v>
      </c>
      <c r="B486" t="s">
        <v>193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0.59299999999999997</v>
      </c>
      <c r="V486">
        <v>0.42100000000000004</v>
      </c>
      <c r="W486">
        <v>0.43100000000000005</v>
      </c>
      <c r="X486">
        <v>0.42399999999999999</v>
      </c>
      <c r="Y486">
        <v>0.85499999999999998</v>
      </c>
      <c r="Z486">
        <v>1.0979999999999999</v>
      </c>
      <c r="AA486">
        <v>1.5920000000000001</v>
      </c>
      <c r="AB486">
        <v>21.047000000000001</v>
      </c>
      <c r="AC486">
        <v>50.863</v>
      </c>
      <c r="AD486">
        <v>31.407999999999998</v>
      </c>
      <c r="AE486">
        <v>22.140999999999998</v>
      </c>
      <c r="AF486">
        <v>570.82600000000002</v>
      </c>
      <c r="AG486">
        <v>541.80399999999997</v>
      </c>
      <c r="AH486">
        <v>167.976</v>
      </c>
      <c r="AI486">
        <v>68.067999999999998</v>
      </c>
      <c r="AJ486">
        <v>50.466999999999999</v>
      </c>
      <c r="AK486">
        <v>35.156999999999996</v>
      </c>
      <c r="AL486">
        <v>20.054000000000002</v>
      </c>
      <c r="AM486">
        <v>19.806000000000001</v>
      </c>
      <c r="AN486">
        <v>30.148</v>
      </c>
      <c r="AO486">
        <v>36.073999999999998</v>
      </c>
      <c r="AP486">
        <v>33.326999999999998</v>
      </c>
      <c r="AQ486">
        <v>35.03</v>
      </c>
      <c r="AR486">
        <v>19.773</v>
      </c>
      <c r="AS486">
        <v>34.450000000000003</v>
      </c>
      <c r="AT486">
        <v>56.326999999999998</v>
      </c>
      <c r="AU486">
        <v>1.5680000000000001</v>
      </c>
      <c r="AV486">
        <v>0.46400000000000002</v>
      </c>
      <c r="AW486">
        <v>0.71299999999999997</v>
      </c>
      <c r="AX486">
        <v>0.71299999999999997</v>
      </c>
      <c r="AY486">
        <v>1.5509999999999999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165.52500000000001</v>
      </c>
      <c r="BG486">
        <v>0</v>
      </c>
      <c r="BH486">
        <v>0</v>
      </c>
    </row>
    <row r="487" spans="1:60">
      <c r="A487" t="s">
        <v>115</v>
      </c>
      <c r="B487" t="s">
        <v>194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1.532</v>
      </c>
      <c r="N487">
        <v>1.6040000000000001</v>
      </c>
      <c r="O487">
        <v>1.9149999999999998</v>
      </c>
      <c r="P487">
        <v>1.7589999999999999</v>
      </c>
      <c r="Q487">
        <v>1.716</v>
      </c>
      <c r="R487">
        <v>1.6950000000000001</v>
      </c>
      <c r="S487">
        <v>1.7969999999999999</v>
      </c>
      <c r="T487">
        <v>2.2729999999999997</v>
      </c>
      <c r="U487">
        <v>4.1420000000000003</v>
      </c>
      <c r="V487">
        <v>2.919</v>
      </c>
      <c r="W487">
        <v>1.415</v>
      </c>
      <c r="X487">
        <v>0.89300000000000002</v>
      </c>
      <c r="Y487">
        <v>5.7770000000000001</v>
      </c>
      <c r="Z487">
        <v>14.877000000000001</v>
      </c>
      <c r="AA487">
        <v>25.33</v>
      </c>
      <c r="AB487">
        <v>43.230999999999995</v>
      </c>
      <c r="AC487" t="s">
        <v>16</v>
      </c>
      <c r="AD487" t="s">
        <v>16</v>
      </c>
      <c r="AE487" t="s">
        <v>16</v>
      </c>
      <c r="AF487" t="s">
        <v>16</v>
      </c>
      <c r="AG487" t="s">
        <v>16</v>
      </c>
      <c r="AH487">
        <v>44</v>
      </c>
      <c r="AI487" t="s">
        <v>16</v>
      </c>
      <c r="AJ487">
        <v>55</v>
      </c>
      <c r="AK487">
        <v>70.319000000000003</v>
      </c>
      <c r="AL487">
        <v>47.294000000000004</v>
      </c>
      <c r="AM487">
        <v>42.951999999999998</v>
      </c>
      <c r="AN487">
        <v>41.418999999999997</v>
      </c>
      <c r="AO487">
        <v>41.200999999999993</v>
      </c>
      <c r="AP487">
        <v>32.26</v>
      </c>
      <c r="AQ487">
        <v>31.204000000000001</v>
      </c>
      <c r="AR487">
        <v>31.77</v>
      </c>
      <c r="AS487">
        <v>32.026000000000003</v>
      </c>
      <c r="AT487">
        <v>27.653999999999996</v>
      </c>
      <c r="AU487">
        <v>7.6189999999999998</v>
      </c>
      <c r="AV487">
        <v>7.1370000000000005</v>
      </c>
      <c r="AW487">
        <v>7.1349999999999998</v>
      </c>
      <c r="AX487">
        <v>7.141</v>
      </c>
      <c r="AY487">
        <v>7.1619999999999999</v>
      </c>
      <c r="AZ487">
        <v>7.1789999999999994</v>
      </c>
      <c r="BA487">
        <v>7.2350000000000003</v>
      </c>
      <c r="BB487">
        <v>7.157</v>
      </c>
      <c r="BC487">
        <v>7.1609999999999996</v>
      </c>
      <c r="BD487">
        <v>7.1109999999999998</v>
      </c>
      <c r="BE487">
        <v>0</v>
      </c>
      <c r="BF487">
        <v>0</v>
      </c>
      <c r="BG487">
        <v>0</v>
      </c>
      <c r="BH487">
        <v>0</v>
      </c>
    </row>
    <row r="488" spans="1:60">
      <c r="A488" t="s">
        <v>115</v>
      </c>
      <c r="B488" t="s">
        <v>195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417.77900000000005</v>
      </c>
      <c r="AD488">
        <v>451.09687525000004</v>
      </c>
      <c r="AE488">
        <v>490.68062605318755</v>
      </c>
      <c r="AF488">
        <v>539.62601850199303</v>
      </c>
      <c r="AG488">
        <v>588.59707968104897</v>
      </c>
      <c r="AH488">
        <v>278</v>
      </c>
      <c r="AI488">
        <v>278</v>
      </c>
      <c r="AJ488">
        <v>20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</row>
    <row r="489" spans="1:60">
      <c r="A489" t="s">
        <v>115</v>
      </c>
      <c r="B489" t="s">
        <v>197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138</v>
      </c>
      <c r="AU489">
        <v>138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</row>
    <row r="490" spans="1:60">
      <c r="A490" t="s">
        <v>116</v>
      </c>
      <c r="B490" t="s">
        <v>198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248</v>
      </c>
      <c r="L490">
        <v>100</v>
      </c>
      <c r="M490">
        <v>346.8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387</v>
      </c>
      <c r="T490">
        <v>0</v>
      </c>
      <c r="U490">
        <v>864</v>
      </c>
      <c r="V490">
        <v>1189</v>
      </c>
      <c r="W490">
        <v>386.01299999999998</v>
      </c>
      <c r="X490">
        <v>33.929369668246444</v>
      </c>
      <c r="Y490">
        <v>88.305845272206312</v>
      </c>
      <c r="Z490">
        <v>2788.1558282208589</v>
      </c>
      <c r="AA490">
        <v>3143.8311239193085</v>
      </c>
      <c r="AB490">
        <v>4118.2812009145619</v>
      </c>
      <c r="AC490">
        <v>6769.7250584868816</v>
      </c>
      <c r="AD490">
        <v>8245.6819128742918</v>
      </c>
      <c r="AE490">
        <v>10446.936068181229</v>
      </c>
      <c r="AF490">
        <v>11668.048665307149</v>
      </c>
      <c r="AG490">
        <v>14170.498559885233</v>
      </c>
      <c r="AH490">
        <v>15331.993927495367</v>
      </c>
      <c r="AI490">
        <v>10415.260101074065</v>
      </c>
      <c r="AJ490">
        <v>11873.128693961396</v>
      </c>
      <c r="AK490">
        <v>9092.3372500000005</v>
      </c>
      <c r="AL490">
        <v>11863.793</v>
      </c>
      <c r="AM490">
        <v>17698</v>
      </c>
      <c r="AN490">
        <v>11337.753000000001</v>
      </c>
      <c r="AO490">
        <v>4893.7140000000009</v>
      </c>
      <c r="AP490">
        <v>501.26299999999998</v>
      </c>
      <c r="AQ490">
        <v>43.070999999999998</v>
      </c>
      <c r="AR490">
        <v>62.807000000000002</v>
      </c>
      <c r="AS490">
        <v>1283.2339999999999</v>
      </c>
      <c r="AT490">
        <v>88.171000000000006</v>
      </c>
      <c r="AU490">
        <v>74.328000000000003</v>
      </c>
      <c r="AV490">
        <v>92.628</v>
      </c>
      <c r="AW490">
        <v>77.603999999999985</v>
      </c>
      <c r="AX490">
        <v>2428.8320000000003</v>
      </c>
      <c r="AY490">
        <v>926.154</v>
      </c>
      <c r="AZ490">
        <v>64.052999999999997</v>
      </c>
      <c r="BA490">
        <v>1893.4750000000001</v>
      </c>
      <c r="BB490">
        <v>51.460999999999999</v>
      </c>
      <c r="BC490">
        <v>18.954999999999998</v>
      </c>
      <c r="BD490">
        <v>3.6259999999999999</v>
      </c>
      <c r="BE490">
        <v>494.40699999999998</v>
      </c>
      <c r="BF490">
        <v>350.92599999999999</v>
      </c>
      <c r="BG490">
        <v>610.69299999999998</v>
      </c>
      <c r="BH490" t="s">
        <v>16</v>
      </c>
    </row>
    <row r="491" spans="1:60">
      <c r="A491" t="s">
        <v>116</v>
      </c>
      <c r="B491" t="s">
        <v>190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782.70089147210683</v>
      </c>
      <c r="AC491">
        <v>893.24629758102378</v>
      </c>
      <c r="AD491">
        <v>1112.7190971637056</v>
      </c>
      <c r="AE491">
        <v>1137.0830114373071</v>
      </c>
      <c r="AF491">
        <v>1175.5802629023037</v>
      </c>
      <c r="AG491">
        <v>1316.2319947493688</v>
      </c>
      <c r="AH491">
        <v>1386.3874682253479</v>
      </c>
      <c r="AI491">
        <v>1384.6831193165021</v>
      </c>
      <c r="AJ491">
        <v>1468.2471965863963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</row>
    <row r="492" spans="1:60">
      <c r="A492" t="s">
        <v>116</v>
      </c>
      <c r="B492" t="s">
        <v>191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 t="s">
        <v>16</v>
      </c>
      <c r="AE492">
        <v>317</v>
      </c>
      <c r="AF492">
        <v>259</v>
      </c>
      <c r="AG492">
        <v>760</v>
      </c>
      <c r="AH492">
        <v>856</v>
      </c>
      <c r="AI492">
        <v>923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</row>
    <row r="493" spans="1:60">
      <c r="A493" t="s">
        <v>116</v>
      </c>
      <c r="B493" t="s">
        <v>192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120</v>
      </c>
      <c r="L493">
        <v>100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478</v>
      </c>
      <c r="V493">
        <v>0</v>
      </c>
      <c r="W493">
        <v>0</v>
      </c>
      <c r="X493">
        <v>0</v>
      </c>
      <c r="Y493">
        <v>0</v>
      </c>
      <c r="Z493">
        <v>590</v>
      </c>
      <c r="AA493">
        <v>640</v>
      </c>
      <c r="AB493" t="s">
        <v>16</v>
      </c>
      <c r="AC493" t="s">
        <v>16</v>
      </c>
      <c r="AD493" t="s">
        <v>16</v>
      </c>
      <c r="AE493" t="s">
        <v>16</v>
      </c>
      <c r="AF493" t="s">
        <v>16</v>
      </c>
      <c r="AG493" t="s">
        <v>16</v>
      </c>
      <c r="AH493">
        <v>4661</v>
      </c>
      <c r="AI493" t="s">
        <v>16</v>
      </c>
      <c r="AJ493">
        <v>1884</v>
      </c>
      <c r="AK493" t="s">
        <v>16</v>
      </c>
      <c r="AL493" t="s">
        <v>16</v>
      </c>
      <c r="AM493">
        <v>6723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</row>
    <row r="494" spans="1:60">
      <c r="A494" t="s">
        <v>116</v>
      </c>
      <c r="B494" t="s">
        <v>193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60.588000000000001</v>
      </c>
      <c r="Z494" t="s">
        <v>16</v>
      </c>
      <c r="AA494" t="s">
        <v>16</v>
      </c>
      <c r="AB494">
        <v>583.11900000000003</v>
      </c>
      <c r="AC494">
        <v>1150.336</v>
      </c>
      <c r="AD494">
        <v>1975.491</v>
      </c>
      <c r="AE494">
        <v>3294.723</v>
      </c>
      <c r="AF494">
        <v>3731.4560000000001</v>
      </c>
      <c r="AG494">
        <v>4638.0789999999997</v>
      </c>
      <c r="AH494" t="s">
        <v>16</v>
      </c>
      <c r="AI494" t="s">
        <v>16</v>
      </c>
      <c r="AJ494" t="s">
        <v>16</v>
      </c>
      <c r="AK494" t="s">
        <v>16</v>
      </c>
      <c r="AL494">
        <v>2021.6929999999998</v>
      </c>
      <c r="AM494">
        <v>375</v>
      </c>
      <c r="AN494">
        <v>737.75300000000004</v>
      </c>
      <c r="AO494">
        <v>4857.9320000000007</v>
      </c>
      <c r="AP494">
        <v>489.74099999999999</v>
      </c>
      <c r="AQ494">
        <v>31.896000000000001</v>
      </c>
      <c r="AR494">
        <v>46.777000000000001</v>
      </c>
      <c r="AS494">
        <v>1264.222</v>
      </c>
      <c r="AT494">
        <v>76.289000000000001</v>
      </c>
      <c r="AU494">
        <v>62.006</v>
      </c>
      <c r="AV494">
        <v>81.573999999999998</v>
      </c>
      <c r="AW494">
        <v>75.74799999999999</v>
      </c>
      <c r="AX494">
        <v>2426.9760000000001</v>
      </c>
      <c r="AY494">
        <v>924.298</v>
      </c>
      <c r="AZ494">
        <v>62.197000000000003</v>
      </c>
      <c r="BA494">
        <v>1891.6190000000001</v>
      </c>
      <c r="BB494">
        <v>51.460999999999999</v>
      </c>
      <c r="BC494">
        <v>18.954999999999998</v>
      </c>
      <c r="BD494">
        <v>3.6259999999999999</v>
      </c>
      <c r="BE494">
        <v>494.40699999999998</v>
      </c>
      <c r="BF494">
        <v>350.92599999999999</v>
      </c>
      <c r="BG494">
        <v>610.69299999999998</v>
      </c>
      <c r="BH494" t="s">
        <v>16</v>
      </c>
    </row>
    <row r="495" spans="1:60">
      <c r="A495" t="s">
        <v>116</v>
      </c>
      <c r="B495" t="s">
        <v>194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75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1.2999999999999999E-2</v>
      </c>
      <c r="X495">
        <v>2.4269999999999996</v>
      </c>
      <c r="Y495">
        <v>8.6719999999999988</v>
      </c>
      <c r="Z495" t="s">
        <v>16</v>
      </c>
      <c r="AA495" t="s">
        <v>16</v>
      </c>
      <c r="AB495" t="s">
        <v>16</v>
      </c>
      <c r="AC495" t="s">
        <v>16</v>
      </c>
      <c r="AD495" t="s">
        <v>16</v>
      </c>
      <c r="AE495" t="s">
        <v>16</v>
      </c>
      <c r="AF495">
        <v>116</v>
      </c>
      <c r="AG495">
        <v>369</v>
      </c>
      <c r="AH495">
        <v>763</v>
      </c>
      <c r="AI495" t="s">
        <v>16</v>
      </c>
      <c r="AJ495" t="s">
        <v>16</v>
      </c>
      <c r="AK495" t="s">
        <v>16</v>
      </c>
      <c r="AL495" t="s">
        <v>16</v>
      </c>
      <c r="AM495" t="s">
        <v>16</v>
      </c>
      <c r="AN495" t="s">
        <v>16</v>
      </c>
      <c r="AO495">
        <v>35.781999999999996</v>
      </c>
      <c r="AP495">
        <v>11.522</v>
      </c>
      <c r="AQ495">
        <v>11.175000000000001</v>
      </c>
      <c r="AR495">
        <v>16.03</v>
      </c>
      <c r="AS495">
        <v>19.012</v>
      </c>
      <c r="AT495">
        <v>11.882000000000001</v>
      </c>
      <c r="AU495">
        <v>12.321999999999999</v>
      </c>
      <c r="AV495">
        <v>11.053999999999998</v>
      </c>
      <c r="AW495">
        <v>1.8560000000000001</v>
      </c>
      <c r="AX495">
        <v>1.8560000000000001</v>
      </c>
      <c r="AY495">
        <v>1.8560000000000001</v>
      </c>
      <c r="AZ495">
        <v>1.8560000000000001</v>
      </c>
      <c r="BA495">
        <v>1.8560000000000001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</row>
    <row r="496" spans="1:60">
      <c r="A496" t="s">
        <v>116</v>
      </c>
      <c r="B496" t="s">
        <v>195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53</v>
      </c>
      <c r="L496">
        <v>0</v>
      </c>
      <c r="M496">
        <v>346.8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387</v>
      </c>
      <c r="T496">
        <v>0</v>
      </c>
      <c r="U496">
        <v>386</v>
      </c>
      <c r="V496">
        <v>1189</v>
      </c>
      <c r="W496">
        <v>340</v>
      </c>
      <c r="X496">
        <v>0</v>
      </c>
      <c r="Y496">
        <v>0</v>
      </c>
      <c r="Z496">
        <v>2190</v>
      </c>
      <c r="AA496">
        <v>2500</v>
      </c>
      <c r="AB496">
        <v>2751.25</v>
      </c>
      <c r="AC496">
        <v>4724.9314514634034</v>
      </c>
      <c r="AD496">
        <v>5156.2605062681323</v>
      </c>
      <c r="AE496">
        <v>5698.1300567439202</v>
      </c>
      <c r="AF496">
        <v>6386.0124024048455</v>
      </c>
      <c r="AG496">
        <v>7087.1875651358632</v>
      </c>
      <c r="AH496">
        <v>7665.6064592700186</v>
      </c>
      <c r="AI496">
        <v>8107.5769817575638</v>
      </c>
      <c r="AJ496">
        <v>8520.8814973750013</v>
      </c>
      <c r="AK496">
        <v>9092.3372500000005</v>
      </c>
      <c r="AL496">
        <v>9842.1</v>
      </c>
      <c r="AM496">
        <v>10600</v>
      </c>
      <c r="AN496">
        <v>10600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</row>
    <row r="497" spans="1:60">
      <c r="A497" t="s">
        <v>116</v>
      </c>
      <c r="B497" t="s">
        <v>196</v>
      </c>
      <c r="W497">
        <v>46</v>
      </c>
      <c r="X497">
        <v>31.502369668246445</v>
      </c>
      <c r="Y497">
        <v>19.045845272206304</v>
      </c>
      <c r="Z497">
        <v>8.155828220858897</v>
      </c>
      <c r="AA497">
        <v>3.8311239193083582</v>
      </c>
      <c r="AB497">
        <v>1.2113094424550566</v>
      </c>
      <c r="AC497">
        <v>1.2113094424550566</v>
      </c>
      <c r="AD497">
        <v>1.2113094424550566</v>
      </c>
      <c r="AE497" t="s">
        <v>16</v>
      </c>
      <c r="AF497" t="s">
        <v>16</v>
      </c>
      <c r="AG497" t="s">
        <v>16</v>
      </c>
      <c r="AH497" t="s">
        <v>16</v>
      </c>
      <c r="AI497" t="s">
        <v>16</v>
      </c>
      <c r="AJ497" t="s">
        <v>16</v>
      </c>
      <c r="AK497" t="s">
        <v>16</v>
      </c>
      <c r="AL497" t="s">
        <v>16</v>
      </c>
      <c r="AM497" t="s">
        <v>16</v>
      </c>
      <c r="AN497" t="s">
        <v>16</v>
      </c>
      <c r="AO497" t="s">
        <v>16</v>
      </c>
      <c r="AP497" t="s">
        <v>16</v>
      </c>
      <c r="AQ497" t="s">
        <v>16</v>
      </c>
      <c r="AR497" t="s">
        <v>16</v>
      </c>
      <c r="AS497" t="s">
        <v>16</v>
      </c>
      <c r="AT497" t="s">
        <v>16</v>
      </c>
      <c r="AU497" t="s">
        <v>16</v>
      </c>
      <c r="AV497" t="s">
        <v>16</v>
      </c>
      <c r="AW497" t="s">
        <v>16</v>
      </c>
      <c r="AX497" t="s">
        <v>16</v>
      </c>
      <c r="AY497" t="s">
        <v>16</v>
      </c>
      <c r="AZ497" t="s">
        <v>16</v>
      </c>
      <c r="BA497" t="s">
        <v>16</v>
      </c>
      <c r="BB497" t="s">
        <v>16</v>
      </c>
      <c r="BC497" t="s">
        <v>16</v>
      </c>
      <c r="BD497" t="s">
        <v>16</v>
      </c>
      <c r="BE497" t="s">
        <v>16</v>
      </c>
      <c r="BF497" t="s">
        <v>16</v>
      </c>
      <c r="BG497" t="s">
        <v>16</v>
      </c>
      <c r="BH497" t="s">
        <v>16</v>
      </c>
    </row>
    <row r="498" spans="1:60">
      <c r="A498" t="s">
        <v>117</v>
      </c>
      <c r="B498" t="s">
        <v>198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274.89999999999998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0.11700000000000001</v>
      </c>
      <c r="T498">
        <v>0.14299999999999999</v>
      </c>
      <c r="U498">
        <v>0.17699999999999999</v>
      </c>
      <c r="V498">
        <v>0.54800000000000004</v>
      </c>
      <c r="W498">
        <v>0.49399999999999999</v>
      </c>
      <c r="X498">
        <v>0.48399999999999999</v>
      </c>
      <c r="Y498">
        <v>0.71799999999999997</v>
      </c>
      <c r="Z498">
        <v>4259.1819999999998</v>
      </c>
      <c r="AA498">
        <v>5870.5829999999996</v>
      </c>
      <c r="AB498">
        <v>5568.06</v>
      </c>
      <c r="AC498">
        <v>10821.046</v>
      </c>
      <c r="AD498">
        <v>12854.295</v>
      </c>
      <c r="AE498">
        <v>3098.9569999999999</v>
      </c>
      <c r="AF498">
        <v>6499.3940000000002</v>
      </c>
      <c r="AG498">
        <v>14073.754000000001</v>
      </c>
      <c r="AH498">
        <v>12434.841</v>
      </c>
      <c r="AI498">
        <v>8353.6329999999998</v>
      </c>
      <c r="AJ498">
        <v>281.13</v>
      </c>
      <c r="AK498">
        <v>585</v>
      </c>
      <c r="AL498">
        <v>0</v>
      </c>
      <c r="AM498">
        <v>0</v>
      </c>
      <c r="AN498">
        <v>0</v>
      </c>
      <c r="AO498">
        <v>1.65</v>
      </c>
      <c r="AP498">
        <v>1004.146</v>
      </c>
      <c r="AQ498">
        <v>1.2889999999999999</v>
      </c>
      <c r="AR498">
        <v>1.2889999999999999</v>
      </c>
      <c r="AS498">
        <v>1.2889999999999999</v>
      </c>
      <c r="AT498">
        <v>1.2889999999999999</v>
      </c>
      <c r="AU498">
        <v>0</v>
      </c>
      <c r="AV498">
        <v>1.3919999999999999</v>
      </c>
      <c r="AW498">
        <v>1.839</v>
      </c>
      <c r="AX498">
        <v>0.125</v>
      </c>
      <c r="AY498">
        <v>0.59700000000000009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</row>
    <row r="499" spans="1:60">
      <c r="A499" t="s">
        <v>117</v>
      </c>
      <c r="B499" t="s">
        <v>192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 t="s">
        <v>16</v>
      </c>
      <c r="AA499">
        <v>1000</v>
      </c>
      <c r="AB499">
        <v>0</v>
      </c>
      <c r="AC499">
        <v>1300</v>
      </c>
      <c r="AD499">
        <v>870</v>
      </c>
      <c r="AE499" t="s">
        <v>16</v>
      </c>
      <c r="AF499">
        <v>1859</v>
      </c>
      <c r="AG499">
        <v>0</v>
      </c>
      <c r="AH499">
        <v>1096</v>
      </c>
      <c r="AI499">
        <v>0</v>
      </c>
      <c r="AJ499">
        <v>0</v>
      </c>
      <c r="AK499">
        <v>585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</row>
    <row r="500" spans="1:60">
      <c r="A500" t="s">
        <v>117</v>
      </c>
      <c r="B500" t="s">
        <v>193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2.1819999999999999</v>
      </c>
      <c r="AA500">
        <v>13.582999999999998</v>
      </c>
      <c r="AB500">
        <v>5.0600000000000005</v>
      </c>
      <c r="AC500">
        <v>9.0459999999999994</v>
      </c>
      <c r="AD500">
        <v>9.2949999999999999</v>
      </c>
      <c r="AE500">
        <v>133.95699999999999</v>
      </c>
      <c r="AF500">
        <v>894.39400000000001</v>
      </c>
      <c r="AG500">
        <v>2098.7539999999999</v>
      </c>
      <c r="AH500">
        <v>702.84100000000001</v>
      </c>
      <c r="AI500">
        <v>682.63300000000004</v>
      </c>
      <c r="AJ500">
        <v>252.94199999999998</v>
      </c>
      <c r="AK500">
        <v>0</v>
      </c>
      <c r="AL500">
        <v>0</v>
      </c>
      <c r="AM500">
        <v>0</v>
      </c>
      <c r="AN500">
        <v>0</v>
      </c>
      <c r="AO500">
        <v>0.36099999999999999</v>
      </c>
      <c r="AP500">
        <v>1002.857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1.839</v>
      </c>
      <c r="AX500">
        <v>0</v>
      </c>
      <c r="AY500">
        <v>0.54300000000000004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</row>
    <row r="501" spans="1:60">
      <c r="A501" t="s">
        <v>117</v>
      </c>
      <c r="B501" t="s">
        <v>194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0.11700000000000001</v>
      </c>
      <c r="T501">
        <v>0.14299999999999999</v>
      </c>
      <c r="U501">
        <v>0.17699999999999999</v>
      </c>
      <c r="V501">
        <v>0.54800000000000004</v>
      </c>
      <c r="W501">
        <v>0.49399999999999999</v>
      </c>
      <c r="X501">
        <v>0.48399999999999999</v>
      </c>
      <c r="Y501">
        <v>0.71799999999999997</v>
      </c>
      <c r="Z501" t="s">
        <v>16</v>
      </c>
      <c r="AA501" t="s">
        <v>16</v>
      </c>
      <c r="AB501" t="s">
        <v>16</v>
      </c>
      <c r="AC501" t="s">
        <v>16</v>
      </c>
      <c r="AD501" t="s">
        <v>16</v>
      </c>
      <c r="AE501" t="s">
        <v>16</v>
      </c>
      <c r="AF501" t="s">
        <v>16</v>
      </c>
      <c r="AG501" t="s">
        <v>16</v>
      </c>
      <c r="AH501" t="s">
        <v>16</v>
      </c>
      <c r="AI501" t="s">
        <v>16</v>
      </c>
      <c r="AJ501">
        <v>28.188000000000002</v>
      </c>
      <c r="AK501">
        <v>0</v>
      </c>
      <c r="AL501">
        <v>0</v>
      </c>
      <c r="AM501">
        <v>0</v>
      </c>
      <c r="AN501">
        <v>0</v>
      </c>
      <c r="AO501">
        <v>1.2889999999999999</v>
      </c>
      <c r="AP501">
        <v>1.2889999999999999</v>
      </c>
      <c r="AQ501">
        <v>1.2889999999999999</v>
      </c>
      <c r="AR501">
        <v>1.2889999999999999</v>
      </c>
      <c r="AS501">
        <v>1.2889999999999999</v>
      </c>
      <c r="AT501">
        <v>1.2889999999999999</v>
      </c>
      <c r="AU501">
        <v>0</v>
      </c>
      <c r="AV501">
        <v>1.3919999999999999</v>
      </c>
      <c r="AW501">
        <v>0</v>
      </c>
      <c r="AX501">
        <v>0.125</v>
      </c>
      <c r="AY501">
        <v>5.3999999999999999E-2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</row>
    <row r="502" spans="1:60">
      <c r="A502" t="s">
        <v>117</v>
      </c>
      <c r="B502" t="s">
        <v>195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274.89999999999998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4257</v>
      </c>
      <c r="AA502">
        <v>4857</v>
      </c>
      <c r="AB502">
        <v>5563</v>
      </c>
      <c r="AC502">
        <v>9512</v>
      </c>
      <c r="AD502">
        <v>11975</v>
      </c>
      <c r="AE502">
        <v>2965</v>
      </c>
      <c r="AF502">
        <v>3746</v>
      </c>
      <c r="AG502">
        <v>11975</v>
      </c>
      <c r="AH502">
        <v>10636</v>
      </c>
      <c r="AI502">
        <v>7671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</row>
    <row r="503" spans="1:60">
      <c r="A503" t="s">
        <v>118</v>
      </c>
      <c r="B503" t="s">
        <v>198</v>
      </c>
      <c r="C503">
        <v>88.968999999999994</v>
      </c>
      <c r="D503">
        <v>90.964999999999989</v>
      </c>
      <c r="E503">
        <v>92.960999999999984</v>
      </c>
      <c r="F503">
        <v>94.956999999999979</v>
      </c>
      <c r="G503">
        <v>96.952999999999975</v>
      </c>
      <c r="H503">
        <v>98.94899999999997</v>
      </c>
      <c r="I503">
        <v>100.94499999999996</v>
      </c>
      <c r="J503">
        <v>102.94099999999996</v>
      </c>
      <c r="K503">
        <v>104.93699999999995</v>
      </c>
      <c r="L503">
        <v>106.93299999999995</v>
      </c>
      <c r="M503">
        <v>108.92899999999995</v>
      </c>
      <c r="N503">
        <v>110.92499999999994</v>
      </c>
      <c r="O503">
        <v>112.92099999999994</v>
      </c>
      <c r="P503">
        <v>114.91699999999993</v>
      </c>
      <c r="Q503">
        <v>116.91299999999993</v>
      </c>
      <c r="R503">
        <v>118.90899999999992</v>
      </c>
      <c r="S503">
        <v>7.0547160000000035</v>
      </c>
      <c r="T503">
        <v>0</v>
      </c>
      <c r="U503">
        <v>0</v>
      </c>
      <c r="V503">
        <v>0</v>
      </c>
      <c r="W503">
        <v>0</v>
      </c>
      <c r="X503">
        <v>3863.578</v>
      </c>
      <c r="Y503">
        <v>1956</v>
      </c>
      <c r="Z503">
        <v>2225</v>
      </c>
      <c r="AA503">
        <v>1390</v>
      </c>
      <c r="AB503">
        <v>13050</v>
      </c>
      <c r="AC503">
        <v>6993.4</v>
      </c>
      <c r="AD503">
        <v>24730.5</v>
      </c>
      <c r="AE503">
        <v>13090.8</v>
      </c>
      <c r="AF503">
        <v>10933.7</v>
      </c>
      <c r="AG503">
        <v>21380.5</v>
      </c>
      <c r="AH503">
        <v>48597.599999999999</v>
      </c>
      <c r="AI503">
        <v>16190</v>
      </c>
      <c r="AJ503">
        <v>13360.3</v>
      </c>
      <c r="AK503">
        <v>14254.6</v>
      </c>
      <c r="AL503">
        <v>760.8</v>
      </c>
      <c r="AM503">
        <v>29.2</v>
      </c>
      <c r="AN503">
        <v>29</v>
      </c>
      <c r="AO503">
        <v>2.8000000000000003</v>
      </c>
      <c r="AP503">
        <v>96</v>
      </c>
      <c r="AQ503">
        <v>120.80000000000001</v>
      </c>
      <c r="AR503">
        <v>2.9</v>
      </c>
      <c r="AS503">
        <v>2.2000000000000002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</row>
    <row r="504" spans="1:60">
      <c r="A504" t="s">
        <v>118</v>
      </c>
      <c r="B504" t="s">
        <v>192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 t="s">
        <v>16</v>
      </c>
      <c r="X504">
        <v>2200</v>
      </c>
      <c r="Y504" t="s">
        <v>16</v>
      </c>
      <c r="Z504" t="s">
        <v>16</v>
      </c>
      <c r="AA504" t="s">
        <v>16</v>
      </c>
      <c r="AB504">
        <v>11570</v>
      </c>
      <c r="AC504" t="s">
        <v>16</v>
      </c>
      <c r="AD504">
        <v>8500</v>
      </c>
      <c r="AE504" t="s">
        <v>16</v>
      </c>
      <c r="AF504" t="s">
        <v>16</v>
      </c>
      <c r="AG504">
        <v>9400</v>
      </c>
      <c r="AH504">
        <v>29871</v>
      </c>
      <c r="AI504" t="s">
        <v>16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</row>
    <row r="505" spans="1:60">
      <c r="A505" t="s">
        <v>118</v>
      </c>
      <c r="B505" t="s">
        <v>193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3751.3999999999996</v>
      </c>
      <c r="AD505">
        <v>6540.5</v>
      </c>
      <c r="AE505">
        <v>8736.7999999999993</v>
      </c>
      <c r="AF505">
        <v>9382.7000000000007</v>
      </c>
      <c r="AG505">
        <v>1452.5</v>
      </c>
      <c r="AH505">
        <v>7438.6</v>
      </c>
      <c r="AI505">
        <v>4142</v>
      </c>
      <c r="AJ505">
        <v>552.30000000000007</v>
      </c>
      <c r="AK505">
        <v>716.59999999999991</v>
      </c>
      <c r="AL505">
        <v>755.59999999999991</v>
      </c>
      <c r="AM505">
        <v>25.2</v>
      </c>
      <c r="AN505">
        <v>25.2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</row>
    <row r="506" spans="1:60">
      <c r="A506" t="s">
        <v>118</v>
      </c>
      <c r="B506" t="s">
        <v>194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AC506" t="s">
        <v>16</v>
      </c>
      <c r="AD506" t="s">
        <v>16</v>
      </c>
      <c r="AE506">
        <v>3354</v>
      </c>
      <c r="AF506">
        <v>200</v>
      </c>
      <c r="AG506" t="s">
        <v>16</v>
      </c>
      <c r="AH506" t="s">
        <v>16</v>
      </c>
      <c r="AI506" t="s">
        <v>16</v>
      </c>
      <c r="AJ506" t="s">
        <v>16</v>
      </c>
      <c r="AK506">
        <v>7</v>
      </c>
      <c r="AL506">
        <v>5.2</v>
      </c>
      <c r="AM506">
        <v>4</v>
      </c>
      <c r="AN506">
        <v>3.8000000000000003</v>
      </c>
      <c r="AO506">
        <v>2.8000000000000003</v>
      </c>
      <c r="AP506">
        <v>96</v>
      </c>
      <c r="AQ506">
        <v>120.80000000000001</v>
      </c>
      <c r="AR506">
        <v>2.9</v>
      </c>
      <c r="AS506">
        <v>2.2000000000000002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</row>
    <row r="507" spans="1:60">
      <c r="A507" t="s">
        <v>118</v>
      </c>
      <c r="B507" t="s">
        <v>195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1663.578</v>
      </c>
      <c r="Y507">
        <v>1956</v>
      </c>
      <c r="Z507">
        <v>2225</v>
      </c>
      <c r="AA507">
        <v>1390</v>
      </c>
      <c r="AB507">
        <v>1480</v>
      </c>
      <c r="AC507">
        <v>3242</v>
      </c>
      <c r="AD507">
        <v>9690</v>
      </c>
      <c r="AE507">
        <v>1000</v>
      </c>
      <c r="AF507">
        <v>1351</v>
      </c>
      <c r="AG507">
        <v>10528</v>
      </c>
      <c r="AH507">
        <v>11288</v>
      </c>
      <c r="AI507">
        <v>12048</v>
      </c>
      <c r="AJ507">
        <v>12808</v>
      </c>
      <c r="AK507">
        <v>13531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</row>
    <row r="508" spans="1:60">
      <c r="A508" t="s">
        <v>118</v>
      </c>
      <c r="B508" t="s">
        <v>197</v>
      </c>
      <c r="C508">
        <v>88.968999999999994</v>
      </c>
      <c r="D508">
        <v>90.964999999999989</v>
      </c>
      <c r="E508">
        <v>92.960999999999984</v>
      </c>
      <c r="F508">
        <v>94.956999999999979</v>
      </c>
      <c r="G508">
        <v>96.952999999999975</v>
      </c>
      <c r="H508">
        <v>98.94899999999997</v>
      </c>
      <c r="I508">
        <v>100.94499999999996</v>
      </c>
      <c r="J508">
        <v>102.94099999999996</v>
      </c>
      <c r="K508">
        <v>104.93699999999995</v>
      </c>
      <c r="L508">
        <v>106.93299999999995</v>
      </c>
      <c r="M508">
        <v>108.92899999999995</v>
      </c>
      <c r="N508">
        <v>110.92499999999994</v>
      </c>
      <c r="O508">
        <v>112.92099999999994</v>
      </c>
      <c r="P508">
        <v>114.91699999999993</v>
      </c>
      <c r="Q508">
        <v>116.91299999999993</v>
      </c>
      <c r="R508">
        <v>118.90899999999992</v>
      </c>
      <c r="S508">
        <v>7.0547160000000035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</row>
    <row r="509" spans="1:60">
      <c r="A509" t="s">
        <v>119</v>
      </c>
      <c r="B509" t="s">
        <v>198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52712</v>
      </c>
      <c r="BE509">
        <v>0</v>
      </c>
      <c r="BF509">
        <v>0</v>
      </c>
      <c r="BG509">
        <v>0</v>
      </c>
      <c r="BH509">
        <v>0</v>
      </c>
    </row>
    <row r="510" spans="1:60">
      <c r="A510" t="s">
        <v>119</v>
      </c>
      <c r="B510" t="s">
        <v>193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52712</v>
      </c>
      <c r="BE510">
        <v>0</v>
      </c>
      <c r="BF510">
        <v>0</v>
      </c>
      <c r="BG510">
        <v>0</v>
      </c>
      <c r="BH510">
        <v>0</v>
      </c>
    </row>
    <row r="511" spans="1:60">
      <c r="A511" t="s">
        <v>120</v>
      </c>
      <c r="B511" t="s">
        <v>198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1103</v>
      </c>
      <c r="BG511">
        <v>25904</v>
      </c>
      <c r="BH511">
        <v>52546</v>
      </c>
    </row>
    <row r="512" spans="1:60">
      <c r="A512" t="s">
        <v>120</v>
      </c>
      <c r="B512" t="s">
        <v>197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1103</v>
      </c>
      <c r="BG512">
        <v>25904</v>
      </c>
      <c r="BH512">
        <v>52546</v>
      </c>
    </row>
    <row r="513" spans="1:60">
      <c r="A513" t="s">
        <v>121</v>
      </c>
      <c r="B513" t="s">
        <v>198</v>
      </c>
      <c r="C513">
        <v>272.75692199999997</v>
      </c>
      <c r="D513">
        <v>279.62212199999999</v>
      </c>
      <c r="E513">
        <v>286.48732200000001</v>
      </c>
      <c r="F513">
        <v>293.35252200000002</v>
      </c>
      <c r="G513">
        <v>300.21772199999998</v>
      </c>
      <c r="H513">
        <v>307.082922</v>
      </c>
      <c r="I513">
        <v>313.94812200000001</v>
      </c>
      <c r="J513">
        <v>309.657082</v>
      </c>
      <c r="K513">
        <v>316.324682</v>
      </c>
      <c r="L513">
        <v>322.99228199999999</v>
      </c>
      <c r="M513">
        <v>329.36615599999999</v>
      </c>
      <c r="N513">
        <v>340.21014000000002</v>
      </c>
      <c r="O513">
        <v>341.17344600000001</v>
      </c>
      <c r="P513">
        <v>347.19431400000008</v>
      </c>
      <c r="Q513">
        <v>354.1358800000001</v>
      </c>
      <c r="R513">
        <v>350.89769400000012</v>
      </c>
      <c r="S513">
        <v>54.325487999999993</v>
      </c>
      <c r="T513">
        <v>0</v>
      </c>
      <c r="U513">
        <v>0</v>
      </c>
      <c r="V513">
        <v>0</v>
      </c>
      <c r="W513">
        <v>95</v>
      </c>
      <c r="X513">
        <v>1359.0989999999999</v>
      </c>
      <c r="Y513">
        <v>2021.5</v>
      </c>
      <c r="Z513">
        <v>693</v>
      </c>
      <c r="AA513">
        <v>0</v>
      </c>
      <c r="AB513">
        <v>0</v>
      </c>
      <c r="AC513">
        <v>1839.7897816255504</v>
      </c>
      <c r="AD513">
        <v>177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2.0019999999999998</v>
      </c>
      <c r="AO513">
        <v>65.196999999999989</v>
      </c>
      <c r="AP513">
        <v>61.997999999999998</v>
      </c>
      <c r="AQ513">
        <v>28.038</v>
      </c>
      <c r="AR513">
        <v>33.81</v>
      </c>
      <c r="AS513">
        <v>126.643</v>
      </c>
      <c r="AT513">
        <v>117.44300000000001</v>
      </c>
      <c r="AU513">
        <v>52.031999999999996</v>
      </c>
      <c r="AV513">
        <v>70.338999999999999</v>
      </c>
      <c r="AW513">
        <v>266.51799999999997</v>
      </c>
      <c r="AX513">
        <v>261.529</v>
      </c>
      <c r="AY513">
        <v>239.28300000000002</v>
      </c>
      <c r="AZ513">
        <v>6.9630000000000001</v>
      </c>
      <c r="BA513">
        <v>39.308</v>
      </c>
      <c r="BB513">
        <v>39.302999999999997</v>
      </c>
      <c r="BC513">
        <v>1.254</v>
      </c>
      <c r="BD513">
        <v>1.194</v>
      </c>
      <c r="BE513">
        <v>1.8740000000000001</v>
      </c>
      <c r="BF513">
        <v>1.8159999999999998</v>
      </c>
      <c r="BG513">
        <v>1.7749999999999999</v>
      </c>
      <c r="BH513">
        <v>0</v>
      </c>
    </row>
    <row r="514" spans="1:60">
      <c r="A514" t="s">
        <v>121</v>
      </c>
      <c r="B514" t="s">
        <v>190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95</v>
      </c>
      <c r="X514">
        <v>0</v>
      </c>
      <c r="Y514">
        <v>13.5</v>
      </c>
      <c r="Z514">
        <v>0</v>
      </c>
      <c r="AA514">
        <v>0</v>
      </c>
      <c r="AB514">
        <v>0</v>
      </c>
      <c r="AC514">
        <v>1039.7897816255504</v>
      </c>
      <c r="AD514">
        <v>74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</row>
    <row r="515" spans="1:60">
      <c r="A515" t="s">
        <v>121</v>
      </c>
      <c r="B515" t="s">
        <v>191</v>
      </c>
      <c r="AD515">
        <v>103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</row>
    <row r="516" spans="1:60">
      <c r="A516" t="s">
        <v>121</v>
      </c>
      <c r="B516" t="s">
        <v>192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410</v>
      </c>
      <c r="Z516">
        <v>126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</row>
    <row r="517" spans="1:60">
      <c r="A517" t="s">
        <v>121</v>
      </c>
      <c r="B517" t="s">
        <v>193</v>
      </c>
      <c r="Y517" t="s">
        <v>16</v>
      </c>
      <c r="Z517" t="s">
        <v>16</v>
      </c>
      <c r="AN517">
        <v>2.0019999999999998</v>
      </c>
      <c r="AO517">
        <v>0.20399999999999999</v>
      </c>
      <c r="AP517">
        <v>0.20399999999999999</v>
      </c>
      <c r="AQ517">
        <v>4.45</v>
      </c>
      <c r="AR517">
        <v>4.51</v>
      </c>
      <c r="AS517">
        <v>90.234000000000009</v>
      </c>
      <c r="AT517">
        <v>87.513000000000005</v>
      </c>
      <c r="AU517">
        <v>9.343</v>
      </c>
      <c r="AV517">
        <v>30.604999999999997</v>
      </c>
      <c r="AW517">
        <v>230.06399999999999</v>
      </c>
      <c r="AX517">
        <v>227.81100000000001</v>
      </c>
      <c r="AY517">
        <v>227.47500000000002</v>
      </c>
      <c r="AZ517">
        <v>6.5250000000000004</v>
      </c>
      <c r="BA517">
        <v>38.960999999999999</v>
      </c>
      <c r="BB517">
        <v>38.960999999999999</v>
      </c>
      <c r="BC517">
        <v>1.254</v>
      </c>
      <c r="BD517">
        <v>1.194</v>
      </c>
      <c r="BE517">
        <v>1.8740000000000001</v>
      </c>
      <c r="BF517">
        <v>1.8159999999999998</v>
      </c>
      <c r="BG517">
        <v>1.7749999999999999</v>
      </c>
      <c r="BH517">
        <v>0</v>
      </c>
    </row>
    <row r="518" spans="1:60">
      <c r="A518" t="s">
        <v>121</v>
      </c>
      <c r="B518" t="s">
        <v>194</v>
      </c>
      <c r="AN518">
        <v>0</v>
      </c>
      <c r="AO518">
        <v>64.992999999999995</v>
      </c>
      <c r="AP518">
        <v>61.793999999999997</v>
      </c>
      <c r="AQ518">
        <v>23.588000000000001</v>
      </c>
      <c r="AR518">
        <v>29.3</v>
      </c>
      <c r="AS518">
        <v>36.408999999999999</v>
      </c>
      <c r="AT518">
        <v>29.93</v>
      </c>
      <c r="AU518">
        <v>42.689</v>
      </c>
      <c r="AV518">
        <v>39.734000000000002</v>
      </c>
      <c r="AW518">
        <v>36.454000000000001</v>
      </c>
      <c r="AX518">
        <v>33.718000000000004</v>
      </c>
      <c r="AY518">
        <v>11.808</v>
      </c>
      <c r="AZ518">
        <v>0.438</v>
      </c>
      <c r="BA518">
        <v>0.34699999999999998</v>
      </c>
      <c r="BB518">
        <v>0.34199999999999997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</row>
    <row r="519" spans="1:60">
      <c r="A519" t="s">
        <v>121</v>
      </c>
      <c r="B519" t="s">
        <v>195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1359.0989999999999</v>
      </c>
      <c r="Y519">
        <v>1598</v>
      </c>
      <c r="Z519">
        <v>567</v>
      </c>
      <c r="AA519">
        <v>0</v>
      </c>
      <c r="AB519">
        <v>0</v>
      </c>
      <c r="AC519">
        <v>800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</row>
    <row r="520" spans="1:60">
      <c r="A520" t="s">
        <v>121</v>
      </c>
      <c r="B520" t="s">
        <v>197</v>
      </c>
      <c r="C520">
        <v>272.75692199999997</v>
      </c>
      <c r="D520">
        <v>279.62212199999999</v>
      </c>
      <c r="E520">
        <v>286.48732200000001</v>
      </c>
      <c r="F520">
        <v>293.35252200000002</v>
      </c>
      <c r="G520">
        <v>300.21772199999998</v>
      </c>
      <c r="H520">
        <v>307.082922</v>
      </c>
      <c r="I520">
        <v>313.94812200000001</v>
      </c>
      <c r="J520">
        <v>309.657082</v>
      </c>
      <c r="K520">
        <v>316.324682</v>
      </c>
      <c r="L520">
        <v>322.99228199999999</v>
      </c>
      <c r="M520">
        <v>329.36615599999999</v>
      </c>
      <c r="N520">
        <v>340.21014000000002</v>
      </c>
      <c r="O520">
        <v>341.17344600000001</v>
      </c>
      <c r="P520">
        <v>347.19431400000008</v>
      </c>
      <c r="Q520">
        <v>354.1358800000001</v>
      </c>
      <c r="R520">
        <v>350.89769400000012</v>
      </c>
      <c r="S520">
        <v>54.325487999999993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</row>
    <row r="521" spans="1:60">
      <c r="A521" t="s">
        <v>122</v>
      </c>
      <c r="B521" t="s">
        <v>198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4.4999999999999998E-2</v>
      </c>
      <c r="T521">
        <v>1E-3</v>
      </c>
      <c r="U521">
        <v>0</v>
      </c>
      <c r="V521">
        <v>8.0000000000000002E-3</v>
      </c>
      <c r="W521">
        <v>1.6E-2</v>
      </c>
      <c r="X521">
        <v>0</v>
      </c>
      <c r="Y521">
        <v>0</v>
      </c>
      <c r="Z521">
        <v>0</v>
      </c>
      <c r="AA521">
        <v>0.47600000000000003</v>
      </c>
      <c r="AB521">
        <v>0</v>
      </c>
      <c r="AC521">
        <v>0.61799999999999999</v>
      </c>
      <c r="AD521">
        <v>3.3260000000000001</v>
      </c>
      <c r="AE521">
        <v>7.2169999999999996</v>
      </c>
      <c r="AF521">
        <v>73.14</v>
      </c>
      <c r="AG521">
        <v>9.8849999999999998</v>
      </c>
      <c r="AH521">
        <v>13.234999999999999</v>
      </c>
      <c r="AI521">
        <v>21.372999999999998</v>
      </c>
      <c r="AJ521">
        <v>34.311999999999998</v>
      </c>
      <c r="AK521">
        <v>56.545000000000002</v>
      </c>
      <c r="AL521">
        <v>141.726</v>
      </c>
      <c r="AM521">
        <v>75.917000000000002</v>
      </c>
      <c r="AN521">
        <v>96.504000000000005</v>
      </c>
      <c r="AO521">
        <v>110.5</v>
      </c>
      <c r="AP521">
        <v>87.576999999999998</v>
      </c>
      <c r="AQ521">
        <v>93.522999999999996</v>
      </c>
      <c r="AR521">
        <v>114.35599999999999</v>
      </c>
      <c r="AS521">
        <v>114.4</v>
      </c>
      <c r="AT521">
        <v>114.58</v>
      </c>
      <c r="AU521">
        <v>119.82000000000001</v>
      </c>
      <c r="AV521">
        <v>200</v>
      </c>
      <c r="AW521">
        <v>1296.8839999999998</v>
      </c>
      <c r="AX521">
        <v>74.179000000000002</v>
      </c>
      <c r="AY521">
        <v>34.494999999999997</v>
      </c>
      <c r="AZ521">
        <v>7.4580000000000002</v>
      </c>
      <c r="BA521">
        <v>6.4029999999999996</v>
      </c>
      <c r="BB521">
        <v>6.3330000000000002</v>
      </c>
      <c r="BC521">
        <v>4.734</v>
      </c>
      <c r="BD521">
        <v>5.37</v>
      </c>
      <c r="BE521">
        <v>5.7880000000000003</v>
      </c>
      <c r="BF521">
        <v>5.2690000000000001</v>
      </c>
      <c r="BG521">
        <v>5.1789999999999994</v>
      </c>
      <c r="BH521" t="s">
        <v>16</v>
      </c>
    </row>
    <row r="522" spans="1:60">
      <c r="A522" t="s">
        <v>122</v>
      </c>
      <c r="B522" t="s">
        <v>190</v>
      </c>
      <c r="AK522">
        <v>0.2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</row>
    <row r="523" spans="1:60">
      <c r="A523" t="s">
        <v>122</v>
      </c>
      <c r="B523" t="s">
        <v>192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O523">
        <v>54</v>
      </c>
      <c r="AS523">
        <v>1</v>
      </c>
      <c r="AV523">
        <v>90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</row>
    <row r="524" spans="1:60">
      <c r="A524" t="s">
        <v>122</v>
      </c>
      <c r="B524" t="s">
        <v>193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4.4999999999999998E-2</v>
      </c>
      <c r="T524">
        <v>1E-3</v>
      </c>
      <c r="U524">
        <v>0</v>
      </c>
      <c r="V524">
        <v>8.0000000000000002E-3</v>
      </c>
      <c r="W524">
        <v>1.6E-2</v>
      </c>
      <c r="X524">
        <v>0</v>
      </c>
      <c r="Y524">
        <v>0</v>
      </c>
      <c r="Z524">
        <v>0</v>
      </c>
      <c r="AA524">
        <v>0.47600000000000003</v>
      </c>
      <c r="AB524">
        <v>0</v>
      </c>
      <c r="AC524">
        <v>0.61799999999999999</v>
      </c>
      <c r="AD524">
        <v>3.3260000000000001</v>
      </c>
      <c r="AE524">
        <v>7.2169999999999996</v>
      </c>
      <c r="AF524">
        <v>73.14</v>
      </c>
      <c r="AG524">
        <v>9.8849999999999998</v>
      </c>
      <c r="AH524">
        <v>13.234999999999999</v>
      </c>
      <c r="AI524">
        <v>21.372999999999998</v>
      </c>
      <c r="AJ524">
        <v>33.311999999999998</v>
      </c>
      <c r="AK524">
        <v>54.545000000000002</v>
      </c>
      <c r="AL524">
        <v>67.825999999999993</v>
      </c>
      <c r="AM524">
        <v>74.117000000000004</v>
      </c>
      <c r="AN524">
        <v>95.103999999999999</v>
      </c>
      <c r="AO524">
        <v>55</v>
      </c>
      <c r="AP524">
        <v>86.277000000000001</v>
      </c>
      <c r="AQ524">
        <v>92.322999999999993</v>
      </c>
      <c r="AR524">
        <v>113.15599999999999</v>
      </c>
      <c r="AS524">
        <v>112</v>
      </c>
      <c r="AT524">
        <v>112.88</v>
      </c>
      <c r="AU524">
        <v>117.92</v>
      </c>
      <c r="AV524">
        <v>110</v>
      </c>
      <c r="AW524">
        <v>1296.8839999999998</v>
      </c>
      <c r="AX524">
        <v>74.179000000000002</v>
      </c>
      <c r="AY524">
        <v>34.494999999999997</v>
      </c>
      <c r="AZ524">
        <v>7.4580000000000002</v>
      </c>
      <c r="BA524">
        <v>6.4029999999999996</v>
      </c>
      <c r="BB524">
        <v>6.3330000000000002</v>
      </c>
      <c r="BC524">
        <v>4.734</v>
      </c>
      <c r="BD524">
        <v>5.37</v>
      </c>
      <c r="BE524">
        <v>5.7880000000000003</v>
      </c>
      <c r="BF524">
        <v>5.2690000000000001</v>
      </c>
      <c r="BG524">
        <v>5.1789999999999994</v>
      </c>
      <c r="BH524" t="s">
        <v>16</v>
      </c>
    </row>
    <row r="525" spans="1:60">
      <c r="A525" t="s">
        <v>122</v>
      </c>
      <c r="B525" t="s">
        <v>194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1</v>
      </c>
      <c r="AK525">
        <v>1.8</v>
      </c>
      <c r="AL525">
        <v>1.9</v>
      </c>
      <c r="AM525">
        <v>1.8</v>
      </c>
      <c r="AN525">
        <v>1.4000000000000001</v>
      </c>
      <c r="AO525">
        <v>1.5</v>
      </c>
      <c r="AP525">
        <v>1.3</v>
      </c>
      <c r="AQ525">
        <v>1.2000000000000002</v>
      </c>
      <c r="AR525">
        <v>1.2000000000000002</v>
      </c>
      <c r="AS525">
        <v>1.4000000000000001</v>
      </c>
      <c r="AT525">
        <v>1.7</v>
      </c>
      <c r="AU525">
        <v>1.9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</row>
    <row r="526" spans="1:60">
      <c r="A526" t="s">
        <v>122</v>
      </c>
      <c r="B526" t="s">
        <v>196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72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</row>
    <row r="527" spans="1:60">
      <c r="A527" t="s">
        <v>123</v>
      </c>
      <c r="B527" t="s">
        <v>198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0.2</v>
      </c>
      <c r="AG527">
        <v>0</v>
      </c>
      <c r="AH527">
        <v>0</v>
      </c>
      <c r="AI527">
        <v>1.2</v>
      </c>
      <c r="AJ527">
        <v>1.1000000000000001</v>
      </c>
      <c r="AK527">
        <v>1.7000000000000002</v>
      </c>
      <c r="AL527">
        <v>1.9</v>
      </c>
      <c r="AM527">
        <v>0.2</v>
      </c>
      <c r="AN527">
        <v>0.2</v>
      </c>
      <c r="AO527">
        <v>0.9</v>
      </c>
      <c r="AP527">
        <v>0.7</v>
      </c>
      <c r="AQ527">
        <v>1.5999999999999999</v>
      </c>
      <c r="AR527">
        <v>1.9</v>
      </c>
      <c r="AS527">
        <v>2</v>
      </c>
      <c r="AT527">
        <v>2.9</v>
      </c>
      <c r="AU527">
        <v>5.0999999999999996</v>
      </c>
      <c r="AV527">
        <v>4.7</v>
      </c>
      <c r="AW527">
        <v>5.5</v>
      </c>
      <c r="AX527">
        <v>2.7</v>
      </c>
      <c r="AY527">
        <v>11.1</v>
      </c>
      <c r="AZ527">
        <v>12.1</v>
      </c>
      <c r="BA527">
        <v>3.5</v>
      </c>
      <c r="BB527">
        <v>753</v>
      </c>
      <c r="BC527">
        <v>758</v>
      </c>
      <c r="BD527">
        <v>7.49</v>
      </c>
      <c r="BE527">
        <v>0</v>
      </c>
      <c r="BF527">
        <v>0</v>
      </c>
      <c r="BG527">
        <v>0</v>
      </c>
      <c r="BH527">
        <v>0</v>
      </c>
    </row>
    <row r="528" spans="1:60">
      <c r="A528" t="s">
        <v>123</v>
      </c>
      <c r="B528" t="s">
        <v>192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 t="s">
        <v>16</v>
      </c>
      <c r="BC528">
        <v>5</v>
      </c>
      <c r="BD528">
        <v>0</v>
      </c>
      <c r="BE528">
        <v>0</v>
      </c>
      <c r="BF528">
        <v>0</v>
      </c>
      <c r="BG528">
        <v>0</v>
      </c>
      <c r="BH528">
        <v>0</v>
      </c>
    </row>
    <row r="529" spans="1:60">
      <c r="A529" t="s">
        <v>123</v>
      </c>
      <c r="B529" t="s">
        <v>193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0.2</v>
      </c>
      <c r="AG529">
        <v>0</v>
      </c>
      <c r="AH529">
        <v>0</v>
      </c>
      <c r="AI529">
        <v>1.2</v>
      </c>
      <c r="AJ529">
        <v>1.1000000000000001</v>
      </c>
      <c r="AK529">
        <v>1.6</v>
      </c>
      <c r="AL529">
        <v>1.5</v>
      </c>
      <c r="AM529">
        <v>0.2</v>
      </c>
      <c r="AN529">
        <v>0.1</v>
      </c>
      <c r="AO529">
        <v>0.4</v>
      </c>
      <c r="AP529">
        <v>0.2</v>
      </c>
      <c r="AQ529">
        <v>0.2</v>
      </c>
      <c r="AR529">
        <v>0.4</v>
      </c>
      <c r="AS529">
        <v>0.5</v>
      </c>
      <c r="AT529">
        <v>0</v>
      </c>
      <c r="AU529">
        <v>1.2</v>
      </c>
      <c r="AV529">
        <v>0.8</v>
      </c>
      <c r="AW529">
        <v>0.30000000000000004</v>
      </c>
      <c r="AX529">
        <v>0.1</v>
      </c>
      <c r="AY529">
        <v>0.1</v>
      </c>
      <c r="AZ529">
        <v>1.5</v>
      </c>
      <c r="BA529">
        <v>3.3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</row>
    <row r="530" spans="1:60">
      <c r="A530" t="s">
        <v>123</v>
      </c>
      <c r="B530" t="s">
        <v>194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0.1</v>
      </c>
      <c r="AL530">
        <v>0.4</v>
      </c>
      <c r="AM530">
        <v>0</v>
      </c>
      <c r="AN530">
        <v>0.1</v>
      </c>
      <c r="AO530">
        <v>0.5</v>
      </c>
      <c r="AP530">
        <v>0.5</v>
      </c>
      <c r="AQ530">
        <v>1.4</v>
      </c>
      <c r="AR530">
        <v>1.5</v>
      </c>
      <c r="AS530">
        <v>1.5</v>
      </c>
      <c r="AT530">
        <v>2.9</v>
      </c>
      <c r="AU530">
        <v>3.9</v>
      </c>
      <c r="AV530">
        <v>3.9</v>
      </c>
      <c r="AW530">
        <v>5.2</v>
      </c>
      <c r="AX530">
        <v>2.6</v>
      </c>
      <c r="AY530">
        <v>11</v>
      </c>
      <c r="AZ530">
        <v>10.6</v>
      </c>
      <c r="BA530">
        <v>0.2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</row>
    <row r="531" spans="1:60">
      <c r="A531" t="s">
        <v>123</v>
      </c>
      <c r="B531" t="s">
        <v>195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603</v>
      </c>
      <c r="BC531">
        <v>603</v>
      </c>
      <c r="BD531">
        <v>0</v>
      </c>
      <c r="BE531">
        <v>0</v>
      </c>
      <c r="BF531">
        <v>0</v>
      </c>
      <c r="BG531">
        <v>0</v>
      </c>
      <c r="BH531">
        <v>0</v>
      </c>
    </row>
    <row r="532" spans="1:60">
      <c r="A532" t="s">
        <v>123</v>
      </c>
      <c r="B532" t="s">
        <v>197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150</v>
      </c>
      <c r="BC532">
        <v>150</v>
      </c>
      <c r="BD532">
        <v>7.49</v>
      </c>
      <c r="BE532">
        <v>0</v>
      </c>
      <c r="BF532">
        <v>0</v>
      </c>
      <c r="BG532">
        <v>0</v>
      </c>
      <c r="BH532">
        <v>0</v>
      </c>
    </row>
    <row r="533" spans="1:60">
      <c r="A533" t="s">
        <v>124</v>
      </c>
      <c r="B533" t="s">
        <v>198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1.2999999999999999E-2</v>
      </c>
      <c r="AE533">
        <v>9.1999999999999998E-2</v>
      </c>
      <c r="AF533">
        <v>0.11199999999999999</v>
      </c>
      <c r="AG533">
        <v>1.367</v>
      </c>
      <c r="AH533">
        <v>0.17</v>
      </c>
      <c r="AI533">
        <v>0.35499999999999998</v>
      </c>
      <c r="AJ533">
        <v>1.1579999999999999</v>
      </c>
      <c r="AK533">
        <v>0.42399999999999999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8.7999999999999995E-2</v>
      </c>
      <c r="AU533">
        <v>2E-3</v>
      </c>
      <c r="AV533">
        <v>0</v>
      </c>
      <c r="AW533">
        <v>0</v>
      </c>
      <c r="AX533">
        <v>0.73399999999999999</v>
      </c>
      <c r="AY533">
        <v>56.555999999999997</v>
      </c>
      <c r="AZ533">
        <v>4.6470000000000002</v>
      </c>
      <c r="BA533">
        <v>8.7859999999999996</v>
      </c>
      <c r="BB533">
        <v>5.5170000000000003</v>
      </c>
      <c r="BC533">
        <v>2.3289999999999997</v>
      </c>
      <c r="BD533">
        <v>2.9860000000000002</v>
      </c>
      <c r="BE533">
        <v>2.9860000000000002</v>
      </c>
      <c r="BF533">
        <v>2.99</v>
      </c>
      <c r="BG533">
        <v>3.2160000000000002</v>
      </c>
      <c r="BH533" t="s">
        <v>16</v>
      </c>
    </row>
    <row r="534" spans="1:60">
      <c r="A534" t="s">
        <v>124</v>
      </c>
      <c r="B534" t="s">
        <v>190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0.2</v>
      </c>
      <c r="AB534">
        <v>0.3</v>
      </c>
      <c r="AC534">
        <v>0.2</v>
      </c>
    </row>
    <row r="535" spans="1:60">
      <c r="A535" t="s">
        <v>124</v>
      </c>
      <c r="B535" t="s">
        <v>193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8.9999999999999993E-3</v>
      </c>
      <c r="AE535">
        <v>8.3000000000000004E-2</v>
      </c>
      <c r="AF535">
        <v>0.11199999999999999</v>
      </c>
      <c r="AG535">
        <v>1.365</v>
      </c>
      <c r="AH535">
        <v>0.17</v>
      </c>
      <c r="AI535">
        <v>0.35499999999999998</v>
      </c>
      <c r="AJ535">
        <v>1.1579999999999999</v>
      </c>
      <c r="AK535">
        <v>0.42399999999999999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2E-3</v>
      </c>
      <c r="AV535">
        <v>0</v>
      </c>
      <c r="AW535">
        <v>0</v>
      </c>
      <c r="AX535">
        <v>0.73</v>
      </c>
      <c r="AY535">
        <v>55.794999999999995</v>
      </c>
      <c r="AZ535">
        <v>3.16</v>
      </c>
      <c r="BA535">
        <v>4.8090000000000002</v>
      </c>
      <c r="BB535">
        <v>3.8250000000000002</v>
      </c>
      <c r="BC535">
        <v>2.3289999999999997</v>
      </c>
      <c r="BD535">
        <v>2.9860000000000002</v>
      </c>
      <c r="BE535">
        <v>2.9860000000000002</v>
      </c>
      <c r="BF535">
        <v>2.99</v>
      </c>
      <c r="BG535">
        <v>3.2160000000000002</v>
      </c>
      <c r="BH535" t="s">
        <v>16</v>
      </c>
    </row>
    <row r="536" spans="1:60">
      <c r="A536" t="s">
        <v>124</v>
      </c>
      <c r="B536" t="s">
        <v>194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4.0000000000000001E-3</v>
      </c>
      <c r="AE536">
        <v>8.9999999999999993E-3</v>
      </c>
      <c r="AF536">
        <v>0</v>
      </c>
      <c r="AG536">
        <v>2E-3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8.7999999999999995E-2</v>
      </c>
      <c r="AU536">
        <v>0</v>
      </c>
      <c r="AV536">
        <v>0</v>
      </c>
      <c r="AW536">
        <v>0</v>
      </c>
      <c r="AX536">
        <v>4.0000000000000001E-3</v>
      </c>
      <c r="AY536">
        <v>0.76100000000000001</v>
      </c>
      <c r="AZ536">
        <v>1.4870000000000001</v>
      </c>
      <c r="BA536">
        <v>3.9769999999999999</v>
      </c>
      <c r="BB536">
        <v>1.6919999999999999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</row>
    <row r="537" spans="1:60">
      <c r="A537" t="s">
        <v>125</v>
      </c>
      <c r="B537" t="s">
        <v>198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0.51</v>
      </c>
      <c r="AA537">
        <v>0.35</v>
      </c>
      <c r="AB537">
        <v>0.16999999999999998</v>
      </c>
      <c r="AC537">
        <v>0.13</v>
      </c>
      <c r="AD537">
        <v>0.21000000000000002</v>
      </c>
      <c r="AE537">
        <v>0.1</v>
      </c>
      <c r="AF537">
        <v>0.18</v>
      </c>
      <c r="AG537">
        <v>1.04</v>
      </c>
      <c r="AH537">
        <v>0.24000000000000002</v>
      </c>
      <c r="AI537">
        <v>0.08</v>
      </c>
      <c r="AJ537">
        <v>0.06</v>
      </c>
      <c r="AK537">
        <v>0.1</v>
      </c>
      <c r="AL537">
        <v>0.58000000000000007</v>
      </c>
      <c r="AM537">
        <v>1.75</v>
      </c>
      <c r="AN537">
        <v>1.79</v>
      </c>
      <c r="AO537">
        <v>0.2</v>
      </c>
      <c r="AP537">
        <v>0.45</v>
      </c>
      <c r="AQ537">
        <v>1.32</v>
      </c>
      <c r="AR537">
        <v>2.13</v>
      </c>
      <c r="AS537">
        <v>6.48</v>
      </c>
      <c r="AT537">
        <v>5.71</v>
      </c>
      <c r="AU537">
        <v>6.55</v>
      </c>
      <c r="AV537">
        <v>7.3099999999999987</v>
      </c>
      <c r="AW537">
        <v>0.79</v>
      </c>
      <c r="AX537">
        <v>44.74</v>
      </c>
      <c r="AY537">
        <v>0.45000000000000007</v>
      </c>
      <c r="AZ537">
        <v>1.3599999999999999</v>
      </c>
      <c r="BA537">
        <v>0.18000000000000002</v>
      </c>
      <c r="BB537">
        <v>0.18</v>
      </c>
      <c r="BC537">
        <v>0.18</v>
      </c>
      <c r="BD537">
        <v>0.03</v>
      </c>
      <c r="BE537">
        <v>0.03</v>
      </c>
      <c r="BF537">
        <v>0.13999999999999999</v>
      </c>
      <c r="BG537">
        <v>4.6080000000000005</v>
      </c>
      <c r="BH537">
        <v>0</v>
      </c>
    </row>
    <row r="538" spans="1:60">
      <c r="A538" t="s">
        <v>125</v>
      </c>
      <c r="B538" t="s">
        <v>193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0.51</v>
      </c>
      <c r="AA538">
        <v>0.35</v>
      </c>
      <c r="AB538">
        <v>0.16999999999999998</v>
      </c>
      <c r="AC538">
        <v>0.13</v>
      </c>
      <c r="AD538">
        <v>0.21000000000000002</v>
      </c>
      <c r="AE538">
        <v>0.1</v>
      </c>
      <c r="AF538">
        <v>0.18</v>
      </c>
      <c r="AG538">
        <v>1.04</v>
      </c>
      <c r="AH538">
        <v>0.24000000000000002</v>
      </c>
      <c r="AI538">
        <v>0.08</v>
      </c>
      <c r="AJ538">
        <v>0.06</v>
      </c>
      <c r="AK538">
        <v>0.1</v>
      </c>
      <c r="AL538">
        <v>0.38</v>
      </c>
      <c r="AM538">
        <v>0.35</v>
      </c>
      <c r="AN538">
        <v>1.69</v>
      </c>
      <c r="AO538">
        <v>0.2</v>
      </c>
      <c r="AP538">
        <v>0.45</v>
      </c>
      <c r="AQ538">
        <v>1.32</v>
      </c>
      <c r="AR538">
        <v>1.23</v>
      </c>
      <c r="AS538">
        <v>4.4800000000000004</v>
      </c>
      <c r="AT538">
        <v>1.5099999999999998</v>
      </c>
      <c r="AU538">
        <v>1.4500000000000002</v>
      </c>
      <c r="AV538">
        <v>1.1099999999999999</v>
      </c>
      <c r="AW538">
        <v>0.79</v>
      </c>
      <c r="AX538">
        <v>44.74</v>
      </c>
      <c r="AY538">
        <v>0.35000000000000003</v>
      </c>
      <c r="AZ538">
        <v>0.76</v>
      </c>
      <c r="BA538">
        <v>0.18000000000000002</v>
      </c>
      <c r="BB538">
        <v>0.18</v>
      </c>
      <c r="BC538">
        <v>0.18</v>
      </c>
      <c r="BD538">
        <v>0.03</v>
      </c>
      <c r="BE538">
        <v>0.03</v>
      </c>
      <c r="BF538">
        <v>0.13999999999999999</v>
      </c>
      <c r="BG538">
        <v>4.6080000000000005</v>
      </c>
      <c r="BH538">
        <v>0</v>
      </c>
    </row>
    <row r="539" spans="1:60">
      <c r="A539" t="s">
        <v>125</v>
      </c>
      <c r="B539" t="s">
        <v>194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0.2</v>
      </c>
      <c r="AM539">
        <v>1.4</v>
      </c>
      <c r="AN539">
        <v>0.1</v>
      </c>
      <c r="AO539">
        <v>0</v>
      </c>
      <c r="AP539">
        <v>0</v>
      </c>
      <c r="AQ539">
        <v>0</v>
      </c>
      <c r="AR539">
        <v>0.9</v>
      </c>
      <c r="AS539">
        <v>2</v>
      </c>
      <c r="AT539">
        <v>4.2</v>
      </c>
      <c r="AU539">
        <v>5.0999999999999996</v>
      </c>
      <c r="AV539">
        <v>6.1999999999999993</v>
      </c>
      <c r="AW539">
        <v>0</v>
      </c>
      <c r="AX539">
        <v>0</v>
      </c>
      <c r="AY539">
        <v>0.1</v>
      </c>
      <c r="AZ539">
        <v>0.6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</row>
    <row r="540" spans="1:60">
      <c r="A540" t="s">
        <v>126</v>
      </c>
      <c r="B540" t="s">
        <v>198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0.35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0.65900000000000003</v>
      </c>
      <c r="Y540">
        <v>2.1709999999999998</v>
      </c>
      <c r="Z540">
        <v>2.7569999999999997</v>
      </c>
      <c r="AA540">
        <v>1.5609999999999999</v>
      </c>
      <c r="AB540">
        <v>1.69</v>
      </c>
      <c r="AC540">
        <v>0</v>
      </c>
      <c r="AD540">
        <v>0</v>
      </c>
      <c r="AE540">
        <v>4.8000000000000001E-2</v>
      </c>
      <c r="AF540">
        <v>0.14799999999999999</v>
      </c>
      <c r="AG540">
        <v>0</v>
      </c>
      <c r="AH540">
        <v>7.0000000000000001E-3</v>
      </c>
      <c r="AI540">
        <v>0</v>
      </c>
      <c r="AJ540">
        <v>0.30200000000000005</v>
      </c>
      <c r="AK540">
        <v>0</v>
      </c>
      <c r="AL540">
        <v>0</v>
      </c>
      <c r="AM540">
        <v>3.0000000000000001E-3</v>
      </c>
      <c r="AN540">
        <v>1.7000000000000001E-2</v>
      </c>
      <c r="AO540">
        <v>0</v>
      </c>
      <c r="AP540">
        <v>0</v>
      </c>
      <c r="AQ540">
        <v>0</v>
      </c>
      <c r="AR540">
        <v>2.3E-2</v>
      </c>
      <c r="AS540">
        <v>5.6000000000000001E-2</v>
      </c>
      <c r="AT540">
        <v>0</v>
      </c>
      <c r="AU540">
        <v>0</v>
      </c>
      <c r="AV540">
        <v>0</v>
      </c>
      <c r="AW540">
        <v>12.15</v>
      </c>
      <c r="AX540">
        <v>19</v>
      </c>
      <c r="AY540">
        <v>0</v>
      </c>
      <c r="AZ540">
        <v>8.9999999999999993E-3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</row>
    <row r="541" spans="1:60">
      <c r="A541" t="s">
        <v>126</v>
      </c>
      <c r="B541" t="s">
        <v>191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19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</row>
    <row r="542" spans="1:60">
      <c r="A542" t="s">
        <v>126</v>
      </c>
      <c r="B542" t="s">
        <v>193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0.65900000000000003</v>
      </c>
      <c r="Y542">
        <v>2.1709999999999998</v>
      </c>
      <c r="Z542">
        <v>2.7569999999999997</v>
      </c>
      <c r="AA542">
        <v>1.5609999999999999</v>
      </c>
      <c r="AB542">
        <v>1.69</v>
      </c>
      <c r="AC542">
        <v>0</v>
      </c>
      <c r="AD542">
        <v>0</v>
      </c>
      <c r="AE542">
        <v>4.8000000000000001E-2</v>
      </c>
      <c r="AF542">
        <v>0.14799999999999999</v>
      </c>
      <c r="AG542">
        <v>0</v>
      </c>
      <c r="AH542">
        <v>7.0000000000000001E-3</v>
      </c>
      <c r="AI542">
        <v>0</v>
      </c>
      <c r="AJ542">
        <v>0.28500000000000003</v>
      </c>
      <c r="AK542">
        <v>0</v>
      </c>
      <c r="AL542">
        <v>0</v>
      </c>
      <c r="AM542">
        <v>3.0000000000000001E-3</v>
      </c>
      <c r="AN542">
        <v>1.7000000000000001E-2</v>
      </c>
      <c r="AO542">
        <v>0</v>
      </c>
      <c r="AP542">
        <v>0</v>
      </c>
      <c r="AQ542">
        <v>0</v>
      </c>
      <c r="AR542">
        <v>2.3E-2</v>
      </c>
      <c r="AS542">
        <v>5.6000000000000001E-2</v>
      </c>
      <c r="AT542">
        <v>0</v>
      </c>
      <c r="AU542">
        <v>0</v>
      </c>
      <c r="AV542">
        <v>0</v>
      </c>
      <c r="AW542">
        <v>12.15</v>
      </c>
      <c r="AX542">
        <v>0</v>
      </c>
      <c r="AY542">
        <v>0</v>
      </c>
      <c r="AZ542">
        <v>8.9999999999999993E-3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</row>
    <row r="543" spans="1:60">
      <c r="A543" t="s">
        <v>126</v>
      </c>
      <c r="B543" t="s">
        <v>194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0.35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1.7000000000000001E-2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</row>
    <row r="544" spans="1:60">
      <c r="A544" t="s">
        <v>127</v>
      </c>
      <c r="B544" t="s">
        <v>198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1.9E-2</v>
      </c>
      <c r="AA544">
        <v>0.45499999999999996</v>
      </c>
      <c r="AB544">
        <v>2.968</v>
      </c>
      <c r="AC544">
        <v>6.2229999999999999</v>
      </c>
      <c r="AD544">
        <v>15.93</v>
      </c>
      <c r="AE544">
        <v>21.712</v>
      </c>
      <c r="AF544">
        <v>28.325000000000003</v>
      </c>
      <c r="AG544">
        <v>37.010000000000005</v>
      </c>
      <c r="AH544">
        <v>44.541999999999994</v>
      </c>
      <c r="AI544">
        <v>50.162999999999997</v>
      </c>
      <c r="AJ544">
        <v>59.638999999999996</v>
      </c>
      <c r="AK544">
        <v>65.24799999999999</v>
      </c>
      <c r="AL544">
        <v>56.024000000000001</v>
      </c>
      <c r="AM544">
        <v>28.789000000000001</v>
      </c>
      <c r="AN544">
        <v>32.186999999999998</v>
      </c>
      <c r="AO544">
        <v>38.68</v>
      </c>
      <c r="AP544">
        <v>99.625</v>
      </c>
      <c r="AQ544">
        <v>93</v>
      </c>
      <c r="AR544">
        <v>62.655000000000001</v>
      </c>
      <c r="AS544">
        <v>62.806000000000004</v>
      </c>
      <c r="AT544">
        <v>67.272000000000006</v>
      </c>
      <c r="AU544">
        <v>72.769000000000005</v>
      </c>
      <c r="AV544">
        <v>74</v>
      </c>
      <c r="AW544">
        <v>89.064000000000007</v>
      </c>
      <c r="AX544">
        <v>276</v>
      </c>
      <c r="AY544">
        <v>116.36699999999999</v>
      </c>
      <c r="AZ544">
        <v>71.295000000000002</v>
      </c>
      <c r="BA544">
        <v>73.680999999999997</v>
      </c>
      <c r="BB544">
        <v>75.738</v>
      </c>
      <c r="BC544">
        <v>74.281999999999996</v>
      </c>
      <c r="BD544">
        <v>75.301999999999992</v>
      </c>
      <c r="BE544">
        <v>76.317999999999998</v>
      </c>
      <c r="BF544">
        <v>76.025999999999996</v>
      </c>
      <c r="BG544">
        <v>78.971999999999994</v>
      </c>
      <c r="BH544" t="s">
        <v>16</v>
      </c>
    </row>
    <row r="545" spans="1:60">
      <c r="A545" t="s">
        <v>127</v>
      </c>
      <c r="B545" t="s">
        <v>192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Q545">
        <v>27</v>
      </c>
      <c r="AV545">
        <v>27</v>
      </c>
      <c r="AX545">
        <v>24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</row>
    <row r="546" spans="1:60">
      <c r="A546" t="s">
        <v>127</v>
      </c>
      <c r="B546" t="s">
        <v>193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1.9E-2</v>
      </c>
      <c r="AA546">
        <v>0.45499999999999996</v>
      </c>
      <c r="AB546">
        <v>2.8679999999999999</v>
      </c>
      <c r="AC546">
        <v>6.0229999999999997</v>
      </c>
      <c r="AD546">
        <v>9.23</v>
      </c>
      <c r="AE546">
        <v>13.612</v>
      </c>
      <c r="AF546">
        <v>20.225000000000001</v>
      </c>
      <c r="AG546">
        <v>27.810000000000002</v>
      </c>
      <c r="AH546">
        <v>34.241999999999997</v>
      </c>
      <c r="AI546">
        <v>39.762999999999998</v>
      </c>
      <c r="AJ546">
        <v>48.238999999999997</v>
      </c>
      <c r="AK546">
        <v>52.847999999999999</v>
      </c>
      <c r="AL546">
        <v>55.673999999999999</v>
      </c>
      <c r="AM546">
        <v>28.789000000000001</v>
      </c>
      <c r="AN546">
        <v>32.186999999999998</v>
      </c>
      <c r="AO546">
        <v>38.68</v>
      </c>
      <c r="AP546">
        <v>99.625</v>
      </c>
      <c r="AQ546">
        <v>66</v>
      </c>
      <c r="AR546">
        <v>62.655000000000001</v>
      </c>
      <c r="AS546">
        <v>62.806000000000004</v>
      </c>
      <c r="AT546">
        <v>67.272000000000006</v>
      </c>
      <c r="AU546">
        <v>72.769000000000005</v>
      </c>
      <c r="AV546">
        <v>47</v>
      </c>
      <c r="AW546">
        <v>89.064000000000007</v>
      </c>
      <c r="AX546">
        <v>252</v>
      </c>
      <c r="AY546">
        <v>116.36699999999999</v>
      </c>
      <c r="AZ546">
        <v>71.295000000000002</v>
      </c>
      <c r="BA546">
        <v>73.680999999999997</v>
      </c>
      <c r="BB546">
        <v>75.738</v>
      </c>
      <c r="BC546">
        <v>74.281999999999996</v>
      </c>
      <c r="BD546">
        <v>75.301999999999992</v>
      </c>
      <c r="BE546">
        <v>76.317999999999998</v>
      </c>
      <c r="BF546">
        <v>76.025999999999996</v>
      </c>
      <c r="BG546">
        <v>78.971999999999994</v>
      </c>
      <c r="BH546" t="s">
        <v>16</v>
      </c>
    </row>
    <row r="547" spans="1:60">
      <c r="A547" t="s">
        <v>127</v>
      </c>
      <c r="B547" t="s">
        <v>194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0.1</v>
      </c>
      <c r="AC547">
        <v>0.2</v>
      </c>
      <c r="AD547">
        <v>0.7</v>
      </c>
      <c r="AE547">
        <v>1.1000000000000001</v>
      </c>
      <c r="AF547">
        <v>1.1000000000000001</v>
      </c>
      <c r="AG547">
        <v>1.2</v>
      </c>
      <c r="AH547">
        <v>1.3</v>
      </c>
      <c r="AI547">
        <v>1.4000000000000001</v>
      </c>
      <c r="AJ547">
        <v>1.4000000000000001</v>
      </c>
      <c r="AK547">
        <v>1.4000000000000001</v>
      </c>
      <c r="AL547">
        <v>0.35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</row>
    <row r="548" spans="1:60">
      <c r="A548" t="s">
        <v>127</v>
      </c>
      <c r="B548" t="s">
        <v>195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6</v>
      </c>
      <c r="AE548">
        <v>7</v>
      </c>
      <c r="AF548">
        <v>7</v>
      </c>
      <c r="AG548">
        <v>8</v>
      </c>
      <c r="AH548">
        <v>9</v>
      </c>
      <c r="AI548">
        <v>9</v>
      </c>
      <c r="AJ548">
        <v>10</v>
      </c>
      <c r="AK548">
        <v>11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</row>
    <row r="549" spans="1:60">
      <c r="A549" t="s">
        <v>128</v>
      </c>
      <c r="B549" t="s">
        <v>198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0.23600000000000002</v>
      </c>
      <c r="O549">
        <v>5.0000000000000001E-3</v>
      </c>
      <c r="P549">
        <v>0.20800000000000002</v>
      </c>
      <c r="Q549">
        <v>0.12400000000000001</v>
      </c>
      <c r="R549">
        <v>0.05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102.152</v>
      </c>
      <c r="Y549">
        <v>152.16300000000001</v>
      </c>
      <c r="Z549">
        <v>148.393</v>
      </c>
      <c r="AA549">
        <v>106.369</v>
      </c>
      <c r="AB549">
        <v>145.32799999999997</v>
      </c>
      <c r="AC549">
        <v>94.03</v>
      </c>
      <c r="AD549">
        <v>80.033999999999992</v>
      </c>
      <c r="AE549">
        <v>5.032</v>
      </c>
      <c r="AF549">
        <v>1060.0630000000001</v>
      </c>
      <c r="AG549">
        <v>161.797</v>
      </c>
      <c r="AH549">
        <v>263.423</v>
      </c>
      <c r="AI549">
        <v>207.953</v>
      </c>
      <c r="AJ549">
        <v>363.66399999999999</v>
      </c>
      <c r="AK549">
        <v>677</v>
      </c>
      <c r="AL549">
        <v>331</v>
      </c>
      <c r="AM549">
        <v>240.988</v>
      </c>
      <c r="AN549">
        <v>11.088000000000001</v>
      </c>
      <c r="AO549">
        <v>427</v>
      </c>
      <c r="AP549">
        <v>9.0489999999999995</v>
      </c>
      <c r="AQ549">
        <v>64.489000000000004</v>
      </c>
      <c r="AR549">
        <v>47.516999999999996</v>
      </c>
      <c r="AS549">
        <v>57.394999999999996</v>
      </c>
      <c r="AT549">
        <v>51.325000000000003</v>
      </c>
      <c r="AU549">
        <v>463</v>
      </c>
      <c r="AV549">
        <v>79.984999999999999</v>
      </c>
      <c r="AW549">
        <v>2507.0809999999997</v>
      </c>
      <c r="AX549">
        <v>161.601</v>
      </c>
      <c r="AY549">
        <v>7.5309999999999997</v>
      </c>
      <c r="AZ549">
        <v>4.5680000000000005</v>
      </c>
      <c r="BA549">
        <v>26.834</v>
      </c>
      <c r="BB549">
        <v>214.76300000000001</v>
      </c>
      <c r="BC549">
        <v>0</v>
      </c>
      <c r="BD549">
        <v>0.309</v>
      </c>
      <c r="BE549">
        <v>0</v>
      </c>
      <c r="BF549">
        <v>1.208</v>
      </c>
      <c r="BG549">
        <v>8.900000000000001E-2</v>
      </c>
      <c r="BH549">
        <v>0</v>
      </c>
    </row>
    <row r="550" spans="1:60">
      <c r="A550" t="s">
        <v>128</v>
      </c>
      <c r="B550" t="s">
        <v>192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78</v>
      </c>
      <c r="Y550">
        <v>74</v>
      </c>
      <c r="Z550">
        <v>70</v>
      </c>
      <c r="AB550">
        <v>106</v>
      </c>
      <c r="AC550">
        <v>88</v>
      </c>
      <c r="AD550">
        <v>74</v>
      </c>
      <c r="AF550">
        <v>136</v>
      </c>
      <c r="AG550">
        <v>107</v>
      </c>
      <c r="AH550">
        <v>233</v>
      </c>
      <c r="AK550">
        <v>233</v>
      </c>
      <c r="AL550">
        <v>168</v>
      </c>
      <c r="AM550" t="s">
        <v>16</v>
      </c>
      <c r="AN550" t="s">
        <v>16</v>
      </c>
      <c r="AO550">
        <v>427</v>
      </c>
      <c r="AP550" t="s">
        <v>16</v>
      </c>
      <c r="AQ550">
        <v>22</v>
      </c>
      <c r="AS550">
        <v>11</v>
      </c>
      <c r="AT550" t="s">
        <v>16</v>
      </c>
      <c r="AU550">
        <v>463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</row>
    <row r="551" spans="1:60">
      <c r="A551" t="s">
        <v>128</v>
      </c>
      <c r="B551" t="s">
        <v>193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0.22800000000000001</v>
      </c>
      <c r="O551">
        <v>5.0000000000000001E-3</v>
      </c>
      <c r="P551">
        <v>1.7000000000000001E-2</v>
      </c>
      <c r="Q551">
        <v>1.7000000000000001E-2</v>
      </c>
      <c r="R551">
        <v>2.7000000000000003E-2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0.307</v>
      </c>
      <c r="AA551">
        <v>18.544</v>
      </c>
      <c r="AB551">
        <v>18.058</v>
      </c>
      <c r="AC551">
        <v>6.0299999999999994</v>
      </c>
      <c r="AD551">
        <v>3.7789999999999999</v>
      </c>
      <c r="AE551">
        <v>5.032</v>
      </c>
      <c r="AF551">
        <v>907</v>
      </c>
      <c r="AG551" t="s">
        <v>16</v>
      </c>
      <c r="AH551" t="s">
        <v>16</v>
      </c>
      <c r="AI551">
        <v>149.953</v>
      </c>
      <c r="AJ551">
        <v>271.66399999999999</v>
      </c>
      <c r="AK551">
        <v>372</v>
      </c>
      <c r="AL551">
        <v>81</v>
      </c>
      <c r="AM551">
        <v>127.762</v>
      </c>
      <c r="AN551">
        <v>11.088000000000001</v>
      </c>
      <c r="AO551" t="s">
        <v>16</v>
      </c>
      <c r="AP551">
        <v>9.0489999999999995</v>
      </c>
      <c r="AQ551">
        <v>42.489000000000004</v>
      </c>
      <c r="AR551">
        <v>47.516999999999996</v>
      </c>
      <c r="AS551">
        <v>46.394999999999996</v>
      </c>
      <c r="AT551">
        <v>51.325000000000003</v>
      </c>
      <c r="AU551" t="s">
        <v>16</v>
      </c>
      <c r="AV551">
        <v>79.984999999999999</v>
      </c>
      <c r="AW551">
        <v>2507.0809999999997</v>
      </c>
      <c r="AX551">
        <v>161.601</v>
      </c>
      <c r="AY551">
        <v>7.5309999999999997</v>
      </c>
      <c r="AZ551">
        <v>4.5680000000000005</v>
      </c>
      <c r="BA551">
        <v>26.834</v>
      </c>
      <c r="BB551">
        <v>214.76300000000001</v>
      </c>
      <c r="BC551">
        <v>0</v>
      </c>
      <c r="BD551">
        <v>0.309</v>
      </c>
      <c r="BE551">
        <v>0</v>
      </c>
      <c r="BF551">
        <v>1.208</v>
      </c>
      <c r="BG551">
        <v>8.900000000000001E-2</v>
      </c>
      <c r="BH551">
        <v>0</v>
      </c>
    </row>
    <row r="552" spans="1:60">
      <c r="A552" t="s">
        <v>128</v>
      </c>
      <c r="B552" t="s">
        <v>194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8.0000000000000002E-3</v>
      </c>
      <c r="O552">
        <v>0</v>
      </c>
      <c r="P552">
        <v>0.191</v>
      </c>
      <c r="Q552">
        <v>0.10700000000000001</v>
      </c>
      <c r="R552">
        <v>2.3E-2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0.152</v>
      </c>
      <c r="Y552">
        <v>0.16300000000000001</v>
      </c>
      <c r="Z552">
        <v>8.5999999999999993E-2</v>
      </c>
      <c r="AA552">
        <v>9.8249999999999993</v>
      </c>
      <c r="AB552">
        <v>1.27</v>
      </c>
      <c r="AC552">
        <v>0</v>
      </c>
      <c r="AD552">
        <v>2.2549999999999999</v>
      </c>
      <c r="AE552">
        <v>0</v>
      </c>
      <c r="AF552">
        <v>17.063000000000002</v>
      </c>
      <c r="AG552">
        <v>17.797000000000001</v>
      </c>
      <c r="AH552">
        <v>30.423000000000002</v>
      </c>
      <c r="AI552" t="s">
        <v>16</v>
      </c>
      <c r="AJ552">
        <v>31</v>
      </c>
      <c r="AK552">
        <v>4</v>
      </c>
      <c r="AL552" t="s">
        <v>16</v>
      </c>
      <c r="AM552">
        <v>1.226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</row>
    <row r="553" spans="1:60">
      <c r="A553" t="s">
        <v>128</v>
      </c>
      <c r="B553" t="s">
        <v>195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24</v>
      </c>
      <c r="Y553">
        <v>78</v>
      </c>
      <c r="Z553">
        <v>78</v>
      </c>
      <c r="AA553">
        <v>78</v>
      </c>
      <c r="AB553">
        <v>20</v>
      </c>
      <c r="AC553">
        <v>0</v>
      </c>
      <c r="AD553">
        <v>0</v>
      </c>
      <c r="AE553">
        <v>0</v>
      </c>
      <c r="AF553">
        <v>0</v>
      </c>
      <c r="AG553">
        <v>37</v>
      </c>
      <c r="AH553">
        <v>0</v>
      </c>
      <c r="AI553">
        <v>58</v>
      </c>
      <c r="AJ553">
        <v>61</v>
      </c>
      <c r="AK553">
        <v>68</v>
      </c>
      <c r="AL553">
        <v>82</v>
      </c>
      <c r="AM553">
        <v>112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</row>
    <row r="554" spans="1:60">
      <c r="A554" t="s">
        <v>129</v>
      </c>
      <c r="B554" t="s">
        <v>198</v>
      </c>
      <c r="AI554">
        <v>2613.7149067960017</v>
      </c>
      <c r="AJ554">
        <v>4439.6838755286881</v>
      </c>
      <c r="AK554">
        <v>7074.9213409669937</v>
      </c>
      <c r="AL554">
        <v>7707.0714793885545</v>
      </c>
      <c r="AM554">
        <v>7589.522433940896</v>
      </c>
      <c r="AN554">
        <v>7755.2323362089646</v>
      </c>
      <c r="AO554">
        <v>9758.1954150707061</v>
      </c>
      <c r="AP554">
        <v>10388.118582141902</v>
      </c>
      <c r="AQ554">
        <v>11713.809203006316</v>
      </c>
      <c r="AR554">
        <v>13144.949850374998</v>
      </c>
      <c r="AS554">
        <v>10484.9117273825</v>
      </c>
      <c r="AT554">
        <v>6701.7341614747802</v>
      </c>
      <c r="AU554">
        <v>7041.7669999999998</v>
      </c>
      <c r="AV554">
        <v>554.68200000000002</v>
      </c>
      <c r="AW554">
        <v>813.14699999999993</v>
      </c>
      <c r="AX554">
        <v>205.77600000000001</v>
      </c>
      <c r="AY554">
        <v>198.71999999999997</v>
      </c>
      <c r="AZ554">
        <v>205.76499999999999</v>
      </c>
      <c r="BA554">
        <v>44.7</v>
      </c>
      <c r="BB554">
        <v>44.7</v>
      </c>
      <c r="BC554">
        <v>44.7</v>
      </c>
      <c r="BD554">
        <v>44.7</v>
      </c>
      <c r="BE554">
        <v>44.7</v>
      </c>
      <c r="BF554">
        <v>44.7</v>
      </c>
      <c r="BG554">
        <v>44.7</v>
      </c>
      <c r="BH554">
        <v>44.7</v>
      </c>
    </row>
    <row r="555" spans="1:60">
      <c r="A555" t="s">
        <v>129</v>
      </c>
      <c r="B555" t="s">
        <v>190</v>
      </c>
      <c r="AI555" t="s">
        <v>16</v>
      </c>
      <c r="AJ555">
        <v>257.24233517282914</v>
      </c>
      <c r="AK555">
        <v>287.7186175294936</v>
      </c>
      <c r="AL555">
        <v>307.58672938855375</v>
      </c>
      <c r="AM555">
        <v>311.12143394089657</v>
      </c>
      <c r="AN555">
        <v>305.17033620896524</v>
      </c>
      <c r="AO555">
        <v>332.68841507070624</v>
      </c>
      <c r="AP555">
        <v>338.09858214190336</v>
      </c>
      <c r="AQ555">
        <v>337.8633280063188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</row>
    <row r="556" spans="1:60">
      <c r="A556" t="s">
        <v>129</v>
      </c>
      <c r="B556" t="s">
        <v>191</v>
      </c>
      <c r="AI556">
        <v>395</v>
      </c>
      <c r="AJ556">
        <v>530</v>
      </c>
      <c r="AK556">
        <v>942</v>
      </c>
      <c r="AL556">
        <v>1405</v>
      </c>
      <c r="AM556">
        <v>1143</v>
      </c>
      <c r="AN556">
        <v>1298</v>
      </c>
      <c r="AO556">
        <v>1428</v>
      </c>
      <c r="AP556">
        <v>1590</v>
      </c>
      <c r="AQ556">
        <v>1707</v>
      </c>
      <c r="AR556">
        <v>1745</v>
      </c>
      <c r="AS556">
        <v>0</v>
      </c>
      <c r="AT556">
        <v>0</v>
      </c>
      <c r="AU556">
        <v>0</v>
      </c>
      <c r="AV556">
        <v>0</v>
      </c>
      <c r="AW556">
        <v>19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</row>
    <row r="557" spans="1:60">
      <c r="A557" t="s">
        <v>129</v>
      </c>
      <c r="B557" t="s">
        <v>192</v>
      </c>
      <c r="AQ557" t="s">
        <v>16</v>
      </c>
      <c r="AR557">
        <v>4324</v>
      </c>
      <c r="AS557" t="s">
        <v>16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</row>
    <row r="558" spans="1:60">
      <c r="A558" t="s">
        <v>129</v>
      </c>
      <c r="B558" t="s">
        <v>193</v>
      </c>
      <c r="AI558">
        <v>667</v>
      </c>
      <c r="AJ558">
        <v>946</v>
      </c>
      <c r="AK558">
        <v>1204</v>
      </c>
      <c r="AL558">
        <v>1632</v>
      </c>
      <c r="AM558">
        <v>2260</v>
      </c>
      <c r="AN558">
        <v>2164</v>
      </c>
      <c r="AO558">
        <v>3707</v>
      </c>
      <c r="AP558">
        <v>3862</v>
      </c>
      <c r="AQ558">
        <v>4453</v>
      </c>
      <c r="AR558">
        <v>1770</v>
      </c>
      <c r="AS558">
        <v>4921.0599999999995</v>
      </c>
      <c r="AT558">
        <v>420.90800000000002</v>
      </c>
      <c r="AU558">
        <v>2956.3389999999999</v>
      </c>
      <c r="AV558">
        <v>554.68200000000002</v>
      </c>
      <c r="AW558">
        <v>794.14699999999993</v>
      </c>
      <c r="AX558">
        <v>205.77600000000001</v>
      </c>
      <c r="AY558">
        <v>198.71999999999997</v>
      </c>
      <c r="AZ558">
        <v>205.76499999999999</v>
      </c>
      <c r="BA558">
        <v>44.7</v>
      </c>
      <c r="BB558">
        <v>44.7</v>
      </c>
      <c r="BC558">
        <v>44.7</v>
      </c>
      <c r="BD558">
        <v>44.7</v>
      </c>
      <c r="BE558">
        <v>44.7</v>
      </c>
      <c r="BF558">
        <v>44.7</v>
      </c>
      <c r="BG558">
        <v>44.7</v>
      </c>
      <c r="BH558">
        <v>44.7</v>
      </c>
    </row>
    <row r="559" spans="1:60">
      <c r="A559" t="s">
        <v>129</v>
      </c>
      <c r="B559" t="s">
        <v>194</v>
      </c>
      <c r="AI559">
        <v>17.238</v>
      </c>
      <c r="AJ559">
        <v>1105.1089999999999</v>
      </c>
      <c r="AK559">
        <v>2945.3249999999998</v>
      </c>
      <c r="AL559">
        <v>2541.4079999999999</v>
      </c>
      <c r="AM559">
        <v>1932.4009999999998</v>
      </c>
      <c r="AN559">
        <v>1940.0619999999999</v>
      </c>
      <c r="AO559">
        <v>2125.5070000000001</v>
      </c>
      <c r="AP559">
        <v>2313.9449999999997</v>
      </c>
      <c r="AQ559">
        <v>2783.4059999999999</v>
      </c>
      <c r="AR559">
        <v>2783.4059999999999</v>
      </c>
      <c r="AS559">
        <v>2990.857</v>
      </c>
      <c r="AT559">
        <v>3675.6689999999999</v>
      </c>
      <c r="AU559">
        <v>1385.4279999999999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</row>
    <row r="560" spans="1:60">
      <c r="A560" t="s">
        <v>129</v>
      </c>
      <c r="B560" t="s">
        <v>195</v>
      </c>
      <c r="AI560">
        <v>1534.4769067960017</v>
      </c>
      <c r="AJ560">
        <v>1601.332540355859</v>
      </c>
      <c r="AK560">
        <v>1695.8777234374998</v>
      </c>
      <c r="AL560">
        <v>1821.0767499999999</v>
      </c>
      <c r="AM560">
        <v>1943</v>
      </c>
      <c r="AN560">
        <v>2048</v>
      </c>
      <c r="AO560">
        <v>2165</v>
      </c>
      <c r="AP560">
        <v>2284.0749999999998</v>
      </c>
      <c r="AQ560">
        <v>2432.5398749999995</v>
      </c>
      <c r="AR560">
        <v>2522.5438503749992</v>
      </c>
      <c r="AS560">
        <v>2572.9947273824991</v>
      </c>
      <c r="AT560">
        <v>2605.1571614747804</v>
      </c>
      <c r="AU560">
        <v>2700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</row>
    <row r="561" spans="1:60">
      <c r="A561" t="s">
        <v>130</v>
      </c>
      <c r="B561" t="s">
        <v>198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0.79999999999999993</v>
      </c>
      <c r="AB561">
        <v>0</v>
      </c>
      <c r="AC561">
        <v>2.5999999999999996</v>
      </c>
      <c r="AD561">
        <v>5.4</v>
      </c>
      <c r="AE561">
        <v>7.6999999999999993</v>
      </c>
      <c r="AF561">
        <v>7.1</v>
      </c>
      <c r="AG561">
        <v>10.5</v>
      </c>
      <c r="AH561">
        <v>16.100000000000001</v>
      </c>
      <c r="AI561">
        <v>16.600000000000001</v>
      </c>
      <c r="AJ561">
        <v>16.7</v>
      </c>
      <c r="AK561">
        <v>20.6</v>
      </c>
      <c r="AL561">
        <v>22.3</v>
      </c>
      <c r="AM561">
        <v>24.5</v>
      </c>
      <c r="AN561">
        <v>29</v>
      </c>
      <c r="AO561">
        <v>26.700000000000003</v>
      </c>
      <c r="AP561">
        <v>24.5</v>
      </c>
      <c r="AQ561">
        <v>55.9</v>
      </c>
      <c r="AR561">
        <v>107.30000000000001</v>
      </c>
      <c r="AS561">
        <v>132.4</v>
      </c>
      <c r="AT561">
        <v>125.3</v>
      </c>
      <c r="AU561">
        <v>144.9</v>
      </c>
      <c r="AV561">
        <v>172.6</v>
      </c>
      <c r="AW561">
        <v>149.19999999999999</v>
      </c>
      <c r="AX561">
        <v>172.3</v>
      </c>
      <c r="AY561">
        <v>217.60000000000002</v>
      </c>
      <c r="AZ561">
        <v>483</v>
      </c>
      <c r="BA561">
        <v>353.8</v>
      </c>
      <c r="BB561">
        <v>41.9</v>
      </c>
      <c r="BC561">
        <v>37.699999999999996</v>
      </c>
      <c r="BD561">
        <v>35.199999999999996</v>
      </c>
      <c r="BE561">
        <v>0</v>
      </c>
      <c r="BF561">
        <v>30</v>
      </c>
      <c r="BG561">
        <v>0</v>
      </c>
      <c r="BH561">
        <v>0</v>
      </c>
    </row>
    <row r="562" spans="1:60">
      <c r="A562" t="s">
        <v>130</v>
      </c>
      <c r="B562" t="s">
        <v>191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1</v>
      </c>
      <c r="AU562">
        <v>1</v>
      </c>
      <c r="AV562">
        <v>1</v>
      </c>
      <c r="AW562">
        <v>1</v>
      </c>
      <c r="AX562">
        <v>1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</row>
    <row r="563" spans="1:60">
      <c r="A563" t="s">
        <v>130</v>
      </c>
      <c r="B563" t="s">
        <v>192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B563">
        <v>0</v>
      </c>
      <c r="AY563" t="s">
        <v>16</v>
      </c>
      <c r="AZ563">
        <v>163</v>
      </c>
      <c r="BA563" t="s">
        <v>16</v>
      </c>
      <c r="BB563">
        <v>0</v>
      </c>
      <c r="BC563">
        <v>0</v>
      </c>
      <c r="BD563">
        <v>0</v>
      </c>
      <c r="BE563">
        <v>0</v>
      </c>
      <c r="BF563">
        <v>30</v>
      </c>
      <c r="BG563">
        <v>0</v>
      </c>
      <c r="BH563">
        <v>0</v>
      </c>
    </row>
    <row r="564" spans="1:60">
      <c r="A564" t="s">
        <v>130</v>
      </c>
      <c r="B564" t="s">
        <v>193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0.79999999999999993</v>
      </c>
      <c r="AB564">
        <v>0</v>
      </c>
      <c r="AC564">
        <v>1.4</v>
      </c>
      <c r="AD564">
        <v>2.9</v>
      </c>
      <c r="AE564">
        <v>4.5999999999999996</v>
      </c>
      <c r="AF564">
        <v>5.5</v>
      </c>
      <c r="AG564">
        <v>7.6999999999999993</v>
      </c>
      <c r="AH564">
        <v>7.2</v>
      </c>
      <c r="AI564">
        <v>6.8999999999999995</v>
      </c>
      <c r="AJ564">
        <v>7.1000000000000005</v>
      </c>
      <c r="AK564">
        <v>9.1</v>
      </c>
      <c r="AL564">
        <v>9.5</v>
      </c>
      <c r="AM564">
        <v>12.2</v>
      </c>
      <c r="AN564">
        <v>17.099999999999998</v>
      </c>
      <c r="AO564">
        <v>16.3</v>
      </c>
      <c r="AP564">
        <v>15.6</v>
      </c>
      <c r="AQ564">
        <v>25.9</v>
      </c>
      <c r="AR564">
        <v>35.700000000000003</v>
      </c>
      <c r="AS564">
        <v>57.900000000000006</v>
      </c>
      <c r="AT564">
        <v>117.2</v>
      </c>
      <c r="AU564">
        <v>123.7</v>
      </c>
      <c r="AV564">
        <v>145</v>
      </c>
      <c r="AW564">
        <v>124.8</v>
      </c>
      <c r="AX564">
        <v>138</v>
      </c>
      <c r="AY564">
        <v>132.60000000000002</v>
      </c>
      <c r="AZ564" t="s">
        <v>16</v>
      </c>
      <c r="BA564">
        <v>33.799999999999997</v>
      </c>
      <c r="BB564">
        <v>9.5</v>
      </c>
      <c r="BC564">
        <v>4.3</v>
      </c>
      <c r="BD564">
        <v>1.7999999999999998</v>
      </c>
      <c r="BE564">
        <v>0</v>
      </c>
      <c r="BF564">
        <v>0</v>
      </c>
      <c r="BG564">
        <v>0</v>
      </c>
      <c r="BH564">
        <v>0</v>
      </c>
    </row>
    <row r="565" spans="1:60">
      <c r="A565" t="s">
        <v>130</v>
      </c>
      <c r="B565" t="s">
        <v>194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1.2</v>
      </c>
      <c r="AD565">
        <v>2.5</v>
      </c>
      <c r="AE565">
        <v>3.1</v>
      </c>
      <c r="AF565">
        <v>1.6</v>
      </c>
      <c r="AG565">
        <v>2.8</v>
      </c>
      <c r="AH565">
        <v>8.9</v>
      </c>
      <c r="AI565">
        <v>9.7000000000000011</v>
      </c>
      <c r="AJ565">
        <v>9.6</v>
      </c>
      <c r="AK565">
        <v>11.5</v>
      </c>
      <c r="AL565">
        <v>12.8</v>
      </c>
      <c r="AM565">
        <v>12.3</v>
      </c>
      <c r="AN565">
        <v>11.9</v>
      </c>
      <c r="AO565">
        <v>10.4</v>
      </c>
      <c r="AP565">
        <v>8.9</v>
      </c>
      <c r="AQ565">
        <v>0</v>
      </c>
      <c r="AR565">
        <v>1.6</v>
      </c>
      <c r="AS565">
        <v>3.5</v>
      </c>
      <c r="AT565">
        <v>7.1000000000000005</v>
      </c>
      <c r="AU565">
        <v>20.2</v>
      </c>
      <c r="AV565">
        <v>26.6</v>
      </c>
      <c r="AW565">
        <v>23.4</v>
      </c>
      <c r="AX565">
        <v>33.299999999999997</v>
      </c>
      <c r="AY565" t="s">
        <v>16</v>
      </c>
      <c r="AZ565" t="s">
        <v>16</v>
      </c>
      <c r="BA565" t="s">
        <v>16</v>
      </c>
      <c r="BB565">
        <v>32.4</v>
      </c>
      <c r="BC565">
        <v>33.4</v>
      </c>
      <c r="BD565">
        <v>33.4</v>
      </c>
      <c r="BE565">
        <v>0</v>
      </c>
      <c r="BF565">
        <v>0</v>
      </c>
      <c r="BG565">
        <v>0</v>
      </c>
      <c r="BH565">
        <v>0</v>
      </c>
    </row>
    <row r="566" spans="1:60">
      <c r="A566" t="s">
        <v>130</v>
      </c>
      <c r="B566" t="s">
        <v>195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30</v>
      </c>
      <c r="AR566">
        <v>70</v>
      </c>
      <c r="AS566">
        <v>71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</row>
    <row r="567" spans="1:60">
      <c r="A567" t="s">
        <v>130</v>
      </c>
      <c r="B567" t="s">
        <v>197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85</v>
      </c>
      <c r="AZ567">
        <v>320</v>
      </c>
      <c r="BA567">
        <v>320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</row>
    <row r="568" spans="1:60">
      <c r="A568" t="s">
        <v>131</v>
      </c>
      <c r="B568" t="s">
        <v>198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2.5999999999999999E-2</v>
      </c>
      <c r="N568">
        <v>8.4000000000000005E-2</v>
      </c>
      <c r="O568">
        <v>8.5000000000000006E-2</v>
      </c>
      <c r="P568">
        <v>9.2999999999999999E-2</v>
      </c>
      <c r="Q568">
        <v>0.81600000000000006</v>
      </c>
      <c r="R568">
        <v>5.3569999999999993</v>
      </c>
      <c r="S568">
        <v>18.695</v>
      </c>
      <c r="T568">
        <v>65.524000000000001</v>
      </c>
      <c r="U568">
        <v>25.919</v>
      </c>
      <c r="V568">
        <v>40.322000000000003</v>
      </c>
      <c r="W568">
        <v>60.903000000000006</v>
      </c>
      <c r="X568">
        <v>129.44400000000002</v>
      </c>
      <c r="Y568">
        <v>174.203</v>
      </c>
      <c r="Z568">
        <v>55.697000000000003</v>
      </c>
      <c r="AA568">
        <v>59</v>
      </c>
      <c r="AB568">
        <v>195.29149831861778</v>
      </c>
      <c r="AC568">
        <v>269.12391777780817</v>
      </c>
      <c r="AD568">
        <v>276.71799587274813</v>
      </c>
      <c r="AE568">
        <v>390.03415048659559</v>
      </c>
      <c r="AF568">
        <v>772.53660642507464</v>
      </c>
      <c r="AG568">
        <v>888.14048301003322</v>
      </c>
      <c r="AH568">
        <v>973.00672988806036</v>
      </c>
      <c r="AI568">
        <v>1004.8254594449006</v>
      </c>
      <c r="AJ568">
        <v>835.5792254011717</v>
      </c>
      <c r="AK568">
        <v>715.70155413430962</v>
      </c>
      <c r="AL568">
        <v>832.226</v>
      </c>
      <c r="AM568">
        <v>144.85899999999998</v>
      </c>
      <c r="AN568">
        <v>178.16</v>
      </c>
      <c r="AO568">
        <v>144.083</v>
      </c>
      <c r="AP568">
        <v>165.971</v>
      </c>
      <c r="AQ568">
        <v>107.21600000000001</v>
      </c>
      <c r="AR568">
        <v>194.125</v>
      </c>
      <c r="AS568">
        <v>92.05</v>
      </c>
      <c r="AT568">
        <v>114.94500000000001</v>
      </c>
      <c r="AU568">
        <v>113.82899999999999</v>
      </c>
      <c r="AV568">
        <v>298.80200000000002</v>
      </c>
      <c r="AW568">
        <v>526.29099999999994</v>
      </c>
      <c r="AX568">
        <v>1188.1030000000001</v>
      </c>
      <c r="AY568">
        <v>231.798</v>
      </c>
      <c r="AZ568">
        <v>233.221</v>
      </c>
      <c r="BA568">
        <v>223.155</v>
      </c>
      <c r="BB568">
        <v>220.084</v>
      </c>
      <c r="BC568">
        <v>220.96899999999999</v>
      </c>
      <c r="BD568">
        <v>205.78399999999999</v>
      </c>
      <c r="BE568">
        <v>206.20699999999999</v>
      </c>
      <c r="BF568">
        <v>201.93600000000001</v>
      </c>
      <c r="BG568">
        <v>201.863</v>
      </c>
      <c r="BH568" t="s">
        <v>16</v>
      </c>
    </row>
    <row r="569" spans="1:60">
      <c r="A569" t="s">
        <v>131</v>
      </c>
      <c r="B569" t="s">
        <v>190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6.6</v>
      </c>
      <c r="X569">
        <v>0</v>
      </c>
      <c r="Y569">
        <v>6.2</v>
      </c>
      <c r="Z569">
        <v>0</v>
      </c>
      <c r="AA569">
        <v>0</v>
      </c>
      <c r="AB569">
        <v>112.52049831861778</v>
      </c>
      <c r="AC569">
        <v>136.05991777780815</v>
      </c>
      <c r="AD569">
        <v>153.67299587274815</v>
      </c>
      <c r="AE569">
        <v>156.05915048659554</v>
      </c>
      <c r="AF569">
        <v>162.99960642507469</v>
      </c>
      <c r="AG569">
        <v>186.86948301003324</v>
      </c>
      <c r="AH569">
        <v>196.5437298880604</v>
      </c>
      <c r="AI569">
        <v>197.93545944490066</v>
      </c>
      <c r="AJ569">
        <v>201.69422540117168</v>
      </c>
      <c r="AK569">
        <v>225.58955413430971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</row>
    <row r="570" spans="1:60">
      <c r="A570" t="s">
        <v>131</v>
      </c>
      <c r="B570" t="s">
        <v>191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3</v>
      </c>
      <c r="AF570">
        <v>2</v>
      </c>
      <c r="AG570">
        <v>6</v>
      </c>
      <c r="AH570">
        <v>0</v>
      </c>
      <c r="AI570">
        <v>7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</row>
    <row r="571" spans="1:60">
      <c r="A571" t="s">
        <v>131</v>
      </c>
      <c r="B571" t="s">
        <v>192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50</v>
      </c>
      <c r="U571">
        <v>20</v>
      </c>
      <c r="V571">
        <v>16</v>
      </c>
      <c r="W571">
        <v>30</v>
      </c>
      <c r="X571">
        <v>66</v>
      </c>
      <c r="Y571">
        <v>68</v>
      </c>
      <c r="Z571" t="s">
        <v>16</v>
      </c>
      <c r="AA571">
        <v>34</v>
      </c>
      <c r="AC571">
        <v>95</v>
      </c>
      <c r="AI571">
        <v>163</v>
      </c>
      <c r="AK571">
        <v>41</v>
      </c>
      <c r="AL571" t="s">
        <v>16</v>
      </c>
      <c r="AM571">
        <v>39</v>
      </c>
      <c r="AQ571" t="s">
        <v>16</v>
      </c>
      <c r="AR571">
        <v>180</v>
      </c>
      <c r="AS571">
        <v>3</v>
      </c>
      <c r="AW571" t="s">
        <v>16</v>
      </c>
      <c r="AX571">
        <v>363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</row>
    <row r="572" spans="1:60">
      <c r="A572" t="s">
        <v>131</v>
      </c>
      <c r="B572" t="s">
        <v>193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0.158</v>
      </c>
      <c r="R572">
        <v>0.311</v>
      </c>
      <c r="S572">
        <v>0.89</v>
      </c>
      <c r="T572">
        <v>2.5920000000000001</v>
      </c>
      <c r="U572">
        <v>3.7370000000000001</v>
      </c>
      <c r="V572">
        <v>9.4659999999999993</v>
      </c>
      <c r="W572">
        <v>7.9020000000000001</v>
      </c>
      <c r="X572">
        <v>14.443999999999999</v>
      </c>
      <c r="Y572">
        <v>23.003</v>
      </c>
      <c r="Z572">
        <v>30.646000000000001</v>
      </c>
      <c r="AA572" t="s">
        <v>16</v>
      </c>
      <c r="AB572">
        <v>48.771000000000001</v>
      </c>
      <c r="AC572" t="s">
        <v>16</v>
      </c>
      <c r="AD572">
        <v>66.832999999999998</v>
      </c>
      <c r="AE572">
        <v>164.04000000000002</v>
      </c>
      <c r="AF572">
        <v>209.37700000000001</v>
      </c>
      <c r="AG572">
        <v>255.35200000000003</v>
      </c>
      <c r="AH572">
        <v>301.32100000000003</v>
      </c>
      <c r="AI572">
        <v>148</v>
      </c>
      <c r="AJ572">
        <v>194.42699999999999</v>
      </c>
      <c r="AK572">
        <v>132</v>
      </c>
      <c r="AL572">
        <v>412.416</v>
      </c>
      <c r="AM572">
        <v>16</v>
      </c>
      <c r="AN572">
        <v>88.468000000000004</v>
      </c>
      <c r="AO572">
        <v>55.497</v>
      </c>
      <c r="AP572">
        <v>77.3</v>
      </c>
      <c r="AQ572">
        <v>102.52600000000001</v>
      </c>
      <c r="AR572">
        <v>14</v>
      </c>
      <c r="AS572">
        <v>89</v>
      </c>
      <c r="AT572">
        <v>102.679</v>
      </c>
      <c r="AU572">
        <v>113.72</v>
      </c>
      <c r="AV572">
        <v>87.581999999999994</v>
      </c>
      <c r="AW572">
        <v>315.12099999999998</v>
      </c>
      <c r="AX572">
        <v>614</v>
      </c>
      <c r="AY572">
        <v>20.698</v>
      </c>
      <c r="AZ572">
        <v>22.121000000000002</v>
      </c>
      <c r="BA572">
        <v>12.055</v>
      </c>
      <c r="BB572">
        <v>12.084</v>
      </c>
      <c r="BC572">
        <v>11.369</v>
      </c>
      <c r="BD572">
        <v>10.343999999999999</v>
      </c>
      <c r="BE572">
        <v>10.766999999999999</v>
      </c>
      <c r="BF572">
        <v>8.4959999999999987</v>
      </c>
      <c r="BG572">
        <v>8.4229999999999983</v>
      </c>
      <c r="BH572" t="s">
        <v>16</v>
      </c>
    </row>
    <row r="573" spans="1:60">
      <c r="A573" t="s">
        <v>131</v>
      </c>
      <c r="B573" t="s">
        <v>194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2.5999999999999999E-2</v>
      </c>
      <c r="N573">
        <v>8.4000000000000005E-2</v>
      </c>
      <c r="O573">
        <v>8.5000000000000006E-2</v>
      </c>
      <c r="P573">
        <v>9.2999999999999999E-2</v>
      </c>
      <c r="Q573">
        <v>0.65800000000000003</v>
      </c>
      <c r="R573">
        <v>5.0459999999999994</v>
      </c>
      <c r="S573">
        <v>17.805</v>
      </c>
      <c r="T573">
        <v>12.931999999999999</v>
      </c>
      <c r="U573">
        <v>2.1819999999999999</v>
      </c>
      <c r="V573">
        <v>14.856</v>
      </c>
      <c r="W573">
        <v>16.401</v>
      </c>
      <c r="X573" t="s">
        <v>16</v>
      </c>
      <c r="Y573" t="s">
        <v>16</v>
      </c>
      <c r="Z573">
        <v>25.051000000000002</v>
      </c>
      <c r="AA573" t="s">
        <v>16</v>
      </c>
      <c r="AB573">
        <v>9</v>
      </c>
      <c r="AC573">
        <v>38.064</v>
      </c>
      <c r="AD573">
        <v>56.212000000000003</v>
      </c>
      <c r="AE573">
        <v>66.935000000000002</v>
      </c>
      <c r="AF573">
        <v>398.15999999999997</v>
      </c>
      <c r="AG573">
        <v>439.91899999999998</v>
      </c>
      <c r="AH573">
        <v>475.142</v>
      </c>
      <c r="AI573">
        <v>488.89</v>
      </c>
      <c r="AJ573">
        <v>439.45800000000003</v>
      </c>
      <c r="AK573">
        <v>317.11199999999997</v>
      </c>
      <c r="AL573">
        <v>89.81</v>
      </c>
      <c r="AM573">
        <v>89.858999999999995</v>
      </c>
      <c r="AN573">
        <v>89.691999999999993</v>
      </c>
      <c r="AO573">
        <v>88.585999999999999</v>
      </c>
      <c r="AP573">
        <v>88.670999999999992</v>
      </c>
      <c r="AQ573">
        <v>4.6899999999999995</v>
      </c>
      <c r="AR573">
        <v>0.125</v>
      </c>
      <c r="AS573">
        <v>0.05</v>
      </c>
      <c r="AT573">
        <v>12.266</v>
      </c>
      <c r="AU573">
        <v>0.109</v>
      </c>
      <c r="AV573">
        <v>211.22000000000003</v>
      </c>
      <c r="AW573">
        <v>211.17</v>
      </c>
      <c r="AX573">
        <v>211.10300000000001</v>
      </c>
      <c r="AY573">
        <v>211.1</v>
      </c>
      <c r="AZ573">
        <v>211.1</v>
      </c>
      <c r="BA573">
        <v>211.1</v>
      </c>
      <c r="BB573">
        <v>208</v>
      </c>
      <c r="BC573">
        <v>209.6</v>
      </c>
      <c r="BD573">
        <v>195.44</v>
      </c>
      <c r="BE573">
        <v>195.44</v>
      </c>
      <c r="BF573">
        <v>193.44</v>
      </c>
      <c r="BG573">
        <v>193.44</v>
      </c>
      <c r="BH573" t="s">
        <v>16</v>
      </c>
    </row>
    <row r="574" spans="1:60">
      <c r="A574" t="s">
        <v>131</v>
      </c>
      <c r="B574" t="s">
        <v>195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X574">
        <v>49</v>
      </c>
      <c r="Y574">
        <v>77</v>
      </c>
      <c r="Z574" t="s">
        <v>16</v>
      </c>
      <c r="AA574">
        <v>25</v>
      </c>
      <c r="AB574">
        <v>25</v>
      </c>
      <c r="AF574" t="s">
        <v>16</v>
      </c>
      <c r="AG574" t="s">
        <v>16</v>
      </c>
      <c r="AH574" t="s">
        <v>16</v>
      </c>
      <c r="AI574" t="s">
        <v>16</v>
      </c>
      <c r="AJ574" t="s">
        <v>16</v>
      </c>
      <c r="AK574" t="s">
        <v>16</v>
      </c>
      <c r="AL574">
        <v>330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</row>
    <row r="575" spans="1:60">
      <c r="A575" t="s">
        <v>132</v>
      </c>
      <c r="B575" t="s">
        <v>198</v>
      </c>
      <c r="AI575">
        <v>651.53938401551989</v>
      </c>
      <c r="AJ575">
        <v>677.27586695999992</v>
      </c>
      <c r="AK575">
        <v>714.42601999999999</v>
      </c>
      <c r="AL575">
        <v>764.09199999999998</v>
      </c>
      <c r="AM575">
        <v>812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</row>
    <row r="576" spans="1:60">
      <c r="A576" t="s">
        <v>132</v>
      </c>
      <c r="B576" t="s">
        <v>195</v>
      </c>
      <c r="AI576">
        <v>651.53938401551989</v>
      </c>
      <c r="AJ576">
        <v>677.27586695999992</v>
      </c>
      <c r="AK576">
        <v>714.42601999999999</v>
      </c>
      <c r="AL576">
        <v>764.09199999999998</v>
      </c>
      <c r="AM576">
        <v>812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</row>
    <row r="577" spans="1:60">
      <c r="A577" t="s">
        <v>134</v>
      </c>
      <c r="B577" t="s">
        <v>198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0.31</v>
      </c>
      <c r="AH577">
        <v>0.02</v>
      </c>
      <c r="AI577">
        <v>8.8769999999999989</v>
      </c>
      <c r="AJ577">
        <v>0</v>
      </c>
      <c r="AK577">
        <v>1.1830000000000001</v>
      </c>
      <c r="AL577">
        <v>76.093999999999994</v>
      </c>
      <c r="AM577">
        <v>71.010999999999996</v>
      </c>
      <c r="AN577">
        <v>81.085999999999999</v>
      </c>
      <c r="AO577">
        <v>74.856999999999999</v>
      </c>
      <c r="AP577">
        <v>71.076999999999998</v>
      </c>
      <c r="AQ577">
        <v>78.86</v>
      </c>
      <c r="AR577">
        <v>86.215999999999994</v>
      </c>
      <c r="AS577">
        <v>97.927999999999997</v>
      </c>
      <c r="AT577">
        <v>113.777</v>
      </c>
      <c r="AU577">
        <v>88.905000000000001</v>
      </c>
      <c r="AV577">
        <v>99.698999999999998</v>
      </c>
      <c r="AW577">
        <v>95.22999999999999</v>
      </c>
      <c r="AX577">
        <v>21.253999999999998</v>
      </c>
      <c r="AY577">
        <v>12.404999999999999</v>
      </c>
      <c r="AZ577">
        <v>10.458</v>
      </c>
      <c r="BA577">
        <v>13.106999999999999</v>
      </c>
      <c r="BB577">
        <v>25.579000000000004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</row>
    <row r="578" spans="1:60">
      <c r="A578" t="s">
        <v>134</v>
      </c>
      <c r="B578" t="s">
        <v>193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0.31</v>
      </c>
      <c r="AH578">
        <v>0.02</v>
      </c>
      <c r="AI578">
        <v>8.5499999999999989</v>
      </c>
      <c r="AJ578">
        <v>0</v>
      </c>
      <c r="AK578">
        <v>0</v>
      </c>
      <c r="AL578">
        <v>8.23</v>
      </c>
      <c r="AM578">
        <v>2.6100000000000003</v>
      </c>
      <c r="AN578">
        <v>5.58</v>
      </c>
      <c r="AO578">
        <v>4.12</v>
      </c>
      <c r="AP578">
        <v>4.34</v>
      </c>
      <c r="AQ578">
        <v>9.16</v>
      </c>
      <c r="AR578">
        <v>2.95</v>
      </c>
      <c r="AS578">
        <v>5.13</v>
      </c>
      <c r="AT578">
        <v>7.35</v>
      </c>
      <c r="AU578">
        <v>7.1999999999999993</v>
      </c>
      <c r="AV578">
        <v>16.229999999999997</v>
      </c>
      <c r="AW578">
        <v>11.51</v>
      </c>
      <c r="AX578">
        <v>15.23</v>
      </c>
      <c r="AY578">
        <v>3.15</v>
      </c>
      <c r="AZ578">
        <v>3.1799999999999997</v>
      </c>
      <c r="BA578">
        <v>0.8</v>
      </c>
      <c r="BB578">
        <v>1.87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</row>
    <row r="579" spans="1:60">
      <c r="A579" t="s">
        <v>134</v>
      </c>
      <c r="B579" t="s">
        <v>194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0.32699999999999996</v>
      </c>
      <c r="AJ579">
        <v>0</v>
      </c>
      <c r="AK579">
        <v>1.1830000000000001</v>
      </c>
      <c r="AL579">
        <v>17.864000000000001</v>
      </c>
      <c r="AM579">
        <v>0.40100000000000002</v>
      </c>
      <c r="AN579">
        <v>1.506</v>
      </c>
      <c r="AO579">
        <v>1.7370000000000001</v>
      </c>
      <c r="AP579">
        <v>1.7370000000000001</v>
      </c>
      <c r="AQ579">
        <v>3.7</v>
      </c>
      <c r="AR579">
        <v>4.266</v>
      </c>
      <c r="AS579">
        <v>4.798</v>
      </c>
      <c r="AT579">
        <v>8.4269999999999996</v>
      </c>
      <c r="AU579">
        <v>12.704999999999998</v>
      </c>
      <c r="AV579">
        <v>15.468999999999999</v>
      </c>
      <c r="AW579">
        <v>15.719999999999999</v>
      </c>
      <c r="AX579">
        <v>6.0239999999999991</v>
      </c>
      <c r="AY579">
        <v>9.254999999999999</v>
      </c>
      <c r="AZ579">
        <v>7.2780000000000005</v>
      </c>
      <c r="BA579">
        <v>12.306999999999999</v>
      </c>
      <c r="BB579">
        <v>23.709000000000003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</row>
    <row r="580" spans="1:60">
      <c r="A580" t="s">
        <v>134</v>
      </c>
      <c r="B580" t="s">
        <v>196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50</v>
      </c>
      <c r="AM580">
        <v>68</v>
      </c>
      <c r="AN580">
        <v>74</v>
      </c>
      <c r="AO580">
        <v>69</v>
      </c>
      <c r="AP580">
        <v>65</v>
      </c>
      <c r="AQ580">
        <v>66</v>
      </c>
      <c r="AR580">
        <v>79</v>
      </c>
      <c r="AS580">
        <v>88</v>
      </c>
      <c r="AT580">
        <v>98</v>
      </c>
      <c r="AU580">
        <v>69</v>
      </c>
      <c r="AV580">
        <v>68</v>
      </c>
      <c r="AW580">
        <v>68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</row>
    <row r="581" spans="1:60">
      <c r="A581" t="s">
        <v>133</v>
      </c>
      <c r="B581" t="s">
        <v>198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0.56000000000000005</v>
      </c>
      <c r="R581">
        <v>1.4970000000000001</v>
      </c>
      <c r="S581">
        <v>3.59</v>
      </c>
      <c r="T581">
        <v>7.4710000000000001</v>
      </c>
      <c r="U581">
        <v>11.356999999999999</v>
      </c>
      <c r="V581">
        <v>18.106000000000002</v>
      </c>
      <c r="W581">
        <v>21.195</v>
      </c>
      <c r="X581">
        <v>55.527999999999999</v>
      </c>
      <c r="Y581">
        <v>98.272999999999996</v>
      </c>
      <c r="Z581">
        <v>171.69499999999999</v>
      </c>
      <c r="AA581">
        <v>261.767</v>
      </c>
      <c r="AB581">
        <v>394.5921803524854</v>
      </c>
      <c r="AC581">
        <v>502.51666872576999</v>
      </c>
      <c r="AD581">
        <v>736.32828659344045</v>
      </c>
      <c r="AE581">
        <v>788.68535620088653</v>
      </c>
      <c r="AF581">
        <v>930.96508206366184</v>
      </c>
      <c r="AG581">
        <v>1199.3668042422942</v>
      </c>
      <c r="AH581">
        <v>1393.7985511852908</v>
      </c>
      <c r="AI581">
        <v>1512.9926485742956</v>
      </c>
      <c r="AJ581">
        <v>1673.4165472499915</v>
      </c>
      <c r="AK581">
        <v>1882.2364464009429</v>
      </c>
      <c r="AL581">
        <v>2042.8912588412686</v>
      </c>
      <c r="AM581">
        <v>2092.0119176140574</v>
      </c>
      <c r="AN581">
        <v>2097.8903341991163</v>
      </c>
      <c r="AO581">
        <v>2207.6347915645342</v>
      </c>
      <c r="AP581">
        <v>2221.2639659348656</v>
      </c>
      <c r="AQ581">
        <v>2303.0876168694394</v>
      </c>
      <c r="AR581">
        <v>2326.336724942661</v>
      </c>
      <c r="AS581">
        <v>2489.5706135619353</v>
      </c>
      <c r="AT581">
        <v>2685.2900277530803</v>
      </c>
      <c r="AU581">
        <v>2898.0175402865384</v>
      </c>
      <c r="AV581">
        <v>2714.2989436617977</v>
      </c>
      <c r="AW581">
        <v>2872.254343774905</v>
      </c>
      <c r="AX581">
        <v>3051.8805577005105</v>
      </c>
      <c r="AY581">
        <v>3281.0642717527567</v>
      </c>
      <c r="AZ581">
        <v>3368.7922463708214</v>
      </c>
      <c r="BA581">
        <v>3203.7400054122782</v>
      </c>
      <c r="BB581">
        <v>3250.5986571939884</v>
      </c>
      <c r="BC581">
        <v>3292.3932937751356</v>
      </c>
      <c r="BD581">
        <v>3343.9903141233417</v>
      </c>
      <c r="BE581">
        <v>3294.2795807514631</v>
      </c>
      <c r="BF581">
        <v>3335.4734504468042</v>
      </c>
      <c r="BG581">
        <v>3223.9336413890255</v>
      </c>
      <c r="BH581" t="s">
        <v>16</v>
      </c>
    </row>
    <row r="582" spans="1:60">
      <c r="A582" t="s">
        <v>133</v>
      </c>
      <c r="B582" t="s">
        <v>190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6</v>
      </c>
      <c r="AB582">
        <v>167.34618035248545</v>
      </c>
      <c r="AC582">
        <v>186.66166872576997</v>
      </c>
      <c r="AD582">
        <v>227.42428659344043</v>
      </c>
      <c r="AE582">
        <v>231.4943562008865</v>
      </c>
      <c r="AF582">
        <v>232.54308206366187</v>
      </c>
      <c r="AG582">
        <v>270.48380424229418</v>
      </c>
      <c r="AH582">
        <v>295.7915511852907</v>
      </c>
      <c r="AI582">
        <v>305.60464857429537</v>
      </c>
      <c r="AJ582">
        <v>324.04754724999157</v>
      </c>
      <c r="AK582">
        <v>362.43844640094278</v>
      </c>
      <c r="AL582">
        <v>387.46625884126831</v>
      </c>
      <c r="AM582">
        <v>391.91891761405748</v>
      </c>
      <c r="AN582">
        <v>384.42233419911639</v>
      </c>
      <c r="AO582">
        <v>419.08679156453411</v>
      </c>
      <c r="AP582">
        <v>425.90196593486559</v>
      </c>
      <c r="AQ582">
        <v>425.60561686943907</v>
      </c>
      <c r="AR582">
        <v>427.62572494266118</v>
      </c>
      <c r="AS582">
        <v>475.83561356193542</v>
      </c>
      <c r="AT582">
        <v>531.75602775308005</v>
      </c>
      <c r="AU582">
        <v>570.9925402865382</v>
      </c>
      <c r="AV582">
        <v>545.17394366179803</v>
      </c>
      <c r="AW582">
        <v>602.67334377490477</v>
      </c>
      <c r="AX582">
        <v>666.72555770051088</v>
      </c>
      <c r="AY582">
        <v>673.78527175275678</v>
      </c>
      <c r="AZ582">
        <v>695.58524637082166</v>
      </c>
      <c r="BA582">
        <v>692.16700541227817</v>
      </c>
      <c r="BB582">
        <v>699.68165719398849</v>
      </c>
      <c r="BC582">
        <v>708.0552937751354</v>
      </c>
      <c r="BD582">
        <v>716.67331412334181</v>
      </c>
      <c r="BE582">
        <v>681.54358075146297</v>
      </c>
      <c r="BF582">
        <v>658.71545044680443</v>
      </c>
      <c r="BG582">
        <v>645.99464138902567</v>
      </c>
      <c r="BH582">
        <v>694.76412819622522</v>
      </c>
    </row>
    <row r="583" spans="1:60">
      <c r="A583" t="s">
        <v>133</v>
      </c>
      <c r="B583" t="s">
        <v>191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68</v>
      </c>
      <c r="AR583">
        <v>0</v>
      </c>
      <c r="AS583">
        <v>0</v>
      </c>
      <c r="AT583">
        <v>0</v>
      </c>
      <c r="AU583">
        <v>118</v>
      </c>
      <c r="AV583">
        <v>0</v>
      </c>
      <c r="AW583">
        <v>0</v>
      </c>
      <c r="AX583">
        <v>0</v>
      </c>
      <c r="AY583">
        <v>186</v>
      </c>
      <c r="AZ583">
        <v>198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</row>
    <row r="584" spans="1:60">
      <c r="A584" t="s">
        <v>133</v>
      </c>
      <c r="B584" t="s">
        <v>192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AB584">
        <v>39</v>
      </c>
      <c r="AC584" t="s">
        <v>16</v>
      </c>
      <c r="AD584">
        <v>132</v>
      </c>
      <c r="AE584" t="s">
        <v>16</v>
      </c>
      <c r="AF584" t="s">
        <v>16</v>
      </c>
      <c r="AG584" t="s">
        <v>16</v>
      </c>
      <c r="AH584" t="s">
        <v>16</v>
      </c>
      <c r="AI584" t="s">
        <v>16</v>
      </c>
      <c r="AJ584" t="s">
        <v>16</v>
      </c>
      <c r="AK584" t="s">
        <v>16</v>
      </c>
      <c r="AL584" t="s">
        <v>16</v>
      </c>
      <c r="AM584" t="s">
        <v>16</v>
      </c>
      <c r="AN584" t="s">
        <v>16</v>
      </c>
      <c r="AO584" t="s">
        <v>16</v>
      </c>
      <c r="AP584" t="s">
        <v>16</v>
      </c>
      <c r="AQ584" t="s">
        <v>16</v>
      </c>
      <c r="AR584" t="s">
        <v>16</v>
      </c>
      <c r="AS584" t="s">
        <v>16</v>
      </c>
      <c r="AT584" t="s">
        <v>16</v>
      </c>
      <c r="AU584" t="s">
        <v>16</v>
      </c>
      <c r="AV584" t="s">
        <v>16</v>
      </c>
      <c r="AW584" t="s">
        <v>16</v>
      </c>
      <c r="AX584" t="s">
        <v>16</v>
      </c>
      <c r="AY584">
        <v>1562</v>
      </c>
      <c r="AZ584">
        <v>1541</v>
      </c>
      <c r="BA584">
        <v>1546</v>
      </c>
      <c r="BB584">
        <v>1459</v>
      </c>
      <c r="BC584">
        <v>1556</v>
      </c>
      <c r="BD584">
        <v>2244</v>
      </c>
      <c r="BE584">
        <v>2301</v>
      </c>
      <c r="BF584">
        <v>2392</v>
      </c>
      <c r="BG584">
        <v>2392</v>
      </c>
      <c r="BH584">
        <v>2477</v>
      </c>
    </row>
    <row r="585" spans="1:60">
      <c r="A585" t="s">
        <v>133</v>
      </c>
      <c r="B585" t="s">
        <v>193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0.56000000000000005</v>
      </c>
      <c r="R585">
        <v>1.4970000000000001</v>
      </c>
      <c r="S585">
        <v>3.149</v>
      </c>
      <c r="T585">
        <v>7.0280000000000005</v>
      </c>
      <c r="U585">
        <v>10.891999999999999</v>
      </c>
      <c r="V585">
        <v>18.083000000000002</v>
      </c>
      <c r="W585">
        <v>21.012</v>
      </c>
      <c r="X585">
        <v>51.320999999999998</v>
      </c>
      <c r="Y585">
        <v>53.323999999999998</v>
      </c>
      <c r="Z585">
        <v>84.980999999999995</v>
      </c>
      <c r="AA585">
        <v>111.669</v>
      </c>
      <c r="AB585">
        <v>175.30599999999998</v>
      </c>
      <c r="AC585">
        <v>281.99400000000003</v>
      </c>
      <c r="AD585">
        <v>376.904</v>
      </c>
      <c r="AE585">
        <v>555.97</v>
      </c>
      <c r="AF585">
        <v>683.90100000000007</v>
      </c>
      <c r="AG585">
        <v>895.23599999999999</v>
      </c>
      <c r="AH585">
        <v>1055.039</v>
      </c>
      <c r="AI585">
        <v>1162.229</v>
      </c>
      <c r="AJ585">
        <v>1301.9059999999999</v>
      </c>
      <c r="AK585">
        <v>1467.865</v>
      </c>
      <c r="AL585">
        <v>1601.8330000000001</v>
      </c>
      <c r="AM585">
        <v>1647.614</v>
      </c>
      <c r="AN585">
        <v>1663.402</v>
      </c>
      <c r="AO585">
        <v>1737.3979999999999</v>
      </c>
      <c r="AP585">
        <v>1746.7049999999999</v>
      </c>
      <c r="AQ585">
        <v>1762.086</v>
      </c>
      <c r="AR585">
        <v>1852.104</v>
      </c>
      <c r="AS585">
        <v>1964.4209999999998</v>
      </c>
      <c r="AT585">
        <v>2100.797</v>
      </c>
      <c r="AU585">
        <v>2154.6220000000003</v>
      </c>
      <c r="AV585">
        <v>2117.7129999999997</v>
      </c>
      <c r="AW585">
        <v>2215.819</v>
      </c>
      <c r="AX585">
        <v>2329.0149999999999</v>
      </c>
      <c r="AY585">
        <v>805</v>
      </c>
      <c r="AZ585">
        <v>879</v>
      </c>
      <c r="BA585">
        <v>912</v>
      </c>
      <c r="BB585">
        <v>1039</v>
      </c>
      <c r="BC585">
        <v>975</v>
      </c>
      <c r="BD585">
        <v>329</v>
      </c>
      <c r="BE585">
        <v>260</v>
      </c>
      <c r="BF585">
        <v>235</v>
      </c>
      <c r="BG585">
        <v>137</v>
      </c>
      <c r="BH585" t="s">
        <v>16</v>
      </c>
    </row>
    <row r="586" spans="1:60">
      <c r="A586" t="s">
        <v>133</v>
      </c>
      <c r="B586" t="s">
        <v>194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0.441</v>
      </c>
      <c r="T586">
        <v>0.443</v>
      </c>
      <c r="U586">
        <v>0.46499999999999997</v>
      </c>
      <c r="V586">
        <v>2.3E-2</v>
      </c>
      <c r="W586">
        <v>0.183</v>
      </c>
      <c r="X586">
        <v>4.2069999999999999</v>
      </c>
      <c r="Y586">
        <v>44.948999999999998</v>
      </c>
      <c r="Z586">
        <v>86.713999999999999</v>
      </c>
      <c r="AA586">
        <v>144.09800000000001</v>
      </c>
      <c r="AB586">
        <v>12.940000000000001</v>
      </c>
      <c r="AC586">
        <v>33.861000000000004</v>
      </c>
      <c r="AD586">
        <v>0</v>
      </c>
      <c r="AE586">
        <v>1.2210000000000001</v>
      </c>
      <c r="AF586">
        <v>14.521000000000001</v>
      </c>
      <c r="AG586">
        <v>33.646999999999998</v>
      </c>
      <c r="AH586">
        <v>42.968000000000004</v>
      </c>
      <c r="AI586">
        <v>45.158999999999999</v>
      </c>
      <c r="AJ586">
        <v>47.463000000000001</v>
      </c>
      <c r="AK586">
        <v>51.933</v>
      </c>
      <c r="AL586">
        <v>53.591999999999999</v>
      </c>
      <c r="AM586">
        <v>52.478999999999999</v>
      </c>
      <c r="AN586">
        <v>50.066000000000003</v>
      </c>
      <c r="AO586">
        <v>51.150000000000006</v>
      </c>
      <c r="AP586">
        <v>48.656999999999996</v>
      </c>
      <c r="AQ586">
        <v>47.396000000000001</v>
      </c>
      <c r="AR586">
        <v>46.606999999999999</v>
      </c>
      <c r="AS586">
        <v>49.314</v>
      </c>
      <c r="AT586">
        <v>52.736999999999995</v>
      </c>
      <c r="AU586">
        <v>54.402999999999999</v>
      </c>
      <c r="AV586">
        <v>51.412000000000006</v>
      </c>
      <c r="AW586">
        <v>53.762</v>
      </c>
      <c r="AX586">
        <v>56.14</v>
      </c>
      <c r="AY586">
        <v>54.278999999999996</v>
      </c>
      <c r="AZ586">
        <v>55.207000000000001</v>
      </c>
      <c r="BA586">
        <v>53.573000000000008</v>
      </c>
      <c r="BB586">
        <v>52.917000000000002</v>
      </c>
      <c r="BC586">
        <v>53.337999999999994</v>
      </c>
      <c r="BD586">
        <v>54.317</v>
      </c>
      <c r="BE586">
        <v>51.736000000000004</v>
      </c>
      <c r="BF586">
        <v>49.758000000000003</v>
      </c>
      <c r="BG586">
        <v>48.938999999999993</v>
      </c>
      <c r="BH586" t="s">
        <v>16</v>
      </c>
    </row>
    <row r="587" spans="1:60">
      <c r="A587" t="s">
        <v>135</v>
      </c>
      <c r="B587" t="s">
        <v>198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13628</v>
      </c>
      <c r="AC587">
        <v>16900</v>
      </c>
      <c r="AD587">
        <v>16900</v>
      </c>
      <c r="AE587">
        <v>0</v>
      </c>
      <c r="AF587">
        <v>7500</v>
      </c>
      <c r="AG587">
        <v>0</v>
      </c>
      <c r="AH587">
        <v>0</v>
      </c>
      <c r="AI587">
        <v>0</v>
      </c>
      <c r="AJ587">
        <v>5000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</row>
    <row r="588" spans="1:60">
      <c r="A588" t="s">
        <v>135</v>
      </c>
      <c r="B588" t="s">
        <v>195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13628</v>
      </c>
      <c r="AC588">
        <v>16900</v>
      </c>
      <c r="AD588">
        <v>16900</v>
      </c>
      <c r="AE588">
        <v>0</v>
      </c>
      <c r="AF588">
        <v>7500</v>
      </c>
      <c r="AG588">
        <v>0</v>
      </c>
      <c r="AH588">
        <v>0</v>
      </c>
      <c r="AI588">
        <v>0</v>
      </c>
      <c r="AJ588">
        <v>5000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</row>
    <row r="589" spans="1:60">
      <c r="A589" t="s">
        <v>183</v>
      </c>
      <c r="B589" t="s">
        <v>198</v>
      </c>
      <c r="BC589">
        <v>0</v>
      </c>
      <c r="BD589">
        <v>0</v>
      </c>
      <c r="BE589">
        <v>0</v>
      </c>
      <c r="BF589">
        <v>760</v>
      </c>
      <c r="BG589">
        <v>900</v>
      </c>
      <c r="BH589" t="s">
        <v>16</v>
      </c>
    </row>
    <row r="590" spans="1:60">
      <c r="A590" t="s">
        <v>183</v>
      </c>
      <c r="B590" t="s">
        <v>193</v>
      </c>
      <c r="BC590">
        <v>0</v>
      </c>
      <c r="BD590">
        <v>0</v>
      </c>
      <c r="BE590">
        <v>0</v>
      </c>
      <c r="BF590">
        <v>760</v>
      </c>
      <c r="BG590">
        <v>900</v>
      </c>
      <c r="BH590" t="s">
        <v>16</v>
      </c>
    </row>
    <row r="591" spans="1:60">
      <c r="A591" t="s">
        <v>136</v>
      </c>
      <c r="B591" t="s">
        <v>198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152</v>
      </c>
      <c r="N591">
        <v>1.9330000000000001</v>
      </c>
      <c r="O591">
        <v>0.378</v>
      </c>
      <c r="P591">
        <v>0.21300000000000002</v>
      </c>
      <c r="Q591">
        <v>0.20900000000000002</v>
      </c>
      <c r="R591">
        <v>1.7999999999999999E-2</v>
      </c>
      <c r="S591">
        <v>0.55100000000000005</v>
      </c>
      <c r="T591">
        <v>0.309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3.798</v>
      </c>
      <c r="AF591">
        <v>6.6639999999999997</v>
      </c>
      <c r="AG591">
        <v>10.685</v>
      </c>
      <c r="AH591">
        <v>15.593999999999999</v>
      </c>
      <c r="AI591">
        <v>22.698999999999998</v>
      </c>
      <c r="AJ591">
        <v>33.014000000000003</v>
      </c>
      <c r="AK591">
        <v>43.112000000000002</v>
      </c>
      <c r="AL591">
        <v>84.1</v>
      </c>
      <c r="AM591">
        <v>342.84699999999998</v>
      </c>
      <c r="AN591">
        <v>287.81100000000004</v>
      </c>
      <c r="AO591">
        <v>345.14300000000003</v>
      </c>
      <c r="AP591">
        <v>393.58000000000004</v>
      </c>
      <c r="AQ591">
        <v>336.76499999999999</v>
      </c>
      <c r="AR591">
        <v>280.81799999999998</v>
      </c>
      <c r="AS591">
        <v>301.50199999999995</v>
      </c>
      <c r="AT591">
        <v>4.4400000000000004</v>
      </c>
      <c r="AU591">
        <v>0</v>
      </c>
      <c r="AV591">
        <v>227</v>
      </c>
      <c r="AW591">
        <v>0</v>
      </c>
      <c r="AX591">
        <v>1.3149999999999999</v>
      </c>
      <c r="AY591">
        <v>7.91</v>
      </c>
      <c r="AZ591">
        <v>3.1000000000000003E-2</v>
      </c>
      <c r="BA591">
        <v>3.7999999999999999E-2</v>
      </c>
      <c r="BB591">
        <v>9.5000000000000001E-2</v>
      </c>
      <c r="BC591">
        <v>0</v>
      </c>
      <c r="BD591">
        <v>13.758999999999999</v>
      </c>
      <c r="BE591">
        <v>115.161</v>
      </c>
      <c r="BF591">
        <v>76.815000000000012</v>
      </c>
      <c r="BG591">
        <v>230.703</v>
      </c>
      <c r="BH591" t="s">
        <v>16</v>
      </c>
    </row>
    <row r="592" spans="1:60">
      <c r="A592" t="s">
        <v>136</v>
      </c>
      <c r="B592" t="s">
        <v>190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29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</row>
    <row r="593" spans="1:60">
      <c r="A593" t="s">
        <v>136</v>
      </c>
      <c r="B593" t="s">
        <v>192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T593">
        <v>0</v>
      </c>
      <c r="AU593">
        <v>0</v>
      </c>
      <c r="AV593">
        <v>227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</row>
    <row r="594" spans="1:60">
      <c r="A594" t="s">
        <v>136</v>
      </c>
      <c r="B594" t="s">
        <v>193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0.255</v>
      </c>
      <c r="T594">
        <v>0.28999999999999998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1.4999999999999999E-2</v>
      </c>
      <c r="AH594">
        <v>0</v>
      </c>
      <c r="AI594">
        <v>0</v>
      </c>
      <c r="AJ594">
        <v>0</v>
      </c>
      <c r="AK594">
        <v>1.5009999999999999</v>
      </c>
      <c r="AL594">
        <v>9.5609999999999999</v>
      </c>
      <c r="AM594">
        <v>45.250999999999998</v>
      </c>
      <c r="AN594">
        <v>48.369</v>
      </c>
      <c r="AO594">
        <v>56.262</v>
      </c>
      <c r="AP594">
        <v>58.528000000000006</v>
      </c>
      <c r="AQ594">
        <v>51.084000000000003</v>
      </c>
      <c r="AR594">
        <v>33.738</v>
      </c>
      <c r="AS594">
        <v>32.716999999999999</v>
      </c>
      <c r="AT594">
        <v>4.4400000000000004</v>
      </c>
      <c r="AU594">
        <v>0</v>
      </c>
      <c r="AV594" t="s">
        <v>16</v>
      </c>
      <c r="AW594">
        <v>0</v>
      </c>
      <c r="AX594">
        <v>1.3149999999999999</v>
      </c>
      <c r="AY594">
        <v>7.91</v>
      </c>
      <c r="AZ594">
        <v>1.9000000000000003E-2</v>
      </c>
      <c r="BA594">
        <v>3.1E-2</v>
      </c>
      <c r="BB594">
        <v>4.4999999999999998E-2</v>
      </c>
      <c r="BC594">
        <v>0</v>
      </c>
      <c r="BD594">
        <v>13.283999999999999</v>
      </c>
      <c r="BE594">
        <v>70.872</v>
      </c>
      <c r="BF594">
        <v>76.028000000000006</v>
      </c>
      <c r="BG594">
        <v>169.78700000000001</v>
      </c>
      <c r="BH594" t="s">
        <v>16</v>
      </c>
    </row>
    <row r="595" spans="1:60">
      <c r="A595" t="s">
        <v>136</v>
      </c>
      <c r="B595" t="s">
        <v>194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1.9330000000000001</v>
      </c>
      <c r="O595">
        <v>0.378</v>
      </c>
      <c r="P595">
        <v>0.21300000000000002</v>
      </c>
      <c r="Q595">
        <v>0.20900000000000002</v>
      </c>
      <c r="R595">
        <v>1.7999999999999999E-2</v>
      </c>
      <c r="S595">
        <v>0.29600000000000004</v>
      </c>
      <c r="T595">
        <v>1.9E-2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3.798</v>
      </c>
      <c r="AF595">
        <v>6.6639999999999997</v>
      </c>
      <c r="AG595">
        <v>10.67</v>
      </c>
      <c r="AH595">
        <v>15.593999999999999</v>
      </c>
      <c r="AI595">
        <v>22.698999999999998</v>
      </c>
      <c r="AJ595">
        <v>33.014000000000003</v>
      </c>
      <c r="AK595">
        <v>41.611000000000004</v>
      </c>
      <c r="AL595">
        <v>74.539000000000001</v>
      </c>
      <c r="AM595">
        <v>233.596</v>
      </c>
      <c r="AN595">
        <v>239.44200000000001</v>
      </c>
      <c r="AO595">
        <v>288.88100000000003</v>
      </c>
      <c r="AP595">
        <v>335.05200000000002</v>
      </c>
      <c r="AQ595">
        <v>285.68099999999998</v>
      </c>
      <c r="AR595">
        <v>247.07999999999998</v>
      </c>
      <c r="AS595">
        <v>268.78499999999997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1.2E-2</v>
      </c>
      <c r="BA595">
        <v>7.0000000000000001E-3</v>
      </c>
      <c r="BB595">
        <v>0.05</v>
      </c>
      <c r="BC595">
        <v>0</v>
      </c>
      <c r="BD595">
        <v>0.47499999999999998</v>
      </c>
      <c r="BE595">
        <v>44.289000000000001</v>
      </c>
      <c r="BF595">
        <v>0.78700000000000003</v>
      </c>
      <c r="BG595">
        <v>60.916000000000004</v>
      </c>
      <c r="BH595" t="s">
        <v>16</v>
      </c>
    </row>
    <row r="596" spans="1:60">
      <c r="A596" t="s">
        <v>136</v>
      </c>
      <c r="B596" t="s">
        <v>196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123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64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</row>
    <row r="597" spans="1:60">
      <c r="A597" t="s">
        <v>137</v>
      </c>
      <c r="B597" t="s">
        <v>198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0.17399999999999999</v>
      </c>
      <c r="S597">
        <v>23.053000000000001</v>
      </c>
      <c r="T597">
        <v>176.36</v>
      </c>
      <c r="U597">
        <v>248.97399999999999</v>
      </c>
      <c r="V597">
        <v>955.976</v>
      </c>
      <c r="W597">
        <v>613.67200000000003</v>
      </c>
      <c r="X597">
        <v>1177.5160000000001</v>
      </c>
      <c r="Y597">
        <v>1100.7730000000001</v>
      </c>
      <c r="Z597">
        <v>1974.864</v>
      </c>
      <c r="AA597">
        <v>2336.2055338741552</v>
      </c>
      <c r="AB597">
        <v>3627.6808366348714</v>
      </c>
      <c r="AC597">
        <v>4705.8375719192518</v>
      </c>
      <c r="AD597">
        <v>6436.7438560496412</v>
      </c>
      <c r="AE597">
        <v>6933.3857459741957</v>
      </c>
      <c r="AF597">
        <v>9294.4399048860669</v>
      </c>
      <c r="AG597">
        <v>10612.827693181764</v>
      </c>
      <c r="AH597">
        <v>13054.322216241442</v>
      </c>
      <c r="AI597">
        <v>12059.838971673895</v>
      </c>
      <c r="AJ597">
        <v>12815.171155853252</v>
      </c>
      <c r="AK597">
        <v>14304.945493442738</v>
      </c>
      <c r="AL597">
        <v>21191.84738268498</v>
      </c>
      <c r="AM597">
        <v>21307.4383701025</v>
      </c>
      <c r="AN597">
        <v>21324.849317450615</v>
      </c>
      <c r="AO597">
        <v>22460.615217577648</v>
      </c>
      <c r="AP597">
        <v>22503.572120490586</v>
      </c>
      <c r="AQ597">
        <v>20623.312779203447</v>
      </c>
      <c r="AR597">
        <v>21055.741548629536</v>
      </c>
      <c r="AS597">
        <v>22988.20366350155</v>
      </c>
      <c r="AT597">
        <v>25010.392673387592</v>
      </c>
      <c r="AU597">
        <v>26493.428691726396</v>
      </c>
      <c r="AV597">
        <v>26074.053162193464</v>
      </c>
      <c r="AW597">
        <v>27804.961770835998</v>
      </c>
      <c r="AX597">
        <v>29723.691493092163</v>
      </c>
      <c r="AY597">
        <v>30835.65800620104</v>
      </c>
      <c r="AZ597">
        <v>32318.216182398555</v>
      </c>
      <c r="BA597">
        <v>37814.178601897023</v>
      </c>
      <c r="BB597">
        <v>39262.778100071358</v>
      </c>
      <c r="BC597">
        <v>40796.777478616583</v>
      </c>
      <c r="BD597">
        <v>41961.473237774364</v>
      </c>
      <c r="BE597">
        <v>43263.820131611319</v>
      </c>
      <c r="BF597">
        <v>44828.571563003396</v>
      </c>
      <c r="BG597">
        <v>46396.522446646144</v>
      </c>
      <c r="BH597" t="s">
        <v>16</v>
      </c>
    </row>
    <row r="598" spans="1:60">
      <c r="A598" t="s">
        <v>137</v>
      </c>
      <c r="B598" t="s">
        <v>190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36</v>
      </c>
      <c r="V598">
        <v>0</v>
      </c>
      <c r="W598">
        <v>0</v>
      </c>
      <c r="X598">
        <v>9.4</v>
      </c>
      <c r="Y598">
        <v>19.5</v>
      </c>
      <c r="Z598">
        <v>0</v>
      </c>
      <c r="AA598">
        <v>738.19779031398627</v>
      </c>
      <c r="AB598">
        <v>910.23889488729844</v>
      </c>
      <c r="AC598">
        <v>1100.661933133626</v>
      </c>
      <c r="AD598">
        <v>1371.2196270949221</v>
      </c>
      <c r="AE598">
        <v>1401.276792946677</v>
      </c>
      <c r="AF598">
        <v>1478.5821430490021</v>
      </c>
      <c r="AG598">
        <v>1737.2471910772849</v>
      </c>
      <c r="AH598">
        <v>1899.7922736280746</v>
      </c>
      <c r="AI598">
        <v>1962.8192482839959</v>
      </c>
      <c r="AJ598">
        <v>2081.2731942029736</v>
      </c>
      <c r="AK598">
        <v>2327.8041683079505</v>
      </c>
      <c r="AL598">
        <v>2449.9887294343598</v>
      </c>
      <c r="AM598">
        <v>2442.8845664375208</v>
      </c>
      <c r="AN598">
        <v>2354.8298025059153</v>
      </c>
      <c r="AO598">
        <v>2507.8230518708037</v>
      </c>
      <c r="AP598">
        <v>2510.7101792760509</v>
      </c>
      <c r="AQ598">
        <v>2455.4266170480023</v>
      </c>
      <c r="AR598">
        <v>2415.4420965510399</v>
      </c>
      <c r="AS598">
        <v>2664.65720347151</v>
      </c>
      <c r="AT598">
        <v>2949.9766920714724</v>
      </c>
      <c r="AU598">
        <v>3134.8616409046126</v>
      </c>
      <c r="AV598">
        <v>2965.7562264335038</v>
      </c>
      <c r="AW598">
        <v>3250.9633188902212</v>
      </c>
      <c r="AX598">
        <v>3534.561996023534</v>
      </c>
      <c r="AY598">
        <v>3508.1593966108476</v>
      </c>
      <c r="AZ598">
        <v>3610.8626986600361</v>
      </c>
      <c r="BA598">
        <v>3587.266104257907</v>
      </c>
      <c r="BB598">
        <v>3615.9103261539826</v>
      </c>
      <c r="BC598">
        <v>3652.8093449314092</v>
      </c>
      <c r="BD598">
        <v>3692.4348505586127</v>
      </c>
      <c r="BE598">
        <v>3501.2257884720198</v>
      </c>
      <c r="BF598">
        <v>3376.5117438393886</v>
      </c>
      <c r="BG598">
        <v>3301.68070308814</v>
      </c>
      <c r="BH598">
        <v>3543.2656473163115</v>
      </c>
    </row>
    <row r="599" spans="1:60">
      <c r="A599" t="s">
        <v>137</v>
      </c>
      <c r="B599" t="s">
        <v>191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1</v>
      </c>
      <c r="AL599">
        <v>2</v>
      </c>
      <c r="AM599">
        <v>3</v>
      </c>
      <c r="AN599">
        <v>4</v>
      </c>
      <c r="AO599">
        <v>5</v>
      </c>
      <c r="AP599">
        <v>6</v>
      </c>
      <c r="AQ599">
        <v>0</v>
      </c>
      <c r="AR599">
        <v>0</v>
      </c>
      <c r="AS599">
        <v>0</v>
      </c>
      <c r="AT599">
        <v>0</v>
      </c>
      <c r="AU599">
        <v>297</v>
      </c>
      <c r="AV599">
        <v>0</v>
      </c>
      <c r="AW599">
        <v>0</v>
      </c>
      <c r="AX599">
        <v>0</v>
      </c>
      <c r="AY599">
        <v>496</v>
      </c>
      <c r="AZ599">
        <v>530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</row>
    <row r="600" spans="1:60">
      <c r="A600" t="s">
        <v>137</v>
      </c>
      <c r="B600" t="s">
        <v>192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U600" t="s">
        <v>16</v>
      </c>
      <c r="V600">
        <v>487</v>
      </c>
      <c r="W600" t="s">
        <v>16</v>
      </c>
      <c r="X600" t="s">
        <v>16</v>
      </c>
      <c r="Y600">
        <v>270</v>
      </c>
      <c r="Z600">
        <v>516</v>
      </c>
      <c r="AA600">
        <v>263</v>
      </c>
      <c r="AB600" t="s">
        <v>16</v>
      </c>
      <c r="AC600" t="s">
        <v>16</v>
      </c>
      <c r="AD600" t="s">
        <v>16</v>
      </c>
      <c r="AE600" t="s">
        <v>16</v>
      </c>
      <c r="AF600" t="s">
        <v>16</v>
      </c>
      <c r="AG600" t="s">
        <v>16</v>
      </c>
      <c r="AH600" t="s">
        <v>16</v>
      </c>
      <c r="AI600" t="s">
        <v>16</v>
      </c>
      <c r="AJ600" t="s">
        <v>16</v>
      </c>
      <c r="AK600" t="s">
        <v>16</v>
      </c>
      <c r="AL600">
        <v>5826</v>
      </c>
      <c r="AM600">
        <v>6116</v>
      </c>
      <c r="AN600">
        <v>6426</v>
      </c>
      <c r="AO600">
        <v>6758</v>
      </c>
      <c r="AP600">
        <v>7124</v>
      </c>
      <c r="AQ600">
        <v>7526</v>
      </c>
      <c r="AR600">
        <v>7963</v>
      </c>
      <c r="AS600">
        <v>8433</v>
      </c>
      <c r="AT600">
        <v>8939</v>
      </c>
      <c r="AU600">
        <v>9484</v>
      </c>
      <c r="AV600">
        <v>10070</v>
      </c>
      <c r="AW600">
        <v>10700</v>
      </c>
      <c r="AX600">
        <v>11516</v>
      </c>
      <c r="AY600">
        <v>12332</v>
      </c>
      <c r="AZ600">
        <v>13148</v>
      </c>
      <c r="BA600">
        <v>13964</v>
      </c>
      <c r="BB600">
        <v>14632</v>
      </c>
      <c r="BC600">
        <v>15246</v>
      </c>
      <c r="BD600">
        <v>15693</v>
      </c>
      <c r="BE600">
        <v>16514</v>
      </c>
      <c r="BF600">
        <v>17633</v>
      </c>
      <c r="BG600">
        <v>18360</v>
      </c>
      <c r="BH600" t="s">
        <v>16</v>
      </c>
    </row>
    <row r="601" spans="1:60">
      <c r="A601" t="s">
        <v>137</v>
      </c>
      <c r="B601" t="s">
        <v>193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0.17399999999999999</v>
      </c>
      <c r="S601">
        <v>9.7530000000000001</v>
      </c>
      <c r="T601">
        <v>52.96</v>
      </c>
      <c r="U601">
        <v>82.573999999999998</v>
      </c>
      <c r="V601">
        <v>70.975999999999999</v>
      </c>
      <c r="W601">
        <v>140.37200000000001</v>
      </c>
      <c r="X601">
        <v>392.11599999999999</v>
      </c>
      <c r="Y601">
        <v>607.27300000000002</v>
      </c>
      <c r="Z601">
        <v>756.86400000000003</v>
      </c>
      <c r="AA601">
        <v>1148.5409999999999</v>
      </c>
      <c r="AB601">
        <v>1920.8400000000001</v>
      </c>
      <c r="AC601">
        <v>2523.0639999999999</v>
      </c>
      <c r="AD601">
        <v>3611.5280000000002</v>
      </c>
      <c r="AE601">
        <v>4236.6970000000001</v>
      </c>
      <c r="AF601">
        <v>6490.1660000000002</v>
      </c>
      <c r="AG601">
        <v>7136.9709999999995</v>
      </c>
      <c r="AH601">
        <v>7905.6610000000001</v>
      </c>
      <c r="AI601">
        <v>8257.6640000000007</v>
      </c>
      <c r="AJ601">
        <v>8749.3379999999997</v>
      </c>
      <c r="AK601">
        <v>9574.5119999999988</v>
      </c>
      <c r="AL601">
        <v>10030.249</v>
      </c>
      <c r="AM601">
        <v>10144.377</v>
      </c>
      <c r="AN601">
        <v>10068.791000000001</v>
      </c>
      <c r="AO601">
        <v>10474.118999999999</v>
      </c>
      <c r="AP601">
        <v>10447.324000000001</v>
      </c>
      <c r="AQ601">
        <v>8195.5450000000001</v>
      </c>
      <c r="AR601">
        <v>8177.2710000000006</v>
      </c>
      <c r="AS601">
        <v>8754.3140000000003</v>
      </c>
      <c r="AT601">
        <v>9497.5810000000001</v>
      </c>
      <c r="AU601">
        <v>9570.0450000000001</v>
      </c>
      <c r="AV601">
        <v>9487.509</v>
      </c>
      <c r="AW601">
        <v>9933.393</v>
      </c>
      <c r="AX601">
        <v>10320.632</v>
      </c>
      <c r="AY601">
        <v>9687.1550000000007</v>
      </c>
      <c r="AZ601">
        <v>9862.7240000000002</v>
      </c>
      <c r="BA601">
        <v>14437</v>
      </c>
      <c r="BB601">
        <v>15087</v>
      </c>
      <c r="BC601">
        <v>15723</v>
      </c>
      <c r="BD601">
        <v>16120</v>
      </c>
      <c r="BE601">
        <v>17357</v>
      </c>
      <c r="BF601">
        <v>17875</v>
      </c>
      <c r="BG601">
        <v>18824</v>
      </c>
      <c r="BH601" t="s">
        <v>16</v>
      </c>
    </row>
    <row r="602" spans="1:60">
      <c r="A602" t="s">
        <v>137</v>
      </c>
      <c r="B602" t="s">
        <v>194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13.3</v>
      </c>
      <c r="T602">
        <v>123.4</v>
      </c>
      <c r="U602">
        <v>130.4</v>
      </c>
      <c r="V602" t="s">
        <v>16</v>
      </c>
      <c r="W602">
        <v>473.3</v>
      </c>
      <c r="X602" t="s">
        <v>16</v>
      </c>
      <c r="Y602" t="s">
        <v>16</v>
      </c>
      <c r="Z602" t="s">
        <v>16</v>
      </c>
      <c r="AA602" t="s">
        <v>16</v>
      </c>
      <c r="AB602" t="s">
        <v>16</v>
      </c>
      <c r="AC602" t="s">
        <v>16</v>
      </c>
      <c r="AD602" t="s">
        <v>16</v>
      </c>
      <c r="AE602" t="s">
        <v>16</v>
      </c>
      <c r="AF602" t="s">
        <v>16</v>
      </c>
      <c r="AG602" t="s">
        <v>16</v>
      </c>
      <c r="AH602" t="s">
        <v>16</v>
      </c>
      <c r="AI602" t="s">
        <v>16</v>
      </c>
      <c r="AJ602" t="s">
        <v>16</v>
      </c>
      <c r="AK602" t="s">
        <v>16</v>
      </c>
      <c r="AL602" t="s">
        <v>16</v>
      </c>
      <c r="AM602" t="s">
        <v>16</v>
      </c>
      <c r="AN602" t="s">
        <v>16</v>
      </c>
      <c r="AO602" t="s">
        <v>16</v>
      </c>
      <c r="AP602" t="s">
        <v>16</v>
      </c>
      <c r="AQ602" t="s">
        <v>16</v>
      </c>
      <c r="AR602" t="s">
        <v>16</v>
      </c>
      <c r="AS602" t="s">
        <v>16</v>
      </c>
      <c r="AT602" t="s">
        <v>16</v>
      </c>
      <c r="AU602" t="s">
        <v>16</v>
      </c>
      <c r="AV602" t="s">
        <v>16</v>
      </c>
      <c r="AW602" t="s">
        <v>16</v>
      </c>
      <c r="AX602" t="s">
        <v>16</v>
      </c>
      <c r="AY602" t="s">
        <v>16</v>
      </c>
      <c r="AZ602" t="s">
        <v>16</v>
      </c>
      <c r="BA602" t="s">
        <v>16</v>
      </c>
      <c r="BB602" t="s">
        <v>16</v>
      </c>
      <c r="BC602" t="s">
        <v>16</v>
      </c>
      <c r="BD602" t="s">
        <v>16</v>
      </c>
      <c r="BE602" t="s">
        <v>16</v>
      </c>
      <c r="BF602" t="s">
        <v>16</v>
      </c>
      <c r="BG602" t="s">
        <v>16</v>
      </c>
      <c r="BH602" t="s">
        <v>16</v>
      </c>
    </row>
    <row r="603" spans="1:60">
      <c r="A603" t="s">
        <v>137</v>
      </c>
      <c r="B603" t="s">
        <v>195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 t="s">
        <v>16</v>
      </c>
      <c r="S603" t="s">
        <v>16</v>
      </c>
      <c r="T603" t="s">
        <v>16</v>
      </c>
      <c r="U603" t="s">
        <v>16</v>
      </c>
      <c r="V603">
        <v>398</v>
      </c>
      <c r="W603" t="s">
        <v>16</v>
      </c>
      <c r="X603">
        <v>776</v>
      </c>
      <c r="Y603">
        <v>204</v>
      </c>
      <c r="Z603">
        <v>702</v>
      </c>
      <c r="AA603">
        <v>186.46674356016916</v>
      </c>
      <c r="AB603">
        <v>796.60194174757282</v>
      </c>
      <c r="AC603">
        <v>1082.1116387856257</v>
      </c>
      <c r="AD603">
        <v>1453.9962289547188</v>
      </c>
      <c r="AE603">
        <v>1295.4119530275182</v>
      </c>
      <c r="AF603">
        <v>1325.6917618370637</v>
      </c>
      <c r="AG603">
        <v>1738.6095021044794</v>
      </c>
      <c r="AH603">
        <v>1802.8689426133687</v>
      </c>
      <c r="AI603">
        <v>1839.3557233898998</v>
      </c>
      <c r="AJ603">
        <v>1984.5599616502793</v>
      </c>
      <c r="AK603">
        <v>2401.6293251347897</v>
      </c>
      <c r="AL603">
        <v>2883.6096532506217</v>
      </c>
      <c r="AM603">
        <v>2601.1768036649814</v>
      </c>
      <c r="AN603">
        <v>2471.2285149446971</v>
      </c>
      <c r="AO603">
        <v>2715.6731657068462</v>
      </c>
      <c r="AP603">
        <v>2415.5379412145357</v>
      </c>
      <c r="AQ603">
        <v>2446.3411621554428</v>
      </c>
      <c r="AR603">
        <v>2500.0284520784958</v>
      </c>
      <c r="AS603">
        <v>3136.2324600300371</v>
      </c>
      <c r="AT603">
        <v>3623.8349813161185</v>
      </c>
      <c r="AU603">
        <v>4007.5220508217826</v>
      </c>
      <c r="AV603">
        <v>3550.7879357599581</v>
      </c>
      <c r="AW603">
        <v>3920.6054519457794</v>
      </c>
      <c r="AX603">
        <v>4352.4974970686326</v>
      </c>
      <c r="AY603">
        <v>4812.3436095901916</v>
      </c>
      <c r="AZ603">
        <v>5166.6294837385167</v>
      </c>
      <c r="BA603">
        <v>5825.9124976391167</v>
      </c>
      <c r="BB603">
        <v>5927.8677739173718</v>
      </c>
      <c r="BC603">
        <v>6174.9681336851681</v>
      </c>
      <c r="BD603">
        <v>6456.0383872157508</v>
      </c>
      <c r="BE603">
        <v>5891.5943431393043</v>
      </c>
      <c r="BF603">
        <v>5944.0598191640011</v>
      </c>
      <c r="BG603">
        <v>5910.8417435580022</v>
      </c>
      <c r="BH603">
        <v>6221.7677146618271</v>
      </c>
    </row>
    <row r="604" spans="1:60">
      <c r="A604" t="s">
        <v>137</v>
      </c>
      <c r="B604" t="s">
        <v>196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1446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</row>
    <row r="605" spans="1:60">
      <c r="A605" t="s">
        <v>138</v>
      </c>
      <c r="B605" t="s">
        <v>198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0.2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18</v>
      </c>
      <c r="AP605">
        <v>34</v>
      </c>
      <c r="AQ605">
        <v>71</v>
      </c>
      <c r="AR605">
        <v>112</v>
      </c>
      <c r="AS605">
        <v>118</v>
      </c>
      <c r="AT605">
        <v>107</v>
      </c>
      <c r="AU605">
        <v>123</v>
      </c>
      <c r="AV605">
        <v>141</v>
      </c>
      <c r="AW605">
        <v>148</v>
      </c>
      <c r="AX605">
        <v>140</v>
      </c>
      <c r="AY605">
        <v>150</v>
      </c>
      <c r="AZ605">
        <v>42</v>
      </c>
      <c r="BA605">
        <v>48</v>
      </c>
      <c r="BB605">
        <v>14</v>
      </c>
      <c r="BC605">
        <v>14</v>
      </c>
      <c r="BD605">
        <v>0</v>
      </c>
      <c r="BE605">
        <v>0</v>
      </c>
      <c r="BF605">
        <v>0</v>
      </c>
      <c r="BG605">
        <v>0</v>
      </c>
      <c r="BH605">
        <v>0</v>
      </c>
    </row>
    <row r="606" spans="1:60">
      <c r="A606" t="s">
        <v>138</v>
      </c>
      <c r="B606" t="s">
        <v>190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0.2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</row>
    <row r="607" spans="1:60">
      <c r="A607" t="s">
        <v>138</v>
      </c>
      <c r="B607" t="s">
        <v>193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18</v>
      </c>
      <c r="AP607">
        <v>34</v>
      </c>
      <c r="AQ607">
        <v>71</v>
      </c>
      <c r="AR607">
        <v>87</v>
      </c>
      <c r="AS607">
        <v>93</v>
      </c>
      <c r="AT607">
        <v>107</v>
      </c>
      <c r="AU607">
        <v>123</v>
      </c>
      <c r="AV607">
        <v>141</v>
      </c>
      <c r="AW607">
        <v>148</v>
      </c>
      <c r="AX607">
        <v>140</v>
      </c>
      <c r="AY607">
        <v>150</v>
      </c>
      <c r="AZ607">
        <v>42</v>
      </c>
      <c r="BA607">
        <v>48</v>
      </c>
      <c r="BB607">
        <v>14</v>
      </c>
      <c r="BC607">
        <v>14</v>
      </c>
      <c r="BD607">
        <v>0</v>
      </c>
      <c r="BE607">
        <v>0</v>
      </c>
      <c r="BF607">
        <v>0</v>
      </c>
      <c r="BG607">
        <v>0</v>
      </c>
      <c r="BH607">
        <v>0</v>
      </c>
    </row>
    <row r="608" spans="1:60">
      <c r="A608" t="s">
        <v>138</v>
      </c>
      <c r="B608" t="s">
        <v>196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25</v>
      </c>
      <c r="AS608">
        <v>25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</row>
    <row r="609" spans="1:60">
      <c r="A609" t="s">
        <v>139</v>
      </c>
      <c r="B609" t="s">
        <v>198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5.0000000000000001E-3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9.7000000000000003E-2</v>
      </c>
      <c r="AD609">
        <v>7.0999999999999994E-2</v>
      </c>
      <c r="AE609">
        <v>0.25800000000000001</v>
      </c>
      <c r="AF609">
        <v>0.17799999999999999</v>
      </c>
      <c r="AG609">
        <v>0.33400000000000002</v>
      </c>
      <c r="AH609">
        <v>2.629</v>
      </c>
      <c r="AI609">
        <v>5.1360000000000001</v>
      </c>
      <c r="AJ609">
        <v>5.1859999999999999</v>
      </c>
      <c r="AK609">
        <v>6.0790000000000006</v>
      </c>
      <c r="AL609">
        <v>4.4789999999999992</v>
      </c>
      <c r="AM609">
        <v>1.3879999999999999</v>
      </c>
      <c r="AN609">
        <v>1.2309999999999999</v>
      </c>
      <c r="AO609">
        <v>1.3</v>
      </c>
      <c r="AP609">
        <v>0.378</v>
      </c>
      <c r="AQ609">
        <v>0.221</v>
      </c>
      <c r="AR609">
        <v>0.25</v>
      </c>
      <c r="AS609">
        <v>7.7090000000000005</v>
      </c>
      <c r="AT609">
        <v>17.196999999999999</v>
      </c>
      <c r="AU609">
        <v>14.689</v>
      </c>
      <c r="AV609">
        <v>22.338000000000001</v>
      </c>
      <c r="AW609">
        <v>26.679000000000002</v>
      </c>
      <c r="AX609">
        <v>10.867000000000001</v>
      </c>
      <c r="AY609">
        <v>25.608000000000001</v>
      </c>
      <c r="AZ609">
        <v>44.382999999999996</v>
      </c>
      <c r="BA609">
        <v>60.793000000000006</v>
      </c>
      <c r="BB609">
        <v>78.256</v>
      </c>
      <c r="BC609">
        <v>68.242999999999995</v>
      </c>
      <c r="BD609">
        <v>71.887</v>
      </c>
      <c r="BE609">
        <v>71.794999999999987</v>
      </c>
      <c r="BF609">
        <v>76.739000000000004</v>
      </c>
      <c r="BG609">
        <v>86.418000000000006</v>
      </c>
      <c r="BH609" t="s">
        <v>16</v>
      </c>
    </row>
    <row r="610" spans="1:60">
      <c r="A610" t="s">
        <v>139</v>
      </c>
      <c r="B610" t="s">
        <v>193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9.7000000000000003E-2</v>
      </c>
      <c r="AD610">
        <v>7.0999999999999994E-2</v>
      </c>
      <c r="AE610">
        <v>0.25800000000000001</v>
      </c>
      <c r="AF610">
        <v>0.17799999999999999</v>
      </c>
      <c r="AG610">
        <v>0.33400000000000002</v>
      </c>
      <c r="AH610">
        <v>2.42</v>
      </c>
      <c r="AI610">
        <v>4.7809999999999997</v>
      </c>
      <c r="AJ610">
        <v>4.2469999999999999</v>
      </c>
      <c r="AK610">
        <v>5.5270000000000001</v>
      </c>
      <c r="AL610">
        <v>4.2089999999999996</v>
      </c>
      <c r="AM610">
        <v>1.3879999999999999</v>
      </c>
      <c r="AN610">
        <v>1.2309999999999999</v>
      </c>
      <c r="AO610">
        <v>1.3</v>
      </c>
      <c r="AP610">
        <v>0.378</v>
      </c>
      <c r="AQ610">
        <v>0.221</v>
      </c>
      <c r="AR610">
        <v>0.25</v>
      </c>
      <c r="AS610">
        <v>6.6340000000000003</v>
      </c>
      <c r="AT610">
        <v>17.196999999999999</v>
      </c>
      <c r="AU610">
        <v>14.689</v>
      </c>
      <c r="AV610">
        <v>22.338000000000001</v>
      </c>
      <c r="AW610">
        <v>26.679000000000002</v>
      </c>
      <c r="AX610">
        <v>10.867000000000001</v>
      </c>
      <c r="AY610">
        <v>25.608000000000001</v>
      </c>
      <c r="AZ610">
        <v>43.15</v>
      </c>
      <c r="BA610">
        <v>56.367000000000004</v>
      </c>
      <c r="BB610">
        <v>73.408000000000001</v>
      </c>
      <c r="BC610">
        <v>67.171999999999997</v>
      </c>
      <c r="BD610">
        <v>69.843999999999994</v>
      </c>
      <c r="BE610">
        <v>70.134999999999991</v>
      </c>
      <c r="BF610">
        <v>76.012</v>
      </c>
      <c r="BG610">
        <v>84.531000000000006</v>
      </c>
      <c r="BH610" t="s">
        <v>16</v>
      </c>
    </row>
    <row r="611" spans="1:60">
      <c r="A611" t="s">
        <v>139</v>
      </c>
      <c r="B611" t="s">
        <v>194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5.0000000000000001E-3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0.20899999999999999</v>
      </c>
      <c r="AI611">
        <v>0.35500000000000004</v>
      </c>
      <c r="AJ611">
        <v>0.93900000000000006</v>
      </c>
      <c r="AK611">
        <v>0.55200000000000005</v>
      </c>
      <c r="AL611">
        <v>0.27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1.075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1.2330000000000001</v>
      </c>
      <c r="BA611">
        <v>4.4260000000000002</v>
      </c>
      <c r="BB611">
        <v>4.8479999999999999</v>
      </c>
      <c r="BC611">
        <v>1.071</v>
      </c>
      <c r="BD611">
        <v>2.0430000000000001</v>
      </c>
      <c r="BE611">
        <v>1.66</v>
      </c>
      <c r="BF611">
        <v>0.72699999999999998</v>
      </c>
      <c r="BG611">
        <v>1.887</v>
      </c>
      <c r="BH611" t="s">
        <v>16</v>
      </c>
    </row>
    <row r="612" spans="1:60">
      <c r="A612" t="s">
        <v>140</v>
      </c>
      <c r="B612" t="s">
        <v>198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3.6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65</v>
      </c>
      <c r="AE612">
        <v>90</v>
      </c>
      <c r="AF612">
        <v>80</v>
      </c>
      <c r="AG612">
        <v>253</v>
      </c>
      <c r="AH612">
        <v>306</v>
      </c>
      <c r="AI612">
        <v>395</v>
      </c>
      <c r="AJ612">
        <v>401</v>
      </c>
      <c r="AK612">
        <v>425</v>
      </c>
      <c r="AL612">
        <v>7790.9470000000001</v>
      </c>
      <c r="AM612">
        <v>9000.9809999999998</v>
      </c>
      <c r="AN612">
        <v>9880.5049999999992</v>
      </c>
      <c r="AO612">
        <v>10869.482</v>
      </c>
      <c r="AP612">
        <v>11755.037</v>
      </c>
      <c r="AQ612">
        <v>11665.733</v>
      </c>
      <c r="AR612">
        <v>12099.239</v>
      </c>
      <c r="AS612">
        <v>70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421.24900000000002</v>
      </c>
      <c r="AZ612">
        <v>471.04999999999995</v>
      </c>
      <c r="BA612">
        <v>459.82600000000002</v>
      </c>
      <c r="BB612">
        <v>472.09000000000003</v>
      </c>
      <c r="BC612">
        <v>1060.116</v>
      </c>
      <c r="BD612">
        <v>1665.481</v>
      </c>
      <c r="BE612">
        <v>2089.752</v>
      </c>
      <c r="BF612">
        <v>2383.4059999999999</v>
      </c>
      <c r="BG612">
        <v>2673.1559999999999</v>
      </c>
      <c r="BH612" t="s">
        <v>16</v>
      </c>
    </row>
    <row r="613" spans="1:60">
      <c r="A613" t="s">
        <v>140</v>
      </c>
      <c r="B613" t="s">
        <v>190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3.6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</row>
    <row r="614" spans="1:60">
      <c r="A614" t="s">
        <v>140</v>
      </c>
      <c r="B614" t="s">
        <v>191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65</v>
      </c>
      <c r="AE614">
        <v>90</v>
      </c>
      <c r="AF614">
        <v>80</v>
      </c>
      <c r="AG614">
        <v>253</v>
      </c>
      <c r="AH614">
        <v>306</v>
      </c>
      <c r="AI614">
        <v>395</v>
      </c>
      <c r="AJ614">
        <v>401</v>
      </c>
      <c r="AK614">
        <v>425</v>
      </c>
      <c r="AL614">
        <v>511</v>
      </c>
      <c r="AM614">
        <v>514</v>
      </c>
      <c r="AN614">
        <v>513</v>
      </c>
      <c r="AO614">
        <v>228</v>
      </c>
      <c r="AP614">
        <v>180</v>
      </c>
      <c r="AQ614">
        <v>130</v>
      </c>
      <c r="AR614">
        <v>6</v>
      </c>
      <c r="AS614">
        <v>70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</row>
    <row r="615" spans="1:60">
      <c r="A615" t="s">
        <v>140</v>
      </c>
      <c r="B615" t="s">
        <v>193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6285.7359999999999</v>
      </c>
      <c r="AM615">
        <v>7407.9059999999999</v>
      </c>
      <c r="AN615">
        <v>8289.1569999999992</v>
      </c>
      <c r="AO615">
        <v>9512.0910000000003</v>
      </c>
      <c r="AP615">
        <v>10509.055</v>
      </c>
      <c r="AQ615">
        <v>10475.752</v>
      </c>
      <c r="AR615">
        <v>11117.011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421.24900000000002</v>
      </c>
      <c r="AZ615">
        <v>471.04999999999995</v>
      </c>
      <c r="BA615">
        <v>459.82600000000002</v>
      </c>
      <c r="BB615">
        <v>472.09000000000003</v>
      </c>
      <c r="BC615">
        <v>1060.116</v>
      </c>
      <c r="BD615">
        <v>1665.481</v>
      </c>
      <c r="BE615">
        <v>2089.752</v>
      </c>
      <c r="BF615">
        <v>2383.4059999999999</v>
      </c>
      <c r="BG615">
        <v>2673.1559999999999</v>
      </c>
      <c r="BH615" t="s">
        <v>16</v>
      </c>
    </row>
    <row r="616" spans="1:60">
      <c r="A616" t="s">
        <v>140</v>
      </c>
      <c r="B616" t="s">
        <v>194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994.21100000000001</v>
      </c>
      <c r="AM616">
        <v>1079.075</v>
      </c>
      <c r="AN616">
        <v>1078.348</v>
      </c>
      <c r="AO616">
        <v>1129.3909999999998</v>
      </c>
      <c r="AP616">
        <v>1065.982</v>
      </c>
      <c r="AQ616">
        <v>1059.981</v>
      </c>
      <c r="AR616">
        <v>976.22799999999995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</row>
    <row r="617" spans="1:60">
      <c r="A617" t="s">
        <v>141</v>
      </c>
      <c r="B617" t="s">
        <v>198</v>
      </c>
      <c r="AH617">
        <v>0</v>
      </c>
      <c r="AI617">
        <v>0</v>
      </c>
      <c r="AJ617">
        <v>0.307</v>
      </c>
      <c r="AK617">
        <v>78.558999999999997</v>
      </c>
      <c r="AL617">
        <v>185.078</v>
      </c>
      <c r="AM617">
        <v>601.02499999999998</v>
      </c>
      <c r="AN617">
        <v>154.52600000000001</v>
      </c>
      <c r="AO617">
        <v>306.86300000000006</v>
      </c>
      <c r="AP617">
        <v>136.88800000000001</v>
      </c>
      <c r="AQ617">
        <v>167.33199999999999</v>
      </c>
      <c r="AR617">
        <v>253.517</v>
      </c>
      <c r="AS617">
        <v>96.234999999999999</v>
      </c>
      <c r="AT617">
        <v>34.435999999999993</v>
      </c>
      <c r="AU617">
        <v>273.20100000000002</v>
      </c>
      <c r="AV617">
        <v>25.019000000000002</v>
      </c>
      <c r="AW617">
        <v>102.91400000000002</v>
      </c>
      <c r="AX617">
        <v>0</v>
      </c>
      <c r="AY617">
        <v>0</v>
      </c>
      <c r="AZ617">
        <v>0</v>
      </c>
      <c r="BA617">
        <v>363.78800000000001</v>
      </c>
      <c r="BB617">
        <v>299.31700000000001</v>
      </c>
      <c r="BC617">
        <v>18.39</v>
      </c>
      <c r="BD617">
        <v>0.9870000000000001</v>
      </c>
      <c r="BE617">
        <v>0.70300000000000007</v>
      </c>
      <c r="BF617">
        <v>0</v>
      </c>
      <c r="BG617">
        <v>0</v>
      </c>
      <c r="BH617">
        <v>0</v>
      </c>
    </row>
    <row r="618" spans="1:60">
      <c r="A618" t="s">
        <v>141</v>
      </c>
      <c r="B618" t="s">
        <v>193</v>
      </c>
      <c r="AH618">
        <v>0</v>
      </c>
      <c r="AI618">
        <v>0</v>
      </c>
      <c r="AJ618">
        <v>0.307</v>
      </c>
      <c r="AK618">
        <v>76.22</v>
      </c>
      <c r="AL618">
        <v>157.166</v>
      </c>
      <c r="AM618">
        <v>524.58100000000002</v>
      </c>
      <c r="AN618">
        <v>64.575999999999993</v>
      </c>
      <c r="AO618">
        <v>227.24800000000002</v>
      </c>
      <c r="AP618">
        <v>61.738</v>
      </c>
      <c r="AQ618">
        <v>94.704999999999998</v>
      </c>
      <c r="AR618">
        <v>199.78</v>
      </c>
      <c r="AS618">
        <v>60.366999999999997</v>
      </c>
      <c r="AT618">
        <v>28.540999999999997</v>
      </c>
      <c r="AU618">
        <v>268.95699999999999</v>
      </c>
      <c r="AV618">
        <v>21.579000000000001</v>
      </c>
      <c r="AW618">
        <v>102.73400000000001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0.9870000000000001</v>
      </c>
      <c r="BE618">
        <v>0.70300000000000007</v>
      </c>
      <c r="BF618">
        <v>0</v>
      </c>
      <c r="BG618">
        <v>0</v>
      </c>
      <c r="BH618">
        <v>0</v>
      </c>
    </row>
    <row r="619" spans="1:60">
      <c r="A619" t="s">
        <v>141</v>
      </c>
      <c r="B619" t="s">
        <v>194</v>
      </c>
      <c r="AH619">
        <v>0</v>
      </c>
      <c r="AI619">
        <v>0</v>
      </c>
      <c r="AJ619">
        <v>0</v>
      </c>
      <c r="AK619">
        <v>2.339</v>
      </c>
      <c r="AL619">
        <v>27.911999999999999</v>
      </c>
      <c r="AM619">
        <v>76.444000000000003</v>
      </c>
      <c r="AN619">
        <v>89.95</v>
      </c>
      <c r="AO619">
        <v>79.615000000000009</v>
      </c>
      <c r="AP619">
        <v>75.150000000000006</v>
      </c>
      <c r="AQ619">
        <v>72.62700000000001</v>
      </c>
      <c r="AR619">
        <v>53.737000000000002</v>
      </c>
      <c r="AS619">
        <v>35.868000000000002</v>
      </c>
      <c r="AT619">
        <v>5.8949999999999996</v>
      </c>
      <c r="AU619">
        <v>4.2439999999999998</v>
      </c>
      <c r="AV619">
        <v>3.44</v>
      </c>
      <c r="AW619">
        <v>0.18</v>
      </c>
      <c r="AX619">
        <v>0</v>
      </c>
      <c r="AY619">
        <v>0</v>
      </c>
      <c r="AZ619">
        <v>0</v>
      </c>
      <c r="BA619">
        <v>363.78800000000001</v>
      </c>
      <c r="BB619">
        <v>299.31700000000001</v>
      </c>
      <c r="BC619">
        <v>18.39</v>
      </c>
      <c r="BD619">
        <v>0</v>
      </c>
      <c r="BE619">
        <v>0</v>
      </c>
      <c r="BF619">
        <v>0</v>
      </c>
      <c r="BG619">
        <v>0</v>
      </c>
      <c r="BH619">
        <v>0</v>
      </c>
    </row>
    <row r="620" spans="1:60">
      <c r="A620" t="s">
        <v>142</v>
      </c>
      <c r="B620" t="s">
        <v>198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2.2610000000000001</v>
      </c>
      <c r="O620">
        <v>72.709999999999994</v>
      </c>
      <c r="P620">
        <v>151.964</v>
      </c>
      <c r="Q620">
        <v>219.88200000000001</v>
      </c>
      <c r="R620">
        <v>304.99299999999999</v>
      </c>
      <c r="S620">
        <v>495.20000000000005</v>
      </c>
      <c r="T620">
        <v>842.79000000000008</v>
      </c>
      <c r="U620">
        <v>1359.9549999999999</v>
      </c>
      <c r="V620">
        <v>1413.077</v>
      </c>
      <c r="W620">
        <v>2060.8360000000002</v>
      </c>
      <c r="X620">
        <v>2322.9849999999997</v>
      </c>
      <c r="Y620">
        <v>2622.6120000000001</v>
      </c>
      <c r="Z620">
        <v>3172.8</v>
      </c>
      <c r="AA620">
        <v>3538.0690000000004</v>
      </c>
      <c r="AB620">
        <v>5334.926729531031</v>
      </c>
      <c r="AC620">
        <v>1372.8207157893009</v>
      </c>
      <c r="AD620">
        <v>769.97299999999996</v>
      </c>
      <c r="AE620">
        <v>848.44299999999998</v>
      </c>
      <c r="AF620">
        <v>1174.2759999999998</v>
      </c>
      <c r="AG620">
        <v>1497.261</v>
      </c>
      <c r="AH620">
        <v>1670.068</v>
      </c>
      <c r="AI620">
        <v>1956.586</v>
      </c>
      <c r="AJ620">
        <v>2089.7779999999998</v>
      </c>
      <c r="AK620">
        <v>2179.7620000000002</v>
      </c>
      <c r="AL620">
        <v>2537.9889999999996</v>
      </c>
      <c r="AM620">
        <v>2553.6959999999999</v>
      </c>
      <c r="AN620">
        <v>2768.3229999999999</v>
      </c>
      <c r="AO620">
        <v>1964.4170000000001</v>
      </c>
      <c r="AP620">
        <v>2088.375</v>
      </c>
      <c r="AQ620">
        <v>2262.4169999999999</v>
      </c>
      <c r="AR620">
        <v>1552.5189999999998</v>
      </c>
      <c r="AS620">
        <v>1340.453</v>
      </c>
      <c r="AT620">
        <v>2121.73</v>
      </c>
      <c r="AU620">
        <v>1697.93</v>
      </c>
      <c r="AV620">
        <v>1565.6899999999998</v>
      </c>
      <c r="AW620">
        <v>6202.27</v>
      </c>
      <c r="AX620">
        <v>1071.1849999999999</v>
      </c>
      <c r="AY620">
        <v>1282.998</v>
      </c>
      <c r="AZ620">
        <v>1361.5730000000001</v>
      </c>
      <c r="BA620">
        <v>1446.9739999999999</v>
      </c>
      <c r="BB620">
        <v>1515.0650000000001</v>
      </c>
      <c r="BC620">
        <v>1579.5030000000002</v>
      </c>
      <c r="BD620">
        <v>1611.4560000000001</v>
      </c>
      <c r="BE620">
        <v>1617.0520000000001</v>
      </c>
      <c r="BF620">
        <v>1667.489</v>
      </c>
      <c r="BG620">
        <v>1647.9920000000002</v>
      </c>
      <c r="BH620" t="s">
        <v>16</v>
      </c>
    </row>
    <row r="621" spans="1:60">
      <c r="A621" t="s">
        <v>142</v>
      </c>
      <c r="B621" t="s">
        <v>190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64.865729531031135</v>
      </c>
      <c r="AC621">
        <v>78.435715789301113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</row>
    <row r="622" spans="1:60">
      <c r="A622" t="s">
        <v>142</v>
      </c>
      <c r="B622" t="s">
        <v>192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AA622" t="s">
        <v>16</v>
      </c>
      <c r="AB622" t="s">
        <v>16</v>
      </c>
      <c r="AC622">
        <v>800</v>
      </c>
      <c r="AD622" t="s">
        <v>16</v>
      </c>
      <c r="AE622">
        <v>341</v>
      </c>
      <c r="AF622" t="s">
        <v>16</v>
      </c>
      <c r="AG622">
        <v>199</v>
      </c>
      <c r="AH622" t="s">
        <v>16</v>
      </c>
      <c r="AI622">
        <v>691</v>
      </c>
      <c r="AM622" t="s">
        <v>16</v>
      </c>
      <c r="AN622">
        <v>1608</v>
      </c>
      <c r="AP622" t="s">
        <v>16</v>
      </c>
      <c r="AQ622">
        <v>711</v>
      </c>
      <c r="AS622">
        <v>1245</v>
      </c>
    </row>
    <row r="623" spans="1:60">
      <c r="A623" t="s">
        <v>142</v>
      </c>
      <c r="B623" t="s">
        <v>193</v>
      </c>
      <c r="M623">
        <v>0</v>
      </c>
      <c r="N623">
        <v>2.2610000000000001</v>
      </c>
      <c r="O623">
        <v>72.709999999999994</v>
      </c>
      <c r="P623">
        <v>150.97</v>
      </c>
      <c r="Q623">
        <v>218.04300000000001</v>
      </c>
      <c r="R623">
        <v>301.95999999999998</v>
      </c>
      <c r="S623">
        <v>491.60900000000004</v>
      </c>
      <c r="T623">
        <v>837.40100000000007</v>
      </c>
      <c r="U623">
        <v>1357.883</v>
      </c>
      <c r="V623">
        <v>1409.1120000000001</v>
      </c>
      <c r="W623">
        <v>2050.5940000000001</v>
      </c>
      <c r="X623">
        <v>2301.5169999999998</v>
      </c>
      <c r="Y623">
        <v>2586.0590000000002</v>
      </c>
      <c r="Z623">
        <v>3118.19</v>
      </c>
      <c r="AA623">
        <v>3442.8630000000003</v>
      </c>
      <c r="AB623">
        <v>5113.2979999999998</v>
      </c>
      <c r="AC623">
        <v>380</v>
      </c>
      <c r="AD623">
        <v>603.80700000000002</v>
      </c>
      <c r="AE623">
        <v>300</v>
      </c>
      <c r="AF623">
        <v>893.92599999999993</v>
      </c>
      <c r="AG623">
        <v>949</v>
      </c>
      <c r="AH623">
        <v>1285.7429999999999</v>
      </c>
      <c r="AI623">
        <v>961</v>
      </c>
      <c r="AJ623">
        <v>1710.405</v>
      </c>
      <c r="AK623">
        <v>1770.2560000000001</v>
      </c>
      <c r="AL623">
        <v>2096.6349999999998</v>
      </c>
      <c r="AM623">
        <v>2089.482</v>
      </c>
      <c r="AN623">
        <v>693</v>
      </c>
      <c r="AO623">
        <v>1614.9470000000001</v>
      </c>
      <c r="AP623">
        <v>1754.3270000000002</v>
      </c>
      <c r="AQ623">
        <v>1218</v>
      </c>
      <c r="AR623">
        <v>1468.0369999999998</v>
      </c>
      <c r="AS623" t="s">
        <v>16</v>
      </c>
      <c r="AT623">
        <v>2010.0829999999999</v>
      </c>
      <c r="AU623">
        <v>1494.93</v>
      </c>
      <c r="AV623">
        <v>1438.6019999999999</v>
      </c>
      <c r="AW623">
        <v>6062.2970000000005</v>
      </c>
      <c r="AX623">
        <v>908.20899999999995</v>
      </c>
      <c r="AY623">
        <v>1102.2060000000001</v>
      </c>
      <c r="AZ623">
        <v>1165.2190000000001</v>
      </c>
      <c r="BA623">
        <v>1259.9479999999999</v>
      </c>
      <c r="BB623">
        <v>1311.606</v>
      </c>
      <c r="BC623">
        <v>1349.15</v>
      </c>
      <c r="BD623">
        <v>1343.576</v>
      </c>
      <c r="BE623">
        <v>1364.6260000000002</v>
      </c>
      <c r="BF623">
        <v>1431.56</v>
      </c>
      <c r="BG623">
        <v>1423.1120000000001</v>
      </c>
      <c r="BH623" t="s">
        <v>16</v>
      </c>
    </row>
    <row r="624" spans="1:60">
      <c r="A624" t="s">
        <v>142</v>
      </c>
      <c r="B624" t="s">
        <v>194</v>
      </c>
      <c r="M624">
        <v>0</v>
      </c>
      <c r="N624">
        <v>0</v>
      </c>
      <c r="O624">
        <v>0</v>
      </c>
      <c r="P624">
        <v>0.99399999999999999</v>
      </c>
      <c r="Q624">
        <v>1.839</v>
      </c>
      <c r="R624">
        <v>3.0329999999999999</v>
      </c>
      <c r="S624">
        <v>3.5910000000000002</v>
      </c>
      <c r="T624">
        <v>5.3889999999999993</v>
      </c>
      <c r="U624">
        <v>2.0720000000000001</v>
      </c>
      <c r="V624">
        <v>3.9649999999999999</v>
      </c>
      <c r="W624">
        <v>10.241999999999999</v>
      </c>
      <c r="X624">
        <v>21.468</v>
      </c>
      <c r="Y624">
        <v>36.552999999999997</v>
      </c>
      <c r="Z624">
        <v>54.61</v>
      </c>
      <c r="AA624">
        <v>92.206000000000003</v>
      </c>
      <c r="AB624">
        <v>156.76300000000001</v>
      </c>
      <c r="AC624">
        <v>114.38499999999999</v>
      </c>
      <c r="AD624">
        <v>166.166</v>
      </c>
      <c r="AE624">
        <v>207.44300000000001</v>
      </c>
      <c r="AF624">
        <v>280.35000000000002</v>
      </c>
      <c r="AG624">
        <v>349.26100000000002</v>
      </c>
      <c r="AH624">
        <v>384.32500000000005</v>
      </c>
      <c r="AI624">
        <v>304.58600000000001</v>
      </c>
      <c r="AJ624">
        <v>379.37299999999999</v>
      </c>
      <c r="AK624">
        <v>409.50599999999997</v>
      </c>
      <c r="AL624">
        <v>441.35400000000004</v>
      </c>
      <c r="AM624">
        <v>464.214</v>
      </c>
      <c r="AN624">
        <v>467.32299999999998</v>
      </c>
      <c r="AO624">
        <v>349.47</v>
      </c>
      <c r="AP624">
        <v>334.048</v>
      </c>
      <c r="AQ624">
        <v>333.41700000000003</v>
      </c>
      <c r="AR624">
        <v>84.481999999999999</v>
      </c>
      <c r="AS624">
        <v>95.453000000000003</v>
      </c>
      <c r="AT624">
        <v>111.64699999999999</v>
      </c>
      <c r="AU624" t="s">
        <v>16</v>
      </c>
      <c r="AV624">
        <v>127.08799999999999</v>
      </c>
      <c r="AW624">
        <v>139.97300000000001</v>
      </c>
      <c r="AX624">
        <v>162.976</v>
      </c>
      <c r="AY624">
        <v>180.792</v>
      </c>
      <c r="AZ624">
        <v>196.35399999999998</v>
      </c>
      <c r="BA624">
        <v>187.02600000000001</v>
      </c>
      <c r="BB624">
        <v>203.459</v>
      </c>
      <c r="BC624">
        <v>230.35300000000001</v>
      </c>
      <c r="BD624">
        <v>267.88</v>
      </c>
      <c r="BE624">
        <v>252.42599999999999</v>
      </c>
      <c r="BF624">
        <v>235.929</v>
      </c>
      <c r="BG624">
        <v>224.88</v>
      </c>
      <c r="BH624" t="s">
        <v>16</v>
      </c>
    </row>
    <row r="625" spans="1:60">
      <c r="A625" t="s">
        <v>142</v>
      </c>
      <c r="B625" t="s">
        <v>195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 t="s">
        <v>16</v>
      </c>
      <c r="AB625" t="s">
        <v>16</v>
      </c>
      <c r="AC625" t="s">
        <v>16</v>
      </c>
      <c r="AD625" t="s">
        <v>16</v>
      </c>
      <c r="AE625" t="s">
        <v>16</v>
      </c>
      <c r="AF625" t="s">
        <v>16</v>
      </c>
      <c r="AG625" t="s">
        <v>16</v>
      </c>
      <c r="AH625" t="s">
        <v>16</v>
      </c>
      <c r="AI625" t="s">
        <v>16</v>
      </c>
      <c r="AJ625" t="s">
        <v>16</v>
      </c>
      <c r="AK625" t="s">
        <v>16</v>
      </c>
      <c r="AL625" t="s">
        <v>16</v>
      </c>
      <c r="AM625" t="s">
        <v>16</v>
      </c>
      <c r="AN625" t="s">
        <v>16</v>
      </c>
      <c r="AO625" t="s">
        <v>16</v>
      </c>
      <c r="AP625" t="s">
        <v>16</v>
      </c>
      <c r="AQ625" t="s">
        <v>16</v>
      </c>
      <c r="AR625" t="s">
        <v>16</v>
      </c>
      <c r="AS625" t="s">
        <v>16</v>
      </c>
      <c r="AT625" t="s">
        <v>16</v>
      </c>
      <c r="AU625">
        <v>203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</row>
    <row r="626" spans="1:60">
      <c r="A626" t="s">
        <v>143</v>
      </c>
      <c r="B626" t="s">
        <v>198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6.8049999999999997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5.6909999999999998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4.766</v>
      </c>
      <c r="AZ626">
        <v>8.7880000000000003</v>
      </c>
      <c r="BA626">
        <v>2.44</v>
      </c>
      <c r="BB626">
        <v>4.9190000000000005</v>
      </c>
      <c r="BC626">
        <v>2.2599999999999998</v>
      </c>
      <c r="BD626">
        <v>0</v>
      </c>
      <c r="BE626">
        <v>0</v>
      </c>
      <c r="BF626">
        <v>0</v>
      </c>
      <c r="BG626">
        <v>0</v>
      </c>
      <c r="BH626">
        <v>0</v>
      </c>
    </row>
    <row r="627" spans="1:60">
      <c r="A627" t="s">
        <v>143</v>
      </c>
      <c r="B627" t="s">
        <v>193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6.8049999999999997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5.6909999999999998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2.766</v>
      </c>
      <c r="AZ627">
        <v>3.7879999999999998</v>
      </c>
      <c r="BA627">
        <v>1.44</v>
      </c>
      <c r="BB627">
        <v>3.919</v>
      </c>
      <c r="BC627">
        <v>1.26</v>
      </c>
      <c r="BD627">
        <v>0</v>
      </c>
      <c r="BE627">
        <v>0</v>
      </c>
      <c r="BF627">
        <v>0</v>
      </c>
      <c r="BG627">
        <v>0</v>
      </c>
      <c r="BH627">
        <v>0</v>
      </c>
    </row>
    <row r="628" spans="1:60">
      <c r="A628" t="s">
        <v>143</v>
      </c>
      <c r="B628" t="s">
        <v>194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2</v>
      </c>
      <c r="AZ628">
        <v>5</v>
      </c>
      <c r="BA628">
        <v>1</v>
      </c>
      <c r="BB628">
        <v>1</v>
      </c>
      <c r="BC628">
        <v>1</v>
      </c>
      <c r="BD628">
        <v>0</v>
      </c>
      <c r="BE628">
        <v>0</v>
      </c>
      <c r="BF628">
        <v>0</v>
      </c>
      <c r="BG628">
        <v>0</v>
      </c>
      <c r="BH628">
        <v>0</v>
      </c>
    </row>
    <row r="629" spans="1:60">
      <c r="A629" t="s">
        <v>144</v>
      </c>
      <c r="B629" t="s">
        <v>198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0.1</v>
      </c>
      <c r="N629">
        <v>2.2120000000000002</v>
      </c>
      <c r="O629">
        <v>1.9089999999999998</v>
      </c>
      <c r="P629">
        <v>2.3130000000000002</v>
      </c>
      <c r="Q629">
        <v>0.80900000000000005</v>
      </c>
      <c r="R629">
        <v>0.629</v>
      </c>
      <c r="S629">
        <v>5.1219999999999999</v>
      </c>
      <c r="T629">
        <v>9.4870000000000001</v>
      </c>
      <c r="U629">
        <v>44.596000000000004</v>
      </c>
      <c r="V629">
        <v>333.3</v>
      </c>
      <c r="W629">
        <v>119.04599999999999</v>
      </c>
      <c r="X629">
        <v>326.149</v>
      </c>
      <c r="Y629">
        <v>196.63499999999999</v>
      </c>
      <c r="Z629">
        <v>254.30599999999998</v>
      </c>
      <c r="AA629">
        <v>121.6</v>
      </c>
      <c r="AB629">
        <v>30.3</v>
      </c>
      <c r="AC629">
        <v>10.81</v>
      </c>
      <c r="AD629">
        <v>118.476</v>
      </c>
      <c r="AE629">
        <v>208.715</v>
      </c>
      <c r="AF629">
        <v>223.3</v>
      </c>
      <c r="AG629">
        <v>100.4</v>
      </c>
      <c r="AH629">
        <v>49.615000000000002</v>
      </c>
      <c r="AI629">
        <v>93.6</v>
      </c>
      <c r="AJ629">
        <v>119.435</v>
      </c>
      <c r="AK629">
        <v>197.01900000000001</v>
      </c>
      <c r="AL629">
        <v>324.39999999999998</v>
      </c>
      <c r="AM629">
        <v>120.827</v>
      </c>
      <c r="AN629">
        <v>196.49799999999999</v>
      </c>
      <c r="AO629">
        <v>52.527000000000001</v>
      </c>
      <c r="AP629">
        <v>69.522999999999996</v>
      </c>
      <c r="AQ629">
        <v>126.79</v>
      </c>
      <c r="AR629">
        <v>160.411</v>
      </c>
      <c r="AS629">
        <v>249.84700000000001</v>
      </c>
      <c r="AT629">
        <v>356.70499999999998</v>
      </c>
      <c r="AU629">
        <v>527.50300000000004</v>
      </c>
      <c r="AV629">
        <v>476.35799999999995</v>
      </c>
      <c r="AW629">
        <v>572.67000000000007</v>
      </c>
      <c r="AX629">
        <v>665.00199999999995</v>
      </c>
      <c r="AY629">
        <v>774</v>
      </c>
      <c r="AZ629">
        <v>115</v>
      </c>
      <c r="BA629">
        <v>629</v>
      </c>
      <c r="BB629">
        <v>773.18900000000008</v>
      </c>
      <c r="BC629">
        <v>42.795999999999992</v>
      </c>
      <c r="BD629">
        <v>10.109</v>
      </c>
      <c r="BE629">
        <v>8.0289999999999999</v>
      </c>
      <c r="BF629">
        <v>8.6460000000000008</v>
      </c>
      <c r="BG629">
        <v>5.5519999999999996</v>
      </c>
      <c r="BH629" t="s">
        <v>16</v>
      </c>
    </row>
    <row r="630" spans="1:60">
      <c r="A630" t="s">
        <v>144</v>
      </c>
      <c r="B630" t="s">
        <v>191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46</v>
      </c>
      <c r="AV630">
        <v>0</v>
      </c>
      <c r="AW630">
        <v>0</v>
      </c>
      <c r="AX630">
        <v>0</v>
      </c>
      <c r="AY630">
        <v>34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</row>
    <row r="631" spans="1:60">
      <c r="A631" t="s">
        <v>144</v>
      </c>
      <c r="B631" t="s">
        <v>192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U631" t="s">
        <v>16</v>
      </c>
      <c r="V631">
        <v>280</v>
      </c>
      <c r="W631" t="s">
        <v>16</v>
      </c>
      <c r="X631">
        <v>232</v>
      </c>
      <c r="Y631" t="s">
        <v>16</v>
      </c>
      <c r="Z631">
        <v>200</v>
      </c>
      <c r="AA631">
        <v>70</v>
      </c>
      <c r="AB631">
        <v>30</v>
      </c>
      <c r="AE631">
        <v>155</v>
      </c>
      <c r="AF631">
        <v>75</v>
      </c>
      <c r="AG631">
        <v>92</v>
      </c>
      <c r="AI631">
        <v>52</v>
      </c>
      <c r="AK631" t="s">
        <v>16</v>
      </c>
      <c r="AL631">
        <v>237</v>
      </c>
      <c r="AX631" t="s">
        <v>16</v>
      </c>
      <c r="AY631">
        <v>740</v>
      </c>
      <c r="AZ631">
        <v>22</v>
      </c>
      <c r="BA631">
        <v>611</v>
      </c>
      <c r="BB631" t="s">
        <v>16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</row>
    <row r="632" spans="1:60">
      <c r="A632" t="s">
        <v>144</v>
      </c>
      <c r="B632" t="s">
        <v>193</v>
      </c>
      <c r="M632">
        <v>0</v>
      </c>
      <c r="N632">
        <v>1.2E-2</v>
      </c>
      <c r="O632">
        <v>9.0000000000000011E-3</v>
      </c>
      <c r="P632">
        <v>1.3000000000000001E-2</v>
      </c>
      <c r="Q632">
        <v>9.0000000000000011E-3</v>
      </c>
      <c r="R632">
        <v>2.9000000000000001E-2</v>
      </c>
      <c r="S632">
        <v>2.1999999999999999E-2</v>
      </c>
      <c r="T632">
        <v>1.4870000000000001</v>
      </c>
      <c r="U632">
        <v>4.8959999999999999</v>
      </c>
      <c r="V632">
        <v>0</v>
      </c>
      <c r="W632">
        <v>20.945999999999998</v>
      </c>
      <c r="X632">
        <v>23.149000000000001</v>
      </c>
      <c r="Y632">
        <v>40.435000000000002</v>
      </c>
      <c r="Z632">
        <v>0.106</v>
      </c>
      <c r="AA632">
        <v>0</v>
      </c>
      <c r="AB632">
        <v>0</v>
      </c>
      <c r="AC632">
        <v>9.01</v>
      </c>
      <c r="AD632">
        <v>97.076000000000008</v>
      </c>
      <c r="AE632">
        <v>1.115</v>
      </c>
      <c r="AF632">
        <v>147</v>
      </c>
      <c r="AG632">
        <v>7</v>
      </c>
      <c r="AH632">
        <v>43.715000000000003</v>
      </c>
      <c r="AI632">
        <v>24</v>
      </c>
      <c r="AJ632">
        <v>88.335000000000008</v>
      </c>
      <c r="AK632">
        <v>151.31900000000002</v>
      </c>
      <c r="AL632">
        <v>28</v>
      </c>
      <c r="AM632">
        <v>46.427</v>
      </c>
      <c r="AN632">
        <v>122.498</v>
      </c>
      <c r="AO632">
        <v>52.527000000000001</v>
      </c>
      <c r="AP632">
        <v>69.522999999999996</v>
      </c>
      <c r="AQ632">
        <v>126.79</v>
      </c>
      <c r="AR632">
        <v>160.411</v>
      </c>
      <c r="AS632">
        <v>249.84700000000001</v>
      </c>
      <c r="AT632">
        <v>356.70499999999998</v>
      </c>
      <c r="AU632">
        <v>481.50300000000004</v>
      </c>
      <c r="AV632">
        <v>476.35799999999995</v>
      </c>
      <c r="AW632">
        <v>572.67000000000007</v>
      </c>
      <c r="AX632">
        <v>665.00199999999995</v>
      </c>
      <c r="AY632" t="s">
        <v>16</v>
      </c>
      <c r="AZ632">
        <v>93</v>
      </c>
      <c r="BA632">
        <v>18</v>
      </c>
      <c r="BB632">
        <v>773.18900000000008</v>
      </c>
      <c r="BC632">
        <v>42.795999999999992</v>
      </c>
      <c r="BD632">
        <v>10.109</v>
      </c>
      <c r="BE632">
        <v>8.0289999999999999</v>
      </c>
      <c r="BF632">
        <v>8.6460000000000008</v>
      </c>
      <c r="BG632">
        <v>5.5519999999999996</v>
      </c>
      <c r="BH632" t="s">
        <v>16</v>
      </c>
    </row>
    <row r="633" spans="1:60">
      <c r="A633" t="s">
        <v>144</v>
      </c>
      <c r="B633" t="s">
        <v>194</v>
      </c>
      <c r="M633">
        <v>0.1</v>
      </c>
      <c r="N633">
        <v>2.2000000000000002</v>
      </c>
      <c r="O633">
        <v>1.9</v>
      </c>
      <c r="P633">
        <v>2.3000000000000003</v>
      </c>
      <c r="Q633">
        <v>0.8</v>
      </c>
      <c r="R633">
        <v>0.6</v>
      </c>
      <c r="S633">
        <v>5.0999999999999996</v>
      </c>
      <c r="T633">
        <v>8</v>
      </c>
      <c r="U633">
        <v>39.700000000000003</v>
      </c>
      <c r="V633">
        <v>28.3</v>
      </c>
      <c r="W633">
        <v>29.099999999999998</v>
      </c>
      <c r="X633">
        <v>34</v>
      </c>
      <c r="Y633">
        <v>101.2</v>
      </c>
      <c r="Z633">
        <v>54.199999999999996</v>
      </c>
      <c r="AA633">
        <v>51.6</v>
      </c>
      <c r="AB633">
        <v>0.3</v>
      </c>
      <c r="AC633">
        <v>1.8</v>
      </c>
      <c r="AD633">
        <v>21.4</v>
      </c>
      <c r="AE633">
        <v>3.6</v>
      </c>
      <c r="AF633">
        <v>1.3</v>
      </c>
      <c r="AG633">
        <v>1.4000000000000001</v>
      </c>
      <c r="AH633">
        <v>5.8999999999999995</v>
      </c>
      <c r="AI633">
        <v>17.600000000000001</v>
      </c>
      <c r="AJ633">
        <v>31.1</v>
      </c>
      <c r="AK633">
        <v>45.7</v>
      </c>
      <c r="AL633">
        <v>59.4</v>
      </c>
      <c r="AM633">
        <v>74.400000000000006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</row>
    <row r="634" spans="1:60">
      <c r="A634" t="s">
        <v>144</v>
      </c>
      <c r="B634" t="s">
        <v>195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25</v>
      </c>
      <c r="W634">
        <v>69</v>
      </c>
      <c r="X634">
        <v>37</v>
      </c>
      <c r="Y634">
        <v>55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49</v>
      </c>
      <c r="AF634">
        <v>0</v>
      </c>
      <c r="AG634">
        <v>0</v>
      </c>
      <c r="AH634">
        <v>0</v>
      </c>
      <c r="AI634">
        <v>0</v>
      </c>
      <c r="AJ634">
        <v>0</v>
      </c>
      <c r="AK634" t="s">
        <v>16</v>
      </c>
      <c r="AL634" t="s">
        <v>16</v>
      </c>
      <c r="AM634" t="s">
        <v>16</v>
      </c>
      <c r="AN634">
        <v>74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</row>
    <row r="635" spans="1:60">
      <c r="A635" t="s">
        <v>145</v>
      </c>
      <c r="B635" t="s">
        <v>198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2.7E-2</v>
      </c>
      <c r="AO635">
        <v>0.06</v>
      </c>
      <c r="AP635">
        <v>0.308</v>
      </c>
      <c r="AQ635">
        <v>0.67500000000000004</v>
      </c>
      <c r="AR635">
        <v>1.796</v>
      </c>
      <c r="AS635">
        <v>2.0149999999999997</v>
      </c>
      <c r="AT635">
        <v>2.7009999999999996</v>
      </c>
      <c r="AU635">
        <v>2.7859999999999996</v>
      </c>
      <c r="AV635">
        <v>0.67600000000000005</v>
      </c>
      <c r="AW635">
        <v>1.427</v>
      </c>
      <c r="AX635">
        <v>0.8</v>
      </c>
      <c r="AY635">
        <v>2.048</v>
      </c>
      <c r="AZ635">
        <v>0.73199999999999998</v>
      </c>
      <c r="BA635">
        <v>2.4E-2</v>
      </c>
      <c r="BB635">
        <v>6.4000000000000001E-2</v>
      </c>
      <c r="BC635">
        <v>9.8000000000000004E-2</v>
      </c>
      <c r="BD635">
        <v>2.35</v>
      </c>
      <c r="BE635">
        <v>0.82</v>
      </c>
      <c r="BF635">
        <v>0</v>
      </c>
      <c r="BG635">
        <v>0</v>
      </c>
      <c r="BH635">
        <v>0</v>
      </c>
    </row>
    <row r="636" spans="1:60">
      <c r="A636" t="s">
        <v>145</v>
      </c>
      <c r="B636" t="s">
        <v>193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2.7E-2</v>
      </c>
      <c r="AO636">
        <v>0.06</v>
      </c>
      <c r="AP636">
        <v>0.308</v>
      </c>
      <c r="AQ636">
        <v>0.67500000000000004</v>
      </c>
      <c r="AR636">
        <v>1.796</v>
      </c>
      <c r="AS636">
        <v>2.0149999999999997</v>
      </c>
      <c r="AT636">
        <v>2.7009999999999996</v>
      </c>
      <c r="AU636">
        <v>2.7859999999999996</v>
      </c>
      <c r="AV636">
        <v>0.67600000000000005</v>
      </c>
      <c r="AW636">
        <v>1.427</v>
      </c>
      <c r="AX636">
        <v>0.8</v>
      </c>
      <c r="AY636">
        <v>2.048</v>
      </c>
      <c r="AZ636">
        <v>0.73199999999999998</v>
      </c>
      <c r="BA636">
        <v>0</v>
      </c>
      <c r="BB636">
        <v>1E-3</v>
      </c>
      <c r="BC636">
        <v>0</v>
      </c>
      <c r="BD636">
        <v>2.3460000000000001</v>
      </c>
      <c r="BE636">
        <v>0.81699999999999995</v>
      </c>
      <c r="BF636">
        <v>0</v>
      </c>
      <c r="BG636">
        <v>0</v>
      </c>
      <c r="BH636">
        <v>0</v>
      </c>
    </row>
    <row r="637" spans="1:60">
      <c r="A637" t="s">
        <v>145</v>
      </c>
      <c r="B637" t="s">
        <v>194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2.4E-2</v>
      </c>
      <c r="BB637">
        <v>6.3E-2</v>
      </c>
      <c r="BC637">
        <v>9.8000000000000004E-2</v>
      </c>
      <c r="BD637">
        <v>4.0000000000000001E-3</v>
      </c>
      <c r="BE637">
        <v>3.0000000000000001E-3</v>
      </c>
      <c r="BF637">
        <v>0</v>
      </c>
      <c r="BG637">
        <v>0</v>
      </c>
      <c r="BH637">
        <v>0</v>
      </c>
    </row>
    <row r="638" spans="1:60">
      <c r="A638" t="s">
        <v>146</v>
      </c>
      <c r="B638" t="s">
        <v>198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401.51150000000001</v>
      </c>
      <c r="AF638">
        <v>655</v>
      </c>
      <c r="AG638">
        <v>110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</row>
    <row r="639" spans="1:60">
      <c r="A639" t="s">
        <v>146</v>
      </c>
      <c r="B639" t="s">
        <v>192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209</v>
      </c>
      <c r="AG639">
        <v>110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</row>
    <row r="640" spans="1:60">
      <c r="A640" t="s">
        <v>146</v>
      </c>
      <c r="B640" t="s">
        <v>195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401.51150000000001</v>
      </c>
      <c r="AF640">
        <v>446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</row>
    <row r="641" spans="1:60">
      <c r="A641" t="s">
        <v>147</v>
      </c>
      <c r="B641" t="s">
        <v>198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2.83</v>
      </c>
      <c r="N641">
        <v>4.5250000000000004</v>
      </c>
      <c r="O641">
        <v>4.7530000000000001</v>
      </c>
      <c r="P641">
        <v>5.3379999999999992</v>
      </c>
      <c r="Q641">
        <v>5.726</v>
      </c>
      <c r="R641">
        <v>5.7810000000000006</v>
      </c>
      <c r="S641">
        <v>5.2229999999999999</v>
      </c>
      <c r="T641">
        <v>5.7050000000000001</v>
      </c>
      <c r="U641">
        <v>6.87</v>
      </c>
      <c r="V641">
        <v>6.7110000000000003</v>
      </c>
      <c r="W641">
        <v>6.1289999999999996</v>
      </c>
      <c r="X641">
        <v>4.5950000000000006</v>
      </c>
      <c r="Y641">
        <v>4.0609999999999999</v>
      </c>
      <c r="Z641">
        <v>6.6130000000000004</v>
      </c>
      <c r="AA641">
        <v>3.1920000000000002</v>
      </c>
      <c r="AB641">
        <v>16.919</v>
      </c>
      <c r="AC641">
        <v>21.353000000000002</v>
      </c>
      <c r="AD641">
        <v>5.2850000000000001</v>
      </c>
      <c r="AE641">
        <v>0</v>
      </c>
      <c r="AF641">
        <v>6.306</v>
      </c>
      <c r="AG641">
        <v>22.091999999999999</v>
      </c>
      <c r="AH641">
        <v>82.256</v>
      </c>
      <c r="AI641">
        <v>13.629</v>
      </c>
      <c r="AJ641">
        <v>3.2040000000000002</v>
      </c>
      <c r="AK641">
        <v>16.445</v>
      </c>
      <c r="AL641">
        <v>0.73699999999999999</v>
      </c>
      <c r="AM641">
        <v>0.191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5.4980000000000002</v>
      </c>
      <c r="BE641">
        <v>2.42</v>
      </c>
      <c r="BF641">
        <v>0.27</v>
      </c>
      <c r="BG641">
        <v>0</v>
      </c>
      <c r="BH641">
        <v>0</v>
      </c>
    </row>
    <row r="642" spans="1:60">
      <c r="A642" t="s">
        <v>147</v>
      </c>
      <c r="B642" t="s">
        <v>193</v>
      </c>
      <c r="M642">
        <v>2.83</v>
      </c>
      <c r="N642">
        <v>4.5250000000000004</v>
      </c>
      <c r="O642">
        <v>4.7530000000000001</v>
      </c>
      <c r="P642">
        <v>5.3379999999999992</v>
      </c>
      <c r="Q642">
        <v>5.6680000000000001</v>
      </c>
      <c r="R642">
        <v>5.7240000000000002</v>
      </c>
      <c r="S642">
        <v>5.1870000000000003</v>
      </c>
      <c r="T642">
        <v>5.569</v>
      </c>
      <c r="U642">
        <v>6.5060000000000002</v>
      </c>
      <c r="V642">
        <v>6.5190000000000001</v>
      </c>
      <c r="W642">
        <v>5.9219999999999997</v>
      </c>
      <c r="X642">
        <v>4.4850000000000003</v>
      </c>
      <c r="Y642">
        <v>3.871</v>
      </c>
      <c r="Z642">
        <v>6.383</v>
      </c>
      <c r="AA642">
        <v>2.823</v>
      </c>
      <c r="AB642">
        <v>12.858000000000001</v>
      </c>
      <c r="AC642">
        <v>15.603</v>
      </c>
      <c r="AD642">
        <v>0.59899999999999998</v>
      </c>
      <c r="AE642">
        <v>0</v>
      </c>
      <c r="AF642">
        <v>5.5650000000000004</v>
      </c>
      <c r="AG642">
        <v>14.762</v>
      </c>
      <c r="AH642">
        <v>51.057000000000002</v>
      </c>
      <c r="AI642">
        <v>11.596</v>
      </c>
      <c r="AJ642">
        <v>3.2040000000000002</v>
      </c>
      <c r="AK642">
        <v>16.199000000000002</v>
      </c>
      <c r="AL642">
        <v>0.49099999999999999</v>
      </c>
      <c r="AM642">
        <v>0.191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5.4980000000000002</v>
      </c>
      <c r="BE642">
        <v>2.42</v>
      </c>
      <c r="BF642">
        <v>0.27</v>
      </c>
      <c r="BG642">
        <v>0</v>
      </c>
      <c r="BH642">
        <v>0</v>
      </c>
    </row>
    <row r="643" spans="1:60">
      <c r="A643" t="s">
        <v>147</v>
      </c>
      <c r="B643" t="s">
        <v>194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5.7999999999999996E-2</v>
      </c>
      <c r="R643">
        <v>5.6999999999999995E-2</v>
      </c>
      <c r="S643">
        <v>3.5999999999999997E-2</v>
      </c>
      <c r="T643">
        <v>0.13600000000000001</v>
      </c>
      <c r="U643">
        <v>0.36399999999999999</v>
      </c>
      <c r="V643">
        <v>0.192</v>
      </c>
      <c r="W643">
        <v>0.20699999999999999</v>
      </c>
      <c r="X643">
        <v>0.11</v>
      </c>
      <c r="Y643">
        <v>0.19</v>
      </c>
      <c r="Z643">
        <v>0.23</v>
      </c>
      <c r="AA643">
        <v>0.36899999999999999</v>
      </c>
      <c r="AB643">
        <v>4.0609999999999999</v>
      </c>
      <c r="AC643">
        <v>5.75</v>
      </c>
      <c r="AD643">
        <v>4.6859999999999999</v>
      </c>
      <c r="AE643">
        <v>0</v>
      </c>
      <c r="AF643">
        <v>0.74099999999999999</v>
      </c>
      <c r="AG643">
        <v>7.33</v>
      </c>
      <c r="AH643">
        <v>31.198999999999998</v>
      </c>
      <c r="AI643">
        <v>2.0329999999999999</v>
      </c>
      <c r="AJ643">
        <v>0</v>
      </c>
      <c r="AK643">
        <v>0.246</v>
      </c>
      <c r="AL643">
        <v>0.246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</row>
    <row r="644" spans="1:60">
      <c r="A644" t="s">
        <v>148</v>
      </c>
      <c r="B644" t="s">
        <v>198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220</v>
      </c>
      <c r="I644">
        <v>0</v>
      </c>
      <c r="J644">
        <v>0</v>
      </c>
      <c r="K644">
        <v>0</v>
      </c>
      <c r="L644">
        <v>0</v>
      </c>
      <c r="M644">
        <v>75</v>
      </c>
      <c r="N644">
        <v>0.52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0.21</v>
      </c>
      <c r="U644">
        <v>3300.37</v>
      </c>
      <c r="V644">
        <v>4064.45</v>
      </c>
      <c r="W644">
        <v>3033.9500000000003</v>
      </c>
      <c r="X644">
        <v>130.34</v>
      </c>
      <c r="Y644">
        <v>2925.41</v>
      </c>
      <c r="Z644">
        <v>23.539999999999996</v>
      </c>
      <c r="AA644">
        <v>21.529999999999998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48280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13.61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</row>
    <row r="645" spans="1:60">
      <c r="A645" t="s">
        <v>148</v>
      </c>
      <c r="B645" t="s">
        <v>192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 t="s">
        <v>16</v>
      </c>
      <c r="U645">
        <v>1300</v>
      </c>
      <c r="V645">
        <v>1200</v>
      </c>
      <c r="W645">
        <v>3000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</row>
    <row r="646" spans="1:60">
      <c r="A646" t="s">
        <v>148</v>
      </c>
      <c r="B646" t="s">
        <v>193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220</v>
      </c>
      <c r="I646">
        <v>0</v>
      </c>
      <c r="J646">
        <v>0</v>
      </c>
      <c r="K646">
        <v>0</v>
      </c>
      <c r="L646">
        <v>0</v>
      </c>
      <c r="M646">
        <v>75</v>
      </c>
      <c r="N646">
        <v>0.52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0.21</v>
      </c>
      <c r="U646">
        <v>0.27</v>
      </c>
      <c r="V646">
        <v>104.44999999999999</v>
      </c>
      <c r="W646">
        <v>32.549999999999997</v>
      </c>
      <c r="X646">
        <v>26.94</v>
      </c>
      <c r="Y646">
        <v>25.41</v>
      </c>
      <c r="Z646">
        <v>23.339999999999996</v>
      </c>
      <c r="AA646">
        <v>21.13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13.61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</row>
    <row r="647" spans="1:60">
      <c r="A647" t="s">
        <v>148</v>
      </c>
      <c r="B647" t="s">
        <v>194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0.1</v>
      </c>
      <c r="V647">
        <v>0</v>
      </c>
      <c r="W647">
        <v>1.4</v>
      </c>
      <c r="X647">
        <v>3.4</v>
      </c>
      <c r="Y647">
        <v>0</v>
      </c>
      <c r="Z647">
        <v>0.2</v>
      </c>
      <c r="AA647">
        <v>0.4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</row>
    <row r="648" spans="1:60">
      <c r="A648" t="s">
        <v>148</v>
      </c>
      <c r="B648" t="s">
        <v>195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 t="s">
        <v>16</v>
      </c>
      <c r="T648" t="s">
        <v>16</v>
      </c>
      <c r="U648">
        <v>2000</v>
      </c>
      <c r="V648">
        <v>2760</v>
      </c>
      <c r="W648">
        <v>0</v>
      </c>
      <c r="X648">
        <v>100</v>
      </c>
      <c r="Y648">
        <v>2900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</row>
    <row r="649" spans="1:60">
      <c r="A649" t="s">
        <v>148</v>
      </c>
      <c r="B649" t="s">
        <v>196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48280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</row>
    <row r="650" spans="1:60">
      <c r="A650" t="s">
        <v>149</v>
      </c>
      <c r="B650" t="s">
        <v>198</v>
      </c>
      <c r="AH650">
        <v>0</v>
      </c>
      <c r="AI650">
        <v>0</v>
      </c>
      <c r="AJ650">
        <v>0</v>
      </c>
      <c r="AK650">
        <v>38.396999999999998</v>
      </c>
      <c r="AL650">
        <v>139.64000000000001</v>
      </c>
      <c r="AM650">
        <v>64.606999999999999</v>
      </c>
      <c r="AN650">
        <v>68.384</v>
      </c>
      <c r="AO650">
        <v>89.484999999999999</v>
      </c>
      <c r="AP650">
        <v>90.290999999999997</v>
      </c>
      <c r="AQ650">
        <v>200.82900000000001</v>
      </c>
      <c r="AR650">
        <v>123.79599999999999</v>
      </c>
      <c r="AS650">
        <v>56.309000000000005</v>
      </c>
      <c r="AT650">
        <v>25.948999999999998</v>
      </c>
      <c r="AU650">
        <v>29.092000000000002</v>
      </c>
      <c r="AV650">
        <v>22.009999999999998</v>
      </c>
      <c r="AW650">
        <v>5.0620000000000003</v>
      </c>
      <c r="AX650">
        <v>5.1360000000000001</v>
      </c>
      <c r="AY650">
        <v>2.4340000000000002</v>
      </c>
      <c r="AZ650">
        <v>2.4340000000000002</v>
      </c>
      <c r="BA650">
        <v>2.4340000000000002</v>
      </c>
      <c r="BB650">
        <v>2.4340000000000002</v>
      </c>
      <c r="BC650">
        <v>2.4340000000000002</v>
      </c>
      <c r="BD650">
        <v>2.4340000000000002</v>
      </c>
      <c r="BE650">
        <v>2.4340000000000002</v>
      </c>
      <c r="BF650">
        <v>2.4340000000000002</v>
      </c>
      <c r="BG650">
        <v>2.4340000000000002</v>
      </c>
      <c r="BH650" t="s">
        <v>16</v>
      </c>
    </row>
    <row r="651" spans="1:60">
      <c r="A651" t="s">
        <v>149</v>
      </c>
      <c r="B651" t="s">
        <v>193</v>
      </c>
      <c r="AH651">
        <v>0</v>
      </c>
      <c r="AI651">
        <v>0</v>
      </c>
      <c r="AJ651">
        <v>0</v>
      </c>
      <c r="AK651">
        <v>19.890999999999998</v>
      </c>
      <c r="AL651">
        <v>119.608</v>
      </c>
      <c r="AM651">
        <v>35.811999999999998</v>
      </c>
      <c r="AN651">
        <v>39.191000000000003</v>
      </c>
      <c r="AO651">
        <v>55.268000000000001</v>
      </c>
      <c r="AP651">
        <v>47.96</v>
      </c>
      <c r="AQ651">
        <v>61.936</v>
      </c>
      <c r="AR651">
        <v>20.184000000000001</v>
      </c>
      <c r="AS651">
        <v>17.984000000000002</v>
      </c>
      <c r="AT651">
        <v>25.619</v>
      </c>
      <c r="AU651">
        <v>27.937000000000001</v>
      </c>
      <c r="AV651">
        <v>22.009999999999998</v>
      </c>
      <c r="AW651">
        <v>4.7560000000000002</v>
      </c>
      <c r="AX651">
        <v>5.1360000000000001</v>
      </c>
      <c r="AY651">
        <v>2.4340000000000002</v>
      </c>
      <c r="AZ651">
        <v>2.4340000000000002</v>
      </c>
      <c r="BA651">
        <v>2.4340000000000002</v>
      </c>
      <c r="BB651">
        <v>2.4340000000000002</v>
      </c>
      <c r="BC651">
        <v>2.4340000000000002</v>
      </c>
      <c r="BD651">
        <v>2.4340000000000002</v>
      </c>
      <c r="BE651">
        <v>2.4340000000000002</v>
      </c>
      <c r="BF651">
        <v>2.4340000000000002</v>
      </c>
      <c r="BG651">
        <v>2.4340000000000002</v>
      </c>
      <c r="BH651" t="s">
        <v>16</v>
      </c>
    </row>
    <row r="652" spans="1:60">
      <c r="A652" t="s">
        <v>149</v>
      </c>
      <c r="B652" t="s">
        <v>194</v>
      </c>
      <c r="AH652">
        <v>0</v>
      </c>
      <c r="AI652">
        <v>0</v>
      </c>
      <c r="AJ652">
        <v>0</v>
      </c>
      <c r="AK652">
        <v>18.506</v>
      </c>
      <c r="AL652">
        <v>20.032</v>
      </c>
      <c r="AM652">
        <v>28.795000000000002</v>
      </c>
      <c r="AN652">
        <v>29.193000000000001</v>
      </c>
      <c r="AO652">
        <v>34.216999999999999</v>
      </c>
      <c r="AP652">
        <v>42.331000000000003</v>
      </c>
      <c r="AQ652">
        <v>138.893</v>
      </c>
      <c r="AR652">
        <v>103.61199999999999</v>
      </c>
      <c r="AS652">
        <v>38.325000000000003</v>
      </c>
      <c r="AT652">
        <v>0.33</v>
      </c>
      <c r="AU652">
        <v>1.155</v>
      </c>
      <c r="AV652">
        <v>0</v>
      </c>
      <c r="AW652">
        <v>0.30599999999999999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</row>
    <row r="653" spans="1:60">
      <c r="A653" t="s">
        <v>150</v>
      </c>
      <c r="B653" t="s">
        <v>198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0.06</v>
      </c>
      <c r="N653">
        <v>6.6000000000000003E-2</v>
      </c>
      <c r="O653">
        <v>0.432</v>
      </c>
      <c r="P653">
        <v>0.57399999999999995</v>
      </c>
      <c r="Q653">
        <v>1.004</v>
      </c>
      <c r="R653">
        <v>4.3109999999999999</v>
      </c>
      <c r="S653">
        <v>12.808</v>
      </c>
      <c r="T653">
        <v>15.742999999999999</v>
      </c>
      <c r="U653">
        <v>40.096000000000004</v>
      </c>
      <c r="V653">
        <v>66.777999999999992</v>
      </c>
      <c r="W653">
        <v>100.608</v>
      </c>
      <c r="X653">
        <v>60.277999999999999</v>
      </c>
      <c r="Y653">
        <v>43.441000000000003</v>
      </c>
      <c r="Z653">
        <v>39.037999999999997</v>
      </c>
      <c r="AA653">
        <v>47.106999999999999</v>
      </c>
      <c r="AB653">
        <v>60.651000000000003</v>
      </c>
      <c r="AC653">
        <v>89.817999999999998</v>
      </c>
      <c r="AD653">
        <v>308.71500000000003</v>
      </c>
      <c r="AE653">
        <v>143.071</v>
      </c>
      <c r="AF653">
        <v>318.71800000000002</v>
      </c>
      <c r="AG653">
        <v>369.90499999999997</v>
      </c>
      <c r="AH653">
        <v>430.50299999999999</v>
      </c>
      <c r="AI653">
        <v>514.71100000000001</v>
      </c>
      <c r="AJ653">
        <v>581.90700000000004</v>
      </c>
      <c r="AK653">
        <v>318.94799999999998</v>
      </c>
      <c r="AL653">
        <v>616.93999999999994</v>
      </c>
      <c r="AM653">
        <v>279.44</v>
      </c>
      <c r="AN653">
        <v>283.48900000000003</v>
      </c>
      <c r="AO653">
        <v>1324.298</v>
      </c>
      <c r="AP653">
        <v>208.786</v>
      </c>
      <c r="AQ653">
        <v>582.91800000000001</v>
      </c>
      <c r="AR653">
        <v>324.90899999999999</v>
      </c>
      <c r="AS653">
        <v>432.791</v>
      </c>
      <c r="AT653">
        <v>353.02699999999999</v>
      </c>
      <c r="AU653">
        <v>400.68100000000004</v>
      </c>
      <c r="AV653">
        <v>311.92899999999997</v>
      </c>
      <c r="AW653">
        <v>3653.4879999999998</v>
      </c>
      <c r="AX653">
        <v>99.268000000000001</v>
      </c>
      <c r="AY653">
        <v>83.76</v>
      </c>
      <c r="AZ653">
        <v>77.025000000000006</v>
      </c>
      <c r="BA653">
        <v>103.649</v>
      </c>
      <c r="BB653">
        <v>76.951999999999998</v>
      </c>
      <c r="BC653">
        <v>76.956000000000003</v>
      </c>
      <c r="BD653">
        <v>77.298000000000002</v>
      </c>
      <c r="BE653">
        <v>85.060999999999993</v>
      </c>
      <c r="BF653">
        <v>70.116</v>
      </c>
      <c r="BG653">
        <v>70.01400000000001</v>
      </c>
      <c r="BH653" t="s">
        <v>16</v>
      </c>
    </row>
    <row r="654" spans="1:60">
      <c r="A654" t="s">
        <v>150</v>
      </c>
      <c r="B654" t="s">
        <v>192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W654" t="s">
        <v>16</v>
      </c>
      <c r="X654">
        <v>40</v>
      </c>
      <c r="Y654">
        <v>19</v>
      </c>
      <c r="AD654">
        <v>256</v>
      </c>
      <c r="AF654">
        <v>90</v>
      </c>
      <c r="AI654">
        <v>38</v>
      </c>
      <c r="AL654">
        <v>110</v>
      </c>
      <c r="AN654" t="s">
        <v>16</v>
      </c>
      <c r="AO654">
        <v>147</v>
      </c>
      <c r="AP654" t="s">
        <v>16</v>
      </c>
      <c r="AQ654">
        <v>147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</row>
    <row r="655" spans="1:60">
      <c r="A655" t="s">
        <v>150</v>
      </c>
      <c r="B655" t="s">
        <v>193</v>
      </c>
      <c r="M655">
        <v>0.06</v>
      </c>
      <c r="N655">
        <v>6.6000000000000003E-2</v>
      </c>
      <c r="O655">
        <v>0.432</v>
      </c>
      <c r="P655">
        <v>0.56399999999999995</v>
      </c>
      <c r="Q655">
        <v>0.99399999999999999</v>
      </c>
      <c r="R655">
        <v>4.1539999999999999</v>
      </c>
      <c r="S655">
        <v>10.180999999999999</v>
      </c>
      <c r="T655">
        <v>10.311999999999999</v>
      </c>
      <c r="U655">
        <v>19.440000000000001</v>
      </c>
      <c r="V655">
        <v>29.948</v>
      </c>
      <c r="W655">
        <v>40.323999999999998</v>
      </c>
      <c r="X655" t="s">
        <v>16</v>
      </c>
      <c r="Y655" t="s">
        <v>16</v>
      </c>
      <c r="Z655">
        <v>13.811</v>
      </c>
      <c r="AA655">
        <v>17.468</v>
      </c>
      <c r="AB655">
        <v>18.323</v>
      </c>
      <c r="AC655">
        <v>25.847999999999999</v>
      </c>
      <c r="AD655" t="s">
        <v>16</v>
      </c>
      <c r="AE655">
        <v>59.484999999999999</v>
      </c>
      <c r="AF655">
        <v>102.384</v>
      </c>
      <c r="AG655">
        <v>196.846</v>
      </c>
      <c r="AH655">
        <v>227.40799999999999</v>
      </c>
      <c r="AI655">
        <v>262.55900000000003</v>
      </c>
      <c r="AJ655">
        <v>400.90700000000004</v>
      </c>
      <c r="AK655">
        <v>244.12099999999998</v>
      </c>
      <c r="AL655">
        <v>430.97399999999999</v>
      </c>
      <c r="AM655">
        <v>205.56799999999998</v>
      </c>
      <c r="AN655">
        <v>208.52500000000001</v>
      </c>
      <c r="AO655">
        <v>1113.057</v>
      </c>
      <c r="AP655">
        <v>190.40899999999999</v>
      </c>
      <c r="AQ655">
        <v>417.90300000000002</v>
      </c>
      <c r="AR655">
        <v>300.70400000000001</v>
      </c>
      <c r="AS655">
        <v>410.33299999999997</v>
      </c>
      <c r="AT655">
        <v>346.47800000000001</v>
      </c>
      <c r="AU655">
        <v>400.68100000000004</v>
      </c>
      <c r="AV655">
        <v>311.92899999999997</v>
      </c>
      <c r="AW655">
        <v>3653.4879999999998</v>
      </c>
      <c r="AX655">
        <v>99.268000000000001</v>
      </c>
      <c r="AY655">
        <v>83.76</v>
      </c>
      <c r="AZ655">
        <v>77.025000000000006</v>
      </c>
      <c r="BA655">
        <v>103.649</v>
      </c>
      <c r="BB655">
        <v>76.951999999999998</v>
      </c>
      <c r="BC655">
        <v>76.956000000000003</v>
      </c>
      <c r="BD655">
        <v>77.298000000000002</v>
      </c>
      <c r="BE655">
        <v>85.060999999999993</v>
      </c>
      <c r="BF655">
        <v>70.116</v>
      </c>
      <c r="BG655">
        <v>70.01400000000001</v>
      </c>
      <c r="BH655" t="s">
        <v>16</v>
      </c>
    </row>
    <row r="656" spans="1:60">
      <c r="A656" t="s">
        <v>150</v>
      </c>
      <c r="B656" t="s">
        <v>194</v>
      </c>
      <c r="M656">
        <v>0</v>
      </c>
      <c r="N656">
        <v>0</v>
      </c>
      <c r="O656">
        <v>0</v>
      </c>
      <c r="P656">
        <v>0.01</v>
      </c>
      <c r="Q656">
        <v>0.01</v>
      </c>
      <c r="R656">
        <v>0.15699999999999997</v>
      </c>
      <c r="S656">
        <v>2.6270000000000002</v>
      </c>
      <c r="T656">
        <v>5.431</v>
      </c>
      <c r="U656">
        <v>20.656000000000002</v>
      </c>
      <c r="V656">
        <v>36.83</v>
      </c>
      <c r="W656">
        <v>60.283999999999999</v>
      </c>
      <c r="X656">
        <v>20.277999999999999</v>
      </c>
      <c r="Y656">
        <v>24.440999999999999</v>
      </c>
      <c r="Z656">
        <v>25.227</v>
      </c>
      <c r="AA656">
        <v>29.638999999999999</v>
      </c>
      <c r="AB656">
        <v>42.328000000000003</v>
      </c>
      <c r="AC656">
        <v>63.97</v>
      </c>
      <c r="AD656">
        <v>52.715000000000003</v>
      </c>
      <c r="AE656">
        <v>83.585999999999999</v>
      </c>
      <c r="AF656">
        <v>126.334</v>
      </c>
      <c r="AG656">
        <v>173.059</v>
      </c>
      <c r="AH656">
        <v>203.095</v>
      </c>
      <c r="AI656">
        <v>214.15199999999999</v>
      </c>
      <c r="AJ656" t="s">
        <v>16</v>
      </c>
      <c r="AK656">
        <v>74.826999999999998</v>
      </c>
      <c r="AL656">
        <v>75.965999999999994</v>
      </c>
      <c r="AM656">
        <v>73.872</v>
      </c>
      <c r="AN656">
        <v>74.963999999999999</v>
      </c>
      <c r="AO656">
        <v>64.241</v>
      </c>
      <c r="AP656">
        <v>18.376999999999999</v>
      </c>
      <c r="AQ656">
        <v>18.015000000000001</v>
      </c>
      <c r="AR656">
        <v>24.204999999999998</v>
      </c>
      <c r="AS656">
        <v>22.458000000000002</v>
      </c>
      <c r="AT656">
        <v>6.5489999999999995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</row>
    <row r="657" spans="1:60">
      <c r="A657" t="s">
        <v>150</v>
      </c>
      <c r="B657" t="s">
        <v>195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 t="s">
        <v>16</v>
      </c>
      <c r="X657" t="s">
        <v>16</v>
      </c>
      <c r="Y657" t="s">
        <v>16</v>
      </c>
      <c r="Z657" t="s">
        <v>16</v>
      </c>
      <c r="AA657" t="s">
        <v>16</v>
      </c>
      <c r="AB657" t="s">
        <v>16</v>
      </c>
      <c r="AC657" t="s">
        <v>16</v>
      </c>
      <c r="AD657" t="s">
        <v>16</v>
      </c>
      <c r="AE657" t="s">
        <v>16</v>
      </c>
      <c r="AF657" t="s">
        <v>16</v>
      </c>
      <c r="AG657" t="s">
        <v>16</v>
      </c>
      <c r="AH657" t="s">
        <v>16</v>
      </c>
      <c r="AI657" t="s">
        <v>16</v>
      </c>
      <c r="AJ657">
        <v>181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</row>
    <row r="658" spans="1:60">
      <c r="A658" t="s">
        <v>151</v>
      </c>
      <c r="B658" t="s">
        <v>198</v>
      </c>
      <c r="AH658">
        <v>0</v>
      </c>
      <c r="AI658">
        <v>0</v>
      </c>
      <c r="AJ658">
        <v>29.4</v>
      </c>
      <c r="AK658">
        <v>731.48</v>
      </c>
      <c r="AL658">
        <v>1156.5600000000002</v>
      </c>
      <c r="AM658">
        <v>17.329999999999998</v>
      </c>
      <c r="AN658">
        <v>149.84</v>
      </c>
      <c r="AO658">
        <v>692.09</v>
      </c>
      <c r="AP658">
        <v>4326.96</v>
      </c>
      <c r="AQ658">
        <v>3921.2299999999996</v>
      </c>
      <c r="AR658">
        <v>580</v>
      </c>
      <c r="AS658">
        <v>309.10999999999996</v>
      </c>
      <c r="AT658">
        <v>281.70999999999998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21850</v>
      </c>
      <c r="BG658">
        <v>3300</v>
      </c>
      <c r="BH658">
        <v>3450</v>
      </c>
    </row>
    <row r="659" spans="1:60">
      <c r="A659" t="s">
        <v>151</v>
      </c>
      <c r="B659" t="s">
        <v>192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 t="s">
        <v>16</v>
      </c>
      <c r="AR659">
        <v>580</v>
      </c>
      <c r="AS659" t="s">
        <v>16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</row>
    <row r="660" spans="1:60">
      <c r="A660" t="s">
        <v>151</v>
      </c>
      <c r="B660" t="s">
        <v>193</v>
      </c>
      <c r="AH660">
        <v>0</v>
      </c>
      <c r="AI660">
        <v>0</v>
      </c>
      <c r="AJ660">
        <v>29.4</v>
      </c>
      <c r="AK660">
        <v>731.48</v>
      </c>
      <c r="AL660">
        <v>1156.5600000000002</v>
      </c>
      <c r="AM660">
        <v>17.329999999999998</v>
      </c>
      <c r="AN660">
        <v>149.84</v>
      </c>
      <c r="AO660">
        <v>0.09</v>
      </c>
      <c r="AP660">
        <v>2495.96</v>
      </c>
      <c r="AQ660">
        <v>1325.2299999999998</v>
      </c>
      <c r="AR660" t="s">
        <v>16</v>
      </c>
      <c r="AS660">
        <v>309.10999999999996</v>
      </c>
      <c r="AT660">
        <v>281.70999999999998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3150</v>
      </c>
      <c r="BG660">
        <v>3300</v>
      </c>
      <c r="BH660">
        <v>3450</v>
      </c>
    </row>
    <row r="661" spans="1:60">
      <c r="A661" t="s">
        <v>151</v>
      </c>
      <c r="B661" t="s">
        <v>195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109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</row>
    <row r="662" spans="1:60">
      <c r="A662" t="s">
        <v>151</v>
      </c>
      <c r="B662" t="s">
        <v>197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163</v>
      </c>
      <c r="AP662">
        <v>1831</v>
      </c>
      <c r="AQ662">
        <v>2596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18700</v>
      </c>
      <c r="BG662">
        <v>0</v>
      </c>
      <c r="BH662">
        <v>0</v>
      </c>
    </row>
    <row r="663" spans="1:60">
      <c r="A663" t="s">
        <v>151</v>
      </c>
      <c r="B663" t="s">
        <v>196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420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</row>
    <row r="664" spans="1:60">
      <c r="A664" t="s">
        <v>152</v>
      </c>
      <c r="B664" t="s">
        <v>198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161.9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575</v>
      </c>
      <c r="AA664">
        <v>111</v>
      </c>
      <c r="AB664">
        <v>234</v>
      </c>
      <c r="AC664">
        <v>1958</v>
      </c>
      <c r="AD664">
        <v>0</v>
      </c>
      <c r="AE664">
        <v>1770</v>
      </c>
      <c r="AF664">
        <v>0</v>
      </c>
      <c r="AG664">
        <v>1608</v>
      </c>
      <c r="AH664">
        <v>1610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4977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</row>
    <row r="665" spans="1:60">
      <c r="A665" t="s">
        <v>152</v>
      </c>
      <c r="B665" t="s">
        <v>190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15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</row>
    <row r="666" spans="1:60">
      <c r="A666" t="s">
        <v>152</v>
      </c>
      <c r="B666" t="s">
        <v>193</v>
      </c>
      <c r="C666">
        <v>0</v>
      </c>
      <c r="D666">
        <v>0</v>
      </c>
      <c r="E666">
        <v>0</v>
      </c>
      <c r="F666">
        <v>0</v>
      </c>
      <c r="G666">
        <v>0</v>
      </c>
      <c r="H666" t="s">
        <v>16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</row>
    <row r="667" spans="1:60">
      <c r="A667" t="s">
        <v>152</v>
      </c>
      <c r="B667" t="s">
        <v>194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20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</row>
    <row r="668" spans="1:60">
      <c r="A668" t="s">
        <v>152</v>
      </c>
      <c r="B668" t="s">
        <v>195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126.9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575</v>
      </c>
      <c r="AA668">
        <v>111</v>
      </c>
      <c r="AB668">
        <v>234</v>
      </c>
      <c r="AC668">
        <v>1958</v>
      </c>
      <c r="AD668">
        <v>0</v>
      </c>
      <c r="AE668">
        <v>1770</v>
      </c>
      <c r="AF668">
        <v>0</v>
      </c>
      <c r="AG668">
        <v>1608</v>
      </c>
      <c r="AH668">
        <v>1610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</row>
    <row r="669" spans="1:60">
      <c r="A669" t="s">
        <v>152</v>
      </c>
      <c r="B669" t="s">
        <v>197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4977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</row>
    <row r="670" spans="1:60">
      <c r="A670" t="s">
        <v>153</v>
      </c>
      <c r="B670" t="s">
        <v>198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30261.932941576295</v>
      </c>
      <c r="AI670">
        <v>23995.095556594988</v>
      </c>
      <c r="AJ670">
        <v>44384.027445082829</v>
      </c>
      <c r="AK670">
        <v>32709.356725146197</v>
      </c>
      <c r="AL670">
        <v>35508</v>
      </c>
      <c r="AM670">
        <v>69247</v>
      </c>
      <c r="AN670">
        <v>41733.432000000001</v>
      </c>
      <c r="AO670">
        <v>77719.584999999992</v>
      </c>
      <c r="AP670">
        <v>96152.206999999995</v>
      </c>
      <c r="AQ670">
        <v>78297.817999999999</v>
      </c>
      <c r="AR670">
        <v>12997.925000000001</v>
      </c>
      <c r="AS670">
        <v>11294.217999999999</v>
      </c>
      <c r="AT670">
        <v>10268.711000000001</v>
      </c>
      <c r="AU670">
        <v>7120.1090000000004</v>
      </c>
      <c r="AV670">
        <v>5214.9889999999996</v>
      </c>
      <c r="AW670">
        <v>1802.8349999999998</v>
      </c>
      <c r="AX670">
        <v>644.85</v>
      </c>
      <c r="AY670">
        <v>769.8</v>
      </c>
      <c r="AZ670">
        <v>427.08</v>
      </c>
      <c r="BA670">
        <v>6.6</v>
      </c>
      <c r="BB670">
        <v>1.84</v>
      </c>
      <c r="BC670">
        <v>1.84</v>
      </c>
      <c r="BD670">
        <v>0</v>
      </c>
      <c r="BE670">
        <v>0</v>
      </c>
      <c r="BF670">
        <v>0</v>
      </c>
      <c r="BG670">
        <v>0</v>
      </c>
      <c r="BH670">
        <v>0</v>
      </c>
    </row>
    <row r="671" spans="1:60">
      <c r="A671" t="s">
        <v>153</v>
      </c>
      <c r="B671" t="s">
        <v>192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 t="s">
        <v>16</v>
      </c>
      <c r="AJ671">
        <v>15000</v>
      </c>
      <c r="AK671">
        <v>7100</v>
      </c>
      <c r="AL671">
        <v>6421</v>
      </c>
      <c r="AM671">
        <v>40160</v>
      </c>
      <c r="AN671" t="s">
        <v>16</v>
      </c>
      <c r="AO671" t="s">
        <v>16</v>
      </c>
      <c r="AP671">
        <v>8113</v>
      </c>
      <c r="AQ671" t="s">
        <v>16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</row>
    <row r="672" spans="1:60">
      <c r="A672" t="s">
        <v>153</v>
      </c>
      <c r="B672" t="s">
        <v>193</v>
      </c>
      <c r="AG672">
        <v>0</v>
      </c>
      <c r="AH672">
        <v>0</v>
      </c>
      <c r="AI672">
        <v>710.21199999999999</v>
      </c>
      <c r="AJ672" t="s">
        <v>16</v>
      </c>
      <c r="AK672" t="s">
        <v>16</v>
      </c>
      <c r="AL672">
        <v>1717</v>
      </c>
      <c r="AM672" t="s">
        <v>16</v>
      </c>
      <c r="AN672">
        <v>11233.432000000001</v>
      </c>
      <c r="AO672">
        <v>11482.584999999999</v>
      </c>
      <c r="AP672">
        <v>21858.207000000002</v>
      </c>
      <c r="AQ672">
        <v>45047.817999999999</v>
      </c>
      <c r="AR672">
        <v>12680.825000000001</v>
      </c>
      <c r="AS672">
        <v>10977.117999999999</v>
      </c>
      <c r="AT672">
        <v>9951.6110000000008</v>
      </c>
      <c r="AU672">
        <v>6803.009</v>
      </c>
      <c r="AV672">
        <v>4895.9889999999996</v>
      </c>
      <c r="AW672">
        <v>1482.5349999999999</v>
      </c>
      <c r="AX672">
        <v>644.85</v>
      </c>
      <c r="AY672">
        <v>756.3</v>
      </c>
      <c r="AZ672">
        <v>427.08</v>
      </c>
      <c r="BA672">
        <v>6.6</v>
      </c>
      <c r="BB672">
        <v>1.84</v>
      </c>
      <c r="BC672">
        <v>1.84</v>
      </c>
      <c r="BD672">
        <v>0</v>
      </c>
      <c r="BE672">
        <v>0</v>
      </c>
      <c r="BF672">
        <v>0</v>
      </c>
      <c r="BG672">
        <v>0</v>
      </c>
      <c r="BH672">
        <v>0</v>
      </c>
    </row>
    <row r="673" spans="1:60">
      <c r="A673" t="s">
        <v>153</v>
      </c>
      <c r="B673" t="s">
        <v>194</v>
      </c>
      <c r="AG673" t="s">
        <v>16</v>
      </c>
      <c r="AH673" t="s">
        <v>16</v>
      </c>
      <c r="AI673" t="s">
        <v>16</v>
      </c>
      <c r="AJ673" t="s">
        <v>16</v>
      </c>
      <c r="AK673" t="s">
        <v>16</v>
      </c>
      <c r="AL673" t="s">
        <v>16</v>
      </c>
      <c r="AM673" t="s">
        <v>16</v>
      </c>
      <c r="AN673" t="s">
        <v>16</v>
      </c>
      <c r="AO673" t="s">
        <v>16</v>
      </c>
      <c r="AP673" t="s">
        <v>16</v>
      </c>
      <c r="AQ673" t="s">
        <v>16</v>
      </c>
      <c r="AR673">
        <v>317.10000000000002</v>
      </c>
      <c r="AS673">
        <v>317.10000000000002</v>
      </c>
      <c r="AT673">
        <v>317.10000000000002</v>
      </c>
      <c r="AU673">
        <v>317.10000000000002</v>
      </c>
      <c r="AV673">
        <v>319</v>
      </c>
      <c r="AW673">
        <v>320.3</v>
      </c>
      <c r="AX673">
        <v>0</v>
      </c>
      <c r="AY673">
        <v>13.5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</row>
    <row r="674" spans="1:60">
      <c r="A674" t="s">
        <v>153</v>
      </c>
      <c r="B674" t="s">
        <v>195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 t="s">
        <v>16</v>
      </c>
      <c r="AH674">
        <v>22244.932941576295</v>
      </c>
      <c r="AI674">
        <v>23284.883556594988</v>
      </c>
      <c r="AJ674">
        <v>24257.027445082829</v>
      </c>
      <c r="AK674">
        <v>25609.356725146197</v>
      </c>
      <c r="AL674">
        <v>27370</v>
      </c>
      <c r="AM674">
        <v>29087</v>
      </c>
      <c r="AN674">
        <v>30500</v>
      </c>
      <c r="AO674">
        <v>362</v>
      </c>
      <c r="AP674">
        <v>543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</row>
    <row r="675" spans="1:60">
      <c r="A675" t="s">
        <v>153</v>
      </c>
      <c r="B675" t="s">
        <v>197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29614</v>
      </c>
      <c r="AP675">
        <v>29377</v>
      </c>
      <c r="AQ675">
        <v>33250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</row>
    <row r="676" spans="1:60">
      <c r="A676" t="s">
        <v>153</v>
      </c>
      <c r="B676" t="s">
        <v>196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8017</v>
      </c>
      <c r="AI676">
        <v>0</v>
      </c>
      <c r="AJ676">
        <v>5127</v>
      </c>
      <c r="AK676">
        <v>0</v>
      </c>
      <c r="AL676">
        <v>0</v>
      </c>
      <c r="AM676">
        <v>0</v>
      </c>
      <c r="AN676">
        <v>0</v>
      </c>
      <c r="AO676">
        <v>36261</v>
      </c>
      <c r="AP676">
        <v>36261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</row>
    <row r="677" spans="1:60">
      <c r="A677" t="s">
        <v>154</v>
      </c>
      <c r="B677" t="s">
        <v>198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500.61</v>
      </c>
      <c r="AO677">
        <v>6.7</v>
      </c>
      <c r="AP677">
        <v>22.8</v>
      </c>
      <c r="AQ677">
        <v>20.400000000000002</v>
      </c>
      <c r="AR677">
        <v>19.5</v>
      </c>
      <c r="AS677">
        <v>132.30000000000001</v>
      </c>
      <c r="AT677">
        <v>40.9</v>
      </c>
      <c r="AU677">
        <v>47.4</v>
      </c>
      <c r="AV677">
        <v>43.2</v>
      </c>
      <c r="AW677">
        <v>0</v>
      </c>
      <c r="AX677">
        <v>88.13</v>
      </c>
      <c r="AY677">
        <v>113.25</v>
      </c>
      <c r="AZ677">
        <v>80.8</v>
      </c>
      <c r="BA677">
        <v>192.06</v>
      </c>
      <c r="BB677">
        <v>161.4</v>
      </c>
      <c r="BC677">
        <v>1.34</v>
      </c>
      <c r="BD677">
        <v>0</v>
      </c>
      <c r="BE677">
        <v>0</v>
      </c>
      <c r="BF677">
        <v>0.158</v>
      </c>
      <c r="BG677">
        <v>0.158</v>
      </c>
      <c r="BH677">
        <v>0.158</v>
      </c>
    </row>
    <row r="678" spans="1:60">
      <c r="A678" t="s">
        <v>154</v>
      </c>
      <c r="B678" t="s">
        <v>193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500.61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0.158</v>
      </c>
      <c r="BG678">
        <v>0.158</v>
      </c>
      <c r="BH678">
        <v>0.158</v>
      </c>
    </row>
    <row r="679" spans="1:60">
      <c r="A679" t="s">
        <v>154</v>
      </c>
      <c r="B679" t="s">
        <v>194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6.7</v>
      </c>
      <c r="AP679">
        <v>22.8</v>
      </c>
      <c r="AQ679">
        <v>20.400000000000002</v>
      </c>
      <c r="AR679">
        <v>19.5</v>
      </c>
      <c r="AS679">
        <v>132.30000000000001</v>
      </c>
      <c r="AT679">
        <v>40.9</v>
      </c>
      <c r="AU679">
        <v>47.4</v>
      </c>
      <c r="AV679">
        <v>43.2</v>
      </c>
      <c r="AW679">
        <v>0</v>
      </c>
      <c r="AX679">
        <v>88.13</v>
      </c>
      <c r="AY679">
        <v>113.25</v>
      </c>
      <c r="AZ679">
        <v>80.8</v>
      </c>
      <c r="BA679">
        <v>192.06</v>
      </c>
      <c r="BB679">
        <v>161.4</v>
      </c>
      <c r="BC679">
        <v>1.34</v>
      </c>
      <c r="BD679">
        <v>0</v>
      </c>
      <c r="BE679">
        <v>0</v>
      </c>
      <c r="BF679">
        <v>0</v>
      </c>
      <c r="BG679">
        <v>0</v>
      </c>
      <c r="BH679">
        <v>0</v>
      </c>
    </row>
    <row r="680" spans="1:60">
      <c r="A680" t="s">
        <v>155</v>
      </c>
      <c r="B680" t="s">
        <v>198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5.5839999999999996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0.51600000000000001</v>
      </c>
      <c r="AV680">
        <v>4.8500000000000005</v>
      </c>
      <c r="AW680">
        <v>0.627</v>
      </c>
      <c r="AX680">
        <v>0.7</v>
      </c>
      <c r="AY680">
        <v>0.66300000000000003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</row>
    <row r="681" spans="1:60">
      <c r="A681" t="s">
        <v>155</v>
      </c>
      <c r="B681" t="s">
        <v>193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5.5839999999999996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0.51600000000000001</v>
      </c>
      <c r="AV681">
        <v>4.8500000000000005</v>
      </c>
      <c r="AW681">
        <v>0.627</v>
      </c>
      <c r="AX681">
        <v>0.7</v>
      </c>
      <c r="AY681">
        <v>0.66300000000000003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</row>
    <row r="682" spans="1:60">
      <c r="A682" t="s">
        <v>156</v>
      </c>
      <c r="B682" t="s">
        <v>198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52.9</v>
      </c>
      <c r="V682">
        <v>160.20000000000002</v>
      </c>
      <c r="W682">
        <v>51.4</v>
      </c>
      <c r="X682">
        <v>5.8</v>
      </c>
      <c r="Y682">
        <v>5.4</v>
      </c>
      <c r="Z682">
        <v>14977.956400596002</v>
      </c>
      <c r="AA682">
        <v>16988.809978000001</v>
      </c>
      <c r="AB682">
        <v>18737.853999999999</v>
      </c>
      <c r="AC682">
        <v>20329.599999999999</v>
      </c>
      <c r="AD682">
        <v>20360.599999999999</v>
      </c>
      <c r="AE682">
        <v>20338.8</v>
      </c>
      <c r="AF682">
        <v>20288.8</v>
      </c>
      <c r="AG682">
        <v>19585</v>
      </c>
      <c r="AH682">
        <v>0</v>
      </c>
      <c r="AI682">
        <v>618.5</v>
      </c>
      <c r="AJ682">
        <v>1023.3</v>
      </c>
      <c r="AK682">
        <v>1540.1</v>
      </c>
      <c r="AL682">
        <v>480.1</v>
      </c>
      <c r="AM682">
        <v>546.5</v>
      </c>
      <c r="AN682">
        <v>698.7</v>
      </c>
      <c r="AO682">
        <v>484.7</v>
      </c>
      <c r="AP682">
        <v>183.89999999999998</v>
      </c>
      <c r="AQ682">
        <v>137.9</v>
      </c>
      <c r="AR682">
        <v>54.5</v>
      </c>
      <c r="AS682">
        <v>56.199999999999996</v>
      </c>
      <c r="AT682">
        <v>11.7</v>
      </c>
      <c r="AU682">
        <v>16.05</v>
      </c>
      <c r="AV682">
        <v>2.9440000000000004</v>
      </c>
      <c r="AW682">
        <v>0.40699999999999997</v>
      </c>
      <c r="AX682">
        <v>178.15200000000002</v>
      </c>
      <c r="AY682">
        <v>6.0749999999999993</v>
      </c>
      <c r="AZ682">
        <v>1.4730000000000001</v>
      </c>
      <c r="BA682">
        <v>1491.123</v>
      </c>
      <c r="BB682">
        <v>1.302</v>
      </c>
      <c r="BC682">
        <v>1.1520000000000001</v>
      </c>
      <c r="BD682">
        <v>1.2000000000000002</v>
      </c>
      <c r="BE682">
        <v>0.56000000000000005</v>
      </c>
      <c r="BF682">
        <v>1.72</v>
      </c>
      <c r="BG682">
        <v>3095</v>
      </c>
      <c r="BH682">
        <v>20346</v>
      </c>
    </row>
    <row r="683" spans="1:60">
      <c r="A683" t="s">
        <v>156</v>
      </c>
      <c r="B683" t="s">
        <v>192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</row>
    <row r="684" spans="1:60">
      <c r="A684" t="s">
        <v>156</v>
      </c>
      <c r="B684" t="s">
        <v>193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0.9</v>
      </c>
      <c r="V684">
        <v>3.4</v>
      </c>
      <c r="W684">
        <v>0</v>
      </c>
      <c r="X684">
        <v>0</v>
      </c>
      <c r="Y684">
        <v>0</v>
      </c>
      <c r="Z684">
        <v>0</v>
      </c>
      <c r="AA684">
        <v>7</v>
      </c>
      <c r="AB684">
        <v>14.8</v>
      </c>
      <c r="AC684">
        <v>22.6</v>
      </c>
      <c r="AD684">
        <v>22.6</v>
      </c>
      <c r="AE684">
        <v>0.8</v>
      </c>
      <c r="AF684">
        <v>0.8</v>
      </c>
      <c r="AG684">
        <v>0</v>
      </c>
      <c r="AH684">
        <v>0</v>
      </c>
      <c r="AI684">
        <v>30.7</v>
      </c>
      <c r="AJ684">
        <v>49.5</v>
      </c>
      <c r="AK684">
        <v>128.69999999999999</v>
      </c>
      <c r="AL684">
        <v>128.1</v>
      </c>
      <c r="AM684">
        <v>116.5</v>
      </c>
      <c r="AN684">
        <v>86.7</v>
      </c>
      <c r="AO684">
        <v>86.7</v>
      </c>
      <c r="AP684">
        <v>84.7</v>
      </c>
      <c r="AQ684">
        <v>75.3</v>
      </c>
      <c r="AR684">
        <v>3</v>
      </c>
      <c r="AS684">
        <v>1.6</v>
      </c>
      <c r="AT684">
        <v>1.5</v>
      </c>
      <c r="AU684">
        <v>0.5</v>
      </c>
      <c r="AV684">
        <v>0.8</v>
      </c>
      <c r="AW684">
        <v>0.3</v>
      </c>
      <c r="AX684">
        <v>177.76000000000002</v>
      </c>
      <c r="AY684">
        <v>5.89</v>
      </c>
      <c r="AZ684">
        <v>1.36</v>
      </c>
      <c r="BA684">
        <v>1491.05</v>
      </c>
      <c r="BB684">
        <v>1.27</v>
      </c>
      <c r="BC684">
        <v>1.1200000000000001</v>
      </c>
      <c r="BD684">
        <v>1.2000000000000002</v>
      </c>
      <c r="BE684">
        <v>0.56000000000000005</v>
      </c>
      <c r="BF684">
        <v>1.72</v>
      </c>
      <c r="BG684">
        <v>2840</v>
      </c>
      <c r="BH684">
        <v>3150</v>
      </c>
    </row>
    <row r="685" spans="1:60">
      <c r="A685" t="s">
        <v>156</v>
      </c>
      <c r="B685" t="s">
        <v>194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52</v>
      </c>
      <c r="V685">
        <v>156.80000000000001</v>
      </c>
      <c r="W685">
        <v>51.4</v>
      </c>
      <c r="X685">
        <v>5.8</v>
      </c>
      <c r="Y685">
        <v>5.4</v>
      </c>
      <c r="Z685" t="s">
        <v>16</v>
      </c>
      <c r="AA685" t="s">
        <v>16</v>
      </c>
      <c r="AB685" t="s">
        <v>16</v>
      </c>
      <c r="AC685" t="s">
        <v>16</v>
      </c>
      <c r="AD685" t="s">
        <v>16</v>
      </c>
      <c r="AE685" t="s">
        <v>16</v>
      </c>
      <c r="AF685" t="s">
        <v>16</v>
      </c>
      <c r="AG685" t="s">
        <v>16</v>
      </c>
      <c r="AH685">
        <v>0</v>
      </c>
      <c r="AI685">
        <v>587.79999999999995</v>
      </c>
      <c r="AJ685">
        <v>973.8</v>
      </c>
      <c r="AK685">
        <v>1411.3999999999999</v>
      </c>
      <c r="AL685" t="s">
        <v>16</v>
      </c>
      <c r="AM685" t="s">
        <v>16</v>
      </c>
      <c r="AN685" t="s">
        <v>16</v>
      </c>
      <c r="AO685" t="s">
        <v>16</v>
      </c>
      <c r="AP685">
        <v>99.199999999999989</v>
      </c>
      <c r="AQ685">
        <v>62.6</v>
      </c>
      <c r="AR685">
        <v>51.5</v>
      </c>
      <c r="AS685">
        <v>54.599999999999994</v>
      </c>
      <c r="AT685">
        <v>10.199999999999999</v>
      </c>
      <c r="AU685">
        <v>15.2</v>
      </c>
      <c r="AV685">
        <v>1.794</v>
      </c>
      <c r="AW685">
        <v>0.107</v>
      </c>
      <c r="AX685">
        <v>0.39200000000000002</v>
      </c>
      <c r="AY685">
        <v>0.185</v>
      </c>
      <c r="AZ685">
        <v>0.113</v>
      </c>
      <c r="BA685">
        <v>7.2999999999999995E-2</v>
      </c>
      <c r="BB685">
        <v>3.2000000000000001E-2</v>
      </c>
      <c r="BC685">
        <v>3.2000000000000001E-2</v>
      </c>
      <c r="BD685">
        <v>0</v>
      </c>
      <c r="BE685">
        <v>0</v>
      </c>
      <c r="BF685">
        <v>0</v>
      </c>
      <c r="BG685">
        <v>0</v>
      </c>
      <c r="BH685">
        <v>0</v>
      </c>
    </row>
    <row r="686" spans="1:60">
      <c r="A686" t="s">
        <v>156</v>
      </c>
      <c r="B686" t="s">
        <v>195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14977.956400596002</v>
      </c>
      <c r="AA686">
        <v>16981.809978000001</v>
      </c>
      <c r="AB686">
        <v>18723.054</v>
      </c>
      <c r="AC686">
        <v>20307</v>
      </c>
      <c r="AD686">
        <v>20338</v>
      </c>
      <c r="AE686">
        <v>20338</v>
      </c>
      <c r="AF686">
        <v>20288</v>
      </c>
      <c r="AG686">
        <v>19585</v>
      </c>
      <c r="AH686">
        <v>0</v>
      </c>
      <c r="AI686">
        <v>0</v>
      </c>
      <c r="AJ686">
        <v>0</v>
      </c>
      <c r="AK686">
        <v>0</v>
      </c>
      <c r="AL686">
        <v>352</v>
      </c>
      <c r="AM686">
        <v>430</v>
      </c>
      <c r="AN686">
        <v>612</v>
      </c>
      <c r="AO686">
        <v>128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</row>
    <row r="687" spans="1:60">
      <c r="A687" t="s">
        <v>156</v>
      </c>
      <c r="B687" t="s">
        <v>197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0.35</v>
      </c>
      <c r="AV687">
        <v>0.35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17196</v>
      </c>
    </row>
    <row r="688" spans="1:60">
      <c r="A688" t="s">
        <v>156</v>
      </c>
      <c r="B688" t="s">
        <v>196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270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255</v>
      </c>
      <c r="BH688">
        <v>0</v>
      </c>
    </row>
    <row r="689" spans="1:60">
      <c r="A689" t="s">
        <v>157</v>
      </c>
      <c r="B689" t="s">
        <v>198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516</v>
      </c>
      <c r="S689">
        <v>0</v>
      </c>
      <c r="T689">
        <v>0</v>
      </c>
      <c r="U689">
        <v>467</v>
      </c>
      <c r="V689">
        <v>0</v>
      </c>
      <c r="W689">
        <v>33</v>
      </c>
      <c r="X689">
        <v>1389</v>
      </c>
      <c r="Y689">
        <v>1406.8</v>
      </c>
      <c r="Z689">
        <v>1604</v>
      </c>
      <c r="AA689">
        <v>1593.1080252569363</v>
      </c>
      <c r="AB689">
        <v>2720.3288522699695</v>
      </c>
      <c r="AC689">
        <v>1976.3608835952341</v>
      </c>
      <c r="AD689">
        <v>2132.8496250939475</v>
      </c>
      <c r="AE689">
        <v>2147.4578428817617</v>
      </c>
      <c r="AF689">
        <v>2263.8195056042391</v>
      </c>
      <c r="AG689">
        <v>3089.0704632043253</v>
      </c>
      <c r="AH689">
        <v>5829.1910763374135</v>
      </c>
      <c r="AI689">
        <v>7512.6647618807347</v>
      </c>
      <c r="AJ689">
        <v>7685.1055838737138</v>
      </c>
      <c r="AK689">
        <v>9414.4781343750001</v>
      </c>
      <c r="AL689">
        <v>11498.459500000001</v>
      </c>
      <c r="AM689">
        <v>13422.600999999999</v>
      </c>
      <c r="AN689">
        <v>9792.5690000000013</v>
      </c>
      <c r="AO689">
        <v>10379.495000000001</v>
      </c>
      <c r="AP689">
        <v>10285.036</v>
      </c>
      <c r="AQ689">
        <v>11850.904</v>
      </c>
      <c r="AR689">
        <v>1534.578</v>
      </c>
      <c r="AS689">
        <v>1439.4780000000001</v>
      </c>
      <c r="AT689">
        <v>1445.039</v>
      </c>
      <c r="AU689">
        <v>1406.643</v>
      </c>
      <c r="AV689">
        <v>1486.133</v>
      </c>
      <c r="AW689">
        <v>0</v>
      </c>
      <c r="AX689">
        <v>0</v>
      </c>
      <c r="AY689">
        <v>0.70399999999999996</v>
      </c>
      <c r="AZ689">
        <v>0</v>
      </c>
      <c r="BA689">
        <v>4.0190000000000001</v>
      </c>
      <c r="BB689">
        <v>5.2629999999999999</v>
      </c>
      <c r="BC689">
        <v>1.3879999999999999</v>
      </c>
      <c r="BD689">
        <v>0.23</v>
      </c>
      <c r="BE689">
        <v>2.1999999999999999E-2</v>
      </c>
      <c r="BF689">
        <v>0.34499999999999997</v>
      </c>
      <c r="BG689">
        <v>0.32600000000000001</v>
      </c>
      <c r="BH689">
        <v>0</v>
      </c>
    </row>
    <row r="690" spans="1:60">
      <c r="A690" t="s">
        <v>157</v>
      </c>
      <c r="B690" t="s">
        <v>190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33</v>
      </c>
      <c r="X690">
        <v>25</v>
      </c>
      <c r="Y690">
        <v>2.8</v>
      </c>
      <c r="Z690">
        <v>30</v>
      </c>
      <c r="AA690">
        <v>97.108025256936372</v>
      </c>
      <c r="AB690">
        <v>120.45050325941402</v>
      </c>
      <c r="AC690">
        <v>145.64888899945285</v>
      </c>
      <c r="AD690">
        <v>181.45136962447563</v>
      </c>
      <c r="AE690">
        <v>185.42878783164181</v>
      </c>
      <c r="AF690">
        <v>186.4856482866939</v>
      </c>
      <c r="AG690">
        <v>214.33121209896885</v>
      </c>
      <c r="AH690">
        <v>224.40065493182911</v>
      </c>
      <c r="AI690">
        <v>231.84530800653113</v>
      </c>
      <c r="AJ690">
        <v>245.83691299011994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</row>
    <row r="691" spans="1:60">
      <c r="A691" t="s">
        <v>157</v>
      </c>
      <c r="B691" t="s">
        <v>192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 t="s">
        <v>16</v>
      </c>
      <c r="AA691" t="s">
        <v>16</v>
      </c>
      <c r="AB691" t="s">
        <v>16</v>
      </c>
      <c r="AC691" t="s">
        <v>16</v>
      </c>
      <c r="AD691" t="s">
        <v>16</v>
      </c>
      <c r="AE691">
        <v>521</v>
      </c>
      <c r="AF691">
        <v>512</v>
      </c>
      <c r="AG691" t="s">
        <v>16</v>
      </c>
      <c r="AH691" t="s">
        <v>16</v>
      </c>
      <c r="AI691" t="s">
        <v>16</v>
      </c>
      <c r="AJ691">
        <v>544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</row>
    <row r="692" spans="1:60">
      <c r="A692" t="s">
        <v>157</v>
      </c>
      <c r="B692" t="s">
        <v>193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148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1029</v>
      </c>
      <c r="Y692">
        <v>1053</v>
      </c>
      <c r="Z692">
        <v>1224</v>
      </c>
      <c r="AA692">
        <v>1142</v>
      </c>
      <c r="AB692">
        <v>1279</v>
      </c>
      <c r="AC692">
        <v>1442</v>
      </c>
      <c r="AD692">
        <v>1529</v>
      </c>
      <c r="AE692">
        <v>978</v>
      </c>
      <c r="AF692">
        <v>987</v>
      </c>
      <c r="AG692">
        <v>1950.0710000000001</v>
      </c>
      <c r="AH692">
        <v>4001.0129999999999</v>
      </c>
      <c r="AI692">
        <v>6149.2839999999997</v>
      </c>
      <c r="AJ692">
        <v>6058</v>
      </c>
      <c r="AK692">
        <v>8572.99</v>
      </c>
      <c r="AL692">
        <v>10540.036</v>
      </c>
      <c r="AM692">
        <v>12449.600999999999</v>
      </c>
      <c r="AN692">
        <v>9009.969000000001</v>
      </c>
      <c r="AO692">
        <v>9591.3950000000004</v>
      </c>
      <c r="AP692">
        <v>10274.136</v>
      </c>
      <c r="AQ692">
        <v>11842.904</v>
      </c>
      <c r="AR692">
        <v>1524.778</v>
      </c>
      <c r="AS692">
        <v>1430.9780000000001</v>
      </c>
      <c r="AT692">
        <v>1435.739</v>
      </c>
      <c r="AU692">
        <v>1396.943</v>
      </c>
      <c r="AV692">
        <v>1414.1130000000001</v>
      </c>
      <c r="AW692">
        <v>0</v>
      </c>
      <c r="AX692">
        <v>0</v>
      </c>
      <c r="AY692">
        <v>0.70399999999999996</v>
      </c>
      <c r="AZ692">
        <v>0</v>
      </c>
      <c r="BA692">
        <v>4.0190000000000001</v>
      </c>
      <c r="BB692">
        <v>5.2629999999999999</v>
      </c>
      <c r="BC692">
        <v>1.3879999999999999</v>
      </c>
      <c r="BD692">
        <v>0.23</v>
      </c>
      <c r="BE692">
        <v>2.1999999999999999E-2</v>
      </c>
      <c r="BF692">
        <v>0.34499999999999997</v>
      </c>
      <c r="BG692">
        <v>0.32600000000000001</v>
      </c>
      <c r="BH692">
        <v>0</v>
      </c>
    </row>
    <row r="693" spans="1:60">
      <c r="A693" t="s">
        <v>157</v>
      </c>
      <c r="B693" t="s">
        <v>194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335</v>
      </c>
      <c r="Y693">
        <v>351</v>
      </c>
      <c r="Z693">
        <v>350</v>
      </c>
      <c r="AA693">
        <v>354</v>
      </c>
      <c r="AB693">
        <v>587</v>
      </c>
      <c r="AC693" t="s">
        <v>16</v>
      </c>
      <c r="AD693" t="s">
        <v>16</v>
      </c>
      <c r="AE693" t="s">
        <v>16</v>
      </c>
      <c r="AF693">
        <v>64</v>
      </c>
      <c r="AG693">
        <v>359</v>
      </c>
      <c r="AH693">
        <v>997</v>
      </c>
      <c r="AI693">
        <v>495</v>
      </c>
      <c r="AJ693">
        <v>173</v>
      </c>
      <c r="AK693">
        <v>138</v>
      </c>
      <c r="AL693">
        <v>203</v>
      </c>
      <c r="AM693">
        <v>167</v>
      </c>
      <c r="AN693">
        <v>0.6</v>
      </c>
      <c r="AO693">
        <v>6.1</v>
      </c>
      <c r="AP693">
        <v>10.9</v>
      </c>
      <c r="AQ693">
        <v>8</v>
      </c>
      <c r="AR693">
        <v>9.8000000000000007</v>
      </c>
      <c r="AS693">
        <v>8.5</v>
      </c>
      <c r="AT693">
        <v>9.3000000000000007</v>
      </c>
      <c r="AU693">
        <v>9.6999999999999993</v>
      </c>
      <c r="AV693">
        <v>72.02000000000001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</row>
    <row r="694" spans="1:60">
      <c r="A694" t="s">
        <v>157</v>
      </c>
      <c r="B694" t="s">
        <v>195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358.87834901055521</v>
      </c>
      <c r="AC694">
        <v>388.71199459578145</v>
      </c>
      <c r="AD694">
        <v>422.39825546947185</v>
      </c>
      <c r="AE694">
        <v>463.02905505011989</v>
      </c>
      <c r="AF694">
        <v>514.33385731754504</v>
      </c>
      <c r="AG694">
        <v>565.66825110535615</v>
      </c>
      <c r="AH694">
        <v>606.77742140558451</v>
      </c>
      <c r="AI694">
        <v>636.53545387420354</v>
      </c>
      <c r="AJ694">
        <v>664.26867088359359</v>
      </c>
      <c r="AK694">
        <v>703.48813437499985</v>
      </c>
      <c r="AL694">
        <v>755.42349999999988</v>
      </c>
      <c r="AM694">
        <v>806</v>
      </c>
      <c r="AN694">
        <v>782</v>
      </c>
      <c r="AO694">
        <v>782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</row>
    <row r="695" spans="1:60">
      <c r="A695" t="s">
        <v>157</v>
      </c>
      <c r="B695" t="s">
        <v>196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368</v>
      </c>
      <c r="S695">
        <v>0</v>
      </c>
      <c r="T695">
        <v>0</v>
      </c>
      <c r="U695">
        <v>467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375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</row>
    <row r="696" spans="1:60">
      <c r="A696" t="s">
        <v>158</v>
      </c>
      <c r="B696" t="s">
        <v>198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14.919</v>
      </c>
      <c r="Q696">
        <v>22.585999999999999</v>
      </c>
      <c r="R696">
        <v>32.794999999999995</v>
      </c>
      <c r="S696">
        <v>46.102000000000004</v>
      </c>
      <c r="T696">
        <v>66.073999999999998</v>
      </c>
      <c r="U696">
        <v>48.802</v>
      </c>
      <c r="V696">
        <v>49.437999999999995</v>
      </c>
      <c r="W696">
        <v>7.7439999999999998</v>
      </c>
      <c r="X696">
        <v>22.381999999999998</v>
      </c>
      <c r="Y696">
        <v>41.009</v>
      </c>
      <c r="Z696">
        <v>81.016999999999996</v>
      </c>
      <c r="AA696">
        <v>131.73099999999999</v>
      </c>
      <c r="AB696">
        <v>194.86200000000002</v>
      </c>
      <c r="AC696">
        <v>278.43899999999996</v>
      </c>
      <c r="AD696">
        <v>405.09300000000002</v>
      </c>
      <c r="AE696">
        <v>527.54300000000001</v>
      </c>
      <c r="AF696">
        <v>832.85899999999992</v>
      </c>
      <c r="AG696">
        <v>1134.884</v>
      </c>
      <c r="AH696">
        <v>1308.287</v>
      </c>
      <c r="AI696">
        <v>1883.029</v>
      </c>
      <c r="AJ696">
        <v>2309.107</v>
      </c>
      <c r="AK696">
        <v>2609.7150000000001</v>
      </c>
      <c r="AL696">
        <v>2881.2039999999997</v>
      </c>
      <c r="AM696">
        <v>3119.6800000000003</v>
      </c>
      <c r="AN696">
        <v>3867.2</v>
      </c>
      <c r="AO696">
        <v>364.65699999999998</v>
      </c>
      <c r="AP696">
        <v>370.86</v>
      </c>
      <c r="AQ696">
        <v>450.25700000000001</v>
      </c>
      <c r="AR696">
        <v>1271.4000000000001</v>
      </c>
      <c r="AS696">
        <v>330.09899999999999</v>
      </c>
      <c r="AT696">
        <v>437.50400000000002</v>
      </c>
      <c r="AU696">
        <v>478.85599999999999</v>
      </c>
      <c r="AV696">
        <v>468.21399999999994</v>
      </c>
      <c r="AW696">
        <v>366.18599999999998</v>
      </c>
      <c r="AX696">
        <v>265.762</v>
      </c>
      <c r="AY696">
        <v>292.48099999999999</v>
      </c>
      <c r="AZ696">
        <v>282.58</v>
      </c>
      <c r="BA696">
        <v>390.01</v>
      </c>
      <c r="BB696">
        <v>313.65699999999998</v>
      </c>
      <c r="BC696">
        <v>334.971</v>
      </c>
      <c r="BD696">
        <v>355.93</v>
      </c>
      <c r="BE696">
        <v>371.983</v>
      </c>
      <c r="BF696">
        <v>397.959</v>
      </c>
      <c r="BG696">
        <v>630.41499999999996</v>
      </c>
      <c r="BH696" t="s">
        <v>16</v>
      </c>
    </row>
    <row r="697" spans="1:60">
      <c r="A697" t="s">
        <v>158</v>
      </c>
      <c r="B697" t="s">
        <v>192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AM697">
        <v>112</v>
      </c>
      <c r="AN697">
        <v>1446</v>
      </c>
      <c r="AQ697" t="s">
        <v>16</v>
      </c>
      <c r="AR697">
        <v>420</v>
      </c>
    </row>
    <row r="698" spans="1:60">
      <c r="A698" t="s">
        <v>158</v>
      </c>
      <c r="B698" t="s">
        <v>193</v>
      </c>
      <c r="M698">
        <v>0</v>
      </c>
      <c r="N698">
        <v>0</v>
      </c>
      <c r="O698">
        <v>0</v>
      </c>
      <c r="P698">
        <v>14.919</v>
      </c>
      <c r="Q698">
        <v>22.585999999999999</v>
      </c>
      <c r="R698">
        <v>32.794999999999995</v>
      </c>
      <c r="S698">
        <v>46.102000000000004</v>
      </c>
      <c r="T698">
        <v>66.073999999999998</v>
      </c>
      <c r="U698">
        <v>48.802</v>
      </c>
      <c r="V698">
        <v>49.437999999999995</v>
      </c>
      <c r="W698">
        <v>3.6440000000000001</v>
      </c>
      <c r="X698">
        <v>12.882</v>
      </c>
      <c r="Y698">
        <v>25.909000000000002</v>
      </c>
      <c r="Z698">
        <v>45.417000000000002</v>
      </c>
      <c r="AA698">
        <v>78.031000000000006</v>
      </c>
      <c r="AB698">
        <v>110.66200000000001</v>
      </c>
      <c r="AC698">
        <v>158.03899999999999</v>
      </c>
      <c r="AD698">
        <v>217.69300000000001</v>
      </c>
      <c r="AE698">
        <v>264.44299999999998</v>
      </c>
      <c r="AF698">
        <v>492.85899999999998</v>
      </c>
      <c r="AG698">
        <v>611.28399999999999</v>
      </c>
      <c r="AH698">
        <v>656.08699999999999</v>
      </c>
      <c r="AI698">
        <v>1039.729</v>
      </c>
      <c r="AJ698">
        <v>1317.607</v>
      </c>
      <c r="AK698">
        <v>1488.5150000000001</v>
      </c>
      <c r="AL698">
        <v>1646.104</v>
      </c>
      <c r="AM698">
        <v>1670</v>
      </c>
      <c r="AN698">
        <v>1912</v>
      </c>
      <c r="AO698">
        <v>359.65699999999998</v>
      </c>
      <c r="AP698">
        <v>365.86</v>
      </c>
      <c r="AQ698">
        <v>444.25700000000001</v>
      </c>
      <c r="AR698">
        <v>150</v>
      </c>
      <c r="AS698">
        <v>320.899</v>
      </c>
      <c r="AT698">
        <v>421.20400000000001</v>
      </c>
      <c r="AU698">
        <v>454.85599999999999</v>
      </c>
      <c r="AV698">
        <v>403.21399999999994</v>
      </c>
      <c r="AW698">
        <v>366.18599999999998</v>
      </c>
      <c r="AX698">
        <v>265.762</v>
      </c>
      <c r="AY698">
        <v>292.48099999999999</v>
      </c>
      <c r="AZ698">
        <v>282.58</v>
      </c>
      <c r="BA698">
        <v>390.01</v>
      </c>
      <c r="BB698">
        <v>313.65699999999998</v>
      </c>
      <c r="BC698">
        <v>334.971</v>
      </c>
      <c r="BD698">
        <v>355.93</v>
      </c>
      <c r="BE698">
        <v>371.983</v>
      </c>
      <c r="BF698">
        <v>397.959</v>
      </c>
      <c r="BG698">
        <v>630.41499999999996</v>
      </c>
      <c r="BH698" t="s">
        <v>16</v>
      </c>
    </row>
    <row r="699" spans="1:60">
      <c r="A699" t="s">
        <v>158</v>
      </c>
      <c r="B699" t="s">
        <v>194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4.0999999999999996</v>
      </c>
      <c r="X699">
        <v>9.5</v>
      </c>
      <c r="Y699">
        <v>15.1</v>
      </c>
      <c r="Z699">
        <v>35.6</v>
      </c>
      <c r="AA699">
        <v>53.699999999999996</v>
      </c>
      <c r="AB699">
        <v>84.2</v>
      </c>
      <c r="AC699">
        <v>120.4</v>
      </c>
      <c r="AD699">
        <v>187.4</v>
      </c>
      <c r="AE699">
        <v>263.10000000000002</v>
      </c>
      <c r="AF699">
        <v>340</v>
      </c>
      <c r="AG699">
        <v>523.6</v>
      </c>
      <c r="AH699">
        <v>652.20000000000005</v>
      </c>
      <c r="AI699">
        <v>843.3</v>
      </c>
      <c r="AJ699">
        <v>991.5</v>
      </c>
      <c r="AK699">
        <v>1121.2</v>
      </c>
      <c r="AL699">
        <v>1235.0999999999999</v>
      </c>
      <c r="AM699">
        <v>1337.68</v>
      </c>
      <c r="AN699">
        <v>509.2</v>
      </c>
      <c r="AO699">
        <v>5</v>
      </c>
      <c r="AP699">
        <v>5</v>
      </c>
      <c r="AQ699">
        <v>6</v>
      </c>
      <c r="AR699">
        <v>4.4000000000000004</v>
      </c>
      <c r="AS699">
        <v>9.1999999999999993</v>
      </c>
      <c r="AT699">
        <v>16.3</v>
      </c>
      <c r="AU699">
        <v>24</v>
      </c>
      <c r="AV699">
        <v>65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</row>
    <row r="700" spans="1:60">
      <c r="A700" t="s">
        <v>158</v>
      </c>
      <c r="B700" t="s">
        <v>195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AR700">
        <v>697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</row>
    <row r="701" spans="1:60">
      <c r="A701" t="s">
        <v>159</v>
      </c>
      <c r="B701" t="s">
        <v>198</v>
      </c>
      <c r="C701">
        <v>241.31000000000003</v>
      </c>
      <c r="D701">
        <v>248.41060000000002</v>
      </c>
      <c r="E701">
        <v>255.5112</v>
      </c>
      <c r="F701">
        <v>262.61180000000002</v>
      </c>
      <c r="G701">
        <v>284.7124</v>
      </c>
      <c r="H701">
        <v>595.41300000000001</v>
      </c>
      <c r="I701">
        <v>295.51360000000005</v>
      </c>
      <c r="J701">
        <v>290.85860000000008</v>
      </c>
      <c r="K701">
        <v>15.9</v>
      </c>
      <c r="L701">
        <v>0</v>
      </c>
      <c r="M701">
        <v>0.7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1.7</v>
      </c>
      <c r="Z701">
        <v>951.3</v>
      </c>
      <c r="AA701">
        <v>2054</v>
      </c>
      <c r="AB701">
        <v>4902.8</v>
      </c>
      <c r="AC701">
        <v>1636</v>
      </c>
      <c r="AD701">
        <v>958.9</v>
      </c>
      <c r="AE701">
        <v>7849.5</v>
      </c>
      <c r="AF701">
        <v>6768.66</v>
      </c>
      <c r="AG701">
        <v>5689.4</v>
      </c>
      <c r="AH701">
        <v>5347.3</v>
      </c>
      <c r="AI701">
        <v>110</v>
      </c>
    </row>
    <row r="702" spans="1:60">
      <c r="A702" t="s">
        <v>159</v>
      </c>
      <c r="B702" t="s">
        <v>190</v>
      </c>
      <c r="C702">
        <v>0</v>
      </c>
      <c r="D702">
        <v>0</v>
      </c>
      <c r="E702">
        <v>0</v>
      </c>
      <c r="F702">
        <v>0</v>
      </c>
      <c r="G702">
        <v>15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27</v>
      </c>
      <c r="AJ702" t="s">
        <v>24</v>
      </c>
    </row>
    <row r="703" spans="1:60">
      <c r="A703" t="s">
        <v>159</v>
      </c>
      <c r="B703" t="s">
        <v>192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787</v>
      </c>
      <c r="AB703">
        <v>1097</v>
      </c>
      <c r="AC703">
        <v>762</v>
      </c>
      <c r="AD703">
        <v>0</v>
      </c>
      <c r="AE703">
        <v>952</v>
      </c>
      <c r="AF703" t="s">
        <v>16</v>
      </c>
      <c r="AG703" t="s">
        <v>16</v>
      </c>
      <c r="AH703" t="s">
        <v>16</v>
      </c>
    </row>
    <row r="704" spans="1:60">
      <c r="A704" t="s">
        <v>159</v>
      </c>
      <c r="B704" t="s">
        <v>193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318.60000000000002</v>
      </c>
      <c r="I704">
        <v>11.6</v>
      </c>
      <c r="J704">
        <v>0</v>
      </c>
      <c r="K704">
        <v>15.9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1.7</v>
      </c>
      <c r="Z704">
        <v>1.3</v>
      </c>
      <c r="AA704">
        <v>16.899999999999999</v>
      </c>
      <c r="AB704">
        <v>0</v>
      </c>
      <c r="AC704">
        <v>0</v>
      </c>
      <c r="AD704">
        <v>0</v>
      </c>
      <c r="AE704">
        <v>2.5</v>
      </c>
      <c r="AF704">
        <v>6.7</v>
      </c>
      <c r="AG704">
        <v>298.39999999999998</v>
      </c>
      <c r="AH704">
        <v>629</v>
      </c>
    </row>
    <row r="705" spans="1:60">
      <c r="A705" t="s">
        <v>159</v>
      </c>
      <c r="B705" t="s">
        <v>194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0.7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0.1</v>
      </c>
      <c r="AB705">
        <v>205.8</v>
      </c>
      <c r="AC705">
        <v>74</v>
      </c>
      <c r="AD705">
        <v>158.9</v>
      </c>
      <c r="AE705">
        <v>0</v>
      </c>
      <c r="AF705">
        <v>1.96</v>
      </c>
      <c r="AG705">
        <v>0</v>
      </c>
      <c r="AH705">
        <v>8.3000000000000007</v>
      </c>
    </row>
    <row r="706" spans="1:60">
      <c r="A706" t="s">
        <v>159</v>
      </c>
      <c r="B706" t="s">
        <v>195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950</v>
      </c>
      <c r="AA706">
        <v>1250</v>
      </c>
      <c r="AB706">
        <v>3600</v>
      </c>
      <c r="AC706">
        <v>800</v>
      </c>
      <c r="AD706">
        <v>800</v>
      </c>
      <c r="AE706">
        <v>6895</v>
      </c>
      <c r="AF706">
        <v>6760</v>
      </c>
      <c r="AG706">
        <v>5391</v>
      </c>
      <c r="AH706">
        <v>4710</v>
      </c>
    </row>
    <row r="707" spans="1:60">
      <c r="A707" t="s">
        <v>159</v>
      </c>
      <c r="B707" t="s">
        <v>197</v>
      </c>
      <c r="C707">
        <v>241.31000000000003</v>
      </c>
      <c r="D707">
        <v>248.41060000000002</v>
      </c>
      <c r="E707">
        <v>255.5112</v>
      </c>
      <c r="F707">
        <v>262.61180000000002</v>
      </c>
      <c r="G707">
        <v>269.7124</v>
      </c>
      <c r="H707">
        <v>276.81300000000005</v>
      </c>
      <c r="I707">
        <v>283.91360000000003</v>
      </c>
      <c r="J707">
        <v>290.85860000000008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83</v>
      </c>
    </row>
    <row r="708" spans="1:60">
      <c r="A708" t="s">
        <v>160</v>
      </c>
      <c r="B708" t="s">
        <v>198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1.8440000000000001</v>
      </c>
      <c r="S708">
        <v>1.9990000000000001</v>
      </c>
      <c r="T708">
        <v>3.3620000000000001</v>
      </c>
      <c r="U708">
        <v>15.322000000000001</v>
      </c>
      <c r="V708">
        <v>38.378</v>
      </c>
      <c r="W708">
        <v>39.28</v>
      </c>
      <c r="X708">
        <v>75.448999999999998</v>
      </c>
      <c r="Y708">
        <v>248.93099999999998</v>
      </c>
      <c r="Z708">
        <v>545.35599999999999</v>
      </c>
      <c r="AA708">
        <v>381.01800000000003</v>
      </c>
      <c r="AB708">
        <v>1484.565273176474</v>
      </c>
      <c r="AC708">
        <v>1771.4303411089563</v>
      </c>
      <c r="AD708">
        <v>2410.1195088265295</v>
      </c>
      <c r="AE708">
        <v>3074.3641802218599</v>
      </c>
      <c r="AF708">
        <v>3802.3574053757898</v>
      </c>
      <c r="AG708">
        <v>6029.9119735726008</v>
      </c>
      <c r="AH708">
        <v>4061.476293761235</v>
      </c>
      <c r="AI708">
        <v>5142.710369423854</v>
      </c>
      <c r="AJ708">
        <v>4245.6037812561553</v>
      </c>
      <c r="AK708">
        <v>4703.6130048135983</v>
      </c>
      <c r="AL708">
        <v>3050.0436855871026</v>
      </c>
      <c r="AM708">
        <v>1666.8869999999999</v>
      </c>
      <c r="AN708">
        <v>1012.028</v>
      </c>
      <c r="AO708">
        <v>968.44499999999994</v>
      </c>
      <c r="AP708">
        <v>1100.5909999999999</v>
      </c>
      <c r="AQ708">
        <v>394.82600000000002</v>
      </c>
      <c r="AR708">
        <v>622.63800000000003</v>
      </c>
      <c r="AS708">
        <v>859.77599999999995</v>
      </c>
      <c r="AT708">
        <v>836.32500000000005</v>
      </c>
      <c r="AU708">
        <v>881.67499999999995</v>
      </c>
      <c r="AV708">
        <v>2093.86</v>
      </c>
      <c r="AW708">
        <v>4048.7219999999998</v>
      </c>
      <c r="AX708">
        <v>513.83600000000001</v>
      </c>
      <c r="AY708">
        <v>482.68299999999999</v>
      </c>
      <c r="AZ708">
        <v>477.06799999999998</v>
      </c>
      <c r="BA708">
        <v>484.49799999999999</v>
      </c>
      <c r="BB708">
        <v>489.28700000000003</v>
      </c>
      <c r="BC708">
        <v>494.10200000000003</v>
      </c>
      <c r="BD708">
        <v>498.98800000000006</v>
      </c>
      <c r="BE708">
        <v>501.47800000000001</v>
      </c>
      <c r="BF708">
        <v>554.86</v>
      </c>
      <c r="BG708">
        <v>510.58000000000004</v>
      </c>
      <c r="BH708" t="s">
        <v>16</v>
      </c>
    </row>
    <row r="709" spans="1:60">
      <c r="A709" t="s">
        <v>160</v>
      </c>
      <c r="B709" t="s">
        <v>190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49</v>
      </c>
      <c r="Z709">
        <v>0</v>
      </c>
      <c r="AA709">
        <v>0</v>
      </c>
      <c r="AB709">
        <v>889.18427317647388</v>
      </c>
      <c r="AC709">
        <v>1041.7973411089563</v>
      </c>
      <c r="AD709">
        <v>1293.8705088265297</v>
      </c>
      <c r="AE709">
        <v>1322.2321802218598</v>
      </c>
      <c r="AF709">
        <v>1377.04140537579</v>
      </c>
      <c r="AG709">
        <v>1593.3429735726006</v>
      </c>
      <c r="AH709">
        <v>1706.4912937612353</v>
      </c>
      <c r="AI709">
        <v>1727.3553694238544</v>
      </c>
      <c r="AJ709">
        <v>1763.2097812561558</v>
      </c>
      <c r="AK709">
        <v>1950.7450048135984</v>
      </c>
      <c r="AL709">
        <v>2085.4516855871029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</row>
    <row r="710" spans="1:60">
      <c r="A710" t="s">
        <v>160</v>
      </c>
      <c r="B710" t="s">
        <v>191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 t="s">
        <v>16</v>
      </c>
      <c r="AE710">
        <v>103</v>
      </c>
      <c r="AF710">
        <v>70</v>
      </c>
      <c r="AG710">
        <v>256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</row>
    <row r="711" spans="1:60">
      <c r="A711" t="s">
        <v>160</v>
      </c>
      <c r="B711" t="s">
        <v>192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Y711" t="s">
        <v>16</v>
      </c>
      <c r="Z711">
        <v>380</v>
      </c>
      <c r="AA711">
        <v>207</v>
      </c>
      <c r="AB711" t="s">
        <v>16</v>
      </c>
      <c r="AC711">
        <v>547</v>
      </c>
      <c r="AG711">
        <v>963</v>
      </c>
      <c r="AI711">
        <v>918</v>
      </c>
      <c r="AM711">
        <v>566</v>
      </c>
      <c r="AN711" t="s">
        <v>16</v>
      </c>
      <c r="AO711" t="s">
        <v>16</v>
      </c>
      <c r="AP711">
        <v>1062</v>
      </c>
      <c r="AS711">
        <v>249</v>
      </c>
      <c r="AV711">
        <v>1763</v>
      </c>
    </row>
    <row r="712" spans="1:60">
      <c r="A712" t="s">
        <v>160</v>
      </c>
      <c r="B712" t="s">
        <v>193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0.18099999999999999</v>
      </c>
      <c r="S712">
        <v>0.501</v>
      </c>
      <c r="T712">
        <v>0.83699999999999997</v>
      </c>
      <c r="U712">
        <v>1.083</v>
      </c>
      <c r="V712">
        <v>4.8260000000000005</v>
      </c>
      <c r="W712">
        <v>23.684999999999999</v>
      </c>
      <c r="X712">
        <v>25.253</v>
      </c>
      <c r="Y712">
        <v>71.488</v>
      </c>
      <c r="Z712" t="s">
        <v>16</v>
      </c>
      <c r="AA712" t="s">
        <v>16</v>
      </c>
      <c r="AB712">
        <v>362.17100000000005</v>
      </c>
      <c r="AC712" t="s">
        <v>16</v>
      </c>
      <c r="AD712">
        <v>919.96299999999997</v>
      </c>
      <c r="AE712">
        <v>1414.7359999999999</v>
      </c>
      <c r="AF712">
        <v>2089.4679999999998</v>
      </c>
      <c r="AG712">
        <v>2900.3150000000001</v>
      </c>
      <c r="AH712">
        <v>2134.1149999999998</v>
      </c>
      <c r="AI712">
        <v>2304.7829999999999</v>
      </c>
      <c r="AJ712">
        <v>2279.0209999999997</v>
      </c>
      <c r="AK712">
        <v>2260.2089999999998</v>
      </c>
      <c r="AL712">
        <v>838.202</v>
      </c>
      <c r="AM712">
        <v>962.33500000000004</v>
      </c>
      <c r="AN712">
        <v>895.72699999999998</v>
      </c>
      <c r="AO712">
        <v>890.80299999999988</v>
      </c>
      <c r="AP712" t="s">
        <v>16</v>
      </c>
      <c r="AQ712">
        <v>356.82600000000002</v>
      </c>
      <c r="AR712">
        <v>528.89</v>
      </c>
      <c r="AS712">
        <v>413</v>
      </c>
      <c r="AT712">
        <v>645.56799999999998</v>
      </c>
      <c r="AU712">
        <v>548.97900000000004</v>
      </c>
      <c r="AV712" t="s">
        <v>16</v>
      </c>
      <c r="AW712">
        <v>3681.5989999999997</v>
      </c>
      <c r="AX712">
        <v>110.46799999999999</v>
      </c>
      <c r="AY712">
        <v>82.016999999999996</v>
      </c>
      <c r="AZ712">
        <v>81.402000000000001</v>
      </c>
      <c r="BA712">
        <v>93.978999999999999</v>
      </c>
      <c r="BB712">
        <v>104.816</v>
      </c>
      <c r="BC712">
        <v>114.843</v>
      </c>
      <c r="BD712">
        <v>124.905</v>
      </c>
      <c r="BE712">
        <v>132.58199999999999</v>
      </c>
      <c r="BF712">
        <v>175.02099999999999</v>
      </c>
      <c r="BG712">
        <v>140.92400000000001</v>
      </c>
      <c r="BH712" t="s">
        <v>16</v>
      </c>
    </row>
    <row r="713" spans="1:60">
      <c r="A713" t="s">
        <v>160</v>
      </c>
      <c r="B713" t="s">
        <v>194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1.663</v>
      </c>
      <c r="S713">
        <v>1.498</v>
      </c>
      <c r="T713">
        <v>2.5249999999999999</v>
      </c>
      <c r="U713">
        <v>14.239000000000001</v>
      </c>
      <c r="V713">
        <v>33.552</v>
      </c>
      <c r="W713">
        <v>15.595000000000001</v>
      </c>
      <c r="X713">
        <v>50.195999999999998</v>
      </c>
      <c r="Y713">
        <v>112.74299999999999</v>
      </c>
      <c r="Z713">
        <v>123.956</v>
      </c>
      <c r="AA713">
        <v>101.018</v>
      </c>
      <c r="AB713">
        <v>233.21</v>
      </c>
      <c r="AC713">
        <v>182.63299999999998</v>
      </c>
      <c r="AD713">
        <v>196.286</v>
      </c>
      <c r="AE713">
        <v>234.39599999999999</v>
      </c>
      <c r="AF713">
        <v>265.84800000000001</v>
      </c>
      <c r="AG713">
        <v>317.25400000000002</v>
      </c>
      <c r="AH713">
        <v>220.87</v>
      </c>
      <c r="AI713">
        <v>192.572</v>
      </c>
      <c r="AJ713">
        <v>203.37299999999999</v>
      </c>
      <c r="AK713">
        <v>105.65900000000001</v>
      </c>
      <c r="AL713">
        <v>126.39</v>
      </c>
      <c r="AM713">
        <v>138.55199999999999</v>
      </c>
      <c r="AN713">
        <v>116.30099999999999</v>
      </c>
      <c r="AO713">
        <v>77.641999999999996</v>
      </c>
      <c r="AP713">
        <v>38.591000000000001</v>
      </c>
      <c r="AQ713">
        <v>38</v>
      </c>
      <c r="AR713">
        <v>93.748000000000005</v>
      </c>
      <c r="AS713">
        <v>197.77599999999998</v>
      </c>
      <c r="AT713">
        <v>190.75700000000001</v>
      </c>
      <c r="AU713">
        <v>332.69599999999997</v>
      </c>
      <c r="AV713">
        <v>330.86</v>
      </c>
      <c r="AW713">
        <v>367.12299999999999</v>
      </c>
      <c r="AX713">
        <v>403.36799999999999</v>
      </c>
      <c r="AY713">
        <v>400.666</v>
      </c>
      <c r="AZ713">
        <v>395.666</v>
      </c>
      <c r="BA713">
        <v>390.51900000000001</v>
      </c>
      <c r="BB713">
        <v>384.471</v>
      </c>
      <c r="BC713">
        <v>379.25900000000001</v>
      </c>
      <c r="BD713">
        <v>374.08300000000003</v>
      </c>
      <c r="BE713">
        <v>368.89600000000002</v>
      </c>
      <c r="BF713">
        <v>379.839</v>
      </c>
      <c r="BG713">
        <v>369.65600000000001</v>
      </c>
      <c r="BH713" t="s">
        <v>16</v>
      </c>
    </row>
    <row r="714" spans="1:60">
      <c r="A714" t="s">
        <v>160</v>
      </c>
      <c r="B714" t="s">
        <v>195</v>
      </c>
      <c r="Y714">
        <v>15.7</v>
      </c>
      <c r="Z714">
        <v>41.4</v>
      </c>
      <c r="AA714">
        <v>73</v>
      </c>
      <c r="AB714" t="s">
        <v>16</v>
      </c>
      <c r="AC714" t="s">
        <v>16</v>
      </c>
      <c r="AD714" t="s">
        <v>16</v>
      </c>
      <c r="AE714" t="s">
        <v>16</v>
      </c>
      <c r="AF714" t="s">
        <v>16</v>
      </c>
      <c r="AG714" t="s">
        <v>16</v>
      </c>
      <c r="AH714" t="s">
        <v>16</v>
      </c>
      <c r="AI714" t="s">
        <v>16</v>
      </c>
      <c r="AJ714" t="s">
        <v>16</v>
      </c>
      <c r="AK714">
        <v>387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</row>
    <row r="715" spans="1:60">
      <c r="A715" t="s">
        <v>161</v>
      </c>
      <c r="B715" t="s">
        <v>198</v>
      </c>
      <c r="H715">
        <v>184.26827048000001</v>
      </c>
      <c r="I715">
        <v>191.35462506999994</v>
      </c>
      <c r="J715">
        <v>170.09226827999998</v>
      </c>
      <c r="K715">
        <v>176.16628649999998</v>
      </c>
      <c r="L715">
        <v>182.24030472000001</v>
      </c>
      <c r="M715">
        <v>257.34767992775005</v>
      </c>
      <c r="N715">
        <v>215.68870963950002</v>
      </c>
      <c r="O715">
        <v>206.75380039550004</v>
      </c>
      <c r="P715">
        <v>199.65183168000007</v>
      </c>
      <c r="Q715">
        <v>206.40925927525009</v>
      </c>
      <c r="R715">
        <v>184.05938181700009</v>
      </c>
      <c r="S715">
        <v>157.33090258200008</v>
      </c>
      <c r="T715">
        <v>177.93334724500014</v>
      </c>
      <c r="U715">
        <v>247.42794696375012</v>
      </c>
      <c r="V715">
        <v>222.73211301000018</v>
      </c>
      <c r="W715">
        <v>243.86586961625019</v>
      </c>
      <c r="X715">
        <v>63</v>
      </c>
      <c r="Y715">
        <v>0</v>
      </c>
      <c r="Z715">
        <v>0</v>
      </c>
      <c r="AA715">
        <v>0</v>
      </c>
      <c r="AB715">
        <v>0.122</v>
      </c>
      <c r="AC715">
        <v>0.38700000000000001</v>
      </c>
      <c r="AD715">
        <v>11.591000000000001</v>
      </c>
      <c r="AE715">
        <v>0.57399999999999995</v>
      </c>
      <c r="AF715">
        <v>1.8660000000000001</v>
      </c>
      <c r="AG715">
        <v>23.771000000000001</v>
      </c>
      <c r="AH715">
        <v>1.2999999999999999E-2</v>
      </c>
      <c r="AI715">
        <v>4.0780000000000003</v>
      </c>
      <c r="AJ715">
        <v>5.0399999999999991</v>
      </c>
      <c r="AK715">
        <v>17.03</v>
      </c>
      <c r="AL715">
        <v>89.26400000000001</v>
      </c>
      <c r="AM715">
        <v>1.1880000000000002</v>
      </c>
      <c r="AN715">
        <v>4.8520000000000003</v>
      </c>
      <c r="AO715">
        <v>11.428000000000001</v>
      </c>
      <c r="AP715">
        <v>16.142000000000003</v>
      </c>
      <c r="AQ715">
        <v>223.61799999999999</v>
      </c>
      <c r="AR715">
        <v>970.54056783002682</v>
      </c>
      <c r="AS715">
        <v>1616.8255054020367</v>
      </c>
      <c r="AT715">
        <v>2260.9375614015789</v>
      </c>
      <c r="AU715">
        <v>2463.0870039400556</v>
      </c>
      <c r="AV715">
        <v>2507.6676312850432</v>
      </c>
      <c r="AW715">
        <v>2950.0052324465546</v>
      </c>
      <c r="AX715">
        <v>3450.6561245196622</v>
      </c>
      <c r="AY715">
        <v>3688.5761714618779</v>
      </c>
      <c r="AZ715">
        <v>4471.9892730713018</v>
      </c>
      <c r="BA715">
        <v>4780.0848367980743</v>
      </c>
      <c r="BB715">
        <v>5078.3302972723477</v>
      </c>
      <c r="BC715">
        <v>5350.9240699308375</v>
      </c>
      <c r="BD715">
        <v>5650.5479640662325</v>
      </c>
      <c r="BE715">
        <v>5938.7381485018095</v>
      </c>
      <c r="BF715">
        <v>5683.1971177489631</v>
      </c>
      <c r="BG715">
        <v>5648.8953904017626</v>
      </c>
      <c r="BH715" t="s">
        <v>16</v>
      </c>
    </row>
    <row r="716" spans="1:60">
      <c r="A716" t="s">
        <v>161</v>
      </c>
      <c r="B716" t="s">
        <v>190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273.23256783002677</v>
      </c>
      <c r="AS716">
        <v>300.90950540203676</v>
      </c>
      <c r="AT716">
        <v>331.50256140157876</v>
      </c>
      <c r="AU716">
        <v>334.01900394005554</v>
      </c>
      <c r="AV716">
        <v>159.58063128504341</v>
      </c>
      <c r="AW716">
        <v>172.87623244655484</v>
      </c>
      <c r="AX716">
        <v>191.12312451966235</v>
      </c>
      <c r="AY716">
        <v>191.51417146187777</v>
      </c>
      <c r="AZ716">
        <v>197.60077530810486</v>
      </c>
      <c r="BA716">
        <v>192.59484813120901</v>
      </c>
      <c r="BB716">
        <v>194.68579324610272</v>
      </c>
      <c r="BC716">
        <v>189.54043617002623</v>
      </c>
      <c r="BD716">
        <v>190.16212601075978</v>
      </c>
      <c r="BE716">
        <v>178.97183624413034</v>
      </c>
      <c r="BF716">
        <v>171.18962803825661</v>
      </c>
      <c r="BG716">
        <v>166.52839040176212</v>
      </c>
      <c r="BH716">
        <v>0</v>
      </c>
    </row>
    <row r="717" spans="1:60">
      <c r="A717" t="s">
        <v>161</v>
      </c>
      <c r="B717" t="s">
        <v>191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48</v>
      </c>
      <c r="AS717">
        <v>117</v>
      </c>
      <c r="AT717">
        <v>190</v>
      </c>
      <c r="AU717">
        <v>36</v>
      </c>
      <c r="AV717">
        <v>300</v>
      </c>
      <c r="AW717">
        <v>353</v>
      </c>
      <c r="AX717">
        <v>417</v>
      </c>
      <c r="AY717">
        <v>492</v>
      </c>
      <c r="AZ717">
        <v>565</v>
      </c>
      <c r="BA717">
        <v>631</v>
      </c>
      <c r="BB717">
        <v>701</v>
      </c>
      <c r="BC717">
        <v>761</v>
      </c>
      <c r="BD717">
        <v>809</v>
      </c>
      <c r="BE717">
        <v>852</v>
      </c>
      <c r="BF717">
        <v>873</v>
      </c>
      <c r="BG717">
        <v>896</v>
      </c>
      <c r="BH717">
        <v>919</v>
      </c>
    </row>
    <row r="718" spans="1:60">
      <c r="A718" t="s">
        <v>161</v>
      </c>
      <c r="B718" t="s">
        <v>192</v>
      </c>
      <c r="AS718" t="s">
        <v>16</v>
      </c>
      <c r="AT718" t="s">
        <v>16</v>
      </c>
      <c r="AU718" t="s">
        <v>16</v>
      </c>
      <c r="AV718" t="s">
        <v>16</v>
      </c>
      <c r="AW718" t="s">
        <v>16</v>
      </c>
      <c r="AX718" t="s">
        <v>16</v>
      </c>
      <c r="AY718" t="s">
        <v>16</v>
      </c>
      <c r="AZ718">
        <v>2085.9755442886967</v>
      </c>
      <c r="BA718">
        <v>2302.8094243960632</v>
      </c>
      <c r="BB718">
        <v>2444.8440202803458</v>
      </c>
      <c r="BC718">
        <v>2632.262451535938</v>
      </c>
      <c r="BD718">
        <v>2797.8294065016403</v>
      </c>
      <c r="BE718">
        <v>2997.0140172979422</v>
      </c>
      <c r="BF718">
        <v>2832.2875037280046</v>
      </c>
      <c r="BG718">
        <v>2818</v>
      </c>
      <c r="BH718" t="s">
        <v>16</v>
      </c>
    </row>
    <row r="719" spans="1:60">
      <c r="A719" t="s">
        <v>161</v>
      </c>
      <c r="B719" t="s">
        <v>193</v>
      </c>
      <c r="M719">
        <v>7.298</v>
      </c>
      <c r="N719">
        <v>10.771000000000001</v>
      </c>
      <c r="O719">
        <v>11.303000000000001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4.2460000000000004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4.367</v>
      </c>
      <c r="AE719">
        <v>0.57399999999999995</v>
      </c>
      <c r="AF719">
        <v>1.8660000000000001</v>
      </c>
      <c r="AG719">
        <v>23.771000000000001</v>
      </c>
      <c r="AH719">
        <v>1.2999999999999999E-2</v>
      </c>
      <c r="AI719">
        <v>0.92100000000000004</v>
      </c>
      <c r="AJ719">
        <v>2.5129999999999999</v>
      </c>
      <c r="AK719">
        <v>14.766999999999999</v>
      </c>
      <c r="AL719">
        <v>74.032000000000011</v>
      </c>
      <c r="AM719">
        <v>1.05</v>
      </c>
      <c r="AN719">
        <v>0.29599999999999999</v>
      </c>
      <c r="AO719">
        <v>1.2730000000000001</v>
      </c>
      <c r="AP719">
        <v>5.6890000000000001</v>
      </c>
      <c r="AQ719">
        <v>149.184</v>
      </c>
      <c r="AR719">
        <v>480.428</v>
      </c>
      <c r="AS719">
        <v>941.84100000000001</v>
      </c>
      <c r="AT719">
        <v>1406.518</v>
      </c>
      <c r="AU719">
        <v>1683.172</v>
      </c>
      <c r="AV719">
        <v>1643.184</v>
      </c>
      <c r="AW719">
        <v>1925.8339999999998</v>
      </c>
      <c r="AX719">
        <v>2231.5389999999998</v>
      </c>
      <c r="AY719">
        <v>2480.2600000000002</v>
      </c>
      <c r="AZ719">
        <v>992.65195347450049</v>
      </c>
      <c r="BA719">
        <v>1095.8365642708022</v>
      </c>
      <c r="BB719">
        <v>1163.4264837458993</v>
      </c>
      <c r="BC719">
        <v>1252.6131822248733</v>
      </c>
      <c r="BD719">
        <v>1331.4014315538325</v>
      </c>
      <c r="BE719">
        <v>1426.1872949597375</v>
      </c>
      <c r="BF719">
        <v>1347.7989859827021</v>
      </c>
      <c r="BG719">
        <v>1341</v>
      </c>
      <c r="BH719" t="s">
        <v>16</v>
      </c>
    </row>
    <row r="720" spans="1:60">
      <c r="A720" t="s">
        <v>161</v>
      </c>
      <c r="B720" t="s">
        <v>194</v>
      </c>
      <c r="M720">
        <v>62.52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46.747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0.122</v>
      </c>
      <c r="AC720">
        <v>0.38700000000000001</v>
      </c>
      <c r="AD720">
        <v>7.2240000000000002</v>
      </c>
      <c r="AE720">
        <v>0</v>
      </c>
      <c r="AF720">
        <v>0</v>
      </c>
      <c r="AG720">
        <v>0</v>
      </c>
      <c r="AH720">
        <v>0</v>
      </c>
      <c r="AI720">
        <v>3.157</v>
      </c>
      <c r="AJ720">
        <v>2.5269999999999997</v>
      </c>
      <c r="AK720">
        <v>2.2629999999999999</v>
      </c>
      <c r="AL720">
        <v>15.231999999999999</v>
      </c>
      <c r="AM720">
        <v>0.13800000000000001</v>
      </c>
      <c r="AN720">
        <v>4.556</v>
      </c>
      <c r="AO720">
        <v>10.155000000000001</v>
      </c>
      <c r="AP720">
        <v>10.453000000000001</v>
      </c>
      <c r="AQ720">
        <v>74.433999999999997</v>
      </c>
      <c r="AR720">
        <v>168.88</v>
      </c>
      <c r="AS720">
        <v>257.07499999999999</v>
      </c>
      <c r="AT720">
        <v>332.91700000000003</v>
      </c>
      <c r="AU720">
        <v>409.89600000000002</v>
      </c>
      <c r="AV720">
        <v>404.90300000000002</v>
      </c>
      <c r="AW720">
        <v>475.29500000000002</v>
      </c>
      <c r="AX720">
        <v>610.99400000000003</v>
      </c>
      <c r="AY720">
        <v>524.80200000000002</v>
      </c>
      <c r="AZ720">
        <v>599.26099999999997</v>
      </c>
      <c r="BA720">
        <v>523.84399999999994</v>
      </c>
      <c r="BB720">
        <v>537.57400000000007</v>
      </c>
      <c r="BC720">
        <v>474.50800000000004</v>
      </c>
      <c r="BD720">
        <v>478.15499999999997</v>
      </c>
      <c r="BE720">
        <v>437.565</v>
      </c>
      <c r="BF720">
        <v>407.92099999999999</v>
      </c>
      <c r="BG720">
        <v>372.36700000000002</v>
      </c>
      <c r="BH720" t="s">
        <v>16</v>
      </c>
    </row>
    <row r="721" spans="1:60">
      <c r="A721" t="s">
        <v>161</v>
      </c>
      <c r="B721" t="s">
        <v>197</v>
      </c>
      <c r="H721">
        <v>184.26827048000001</v>
      </c>
      <c r="I721">
        <v>191.35462506999994</v>
      </c>
      <c r="J721">
        <v>170.09226827999998</v>
      </c>
      <c r="K721">
        <v>176.16628649999998</v>
      </c>
      <c r="L721">
        <v>182.24030472000001</v>
      </c>
      <c r="M721">
        <v>187.52967992775004</v>
      </c>
      <c r="N721">
        <v>204.91770963950003</v>
      </c>
      <c r="O721">
        <v>195.45080039550004</v>
      </c>
      <c r="P721">
        <v>199.65183168000007</v>
      </c>
      <c r="Q721">
        <v>206.40925927525009</v>
      </c>
      <c r="R721">
        <v>184.05938181700009</v>
      </c>
      <c r="S721">
        <v>157.33090258200008</v>
      </c>
      <c r="T721">
        <v>177.93334724500014</v>
      </c>
      <c r="U721">
        <v>196.43494696375012</v>
      </c>
      <c r="V721">
        <v>222.73211301000018</v>
      </c>
      <c r="W721">
        <v>243.86586961625019</v>
      </c>
      <c r="X721">
        <v>63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31.5</v>
      </c>
      <c r="BA721">
        <v>34</v>
      </c>
      <c r="BB721">
        <v>36.799999999999997</v>
      </c>
      <c r="BC721">
        <v>41</v>
      </c>
      <c r="BD721">
        <v>44</v>
      </c>
      <c r="BE721">
        <v>47</v>
      </c>
      <c r="BF721">
        <v>51</v>
      </c>
      <c r="BG721">
        <v>55</v>
      </c>
      <c r="BH721">
        <v>59</v>
      </c>
    </row>
    <row r="722" spans="1:60">
      <c r="A722" t="s">
        <v>161</v>
      </c>
      <c r="B722" t="s">
        <v>196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23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</row>
  </sheetData>
  <pageMargins left="0.7" right="0.7" top="0.75" bottom="0.75" header="0.3" footer="0.3"/>
  <pageSetup orientation="portrait" horizontalDpi="1200" verticalDpi="1200" r:id="rId1"/>
  <headerFooter>
    <oddHeader>&amp;R&amp;"Aptos"&amp;10&amp;K000000 Category/Catégorie: Non-Sensitive/Non-Délicat&amp;1#_x000D_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 in progress</vt:lpstr>
      <vt:lpstr>DATA</vt:lpstr>
    </vt:vector>
  </TitlesOfParts>
  <Company>Bank of Canada - Banque du Canada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Beers</dc:creator>
  <cp:lastModifiedBy>Josh Evangelista</cp:lastModifiedBy>
  <cp:lastPrinted>2026-06-13T15:28:07Z</cp:lastPrinted>
  <dcterms:created xsi:type="dcterms:W3CDTF">2016-02-22T19:38:05Z</dcterms:created>
  <dcterms:modified xsi:type="dcterms:W3CDTF">2026-07-23T22:08:52Z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{FF7BA126-8BA7-4358-9F57-52D129269B20}</vt:lpwstr>
  </property>
  <property fmtid="{D5CDD505-2E9C-101B-9397-08002B2CF9AE}" pid="3" name="_AdHocReviewCycleID">
    <vt:i4>-127553986</vt:i4>
  </property>
  <property fmtid="{D5CDD505-2E9C-101B-9397-08002B2CF9AE}" pid="4" name="_NewReviewCycle">
    <vt:lpwstr/>
  </property>
  <property fmtid="{D5CDD505-2E9C-101B-9397-08002B2CF9AE}" pid="5" name="_EmailSubject">
    <vt:lpwstr>BoC-BoE Database - Latest (March 2021).XLSX</vt:lpwstr>
  </property>
  <property fmtid="{D5CDD505-2E9C-101B-9397-08002B2CF9AE}" pid="6" name="_AuthorEmail">
    <vt:lpwstr>David.Beers@bankofengland.co.uk</vt:lpwstr>
  </property>
  <property fmtid="{D5CDD505-2E9C-101B-9397-08002B2CF9AE}" pid="7" name="_AuthorEmailDisplayName">
    <vt:lpwstr>Beers, David</vt:lpwstr>
  </property>
  <property fmtid="{D5CDD505-2E9C-101B-9397-08002B2CF9AE}" pid="8" name="_PreviousAdHocReviewCycleID">
    <vt:i4>-397884695</vt:i4>
  </property>
  <property fmtid="{D5CDD505-2E9C-101B-9397-08002B2CF9AE}" pid="9" name="_ReviewingToolsShownOnce">
    <vt:lpwstr/>
  </property>
  <property fmtid="{D5CDD505-2E9C-101B-9397-08002B2CF9AE}" pid="10" name="MSIP_Label_aebacc78-dcc9-4733-835b-33704aeb5fb9_Enabled">
    <vt:lpwstr>true</vt:lpwstr>
  </property>
  <property fmtid="{D5CDD505-2E9C-101B-9397-08002B2CF9AE}" pid="11" name="MSIP_Label_aebacc78-dcc9-4733-835b-33704aeb5fb9_SetDate">
    <vt:lpwstr>2026-07-23T22:04:06Z</vt:lpwstr>
  </property>
  <property fmtid="{D5CDD505-2E9C-101B-9397-08002B2CF9AE}" pid="12" name="MSIP_Label_aebacc78-dcc9-4733-835b-33704aeb5fb9_Method">
    <vt:lpwstr>Privileged</vt:lpwstr>
  </property>
  <property fmtid="{D5CDD505-2E9C-101B-9397-08002B2CF9AE}" pid="13" name="MSIP_Label_aebacc78-dcc9-4733-835b-33704aeb5fb9_Name">
    <vt:lpwstr>Non-Sensitive - Non-Délicat</vt:lpwstr>
  </property>
  <property fmtid="{D5CDD505-2E9C-101B-9397-08002B2CF9AE}" pid="14" name="MSIP_Label_aebacc78-dcc9-4733-835b-33704aeb5fb9_SiteId">
    <vt:lpwstr>164f988b-a2f4-4584-aeaa-21bd4a0234bc</vt:lpwstr>
  </property>
  <property fmtid="{D5CDD505-2E9C-101B-9397-08002B2CF9AE}" pid="15" name="MSIP_Label_aebacc78-dcc9-4733-835b-33704aeb5fb9_ActionId">
    <vt:lpwstr>594f48c1-33e8-437e-979f-0501a538c19f</vt:lpwstr>
  </property>
  <property fmtid="{D5CDD505-2E9C-101B-9397-08002B2CF9AE}" pid="16" name="MSIP_Label_aebacc78-dcc9-4733-835b-33704aeb5fb9_ContentBits">
    <vt:lpwstr>1</vt:lpwstr>
  </property>
  <property fmtid="{D5CDD505-2E9C-101B-9397-08002B2CF9AE}" pid="17" name="MSIP_Label_aebacc78-dcc9-4733-835b-33704aeb5fb9_Tag">
    <vt:lpwstr>10, 0, 1, 1</vt:lpwstr>
  </property>
</Properties>
</file>